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C:\Users\cintia.tertuliano\Downloads\"/>
    </mc:Choice>
  </mc:AlternateContent>
  <bookViews>
    <workbookView xWindow="0" yWindow="0" windowWidth="20430" windowHeight="7260" tabRatio="960" activeTab="11"/>
  </bookViews>
  <sheets>
    <sheet name="Capa e Sumário" sheetId="15" r:id="rId1"/>
    <sheet name="ABC Reservatório" sheetId="58" state="hidden" r:id="rId2"/>
    <sheet name="Resumo" sheetId="48" r:id="rId3"/>
    <sheet name="Orç - Canteiro e Adm" sheetId="25" r:id="rId4"/>
    <sheet name="ABC Canteiro" sheetId="56" state="hidden" r:id="rId5"/>
    <sheet name="Orç - Prédio" sheetId="1" r:id="rId6"/>
    <sheet name="ABC Prédio" sheetId="57" state="hidden" r:id="rId7"/>
    <sheet name="Orç - Reservatório" sheetId="29" r:id="rId8"/>
    <sheet name="Orç - Urbanização" sheetId="33" r:id="rId9"/>
    <sheet name="ABC Urbanização" sheetId="59" state="hidden" r:id="rId10"/>
    <sheet name="Composições" sheetId="8" r:id="rId11"/>
    <sheet name="CFF REV " sheetId="62" r:id="rId12"/>
    <sheet name="ABC CONSOLIDADA" sheetId="60" r:id="rId13"/>
    <sheet name="Cotações" sheetId="23" r:id="rId14"/>
    <sheet name="BDI" sheetId="16" r:id="rId15"/>
    <sheet name="Encargos" sheetId="17" r:id="rId16"/>
    <sheet name="QuantCanteiro" sheetId="27" r:id="rId17"/>
    <sheet name="QuantPrédio" sheetId="22" r:id="rId18"/>
    <sheet name="QuantElétrica" sheetId="28" state="hidden" r:id="rId19"/>
    <sheet name="QuantReservatório" sheetId="30" r:id="rId20"/>
    <sheet name="QuantUrb" sheetId="34" r:id="rId21"/>
    <sheet name="InsumosSinapi" sheetId="7" state="hidden" r:id="rId22"/>
    <sheet name="CompSinapi" sheetId="9" state="hidden" r:id="rId23"/>
    <sheet name="QuantitativosÁgFria" sheetId="20" r:id="rId24"/>
  </sheets>
  <externalReferences>
    <externalReference r:id="rId25"/>
  </externalReferences>
  <definedNames>
    <definedName name="_xlnm._FilterDatabase" localSheetId="4" hidden="1">'ABC Canteiro'!$A$13:$AA$13</definedName>
    <definedName name="_xlnm._FilterDatabase" localSheetId="12" hidden="1">'ABC CONSOLIDADA'!$A$13:$AE$13</definedName>
    <definedName name="_xlnm._FilterDatabase" localSheetId="6" hidden="1">'ABC Prédio'!$A$13:$AE$13</definedName>
    <definedName name="_xlnm._FilterDatabase" localSheetId="1" hidden="1">'ABC Reservatório'!$A$13:$Y$13</definedName>
    <definedName name="_xlnm._FilterDatabase" localSheetId="9" hidden="1">'ABC Urbanização'!$A$13:$Z$13</definedName>
    <definedName name="_xlnm._FilterDatabase" localSheetId="10" hidden="1">Composições!$A$17:$H$4762</definedName>
    <definedName name="_xlnm._FilterDatabase" localSheetId="3" hidden="1">'Orç - Canteiro e Adm'!$A$18:$AB$110</definedName>
    <definedName name="_xlnm._FilterDatabase" localSheetId="5" hidden="1">'Orç - Prédio'!$A$18:$AB$754</definedName>
    <definedName name="_xlnm._FilterDatabase" localSheetId="7" hidden="1">'Orç - Reservatório'!$A$18:$AC$140</definedName>
    <definedName name="_xlnm._FilterDatabase" localSheetId="8" hidden="1">'Orç - Urbanização'!$A$18:$AB$159</definedName>
    <definedName name="_xlnm._FilterDatabase" localSheetId="18" hidden="1">QuantElétrica!$A$6:$AQ$6</definedName>
    <definedName name="_xlnm.Print_Area" localSheetId="4">'ABC Canteiro'!$A$1:$G$57</definedName>
    <definedName name="_xlnm.Print_Area" localSheetId="12">'ABC CONSOLIDADA'!$A$1:$G$743</definedName>
    <definedName name="_xlnm.Print_Area" localSheetId="6">'ABC Prédio'!$A$1:$G$618</definedName>
    <definedName name="_xlnm.Print_Area" localSheetId="1">'ABC Reservatório'!$A$1:$G$75</definedName>
    <definedName name="_xlnm.Print_Area" localSheetId="9">'ABC Urbanização'!$A$1:$G$88</definedName>
    <definedName name="_xlnm.Print_Area" localSheetId="0">'Capa e Sumário'!$A$1:$J$33</definedName>
    <definedName name="_xlnm.Print_Area" localSheetId="11">'CFF REV '!$A$1:$R$65</definedName>
    <definedName name="_xlnm.Print_Area" localSheetId="10">Composições!$A$1:$H$4762</definedName>
    <definedName name="_xlnm.Print_Area" localSheetId="13">Cotações!$A$1:$G$212</definedName>
    <definedName name="_xlnm.Print_Area" localSheetId="3">'Orç - Canteiro e Adm'!$A$1:$J$111</definedName>
    <definedName name="_xlnm.Print_Area" localSheetId="5">'Orç - Prédio'!$A$1:$J$754</definedName>
    <definedName name="_xlnm.Print_Area" localSheetId="7">'Orç - Reservatório'!$A$1:$J$140</definedName>
    <definedName name="_xlnm.Print_Area" localSheetId="8">'Orç - Urbanização'!$A$1:$J$159</definedName>
    <definedName name="_xlnm.Print_Area" localSheetId="16">QuantCanteiro!$A$1:$K$103</definedName>
    <definedName name="_xlnm.Print_Area" localSheetId="18">QuantElétrica!$A$1:$AH$36</definedName>
    <definedName name="_xlnm.Print_Area" localSheetId="23">QuantitativosÁgFria!$A$1:$H$97</definedName>
    <definedName name="_xlnm.Print_Area" localSheetId="17">QuantPrédio!$A$1:$K$726</definedName>
    <definedName name="_xlnm.Print_Area" localSheetId="19">QuantReservatório!$A$1:$K$89</definedName>
    <definedName name="_xlnm.Print_Area" localSheetId="20">QuantUrb!$A$1:$K$281</definedName>
    <definedName name="_xlnm.Print_Area" localSheetId="2">Resumo!$A$1:$H$22</definedName>
    <definedName name="CFF" localSheetId="4">#REF!</definedName>
    <definedName name="CFF" localSheetId="12">#REF!</definedName>
    <definedName name="CFF" localSheetId="6">#REF!</definedName>
    <definedName name="CFF" localSheetId="1">#REF!</definedName>
    <definedName name="CFF" localSheetId="9">#REF!</definedName>
    <definedName name="CFF" localSheetId="11">#REF!</definedName>
    <definedName name="CFF">#REF!</definedName>
    <definedName name="Excel_BuiltIn_Print_Area_1" localSheetId="4">'ABC Canteiro'!$A$1:$G$64</definedName>
    <definedName name="Excel_BuiltIn_Print_Area_1" localSheetId="12">'ABC CONSOLIDADA'!$A$1:$G$749</definedName>
    <definedName name="Excel_BuiltIn_Print_Area_1" localSheetId="6">'ABC Prédio'!$A$1:$G$625</definedName>
    <definedName name="Excel_BuiltIn_Print_Area_1" localSheetId="1">'ABC Reservatório'!$A$1:$G$78</definedName>
    <definedName name="Excel_BuiltIn_Print_Area_1" localSheetId="9">'ABC Urbanização'!$A$1:$G$96</definedName>
    <definedName name="Excel_BuiltIn_Print_Area_1" localSheetId="0">'Capa e Sumário'!#REF!</definedName>
    <definedName name="Excel_BuiltIn_Print_Area_1" localSheetId="13">#REF!</definedName>
    <definedName name="Excel_BuiltIn_Print_Area_1" localSheetId="3">'Orç - Canteiro e Adm'!$A$1:$J$118</definedName>
    <definedName name="Excel_BuiltIn_Print_Area_1" localSheetId="7">'Orç - Reservatório'!$A$1:$J$148</definedName>
    <definedName name="Excel_BuiltIn_Print_Area_1" localSheetId="8">'Orç - Urbanização'!$A$1:$J$167</definedName>
    <definedName name="Excel_BuiltIn_Print_Area_1" localSheetId="20">#REF!</definedName>
    <definedName name="Excel_BuiltIn_Print_Area_1" localSheetId="2">Resumo!$A$1:$H$26</definedName>
    <definedName name="Excel_BuiltIn_Print_Area_1">'Orç - Prédio'!$A$1:$J$761</definedName>
    <definedName name="Excel_BuiltIn_Print_Area_1_1" localSheetId="4">'ABC Canteiro'!$A$1:$G$57</definedName>
    <definedName name="Excel_BuiltIn_Print_Area_1_1" localSheetId="12">'ABC CONSOLIDADA'!$A$1:$G$40</definedName>
    <definedName name="Excel_BuiltIn_Print_Area_1_1" localSheetId="6">'ABC Prédio'!$A$1:$G$617</definedName>
    <definedName name="Excel_BuiltIn_Print_Area_1_1" localSheetId="1">'ABC Reservatório'!$A$1:$G$75</definedName>
    <definedName name="Excel_BuiltIn_Print_Area_1_1" localSheetId="9">'ABC Urbanização'!$A$1:$G$88</definedName>
    <definedName name="Excel_BuiltIn_Print_Area_1_1" localSheetId="0">'Capa e Sumário'!#REF!</definedName>
    <definedName name="Excel_BuiltIn_Print_Area_1_1" localSheetId="13">#REF!</definedName>
    <definedName name="Excel_BuiltIn_Print_Area_1_1" localSheetId="3">'Orç - Canteiro e Adm'!$A$1:$J$109</definedName>
    <definedName name="Excel_BuiltIn_Print_Area_1_1" localSheetId="7">'Orç - Reservatório'!$A$1:$J$139</definedName>
    <definedName name="Excel_BuiltIn_Print_Area_1_1" localSheetId="8">'Orç - Urbanização'!$A$1:$J$158</definedName>
    <definedName name="Excel_BuiltIn_Print_Area_1_1" localSheetId="20">#REF!</definedName>
    <definedName name="Excel_BuiltIn_Print_Area_1_1" localSheetId="2">Resumo!$A$1:$H$18</definedName>
    <definedName name="Excel_BuiltIn_Print_Area_1_1">'Orç - Prédio'!$A$1:$J$752</definedName>
    <definedName name="Excel_BuiltIn_Print_Area_9" localSheetId="4">#REF!</definedName>
    <definedName name="Excel_BuiltIn_Print_Area_9" localSheetId="12">#REF!</definedName>
    <definedName name="Excel_BuiltIn_Print_Area_9" localSheetId="6">#REF!</definedName>
    <definedName name="Excel_BuiltIn_Print_Area_9" localSheetId="1">#REF!</definedName>
    <definedName name="Excel_BuiltIn_Print_Area_9" localSheetId="9">#REF!</definedName>
    <definedName name="Excel_BuiltIn_Print_Area_9" localSheetId="0">#REF!</definedName>
    <definedName name="Excel_BuiltIn_Print_Area_9" localSheetId="11">#REF!</definedName>
    <definedName name="Excel_BuiltIn_Print_Area_9" localSheetId="13">#REF!</definedName>
    <definedName name="Excel_BuiltIn_Print_Area_9" localSheetId="3">#REF!</definedName>
    <definedName name="Excel_BuiltIn_Print_Area_9" localSheetId="7">#REF!</definedName>
    <definedName name="Excel_BuiltIn_Print_Area_9" localSheetId="8">#REF!</definedName>
    <definedName name="Excel_BuiltIn_Print_Area_9" localSheetId="16">#REF!</definedName>
    <definedName name="Excel_BuiltIn_Print_Area_9" localSheetId="18">#REF!</definedName>
    <definedName name="Excel_BuiltIn_Print_Area_9" localSheetId="19">#REF!</definedName>
    <definedName name="Excel_BuiltIn_Print_Area_9" localSheetId="20">#REF!</definedName>
    <definedName name="Excel_BuiltIn_Print_Area_9" localSheetId="2">#REF!</definedName>
    <definedName name="Excel_BuiltIn_Print_Area_9">#REF!</definedName>
    <definedName name="Excel_BuiltIn_Print_Titles_1" localSheetId="4">#REF!</definedName>
    <definedName name="Excel_BuiltIn_Print_Titles_1" localSheetId="12">#REF!</definedName>
    <definedName name="Excel_BuiltIn_Print_Titles_1" localSheetId="6">#REF!</definedName>
    <definedName name="Excel_BuiltIn_Print_Titles_1" localSheetId="1">#REF!</definedName>
    <definedName name="Excel_BuiltIn_Print_Titles_1" localSheetId="9">#REF!</definedName>
    <definedName name="Excel_BuiltIn_Print_Titles_1" localSheetId="0">#REF!</definedName>
    <definedName name="Excel_BuiltIn_Print_Titles_1" localSheetId="11">#REF!</definedName>
    <definedName name="Excel_BuiltIn_Print_Titles_1" localSheetId="13">#REF!</definedName>
    <definedName name="Excel_BuiltIn_Print_Titles_1" localSheetId="3">#REF!</definedName>
    <definedName name="Excel_BuiltIn_Print_Titles_1" localSheetId="7">#REF!</definedName>
    <definedName name="Excel_BuiltIn_Print_Titles_1" localSheetId="8">#REF!</definedName>
    <definedName name="Excel_BuiltIn_Print_Titles_1" localSheetId="16">#REF!</definedName>
    <definedName name="Excel_BuiltIn_Print_Titles_1" localSheetId="18">#REF!</definedName>
    <definedName name="Excel_BuiltIn_Print_Titles_1" localSheetId="19">#REF!</definedName>
    <definedName name="Excel_BuiltIn_Print_Titles_1" localSheetId="20">#REF!</definedName>
    <definedName name="Excel_BuiltIn_Print_Titles_1" localSheetId="2">#REF!</definedName>
    <definedName name="Excel_BuiltIn_Print_Titles_1">#REF!</definedName>
    <definedName name="NEWPRINT10" localSheetId="4">#REF!</definedName>
    <definedName name="NEWPRINT10" localSheetId="12">#REF!</definedName>
    <definedName name="NEWPRINT10" localSheetId="6">#REF!</definedName>
    <definedName name="NEWPRINT10" localSheetId="1">#REF!</definedName>
    <definedName name="NEWPRINT10" localSheetId="9">#REF!</definedName>
    <definedName name="NEWPRINT10" localSheetId="11">#REF!</definedName>
    <definedName name="NEWPRINT10" localSheetId="8">#REF!</definedName>
    <definedName name="NEWPRINT10" localSheetId="20">#REF!</definedName>
    <definedName name="NEWPRINT10" localSheetId="2">#REF!</definedName>
    <definedName name="NEWPRINT10">#REF!</definedName>
    <definedName name="NEWPRINT2" localSheetId="4">#REF!</definedName>
    <definedName name="NEWPRINT2" localSheetId="12">#REF!</definedName>
    <definedName name="NEWPRINT2" localSheetId="6">#REF!</definedName>
    <definedName name="NEWPRINT2" localSheetId="1">#REF!</definedName>
    <definedName name="NEWPRINT2" localSheetId="9">#REF!</definedName>
    <definedName name="NEWPRINT2" localSheetId="11">#REF!</definedName>
    <definedName name="NEWPRINT2" localSheetId="8">#REF!</definedName>
    <definedName name="NEWPRINT2" localSheetId="20">#REF!</definedName>
    <definedName name="NEWPRINT2" localSheetId="2">#REF!</definedName>
    <definedName name="NEWPRINT2">#REF!</definedName>
    <definedName name="NEWPRINT3" localSheetId="4">#REF!</definedName>
    <definedName name="NEWPRINT3" localSheetId="12">#REF!</definedName>
    <definedName name="NEWPRINT3" localSheetId="6">#REF!</definedName>
    <definedName name="NEWPRINT3" localSheetId="1">#REF!</definedName>
    <definedName name="NEWPRINT3" localSheetId="9">#REF!</definedName>
    <definedName name="NEWPRINT3" localSheetId="11">#REF!</definedName>
    <definedName name="NEWPRINT3" localSheetId="8">#REF!</definedName>
    <definedName name="NEWPRINT3" localSheetId="20">#REF!</definedName>
    <definedName name="NEWPRINT3" localSheetId="2">#REF!</definedName>
    <definedName name="NEWPRINT3">#REF!</definedName>
    <definedName name="NEWPRINT4" localSheetId="4">#REF!</definedName>
    <definedName name="NEWPRINT4" localSheetId="12">#REF!</definedName>
    <definedName name="NEWPRINT4" localSheetId="6">#REF!</definedName>
    <definedName name="NEWPRINT4" localSheetId="1">#REF!</definedName>
    <definedName name="NEWPRINT4" localSheetId="9">#REF!</definedName>
    <definedName name="NEWPRINT4" localSheetId="11">#REF!</definedName>
    <definedName name="NEWPRINT4" localSheetId="8">#REF!</definedName>
    <definedName name="NEWPRINT4" localSheetId="20">#REF!</definedName>
    <definedName name="NEWPRINT4" localSheetId="2">#REF!</definedName>
    <definedName name="NEWPRINT4">#REF!</definedName>
    <definedName name="NewPrintArea" localSheetId="4">#REF!</definedName>
    <definedName name="NewPrintArea" localSheetId="12">#REF!</definedName>
    <definedName name="NewPrintArea" localSheetId="6">#REF!</definedName>
    <definedName name="NewPrintArea" localSheetId="1">#REF!</definedName>
    <definedName name="NewPrintArea" localSheetId="9">#REF!</definedName>
    <definedName name="NewPrintArea" localSheetId="11">#REF!</definedName>
    <definedName name="NewPrintArea" localSheetId="13">#REF!</definedName>
    <definedName name="NewPrintArea" localSheetId="3">#REF!</definedName>
    <definedName name="NewPrintArea" localSheetId="7">#REF!</definedName>
    <definedName name="NewPrintArea" localSheetId="8">#REF!</definedName>
    <definedName name="NewPrintArea" localSheetId="16">#REF!</definedName>
    <definedName name="NewPrintArea" localSheetId="18">#REF!</definedName>
    <definedName name="NewPrintArea" localSheetId="19">#REF!</definedName>
    <definedName name="NewPrintArea" localSheetId="20">#REF!</definedName>
    <definedName name="NewPrintArea" localSheetId="2">#REF!</definedName>
    <definedName name="NewPrintArea">#REF!</definedName>
    <definedName name="NewPrintArea2" localSheetId="4">#REF!</definedName>
    <definedName name="NewPrintArea2" localSheetId="12">#REF!</definedName>
    <definedName name="NewPrintArea2" localSheetId="6">#REF!</definedName>
    <definedName name="NewPrintArea2" localSheetId="1">#REF!</definedName>
    <definedName name="NewPrintArea2" localSheetId="9">#REF!</definedName>
    <definedName name="NewPrintArea2" localSheetId="11">#REF!</definedName>
    <definedName name="NewPrintArea2" localSheetId="13">#REF!</definedName>
    <definedName name="NewPrintArea2" localSheetId="3">#REF!</definedName>
    <definedName name="NewPrintArea2" localSheetId="7">#REF!</definedName>
    <definedName name="NewPrintArea2" localSheetId="8">#REF!</definedName>
    <definedName name="NewPrintArea2" localSheetId="16">#REF!</definedName>
    <definedName name="NewPrintArea2" localSheetId="18">#REF!</definedName>
    <definedName name="NewPrintArea2" localSheetId="19">#REF!</definedName>
    <definedName name="NewPrintArea2" localSheetId="20">#REF!</definedName>
    <definedName name="NewPrintArea2" localSheetId="2">#REF!</definedName>
    <definedName name="NewPrintArea2">#REF!</definedName>
    <definedName name="NewPrintArea3" localSheetId="4">#REF!</definedName>
    <definedName name="NewPrintArea3" localSheetId="12">#REF!</definedName>
    <definedName name="NewPrintArea3" localSheetId="6">#REF!</definedName>
    <definedName name="NewPrintArea3" localSheetId="1">#REF!</definedName>
    <definedName name="NewPrintArea3" localSheetId="9">#REF!</definedName>
    <definedName name="NewPrintArea3" localSheetId="11">#REF!</definedName>
    <definedName name="NewPrintArea3" localSheetId="13">#REF!</definedName>
    <definedName name="NewPrintArea3" localSheetId="3">#REF!</definedName>
    <definedName name="NewPrintArea3" localSheetId="7">#REF!</definedName>
    <definedName name="NewPrintArea3" localSheetId="8">#REF!</definedName>
    <definedName name="NewPrintArea3" localSheetId="16">#REF!</definedName>
    <definedName name="NewPrintArea3" localSheetId="18">#REF!</definedName>
    <definedName name="NewPrintArea3" localSheetId="19">#REF!</definedName>
    <definedName name="NewPrintArea3" localSheetId="20">#REF!</definedName>
    <definedName name="NewPrintArea3" localSheetId="2">#REF!</definedName>
    <definedName name="NewPrintArea3">#REF!</definedName>
    <definedName name="NewPrintArea9" localSheetId="4">#REF!</definedName>
    <definedName name="NewPrintArea9" localSheetId="12">#REF!</definedName>
    <definedName name="NewPrintArea9" localSheetId="6">#REF!</definedName>
    <definedName name="NewPrintArea9" localSheetId="1">#REF!</definedName>
    <definedName name="NewPrintArea9" localSheetId="9">#REF!</definedName>
    <definedName name="NewPrintArea9" localSheetId="11">#REF!</definedName>
    <definedName name="NewPrintArea9" localSheetId="13">#REF!</definedName>
    <definedName name="NewPrintArea9" localSheetId="3">#REF!</definedName>
    <definedName name="NewPrintArea9" localSheetId="7">#REF!</definedName>
    <definedName name="NewPrintArea9" localSheetId="8">#REF!</definedName>
    <definedName name="NewPrintArea9" localSheetId="16">#REF!</definedName>
    <definedName name="NewPrintArea9" localSheetId="18">#REF!</definedName>
    <definedName name="NewPrintArea9" localSheetId="19">#REF!</definedName>
    <definedName name="NewPrintArea9" localSheetId="20">#REF!</definedName>
    <definedName name="NewPrintArea9" localSheetId="2">#REF!</definedName>
    <definedName name="NewPrintArea9">#REF!</definedName>
    <definedName name="PRINT10" localSheetId="4">#REF!</definedName>
    <definedName name="PRINT10" localSheetId="12">#REF!</definedName>
    <definedName name="PRINT10" localSheetId="6">#REF!</definedName>
    <definedName name="PRINT10" localSheetId="1">#REF!</definedName>
    <definedName name="PRINT10" localSheetId="9">#REF!</definedName>
    <definedName name="PRINT10" localSheetId="11">#REF!</definedName>
    <definedName name="PRINT10" localSheetId="8">#REF!</definedName>
    <definedName name="PRINT10" localSheetId="20">#REF!</definedName>
    <definedName name="PRINT10" localSheetId="2">#REF!</definedName>
    <definedName name="PRINT10">#REF!</definedName>
    <definedName name="TITLES2" localSheetId="4">#REF!</definedName>
    <definedName name="TITLES2" localSheetId="12">#REF!</definedName>
    <definedName name="TITLES2" localSheetId="6">#REF!</definedName>
    <definedName name="TITLES2" localSheetId="1">#REF!</definedName>
    <definedName name="TITLES2" localSheetId="9">#REF!</definedName>
    <definedName name="TITLES2" localSheetId="11">#REF!</definedName>
    <definedName name="TITLES2" localSheetId="8">#REF!</definedName>
    <definedName name="TITLES2" localSheetId="20">#REF!</definedName>
    <definedName name="TITLES2" localSheetId="2">#REF!</definedName>
    <definedName name="TITLES2">#REF!</definedName>
    <definedName name="_xlnm.Print_Titles" localSheetId="4">'ABC Canteiro'!$1:$6</definedName>
    <definedName name="_xlnm.Print_Titles" localSheetId="12">'ABC CONSOLIDADA'!$1:$6</definedName>
    <definedName name="_xlnm.Print_Titles" localSheetId="6">'ABC Prédio'!$1:$6</definedName>
    <definedName name="_xlnm.Print_Titles" localSheetId="1">'ABC Reservatório'!$1:$6</definedName>
    <definedName name="_xlnm.Print_Titles" localSheetId="9">'ABC Urbanização'!$1:$6</definedName>
    <definedName name="_xlnm.Print_Titles" localSheetId="0">'Capa e Sumário'!$1:$6</definedName>
    <definedName name="_xlnm.Print_Titles" localSheetId="10">Composições!$1:$6</definedName>
    <definedName name="_xlnm.Print_Titles" localSheetId="13">Cotações!$1:$10</definedName>
    <definedName name="_xlnm.Print_Titles" localSheetId="3">'Orç - Canteiro e Adm'!$1:$6</definedName>
    <definedName name="_xlnm.Print_Titles" localSheetId="5">'Orç - Prédio'!$1:$6</definedName>
    <definedName name="_xlnm.Print_Titles" localSheetId="7">'Orç - Reservatório'!$1:$6</definedName>
    <definedName name="_xlnm.Print_Titles" localSheetId="8">'Orç - Urbanização'!$1:$6</definedName>
    <definedName name="_xlnm.Print_Titles" localSheetId="18">QuantElétrica!$1:$1</definedName>
    <definedName name="_xlnm.Print_Titles" localSheetId="2">Resumo!$1:$6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155" i="33" l="1"/>
  <c r="Z153" i="33"/>
  <c r="Z155" i="33" s="1"/>
  <c r="Y153" i="33"/>
  <c r="Y155" i="33" s="1"/>
  <c r="X153" i="33"/>
  <c r="X155" i="33" s="1"/>
  <c r="W153" i="33"/>
  <c r="W155" i="33" s="1"/>
  <c r="V153" i="33"/>
  <c r="V155" i="33" s="1"/>
  <c r="T153" i="33"/>
  <c r="T155" i="33" s="1"/>
  <c r="S153" i="33"/>
  <c r="R153" i="33"/>
  <c r="R155" i="33" s="1"/>
  <c r="Q153" i="33"/>
  <c r="Q155" i="33" s="1"/>
  <c r="P153" i="33"/>
  <c r="P155" i="33" s="1"/>
  <c r="O153" i="33"/>
  <c r="O155" i="33" s="1"/>
  <c r="N153" i="33"/>
  <c r="N155" i="33" s="1"/>
  <c r="M153" i="33"/>
  <c r="M155" i="33" s="1"/>
  <c r="K152" i="33"/>
  <c r="P147" i="33"/>
  <c r="Z145" i="33"/>
  <c r="Y145" i="33"/>
  <c r="X145" i="33"/>
  <c r="X147" i="33" s="1"/>
  <c r="T145" i="33"/>
  <c r="T147" i="33" s="1"/>
  <c r="S145" i="33"/>
  <c r="R145" i="33"/>
  <c r="Q145" i="33"/>
  <c r="Q147" i="33" s="1"/>
  <c r="P145" i="33"/>
  <c r="O145" i="33"/>
  <c r="N145" i="33"/>
  <c r="M145" i="33"/>
  <c r="M147" i="33" s="1"/>
  <c r="Z139" i="33"/>
  <c r="Y139" i="33"/>
  <c r="Y147" i="33" s="1"/>
  <c r="X139" i="33"/>
  <c r="T139" i="33"/>
  <c r="S139" i="33"/>
  <c r="R139" i="33"/>
  <c r="Q139" i="33"/>
  <c r="P139" i="33"/>
  <c r="O139" i="33"/>
  <c r="N139" i="33"/>
  <c r="M139" i="33"/>
  <c r="K138" i="33"/>
  <c r="L137" i="33"/>
  <c r="K137" i="33"/>
  <c r="K136" i="33"/>
  <c r="K135" i="33"/>
  <c r="K134" i="33"/>
  <c r="L133" i="33"/>
  <c r="K133" i="33"/>
  <c r="K132" i="33"/>
  <c r="K131" i="33"/>
  <c r="K130" i="33"/>
  <c r="K129" i="33"/>
  <c r="K128" i="33"/>
  <c r="K126" i="33"/>
  <c r="K124" i="33"/>
  <c r="Z116" i="33"/>
  <c r="Y116" i="33"/>
  <c r="Y118" i="33" s="1"/>
  <c r="X116" i="33"/>
  <c r="S116" i="33"/>
  <c r="R116" i="33"/>
  <c r="Q116" i="33"/>
  <c r="Q118" i="33" s="1"/>
  <c r="P116" i="33"/>
  <c r="O116" i="33"/>
  <c r="N116" i="33"/>
  <c r="M116" i="33"/>
  <c r="M118" i="33" s="1"/>
  <c r="K115" i="33"/>
  <c r="K114" i="33"/>
  <c r="K113" i="33"/>
  <c r="K110" i="33"/>
  <c r="K104" i="33"/>
  <c r="L103" i="33"/>
  <c r="K103" i="33"/>
  <c r="K102" i="33"/>
  <c r="K101" i="33"/>
  <c r="K100" i="33"/>
  <c r="L99" i="33"/>
  <c r="K99" i="33"/>
  <c r="L95" i="33"/>
  <c r="K95" i="33"/>
  <c r="L91" i="33"/>
  <c r="K91" i="33"/>
  <c r="L87" i="33"/>
  <c r="K87" i="33"/>
  <c r="Z84" i="33"/>
  <c r="Y84" i="33"/>
  <c r="X84" i="33"/>
  <c r="X118" i="33" s="1"/>
  <c r="S84" i="33"/>
  <c r="S118" i="33" s="1"/>
  <c r="R84" i="33"/>
  <c r="Q84" i="33"/>
  <c r="P84" i="33"/>
  <c r="P118" i="33" s="1"/>
  <c r="O84" i="33"/>
  <c r="O118" i="33" s="1"/>
  <c r="N84" i="33"/>
  <c r="M84" i="33"/>
  <c r="K77" i="33"/>
  <c r="K76" i="33"/>
  <c r="Z68" i="33"/>
  <c r="Y68" i="33"/>
  <c r="V68" i="33"/>
  <c r="U68" i="33"/>
  <c r="T68" i="33"/>
  <c r="S68" i="33"/>
  <c r="R68" i="33"/>
  <c r="Q68" i="33"/>
  <c r="P68" i="33"/>
  <c r="O68" i="33"/>
  <c r="N68" i="33"/>
  <c r="M68" i="33"/>
  <c r="K67" i="33"/>
  <c r="Z64" i="33"/>
  <c r="Y64" i="33"/>
  <c r="T64" i="33"/>
  <c r="S64" i="33"/>
  <c r="R64" i="33"/>
  <c r="Q64" i="33"/>
  <c r="P64" i="33"/>
  <c r="O64" i="33"/>
  <c r="N64" i="33"/>
  <c r="M64" i="33"/>
  <c r="K63" i="33"/>
  <c r="K62" i="33"/>
  <c r="K61" i="33"/>
  <c r="K57" i="33"/>
  <c r="X48" i="33"/>
  <c r="W48" i="33"/>
  <c r="V48" i="33"/>
  <c r="U48" i="33"/>
  <c r="T48" i="33"/>
  <c r="S48" i="33"/>
  <c r="R48" i="33"/>
  <c r="Q48" i="33"/>
  <c r="P48" i="33"/>
  <c r="O48" i="33"/>
  <c r="N48" i="33"/>
  <c r="M48" i="33"/>
  <c r="K47" i="33"/>
  <c r="K46" i="33"/>
  <c r="K45" i="33"/>
  <c r="X42" i="33"/>
  <c r="W42" i="33"/>
  <c r="V42" i="33"/>
  <c r="U42" i="33"/>
  <c r="T42" i="33"/>
  <c r="S42" i="33"/>
  <c r="R42" i="33"/>
  <c r="Q42" i="33"/>
  <c r="P42" i="33"/>
  <c r="O42" i="33"/>
  <c r="N42" i="33"/>
  <c r="M42" i="33"/>
  <c r="K39" i="33"/>
  <c r="K38" i="33"/>
  <c r="K37" i="33"/>
  <c r="K36" i="33"/>
  <c r="V31" i="33"/>
  <c r="Z29" i="33"/>
  <c r="Z31" i="33" s="1"/>
  <c r="Y29" i="33"/>
  <c r="X29" i="33"/>
  <c r="W29" i="33"/>
  <c r="V29" i="33"/>
  <c r="U29" i="33"/>
  <c r="S29" i="33"/>
  <c r="R29" i="33"/>
  <c r="R31" i="33" s="1"/>
  <c r="Q29" i="33"/>
  <c r="P29" i="33"/>
  <c r="P31" i="33" s="1"/>
  <c r="O29" i="33"/>
  <c r="N29" i="33"/>
  <c r="N31" i="33" s="1"/>
  <c r="M29" i="33"/>
  <c r="Z25" i="33"/>
  <c r="Y25" i="33"/>
  <c r="X25" i="33"/>
  <c r="W25" i="33"/>
  <c r="V25" i="33"/>
  <c r="S25" i="33"/>
  <c r="R25" i="33"/>
  <c r="Q25" i="33"/>
  <c r="Q31" i="33" s="1"/>
  <c r="P25" i="33"/>
  <c r="O25" i="33"/>
  <c r="N25" i="33"/>
  <c r="M25" i="33"/>
  <c r="M31" i="33" s="1"/>
  <c r="Z136" i="29"/>
  <c r="Z134" i="29"/>
  <c r="Y134" i="29"/>
  <c r="Y136" i="29" s="1"/>
  <c r="X134" i="29"/>
  <c r="X136" i="29" s="1"/>
  <c r="W134" i="29"/>
  <c r="W136" i="29" s="1"/>
  <c r="T134" i="29"/>
  <c r="T136" i="29" s="1"/>
  <c r="S134" i="29"/>
  <c r="S136" i="29" s="1"/>
  <c r="R134" i="29"/>
  <c r="R136" i="29" s="1"/>
  <c r="Q134" i="29"/>
  <c r="Q136" i="29" s="1"/>
  <c r="P134" i="29"/>
  <c r="P136" i="29" s="1"/>
  <c r="O134" i="29"/>
  <c r="O136" i="29" s="1"/>
  <c r="N134" i="29"/>
  <c r="N136" i="29" s="1"/>
  <c r="M134" i="29"/>
  <c r="M136" i="29" s="1"/>
  <c r="K133" i="29"/>
  <c r="K132" i="29"/>
  <c r="K131" i="29"/>
  <c r="L130" i="29"/>
  <c r="K130" i="29"/>
  <c r="K129" i="29"/>
  <c r="K128" i="29"/>
  <c r="L127" i="29"/>
  <c r="K127" i="29"/>
  <c r="K126" i="29"/>
  <c r="K125" i="29"/>
  <c r="K124" i="29"/>
  <c r="K123" i="29"/>
  <c r="K122" i="29"/>
  <c r="K121" i="29"/>
  <c r="K120" i="29"/>
  <c r="K119" i="29"/>
  <c r="K118" i="29"/>
  <c r="K117" i="29"/>
  <c r="K116" i="29"/>
  <c r="K115" i="29"/>
  <c r="Z107" i="29"/>
  <c r="Z109" i="29" s="1"/>
  <c r="Y107" i="29"/>
  <c r="Y109" i="29" s="1"/>
  <c r="X107" i="29"/>
  <c r="X109" i="29" s="1"/>
  <c r="W107" i="29"/>
  <c r="W109" i="29" s="1"/>
  <c r="V107" i="29"/>
  <c r="V109" i="29" s="1"/>
  <c r="R107" i="29"/>
  <c r="R109" i="29" s="1"/>
  <c r="Q107" i="29"/>
  <c r="Q109" i="29" s="1"/>
  <c r="P107" i="29"/>
  <c r="P109" i="29" s="1"/>
  <c r="O107" i="29"/>
  <c r="O109" i="29" s="1"/>
  <c r="N107" i="29"/>
  <c r="N109" i="29" s="1"/>
  <c r="M107" i="29"/>
  <c r="M109" i="29" s="1"/>
  <c r="L105" i="29"/>
  <c r="K105" i="29"/>
  <c r="K104" i="29"/>
  <c r="K103" i="29"/>
  <c r="L101" i="29"/>
  <c r="K101" i="29"/>
  <c r="L98" i="29"/>
  <c r="K98" i="29"/>
  <c r="L95" i="29"/>
  <c r="K95" i="29"/>
  <c r="K93" i="29"/>
  <c r="L92" i="29"/>
  <c r="K92" i="29"/>
  <c r="K91" i="29"/>
  <c r="K90" i="29"/>
  <c r="Z82" i="29"/>
  <c r="Y82" i="29"/>
  <c r="X82" i="29"/>
  <c r="W82" i="29"/>
  <c r="V82" i="29"/>
  <c r="U82" i="29"/>
  <c r="T82" i="29"/>
  <c r="S82" i="29"/>
  <c r="P82" i="29"/>
  <c r="O82" i="29"/>
  <c r="N82" i="29"/>
  <c r="M82" i="29"/>
  <c r="K81" i="29"/>
  <c r="K78" i="29"/>
  <c r="L77" i="29"/>
  <c r="K77" i="29"/>
  <c r="K76" i="29"/>
  <c r="L72" i="29"/>
  <c r="K72" i="29"/>
  <c r="K71" i="29"/>
  <c r="K67" i="29"/>
  <c r="Z63" i="29"/>
  <c r="Y63" i="29"/>
  <c r="Y84" i="29" s="1"/>
  <c r="X63" i="29"/>
  <c r="W63" i="29"/>
  <c r="V63" i="29"/>
  <c r="U63" i="29"/>
  <c r="U84" i="29" s="1"/>
  <c r="T63" i="29"/>
  <c r="S63" i="29"/>
  <c r="R63" i="29"/>
  <c r="Q63" i="29"/>
  <c r="M63" i="29"/>
  <c r="M84" i="29" s="1"/>
  <c r="L61" i="29"/>
  <c r="K61" i="29"/>
  <c r="K60" i="29"/>
  <c r="K56" i="29"/>
  <c r="L55" i="29"/>
  <c r="K55" i="29"/>
  <c r="K54" i="29"/>
  <c r="L49" i="29"/>
  <c r="K49" i="29"/>
  <c r="K48" i="29"/>
  <c r="K47" i="29"/>
  <c r="K46" i="29"/>
  <c r="L44" i="29"/>
  <c r="K44" i="29"/>
  <c r="K43" i="29"/>
  <c r="V37" i="29"/>
  <c r="Z35" i="29"/>
  <c r="Y35" i="29"/>
  <c r="X35" i="29"/>
  <c r="W35" i="29"/>
  <c r="V35" i="29"/>
  <c r="U35" i="29"/>
  <c r="T35" i="29"/>
  <c r="S35" i="29"/>
  <c r="R35" i="29"/>
  <c r="Q35" i="29"/>
  <c r="P35" i="29"/>
  <c r="O35" i="29"/>
  <c r="M35" i="29"/>
  <c r="Z31" i="29"/>
  <c r="Z37" i="29" s="1"/>
  <c r="Y31" i="29"/>
  <c r="Y37" i="29" s="1"/>
  <c r="X31" i="29"/>
  <c r="W31" i="29"/>
  <c r="W37" i="29" s="1"/>
  <c r="V31" i="29"/>
  <c r="U31" i="29"/>
  <c r="U37" i="29" s="1"/>
  <c r="T31" i="29"/>
  <c r="S31" i="29"/>
  <c r="S37" i="29" s="1"/>
  <c r="R31" i="29"/>
  <c r="R37" i="29" s="1"/>
  <c r="Q31" i="29"/>
  <c r="Q37" i="29" s="1"/>
  <c r="P31" i="29"/>
  <c r="O31" i="29"/>
  <c r="O37" i="29" s="1"/>
  <c r="M31" i="29"/>
  <c r="M37" i="29" s="1"/>
  <c r="Z747" i="1"/>
  <c r="Z749" i="1" s="1"/>
  <c r="X747" i="1"/>
  <c r="X749" i="1" s="1"/>
  <c r="W747" i="1"/>
  <c r="W749" i="1" s="1"/>
  <c r="V747" i="1"/>
  <c r="V749" i="1" s="1"/>
  <c r="S747" i="1"/>
  <c r="S749" i="1" s="1"/>
  <c r="R747" i="1"/>
  <c r="R749" i="1" s="1"/>
  <c r="Q747" i="1"/>
  <c r="Q749" i="1" s="1"/>
  <c r="P747" i="1"/>
  <c r="P749" i="1" s="1"/>
  <c r="O747" i="1"/>
  <c r="O749" i="1" s="1"/>
  <c r="N747" i="1"/>
  <c r="N749" i="1" s="1"/>
  <c r="M747" i="1"/>
  <c r="M749" i="1" s="1"/>
  <c r="K746" i="1"/>
  <c r="K745" i="1"/>
  <c r="K744" i="1"/>
  <c r="K743" i="1"/>
  <c r="K741" i="1"/>
  <c r="K740" i="1"/>
  <c r="K739" i="1"/>
  <c r="K738" i="1"/>
  <c r="K737" i="1"/>
  <c r="K736" i="1"/>
  <c r="K735" i="1"/>
  <c r="K734" i="1"/>
  <c r="K733" i="1"/>
  <c r="K731" i="1"/>
  <c r="K730" i="1"/>
  <c r="K729" i="1"/>
  <c r="K728" i="1"/>
  <c r="K727" i="1"/>
  <c r="K726" i="1"/>
  <c r="Z718" i="1"/>
  <c r="T718" i="1"/>
  <c r="S718" i="1"/>
  <c r="R718" i="1"/>
  <c r="Q718" i="1"/>
  <c r="P718" i="1"/>
  <c r="O718" i="1"/>
  <c r="N718" i="1"/>
  <c r="M718" i="1"/>
  <c r="K717" i="1"/>
  <c r="L716" i="1"/>
  <c r="K716" i="1"/>
  <c r="K715" i="1"/>
  <c r="K714" i="1"/>
  <c r="K713" i="1"/>
  <c r="K712" i="1"/>
  <c r="K711" i="1"/>
  <c r="K710" i="1"/>
  <c r="K709" i="1"/>
  <c r="K708" i="1"/>
  <c r="K707" i="1"/>
  <c r="K706" i="1"/>
  <c r="K705" i="1"/>
  <c r="K704" i="1"/>
  <c r="K703" i="1"/>
  <c r="K702" i="1"/>
  <c r="K701" i="1"/>
  <c r="K700" i="1"/>
  <c r="K699" i="1"/>
  <c r="K698" i="1"/>
  <c r="K697" i="1"/>
  <c r="K696" i="1"/>
  <c r="K694" i="1"/>
  <c r="K693" i="1"/>
  <c r="K692" i="1"/>
  <c r="K691" i="1"/>
  <c r="K690" i="1"/>
  <c r="K689" i="1"/>
  <c r="K688" i="1"/>
  <c r="K687" i="1"/>
  <c r="K686" i="1"/>
  <c r="K685" i="1"/>
  <c r="K683" i="1"/>
  <c r="K682" i="1"/>
  <c r="K681" i="1"/>
  <c r="K680" i="1"/>
  <c r="K679" i="1"/>
  <c r="K678" i="1"/>
  <c r="K677" i="1"/>
  <c r="K676" i="1"/>
  <c r="K674" i="1"/>
  <c r="K673" i="1"/>
  <c r="K672" i="1"/>
  <c r="K670" i="1"/>
  <c r="K669" i="1"/>
  <c r="K668" i="1"/>
  <c r="K667" i="1"/>
  <c r="K666" i="1"/>
  <c r="K665" i="1"/>
  <c r="K664" i="1"/>
  <c r="K663" i="1"/>
  <c r="K662" i="1"/>
  <c r="K661" i="1"/>
  <c r="K660" i="1"/>
  <c r="L659" i="1"/>
  <c r="K659" i="1"/>
  <c r="K658" i="1"/>
  <c r="K657" i="1"/>
  <c r="K656" i="1"/>
  <c r="K655" i="1"/>
  <c r="X652" i="1"/>
  <c r="W652" i="1"/>
  <c r="V652" i="1"/>
  <c r="U652" i="1"/>
  <c r="T652" i="1"/>
  <c r="S652" i="1"/>
  <c r="R652" i="1"/>
  <c r="Q652" i="1"/>
  <c r="P652" i="1"/>
  <c r="O652" i="1"/>
  <c r="O720" i="1" s="1"/>
  <c r="N652" i="1"/>
  <c r="M652" i="1"/>
  <c r="K651" i="1"/>
  <c r="Z643" i="1"/>
  <c r="Y643" i="1"/>
  <c r="X643" i="1"/>
  <c r="W643" i="1"/>
  <c r="U643" i="1"/>
  <c r="T643" i="1"/>
  <c r="S643" i="1"/>
  <c r="R643" i="1"/>
  <c r="Q643" i="1"/>
  <c r="P643" i="1"/>
  <c r="O643" i="1"/>
  <c r="N643" i="1"/>
  <c r="M643" i="1"/>
  <c r="K642" i="1"/>
  <c r="K641" i="1"/>
  <c r="K640" i="1"/>
  <c r="Z633" i="1"/>
  <c r="V633" i="1"/>
  <c r="U633" i="1"/>
  <c r="T633" i="1"/>
  <c r="S633" i="1"/>
  <c r="R633" i="1"/>
  <c r="Q633" i="1"/>
  <c r="P633" i="1"/>
  <c r="O633" i="1"/>
  <c r="N633" i="1"/>
  <c r="M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Z594" i="1"/>
  <c r="W594" i="1"/>
  <c r="V594" i="1"/>
  <c r="U594" i="1"/>
  <c r="T594" i="1"/>
  <c r="S594" i="1"/>
  <c r="R594" i="1"/>
  <c r="Q594" i="1"/>
  <c r="P594" i="1"/>
  <c r="O594" i="1"/>
  <c r="N594" i="1"/>
  <c r="M594" i="1"/>
  <c r="K593" i="1"/>
  <c r="L592" i="1"/>
  <c r="K592" i="1"/>
  <c r="K591" i="1"/>
  <c r="K590" i="1"/>
  <c r="L589" i="1"/>
  <c r="K589" i="1"/>
  <c r="K588" i="1"/>
  <c r="K587" i="1"/>
  <c r="K586" i="1"/>
  <c r="L585" i="1"/>
  <c r="K585" i="1"/>
  <c r="K584" i="1"/>
  <c r="K582" i="1"/>
  <c r="K581" i="1"/>
  <c r="K580" i="1"/>
  <c r="K579" i="1"/>
  <c r="Z575" i="1"/>
  <c r="Y575" i="1"/>
  <c r="V575" i="1"/>
  <c r="U575" i="1"/>
  <c r="T575" i="1"/>
  <c r="S575" i="1"/>
  <c r="R575" i="1"/>
  <c r="Q575" i="1"/>
  <c r="P575" i="1"/>
  <c r="O575" i="1"/>
  <c r="N575" i="1"/>
  <c r="M575" i="1"/>
  <c r="K565" i="1"/>
  <c r="S561" i="1"/>
  <c r="R561" i="1"/>
  <c r="Q561" i="1"/>
  <c r="P561" i="1"/>
  <c r="O561" i="1"/>
  <c r="N561" i="1"/>
  <c r="M561" i="1"/>
  <c r="K560" i="1"/>
  <c r="K559" i="1"/>
  <c r="K558" i="1"/>
  <c r="K557" i="1"/>
  <c r="K556" i="1"/>
  <c r="K555" i="1"/>
  <c r="K554" i="1"/>
  <c r="K553" i="1"/>
  <c r="K552" i="1"/>
  <c r="L551" i="1"/>
  <c r="K551" i="1"/>
  <c r="K550" i="1"/>
  <c r="K549" i="1"/>
  <c r="L548" i="1"/>
  <c r="K548" i="1"/>
  <c r="K547" i="1"/>
  <c r="K546" i="1"/>
  <c r="K545" i="1"/>
  <c r="K544" i="1"/>
  <c r="K543" i="1"/>
  <c r="K541" i="1"/>
  <c r="K540" i="1"/>
  <c r="K539" i="1"/>
  <c r="K538" i="1"/>
  <c r="K537" i="1"/>
  <c r="K536" i="1"/>
  <c r="K535" i="1"/>
  <c r="K534" i="1"/>
  <c r="K533" i="1"/>
  <c r="K532" i="1"/>
  <c r="K531" i="1"/>
  <c r="K530" i="1"/>
  <c r="K529" i="1"/>
  <c r="K528" i="1"/>
  <c r="K527" i="1"/>
  <c r="L526"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4" i="1"/>
  <c r="K411" i="1"/>
  <c r="K409" i="1"/>
  <c r="K406" i="1"/>
  <c r="Z398" i="1"/>
  <c r="Y398" i="1"/>
  <c r="X398" i="1"/>
  <c r="W398" i="1"/>
  <c r="R398" i="1"/>
  <c r="Q398" i="1"/>
  <c r="O398" i="1"/>
  <c r="N398" i="1"/>
  <c r="M398" i="1"/>
  <c r="L390" i="1"/>
  <c r="K390" i="1"/>
  <c r="K378" i="1"/>
  <c r="Z336" i="1"/>
  <c r="Y336" i="1"/>
  <c r="X336" i="1"/>
  <c r="X400" i="1" s="1"/>
  <c r="T336" i="1"/>
  <c r="S336" i="1"/>
  <c r="R336" i="1"/>
  <c r="Q336" i="1"/>
  <c r="Q400" i="1" s="1"/>
  <c r="O336" i="1"/>
  <c r="N336" i="1"/>
  <c r="M336" i="1"/>
  <c r="M400" i="1" s="1"/>
  <c r="K335" i="1"/>
  <c r="K333" i="1"/>
  <c r="K332" i="1"/>
  <c r="L331" i="1"/>
  <c r="K331" i="1"/>
  <c r="K330" i="1"/>
  <c r="L329" i="1"/>
  <c r="K329" i="1"/>
  <c r="K328" i="1"/>
  <c r="K327" i="1"/>
  <c r="K326" i="1"/>
  <c r="K325" i="1"/>
  <c r="K324" i="1"/>
  <c r="K323" i="1"/>
  <c r="L321" i="1"/>
  <c r="K321" i="1"/>
  <c r="K320" i="1"/>
  <c r="Z316" i="1"/>
  <c r="Y316" i="1"/>
  <c r="X316" i="1"/>
  <c r="R316" i="1"/>
  <c r="Q316" i="1"/>
  <c r="O316" i="1"/>
  <c r="N316" i="1"/>
  <c r="M316" i="1"/>
  <c r="K315" i="1"/>
  <c r="K314" i="1"/>
  <c r="K313" i="1"/>
  <c r="K312" i="1"/>
  <c r="K311" i="1"/>
  <c r="L310" i="1"/>
  <c r="K310" i="1"/>
  <c r="K309" i="1"/>
  <c r="K308" i="1"/>
  <c r="K307" i="1"/>
  <c r="K306" i="1"/>
  <c r="K305" i="1"/>
  <c r="K304" i="1"/>
  <c r="K303" i="1"/>
  <c r="K302" i="1"/>
  <c r="K301" i="1"/>
  <c r="K300" i="1"/>
  <c r="K298" i="1"/>
  <c r="K297" i="1"/>
  <c r="K296" i="1"/>
  <c r="K295" i="1"/>
  <c r="K294" i="1"/>
  <c r="K293" i="1"/>
  <c r="K292" i="1"/>
  <c r="K291" i="1"/>
  <c r="K290" i="1"/>
  <c r="K289" i="1"/>
  <c r="K288" i="1"/>
  <c r="K287" i="1"/>
  <c r="K286" i="1"/>
  <c r="K285" i="1"/>
  <c r="K284" i="1"/>
  <c r="L283"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Y220" i="1"/>
  <c r="X220" i="1"/>
  <c r="W220" i="1"/>
  <c r="V220" i="1"/>
  <c r="U220" i="1"/>
  <c r="T220" i="1"/>
  <c r="S220" i="1"/>
  <c r="R220" i="1"/>
  <c r="Q220" i="1"/>
  <c r="P220" i="1"/>
  <c r="O220" i="1"/>
  <c r="N220" i="1"/>
  <c r="M220" i="1"/>
  <c r="Q214" i="1"/>
  <c r="P214" i="1"/>
  <c r="O214" i="1"/>
  <c r="O222" i="1" s="1"/>
  <c r="N214" i="1"/>
  <c r="N222" i="1" s="1"/>
  <c r="M214" i="1"/>
  <c r="K213" i="1"/>
  <c r="K212" i="1"/>
  <c r="K211" i="1"/>
  <c r="K210" i="1"/>
  <c r="K209" i="1"/>
  <c r="K208" i="1"/>
  <c r="K207" i="1"/>
  <c r="K206" i="1"/>
  <c r="K205" i="1"/>
  <c r="L204" i="1"/>
  <c r="K204" i="1"/>
  <c r="K199" i="1"/>
  <c r="K198" i="1"/>
  <c r="L191" i="1"/>
  <c r="K191" i="1"/>
  <c r="L185" i="1"/>
  <c r="K185" i="1"/>
  <c r="K178" i="1"/>
  <c r="L177" i="1"/>
  <c r="K177" i="1"/>
  <c r="L167" i="1"/>
  <c r="K167" i="1"/>
  <c r="K166" i="1"/>
  <c r="K165" i="1"/>
  <c r="K164" i="1"/>
  <c r="L163" i="1"/>
  <c r="K163" i="1"/>
  <c r="K156" i="1"/>
  <c r="K155" i="1"/>
  <c r="K145" i="1"/>
  <c r="K141" i="1"/>
  <c r="K140" i="1"/>
  <c r="K139" i="1"/>
  <c r="K137" i="1"/>
  <c r="K136" i="1"/>
  <c r="K135" i="1"/>
  <c r="K134" i="1"/>
  <c r="K133" i="1"/>
  <c r="K132" i="1"/>
  <c r="K131" i="1"/>
  <c r="K130" i="1"/>
  <c r="K129" i="1"/>
  <c r="K128" i="1"/>
  <c r="K127" i="1"/>
  <c r="K126" i="1"/>
  <c r="K125" i="1"/>
  <c r="K124" i="1"/>
  <c r="K123" i="1"/>
  <c r="K122" i="1"/>
  <c r="K121" i="1"/>
  <c r="K120" i="1"/>
  <c r="K119" i="1"/>
  <c r="K118" i="1"/>
  <c r="K117" i="1"/>
  <c r="K115" i="1"/>
  <c r="K114" i="1"/>
  <c r="K113" i="1"/>
  <c r="K112" i="1"/>
  <c r="K111" i="1"/>
  <c r="K110" i="1"/>
  <c r="K109" i="1"/>
  <c r="K108" i="1"/>
  <c r="K107" i="1"/>
  <c r="K106" i="1"/>
  <c r="K105" i="1"/>
  <c r="Z97" i="1"/>
  <c r="Z99" i="1" s="1"/>
  <c r="Y97" i="1"/>
  <c r="X97" i="1"/>
  <c r="V97" i="1"/>
  <c r="V99" i="1" s="1"/>
  <c r="U97" i="1"/>
  <c r="R97" i="1"/>
  <c r="Q97" i="1"/>
  <c r="P97" i="1"/>
  <c r="O97" i="1"/>
  <c r="N97" i="1"/>
  <c r="M97" i="1"/>
  <c r="K96" i="1"/>
  <c r="K95" i="1"/>
  <c r="K92" i="1"/>
  <c r="Z86" i="1"/>
  <c r="Y86" i="1"/>
  <c r="X86" i="1"/>
  <c r="W86" i="1"/>
  <c r="V86" i="1"/>
  <c r="U86" i="1"/>
  <c r="S86" i="1"/>
  <c r="P86" i="1"/>
  <c r="O86" i="1"/>
  <c r="N86" i="1"/>
  <c r="M86" i="1"/>
  <c r="Z70" i="1"/>
  <c r="Y70" i="1"/>
  <c r="X70" i="1"/>
  <c r="W70" i="1"/>
  <c r="V70" i="1"/>
  <c r="U70" i="1"/>
  <c r="T70" i="1"/>
  <c r="S70" i="1"/>
  <c r="R70" i="1"/>
  <c r="Q70" i="1"/>
  <c r="M70" i="1"/>
  <c r="K67" i="1"/>
  <c r="K49" i="1"/>
  <c r="K48" i="1"/>
  <c r="K47" i="1"/>
  <c r="K43" i="1"/>
  <c r="Z37" i="1"/>
  <c r="R37" i="1"/>
  <c r="Z35" i="1"/>
  <c r="Y35" i="1"/>
  <c r="Y37" i="1" s="1"/>
  <c r="X35" i="1"/>
  <c r="X37" i="1" s="1"/>
  <c r="W35" i="1"/>
  <c r="W37" i="1" s="1"/>
  <c r="V35" i="1"/>
  <c r="V37" i="1" s="1"/>
  <c r="U35" i="1"/>
  <c r="U37" i="1" s="1"/>
  <c r="T35" i="1"/>
  <c r="T37" i="1" s="1"/>
  <c r="S35" i="1"/>
  <c r="S37" i="1" s="1"/>
  <c r="R35" i="1"/>
  <c r="Q35" i="1"/>
  <c r="Q37" i="1" s="1"/>
  <c r="P35" i="1"/>
  <c r="P37" i="1" s="1"/>
  <c r="O35" i="1"/>
  <c r="O37" i="1" s="1"/>
  <c r="M35" i="1"/>
  <c r="M37" i="1" s="1"/>
  <c r="Z29" i="1"/>
  <c r="S29" i="1"/>
  <c r="R29" i="1"/>
  <c r="Z27" i="1"/>
  <c r="Y27" i="1"/>
  <c r="Y29" i="1" s="1"/>
  <c r="X27" i="1"/>
  <c r="W27" i="1"/>
  <c r="W29" i="1" s="1"/>
  <c r="V27" i="1"/>
  <c r="V29" i="1" s="1"/>
  <c r="U27" i="1"/>
  <c r="U29" i="1" s="1"/>
  <c r="T27" i="1"/>
  <c r="S27" i="1"/>
  <c r="R27" i="1"/>
  <c r="Q27" i="1"/>
  <c r="Q29" i="1" s="1"/>
  <c r="P27" i="1"/>
  <c r="O27" i="1"/>
  <c r="O29" i="1" s="1"/>
  <c r="M27" i="1"/>
  <c r="Z22" i="1"/>
  <c r="Y22" i="1"/>
  <c r="X22" i="1"/>
  <c r="W22" i="1"/>
  <c r="V22" i="1"/>
  <c r="U22" i="1"/>
  <c r="T22" i="1"/>
  <c r="S22" i="1"/>
  <c r="R22" i="1"/>
  <c r="Q22" i="1"/>
  <c r="P22" i="1"/>
  <c r="O22" i="1"/>
  <c r="N22" i="1"/>
  <c r="R103" i="25"/>
  <c r="Q103" i="25"/>
  <c r="P103" i="25"/>
  <c r="O103" i="25"/>
  <c r="O105" i="25" s="1"/>
  <c r="M103" i="25"/>
  <c r="K102" i="25"/>
  <c r="K101" i="25"/>
  <c r="K100" i="25"/>
  <c r="Z97" i="25"/>
  <c r="Y97" i="25"/>
  <c r="X97" i="25"/>
  <c r="W97" i="25"/>
  <c r="V97" i="25"/>
  <c r="U97" i="25"/>
  <c r="T97" i="25"/>
  <c r="S97" i="25"/>
  <c r="R97" i="25"/>
  <c r="Q97" i="25"/>
  <c r="P97" i="25"/>
  <c r="O97" i="25"/>
  <c r="N97" i="25"/>
  <c r="M97" i="25"/>
  <c r="K96" i="25"/>
  <c r="K95" i="25"/>
  <c r="K94" i="25"/>
  <c r="K93" i="25"/>
  <c r="K92" i="25"/>
  <c r="K91" i="25"/>
  <c r="Y84" i="25"/>
  <c r="X84" i="25"/>
  <c r="W84" i="25"/>
  <c r="V84" i="25"/>
  <c r="U84" i="25"/>
  <c r="T84" i="25"/>
  <c r="S84" i="25"/>
  <c r="R84" i="25"/>
  <c r="Q84" i="25"/>
  <c r="P84" i="25"/>
  <c r="O84" i="25"/>
  <c r="N84" i="25"/>
  <c r="M84" i="25"/>
  <c r="K83" i="25"/>
  <c r="K82" i="25"/>
  <c r="K81" i="25"/>
  <c r="K80" i="25"/>
  <c r="K79" i="25"/>
  <c r="K78" i="25"/>
  <c r="K77" i="25"/>
  <c r="K76" i="25"/>
  <c r="K75" i="25"/>
  <c r="K74" i="25"/>
  <c r="K73" i="25"/>
  <c r="K72" i="25"/>
  <c r="K71" i="25"/>
  <c r="Y68" i="25"/>
  <c r="X68" i="25"/>
  <c r="W68" i="25"/>
  <c r="V68" i="25"/>
  <c r="U68" i="25"/>
  <c r="T68" i="25"/>
  <c r="S68" i="25"/>
  <c r="R68" i="25"/>
  <c r="Q68" i="25"/>
  <c r="P68" i="25"/>
  <c r="O68" i="25"/>
  <c r="N68" i="25"/>
  <c r="M68" i="25"/>
  <c r="K67" i="25"/>
  <c r="Y64" i="25"/>
  <c r="X64" i="25"/>
  <c r="W64" i="25"/>
  <c r="V64" i="25"/>
  <c r="U64" i="25"/>
  <c r="T64" i="25"/>
  <c r="S64" i="25"/>
  <c r="R64" i="25"/>
  <c r="Q64" i="25"/>
  <c r="P64" i="25"/>
  <c r="O64" i="25"/>
  <c r="N64" i="25"/>
  <c r="M64" i="25"/>
  <c r="K63" i="25"/>
  <c r="Q58" i="25"/>
  <c r="Z56" i="25"/>
  <c r="Z58" i="25" s="1"/>
  <c r="Y56" i="25"/>
  <c r="Y58" i="25" s="1"/>
  <c r="X56" i="25"/>
  <c r="W56" i="25"/>
  <c r="W58" i="25" s="1"/>
  <c r="V56" i="25"/>
  <c r="V58" i="25" s="1"/>
  <c r="U56" i="25"/>
  <c r="U58" i="25" s="1"/>
  <c r="T56" i="25"/>
  <c r="S56" i="25"/>
  <c r="S58" i="25" s="1"/>
  <c r="R56" i="25"/>
  <c r="R58" i="25" s="1"/>
  <c r="Q56" i="25"/>
  <c r="P56" i="25"/>
  <c r="O56" i="25"/>
  <c r="O58" i="25" s="1"/>
  <c r="K55" i="25"/>
  <c r="K54" i="25"/>
  <c r="K53" i="25"/>
  <c r="K52" i="25"/>
  <c r="K50" i="25"/>
  <c r="K49" i="25"/>
  <c r="K48" i="25"/>
  <c r="Z44" i="25"/>
  <c r="Y44" i="25"/>
  <c r="X44" i="25"/>
  <c r="W44" i="25"/>
  <c r="V44" i="25"/>
  <c r="U44" i="25"/>
  <c r="T44" i="25"/>
  <c r="S44" i="25"/>
  <c r="R44" i="25"/>
  <c r="Q44" i="25"/>
  <c r="P44" i="25"/>
  <c r="O44" i="25"/>
  <c r="N44" i="25"/>
  <c r="K43" i="25"/>
  <c r="K42" i="25"/>
  <c r="K41" i="25"/>
  <c r="K39" i="25"/>
  <c r="K38" i="25"/>
  <c r="K37" i="25"/>
  <c r="K36" i="25"/>
  <c r="K34" i="25"/>
  <c r="K33" i="25"/>
  <c r="K32" i="25"/>
  <c r="K31" i="25"/>
  <c r="K30" i="25"/>
  <c r="V24" i="25"/>
  <c r="R24" i="25"/>
  <c r="Z22" i="25"/>
  <c r="Z24" i="25" s="1"/>
  <c r="Y22" i="25"/>
  <c r="Y24" i="25" s="1"/>
  <c r="X22" i="25"/>
  <c r="X24" i="25" s="1"/>
  <c r="W22" i="25"/>
  <c r="W24" i="25" s="1"/>
  <c r="V22" i="25"/>
  <c r="U22" i="25"/>
  <c r="U24" i="25" s="1"/>
  <c r="T22" i="25"/>
  <c r="T24" i="25" s="1"/>
  <c r="S22" i="25"/>
  <c r="S24" i="25" s="1"/>
  <c r="R22" i="25"/>
  <c r="Q22" i="25"/>
  <c r="Q24" i="25" s="1"/>
  <c r="P22" i="25"/>
  <c r="P24" i="25" s="1"/>
  <c r="O22" i="25"/>
  <c r="O24" i="25" s="1"/>
  <c r="N22" i="25"/>
  <c r="N24" i="25" s="1"/>
  <c r="M22" i="25"/>
  <c r="M24" i="25" s="1"/>
  <c r="K21" i="25"/>
  <c r="P58" i="25" l="1"/>
  <c r="T58" i="25"/>
  <c r="X58" i="25"/>
  <c r="O86" i="25"/>
  <c r="S86" i="25"/>
  <c r="W86" i="25"/>
  <c r="M105" i="25"/>
  <c r="R105" i="25"/>
  <c r="Q105" i="25"/>
  <c r="P86" i="25"/>
  <c r="T86" i="25"/>
  <c r="X86" i="25"/>
  <c r="N86" i="25"/>
  <c r="R86" i="25"/>
  <c r="V86" i="25"/>
  <c r="M86" i="25"/>
  <c r="Q86" i="25"/>
  <c r="U86" i="25"/>
  <c r="Y86" i="25"/>
  <c r="P105" i="25"/>
  <c r="P29" i="1"/>
  <c r="T29" i="1"/>
  <c r="X29" i="1"/>
  <c r="P222" i="1"/>
  <c r="M222" i="1"/>
  <c r="Q222" i="1"/>
  <c r="M99" i="1"/>
  <c r="R400" i="1"/>
  <c r="Z400" i="1"/>
  <c r="Y400" i="1"/>
  <c r="N400" i="1"/>
  <c r="M645" i="1"/>
  <c r="Q645" i="1"/>
  <c r="O645" i="1"/>
  <c r="S645" i="1"/>
  <c r="N720" i="1"/>
  <c r="R720" i="1"/>
  <c r="S720" i="1"/>
  <c r="P37" i="29"/>
  <c r="T37" i="29"/>
  <c r="X37" i="29"/>
  <c r="V84" i="29"/>
  <c r="Z84" i="29"/>
  <c r="S84" i="29"/>
  <c r="W84" i="29"/>
  <c r="P720" i="1"/>
  <c r="T720" i="1"/>
  <c r="T84" i="29"/>
  <c r="X84" i="29"/>
  <c r="Y31" i="33"/>
  <c r="W31" i="33"/>
  <c r="O31" i="33"/>
  <c r="S31" i="33"/>
  <c r="X31" i="33"/>
  <c r="N118" i="33"/>
  <c r="R118" i="33"/>
  <c r="Z118" i="33"/>
  <c r="N147" i="33"/>
  <c r="R147" i="33"/>
  <c r="O70" i="33"/>
  <c r="S70" i="33"/>
  <c r="M70" i="33"/>
  <c r="Q70" i="33"/>
  <c r="O147" i="33"/>
  <c r="S147" i="33"/>
  <c r="Z147" i="33"/>
  <c r="P70" i="33"/>
  <c r="T70" i="33"/>
  <c r="N70" i="33"/>
  <c r="R70" i="33"/>
  <c r="X99" i="1"/>
  <c r="O400" i="1"/>
  <c r="M720" i="1"/>
  <c r="Q720" i="1"/>
  <c r="U99" i="1"/>
  <c r="Y99" i="1"/>
  <c r="P645" i="1"/>
  <c r="N645" i="1"/>
  <c r="R645" i="1"/>
  <c r="C56" i="29" l="1"/>
  <c r="H4755" i="8" l="1"/>
  <c r="H4744" i="8"/>
  <c r="H4736" i="8"/>
  <c r="H4725" i="8"/>
  <c r="H4724" i="8"/>
  <c r="H4723" i="8"/>
  <c r="H4712" i="8"/>
  <c r="H4701" i="8"/>
  <c r="H4700" i="8"/>
  <c r="H4699" i="8"/>
  <c r="H4688" i="8"/>
  <c r="H4687" i="8"/>
  <c r="H4676" i="8"/>
  <c r="H4675" i="8"/>
  <c r="H4674" i="8"/>
  <c r="H4673" i="8"/>
  <c r="H4662" i="8"/>
  <c r="H4661" i="8"/>
  <c r="H4660" i="8"/>
  <c r="H4649" i="8"/>
  <c r="H4638" i="8"/>
  <c r="H4637" i="8"/>
  <c r="H4636" i="8"/>
  <c r="H4625" i="8"/>
  <c r="H4624" i="8"/>
  <c r="H4623" i="8"/>
  <c r="H4612" i="8"/>
  <c r="H4611" i="8"/>
  <c r="H4610" i="8"/>
  <c r="H4599" i="8"/>
  <c r="H4598" i="8"/>
  <c r="H4597" i="8"/>
  <c r="H4586" i="8"/>
  <c r="H4585" i="8"/>
  <c r="H4584" i="8"/>
  <c r="H4573" i="8"/>
  <c r="H4572" i="8"/>
  <c r="H4571" i="8"/>
  <c r="H4560" i="8"/>
  <c r="H4559" i="8"/>
  <c r="H4558" i="8"/>
  <c r="H4547" i="8"/>
  <c r="H4546" i="8"/>
  <c r="H4545" i="8"/>
  <c r="H4534" i="8"/>
  <c r="H4533" i="8"/>
  <c r="H4532" i="8"/>
  <c r="H4521" i="8"/>
  <c r="H4520" i="8"/>
  <c r="H4519" i="8"/>
  <c r="H4508" i="8"/>
  <c r="H4507" i="8"/>
  <c r="H4506" i="8"/>
  <c r="H4495" i="8"/>
  <c r="H4494" i="8"/>
  <c r="H4493" i="8"/>
  <c r="H4482" i="8"/>
  <c r="H4481" i="8"/>
  <c r="H4480" i="8"/>
  <c r="H4469" i="8"/>
  <c r="H4468" i="8"/>
  <c r="H4467" i="8"/>
  <c r="H4456" i="8"/>
  <c r="H4455" i="8"/>
  <c r="H4454" i="8"/>
  <c r="H4443" i="8"/>
  <c r="H4442" i="8"/>
  <c r="H4441" i="8"/>
  <c r="H4430" i="8"/>
  <c r="H4429" i="8"/>
  <c r="H4428" i="8"/>
  <c r="H4417" i="8"/>
  <c r="H4416" i="8"/>
  <c r="H4415" i="8"/>
  <c r="H4404" i="8"/>
  <c r="H4403" i="8"/>
  <c r="H4402" i="8"/>
  <c r="H4391" i="8"/>
  <c r="H4390" i="8"/>
  <c r="H4389" i="8"/>
  <c r="H4378" i="8"/>
  <c r="H4377" i="8"/>
  <c r="H4376" i="8"/>
  <c r="H4365" i="8"/>
  <c r="H4364" i="8"/>
  <c r="H4363" i="8"/>
  <c r="H4352" i="8"/>
  <c r="H4341" i="8"/>
  <c r="H4340" i="8"/>
  <c r="H4339" i="8"/>
  <c r="H4328" i="8"/>
  <c r="H4327" i="8"/>
  <c r="H4326" i="8"/>
  <c r="H4315" i="8"/>
  <c r="H4314" i="8"/>
  <c r="H4313" i="8"/>
  <c r="H4302" i="8"/>
  <c r="H4291" i="8"/>
  <c r="H4280" i="8"/>
  <c r="H4269" i="8"/>
  <c r="H4258" i="8"/>
  <c r="H4247" i="8"/>
  <c r="H4246" i="8"/>
  <c r="H4245" i="8"/>
  <c r="H4234" i="8"/>
  <c r="H4233" i="8"/>
  <c r="H4232" i="8"/>
  <c r="H4221" i="8"/>
  <c r="H4220" i="8"/>
  <c r="H4219" i="8"/>
  <c r="H4208" i="8"/>
  <c r="H4207" i="8"/>
  <c r="H4206" i="8"/>
  <c r="H4195" i="8"/>
  <c r="H4194" i="8"/>
  <c r="H4193" i="8"/>
  <c r="H4182" i="8"/>
  <c r="H4181" i="8"/>
  <c r="H4180" i="8"/>
  <c r="H4169" i="8"/>
  <c r="H4158" i="8"/>
  <c r="H4157" i="8"/>
  <c r="H4156" i="8"/>
  <c r="H4155" i="8"/>
  <c r="H4154" i="8"/>
  <c r="H4153" i="8"/>
  <c r="H4152" i="8"/>
  <c r="H4141" i="8"/>
  <c r="H4130" i="8"/>
  <c r="H4119" i="8"/>
  <c r="H4118" i="8"/>
  <c r="H4117" i="8"/>
  <c r="H4106" i="8"/>
  <c r="H4105" i="8"/>
  <c r="H4104" i="8"/>
  <c r="H4093" i="8"/>
  <c r="H4092" i="8"/>
  <c r="H4091" i="8"/>
  <c r="H4080" i="8"/>
  <c r="H4079" i="8"/>
  <c r="H4078" i="8"/>
  <c r="H4067" i="8"/>
  <c r="H4066" i="8"/>
  <c r="H4065" i="8"/>
  <c r="H4054" i="8"/>
  <c r="H4053" i="8"/>
  <c r="H4052" i="8"/>
  <c r="H4041" i="8"/>
  <c r="H4040" i="8"/>
  <c r="H4039" i="8"/>
  <c r="H4028" i="8"/>
  <c r="H4027" i="8"/>
  <c r="H4026" i="8"/>
  <c r="H4015" i="8"/>
  <c r="H4014" i="8"/>
  <c r="H4013" i="8"/>
  <c r="H4002" i="8"/>
  <c r="H4001" i="8"/>
  <c r="H4000" i="8"/>
  <c r="H3989" i="8"/>
  <c r="H3988" i="8"/>
  <c r="H3987" i="8"/>
  <c r="H3986" i="8"/>
  <c r="H3975" i="8"/>
  <c r="H3974" i="8"/>
  <c r="H3973" i="8"/>
  <c r="H3972" i="8"/>
  <c r="H3961" i="8"/>
  <c r="H3960" i="8"/>
  <c r="H3959" i="8"/>
  <c r="H3948" i="8"/>
  <c r="H3947" i="8"/>
  <c r="H3946" i="8"/>
  <c r="H3935" i="8"/>
  <c r="H3934" i="8"/>
  <c r="H3933" i="8"/>
  <c r="H3922" i="8"/>
  <c r="H3921" i="8"/>
  <c r="H3920" i="8"/>
  <c r="H3909" i="8"/>
  <c r="H3908" i="8"/>
  <c r="H3897" i="8"/>
  <c r="H3896" i="8"/>
  <c r="H3895" i="8"/>
  <c r="H3884" i="8"/>
  <c r="H3883" i="8"/>
  <c r="H3882" i="8"/>
  <c r="H3871" i="8"/>
  <c r="H3870" i="8"/>
  <c r="H3859" i="8"/>
  <c r="H3848" i="8"/>
  <c r="H3847" i="8"/>
  <c r="H3846" i="8"/>
  <c r="H3835" i="8"/>
  <c r="H3834" i="8"/>
  <c r="H3833" i="8"/>
  <c r="H3832" i="8"/>
  <c r="H3821" i="8"/>
  <c r="H3820" i="8"/>
  <c r="H3809" i="8"/>
  <c r="H3808" i="8"/>
  <c r="H3797" i="8"/>
  <c r="H3796" i="8"/>
  <c r="H3795" i="8"/>
  <c r="H3784" i="8"/>
  <c r="H3783" i="8"/>
  <c r="H3772" i="8"/>
  <c r="H3771" i="8"/>
  <c r="H3760" i="8"/>
  <c r="H3759" i="8"/>
  <c r="H3758" i="8"/>
  <c r="H3747" i="8"/>
  <c r="H3746" i="8"/>
  <c r="H3745" i="8"/>
  <c r="H3734" i="8"/>
  <c r="H3733" i="8"/>
  <c r="H3732" i="8"/>
  <c r="H3721" i="8"/>
  <c r="H3720" i="8"/>
  <c r="H3719" i="8"/>
  <c r="H3708" i="8"/>
  <c r="H3707" i="8"/>
  <c r="H3706" i="8"/>
  <c r="H3695" i="8"/>
  <c r="H3694" i="8"/>
  <c r="H3683" i="8"/>
  <c r="H3672" i="8"/>
  <c r="H3671" i="8"/>
  <c r="H3670" i="8"/>
  <c r="H3659" i="8"/>
  <c r="H3658" i="8"/>
  <c r="H3657" i="8"/>
  <c r="H3656" i="8"/>
  <c r="H3655" i="8"/>
  <c r="H3654" i="8"/>
  <c r="H3643" i="8"/>
  <c r="H3644" i="8" s="1"/>
  <c r="H3642" i="8"/>
  <c r="H3631" i="8"/>
  <c r="H3630" i="8"/>
  <c r="H3629" i="8"/>
  <c r="H3618" i="8"/>
  <c r="H3617" i="8"/>
  <c r="H3616" i="8"/>
  <c r="H3605" i="8"/>
  <c r="H3604" i="8"/>
  <c r="H3593" i="8"/>
  <c r="H3592" i="8"/>
  <c r="H3591" i="8"/>
  <c r="H3580" i="8"/>
  <c r="H3579" i="8"/>
  <c r="H3578" i="8"/>
  <c r="H3577" i="8"/>
  <c r="H3576" i="8"/>
  <c r="H3565" i="8"/>
  <c r="H3564" i="8"/>
  <c r="H3563" i="8"/>
  <c r="H3562" i="8"/>
  <c r="H3551" i="8"/>
  <c r="H3550" i="8"/>
  <c r="H3549" i="8"/>
  <c r="H3548" i="8"/>
  <c r="H3547" i="8"/>
  <c r="H3546" i="8"/>
  <c r="H3535" i="8"/>
  <c r="H3534" i="8"/>
  <c r="H3533" i="8"/>
  <c r="H3532" i="8"/>
  <c r="H3531" i="8"/>
  <c r="H3530" i="8"/>
  <c r="H3519" i="8"/>
  <c r="H3518" i="8"/>
  <c r="H3517" i="8"/>
  <c r="H3516" i="8"/>
  <c r="H3515" i="8"/>
  <c r="H3514" i="8"/>
  <c r="H3503" i="8"/>
  <c r="H3502" i="8"/>
  <c r="H3501" i="8"/>
  <c r="H3500" i="8"/>
  <c r="H3499" i="8"/>
  <c r="H3498" i="8"/>
  <c r="H3487" i="8"/>
  <c r="H3486" i="8"/>
  <c r="H3485" i="8"/>
  <c r="H3484" i="8"/>
  <c r="H3483" i="8"/>
  <c r="H3472" i="8"/>
  <c r="H3471" i="8"/>
  <c r="H3470" i="8"/>
  <c r="H3469" i="8"/>
  <c r="H3458" i="8"/>
  <c r="H3457" i="8"/>
  <c r="H3456" i="8"/>
  <c r="H3455" i="8"/>
  <c r="H3454" i="8"/>
  <c r="H3453" i="8"/>
  <c r="H3442" i="8"/>
  <c r="H3441" i="8"/>
  <c r="H3440" i="8"/>
  <c r="H3439" i="8"/>
  <c r="H3438" i="8"/>
  <c r="H3437" i="8"/>
  <c r="H3426" i="8"/>
  <c r="H3425" i="8"/>
  <c r="H3424" i="8"/>
  <c r="H3423" i="8"/>
  <c r="H3422" i="8"/>
  <c r="H3421" i="8"/>
  <c r="H3410" i="8"/>
  <c r="H3409" i="8"/>
  <c r="H3408" i="8"/>
  <c r="H3407" i="8"/>
  <c r="H3406" i="8"/>
  <c r="H3405" i="8"/>
  <c r="H3394" i="8"/>
  <c r="H3393" i="8"/>
  <c r="H3392" i="8"/>
  <c r="H3391" i="8"/>
  <c r="H3390" i="8"/>
  <c r="H3389" i="8"/>
  <c r="H3378" i="8"/>
  <c r="H3377" i="8"/>
  <c r="H3376" i="8"/>
  <c r="H3375" i="8"/>
  <c r="H3374" i="8"/>
  <c r="H3373" i="8"/>
  <c r="H3362" i="8"/>
  <c r="H3361" i="8"/>
  <c r="H3350" i="8"/>
  <c r="H3349" i="8"/>
  <c r="H3348" i="8"/>
  <c r="H3337" i="8"/>
  <c r="H3336" i="8"/>
  <c r="H3325" i="8"/>
  <c r="H3324" i="8"/>
  <c r="H3323" i="8"/>
  <c r="H3312" i="8"/>
  <c r="H3311" i="8"/>
  <c r="H3310" i="8"/>
  <c r="H3299" i="8"/>
  <c r="H3298" i="8"/>
  <c r="H3297" i="8"/>
  <c r="H3286" i="8"/>
  <c r="H3285" i="8"/>
  <c r="H3284" i="8"/>
  <c r="H3273" i="8"/>
  <c r="H3272" i="8"/>
  <c r="H3271" i="8"/>
  <c r="H3260" i="8"/>
  <c r="H3259" i="8"/>
  <c r="H3258" i="8"/>
  <c r="H3247" i="8"/>
  <c r="H3246" i="8"/>
  <c r="H3245" i="8"/>
  <c r="H3234" i="8"/>
  <c r="H3233" i="8"/>
  <c r="H3232" i="8"/>
  <c r="H3221" i="8"/>
  <c r="H3220" i="8"/>
  <c r="H3219" i="8"/>
  <c r="H3208" i="8"/>
  <c r="H3207" i="8"/>
  <c r="H3206" i="8"/>
  <c r="H3195" i="8"/>
  <c r="H3194" i="8"/>
  <c r="H3193" i="8"/>
  <c r="H3182" i="8"/>
  <c r="H3181" i="8"/>
  <c r="H3180" i="8"/>
  <c r="H3169" i="8"/>
  <c r="H3168" i="8"/>
  <c r="H3167" i="8"/>
  <c r="H3156" i="8"/>
  <c r="H3155" i="8"/>
  <c r="H3154" i="8"/>
  <c r="H3143" i="8"/>
  <c r="H3142" i="8"/>
  <c r="H3141" i="8"/>
  <c r="H3130" i="8"/>
  <c r="H3129" i="8"/>
  <c r="H3128" i="8"/>
  <c r="H3117" i="8"/>
  <c r="H3116" i="8"/>
  <c r="H3115" i="8"/>
  <c r="H3104" i="8"/>
  <c r="H3103" i="8"/>
  <c r="H3102" i="8"/>
  <c r="H3091" i="8"/>
  <c r="H3090" i="8"/>
  <c r="H3089" i="8"/>
  <c r="H3078" i="8"/>
  <c r="H3077" i="8"/>
  <c r="H3076" i="8"/>
  <c r="H3065" i="8"/>
  <c r="H3064" i="8"/>
  <c r="H3063" i="8"/>
  <c r="H3052" i="8"/>
  <c r="H3051" i="8"/>
  <c r="H3050" i="8"/>
  <c r="H3039" i="8"/>
  <c r="H3038" i="8"/>
  <c r="H3037" i="8"/>
  <c r="H3026" i="8"/>
  <c r="H3025" i="8"/>
  <c r="H3024" i="8"/>
  <c r="H3013" i="8"/>
  <c r="H3012" i="8"/>
  <c r="H3011" i="8"/>
  <c r="H3000" i="8"/>
  <c r="H2999" i="8"/>
  <c r="H2998" i="8"/>
  <c r="H2987" i="8"/>
  <c r="H2986" i="8"/>
  <c r="H2985" i="8"/>
  <c r="H2974" i="8"/>
  <c r="H2973" i="8"/>
  <c r="H2972" i="8"/>
  <c r="H2961" i="8"/>
  <c r="H2960" i="8"/>
  <c r="H2959" i="8"/>
  <c r="H2948" i="8"/>
  <c r="H2947" i="8"/>
  <c r="H2946" i="8"/>
  <c r="H2935" i="8"/>
  <c r="H2934" i="8"/>
  <c r="H2933" i="8"/>
  <c r="H2922" i="8"/>
  <c r="H2921" i="8"/>
  <c r="H2920" i="8"/>
  <c r="H2909" i="8"/>
  <c r="H2908" i="8"/>
  <c r="H2907" i="8"/>
  <c r="H2896" i="8"/>
  <c r="H2895" i="8"/>
  <c r="H2894" i="8"/>
  <c r="H2883" i="8"/>
  <c r="H2882" i="8"/>
  <c r="H2881" i="8"/>
  <c r="H2870" i="8"/>
  <c r="H2869" i="8"/>
  <c r="H2868" i="8"/>
  <c r="H2857" i="8"/>
  <c r="H2856" i="8"/>
  <c r="H2855" i="8"/>
  <c r="H2844" i="8"/>
  <c r="H2843" i="8"/>
  <c r="H2842" i="8"/>
  <c r="H2831" i="8"/>
  <c r="H2830" i="8"/>
  <c r="H2829" i="8"/>
  <c r="H2818" i="8"/>
  <c r="H2817" i="8"/>
  <c r="H2816" i="8"/>
  <c r="H2805" i="8"/>
  <c r="H2804" i="8"/>
  <c r="H2803" i="8"/>
  <c r="H2792" i="8"/>
  <c r="H2791" i="8"/>
  <c r="H2790" i="8"/>
  <c r="H2779" i="8"/>
  <c r="H2778" i="8"/>
  <c r="H2777" i="8"/>
  <c r="H2766" i="8"/>
  <c r="H2765" i="8"/>
  <c r="H2764" i="8"/>
  <c r="H2753" i="8"/>
  <c r="H2752" i="8"/>
  <c r="H2751" i="8"/>
  <c r="H2740" i="8"/>
  <c r="H2739" i="8"/>
  <c r="H2738" i="8"/>
  <c r="H2727" i="8"/>
  <c r="H2726" i="8"/>
  <c r="H2725" i="8"/>
  <c r="H2724" i="8"/>
  <c r="H2723" i="8"/>
  <c r="H2722" i="8"/>
  <c r="H2721" i="8"/>
  <c r="H2710" i="8"/>
  <c r="H2709" i="8"/>
  <c r="H2708" i="8"/>
  <c r="H2707" i="8"/>
  <c r="H2706" i="8"/>
  <c r="H2705" i="8"/>
  <c r="H2704" i="8"/>
  <c r="H2703" i="8"/>
  <c r="H2702" i="8"/>
  <c r="H2701" i="8"/>
  <c r="H2700" i="8"/>
  <c r="H2689" i="8"/>
  <c r="H2688" i="8"/>
  <c r="H2687" i="8"/>
  <c r="H2686" i="8"/>
  <c r="H2685" i="8"/>
  <c r="H2684" i="8"/>
  <c r="H2683" i="8"/>
  <c r="H2682" i="8"/>
  <c r="H2681" i="8"/>
  <c r="H2680" i="8"/>
  <c r="H2679" i="8"/>
  <c r="H2668" i="8"/>
  <c r="H2667" i="8"/>
  <c r="H2666" i="8"/>
  <c r="H2655" i="8"/>
  <c r="H2654" i="8"/>
  <c r="H2653" i="8"/>
  <c r="H2642" i="8"/>
  <c r="H2641" i="8"/>
  <c r="H2640" i="8"/>
  <c r="H2629" i="8"/>
  <c r="H2628" i="8"/>
  <c r="H2627" i="8"/>
  <c r="H2616" i="8"/>
  <c r="H2615" i="8"/>
  <c r="H2614" i="8"/>
  <c r="H2603" i="8"/>
  <c r="H2602" i="8"/>
  <c r="H2601" i="8"/>
  <c r="H2590" i="8"/>
  <c r="H2589" i="8"/>
  <c r="H2588" i="8"/>
  <c r="H2577" i="8"/>
  <c r="H2576" i="8"/>
  <c r="H2575" i="8"/>
  <c r="H2564" i="8"/>
  <c r="H2563" i="8"/>
  <c r="H2562" i="8"/>
  <c r="H2551" i="8"/>
  <c r="H2550" i="8"/>
  <c r="H2549" i="8"/>
  <c r="H2538" i="8"/>
  <c r="H2537" i="8"/>
  <c r="H2536" i="8"/>
  <c r="H2525" i="8"/>
  <c r="H2524" i="8"/>
  <c r="H2523" i="8"/>
  <c r="H2522" i="8"/>
  <c r="H2511" i="8"/>
  <c r="H2510" i="8"/>
  <c r="H2509" i="8"/>
  <c r="H2508" i="8"/>
  <c r="H2497" i="8"/>
  <c r="H2496" i="8"/>
  <c r="H2495" i="8"/>
  <c r="H2494" i="8"/>
  <c r="H2483" i="8"/>
  <c r="H2482" i="8"/>
  <c r="H2481" i="8"/>
  <c r="H2480" i="8"/>
  <c r="H2469" i="8"/>
  <c r="H2468" i="8"/>
  <c r="H2467" i="8"/>
  <c r="H2466" i="8"/>
  <c r="H2455" i="8"/>
  <c r="H2454" i="8"/>
  <c r="H2453" i="8"/>
  <c r="H2452" i="8"/>
  <c r="H2441" i="8"/>
  <c r="H2440" i="8"/>
  <c r="H2439" i="8"/>
  <c r="H2438" i="8"/>
  <c r="H2427" i="8"/>
  <c r="H2426" i="8"/>
  <c r="H2425" i="8"/>
  <c r="H2424" i="8"/>
  <c r="H2413" i="8"/>
  <c r="H2412" i="8"/>
  <c r="H2411" i="8"/>
  <c r="H2410" i="8"/>
  <c r="H2399" i="8"/>
  <c r="H2398" i="8"/>
  <c r="H2397" i="8"/>
  <c r="H2396" i="8"/>
  <c r="H2385" i="8"/>
  <c r="H2384" i="8"/>
  <c r="H2383" i="8"/>
  <c r="H2382" i="8"/>
  <c r="H2371" i="8"/>
  <c r="H2370" i="8"/>
  <c r="H2369" i="8"/>
  <c r="H2358" i="8"/>
  <c r="H2357" i="8"/>
  <c r="H2356" i="8"/>
  <c r="H2355" i="8"/>
  <c r="H2354" i="8"/>
  <c r="H2343" i="8"/>
  <c r="H2342" i="8"/>
  <c r="H2341" i="8"/>
  <c r="H2330" i="8"/>
  <c r="H2329" i="8"/>
  <c r="H2318" i="8"/>
  <c r="H2317" i="8"/>
  <c r="H2316" i="8"/>
  <c r="H2305" i="8"/>
  <c r="H2304" i="8"/>
  <c r="H2303" i="8"/>
  <c r="H2302" i="8"/>
  <c r="H2301" i="8"/>
  <c r="H2300" i="8"/>
  <c r="H2299" i="8"/>
  <c r="H2286" i="8"/>
  <c r="H2285" i="8"/>
  <c r="H2284" i="8"/>
  <c r="H2283" i="8"/>
  <c r="H2272" i="8"/>
  <c r="H2271" i="8"/>
  <c r="H2260" i="8"/>
  <c r="H2259" i="8"/>
  <c r="H2258" i="8"/>
  <c r="H2257" i="8"/>
  <c r="H2256" i="8"/>
  <c r="H2245" i="8"/>
  <c r="H2244" i="8"/>
  <c r="H2243" i="8"/>
  <c r="H2242" i="8"/>
  <c r="H2241" i="8"/>
  <c r="H2240" i="8"/>
  <c r="H2239" i="8"/>
  <c r="H2238" i="8"/>
  <c r="H2237" i="8"/>
  <c r="H2236" i="8"/>
  <c r="H2235" i="8"/>
  <c r="H2224" i="8"/>
  <c r="H2223" i="8"/>
  <c r="H2222" i="8"/>
  <c r="H2221" i="8"/>
  <c r="H2220" i="8"/>
  <c r="H2208" i="8"/>
  <c r="H2207" i="8"/>
  <c r="H2206" i="8"/>
  <c r="H2205" i="8"/>
  <c r="H2204" i="8"/>
  <c r="H2203" i="8"/>
  <c r="H2202" i="8"/>
  <c r="H2201" i="8"/>
  <c r="H2200" i="8"/>
  <c r="H2199" i="8"/>
  <c r="H2198" i="8"/>
  <c r="H2186" i="8"/>
  <c r="H2185" i="8"/>
  <c r="H2184" i="8"/>
  <c r="H2183" i="8"/>
  <c r="H2182" i="8"/>
  <c r="H2181" i="8"/>
  <c r="H2180" i="8"/>
  <c r="H2179" i="8"/>
  <c r="H2178" i="8"/>
  <c r="H2177" i="8"/>
  <c r="H2176" i="8"/>
  <c r="H2165" i="8"/>
  <c r="H2164" i="8"/>
  <c r="H2163" i="8"/>
  <c r="H2162" i="8"/>
  <c r="H2161" i="8"/>
  <c r="H2160" i="8"/>
  <c r="H2159" i="8"/>
  <c r="H2148" i="8"/>
  <c r="H2147" i="8"/>
  <c r="H2146" i="8"/>
  <c r="H2145" i="8"/>
  <c r="H2144" i="8"/>
  <c r="H2143" i="8"/>
  <c r="H2142" i="8"/>
  <c r="H2141" i="8"/>
  <c r="H2130" i="8"/>
  <c r="H2129" i="8"/>
  <c r="H2128" i="8"/>
  <c r="H2127" i="8"/>
  <c r="H2126" i="8"/>
  <c r="H2125" i="8"/>
  <c r="H2124" i="8"/>
  <c r="H2123" i="8"/>
  <c r="H2112" i="8"/>
  <c r="H2111" i="8"/>
  <c r="H2110" i="8"/>
  <c r="H2109" i="8"/>
  <c r="H2108" i="8"/>
  <c r="H2097" i="8"/>
  <c r="H2096" i="8"/>
  <c r="H2095" i="8"/>
  <c r="H2094" i="8"/>
  <c r="H2093" i="8"/>
  <c r="H2082" i="8"/>
  <c r="H2081" i="8"/>
  <c r="H2080" i="8"/>
  <c r="H2079" i="8"/>
  <c r="H2078" i="8"/>
  <c r="H2077" i="8"/>
  <c r="H2066" i="8"/>
  <c r="H2065" i="8"/>
  <c r="H2064" i="8"/>
  <c r="H2063" i="8"/>
  <c r="H2062" i="8"/>
  <c r="H2061" i="8"/>
  <c r="H2050" i="8"/>
  <c r="H2049" i="8"/>
  <c r="H2048" i="8"/>
  <c r="H2047" i="8"/>
  <c r="H2046" i="8"/>
  <c r="H2045" i="8"/>
  <c r="H2034" i="8"/>
  <c r="H2033" i="8"/>
  <c r="H2032" i="8"/>
  <c r="H2031" i="8"/>
  <c r="H2030" i="8"/>
  <c r="H2029" i="8"/>
  <c r="H2018" i="8"/>
  <c r="H2017" i="8"/>
  <c r="H2016" i="8"/>
  <c r="H2015" i="8"/>
  <c r="H2014" i="8"/>
  <c r="H2013" i="8"/>
  <c r="H2002" i="8"/>
  <c r="H2001" i="8"/>
  <c r="H2000" i="8"/>
  <c r="H1999" i="8"/>
  <c r="H1998" i="8"/>
  <c r="H1997" i="8"/>
  <c r="H1986" i="8"/>
  <c r="H1985" i="8"/>
  <c r="H1984" i="8"/>
  <c r="H1983" i="8"/>
  <c r="H1982" i="8"/>
  <c r="H1971" i="8"/>
  <c r="H1970" i="8"/>
  <c r="H1969" i="8"/>
  <c r="H1968" i="8"/>
  <c r="H1967" i="8"/>
  <c r="H1956" i="8"/>
  <c r="H1955" i="8"/>
  <c r="H1954" i="8"/>
  <c r="H1953" i="8"/>
  <c r="H1952" i="8"/>
  <c r="H1941" i="8"/>
  <c r="H1940" i="8"/>
  <c r="H1939" i="8"/>
  <c r="H1938" i="8"/>
  <c r="H1937" i="8"/>
  <c r="H1926" i="8"/>
  <c r="H1925" i="8"/>
  <c r="H1924" i="8"/>
  <c r="H1923" i="8"/>
  <c r="H1922" i="8"/>
  <c r="H1911" i="8"/>
  <c r="H1910" i="8"/>
  <c r="H1909" i="8"/>
  <c r="H1908" i="8"/>
  <c r="H1907" i="8"/>
  <c r="H1906" i="8"/>
  <c r="H1895" i="8"/>
  <c r="H1894" i="8"/>
  <c r="H1893" i="8"/>
  <c r="H1892" i="8"/>
  <c r="H1891" i="8"/>
  <c r="H1880" i="8"/>
  <c r="H1879" i="8"/>
  <c r="H1878" i="8"/>
  <c r="H1877" i="8"/>
  <c r="H1876" i="8"/>
  <c r="H1865" i="8"/>
  <c r="H1864" i="8"/>
  <c r="H1863" i="8"/>
  <c r="H1852" i="8"/>
  <c r="H1841" i="8"/>
  <c r="H1840" i="8"/>
  <c r="H1839" i="8"/>
  <c r="H1838" i="8"/>
  <c r="H1837" i="8"/>
  <c r="H1836" i="8"/>
  <c r="H1835" i="8"/>
  <c r="H1834" i="8"/>
  <c r="H1823" i="8"/>
  <c r="H1822" i="8"/>
  <c r="H1821" i="8"/>
  <c r="H1820" i="8"/>
  <c r="H1809" i="8"/>
  <c r="H1808" i="8"/>
  <c r="H1807" i="8"/>
  <c r="H1806" i="8"/>
  <c r="H1795" i="8"/>
  <c r="H1794" i="8"/>
  <c r="H1793" i="8"/>
  <c r="H1782" i="8"/>
  <c r="H1781" i="8"/>
  <c r="H1780" i="8"/>
  <c r="H1769" i="8"/>
  <c r="H1768" i="8"/>
  <c r="H1767" i="8"/>
  <c r="H1766" i="8"/>
  <c r="H1755" i="8"/>
  <c r="H1754" i="8"/>
  <c r="H1753" i="8"/>
  <c r="H1752" i="8"/>
  <c r="H1741" i="8"/>
  <c r="H1740" i="8"/>
  <c r="H1739" i="8"/>
  <c r="H1738" i="8"/>
  <c r="H1727" i="8"/>
  <c r="H1726" i="8"/>
  <c r="H1725" i="8"/>
  <c r="H1724" i="8"/>
  <c r="H1723" i="8"/>
  <c r="H1722" i="8"/>
  <c r="H1711" i="8"/>
  <c r="H1710" i="8"/>
  <c r="H1709" i="8"/>
  <c r="H1708" i="8"/>
  <c r="H1707" i="8"/>
  <c r="H1706" i="8"/>
  <c r="H1695" i="8"/>
  <c r="H1694" i="8"/>
  <c r="H1693" i="8"/>
  <c r="H1692" i="8"/>
  <c r="H1691" i="8"/>
  <c r="H1690" i="8"/>
  <c r="H1679" i="8"/>
  <c r="H1678" i="8"/>
  <c r="H1677" i="8"/>
  <c r="H1676" i="8"/>
  <c r="H1675" i="8"/>
  <c r="H1664" i="8"/>
  <c r="H1663" i="8"/>
  <c r="H1662" i="8"/>
  <c r="H1651" i="8"/>
  <c r="H1650" i="8"/>
  <c r="H1649" i="8"/>
  <c r="H1648" i="8"/>
  <c r="H1647" i="8"/>
  <c r="H1646" i="8"/>
  <c r="H1645" i="8"/>
  <c r="H1644" i="8"/>
  <c r="H1633" i="8"/>
  <c r="H1632" i="8"/>
  <c r="H1631" i="8"/>
  <c r="H1630" i="8"/>
  <c r="H1629" i="8"/>
  <c r="H1628" i="8"/>
  <c r="H1617" i="8"/>
  <c r="H1616" i="8"/>
  <c r="H1615" i="8"/>
  <c r="H1614" i="8"/>
  <c r="H1613" i="8"/>
  <c r="H1612" i="8"/>
  <c r="H1601" i="8"/>
  <c r="H1600" i="8"/>
  <c r="H1599" i="8"/>
  <c r="H1598" i="8"/>
  <c r="H1597" i="8"/>
  <c r="H1596" i="8"/>
  <c r="H1585" i="8"/>
  <c r="H1584" i="8"/>
  <c r="H1583" i="8"/>
  <c r="H1582" i="8"/>
  <c r="H1581" i="8"/>
  <c r="H1580" i="8"/>
  <c r="H1569" i="8"/>
  <c r="H1568" i="8"/>
  <c r="H1567" i="8"/>
  <c r="H1566" i="8"/>
  <c r="H1565" i="8"/>
  <c r="H1564" i="8"/>
  <c r="H1553" i="8"/>
  <c r="H1552" i="8"/>
  <c r="H1551" i="8"/>
  <c r="H1550" i="8"/>
  <c r="H1549" i="8"/>
  <c r="H1548" i="8"/>
  <c r="H1537" i="8"/>
  <c r="H1536" i="8"/>
  <c r="H1535" i="8"/>
  <c r="H1534" i="8"/>
  <c r="H1523" i="8"/>
  <c r="H1522" i="8"/>
  <c r="H1521" i="8"/>
  <c r="H1520" i="8"/>
  <c r="H1519" i="8"/>
  <c r="H1508" i="8"/>
  <c r="H1507" i="8"/>
  <c r="H1506" i="8"/>
  <c r="H1505" i="8"/>
  <c r="H1504" i="8"/>
  <c r="H1503" i="8"/>
  <c r="H1492" i="8"/>
  <c r="H1491" i="8"/>
  <c r="H1490" i="8"/>
  <c r="H1489" i="8"/>
  <c r="H1488" i="8"/>
  <c r="H1487" i="8"/>
  <c r="H1476" i="8"/>
  <c r="H1475" i="8"/>
  <c r="H1474" i="8"/>
  <c r="H1473" i="8"/>
  <c r="H1472" i="8"/>
  <c r="H1471" i="8"/>
  <c r="H1460" i="8"/>
  <c r="H1459" i="8"/>
  <c r="H1458" i="8"/>
  <c r="H1457" i="8"/>
  <c r="H1456" i="8"/>
  <c r="H1455" i="8"/>
  <c r="H1444" i="8"/>
  <c r="H1443" i="8"/>
  <c r="H1442" i="8"/>
  <c r="H1441" i="8"/>
  <c r="H1440" i="8"/>
  <c r="H1439" i="8"/>
  <c r="H1428" i="8"/>
  <c r="H1427" i="8"/>
  <c r="H1426" i="8"/>
  <c r="H1425" i="8"/>
  <c r="H1424" i="8"/>
  <c r="H1423" i="8"/>
  <c r="H1412" i="8"/>
  <c r="H1411" i="8"/>
  <c r="H1410" i="8"/>
  <c r="H1409" i="8"/>
  <c r="H1408" i="8"/>
  <c r="H1407" i="8"/>
  <c r="H1396" i="8"/>
  <c r="H1395" i="8"/>
  <c r="H1394" i="8"/>
  <c r="H1393" i="8"/>
  <c r="H1392" i="8"/>
  <c r="H1391" i="8"/>
  <c r="H1380" i="8"/>
  <c r="H1379" i="8"/>
  <c r="H1378" i="8"/>
  <c r="H1377" i="8"/>
  <c r="H1366" i="8"/>
  <c r="H1365" i="8"/>
  <c r="H1364" i="8"/>
  <c r="H1353" i="8"/>
  <c r="H1352" i="8"/>
  <c r="H1351" i="8"/>
  <c r="H1350" i="8"/>
  <c r="H1349" i="8"/>
  <c r="H1348" i="8"/>
  <c r="H1337" i="8"/>
  <c r="H1336" i="8"/>
  <c r="H1335" i="8"/>
  <c r="H1334" i="8"/>
  <c r="H1333" i="8"/>
  <c r="H1322" i="8"/>
  <c r="H1321" i="8"/>
  <c r="H1320" i="8"/>
  <c r="H1319" i="8"/>
  <c r="H1318" i="8"/>
  <c r="H1317" i="8"/>
  <c r="H1316" i="8"/>
  <c r="H1315" i="8"/>
  <c r="H1304" i="8"/>
  <c r="H1303" i="8"/>
  <c r="H1302" i="8"/>
  <c r="H1301" i="8"/>
  <c r="H1300" i="8"/>
  <c r="H1299" i="8"/>
  <c r="H1298" i="8"/>
  <c r="H1297" i="8"/>
  <c r="H1296" i="8"/>
  <c r="H1285" i="8"/>
  <c r="H1284" i="8"/>
  <c r="H1283" i="8"/>
  <c r="H1282" i="8"/>
  <c r="H1281" i="8"/>
  <c r="H1280" i="8"/>
  <c r="H1279" i="8"/>
  <c r="H1278" i="8"/>
  <c r="H1277" i="8"/>
  <c r="H1266" i="8"/>
  <c r="H1255" i="8"/>
  <c r="H1254" i="8"/>
  <c r="H1243" i="8"/>
  <c r="H1242" i="8"/>
  <c r="H1231" i="8"/>
  <c r="H1230" i="8"/>
  <c r="H1219" i="8"/>
  <c r="H1218" i="8"/>
  <c r="H1207" i="8"/>
  <c r="H1206" i="8"/>
  <c r="H1195" i="8"/>
  <c r="H1194" i="8"/>
  <c r="H1183" i="8"/>
  <c r="H1182" i="8"/>
  <c r="H1181" i="8"/>
  <c r="H1170" i="8"/>
  <c r="H1169" i="8"/>
  <c r="H1168" i="8"/>
  <c r="H1167" i="8"/>
  <c r="H1156" i="8"/>
  <c r="H1155" i="8"/>
  <c r="H1154" i="8"/>
  <c r="H1153" i="8"/>
  <c r="H1152" i="8"/>
  <c r="H1151" i="8"/>
  <c r="H1140" i="8"/>
  <c r="H1139" i="8"/>
  <c r="H1138" i="8"/>
  <c r="H1127" i="8"/>
  <c r="H1126" i="8"/>
  <c r="H1125" i="8"/>
  <c r="H1124" i="8"/>
  <c r="H1123" i="8"/>
  <c r="H1112" i="8"/>
  <c r="H1101" i="8"/>
  <c r="H1100" i="8"/>
  <c r="H1099" i="8"/>
  <c r="H1098" i="8"/>
  <c r="H1097" i="8"/>
  <c r="H1096" i="8"/>
  <c r="H1095" i="8"/>
  <c r="H1094" i="8"/>
  <c r="H1093" i="8"/>
  <c r="H1082" i="8"/>
  <c r="H1081" i="8"/>
  <c r="H1080" i="8"/>
  <c r="H1079" i="8"/>
  <c r="H1078" i="8"/>
  <c r="H1077" i="8"/>
  <c r="H1076" i="8"/>
  <c r="H1075" i="8"/>
  <c r="H1074" i="8"/>
  <c r="H1063" i="8"/>
  <c r="H1062" i="8"/>
  <c r="H1061" i="8"/>
  <c r="H1060" i="8"/>
  <c r="H1059" i="8"/>
  <c r="H1058" i="8"/>
  <c r="H1057" i="8"/>
  <c r="H1056" i="8"/>
  <c r="H1055" i="8"/>
  <c r="H1044" i="8"/>
  <c r="H1043" i="8"/>
  <c r="H1042" i="8"/>
  <c r="H1041" i="8"/>
  <c r="H1040" i="8"/>
  <c r="H1039" i="8"/>
  <c r="H1038" i="8"/>
  <c r="H1037" i="8"/>
  <c r="H1026" i="8"/>
  <c r="H1015" i="8"/>
  <c r="H1014" i="8"/>
  <c r="H1013" i="8"/>
  <c r="H1012" i="8"/>
  <c r="H1011" i="8"/>
  <c r="H1000" i="8"/>
  <c r="H999" i="8"/>
  <c r="H998" i="8"/>
  <c r="H997" i="8"/>
  <c r="H996" i="8"/>
  <c r="H985" i="8"/>
  <c r="H984" i="8"/>
  <c r="H983" i="8"/>
  <c r="H972" i="8"/>
  <c r="H971" i="8"/>
  <c r="H970" i="8"/>
  <c r="H959" i="8"/>
  <c r="H958" i="8"/>
  <c r="H957" i="8"/>
  <c r="H956" i="8"/>
  <c r="H955" i="8"/>
  <c r="H954" i="8"/>
  <c r="H953" i="8"/>
  <c r="H952" i="8"/>
  <c r="H951" i="8"/>
  <c r="H940" i="8"/>
  <c r="H939" i="8"/>
  <c r="H938" i="8"/>
  <c r="H927" i="8"/>
  <c r="H926" i="8"/>
  <c r="H925" i="8"/>
  <c r="H924" i="8"/>
  <c r="H923" i="8"/>
  <c r="H922" i="8"/>
  <c r="H911" i="8"/>
  <c r="H910" i="8"/>
  <c r="H909" i="8"/>
  <c r="H898" i="8"/>
  <c r="H897" i="8"/>
  <c r="H896" i="8"/>
  <c r="H895" i="8"/>
  <c r="H894" i="8"/>
  <c r="H883" i="8"/>
  <c r="H882" i="8"/>
  <c r="H881" i="8"/>
  <c r="H880" i="8"/>
  <c r="H879" i="8"/>
  <c r="H878" i="8"/>
  <c r="H867" i="8"/>
  <c r="H866" i="8"/>
  <c r="H865" i="8"/>
  <c r="H864" i="8"/>
  <c r="H853" i="8"/>
  <c r="H852" i="8"/>
  <c r="H851" i="8"/>
  <c r="H850" i="8"/>
  <c r="H849" i="8"/>
  <c r="H848" i="8"/>
  <c r="H847" i="8"/>
  <c r="H836" i="8"/>
  <c r="H835" i="8"/>
  <c r="H834" i="8"/>
  <c r="H833" i="8"/>
  <c r="H832" i="8"/>
  <c r="H831" i="8"/>
  <c r="H820" i="8"/>
  <c r="H819" i="8"/>
  <c r="H818" i="8"/>
  <c r="H817" i="8"/>
  <c r="H816" i="8"/>
  <c r="H815" i="8"/>
  <c r="H814" i="8"/>
  <c r="H803" i="8"/>
  <c r="H802" i="8"/>
  <c r="H801" i="8"/>
  <c r="H800" i="8"/>
  <c r="H799" i="8"/>
  <c r="H798" i="8"/>
  <c r="H797" i="8"/>
  <c r="H796" i="8"/>
  <c r="H785" i="8"/>
  <c r="H784" i="8"/>
  <c r="H783" i="8"/>
  <c r="H782" i="8"/>
  <c r="H781" i="8"/>
  <c r="H780" i="8"/>
  <c r="H779" i="8"/>
  <c r="H768" i="8"/>
  <c r="H767" i="8"/>
  <c r="H766" i="8"/>
  <c r="H755" i="8"/>
  <c r="H754" i="8"/>
  <c r="H753" i="8"/>
  <c r="H752" i="8"/>
  <c r="H751" i="8"/>
  <c r="H750" i="8"/>
  <c r="H749" i="8"/>
  <c r="H748" i="8"/>
  <c r="H747" i="8"/>
  <c r="H736" i="8"/>
  <c r="H735" i="8"/>
  <c r="H734" i="8"/>
  <c r="H733" i="8"/>
  <c r="H732" i="8"/>
  <c r="H731" i="8"/>
  <c r="H730" i="8"/>
  <c r="H729" i="8"/>
  <c r="H728" i="8"/>
  <c r="H717" i="8"/>
  <c r="H716" i="8"/>
  <c r="H715" i="8"/>
  <c r="H714" i="8"/>
  <c r="H713" i="8"/>
  <c r="H712" i="8"/>
  <c r="H711" i="8"/>
  <c r="H710" i="8"/>
  <c r="H709" i="8"/>
  <c r="H698" i="8"/>
  <c r="H697" i="8"/>
  <c r="H696" i="8"/>
  <c r="H695" i="8"/>
  <c r="H694" i="8"/>
  <c r="H693" i="8"/>
  <c r="H692" i="8"/>
  <c r="H691" i="8"/>
  <c r="H690" i="8"/>
  <c r="H679" i="8"/>
  <c r="H678" i="8"/>
  <c r="H677" i="8"/>
  <c r="H676" i="8"/>
  <c r="H675" i="8"/>
  <c r="H674" i="8"/>
  <c r="H663" i="8"/>
  <c r="H662" i="8"/>
  <c r="H661" i="8"/>
  <c r="H660" i="8"/>
  <c r="H659" i="8"/>
  <c r="H658" i="8"/>
  <c r="H647" i="8"/>
  <c r="H646" i="8"/>
  <c r="H645" i="8"/>
  <c r="H644" i="8"/>
  <c r="H643" i="8"/>
  <c r="H642" i="8"/>
  <c r="H631" i="8"/>
  <c r="H630" i="8"/>
  <c r="H629" i="8"/>
  <c r="H628" i="8"/>
  <c r="H627" i="8"/>
  <c r="H626" i="8"/>
  <c r="H615" i="8"/>
  <c r="H614" i="8"/>
  <c r="H613" i="8"/>
  <c r="H612" i="8"/>
  <c r="H611" i="8"/>
  <c r="H610" i="8"/>
  <c r="H609" i="8"/>
  <c r="H608" i="8"/>
  <c r="H597" i="8"/>
  <c r="H596" i="8"/>
  <c r="H595" i="8"/>
  <c r="H594" i="8"/>
  <c r="H593" i="8"/>
  <c r="H592" i="8"/>
  <c r="H591" i="8"/>
  <c r="H590" i="8"/>
  <c r="H579" i="8"/>
  <c r="H578" i="8"/>
  <c r="H577" i="8"/>
  <c r="H576" i="8"/>
  <c r="H575" i="8"/>
  <c r="H574" i="8"/>
  <c r="H573" i="8"/>
  <c r="H572" i="8"/>
  <c r="H571" i="8"/>
  <c r="H560" i="8"/>
  <c r="H559" i="8"/>
  <c r="H558" i="8"/>
  <c r="H557" i="8"/>
  <c r="H556" i="8"/>
  <c r="H555" i="8"/>
  <c r="H554" i="8"/>
  <c r="H553" i="8"/>
  <c r="H552" i="8"/>
  <c r="H541" i="8"/>
  <c r="H540" i="8"/>
  <c r="H539" i="8"/>
  <c r="H538" i="8"/>
  <c r="H537" i="8"/>
  <c r="H536" i="8"/>
  <c r="H535" i="8"/>
  <c r="H534" i="8"/>
  <c r="H533" i="8"/>
  <c r="H522" i="8"/>
  <c r="H521" i="8"/>
  <c r="H520" i="8"/>
  <c r="H519" i="8"/>
  <c r="H518" i="8"/>
  <c r="H517" i="8"/>
  <c r="H516" i="8"/>
  <c r="H515" i="8"/>
  <c r="H514" i="8"/>
  <c r="H513" i="8"/>
  <c r="H502" i="8"/>
  <c r="H501" i="8"/>
  <c r="H500" i="8"/>
  <c r="H499" i="8"/>
  <c r="H498" i="8"/>
  <c r="H497" i="8"/>
  <c r="H496" i="8"/>
  <c r="H495" i="8"/>
  <c r="H494" i="8"/>
  <c r="H483" i="8"/>
  <c r="H482" i="8"/>
  <c r="H481" i="8"/>
  <c r="H480" i="8"/>
  <c r="H479" i="8"/>
  <c r="H478" i="8"/>
  <c r="H477" i="8"/>
  <c r="H466" i="8"/>
  <c r="H465" i="8"/>
  <c r="H464" i="8"/>
  <c r="H463" i="8"/>
  <c r="H462" i="8"/>
  <c r="H461" i="8"/>
  <c r="H460" i="8"/>
  <c r="H449" i="8"/>
  <c r="H448" i="8"/>
  <c r="H447" i="8"/>
  <c r="H446" i="8"/>
  <c r="H445" i="8"/>
  <c r="H444" i="8"/>
  <c r="H433" i="8"/>
  <c r="H432" i="8"/>
  <c r="H431" i="8"/>
  <c r="H430" i="8"/>
  <c r="H417" i="8"/>
  <c r="H416" i="8"/>
  <c r="H415" i="8"/>
  <c r="H404" i="8"/>
  <c r="H403" i="8"/>
  <c r="H402" i="8"/>
  <c r="H400" i="8"/>
  <c r="H399" i="8"/>
  <c r="H398" i="8"/>
  <c r="H397" i="8"/>
  <c r="H385" i="8"/>
  <c r="H384" i="8"/>
  <c r="H383" i="8"/>
  <c r="H382" i="8"/>
  <c r="H381" i="8"/>
  <c r="H380" i="8"/>
  <c r="H369" i="8"/>
  <c r="H368" i="8"/>
  <c r="H367" i="8"/>
  <c r="H366" i="8"/>
  <c r="H355" i="8"/>
  <c r="H344" i="8"/>
  <c r="H332" i="8"/>
  <c r="H331" i="8"/>
  <c r="H330" i="8"/>
  <c r="H329" i="8"/>
  <c r="H328" i="8"/>
  <c r="H327" i="8"/>
  <c r="H326" i="8"/>
  <c r="H325" i="8"/>
  <c r="H324" i="8"/>
  <c r="H323" i="8"/>
  <c r="H312" i="8"/>
  <c r="H311" i="8"/>
  <c r="H310" i="8"/>
  <c r="H309" i="8"/>
  <c r="H308" i="8"/>
  <c r="H307" i="8"/>
  <c r="H306" i="8"/>
  <c r="H305" i="8"/>
  <c r="H304" i="8"/>
  <c r="H303" i="8"/>
  <c r="H302" i="8"/>
  <c r="H301" i="8"/>
  <c r="H300" i="8"/>
  <c r="H299" i="8"/>
  <c r="H298" i="8"/>
  <c r="H297" i="8"/>
  <c r="H296" i="8"/>
  <c r="H295" i="8"/>
  <c r="H294" i="8"/>
  <c r="H293" i="8"/>
  <c r="H292" i="8"/>
  <c r="H291" i="8"/>
  <c r="H290" i="8"/>
  <c r="H289" i="8"/>
  <c r="H288" i="8"/>
  <c r="H287" i="8"/>
  <c r="H286" i="8"/>
  <c r="H285" i="8"/>
  <c r="H284" i="8"/>
  <c r="H283" i="8"/>
  <c r="H282" i="8"/>
  <c r="H281" i="8"/>
  <c r="H28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26" i="8"/>
  <c r="H225" i="8"/>
  <c r="H224" i="8"/>
  <c r="H223" i="8"/>
  <c r="H222" i="8"/>
  <c r="H221" i="8"/>
  <c r="H210" i="8"/>
  <c r="H209" i="8"/>
  <c r="H208" i="8"/>
  <c r="H207" i="8"/>
  <c r="H206" i="8"/>
  <c r="H205" i="8"/>
  <c r="H194" i="8"/>
  <c r="H193" i="8"/>
  <c r="H192" i="8"/>
  <c r="H191" i="8"/>
  <c r="H190" i="8"/>
  <c r="H189" i="8"/>
  <c r="H178" i="8"/>
  <c r="H177" i="8"/>
  <c r="H176" i="8"/>
  <c r="H175" i="8"/>
  <c r="H174" i="8"/>
  <c r="H173" i="8"/>
  <c r="H162" i="8"/>
  <c r="H161" i="8"/>
  <c r="H160" i="8"/>
  <c r="H159" i="8"/>
  <c r="H158" i="8"/>
  <c r="H147" i="8"/>
  <c r="H146" i="8"/>
  <c r="H145" i="8"/>
  <c r="H144" i="8"/>
  <c r="H143" i="8"/>
  <c r="H132" i="8"/>
  <c r="H131" i="8"/>
  <c r="H130" i="8"/>
  <c r="H129" i="8"/>
  <c r="H128" i="8"/>
  <c r="H127" i="8"/>
  <c r="H126" i="8"/>
  <c r="H113" i="8"/>
  <c r="H112" i="8"/>
  <c r="H111" i="8"/>
  <c r="H110" i="8"/>
  <c r="H99" i="8"/>
  <c r="H98" i="8"/>
  <c r="H97" i="8"/>
  <c r="H96" i="8"/>
  <c r="H95" i="8"/>
  <c r="H94" i="8"/>
  <c r="H83" i="8"/>
  <c r="H82" i="8"/>
  <c r="H81" i="8"/>
  <c r="H80" i="8"/>
  <c r="H79" i="8"/>
  <c r="H78" i="8"/>
  <c r="H77" i="8"/>
  <c r="H76" i="8"/>
  <c r="H75" i="8"/>
  <c r="H74" i="8"/>
  <c r="H73" i="8"/>
  <c r="H72" i="8"/>
  <c r="H71" i="8"/>
  <c r="H70" i="8"/>
  <c r="H69" i="8"/>
  <c r="H68" i="8"/>
  <c r="H55" i="8"/>
  <c r="H44" i="8"/>
  <c r="H33" i="8"/>
  <c r="H32" i="8"/>
  <c r="H21" i="8"/>
  <c r="D75" i="27" l="1"/>
  <c r="D74" i="27"/>
  <c r="C564" i="60" l="1"/>
  <c r="C142" i="60"/>
  <c r="B94" i="23" l="1"/>
  <c r="A94" i="23"/>
  <c r="F102" i="23"/>
  <c r="C17" i="60"/>
  <c r="C75" i="60"/>
  <c r="E407" i="1"/>
  <c r="K407" i="1" s="1"/>
  <c r="C30" i="60" l="1"/>
  <c r="H724" i="22"/>
  <c r="C724" i="22"/>
  <c r="C340" i="60"/>
  <c r="G20" i="34"/>
  <c r="K20" i="34" s="1"/>
  <c r="C118" i="60"/>
  <c r="H715" i="22"/>
  <c r="C715" i="22"/>
  <c r="K724" i="22" l="1"/>
  <c r="K715" i="22"/>
  <c r="C24" i="60"/>
  <c r="C74" i="60"/>
  <c r="C66" i="60"/>
  <c r="C135" i="60"/>
  <c r="C112" i="60"/>
  <c r="C544" i="60"/>
  <c r="C160" i="60"/>
  <c r="C248" i="60"/>
  <c r="C148" i="60"/>
  <c r="C260" i="60"/>
  <c r="C406" i="60"/>
  <c r="C504" i="60"/>
  <c r="C356" i="60"/>
  <c r="C116" i="60"/>
  <c r="C171" i="60"/>
  <c r="C97" i="60"/>
  <c r="C121" i="60"/>
  <c r="C33" i="60"/>
  <c r="C104" i="60"/>
  <c r="C580" i="60"/>
  <c r="C660" i="60"/>
  <c r="C586" i="60"/>
  <c r="C685" i="60"/>
  <c r="C88" i="60"/>
  <c r="C79" i="60"/>
  <c r="C369" i="60"/>
  <c r="C147" i="60"/>
  <c r="C96" i="60"/>
  <c r="C342" i="60"/>
  <c r="C275" i="60"/>
  <c r="C244" i="60"/>
  <c r="F88" i="60" l="1"/>
  <c r="F96" i="60"/>
  <c r="F504" i="60"/>
  <c r="F340" i="60"/>
  <c r="F685" i="60"/>
  <c r="F406" i="60"/>
  <c r="F160" i="60"/>
  <c r="F66" i="60"/>
  <c r="F580" i="60"/>
  <c r="F248" i="60"/>
  <c r="F244" i="60"/>
  <c r="F171" i="60"/>
  <c r="F369" i="60"/>
  <c r="F586" i="60"/>
  <c r="F33" i="60"/>
  <c r="F116" i="60"/>
  <c r="F260" i="60"/>
  <c r="F544" i="60"/>
  <c r="F74" i="60"/>
  <c r="F118" i="60"/>
  <c r="F97" i="60"/>
  <c r="F135" i="60"/>
  <c r="F147" i="60"/>
  <c r="F104" i="60"/>
  <c r="F275" i="60"/>
  <c r="F342" i="60"/>
  <c r="F79" i="60"/>
  <c r="F660" i="60"/>
  <c r="F121" i="60"/>
  <c r="F356" i="60"/>
  <c r="F148" i="60"/>
  <c r="F112" i="60"/>
  <c r="F24" i="60"/>
  <c r="F18" i="60"/>
  <c r="F38" i="60"/>
  <c r="F54" i="60"/>
  <c r="F78" i="60"/>
  <c r="F94" i="60"/>
  <c r="F110" i="60"/>
  <c r="F130" i="60"/>
  <c r="F150" i="60"/>
  <c r="F166" i="60"/>
  <c r="F182" i="60"/>
  <c r="F198" i="60"/>
  <c r="F214" i="60"/>
  <c r="F230" i="60"/>
  <c r="F246" i="60"/>
  <c r="F262" i="60"/>
  <c r="F278" i="60"/>
  <c r="F294" i="60"/>
  <c r="F310" i="60"/>
  <c r="F326" i="60"/>
  <c r="F346" i="60"/>
  <c r="F31" i="60"/>
  <c r="F52" i="60"/>
  <c r="F73" i="60"/>
  <c r="F100" i="60"/>
  <c r="F132" i="60"/>
  <c r="F159" i="60"/>
  <c r="F180" i="60"/>
  <c r="F201" i="60"/>
  <c r="F223" i="60"/>
  <c r="F249" i="60"/>
  <c r="F276" i="60"/>
  <c r="F297" i="60"/>
  <c r="F319" i="60"/>
  <c r="F345" i="60"/>
  <c r="F363" i="60"/>
  <c r="F379" i="60"/>
  <c r="F395" i="60"/>
  <c r="F411" i="60"/>
  <c r="F427" i="60"/>
  <c r="F443" i="60"/>
  <c r="F459" i="60"/>
  <c r="F475" i="60"/>
  <c r="F491" i="60"/>
  <c r="F507" i="60"/>
  <c r="F523" i="60"/>
  <c r="F539" i="60"/>
  <c r="F555" i="60"/>
  <c r="F571" i="60"/>
  <c r="F587" i="60"/>
  <c r="F603" i="60"/>
  <c r="F619" i="60"/>
  <c r="F635" i="60"/>
  <c r="F651" i="60"/>
  <c r="F667" i="60"/>
  <c r="F683" i="60"/>
  <c r="F699" i="60"/>
  <c r="F715" i="60"/>
  <c r="F731" i="60"/>
  <c r="F21" i="60"/>
  <c r="F43" i="60"/>
  <c r="F17" i="60"/>
  <c r="F60" i="60"/>
  <c r="F109" i="60"/>
  <c r="F139" i="60"/>
  <c r="F173" i="60"/>
  <c r="F203" i="60"/>
  <c r="F231" i="60"/>
  <c r="F259" i="60"/>
  <c r="F288" i="60"/>
  <c r="F316" i="60"/>
  <c r="F344" i="60"/>
  <c r="F368" i="60"/>
  <c r="F389" i="60"/>
  <c r="F410" i="60"/>
  <c r="F432" i="60"/>
  <c r="F453" i="60"/>
  <c r="F474" i="60"/>
  <c r="F496" i="60"/>
  <c r="F517" i="60"/>
  <c r="F538" i="60"/>
  <c r="F565" i="60"/>
  <c r="F592" i="60"/>
  <c r="F613" i="60"/>
  <c r="F634" i="60"/>
  <c r="F656" i="60"/>
  <c r="F677" i="60"/>
  <c r="F698" i="60"/>
  <c r="F22" i="60"/>
  <c r="F26" i="60"/>
  <c r="F46" i="60"/>
  <c r="F62" i="60"/>
  <c r="F86" i="60"/>
  <c r="F102" i="60"/>
  <c r="F122" i="60"/>
  <c r="F138" i="60"/>
  <c r="F158" i="60"/>
  <c r="F174" i="60"/>
  <c r="F190" i="60"/>
  <c r="F206" i="60"/>
  <c r="F222" i="60"/>
  <c r="F238" i="60"/>
  <c r="F254" i="60"/>
  <c r="F270" i="60"/>
  <c r="F286" i="60"/>
  <c r="F302" i="60"/>
  <c r="F318" i="60"/>
  <c r="F334" i="60"/>
  <c r="F20" i="60"/>
  <c r="F41" i="60"/>
  <c r="F63" i="60"/>
  <c r="F89" i="60"/>
  <c r="F111" i="60"/>
  <c r="F143" i="60"/>
  <c r="F169" i="60"/>
  <c r="F191" i="60"/>
  <c r="F212" i="60"/>
  <c r="F233" i="60"/>
  <c r="F265" i="60"/>
  <c r="F287" i="60"/>
  <c r="F308" i="60"/>
  <c r="F329" i="60"/>
  <c r="F355" i="60"/>
  <c r="F371" i="60"/>
  <c r="F387" i="60"/>
  <c r="F403" i="60"/>
  <c r="F419" i="60"/>
  <c r="F435" i="60"/>
  <c r="F451" i="60"/>
  <c r="F467" i="60"/>
  <c r="F483" i="60"/>
  <c r="F499" i="60"/>
  <c r="F515" i="60"/>
  <c r="F531" i="60"/>
  <c r="F547" i="60"/>
  <c r="F563" i="60"/>
  <c r="F579" i="60"/>
  <c r="F595" i="60"/>
  <c r="F611" i="60"/>
  <c r="F627" i="60"/>
  <c r="F643" i="60"/>
  <c r="F659" i="60"/>
  <c r="F675" i="60"/>
  <c r="F691" i="60"/>
  <c r="F707" i="60"/>
  <c r="F723" i="60"/>
  <c r="F739" i="60"/>
  <c r="F32" i="60"/>
  <c r="F53" i="60"/>
  <c r="F39" i="60"/>
  <c r="F81" i="60"/>
  <c r="F124" i="60"/>
  <c r="F152" i="60"/>
  <c r="F188" i="60"/>
  <c r="F216" i="60"/>
  <c r="F245" i="60"/>
  <c r="F273" i="60"/>
  <c r="F301" i="60"/>
  <c r="F331" i="60"/>
  <c r="F357" i="60"/>
  <c r="F378" i="60"/>
  <c r="F400" i="60"/>
  <c r="F421" i="60"/>
  <c r="F442" i="60"/>
  <c r="F464" i="60"/>
  <c r="F485" i="60"/>
  <c r="F506" i="60"/>
  <c r="F528" i="60"/>
  <c r="F554" i="60"/>
  <c r="F576" i="60"/>
  <c r="F602" i="60"/>
  <c r="F624" i="60"/>
  <c r="F645" i="60"/>
  <c r="F666" i="60"/>
  <c r="F34" i="60"/>
  <c r="F70" i="60"/>
  <c r="F106" i="60"/>
  <c r="F146" i="60"/>
  <c r="F178" i="60"/>
  <c r="F210" i="60"/>
  <c r="F242" i="60"/>
  <c r="F274" i="60"/>
  <c r="F306" i="60"/>
  <c r="F338" i="60"/>
  <c r="F47" i="60"/>
  <c r="F95" i="60"/>
  <c r="F153" i="60"/>
  <c r="F196" i="60"/>
  <c r="F239" i="60"/>
  <c r="F292" i="60"/>
  <c r="F335" i="60"/>
  <c r="F375" i="60"/>
  <c r="F407" i="60"/>
  <c r="F439" i="60"/>
  <c r="F471" i="60"/>
  <c r="F503" i="60"/>
  <c r="F535" i="60"/>
  <c r="F567" i="60"/>
  <c r="F599" i="60"/>
  <c r="F631" i="60"/>
  <c r="F663" i="60"/>
  <c r="F695" i="60"/>
  <c r="F727" i="60"/>
  <c r="F37" i="60"/>
  <c r="F49" i="60"/>
  <c r="F131" i="60"/>
  <c r="F195" i="60"/>
  <c r="F252" i="60"/>
  <c r="F309" i="60"/>
  <c r="F362" i="60"/>
  <c r="F405" i="60"/>
  <c r="F448" i="60"/>
  <c r="F490" i="60"/>
  <c r="F533" i="60"/>
  <c r="F581" i="60"/>
  <c r="F629" i="60"/>
  <c r="F672" i="60"/>
  <c r="F704" i="60"/>
  <c r="F725" i="60"/>
  <c r="F428" i="60"/>
  <c r="F465" i="60"/>
  <c r="F502" i="60"/>
  <c r="F540" i="60"/>
  <c r="F577" i="60"/>
  <c r="F614" i="60"/>
  <c r="F652" i="60"/>
  <c r="F689" i="60"/>
  <c r="F726" i="60"/>
  <c r="F29" i="60"/>
  <c r="F69" i="60"/>
  <c r="F119" i="60"/>
  <c r="F155" i="60"/>
  <c r="F183" i="60"/>
  <c r="F211" i="60"/>
  <c r="F240" i="60"/>
  <c r="F268" i="60"/>
  <c r="F304" i="60"/>
  <c r="F332" i="60"/>
  <c r="F358" i="60"/>
  <c r="F385" i="60"/>
  <c r="F412" i="60"/>
  <c r="F444" i="60"/>
  <c r="F497" i="60"/>
  <c r="F550" i="60"/>
  <c r="F598" i="60"/>
  <c r="F646" i="60"/>
  <c r="F694" i="60"/>
  <c r="F742" i="60"/>
  <c r="F77" i="60"/>
  <c r="F149" i="60"/>
  <c r="F205" i="60"/>
  <c r="F277" i="60"/>
  <c r="F333" i="60"/>
  <c r="F381" i="60"/>
  <c r="F424" i="60"/>
  <c r="F466" i="60"/>
  <c r="F509" i="60"/>
  <c r="F552" i="60"/>
  <c r="F594" i="60"/>
  <c r="F637" i="60"/>
  <c r="F680" i="60"/>
  <c r="F722" i="60"/>
  <c r="F724" i="60"/>
  <c r="F241" i="60"/>
  <c r="F354" i="60"/>
  <c r="F440" i="60"/>
  <c r="F536" i="60"/>
  <c r="F621" i="60"/>
  <c r="F728" i="60"/>
  <c r="F172" i="60"/>
  <c r="F285" i="60"/>
  <c r="F398" i="60"/>
  <c r="F473" i="60"/>
  <c r="F548" i="60"/>
  <c r="F633" i="60"/>
  <c r="F718" i="60"/>
  <c r="F80" i="60"/>
  <c r="F136" i="60"/>
  <c r="F193" i="60"/>
  <c r="F251" i="60"/>
  <c r="F307" i="60"/>
  <c r="F361" i="60"/>
  <c r="F404" i="60"/>
  <c r="F446" i="60"/>
  <c r="F489" i="60"/>
  <c r="F532" i="60"/>
  <c r="F574" i="60"/>
  <c r="F617" i="60"/>
  <c r="F670" i="60"/>
  <c r="F55" i="60"/>
  <c r="F113" i="60"/>
  <c r="F227" i="60"/>
  <c r="F341" i="60"/>
  <c r="F429" i="60"/>
  <c r="F525" i="60"/>
  <c r="F610" i="60"/>
  <c r="F696" i="60"/>
  <c r="F87" i="60"/>
  <c r="F187" i="60"/>
  <c r="F300" i="60"/>
  <c r="F420" i="60"/>
  <c r="F505" i="60"/>
  <c r="F622" i="60"/>
  <c r="F708" i="60"/>
  <c r="F90" i="60"/>
  <c r="F126" i="60"/>
  <c r="F194" i="60"/>
  <c r="F258" i="60"/>
  <c r="F322" i="60"/>
  <c r="F68" i="60"/>
  <c r="F175" i="60"/>
  <c r="F271" i="60"/>
  <c r="F359" i="60"/>
  <c r="F423" i="60"/>
  <c r="F487" i="60"/>
  <c r="F551" i="60"/>
  <c r="F615" i="60"/>
  <c r="F679" i="60"/>
  <c r="F16" i="60"/>
  <c r="F103" i="60"/>
  <c r="F224" i="60"/>
  <c r="F337" i="60"/>
  <c r="F426" i="60"/>
  <c r="F512" i="60"/>
  <c r="F608" i="60"/>
  <c r="F688" i="60"/>
  <c r="F736" i="60"/>
  <c r="F486" i="60"/>
  <c r="F556" i="60"/>
  <c r="F636" i="60"/>
  <c r="F710" i="60"/>
  <c r="F51" i="60"/>
  <c r="F133" i="60"/>
  <c r="F197" i="60"/>
  <c r="F253" i="60"/>
  <c r="F317" i="60"/>
  <c r="F374" i="60"/>
  <c r="F396" i="60"/>
  <c r="F470" i="60"/>
  <c r="F572" i="60"/>
  <c r="F668" i="60"/>
  <c r="F35" i="60"/>
  <c r="F177" i="60"/>
  <c r="F305" i="60"/>
  <c r="F402" i="60"/>
  <c r="F488" i="60"/>
  <c r="F42" i="60"/>
  <c r="F82" i="60"/>
  <c r="F114" i="60"/>
  <c r="F154" i="60"/>
  <c r="F186" i="60"/>
  <c r="F218" i="60"/>
  <c r="F250" i="60"/>
  <c r="F282" i="60"/>
  <c r="F314" i="60"/>
  <c r="F350" i="60"/>
  <c r="F57" i="60"/>
  <c r="F105" i="60"/>
  <c r="F164" i="60"/>
  <c r="F207" i="60"/>
  <c r="F255" i="60"/>
  <c r="F303" i="60"/>
  <c r="F351" i="60"/>
  <c r="F383" i="60"/>
  <c r="F415" i="60"/>
  <c r="F447" i="60"/>
  <c r="F479" i="60"/>
  <c r="F511" i="60"/>
  <c r="F543" i="60"/>
  <c r="F575" i="60"/>
  <c r="F607" i="60"/>
  <c r="F639" i="60"/>
  <c r="F671" i="60"/>
  <c r="F703" i="60"/>
  <c r="F735" i="60"/>
  <c r="F48" i="60"/>
  <c r="F67" i="60"/>
  <c r="F145" i="60"/>
  <c r="F209" i="60"/>
  <c r="F267" i="60"/>
  <c r="F323" i="60"/>
  <c r="F373" i="60"/>
  <c r="F416" i="60"/>
  <c r="F458" i="60"/>
  <c r="F501" i="60"/>
  <c r="F549" i="60"/>
  <c r="F597" i="60"/>
  <c r="F640" i="60"/>
  <c r="F682" i="60"/>
  <c r="F709" i="60"/>
  <c r="F730" i="60"/>
  <c r="F438" i="60"/>
  <c r="F476" i="60"/>
  <c r="F513" i="60"/>
  <c r="F545" i="60"/>
  <c r="F588" i="60"/>
  <c r="F625" i="60"/>
  <c r="F662" i="60"/>
  <c r="F700" i="60"/>
  <c r="F737" i="60"/>
  <c r="F40" i="60"/>
  <c r="F76" i="60"/>
  <c r="F125" i="60"/>
  <c r="F161" i="60"/>
  <c r="F189" i="60"/>
  <c r="F219" i="60"/>
  <c r="F247" i="60"/>
  <c r="F283" i="60"/>
  <c r="F311" i="60"/>
  <c r="F339" i="60"/>
  <c r="F364" i="60"/>
  <c r="F390" i="60"/>
  <c r="F417" i="60"/>
  <c r="F460" i="60"/>
  <c r="F508" i="60"/>
  <c r="F561" i="60"/>
  <c r="F609" i="60"/>
  <c r="F657" i="60"/>
  <c r="F705" i="60"/>
  <c r="F23" i="60"/>
  <c r="F92" i="60"/>
  <c r="F163" i="60"/>
  <c r="F220" i="60"/>
  <c r="F291" i="60"/>
  <c r="F348" i="60"/>
  <c r="F392" i="60"/>
  <c r="F434" i="60"/>
  <c r="F477" i="60"/>
  <c r="F520" i="60"/>
  <c r="F562" i="60"/>
  <c r="F605" i="60"/>
  <c r="F648" i="60"/>
  <c r="F690" i="60"/>
  <c r="F733" i="60"/>
  <c r="F128" i="60"/>
  <c r="F269" i="60"/>
  <c r="F376" i="60"/>
  <c r="F461" i="60"/>
  <c r="F557" i="60"/>
  <c r="F642" i="60"/>
  <c r="F72" i="60"/>
  <c r="F200" i="60"/>
  <c r="F315" i="60"/>
  <c r="F409" i="60"/>
  <c r="F494" i="60"/>
  <c r="F569" i="60"/>
  <c r="F654" i="60"/>
  <c r="F729" i="60"/>
  <c r="F93" i="60"/>
  <c r="F151" i="60"/>
  <c r="F208" i="60"/>
  <c r="F264" i="60"/>
  <c r="F321" i="60"/>
  <c r="F372" i="60"/>
  <c r="F414" i="60"/>
  <c r="F457" i="60"/>
  <c r="F500" i="60"/>
  <c r="F542" i="60"/>
  <c r="F585" i="60"/>
  <c r="F628" i="60"/>
  <c r="F681" i="60"/>
  <c r="F71" i="60"/>
  <c r="F141" i="60"/>
  <c r="F256" i="60"/>
  <c r="F365" i="60"/>
  <c r="F450" i="60"/>
  <c r="F546" i="60"/>
  <c r="F632" i="60"/>
  <c r="F717" i="60"/>
  <c r="F101" i="60"/>
  <c r="F215" i="60"/>
  <c r="F328" i="60"/>
  <c r="F441" i="60"/>
  <c r="F526" i="60"/>
  <c r="F644" i="60"/>
  <c r="F740" i="60"/>
  <c r="F50" i="60"/>
  <c r="F162" i="60"/>
  <c r="F226" i="60"/>
  <c r="F290" i="60"/>
  <c r="F25" i="60"/>
  <c r="F127" i="60"/>
  <c r="F217" i="60"/>
  <c r="F313" i="60"/>
  <c r="F391" i="60"/>
  <c r="F455" i="60"/>
  <c r="F519" i="60"/>
  <c r="F583" i="60"/>
  <c r="F647" i="60"/>
  <c r="F711" i="60"/>
  <c r="F59" i="60"/>
  <c r="F167" i="60"/>
  <c r="F280" i="60"/>
  <c r="F384" i="60"/>
  <c r="F469" i="60"/>
  <c r="F560" i="60"/>
  <c r="F650" i="60"/>
  <c r="F714" i="60"/>
  <c r="F449" i="60"/>
  <c r="F518" i="60"/>
  <c r="F593" i="60"/>
  <c r="F673" i="60"/>
  <c r="F44" i="60"/>
  <c r="F83" i="60"/>
  <c r="F168" i="60"/>
  <c r="F225" i="60"/>
  <c r="F289" i="60"/>
  <c r="F347" i="60"/>
  <c r="F422" i="60"/>
  <c r="F524" i="60"/>
  <c r="F620" i="60"/>
  <c r="F721" i="60"/>
  <c r="F107" i="60"/>
  <c r="F235" i="60"/>
  <c r="F360" i="60"/>
  <c r="F445" i="60"/>
  <c r="F58" i="60"/>
  <c r="F202" i="60"/>
  <c r="F330" i="60"/>
  <c r="F185" i="60"/>
  <c r="F367" i="60"/>
  <c r="F495" i="60"/>
  <c r="F623" i="60"/>
  <c r="F27" i="60"/>
  <c r="F237" i="60"/>
  <c r="F437" i="60"/>
  <c r="F618" i="60"/>
  <c r="F741" i="60"/>
  <c r="F566" i="60"/>
  <c r="F716" i="60"/>
  <c r="F140" i="60"/>
  <c r="F261" i="60"/>
  <c r="F380" i="60"/>
  <c r="F534" i="60"/>
  <c r="F732" i="60"/>
  <c r="F263" i="60"/>
  <c r="F456" i="60"/>
  <c r="F573" i="60"/>
  <c r="F658" i="60"/>
  <c r="F692" i="60"/>
  <c r="F299" i="60"/>
  <c r="F482" i="60"/>
  <c r="F664" i="60"/>
  <c r="F229" i="60"/>
  <c r="F430" i="60"/>
  <c r="F601" i="60"/>
  <c r="F45" i="60"/>
  <c r="F165" i="60"/>
  <c r="F279" i="60"/>
  <c r="F382" i="60"/>
  <c r="F468" i="60"/>
  <c r="F553" i="60"/>
  <c r="F638" i="60"/>
  <c r="F85" i="60"/>
  <c r="F284" i="60"/>
  <c r="F472" i="60"/>
  <c r="F653" i="60"/>
  <c r="F129" i="60"/>
  <c r="F366" i="60"/>
  <c r="F558" i="60"/>
  <c r="F75" i="60"/>
  <c r="F28" i="60"/>
  <c r="F295" i="60"/>
  <c r="F480" i="60"/>
  <c r="F661" i="60"/>
  <c r="F454" i="60"/>
  <c r="F604" i="60"/>
  <c r="F19" i="60"/>
  <c r="F176" i="60"/>
  <c r="F296" i="60"/>
  <c r="F401" i="60"/>
  <c r="F582" i="60"/>
  <c r="F64" i="60"/>
  <c r="F320" i="60"/>
  <c r="F498" i="60"/>
  <c r="F584" i="60"/>
  <c r="F669" i="60"/>
  <c r="F713" i="60"/>
  <c r="F327" i="60"/>
  <c r="F514" i="60"/>
  <c r="F706" i="60"/>
  <c r="F452" i="60"/>
  <c r="F612" i="60"/>
  <c r="F65" i="60"/>
  <c r="F179" i="60"/>
  <c r="F293" i="60"/>
  <c r="F393" i="60"/>
  <c r="F478" i="60"/>
  <c r="F649" i="60"/>
  <c r="F99" i="60"/>
  <c r="F312" i="60"/>
  <c r="F674" i="60"/>
  <c r="F157" i="60"/>
  <c r="F590" i="60"/>
  <c r="F142" i="60"/>
  <c r="F266" i="60"/>
  <c r="F687" i="60"/>
  <c r="F522" i="60"/>
  <c r="F492" i="60"/>
  <c r="F204" i="60"/>
  <c r="F433" i="60"/>
  <c r="F370" i="60"/>
  <c r="F701" i="60"/>
  <c r="F578" i="60"/>
  <c r="F343" i="60"/>
  <c r="F676" i="60"/>
  <c r="F336" i="60"/>
  <c r="F425" i="60"/>
  <c r="F702" i="60"/>
  <c r="F568" i="60"/>
  <c r="F243" i="60"/>
  <c r="F298" i="60"/>
  <c r="F324" i="60"/>
  <c r="F719" i="60"/>
  <c r="F570" i="60"/>
  <c r="F529" i="60"/>
  <c r="F232" i="60"/>
  <c r="F192" i="60"/>
  <c r="F626" i="60"/>
  <c r="F418" i="60"/>
  <c r="F377" i="60"/>
  <c r="F123" i="60"/>
  <c r="F349" i="60"/>
  <c r="F606" i="60"/>
  <c r="F408" i="60"/>
  <c r="F272" i="60"/>
  <c r="F686" i="60"/>
  <c r="F98" i="60"/>
  <c r="F234" i="60"/>
  <c r="F36" i="60"/>
  <c r="F228" i="60"/>
  <c r="F399" i="60"/>
  <c r="F527" i="60"/>
  <c r="F655" i="60"/>
  <c r="F257" i="60"/>
  <c r="F564" i="60"/>
  <c r="F493" i="60"/>
  <c r="F388" i="60"/>
  <c r="F134" i="60"/>
  <c r="F84" i="60"/>
  <c r="F281" i="60"/>
  <c r="F559" i="60"/>
  <c r="F117" i="60"/>
  <c r="F693" i="60"/>
  <c r="F61" i="60"/>
  <c r="F630" i="60"/>
  <c r="F530" i="60"/>
  <c r="F184" i="60"/>
  <c r="F115" i="60"/>
  <c r="F108" i="60"/>
  <c r="F596" i="60"/>
  <c r="F386" i="60"/>
  <c r="F462" i="60"/>
  <c r="F137" i="60"/>
  <c r="F591" i="60"/>
  <c r="F394" i="60"/>
  <c r="F678" i="60"/>
  <c r="F353" i="60"/>
  <c r="F413" i="60"/>
  <c r="F712" i="60"/>
  <c r="F600" i="60"/>
  <c r="F697" i="60"/>
  <c r="F436" i="60"/>
  <c r="F734" i="60"/>
  <c r="F56" i="60"/>
  <c r="F431" i="60"/>
  <c r="F352" i="60"/>
  <c r="F641" i="60"/>
  <c r="F325" i="60"/>
  <c r="F120" i="60"/>
  <c r="F616" i="60"/>
  <c r="F397" i="60"/>
  <c r="F516" i="60"/>
  <c r="F221" i="60"/>
  <c r="F510" i="60"/>
  <c r="F156" i="60"/>
  <c r="F738" i="60"/>
  <c r="F665" i="60"/>
  <c r="F170" i="60"/>
  <c r="F463" i="60"/>
  <c r="F181" i="60"/>
  <c r="F720" i="60"/>
  <c r="F91" i="60"/>
  <c r="F481" i="60"/>
  <c r="F684" i="60"/>
  <c r="F541" i="60"/>
  <c r="F213" i="60"/>
  <c r="F144" i="60"/>
  <c r="F537" i="60"/>
  <c r="F236" i="60"/>
  <c r="F521" i="60"/>
  <c r="F199" i="60"/>
  <c r="F589" i="60"/>
  <c r="F484" i="60"/>
  <c r="F30" i="60"/>
  <c r="F14" i="60"/>
  <c r="G14" i="60" s="1"/>
  <c r="F15" i="60"/>
  <c r="E35" i="28"/>
  <c r="G15" i="60" l="1"/>
  <c r="G16" i="60" s="1"/>
  <c r="G17" i="60" s="1"/>
  <c r="G18" i="60" s="1"/>
  <c r="G19" i="60" s="1"/>
  <c r="G20" i="60" s="1"/>
  <c r="G21" i="60" s="1"/>
  <c r="G22" i="60" s="1"/>
  <c r="G23" i="60" s="1"/>
  <c r="G24" i="60" s="1"/>
  <c r="G25" i="60" s="1"/>
  <c r="G26" i="60" s="1"/>
  <c r="G27" i="60" s="1"/>
  <c r="G28" i="60" s="1"/>
  <c r="G29" i="60" s="1"/>
  <c r="G30" i="60" s="1"/>
  <c r="G31" i="60" s="1"/>
  <c r="G32" i="60" s="1"/>
  <c r="G33" i="60" s="1"/>
  <c r="G34" i="60" s="1"/>
  <c r="G35" i="60" s="1"/>
  <c r="G36" i="60" s="1"/>
  <c r="G37" i="60" s="1"/>
  <c r="G38" i="60" s="1"/>
  <c r="G39" i="60" s="1"/>
  <c r="G40" i="60" s="1"/>
  <c r="G41" i="60" s="1"/>
  <c r="G42" i="60" s="1"/>
  <c r="G43" i="60" s="1"/>
  <c r="G44" i="60" s="1"/>
  <c r="G45" i="60" s="1"/>
  <c r="G46" i="60" s="1"/>
  <c r="G47" i="60" s="1"/>
  <c r="G48" i="60" s="1"/>
  <c r="G49" i="60" s="1"/>
  <c r="G50" i="60" s="1"/>
  <c r="G51" i="60" s="1"/>
  <c r="G52" i="60" s="1"/>
  <c r="G53" i="60" s="1"/>
  <c r="G54" i="60" s="1"/>
  <c r="G55" i="60" s="1"/>
  <c r="G56" i="60" s="1"/>
  <c r="G57" i="60" s="1"/>
  <c r="G58" i="60" s="1"/>
  <c r="G59" i="60" s="1"/>
  <c r="G60" i="60" s="1"/>
  <c r="G61" i="60" s="1"/>
  <c r="G62" i="60" s="1"/>
  <c r="G63" i="60" s="1"/>
  <c r="G64" i="60" s="1"/>
  <c r="G65" i="60" s="1"/>
  <c r="G66" i="60" s="1"/>
  <c r="G67" i="60" s="1"/>
  <c r="G68" i="60" s="1"/>
  <c r="G69" i="60" s="1"/>
  <c r="G70" i="60" s="1"/>
  <c r="G71" i="60" s="1"/>
  <c r="G72" i="60" s="1"/>
  <c r="G73" i="60" s="1"/>
  <c r="G74" i="60" s="1"/>
  <c r="G75" i="60" s="1"/>
  <c r="G76" i="60" s="1"/>
  <c r="G77" i="60" s="1"/>
  <c r="G78" i="60" s="1"/>
  <c r="G79" i="60" s="1"/>
  <c r="G80" i="60" s="1"/>
  <c r="G81" i="60" s="1"/>
  <c r="G82" i="60" s="1"/>
  <c r="G83" i="60" s="1"/>
  <c r="G84" i="60" s="1"/>
  <c r="G85" i="60" s="1"/>
  <c r="G86" i="60" s="1"/>
  <c r="G87" i="60" s="1"/>
  <c r="G88" i="60" s="1"/>
  <c r="G89" i="60" s="1"/>
  <c r="G90" i="60" s="1"/>
  <c r="G91" i="60" s="1"/>
  <c r="G92" i="60" s="1"/>
  <c r="G93" i="60" s="1"/>
  <c r="G94" i="60" s="1"/>
  <c r="G95" i="60" s="1"/>
  <c r="G96" i="60" s="1"/>
  <c r="G97" i="60" s="1"/>
  <c r="G98" i="60" s="1"/>
  <c r="G99" i="60" s="1"/>
  <c r="G100" i="60" s="1"/>
  <c r="G101" i="60" s="1"/>
  <c r="G102" i="60" s="1"/>
  <c r="G103" i="60" s="1"/>
  <c r="G104" i="60" s="1"/>
  <c r="G105" i="60" s="1"/>
  <c r="G106" i="60" s="1"/>
  <c r="G107" i="60" s="1"/>
  <c r="G108" i="60" s="1"/>
  <c r="G109" i="60" s="1"/>
  <c r="G110" i="60" s="1"/>
  <c r="G111" i="60" s="1"/>
  <c r="G112" i="60" s="1"/>
  <c r="G113" i="60" s="1"/>
  <c r="G114" i="60" s="1"/>
  <c r="G115" i="60" s="1"/>
  <c r="G116" i="60" s="1"/>
  <c r="G117" i="60" s="1"/>
  <c r="G118" i="60" s="1"/>
  <c r="G119" i="60" s="1"/>
  <c r="G120" i="60" s="1"/>
  <c r="G121" i="60" s="1"/>
  <c r="G122" i="60" s="1"/>
  <c r="G123" i="60" s="1"/>
  <c r="G124" i="60" s="1"/>
  <c r="G125" i="60" s="1"/>
  <c r="G126" i="60" s="1"/>
  <c r="G127" i="60" s="1"/>
  <c r="G128" i="60" s="1"/>
  <c r="G129" i="60" s="1"/>
  <c r="G130" i="60" s="1"/>
  <c r="G131" i="60" s="1"/>
  <c r="G132" i="60" s="1"/>
  <c r="G133" i="60" s="1"/>
  <c r="G134" i="60" s="1"/>
  <c r="G135" i="60" s="1"/>
  <c r="G136" i="60" s="1"/>
  <c r="G137" i="60" s="1"/>
  <c r="G138" i="60" s="1"/>
  <c r="G139" i="60" s="1"/>
  <c r="G140" i="60" s="1"/>
  <c r="G141" i="60" s="1"/>
  <c r="G142" i="60" s="1"/>
  <c r="G143" i="60" s="1"/>
  <c r="G144" i="60" s="1"/>
  <c r="G145" i="60" s="1"/>
  <c r="G146" i="60" s="1"/>
  <c r="G147" i="60" s="1"/>
  <c r="G148" i="60" s="1"/>
  <c r="G149" i="60" s="1"/>
  <c r="G150" i="60" s="1"/>
  <c r="G151" i="60" s="1"/>
  <c r="G152" i="60" s="1"/>
  <c r="G153" i="60" s="1"/>
  <c r="G154" i="60" s="1"/>
  <c r="G155" i="60" s="1"/>
  <c r="G156" i="60" s="1"/>
  <c r="G157" i="60" s="1"/>
  <c r="G158" i="60" s="1"/>
  <c r="G159" i="60" s="1"/>
  <c r="G160" i="60" s="1"/>
  <c r="G161" i="60" s="1"/>
  <c r="G162" i="60" s="1"/>
  <c r="G163" i="60" s="1"/>
  <c r="G164" i="60" s="1"/>
  <c r="G165" i="60" s="1"/>
  <c r="G166" i="60" s="1"/>
  <c r="G167" i="60" s="1"/>
  <c r="G168" i="60" s="1"/>
  <c r="G169" i="60" s="1"/>
  <c r="G170" i="60" s="1"/>
  <c r="G171" i="60" s="1"/>
  <c r="G172" i="60" s="1"/>
  <c r="G173" i="60" s="1"/>
  <c r="G174" i="60" s="1"/>
  <c r="G175" i="60" s="1"/>
  <c r="G176" i="60" s="1"/>
  <c r="G177" i="60" s="1"/>
  <c r="G178" i="60" s="1"/>
  <c r="G179" i="60" s="1"/>
  <c r="G180" i="60" s="1"/>
  <c r="G181" i="60" s="1"/>
  <c r="G182" i="60" s="1"/>
  <c r="G183" i="60" s="1"/>
  <c r="G184" i="60" s="1"/>
  <c r="G185" i="60" s="1"/>
  <c r="G186" i="60" s="1"/>
  <c r="G187" i="60" s="1"/>
  <c r="G188" i="60" s="1"/>
  <c r="G189" i="60" s="1"/>
  <c r="G190" i="60" s="1"/>
  <c r="G191" i="60" s="1"/>
  <c r="G192" i="60" s="1"/>
  <c r="G193" i="60" s="1"/>
  <c r="G194" i="60" s="1"/>
  <c r="G195" i="60" s="1"/>
  <c r="G196" i="60" s="1"/>
  <c r="G197" i="60" s="1"/>
  <c r="G198" i="60" s="1"/>
  <c r="G199" i="60" s="1"/>
  <c r="G200" i="60" s="1"/>
  <c r="G201" i="60" s="1"/>
  <c r="G202" i="60" s="1"/>
  <c r="G203" i="60" s="1"/>
  <c r="G204" i="60" s="1"/>
  <c r="G205" i="60" s="1"/>
  <c r="G206" i="60" s="1"/>
  <c r="G207" i="60" s="1"/>
  <c r="G208" i="60" s="1"/>
  <c r="G209" i="60" s="1"/>
  <c r="G210" i="60" s="1"/>
  <c r="G211" i="60" s="1"/>
  <c r="G212" i="60" s="1"/>
  <c r="G213" i="60" s="1"/>
  <c r="G214" i="60" s="1"/>
  <c r="G215" i="60" s="1"/>
  <c r="G216" i="60" s="1"/>
  <c r="G217" i="60" s="1"/>
  <c r="G218" i="60" s="1"/>
  <c r="G219" i="60" s="1"/>
  <c r="G220" i="60" s="1"/>
  <c r="G221" i="60" s="1"/>
  <c r="G222" i="60" s="1"/>
  <c r="G223" i="60" s="1"/>
  <c r="G224" i="60" s="1"/>
  <c r="G225" i="60" s="1"/>
  <c r="G226" i="60" s="1"/>
  <c r="G227" i="60" s="1"/>
  <c r="G228" i="60" s="1"/>
  <c r="G229" i="60" s="1"/>
  <c r="G230" i="60" s="1"/>
  <c r="G231" i="60" s="1"/>
  <c r="G232" i="60" s="1"/>
  <c r="G233" i="60" s="1"/>
  <c r="G234" i="60" s="1"/>
  <c r="G235" i="60" s="1"/>
  <c r="G236" i="60" s="1"/>
  <c r="G237" i="60" s="1"/>
  <c r="G238" i="60" s="1"/>
  <c r="G239" i="60" s="1"/>
  <c r="G240" i="60" s="1"/>
  <c r="G241" i="60" s="1"/>
  <c r="G242" i="60" s="1"/>
  <c r="G243" i="60" s="1"/>
  <c r="G244" i="60" s="1"/>
  <c r="G245" i="60" s="1"/>
  <c r="G246" i="60" s="1"/>
  <c r="G247" i="60" s="1"/>
  <c r="G248" i="60" s="1"/>
  <c r="G249" i="60" s="1"/>
  <c r="G250" i="60" s="1"/>
  <c r="G251" i="60" s="1"/>
  <c r="G252" i="60" s="1"/>
  <c r="G253" i="60" s="1"/>
  <c r="G254" i="60" s="1"/>
  <c r="G255" i="60" s="1"/>
  <c r="G256" i="60" s="1"/>
  <c r="G257" i="60" s="1"/>
  <c r="G258" i="60" s="1"/>
  <c r="G259" i="60" s="1"/>
  <c r="G260" i="60" s="1"/>
  <c r="G261" i="60" s="1"/>
  <c r="G262" i="60" s="1"/>
  <c r="G263" i="60" s="1"/>
  <c r="G264" i="60" s="1"/>
  <c r="G265" i="60" s="1"/>
  <c r="G266" i="60" s="1"/>
  <c r="G267" i="60" s="1"/>
  <c r="G268" i="60" s="1"/>
  <c r="G269" i="60" s="1"/>
  <c r="G270" i="60" s="1"/>
  <c r="G271" i="60" s="1"/>
  <c r="G272" i="60" s="1"/>
  <c r="G273" i="60" s="1"/>
  <c r="G274" i="60" s="1"/>
  <c r="G275" i="60" s="1"/>
  <c r="G276" i="60" s="1"/>
  <c r="G277" i="60" s="1"/>
  <c r="G278" i="60" s="1"/>
  <c r="G279" i="60" s="1"/>
  <c r="G280" i="60" s="1"/>
  <c r="G281" i="60" s="1"/>
  <c r="G282" i="60" s="1"/>
  <c r="G283" i="60" s="1"/>
  <c r="G284" i="60" s="1"/>
  <c r="G285" i="60" s="1"/>
  <c r="G286" i="60" s="1"/>
  <c r="G287" i="60" s="1"/>
  <c r="G288" i="60" s="1"/>
  <c r="G289" i="60" s="1"/>
  <c r="G290" i="60" s="1"/>
  <c r="G291" i="60" s="1"/>
  <c r="G292" i="60" s="1"/>
  <c r="G293" i="60" s="1"/>
  <c r="G294" i="60" s="1"/>
  <c r="G295" i="60" s="1"/>
  <c r="G296" i="60" s="1"/>
  <c r="G297" i="60" s="1"/>
  <c r="G298" i="60" s="1"/>
  <c r="G299" i="60" s="1"/>
  <c r="G300" i="60" s="1"/>
  <c r="G301" i="60" s="1"/>
  <c r="G302" i="60" s="1"/>
  <c r="G303" i="60" s="1"/>
  <c r="G304" i="60" s="1"/>
  <c r="G305" i="60" s="1"/>
  <c r="G306" i="60" s="1"/>
  <c r="G307" i="60" s="1"/>
  <c r="G308" i="60" s="1"/>
  <c r="G309" i="60" s="1"/>
  <c r="G310" i="60" s="1"/>
  <c r="G311" i="60" s="1"/>
  <c r="G312" i="60" s="1"/>
  <c r="G313" i="60" s="1"/>
  <c r="G314" i="60" s="1"/>
  <c r="G315" i="60" s="1"/>
  <c r="G316" i="60" s="1"/>
  <c r="G317" i="60" s="1"/>
  <c r="G318" i="60" s="1"/>
  <c r="G319" i="60" s="1"/>
  <c r="G320" i="60" s="1"/>
  <c r="G321" i="60" s="1"/>
  <c r="G322" i="60" s="1"/>
  <c r="G323" i="60" s="1"/>
  <c r="G324" i="60" s="1"/>
  <c r="G325" i="60" s="1"/>
  <c r="G326" i="60" s="1"/>
  <c r="G327" i="60" s="1"/>
  <c r="G328" i="60" s="1"/>
  <c r="G329" i="60" s="1"/>
  <c r="G330" i="60" s="1"/>
  <c r="G331" i="60" s="1"/>
  <c r="G332" i="60" s="1"/>
  <c r="G333" i="60" s="1"/>
  <c r="G334" i="60" s="1"/>
  <c r="G335" i="60" s="1"/>
  <c r="G336" i="60" s="1"/>
  <c r="G337" i="60" s="1"/>
  <c r="G338" i="60" s="1"/>
  <c r="G339" i="60" s="1"/>
  <c r="G340" i="60" s="1"/>
  <c r="G341" i="60" s="1"/>
  <c r="G342" i="60" s="1"/>
  <c r="G343" i="60" s="1"/>
  <c r="G344" i="60" s="1"/>
  <c r="G345" i="60" s="1"/>
  <c r="G346" i="60" s="1"/>
  <c r="G347" i="60" s="1"/>
  <c r="G348" i="60" s="1"/>
  <c r="G349" i="60" s="1"/>
  <c r="G350" i="60" s="1"/>
  <c r="G351" i="60" s="1"/>
  <c r="G352" i="60" s="1"/>
  <c r="G353" i="60" s="1"/>
  <c r="G354" i="60" s="1"/>
  <c r="G355" i="60" s="1"/>
  <c r="G356" i="60" s="1"/>
  <c r="G357" i="60" s="1"/>
  <c r="G358" i="60" s="1"/>
  <c r="G359" i="60" s="1"/>
  <c r="G360" i="60" s="1"/>
  <c r="G361" i="60" s="1"/>
  <c r="G362" i="60" s="1"/>
  <c r="G363" i="60" s="1"/>
  <c r="G364" i="60" s="1"/>
  <c r="G365" i="60" s="1"/>
  <c r="G366" i="60" s="1"/>
  <c r="G367" i="60" s="1"/>
  <c r="G368" i="60" s="1"/>
  <c r="G369" i="60" s="1"/>
  <c r="G370" i="60" s="1"/>
  <c r="G371" i="60" s="1"/>
  <c r="G372" i="60" s="1"/>
  <c r="G373" i="60" s="1"/>
  <c r="G374" i="60" s="1"/>
  <c r="G375" i="60" s="1"/>
  <c r="G376" i="60" s="1"/>
  <c r="G377" i="60" s="1"/>
  <c r="G378" i="60" s="1"/>
  <c r="G379" i="60" s="1"/>
  <c r="G380" i="60" s="1"/>
  <c r="G381" i="60" s="1"/>
  <c r="G382" i="60" s="1"/>
  <c r="G383" i="60" s="1"/>
  <c r="G384" i="60" s="1"/>
  <c r="G385" i="60" s="1"/>
  <c r="G386" i="60" s="1"/>
  <c r="G387" i="60" s="1"/>
  <c r="G388" i="60" s="1"/>
  <c r="G389" i="60" s="1"/>
  <c r="G390" i="60" s="1"/>
  <c r="G391" i="60" s="1"/>
  <c r="G392" i="60" s="1"/>
  <c r="G393" i="60" s="1"/>
  <c r="G394" i="60" s="1"/>
  <c r="G395" i="60" s="1"/>
  <c r="G396" i="60" s="1"/>
  <c r="G397" i="60" s="1"/>
  <c r="G398" i="60" s="1"/>
  <c r="G399" i="60" s="1"/>
  <c r="G400" i="60" s="1"/>
  <c r="G401" i="60" s="1"/>
  <c r="G402" i="60" s="1"/>
  <c r="G403" i="60" s="1"/>
  <c r="G404" i="60" s="1"/>
  <c r="G405" i="60" s="1"/>
  <c r="G406" i="60" s="1"/>
  <c r="G407" i="60" s="1"/>
  <c r="G408" i="60" s="1"/>
  <c r="G409" i="60" s="1"/>
  <c r="G410" i="60" s="1"/>
  <c r="G411" i="60" s="1"/>
  <c r="G412" i="60" s="1"/>
  <c r="G413" i="60" s="1"/>
  <c r="G414" i="60" s="1"/>
  <c r="G415" i="60" s="1"/>
  <c r="G416" i="60" s="1"/>
  <c r="G417" i="60" s="1"/>
  <c r="G418" i="60" s="1"/>
  <c r="G419" i="60" s="1"/>
  <c r="G420" i="60" s="1"/>
  <c r="G421" i="60" s="1"/>
  <c r="G422" i="60" s="1"/>
  <c r="G423" i="60" s="1"/>
  <c r="G424" i="60" s="1"/>
  <c r="G425" i="60" s="1"/>
  <c r="G426" i="60" s="1"/>
  <c r="G427" i="60" s="1"/>
  <c r="G428" i="60" s="1"/>
  <c r="G429" i="60" s="1"/>
  <c r="G430" i="60" s="1"/>
  <c r="G431" i="60" s="1"/>
  <c r="G432" i="60" s="1"/>
  <c r="G433" i="60" s="1"/>
  <c r="G434" i="60" s="1"/>
  <c r="G435" i="60" s="1"/>
  <c r="G436" i="60" s="1"/>
  <c r="G437" i="60" s="1"/>
  <c r="G438" i="60" s="1"/>
  <c r="G439" i="60" s="1"/>
  <c r="G440" i="60" s="1"/>
  <c r="G441" i="60" s="1"/>
  <c r="G442" i="60" s="1"/>
  <c r="G443" i="60" s="1"/>
  <c r="G444" i="60" s="1"/>
  <c r="G445" i="60" s="1"/>
  <c r="G446" i="60" s="1"/>
  <c r="G447" i="60" s="1"/>
  <c r="G448" i="60" s="1"/>
  <c r="G449" i="60" s="1"/>
  <c r="G450" i="60" s="1"/>
  <c r="G451" i="60" s="1"/>
  <c r="G452" i="60" s="1"/>
  <c r="G453" i="60" s="1"/>
  <c r="G454" i="60" s="1"/>
  <c r="G455" i="60" s="1"/>
  <c r="G456" i="60" s="1"/>
  <c r="G457" i="60" s="1"/>
  <c r="G458" i="60" s="1"/>
  <c r="G459" i="60" s="1"/>
  <c r="G460" i="60" s="1"/>
  <c r="G461" i="60" s="1"/>
  <c r="G462" i="60" s="1"/>
  <c r="G463" i="60" s="1"/>
  <c r="G464" i="60" s="1"/>
  <c r="G465" i="60" s="1"/>
  <c r="G466" i="60" s="1"/>
  <c r="G467" i="60" s="1"/>
  <c r="G468" i="60" s="1"/>
  <c r="G469" i="60" s="1"/>
  <c r="G470" i="60" s="1"/>
  <c r="G471" i="60" s="1"/>
  <c r="G472" i="60" s="1"/>
  <c r="G473" i="60" s="1"/>
  <c r="G474" i="60" s="1"/>
  <c r="G475" i="60" s="1"/>
  <c r="G476" i="60" s="1"/>
  <c r="G477" i="60" s="1"/>
  <c r="G478" i="60" s="1"/>
  <c r="G479" i="60" s="1"/>
  <c r="G480" i="60" s="1"/>
  <c r="G481" i="60" s="1"/>
  <c r="G482" i="60" s="1"/>
  <c r="G483" i="60" s="1"/>
  <c r="G484" i="60" s="1"/>
  <c r="G485" i="60" s="1"/>
  <c r="G486" i="60" s="1"/>
  <c r="G487" i="60" s="1"/>
  <c r="G488" i="60" s="1"/>
  <c r="G489" i="60" s="1"/>
  <c r="G490" i="60" s="1"/>
  <c r="G491" i="60" s="1"/>
  <c r="G492" i="60" s="1"/>
  <c r="G493" i="60" s="1"/>
  <c r="G494" i="60" s="1"/>
  <c r="G495" i="60" s="1"/>
  <c r="G496" i="60" s="1"/>
  <c r="G497" i="60" s="1"/>
  <c r="G498" i="60" s="1"/>
  <c r="G499" i="60" s="1"/>
  <c r="G500" i="60" s="1"/>
  <c r="G501" i="60" s="1"/>
  <c r="G502" i="60" s="1"/>
  <c r="G503" i="60" s="1"/>
  <c r="G504" i="60" s="1"/>
  <c r="G505" i="60" s="1"/>
  <c r="G506" i="60" s="1"/>
  <c r="G507" i="60" s="1"/>
  <c r="G508" i="60" s="1"/>
  <c r="G509" i="60" s="1"/>
  <c r="G510" i="60" s="1"/>
  <c r="G511" i="60" s="1"/>
  <c r="G512" i="60" s="1"/>
  <c r="G513" i="60" s="1"/>
  <c r="G514" i="60" s="1"/>
  <c r="G515" i="60" s="1"/>
  <c r="G516" i="60" s="1"/>
  <c r="G517" i="60" s="1"/>
  <c r="G518" i="60" s="1"/>
  <c r="G519" i="60" s="1"/>
  <c r="G520" i="60" s="1"/>
  <c r="G521" i="60" s="1"/>
  <c r="G522" i="60" s="1"/>
  <c r="G523" i="60" s="1"/>
  <c r="G524" i="60" s="1"/>
  <c r="G525" i="60" s="1"/>
  <c r="G526" i="60" s="1"/>
  <c r="G527" i="60" s="1"/>
  <c r="G528" i="60" s="1"/>
  <c r="G529" i="60" s="1"/>
  <c r="G530" i="60" s="1"/>
  <c r="G531" i="60" s="1"/>
  <c r="G532" i="60" s="1"/>
  <c r="G533" i="60" s="1"/>
  <c r="G534" i="60" s="1"/>
  <c r="G535" i="60" s="1"/>
  <c r="G536" i="60" s="1"/>
  <c r="G537" i="60" s="1"/>
  <c r="G538" i="60" s="1"/>
  <c r="G539" i="60" s="1"/>
  <c r="G540" i="60" s="1"/>
  <c r="G541" i="60" s="1"/>
  <c r="G542" i="60" s="1"/>
  <c r="G543" i="60" s="1"/>
  <c r="G544" i="60" s="1"/>
  <c r="G545" i="60" s="1"/>
  <c r="G546" i="60" s="1"/>
  <c r="G547" i="60" s="1"/>
  <c r="G548" i="60" s="1"/>
  <c r="G549" i="60" s="1"/>
  <c r="G550" i="60" s="1"/>
  <c r="G551" i="60" s="1"/>
  <c r="G552" i="60" s="1"/>
  <c r="G553" i="60" s="1"/>
  <c r="G554" i="60" s="1"/>
  <c r="G555" i="60" s="1"/>
  <c r="G556" i="60" s="1"/>
  <c r="G557" i="60" s="1"/>
  <c r="G558" i="60" s="1"/>
  <c r="G559" i="60" s="1"/>
  <c r="G560" i="60" s="1"/>
  <c r="G561" i="60" s="1"/>
  <c r="G562" i="60" s="1"/>
  <c r="G563" i="60" s="1"/>
  <c r="G564" i="60" s="1"/>
  <c r="G565" i="60" s="1"/>
  <c r="G566" i="60" s="1"/>
  <c r="G567" i="60" s="1"/>
  <c r="G568" i="60" s="1"/>
  <c r="G569" i="60" s="1"/>
  <c r="G570" i="60" s="1"/>
  <c r="G571" i="60" s="1"/>
  <c r="G572" i="60" s="1"/>
  <c r="G573" i="60" s="1"/>
  <c r="G574" i="60" s="1"/>
  <c r="G575" i="60" s="1"/>
  <c r="G576" i="60" s="1"/>
  <c r="G577" i="60" s="1"/>
  <c r="G578" i="60" s="1"/>
  <c r="G579" i="60" s="1"/>
  <c r="G580" i="60" s="1"/>
  <c r="G581" i="60" s="1"/>
  <c r="G582" i="60" s="1"/>
  <c r="G583" i="60" s="1"/>
  <c r="G584" i="60" s="1"/>
  <c r="G585" i="60" s="1"/>
  <c r="G586" i="60" s="1"/>
  <c r="G587" i="60" s="1"/>
  <c r="G588" i="60" s="1"/>
  <c r="G589" i="60" s="1"/>
  <c r="G590" i="60" s="1"/>
  <c r="G591" i="60" s="1"/>
  <c r="G592" i="60" s="1"/>
  <c r="G593" i="60" s="1"/>
  <c r="G594" i="60" s="1"/>
  <c r="G595" i="60" s="1"/>
  <c r="G596" i="60" s="1"/>
  <c r="G597" i="60" s="1"/>
  <c r="G598" i="60" s="1"/>
  <c r="G599" i="60" s="1"/>
  <c r="G600" i="60" s="1"/>
  <c r="G601" i="60" s="1"/>
  <c r="G602" i="60" s="1"/>
  <c r="G603" i="60" s="1"/>
  <c r="G604" i="60" s="1"/>
  <c r="G605" i="60" s="1"/>
  <c r="G606" i="60" s="1"/>
  <c r="G607" i="60" s="1"/>
  <c r="G608" i="60" s="1"/>
  <c r="G609" i="60" s="1"/>
  <c r="G610" i="60" s="1"/>
  <c r="G611" i="60" s="1"/>
  <c r="G612" i="60" s="1"/>
  <c r="G613" i="60" s="1"/>
  <c r="G614" i="60" s="1"/>
  <c r="G615" i="60" s="1"/>
  <c r="G616" i="60" s="1"/>
  <c r="G617" i="60" s="1"/>
  <c r="G618" i="60" s="1"/>
  <c r="G619" i="60" s="1"/>
  <c r="G620" i="60" s="1"/>
  <c r="G621" i="60" s="1"/>
  <c r="G622" i="60" s="1"/>
  <c r="G623" i="60" s="1"/>
  <c r="G624" i="60" s="1"/>
  <c r="G625" i="60" s="1"/>
  <c r="G626" i="60" s="1"/>
  <c r="G627" i="60" s="1"/>
  <c r="G628" i="60" s="1"/>
  <c r="G629" i="60" s="1"/>
  <c r="G630" i="60" s="1"/>
  <c r="G631" i="60" s="1"/>
  <c r="G632" i="60" s="1"/>
  <c r="G633" i="60" s="1"/>
  <c r="G634" i="60" s="1"/>
  <c r="G635" i="60" s="1"/>
  <c r="G636" i="60" s="1"/>
  <c r="G637" i="60" s="1"/>
  <c r="G638" i="60" s="1"/>
  <c r="G639" i="60" s="1"/>
  <c r="G640" i="60" s="1"/>
  <c r="G641" i="60" s="1"/>
  <c r="G642" i="60" s="1"/>
  <c r="G643" i="60" s="1"/>
  <c r="G644" i="60" s="1"/>
  <c r="G645" i="60" s="1"/>
  <c r="G646" i="60" s="1"/>
  <c r="G647" i="60" s="1"/>
  <c r="G648" i="60" s="1"/>
  <c r="G649" i="60" s="1"/>
  <c r="G650" i="60" s="1"/>
  <c r="G651" i="60" s="1"/>
  <c r="G652" i="60" s="1"/>
  <c r="G653" i="60" s="1"/>
  <c r="G654" i="60" s="1"/>
  <c r="G655" i="60" s="1"/>
  <c r="G656" i="60" s="1"/>
  <c r="G657" i="60" s="1"/>
  <c r="G658" i="60" s="1"/>
  <c r="G659" i="60" s="1"/>
  <c r="G660" i="60" s="1"/>
  <c r="G661" i="60" s="1"/>
  <c r="G662" i="60" s="1"/>
  <c r="G663" i="60" s="1"/>
  <c r="G664" i="60" s="1"/>
  <c r="G665" i="60" s="1"/>
  <c r="G666" i="60" s="1"/>
  <c r="G667" i="60" s="1"/>
  <c r="G668" i="60" s="1"/>
  <c r="G669" i="60" s="1"/>
  <c r="G670" i="60" s="1"/>
  <c r="G671" i="60" s="1"/>
  <c r="G672" i="60" s="1"/>
  <c r="G673" i="60" s="1"/>
  <c r="G674" i="60" s="1"/>
  <c r="G675" i="60" s="1"/>
  <c r="G676" i="60" s="1"/>
  <c r="G677" i="60" s="1"/>
  <c r="G678" i="60" s="1"/>
  <c r="G679" i="60" s="1"/>
  <c r="G680" i="60" s="1"/>
  <c r="G681" i="60" s="1"/>
  <c r="G682" i="60" s="1"/>
  <c r="G683" i="60" s="1"/>
  <c r="G684" i="60" s="1"/>
  <c r="G685" i="60" s="1"/>
  <c r="G686" i="60" s="1"/>
  <c r="G687" i="60" s="1"/>
  <c r="G688" i="60" s="1"/>
  <c r="G689" i="60" s="1"/>
  <c r="G690" i="60" s="1"/>
  <c r="G691" i="60" s="1"/>
  <c r="G692" i="60" s="1"/>
  <c r="G693" i="60" s="1"/>
  <c r="G694" i="60" s="1"/>
  <c r="G695" i="60" s="1"/>
  <c r="G696" i="60" s="1"/>
  <c r="G697" i="60" s="1"/>
  <c r="G698" i="60" s="1"/>
  <c r="G699" i="60" s="1"/>
  <c r="G700" i="60" s="1"/>
  <c r="G701" i="60" s="1"/>
  <c r="G702" i="60" s="1"/>
  <c r="G703" i="60" s="1"/>
  <c r="G704" i="60" s="1"/>
  <c r="G705" i="60" s="1"/>
  <c r="G706" i="60" s="1"/>
  <c r="G707" i="60" s="1"/>
  <c r="G708" i="60" s="1"/>
  <c r="G709" i="60" s="1"/>
  <c r="G710" i="60" s="1"/>
  <c r="G711" i="60" s="1"/>
  <c r="G712" i="60" s="1"/>
  <c r="G713" i="60" s="1"/>
  <c r="G714" i="60" s="1"/>
  <c r="G715" i="60" s="1"/>
  <c r="G716" i="60" s="1"/>
  <c r="G717" i="60" s="1"/>
  <c r="G718" i="60" s="1"/>
  <c r="G719" i="60" s="1"/>
  <c r="G720" i="60" s="1"/>
  <c r="G721" i="60" s="1"/>
  <c r="G722" i="60" s="1"/>
  <c r="G723" i="60" s="1"/>
  <c r="G724" i="60" s="1"/>
  <c r="G725" i="60" s="1"/>
  <c r="G726" i="60" s="1"/>
  <c r="G727" i="60" s="1"/>
  <c r="G728" i="60" s="1"/>
  <c r="G729" i="60" s="1"/>
  <c r="G730" i="60" s="1"/>
  <c r="G731" i="60" s="1"/>
  <c r="G732" i="60" s="1"/>
  <c r="G733" i="60" s="1"/>
  <c r="G734" i="60" s="1"/>
  <c r="G735" i="60" s="1"/>
  <c r="G736" i="60" s="1"/>
  <c r="G737" i="60" s="1"/>
  <c r="G738" i="60" s="1"/>
  <c r="G739" i="60" s="1"/>
  <c r="G740" i="60" s="1"/>
  <c r="G741" i="60" s="1"/>
  <c r="G742" i="60" s="1"/>
  <c r="B2880" i="8"/>
  <c r="C2880" i="8"/>
  <c r="H2887" i="8"/>
  <c r="A2880" i="8"/>
  <c r="B2368" i="8"/>
  <c r="C2368" i="8"/>
  <c r="A2368" i="8"/>
  <c r="B2353" i="8"/>
  <c r="C2353" i="8"/>
  <c r="H2362" i="8"/>
  <c r="A2353" i="8"/>
  <c r="B2340" i="8"/>
  <c r="C2340" i="8"/>
  <c r="H2347" i="8"/>
  <c r="A2340" i="8"/>
  <c r="A2315" i="8"/>
  <c r="B2315" i="8"/>
  <c r="C2315" i="8"/>
  <c r="H2885" i="8" l="1"/>
  <c r="H2345" i="8"/>
  <c r="H2360" i="8"/>
  <c r="H2344" i="8" l="1"/>
  <c r="H2346" i="8" s="1"/>
  <c r="G2340" i="8" s="1"/>
  <c r="H2884" i="8"/>
  <c r="H2886" i="8" s="1"/>
  <c r="H2359" i="8"/>
  <c r="H2361" i="8" s="1"/>
  <c r="H2319" i="8"/>
  <c r="H2320" i="8"/>
  <c r="H2322" i="8"/>
  <c r="B2328" i="8"/>
  <c r="C2328" i="8"/>
  <c r="H2334" i="8"/>
  <c r="A2328" i="8"/>
  <c r="B34" i="23"/>
  <c r="A34" i="23"/>
  <c r="F42" i="23"/>
  <c r="D34" i="23"/>
  <c r="B2298" i="8"/>
  <c r="C2298" i="8"/>
  <c r="A2298" i="8"/>
  <c r="B3010" i="8"/>
  <c r="C3010" i="8"/>
  <c r="H3017" i="8"/>
  <c r="A3010" i="8"/>
  <c r="B4711" i="8"/>
  <c r="C4711" i="8"/>
  <c r="H4716" i="8"/>
  <c r="A4711" i="8"/>
  <c r="B4722" i="8"/>
  <c r="C4722" i="8"/>
  <c r="B2270" i="8"/>
  <c r="C2270" i="8"/>
  <c r="H2276" i="8"/>
  <c r="A2270" i="8"/>
  <c r="C204" i="23"/>
  <c r="A204" i="23"/>
  <c r="F212" i="23"/>
  <c r="D204" i="23"/>
  <c r="E21" i="1"/>
  <c r="K21" i="1" s="1"/>
  <c r="H2364" i="8" l="1"/>
  <c r="H2365" i="8" s="1"/>
  <c r="G2353" i="8"/>
  <c r="H2888" i="8"/>
  <c r="H2880" i="8" s="1"/>
  <c r="G2880" i="8"/>
  <c r="H2889" i="8"/>
  <c r="H2890" i="8" s="1"/>
  <c r="H2321" i="8"/>
  <c r="H2363" i="8"/>
  <c r="H2353" i="8" s="1"/>
  <c r="H2349" i="8"/>
  <c r="H2350" i="8" s="1"/>
  <c r="H2348" i="8"/>
  <c r="H2340" i="8" s="1"/>
  <c r="H2332" i="8"/>
  <c r="H2331" i="8"/>
  <c r="H3015" i="8"/>
  <c r="H4713" i="8"/>
  <c r="H4714" i="8"/>
  <c r="H2273" i="8"/>
  <c r="H2274" i="8"/>
  <c r="H1267" i="8"/>
  <c r="B32" i="30"/>
  <c r="F132" i="23"/>
  <c r="H4353" i="8"/>
  <c r="H4281" i="8"/>
  <c r="H4259" i="8"/>
  <c r="H4131" i="8"/>
  <c r="B3869" i="8"/>
  <c r="C3869" i="8"/>
  <c r="H3875" i="8"/>
  <c r="A3869" i="8"/>
  <c r="H3860" i="8"/>
  <c r="H2323" i="8" l="1"/>
  <c r="H2315" i="8" s="1"/>
  <c r="G2315" i="8"/>
  <c r="H2324" i="8"/>
  <c r="H2325" i="8" s="1"/>
  <c r="H2333" i="8"/>
  <c r="H3014" i="8"/>
  <c r="H3016" i="8" s="1"/>
  <c r="G3010" i="8" s="1"/>
  <c r="H4715" i="8"/>
  <c r="H2275" i="8"/>
  <c r="G2270" i="8" s="1"/>
  <c r="H3873" i="8"/>
  <c r="H3872" i="8"/>
  <c r="B3770" i="8"/>
  <c r="C3770" i="8"/>
  <c r="H1113" i="8"/>
  <c r="B1025" i="8"/>
  <c r="C1025" i="8"/>
  <c r="A1025" i="8"/>
  <c r="H4717" i="8" l="1"/>
  <c r="H4711" i="8" s="1"/>
  <c r="G4711" i="8"/>
  <c r="H2336" i="8"/>
  <c r="H2337" i="8" s="1"/>
  <c r="G2328" i="8"/>
  <c r="H2335" i="8"/>
  <c r="H2328" i="8" s="1"/>
  <c r="H3018" i="8"/>
  <c r="H3010" i="8" s="1"/>
  <c r="H3019" i="8"/>
  <c r="H3020" i="8" s="1"/>
  <c r="H4718" i="8"/>
  <c r="H4719" i="8" s="1"/>
  <c r="H3874" i="8"/>
  <c r="H2278" i="8"/>
  <c r="H2279" i="8" s="1"/>
  <c r="H2277" i="8"/>
  <c r="H2270" i="8" s="1"/>
  <c r="H1027" i="8"/>
  <c r="H3773" i="8"/>
  <c r="H1028" i="8"/>
  <c r="H3876" i="8" l="1"/>
  <c r="H3869" i="8" s="1"/>
  <c r="G3869" i="8"/>
  <c r="H3877" i="8"/>
  <c r="H3878" i="8" s="1"/>
  <c r="H1029" i="8"/>
  <c r="G1025" i="8" s="1"/>
  <c r="H1032" i="8" l="1"/>
  <c r="H1033" i="8" s="1"/>
  <c r="H961" i="8"/>
  <c r="F32" i="23"/>
  <c r="H345" i="8"/>
  <c r="H960" i="8" l="1"/>
  <c r="H962" i="8" s="1"/>
  <c r="G950" i="8" s="1"/>
  <c r="H965" i="8" l="1"/>
  <c r="H966" i="8" s="1"/>
  <c r="H22" i="8"/>
  <c r="K25" i="27"/>
  <c r="B25" i="27"/>
  <c r="A25" i="27"/>
  <c r="K34" i="27"/>
  <c r="G34" i="27"/>
  <c r="J34" i="27" s="1"/>
  <c r="K33" i="27"/>
  <c r="G33" i="27"/>
  <c r="J33" i="27" s="1"/>
  <c r="K32" i="27"/>
  <c r="G32" i="27"/>
  <c r="J32" i="27" s="1"/>
  <c r="K31" i="27"/>
  <c r="G31" i="27"/>
  <c r="J31" i="27" s="1"/>
  <c r="K30" i="27"/>
  <c r="G30" i="27"/>
  <c r="J30" i="27" s="1"/>
  <c r="K29" i="27"/>
  <c r="G29" i="27"/>
  <c r="J29" i="27" s="1"/>
  <c r="G19" i="27"/>
  <c r="J19" i="27" s="1"/>
  <c r="G18" i="27"/>
  <c r="G17" i="27"/>
  <c r="K22" i="27"/>
  <c r="G22" i="27"/>
  <c r="J22" i="27" s="1"/>
  <c r="K21" i="27"/>
  <c r="G21" i="27"/>
  <c r="J21" i="27" s="1"/>
  <c r="K20" i="27"/>
  <c r="G20" i="27"/>
  <c r="J20" i="27" s="1"/>
  <c r="K19" i="27"/>
  <c r="K18" i="27"/>
  <c r="J18" i="27"/>
  <c r="K17" i="27"/>
  <c r="J17" i="27"/>
  <c r="K44" i="27"/>
  <c r="G44" i="27"/>
  <c r="J44" i="27" s="1"/>
  <c r="G43" i="27"/>
  <c r="G42" i="27"/>
  <c r="G41" i="27"/>
  <c r="J41" i="27"/>
  <c r="K13" i="27"/>
  <c r="B13" i="27"/>
  <c r="A13" i="27"/>
  <c r="I28" i="22"/>
  <c r="I29" i="22" s="1"/>
  <c r="E34" i="1" s="1"/>
  <c r="K34" i="1" s="1"/>
  <c r="H56" i="8"/>
  <c r="B54" i="8"/>
  <c r="C54" i="8"/>
  <c r="A54" i="8"/>
  <c r="H57" i="8"/>
  <c r="H45" i="8"/>
  <c r="B43" i="8"/>
  <c r="C43" i="8"/>
  <c r="A43" i="8"/>
  <c r="J23" i="27" l="1"/>
  <c r="J35" i="27"/>
  <c r="H58" i="8"/>
  <c r="H46" i="8"/>
  <c r="H47" i="8" s="1"/>
  <c r="G43" i="8" s="1"/>
  <c r="H61" i="8" l="1"/>
  <c r="H62" i="8" s="1"/>
  <c r="G54" i="8"/>
  <c r="H50" i="8"/>
  <c r="H51" i="8" s="1"/>
  <c r="B279" i="8"/>
  <c r="C279" i="8"/>
  <c r="A279" i="8"/>
  <c r="B236" i="8"/>
  <c r="C236" i="8"/>
  <c r="A236" i="8"/>
  <c r="H356" i="8" l="1"/>
  <c r="E16" i="23"/>
  <c r="F22" i="23" s="1"/>
  <c r="B14" i="23"/>
  <c r="A14" i="23"/>
  <c r="E90" i="1"/>
  <c r="E91" i="1"/>
  <c r="B414" i="8"/>
  <c r="C414" i="8"/>
  <c r="H421" i="8"/>
  <c r="A414" i="8"/>
  <c r="B365" i="8"/>
  <c r="C365" i="8"/>
  <c r="H373" i="8"/>
  <c r="A365" i="8"/>
  <c r="B396" i="8"/>
  <c r="C396" i="8"/>
  <c r="H408" i="8"/>
  <c r="A396" i="8"/>
  <c r="B354" i="8"/>
  <c r="A354" i="8"/>
  <c r="B343" i="8"/>
  <c r="C343" i="8"/>
  <c r="A343" i="8"/>
  <c r="H348" i="8" l="1"/>
  <c r="K90" i="1"/>
  <c r="H359" i="8"/>
  <c r="K91" i="1"/>
  <c r="H270" i="8"/>
  <c r="H271" i="8"/>
  <c r="H346" i="8"/>
  <c r="H347" i="8" s="1"/>
  <c r="G343" i="8" s="1"/>
  <c r="H406" i="8"/>
  <c r="H314" i="8"/>
  <c r="H313" i="8"/>
  <c r="H357" i="8"/>
  <c r="H358" i="8" s="1"/>
  <c r="G354" i="8" s="1"/>
  <c r="H419" i="8"/>
  <c r="H371" i="8" l="1"/>
  <c r="H370" i="8"/>
  <c r="H405" i="8"/>
  <c r="H407" i="8" s="1"/>
  <c r="G396" i="8" s="1"/>
  <c r="H350" i="8"/>
  <c r="H351" i="8" s="1"/>
  <c r="H349" i="8"/>
  <c r="H343" i="8" s="1"/>
  <c r="H418" i="8"/>
  <c r="H420" i="8" s="1"/>
  <c r="H360" i="8"/>
  <c r="H354" i="8" s="1"/>
  <c r="H361" i="8"/>
  <c r="H362" i="8" s="1"/>
  <c r="H315" i="8"/>
  <c r="G279" i="8" s="1"/>
  <c r="H272" i="8"/>
  <c r="G236" i="8" s="1"/>
  <c r="B64" i="23"/>
  <c r="H423" i="8" l="1"/>
  <c r="H424" i="8" s="1"/>
  <c r="G414" i="8"/>
  <c r="H372" i="8"/>
  <c r="H409" i="8"/>
  <c r="H396" i="8" s="1"/>
  <c r="H410" i="8"/>
  <c r="H411" i="8" s="1"/>
  <c r="H275" i="8"/>
  <c r="H276" i="8" s="1"/>
  <c r="H318" i="8"/>
  <c r="H319" i="8" s="1"/>
  <c r="H422" i="8"/>
  <c r="H414" i="8" s="1"/>
  <c r="B12" i="48"/>
  <c r="B11" i="48"/>
  <c r="B10" i="48"/>
  <c r="B9" i="48"/>
  <c r="G38" i="20"/>
  <c r="G88" i="20"/>
  <c r="B11" i="20"/>
  <c r="B10" i="20"/>
  <c r="B9" i="20"/>
  <c r="B11" i="34"/>
  <c r="B10" i="34"/>
  <c r="B9" i="34"/>
  <c r="B11" i="30"/>
  <c r="B10" i="30"/>
  <c r="B9" i="30"/>
  <c r="B11" i="22"/>
  <c r="B10" i="22"/>
  <c r="B9" i="22"/>
  <c r="B11" i="27"/>
  <c r="B10" i="27"/>
  <c r="B9" i="27"/>
  <c r="B11" i="17"/>
  <c r="B10" i="17"/>
  <c r="B9" i="17"/>
  <c r="B11" i="16"/>
  <c r="B10" i="16"/>
  <c r="B9" i="16"/>
  <c r="B10" i="23"/>
  <c r="B9" i="23"/>
  <c r="B8" i="23"/>
  <c r="B12" i="8"/>
  <c r="B11" i="8"/>
  <c r="B10" i="8"/>
  <c r="B9" i="8"/>
  <c r="B12" i="33"/>
  <c r="B11" i="33"/>
  <c r="B10" i="33"/>
  <c r="B9" i="33"/>
  <c r="B12" i="29"/>
  <c r="B11" i="29"/>
  <c r="B10" i="29"/>
  <c r="B9" i="29"/>
  <c r="B12" i="1"/>
  <c r="B11" i="1"/>
  <c r="B10" i="1"/>
  <c r="B9" i="1"/>
  <c r="H375" i="8" l="1"/>
  <c r="H376" i="8" s="1"/>
  <c r="G365" i="8"/>
  <c r="H374" i="8"/>
  <c r="H365" i="8" s="1"/>
  <c r="P16" i="48" l="1"/>
  <c r="K187" i="22" l="1"/>
  <c r="G187" i="22"/>
  <c r="J187" i="22" s="1"/>
  <c r="B3347" i="8" l="1"/>
  <c r="C3347" i="8"/>
  <c r="H3354" i="8"/>
  <c r="A3347" i="8"/>
  <c r="B673" i="8"/>
  <c r="C673" i="8"/>
  <c r="H683" i="8"/>
  <c r="A673" i="8"/>
  <c r="E44" i="1"/>
  <c r="K44" i="1" s="1"/>
  <c r="E66" i="1"/>
  <c r="K66" i="1" s="1"/>
  <c r="E65" i="1"/>
  <c r="K65" i="1" s="1"/>
  <c r="E64" i="1"/>
  <c r="K64" i="1" s="1"/>
  <c r="E63" i="1"/>
  <c r="K63" i="1" s="1"/>
  <c r="E62" i="1"/>
  <c r="K62" i="1" s="1"/>
  <c r="E61" i="1"/>
  <c r="K61" i="1" s="1"/>
  <c r="E60" i="1"/>
  <c r="K60" i="1" s="1"/>
  <c r="E59" i="1"/>
  <c r="B157" i="8"/>
  <c r="C157" i="8"/>
  <c r="A157" i="8"/>
  <c r="B1122" i="8"/>
  <c r="C1122" i="8"/>
  <c r="A1122" i="8"/>
  <c r="B379" i="8"/>
  <c r="C379" i="8"/>
  <c r="A379" i="8"/>
  <c r="E93" i="1"/>
  <c r="H389" i="8" l="1"/>
  <c r="K93" i="1"/>
  <c r="H166" i="8"/>
  <c r="K59" i="1"/>
  <c r="H3352" i="8"/>
  <c r="H386" i="8"/>
  <c r="B4743" i="8"/>
  <c r="C4743" i="8"/>
  <c r="H4748" i="8"/>
  <c r="A4743" i="8"/>
  <c r="K91" i="22"/>
  <c r="B91" i="22"/>
  <c r="A91" i="22"/>
  <c r="I114" i="22"/>
  <c r="K113" i="22"/>
  <c r="F113" i="22"/>
  <c r="G113" i="22" s="1"/>
  <c r="D113" i="22"/>
  <c r="K112" i="22"/>
  <c r="F112" i="22"/>
  <c r="G112" i="22" s="1"/>
  <c r="D112" i="22"/>
  <c r="K111" i="22"/>
  <c r="F111" i="22"/>
  <c r="G111" i="22" s="1"/>
  <c r="D111" i="22"/>
  <c r="K110" i="22"/>
  <c r="F110" i="22"/>
  <c r="G110" i="22" s="1"/>
  <c r="D110" i="22"/>
  <c r="K109" i="22"/>
  <c r="F109" i="22"/>
  <c r="G109" i="22" s="1"/>
  <c r="D109" i="22"/>
  <c r="K108" i="22"/>
  <c r="F108" i="22"/>
  <c r="G108" i="22" s="1"/>
  <c r="D108" i="22"/>
  <c r="K107" i="22"/>
  <c r="F107" i="22"/>
  <c r="G107" i="22" s="1"/>
  <c r="D107" i="22"/>
  <c r="K106" i="22"/>
  <c r="F106" i="22"/>
  <c r="G106" i="22" s="1"/>
  <c r="D106" i="22"/>
  <c r="K105" i="22"/>
  <c r="F105" i="22"/>
  <c r="G105" i="22" s="1"/>
  <c r="D105" i="22"/>
  <c r="K104" i="22"/>
  <c r="F104" i="22"/>
  <c r="G104" i="22" s="1"/>
  <c r="D104" i="22"/>
  <c r="K103" i="22"/>
  <c r="F103" i="22"/>
  <c r="G103" i="22" s="1"/>
  <c r="D103" i="22"/>
  <c r="K102" i="22"/>
  <c r="F102" i="22"/>
  <c r="G102" i="22" s="1"/>
  <c r="D102" i="22"/>
  <c r="K101" i="22"/>
  <c r="F101" i="22"/>
  <c r="G101" i="22" s="1"/>
  <c r="D101" i="22"/>
  <c r="K100" i="22"/>
  <c r="F100" i="22"/>
  <c r="G100" i="22" s="1"/>
  <c r="D100" i="22"/>
  <c r="K99" i="22"/>
  <c r="F99" i="22"/>
  <c r="G99" i="22" s="1"/>
  <c r="D99" i="22"/>
  <c r="K98" i="22"/>
  <c r="F98" i="22"/>
  <c r="K97" i="22"/>
  <c r="F97" i="22"/>
  <c r="K96" i="22"/>
  <c r="F96" i="22"/>
  <c r="G96" i="22" s="1"/>
  <c r="J96" i="22" s="1"/>
  <c r="K95" i="22"/>
  <c r="F95" i="22"/>
  <c r="G95" i="22" s="1"/>
  <c r="J95" i="22" s="1"/>
  <c r="H1128" i="8" l="1"/>
  <c r="H3351" i="8"/>
  <c r="H3353" i="8" s="1"/>
  <c r="G3347" i="8" s="1"/>
  <c r="H1129" i="8"/>
  <c r="H680" i="8"/>
  <c r="H681" i="8"/>
  <c r="H387" i="8"/>
  <c r="J99" i="22"/>
  <c r="G97" i="22"/>
  <c r="J97" i="22" s="1"/>
  <c r="G98" i="22"/>
  <c r="J98" i="22" s="1"/>
  <c r="H4746" i="8"/>
  <c r="J101" i="22"/>
  <c r="J113" i="22"/>
  <c r="J102" i="22"/>
  <c r="H163" i="8"/>
  <c r="J103" i="22"/>
  <c r="J111" i="22"/>
  <c r="J109" i="22"/>
  <c r="H164" i="8"/>
  <c r="J107" i="22"/>
  <c r="J110" i="22"/>
  <c r="J100" i="22"/>
  <c r="J108" i="22"/>
  <c r="J104" i="22"/>
  <c r="J112" i="22"/>
  <c r="H4745" i="8"/>
  <c r="J106" i="22"/>
  <c r="J105" i="22"/>
  <c r="E58" i="1"/>
  <c r="K58" i="1" s="1"/>
  <c r="H4747" i="8" l="1"/>
  <c r="H3356" i="8"/>
  <c r="H3357" i="8" s="1"/>
  <c r="H165" i="8"/>
  <c r="G157" i="8" s="1"/>
  <c r="H1130" i="8"/>
  <c r="G1122" i="8" s="1"/>
  <c r="H388" i="8"/>
  <c r="G379" i="8" s="1"/>
  <c r="H682" i="8"/>
  <c r="G673" i="8" s="1"/>
  <c r="H3355" i="8"/>
  <c r="H3347" i="8" s="1"/>
  <c r="J114" i="22"/>
  <c r="J115" i="22" s="1"/>
  <c r="E80" i="1" s="1"/>
  <c r="K80" i="1" s="1"/>
  <c r="E92" i="34"/>
  <c r="F93" i="34"/>
  <c r="G93" i="34" s="1"/>
  <c r="F92" i="34"/>
  <c r="K88" i="34"/>
  <c r="B88" i="34"/>
  <c r="A88" i="34"/>
  <c r="K75" i="34"/>
  <c r="K28" i="34"/>
  <c r="I28" i="34"/>
  <c r="D75" i="34" s="1"/>
  <c r="I75" i="34" s="1"/>
  <c r="G92" i="34" l="1"/>
  <c r="H4749" i="8"/>
  <c r="G4743" i="8"/>
  <c r="H4750" i="8"/>
  <c r="H4751" i="8" s="1"/>
  <c r="H684" i="8"/>
  <c r="H673" i="8" s="1"/>
  <c r="H685" i="8"/>
  <c r="H686" i="8" s="1"/>
  <c r="H391" i="8"/>
  <c r="H392" i="8" s="1"/>
  <c r="H1133" i="8"/>
  <c r="H1134" i="8" s="1"/>
  <c r="H168" i="8"/>
  <c r="H169" i="8" s="1"/>
  <c r="H167" i="8"/>
  <c r="H157" i="8" s="1"/>
  <c r="H390" i="8"/>
  <c r="H379" i="8" s="1"/>
  <c r="B2282" i="8"/>
  <c r="C2282" i="8"/>
  <c r="H2290" i="8"/>
  <c r="A2282" i="8"/>
  <c r="F271" i="34"/>
  <c r="D271" i="34"/>
  <c r="G271" i="34" s="1"/>
  <c r="J271" i="34" s="1"/>
  <c r="G270" i="34"/>
  <c r="J270" i="34" s="1"/>
  <c r="K266" i="34"/>
  <c r="B266" i="34"/>
  <c r="A266" i="34"/>
  <c r="K272" i="34"/>
  <c r="I272" i="34"/>
  <c r="D263" i="34"/>
  <c r="G263" i="34" s="1"/>
  <c r="J263" i="34" s="1"/>
  <c r="D262" i="34"/>
  <c r="G262" i="34" s="1"/>
  <c r="J262" i="34" s="1"/>
  <c r="I264" i="34"/>
  <c r="K264" i="34"/>
  <c r="K258" i="34"/>
  <c r="B258" i="34"/>
  <c r="A258" i="34"/>
  <c r="A274" i="34"/>
  <c r="B274" i="34"/>
  <c r="K274" i="34"/>
  <c r="E109" i="33"/>
  <c r="K109" i="33" s="1"/>
  <c r="E108" i="33"/>
  <c r="K108" i="33" s="1"/>
  <c r="E106" i="33"/>
  <c r="K106" i="33" s="1"/>
  <c r="H4735" i="8" l="1"/>
  <c r="H4743" i="8"/>
  <c r="J264" i="34"/>
  <c r="E107" i="33" s="1"/>
  <c r="K107" i="33" s="1"/>
  <c r="J272" i="34"/>
  <c r="E112" i="33" s="1"/>
  <c r="K112" i="33" s="1"/>
  <c r="B2255" i="8"/>
  <c r="C2255" i="8"/>
  <c r="A2255" i="8"/>
  <c r="E111" i="33"/>
  <c r="H2264" i="8" l="1"/>
  <c r="K111" i="33"/>
  <c r="H2287" i="8"/>
  <c r="H2288" i="8"/>
  <c r="B2234" i="8"/>
  <c r="C2234" i="8"/>
  <c r="A2234" i="8"/>
  <c r="K251" i="34"/>
  <c r="B251" i="34"/>
  <c r="A251" i="34"/>
  <c r="J256" i="34"/>
  <c r="I256" i="34"/>
  <c r="H255" i="34"/>
  <c r="K255" i="34" s="1"/>
  <c r="E78" i="27"/>
  <c r="J78" i="27" s="1"/>
  <c r="H248" i="34"/>
  <c r="K248" i="34" s="1"/>
  <c r="H247" i="34"/>
  <c r="K247" i="34" s="1"/>
  <c r="K249" i="34" s="1"/>
  <c r="K243" i="34"/>
  <c r="B243" i="34"/>
  <c r="A243" i="34"/>
  <c r="J249" i="34"/>
  <c r="I249" i="34"/>
  <c r="E322" i="1"/>
  <c r="K322" i="1" s="1"/>
  <c r="E334" i="1"/>
  <c r="K334" i="1" s="1"/>
  <c r="H2289" i="8" l="1"/>
  <c r="G2282" i="8" s="1"/>
  <c r="H2262" i="8"/>
  <c r="H2261" i="8"/>
  <c r="H2292" i="8"/>
  <c r="H2293" i="8" s="1"/>
  <c r="K256" i="34"/>
  <c r="E105" i="33" s="1"/>
  <c r="K105" i="33" s="1"/>
  <c r="B1851" i="8"/>
  <c r="C1851" i="8"/>
  <c r="A1851" i="8"/>
  <c r="E78" i="33"/>
  <c r="B1833" i="8"/>
  <c r="C1833" i="8"/>
  <c r="A1833" i="8"/>
  <c r="H2291" i="8" l="1"/>
  <c r="H2282" i="8" s="1"/>
  <c r="H1856" i="8"/>
  <c r="K78" i="33"/>
  <c r="H2263" i="8"/>
  <c r="H2246" i="8"/>
  <c r="H2247" i="8"/>
  <c r="H1854" i="8"/>
  <c r="H1853" i="8"/>
  <c r="H1845" i="8"/>
  <c r="I94" i="27"/>
  <c r="I93" i="27"/>
  <c r="K89" i="27"/>
  <c r="B89" i="27"/>
  <c r="A89" i="27"/>
  <c r="D171" i="34"/>
  <c r="E83" i="33" s="1"/>
  <c r="K83" i="33" s="1"/>
  <c r="C171" i="34"/>
  <c r="E81" i="33" s="1"/>
  <c r="K81" i="33" s="1"/>
  <c r="K137" i="34"/>
  <c r="K130" i="34"/>
  <c r="B130" i="34"/>
  <c r="A130" i="34"/>
  <c r="J135" i="34"/>
  <c r="I27" i="34"/>
  <c r="K23" i="34"/>
  <c r="B23" i="34"/>
  <c r="A23" i="34"/>
  <c r="J29" i="34"/>
  <c r="B109" i="8"/>
  <c r="C109" i="8"/>
  <c r="A109" i="8"/>
  <c r="H2249" i="8"/>
  <c r="G216" i="34"/>
  <c r="K216" i="34" s="1"/>
  <c r="G199" i="34"/>
  <c r="K199" i="34" s="1"/>
  <c r="J198" i="34"/>
  <c r="H198" i="34"/>
  <c r="K198" i="34" s="1"/>
  <c r="G186" i="34"/>
  <c r="J186" i="34" s="1"/>
  <c r="H2265" i="8" l="1"/>
  <c r="H2255" i="8" s="1"/>
  <c r="G2255" i="8"/>
  <c r="H2266" i="8"/>
  <c r="H2267" i="8" s="1"/>
  <c r="I29" i="34"/>
  <c r="H1855" i="8"/>
  <c r="G1851" i="8" s="1"/>
  <c r="I95" i="27"/>
  <c r="I135" i="34"/>
  <c r="H197" i="34"/>
  <c r="H207" i="34"/>
  <c r="H206" i="34"/>
  <c r="K202" i="34"/>
  <c r="B202" i="34"/>
  <c r="A202" i="34"/>
  <c r="K210" i="34"/>
  <c r="B210" i="34"/>
  <c r="A210" i="34"/>
  <c r="H195" i="34"/>
  <c r="H193" i="34"/>
  <c r="G196" i="34"/>
  <c r="G194" i="34"/>
  <c r="K189" i="34"/>
  <c r="B189" i="34"/>
  <c r="A189" i="34"/>
  <c r="K180" i="34"/>
  <c r="B180" i="34"/>
  <c r="A180" i="34"/>
  <c r="H177" i="34"/>
  <c r="K177" i="34" s="1"/>
  <c r="K178" i="34" s="1"/>
  <c r="E88" i="33" s="1"/>
  <c r="K88" i="33" s="1"/>
  <c r="K173" i="34"/>
  <c r="B173" i="34"/>
  <c r="A173" i="34"/>
  <c r="J178" i="34"/>
  <c r="I178" i="34"/>
  <c r="B2219" i="8"/>
  <c r="C2219" i="8"/>
  <c r="H2228" i="8"/>
  <c r="A2219" i="8"/>
  <c r="G19" i="34"/>
  <c r="K19" i="34" s="1"/>
  <c r="K13" i="34"/>
  <c r="B13" i="34"/>
  <c r="A13" i="34"/>
  <c r="J21" i="34"/>
  <c r="I21" i="34"/>
  <c r="K59" i="27"/>
  <c r="B59" i="27"/>
  <c r="A59" i="27"/>
  <c r="K66" i="27"/>
  <c r="K65" i="27"/>
  <c r="K64" i="27"/>
  <c r="K78" i="34"/>
  <c r="B78" i="34"/>
  <c r="A78" i="34"/>
  <c r="K85" i="34"/>
  <c r="I85" i="34"/>
  <c r="K84" i="34"/>
  <c r="I84" i="34"/>
  <c r="K83" i="34"/>
  <c r="K86" i="34" s="1"/>
  <c r="D83" i="34"/>
  <c r="I83" i="34" s="1"/>
  <c r="I82" i="34"/>
  <c r="K72" i="34"/>
  <c r="I72" i="34"/>
  <c r="K71" i="34"/>
  <c r="I71" i="34"/>
  <c r="K73" i="34"/>
  <c r="I73" i="34"/>
  <c r="D70" i="34"/>
  <c r="B1376" i="8"/>
  <c r="C1376" i="8"/>
  <c r="H1384" i="8"/>
  <c r="A1376" i="8"/>
  <c r="B1363" i="8"/>
  <c r="C1363" i="8"/>
  <c r="H1370" i="8"/>
  <c r="A1363" i="8"/>
  <c r="K54" i="27"/>
  <c r="J54" i="27"/>
  <c r="K53" i="27"/>
  <c r="J53" i="27"/>
  <c r="K52" i="27"/>
  <c r="J52" i="27"/>
  <c r="K51" i="27"/>
  <c r="J51" i="27"/>
  <c r="K56" i="27"/>
  <c r="J56" i="27"/>
  <c r="K55" i="27"/>
  <c r="J55" i="27"/>
  <c r="H114" i="8" l="1"/>
  <c r="H115" i="8"/>
  <c r="H1368" i="8"/>
  <c r="H1382" i="8"/>
  <c r="H1857" i="8"/>
  <c r="H1851" i="8" s="1"/>
  <c r="H1858" i="8"/>
  <c r="H1859" i="8" s="1"/>
  <c r="E22" i="33"/>
  <c r="C93" i="34"/>
  <c r="K93" i="34" s="1"/>
  <c r="H1842" i="8"/>
  <c r="H1843" i="8"/>
  <c r="I86" i="34"/>
  <c r="E53" i="33" s="1"/>
  <c r="K53" i="33" s="1"/>
  <c r="B2197" i="8"/>
  <c r="C2197" i="8"/>
  <c r="A2197" i="8"/>
  <c r="B2175" i="8"/>
  <c r="C2175" i="8"/>
  <c r="A2175" i="8"/>
  <c r="K229" i="34"/>
  <c r="B229" i="34"/>
  <c r="A229" i="34"/>
  <c r="H117" i="8" l="1"/>
  <c r="K22" i="33"/>
  <c r="H1367" i="8"/>
  <c r="H1369" i="8" s="1"/>
  <c r="G1363" i="8" s="1"/>
  <c r="H2225" i="8"/>
  <c r="H2226" i="8"/>
  <c r="H1381" i="8"/>
  <c r="H1383" i="8" s="1"/>
  <c r="G1376" i="8" s="1"/>
  <c r="E56" i="33"/>
  <c r="K56" i="33" s="1"/>
  <c r="H1844" i="8"/>
  <c r="G1833" i="8" s="1"/>
  <c r="H116" i="8"/>
  <c r="G109" i="8" s="1"/>
  <c r="H2248" i="8"/>
  <c r="G2234" i="8" s="1"/>
  <c r="C241" i="34"/>
  <c r="E97" i="33" s="1"/>
  <c r="C227" i="34"/>
  <c r="E96" i="33" s="1"/>
  <c r="K96" i="33" s="1"/>
  <c r="K219" i="34"/>
  <c r="B219" i="34"/>
  <c r="A219" i="34"/>
  <c r="I119" i="34"/>
  <c r="I118" i="34"/>
  <c r="I117" i="34"/>
  <c r="I116" i="34"/>
  <c r="I115" i="34"/>
  <c r="I114" i="34"/>
  <c r="I113" i="34"/>
  <c r="I112" i="34"/>
  <c r="D127" i="34"/>
  <c r="I127" i="34" s="1"/>
  <c r="H2212" i="8" l="1"/>
  <c r="K97" i="33"/>
  <c r="H2187" i="8"/>
  <c r="H2190" i="8"/>
  <c r="E98" i="33"/>
  <c r="K98" i="33" s="1"/>
  <c r="H2209" i="8"/>
  <c r="H2210" i="8"/>
  <c r="H2188" i="8"/>
  <c r="H1386" i="8"/>
  <c r="H1387" i="8" s="1"/>
  <c r="H1372" i="8"/>
  <c r="H1373" i="8" s="1"/>
  <c r="H2251" i="8"/>
  <c r="H2252" i="8" s="1"/>
  <c r="H119" i="8"/>
  <c r="H120" i="8" s="1"/>
  <c r="H1846" i="8"/>
  <c r="H1833" i="8" s="1"/>
  <c r="H1847" i="8"/>
  <c r="H1848" i="8" s="1"/>
  <c r="H118" i="8"/>
  <c r="H109" i="8" s="1"/>
  <c r="H2250" i="8"/>
  <c r="H2234" i="8" s="1"/>
  <c r="H2227" i="8"/>
  <c r="G2219" i="8" s="1"/>
  <c r="H1385" i="8"/>
  <c r="H1376" i="8" s="1"/>
  <c r="H1371" i="8"/>
  <c r="H1363" i="8" s="1"/>
  <c r="H2229" i="8" l="1"/>
  <c r="H2219" i="8" s="1"/>
  <c r="H2230" i="8"/>
  <c r="H2231" i="8" s="1"/>
  <c r="H2189" i="8"/>
  <c r="G2175" i="8" s="1"/>
  <c r="H2211" i="8"/>
  <c r="G2197" i="8" s="1"/>
  <c r="D126" i="34"/>
  <c r="I126" i="34" s="1"/>
  <c r="I128" i="34" s="1"/>
  <c r="K27" i="34" s="1"/>
  <c r="K29" i="34" s="1"/>
  <c r="D111" i="34"/>
  <c r="I111" i="34" s="1"/>
  <c r="D110" i="34"/>
  <c r="I110" i="34" s="1"/>
  <c r="D109" i="34"/>
  <c r="I109" i="34" s="1"/>
  <c r="D108" i="34"/>
  <c r="I108" i="34" s="1"/>
  <c r="D107" i="34"/>
  <c r="I107" i="34" s="1"/>
  <c r="K122" i="34"/>
  <c r="B122" i="34"/>
  <c r="A122" i="34"/>
  <c r="J128" i="34"/>
  <c r="K128" i="34"/>
  <c r="H2213" i="8" l="1"/>
  <c r="H2197" i="8" s="1"/>
  <c r="H2214" i="8"/>
  <c r="H2215" i="8" s="1"/>
  <c r="H2192" i="8"/>
  <c r="H2193" i="8" s="1"/>
  <c r="H2191" i="8"/>
  <c r="H2175" i="8" s="1"/>
  <c r="D207" i="34"/>
  <c r="K207" i="34" s="1"/>
  <c r="D185" i="34"/>
  <c r="G185" i="34" s="1"/>
  <c r="J185" i="34" s="1"/>
  <c r="C196" i="34"/>
  <c r="K196" i="34" s="1"/>
  <c r="C195" i="34"/>
  <c r="D215" i="34"/>
  <c r="G215" i="34" s="1"/>
  <c r="K215" i="34" s="1"/>
  <c r="E82" i="33"/>
  <c r="K82" i="33" s="1"/>
  <c r="D18" i="34"/>
  <c r="G18" i="34" s="1"/>
  <c r="K18" i="34" s="1"/>
  <c r="I120" i="34"/>
  <c r="D206" i="34" s="1"/>
  <c r="K206" i="34" s="1"/>
  <c r="H3776" i="8"/>
  <c r="A3770" i="8"/>
  <c r="B3335" i="8"/>
  <c r="C3335" i="8"/>
  <c r="A3335" i="8"/>
  <c r="B3360" i="8"/>
  <c r="C3360" i="8"/>
  <c r="A3360" i="8"/>
  <c r="H3774" i="8" l="1"/>
  <c r="H3775" i="8" s="1"/>
  <c r="G3770" i="8" s="1"/>
  <c r="K208" i="34"/>
  <c r="E93" i="33" s="1"/>
  <c r="K93" i="33" s="1"/>
  <c r="C194" i="34"/>
  <c r="C193" i="34"/>
  <c r="J195" i="34"/>
  <c r="K195" i="34"/>
  <c r="D214" i="34"/>
  <c r="G214" i="34" s="1"/>
  <c r="K214" i="34" s="1"/>
  <c r="D184" i="34"/>
  <c r="G184" i="34" s="1"/>
  <c r="J184" i="34" s="1"/>
  <c r="E80" i="33"/>
  <c r="K80" i="33" s="1"/>
  <c r="D17" i="34"/>
  <c r="G17" i="34" s="1"/>
  <c r="K17" i="34" s="1"/>
  <c r="K21" i="34" s="1"/>
  <c r="H3778" i="8" l="1"/>
  <c r="H3779" i="8" s="1"/>
  <c r="H3777" i="8"/>
  <c r="H3770" i="8" s="1"/>
  <c r="E21" i="33"/>
  <c r="G134" i="34"/>
  <c r="K134" i="34" s="1"/>
  <c r="K135" i="34" s="1"/>
  <c r="E59" i="33" s="1"/>
  <c r="E92" i="33"/>
  <c r="K92" i="33" s="1"/>
  <c r="K217" i="34"/>
  <c r="E94" i="33" s="1"/>
  <c r="K94" i="33" s="1"/>
  <c r="J187" i="34"/>
  <c r="E89" i="33" s="1"/>
  <c r="K89" i="33" s="1"/>
  <c r="K194" i="34"/>
  <c r="C197" i="34"/>
  <c r="K197" i="34" s="1"/>
  <c r="J193" i="34"/>
  <c r="K193" i="34"/>
  <c r="B4453" i="8"/>
  <c r="C4453" i="8"/>
  <c r="H4460" i="8"/>
  <c r="A4453" i="8"/>
  <c r="B4440" i="8"/>
  <c r="C4440" i="8"/>
  <c r="H4447" i="8"/>
  <c r="A4440" i="8"/>
  <c r="B4427" i="8"/>
  <c r="C4427" i="8"/>
  <c r="H4434" i="8"/>
  <c r="A4427" i="8"/>
  <c r="B4205" i="8"/>
  <c r="C4205" i="8"/>
  <c r="H4212" i="8"/>
  <c r="A4205" i="8"/>
  <c r="B4192" i="8"/>
  <c r="C4192" i="8"/>
  <c r="H4199" i="8"/>
  <c r="A4192" i="8"/>
  <c r="B4179" i="8"/>
  <c r="C4179" i="8"/>
  <c r="A4179" i="8"/>
  <c r="E60" i="33" l="1"/>
  <c r="K60" i="33" s="1"/>
  <c r="K59" i="33"/>
  <c r="E23" i="33"/>
  <c r="K21" i="33"/>
  <c r="H4184" i="8"/>
  <c r="K200" i="34"/>
  <c r="E90" i="33" s="1"/>
  <c r="K90" i="33" s="1"/>
  <c r="H4210" i="8"/>
  <c r="H4197" i="8"/>
  <c r="H4186" i="8"/>
  <c r="E24" i="33" l="1"/>
  <c r="K24" i="33" s="1"/>
  <c r="K23" i="33"/>
  <c r="H4183" i="8"/>
  <c r="H4185" i="8" s="1"/>
  <c r="H4431" i="8"/>
  <c r="H4196" i="8"/>
  <c r="H4198" i="8" s="1"/>
  <c r="G4192" i="8" s="1"/>
  <c r="H4457" i="8"/>
  <c r="H4209" i="8"/>
  <c r="H4211" i="8" s="1"/>
  <c r="G4205" i="8" s="1"/>
  <c r="H4444" i="8"/>
  <c r="F192" i="23"/>
  <c r="H4445" i="8" s="1"/>
  <c r="D174" i="23"/>
  <c r="D184" i="23"/>
  <c r="D194" i="23"/>
  <c r="C194" i="23"/>
  <c r="A194" i="23"/>
  <c r="F202" i="23"/>
  <c r="H4458" i="8" s="1"/>
  <c r="C184" i="23"/>
  <c r="A184" i="23"/>
  <c r="C174" i="23"/>
  <c r="A174" i="23"/>
  <c r="F182" i="23"/>
  <c r="H4432" i="8" s="1"/>
  <c r="B125" i="8"/>
  <c r="C125" i="8"/>
  <c r="A125" i="8"/>
  <c r="E45" i="29"/>
  <c r="K45" i="29" s="1"/>
  <c r="E46" i="1"/>
  <c r="K46" i="1" s="1"/>
  <c r="K97" i="27"/>
  <c r="B97" i="27"/>
  <c r="A97" i="27"/>
  <c r="I102" i="27"/>
  <c r="H136" i="8" l="1"/>
  <c r="H4188" i="8"/>
  <c r="H4189" i="8" s="1"/>
  <c r="G4179" i="8"/>
  <c r="H4459" i="8"/>
  <c r="H4433" i="8"/>
  <c r="H4446" i="8"/>
  <c r="H4213" i="8"/>
  <c r="H4205" i="8" s="1"/>
  <c r="H4214" i="8"/>
  <c r="H4215" i="8" s="1"/>
  <c r="H4200" i="8"/>
  <c r="H4192" i="8" s="1"/>
  <c r="H4201" i="8"/>
  <c r="H4202" i="8" s="1"/>
  <c r="H4187" i="8"/>
  <c r="H4179" i="8" s="1"/>
  <c r="H133" i="8"/>
  <c r="H4448" i="8" l="1"/>
  <c r="H4440" i="8" s="1"/>
  <c r="G4440" i="8"/>
  <c r="H4435" i="8"/>
  <c r="H4427" i="8" s="1"/>
  <c r="G4427" i="8"/>
  <c r="H4462" i="8"/>
  <c r="H4463" i="8" s="1"/>
  <c r="G4453" i="8"/>
  <c r="H4436" i="8"/>
  <c r="H4437" i="8" s="1"/>
  <c r="H4461" i="8"/>
  <c r="H4453" i="8" s="1"/>
  <c r="H4449" i="8"/>
  <c r="H4450" i="8" s="1"/>
  <c r="H134" i="8"/>
  <c r="H135" i="8" l="1"/>
  <c r="G125" i="8" s="1"/>
  <c r="H279" i="34"/>
  <c r="K279" i="34" s="1"/>
  <c r="H278" i="34"/>
  <c r="K278" i="34" s="1"/>
  <c r="J280" i="34"/>
  <c r="I280" i="34"/>
  <c r="K103" i="34"/>
  <c r="B103" i="34"/>
  <c r="A103" i="34"/>
  <c r="K96" i="34"/>
  <c r="B96" i="34"/>
  <c r="A96" i="34"/>
  <c r="K63" i="34"/>
  <c r="B63" i="34"/>
  <c r="A63" i="34"/>
  <c r="K55" i="34"/>
  <c r="B55" i="34"/>
  <c r="A55" i="34"/>
  <c r="K48" i="34"/>
  <c r="B48" i="34"/>
  <c r="A48" i="34"/>
  <c r="K39" i="34"/>
  <c r="B39" i="34"/>
  <c r="A39" i="34"/>
  <c r="K31" i="34"/>
  <c r="B31" i="34"/>
  <c r="A31" i="34"/>
  <c r="J120" i="34"/>
  <c r="K120" i="34"/>
  <c r="J101" i="34"/>
  <c r="I101" i="34"/>
  <c r="K100" i="34"/>
  <c r="K101" i="34" s="1"/>
  <c r="E58" i="33" s="1"/>
  <c r="K58" i="33" s="1"/>
  <c r="J76" i="34"/>
  <c r="K74" i="34"/>
  <c r="I74" i="34"/>
  <c r="K70" i="34"/>
  <c r="I70" i="34"/>
  <c r="K69" i="34"/>
  <c r="I69" i="34"/>
  <c r="I68" i="34"/>
  <c r="I67" i="34"/>
  <c r="J61" i="34"/>
  <c r="I61" i="34"/>
  <c r="K60" i="34"/>
  <c r="K59" i="34"/>
  <c r="J53" i="34"/>
  <c r="I53" i="34"/>
  <c r="G52" i="34"/>
  <c r="K52" i="34" s="1"/>
  <c r="K53" i="34" s="1"/>
  <c r="E41" i="33" s="1"/>
  <c r="K41" i="33" s="1"/>
  <c r="J47" i="34"/>
  <c r="I47" i="34"/>
  <c r="K46" i="34"/>
  <c r="K45" i="34"/>
  <c r="K44" i="34"/>
  <c r="K43" i="34"/>
  <c r="I37" i="34"/>
  <c r="K36" i="34"/>
  <c r="J36" i="34"/>
  <c r="K35" i="34"/>
  <c r="J35" i="34"/>
  <c r="H138" i="8" l="1"/>
  <c r="H139" i="8" s="1"/>
  <c r="I76" i="34"/>
  <c r="H137" i="8"/>
  <c r="H125" i="8" s="1"/>
  <c r="K37" i="34"/>
  <c r="K76" i="34"/>
  <c r="K61" i="34"/>
  <c r="E51" i="33" s="1"/>
  <c r="K51" i="33" s="1"/>
  <c r="J37" i="34"/>
  <c r="E28" i="33" s="1"/>
  <c r="K28" i="33" s="1"/>
  <c r="K280" i="34"/>
  <c r="E143" i="33" s="1"/>
  <c r="K47" i="34"/>
  <c r="E40" i="33" s="1"/>
  <c r="K40" i="33" s="1"/>
  <c r="E144" i="33" l="1"/>
  <c r="K144" i="33" s="1"/>
  <c r="K143" i="33"/>
  <c r="C92" i="34"/>
  <c r="K92" i="34" s="1"/>
  <c r="K94" i="34" s="1"/>
  <c r="E54" i="33" s="1"/>
  <c r="K54" i="33" s="1"/>
  <c r="E52" i="33"/>
  <c r="K52" i="33" s="1"/>
  <c r="E55" i="33" l="1"/>
  <c r="K55" i="33" s="1"/>
  <c r="E127" i="33"/>
  <c r="K127" i="33" s="1"/>
  <c r="E125" i="33"/>
  <c r="K125" i="33" s="1"/>
  <c r="B3669" i="8" l="1"/>
  <c r="C3669" i="8"/>
  <c r="H3676" i="8"/>
  <c r="A3669" i="8"/>
  <c r="B3603" i="8"/>
  <c r="C3603" i="8"/>
  <c r="H3609" i="8"/>
  <c r="A3603" i="8"/>
  <c r="B2720" i="8"/>
  <c r="C2720" i="8"/>
  <c r="H2731" i="8"/>
  <c r="A2720" i="8"/>
  <c r="H2728" i="8" l="1"/>
  <c r="H3674" i="8"/>
  <c r="H3607" i="8"/>
  <c r="H3606" i="8"/>
  <c r="B1890" i="8"/>
  <c r="C1890" i="8"/>
  <c r="H1899" i="8"/>
  <c r="A1890" i="8"/>
  <c r="D54" i="23"/>
  <c r="B54" i="23"/>
  <c r="A54" i="23"/>
  <c r="F62" i="23"/>
  <c r="D44" i="23"/>
  <c r="B44" i="23"/>
  <c r="A44" i="23"/>
  <c r="F52" i="23"/>
  <c r="B1390" i="8"/>
  <c r="C1390" i="8"/>
  <c r="A1390" i="8"/>
  <c r="B1347" i="8"/>
  <c r="C1347" i="8"/>
  <c r="H1357" i="8"/>
  <c r="A1347" i="8"/>
  <c r="B1332" i="8"/>
  <c r="C1332" i="8"/>
  <c r="A1332" i="8"/>
  <c r="B1314" i="8"/>
  <c r="C1314" i="8"/>
  <c r="H1326" i="8"/>
  <c r="A1314" i="8"/>
  <c r="B1295" i="8"/>
  <c r="C1295" i="8"/>
  <c r="H1308" i="8"/>
  <c r="A1295" i="8"/>
  <c r="B1276" i="8"/>
  <c r="C1276" i="8"/>
  <c r="H1289" i="8"/>
  <c r="A1276" i="8"/>
  <c r="B1265" i="8"/>
  <c r="C1265" i="8"/>
  <c r="A1265" i="8"/>
  <c r="K69" i="27"/>
  <c r="B69" i="27"/>
  <c r="A69" i="27"/>
  <c r="E75" i="27"/>
  <c r="J75" i="27" s="1"/>
  <c r="E79" i="27"/>
  <c r="J79" i="27" s="1"/>
  <c r="E74" i="27"/>
  <c r="J74" i="27" s="1"/>
  <c r="G101" i="27" s="1"/>
  <c r="E73" i="27"/>
  <c r="J73" i="27" s="1"/>
  <c r="H2729" i="8" l="1"/>
  <c r="H2730" i="8" s="1"/>
  <c r="H1355" i="8"/>
  <c r="J80" i="27"/>
  <c r="I80" i="27" s="1"/>
  <c r="K101" i="27"/>
  <c r="K102" i="27" s="1"/>
  <c r="J101" i="27"/>
  <c r="J102" i="27" s="1"/>
  <c r="H3673" i="8"/>
  <c r="H3675" i="8" s="1"/>
  <c r="G3669" i="8" s="1"/>
  <c r="H3608" i="8"/>
  <c r="G3603" i="8" s="1"/>
  <c r="H1896" i="8"/>
  <c r="H4756" i="8"/>
  <c r="B4754" i="8"/>
  <c r="C4754" i="8"/>
  <c r="H4759" i="8"/>
  <c r="A4754" i="8"/>
  <c r="H2733" i="8" l="1"/>
  <c r="H2734" i="8" s="1"/>
  <c r="G2720" i="8"/>
  <c r="H1354" i="8"/>
  <c r="H1356" i="8" s="1"/>
  <c r="G1347" i="8" s="1"/>
  <c r="H1306" i="8"/>
  <c r="H1286" i="8"/>
  <c r="H1323" i="8"/>
  <c r="H1305" i="8"/>
  <c r="H1287" i="8"/>
  <c r="H1324" i="8"/>
  <c r="H3611" i="8"/>
  <c r="H3612" i="8" s="1"/>
  <c r="H3678" i="8"/>
  <c r="H3679" i="8" s="1"/>
  <c r="H3677" i="8"/>
  <c r="H3669" i="8" s="1"/>
  <c r="H1897" i="8"/>
  <c r="H1898" i="8" s="1"/>
  <c r="H3610" i="8"/>
  <c r="H3603" i="8" s="1"/>
  <c r="H2732" i="8"/>
  <c r="H2720" i="8" s="1"/>
  <c r="H4757" i="8"/>
  <c r="H4758" i="8" s="1"/>
  <c r="G4754" i="8" s="1"/>
  <c r="H1901" i="8" l="1"/>
  <c r="H1902" i="8" s="1"/>
  <c r="G1890" i="8"/>
  <c r="H4760" i="8"/>
  <c r="H4754" i="8" s="1"/>
  <c r="H4761" i="8"/>
  <c r="H4762" i="8" s="1"/>
  <c r="H1359" i="8"/>
  <c r="H1360" i="8" s="1"/>
  <c r="H1307" i="8"/>
  <c r="G1295" i="8" s="1"/>
  <c r="H1325" i="8"/>
  <c r="G1314" i="8" s="1"/>
  <c r="H1900" i="8"/>
  <c r="H1890" i="8" s="1"/>
  <c r="H1358" i="8"/>
  <c r="H1347" i="8" s="1"/>
  <c r="H1288" i="8"/>
  <c r="G1276" i="8" s="1"/>
  <c r="H1291" i="8" l="1"/>
  <c r="H1292" i="8" s="1"/>
  <c r="H1327" i="8"/>
  <c r="H1314" i="8" s="1"/>
  <c r="H1328" i="8"/>
  <c r="H1329" i="8" s="1"/>
  <c r="H1310" i="8"/>
  <c r="H1311" i="8" s="1"/>
  <c r="H1309" i="8"/>
  <c r="H1295" i="8" s="1"/>
  <c r="H1290" i="8"/>
  <c r="H1276" i="8" s="1"/>
  <c r="H4740" i="8"/>
  <c r="C4735" i="8"/>
  <c r="B4735" i="8"/>
  <c r="B31" i="8"/>
  <c r="C31" i="8"/>
  <c r="H37" i="8"/>
  <c r="A31" i="8"/>
  <c r="A4722" i="8"/>
  <c r="H4729" i="8" l="1"/>
  <c r="H4738" i="8"/>
  <c r="H35" i="8"/>
  <c r="H4737" i="8"/>
  <c r="H34" i="8"/>
  <c r="H4726" i="8"/>
  <c r="H3366" i="8"/>
  <c r="H3341" i="8"/>
  <c r="B4635" i="8"/>
  <c r="C4635" i="8"/>
  <c r="H4642" i="8"/>
  <c r="A4635" i="8"/>
  <c r="B4622" i="8"/>
  <c r="C4622" i="8"/>
  <c r="H4629" i="8"/>
  <c r="A4622" i="8"/>
  <c r="B4609" i="8"/>
  <c r="C4609" i="8"/>
  <c r="H4616" i="8"/>
  <c r="A4609" i="8"/>
  <c r="B4596" i="8"/>
  <c r="C4596" i="8"/>
  <c r="H4603" i="8"/>
  <c r="A4596" i="8"/>
  <c r="B4583" i="8"/>
  <c r="C4583" i="8"/>
  <c r="H4590" i="8"/>
  <c r="A4583" i="8"/>
  <c r="B4570" i="8"/>
  <c r="C4570" i="8"/>
  <c r="H4577" i="8"/>
  <c r="A4570" i="8"/>
  <c r="B4557" i="8"/>
  <c r="C4557" i="8"/>
  <c r="H4564" i="8"/>
  <c r="A4557" i="8"/>
  <c r="B4544" i="8"/>
  <c r="C4544" i="8"/>
  <c r="H4551" i="8"/>
  <c r="A4544" i="8"/>
  <c r="B4531" i="8"/>
  <c r="C4531" i="8"/>
  <c r="H4538" i="8"/>
  <c r="A4531" i="8"/>
  <c r="B4518" i="8"/>
  <c r="C4518" i="8"/>
  <c r="H4525" i="8"/>
  <c r="A4518" i="8"/>
  <c r="B4505" i="8"/>
  <c r="C4505" i="8"/>
  <c r="H4512" i="8"/>
  <c r="A4505" i="8"/>
  <c r="B4492" i="8"/>
  <c r="C4492" i="8"/>
  <c r="H4499" i="8"/>
  <c r="A4492" i="8"/>
  <c r="B4479" i="8"/>
  <c r="C4479" i="8"/>
  <c r="H4486" i="8"/>
  <c r="A4479" i="8"/>
  <c r="B4466" i="8"/>
  <c r="C4466" i="8"/>
  <c r="H4473" i="8"/>
  <c r="A4466" i="8"/>
  <c r="B4414" i="8"/>
  <c r="C4414" i="8"/>
  <c r="H4421" i="8"/>
  <c r="A4414" i="8"/>
  <c r="D164" i="23"/>
  <c r="C164" i="23"/>
  <c r="A164" i="23"/>
  <c r="F172" i="23"/>
  <c r="B4401" i="8"/>
  <c r="C4401" i="8"/>
  <c r="H4408" i="8"/>
  <c r="A4401" i="8"/>
  <c r="C154" i="23"/>
  <c r="D154" i="23"/>
  <c r="A154" i="23"/>
  <c r="F162" i="23"/>
  <c r="B4388" i="8"/>
  <c r="C4388" i="8"/>
  <c r="H4395" i="8"/>
  <c r="A4388" i="8"/>
  <c r="D144" i="23"/>
  <c r="C144" i="23"/>
  <c r="A144" i="23"/>
  <c r="F152" i="23"/>
  <c r="B4375" i="8"/>
  <c r="C4375" i="8"/>
  <c r="H4382" i="8"/>
  <c r="A4375" i="8"/>
  <c r="D134" i="23"/>
  <c r="C134" i="23"/>
  <c r="A134" i="23"/>
  <c r="F142" i="23"/>
  <c r="B4362" i="8"/>
  <c r="C4362" i="8"/>
  <c r="H4369" i="8"/>
  <c r="A4362" i="8"/>
  <c r="D124" i="23"/>
  <c r="C124" i="23"/>
  <c r="A124" i="23"/>
  <c r="H4562" i="8" l="1"/>
  <c r="H4588" i="8"/>
  <c r="H4471" i="8"/>
  <c r="H4536" i="8"/>
  <c r="H4640" i="8"/>
  <c r="H4523" i="8"/>
  <c r="H4627" i="8"/>
  <c r="H4484" i="8"/>
  <c r="H4510" i="8"/>
  <c r="H4614" i="8"/>
  <c r="H4497" i="8"/>
  <c r="H4575" i="8"/>
  <c r="H4601" i="8"/>
  <c r="H3364" i="8"/>
  <c r="H3339" i="8"/>
  <c r="H36" i="8"/>
  <c r="H4727" i="8"/>
  <c r="H4728" i="8" s="1"/>
  <c r="H4739" i="8"/>
  <c r="G4735" i="8" s="1"/>
  <c r="H4380" i="8"/>
  <c r="H4367" i="8"/>
  <c r="H4549" i="8"/>
  <c r="H4419" i="8"/>
  <c r="H4406" i="8"/>
  <c r="H4393" i="8"/>
  <c r="H4731" i="8" l="1"/>
  <c r="G4722" i="8"/>
  <c r="H39" i="8"/>
  <c r="H40" i="8" s="1"/>
  <c r="G31" i="8"/>
  <c r="H4509" i="8"/>
  <c r="H4511" i="8" s="1"/>
  <c r="G4505" i="8" s="1"/>
  <c r="H4574" i="8"/>
  <c r="H4576" i="8" s="1"/>
  <c r="G4570" i="8" s="1"/>
  <c r="H4626" i="8"/>
  <c r="H4628" i="8" s="1"/>
  <c r="G4622" i="8" s="1"/>
  <c r="H4587" i="8"/>
  <c r="H4589" i="8" s="1"/>
  <c r="G4583" i="8" s="1"/>
  <c r="H4639" i="8"/>
  <c r="H4641" i="8" s="1"/>
  <c r="G4635" i="8" s="1"/>
  <c r="H4600" i="8"/>
  <c r="H4602" i="8" s="1"/>
  <c r="G4596" i="8" s="1"/>
  <c r="H4470" i="8"/>
  <c r="H4472" i="8" s="1"/>
  <c r="G4466" i="8" s="1"/>
  <c r="H4483" i="8"/>
  <c r="H4485" i="8" s="1"/>
  <c r="G4479" i="8" s="1"/>
  <c r="H4535" i="8"/>
  <c r="H4537" i="8" s="1"/>
  <c r="H4561" i="8"/>
  <c r="H4563" i="8" s="1"/>
  <c r="G4557" i="8" s="1"/>
  <c r="H4613" i="8"/>
  <c r="H4615" i="8" s="1"/>
  <c r="G4609" i="8" s="1"/>
  <c r="H4522" i="8"/>
  <c r="H4524" i="8" s="1"/>
  <c r="H4496" i="8"/>
  <c r="H4498" i="8" s="1"/>
  <c r="G4492" i="8" s="1"/>
  <c r="H3338" i="8"/>
  <c r="H3340" i="8" s="1"/>
  <c r="G3335" i="8" s="1"/>
  <c r="H3363" i="8"/>
  <c r="H3365" i="8" s="1"/>
  <c r="G3360" i="8" s="1"/>
  <c r="H4730" i="8"/>
  <c r="H4722" i="8" s="1"/>
  <c r="H4732" i="8"/>
  <c r="H4405" i="8"/>
  <c r="H4407" i="8" s="1"/>
  <c r="G4401" i="8" s="1"/>
  <c r="H4418" i="8"/>
  <c r="H4420" i="8" s="1"/>
  <c r="G4414" i="8" s="1"/>
  <c r="H4379" i="8"/>
  <c r="H4381" i="8" s="1"/>
  <c r="G4375" i="8" s="1"/>
  <c r="H4548" i="8"/>
  <c r="H4550" i="8" s="1"/>
  <c r="G4544" i="8" s="1"/>
  <c r="H4366" i="8"/>
  <c r="H4368" i="8" s="1"/>
  <c r="H4392" i="8"/>
  <c r="H4394" i="8" s="1"/>
  <c r="G4388" i="8" s="1"/>
  <c r="H38" i="8"/>
  <c r="H31" i="8" s="1"/>
  <c r="H4527" i="8" l="1"/>
  <c r="H4528" i="8" s="1"/>
  <c r="G4518" i="8"/>
  <c r="H4371" i="8"/>
  <c r="H4372" i="8" s="1"/>
  <c r="G4362" i="8"/>
  <c r="H4540" i="8"/>
  <c r="H4541" i="8" s="1"/>
  <c r="G4531" i="8"/>
  <c r="H4630" i="8"/>
  <c r="H4622" i="8" s="1"/>
  <c r="H4631" i="8"/>
  <c r="H4632" i="8" s="1"/>
  <c r="H4488" i="8"/>
  <c r="H4489" i="8" s="1"/>
  <c r="H4579" i="8"/>
  <c r="H4580" i="8" s="1"/>
  <c r="H4474" i="8"/>
  <c r="H4466" i="8" s="1"/>
  <c r="H4475" i="8"/>
  <c r="H4476" i="8" s="1"/>
  <c r="H4501" i="8"/>
  <c r="H4502" i="8" s="1"/>
  <c r="H4397" i="8"/>
  <c r="H4398" i="8" s="1"/>
  <c r="H3342" i="8"/>
  <c r="H3335" i="8" s="1"/>
  <c r="H3343" i="8"/>
  <c r="H3344" i="8" s="1"/>
  <c r="H4553" i="8"/>
  <c r="H4554" i="8" s="1"/>
  <c r="H4514" i="8"/>
  <c r="H4515" i="8" s="1"/>
  <c r="H4644" i="8"/>
  <c r="H4645" i="8" s="1"/>
  <c r="H4604" i="8"/>
  <c r="H4596" i="8" s="1"/>
  <c r="H4605" i="8"/>
  <c r="H4606" i="8" s="1"/>
  <c r="H4383" i="8"/>
  <c r="H4375" i="8" s="1"/>
  <c r="H4384" i="8"/>
  <c r="H4385" i="8" s="1"/>
  <c r="H4618" i="8"/>
  <c r="H4619" i="8" s="1"/>
  <c r="H4565" i="8"/>
  <c r="H4557" i="8" s="1"/>
  <c r="H4566" i="8"/>
  <c r="H4567" i="8" s="1"/>
  <c r="H4592" i="8"/>
  <c r="H4593" i="8" s="1"/>
  <c r="H4422" i="8"/>
  <c r="H4414" i="8" s="1"/>
  <c r="H4423" i="8"/>
  <c r="H4424" i="8" s="1"/>
  <c r="H4410" i="8"/>
  <c r="H4411" i="8" s="1"/>
  <c r="H3368" i="8"/>
  <c r="H3369" i="8" s="1"/>
  <c r="H4591" i="8"/>
  <c r="H4583" i="8" s="1"/>
  <c r="H4552" i="8"/>
  <c r="H4544" i="8" s="1"/>
  <c r="H4643" i="8"/>
  <c r="H4635" i="8" s="1"/>
  <c r="H4617" i="8"/>
  <c r="H4609" i="8" s="1"/>
  <c r="H4526" i="8"/>
  <c r="H4518" i="8" s="1"/>
  <c r="H4539" i="8"/>
  <c r="H4531" i="8" s="1"/>
  <c r="H4513" i="8"/>
  <c r="H4505" i="8" s="1"/>
  <c r="H4578" i="8"/>
  <c r="H4570" i="8" s="1"/>
  <c r="H4370" i="8"/>
  <c r="H4362" i="8" s="1"/>
  <c r="H4487" i="8"/>
  <c r="H4479" i="8" s="1"/>
  <c r="H3367" i="8"/>
  <c r="H3360" i="8" s="1"/>
  <c r="H4409" i="8"/>
  <c r="H4401" i="8" s="1"/>
  <c r="H4396" i="8"/>
  <c r="H4388" i="8" s="1"/>
  <c r="H4500" i="8"/>
  <c r="H4492" i="8" s="1"/>
  <c r="F72" i="23" l="1"/>
  <c r="D64" i="23"/>
  <c r="B1111" i="8"/>
  <c r="C1111" i="8"/>
  <c r="A1111" i="8"/>
  <c r="B4168" i="8"/>
  <c r="C4168" i="8"/>
  <c r="H4173" i="8"/>
  <c r="A4168" i="8"/>
  <c r="D84" i="23"/>
  <c r="B84" i="23"/>
  <c r="A84" i="23"/>
  <c r="F92" i="23"/>
  <c r="B4140" i="8"/>
  <c r="C4140" i="8"/>
  <c r="H4145" i="8"/>
  <c r="A4140" i="8"/>
  <c r="H4142" i="8"/>
  <c r="F82" i="23"/>
  <c r="H4143" i="8" s="1"/>
  <c r="D74" i="23"/>
  <c r="H4171" i="8" l="1"/>
  <c r="H1114" i="8"/>
  <c r="H1115" i="8" s="1"/>
  <c r="G1111" i="8" s="1"/>
  <c r="H4170" i="8"/>
  <c r="H4144" i="8"/>
  <c r="G4140" i="8" s="1"/>
  <c r="B74" i="23"/>
  <c r="A74" i="23"/>
  <c r="A3894" i="8"/>
  <c r="B3831" i="8"/>
  <c r="C3831" i="8"/>
  <c r="H3839" i="8"/>
  <c r="A3831" i="8"/>
  <c r="A3744" i="8"/>
  <c r="A3653" i="8"/>
  <c r="A3575" i="8"/>
  <c r="A3561" i="8"/>
  <c r="A3545" i="8"/>
  <c r="A3497" i="8"/>
  <c r="A3513" i="8"/>
  <c r="A3529" i="8"/>
  <c r="A3482" i="8"/>
  <c r="A3468" i="8"/>
  <c r="A3420" i="8"/>
  <c r="A3404" i="8"/>
  <c r="A3388" i="8"/>
  <c r="H4146" i="8" l="1"/>
  <c r="H4140" i="8" s="1"/>
  <c r="H4147" i="8"/>
  <c r="H4148" i="8" s="1"/>
  <c r="H4172" i="8"/>
  <c r="G4168" i="8" s="1"/>
  <c r="H1118" i="8"/>
  <c r="H1119" i="8" s="1"/>
  <c r="A3257" i="8"/>
  <c r="A2945" i="8"/>
  <c r="A2932" i="8"/>
  <c r="A2919" i="8"/>
  <c r="A2699" i="8"/>
  <c r="A2678" i="8"/>
  <c r="A2639" i="8"/>
  <c r="A2626" i="8"/>
  <c r="A2613" i="8"/>
  <c r="A2600" i="8"/>
  <c r="A2587" i="8"/>
  <c r="A2574" i="8"/>
  <c r="A2561" i="8"/>
  <c r="A2548" i="8"/>
  <c r="A2521" i="8"/>
  <c r="A2295" i="8"/>
  <c r="A2140" i="8"/>
  <c r="A2107" i="8"/>
  <c r="A2076" i="8"/>
  <c r="A2060" i="8"/>
  <c r="A2044" i="8"/>
  <c r="A2028" i="8"/>
  <c r="A1996" i="8"/>
  <c r="A1981" i="8"/>
  <c r="A1966" i="8"/>
  <c r="A1951" i="8"/>
  <c r="A1936" i="8"/>
  <c r="B1792" i="8"/>
  <c r="C1792" i="8"/>
  <c r="A1792" i="8"/>
  <c r="A1779" i="8"/>
  <c r="A1765" i="8"/>
  <c r="A1751" i="8"/>
  <c r="A1721" i="8"/>
  <c r="A1689" i="8"/>
  <c r="A1705" i="8"/>
  <c r="H3836" i="8" l="1"/>
  <c r="H3837" i="8"/>
  <c r="H4174" i="8"/>
  <c r="H4168" i="8" s="1"/>
  <c r="H4175" i="8"/>
  <c r="H4176" i="8" s="1"/>
  <c r="A1643" i="8"/>
  <c r="A1611" i="8"/>
  <c r="A1595" i="8"/>
  <c r="A1579" i="8"/>
  <c r="A1563" i="8"/>
  <c r="A1518" i="8"/>
  <c r="A1502" i="8"/>
  <c r="A1486" i="8"/>
  <c r="A1470" i="8"/>
  <c r="A1454" i="8"/>
  <c r="A1438" i="8"/>
  <c r="A1422" i="8"/>
  <c r="H1270" i="8"/>
  <c r="H1268" i="8"/>
  <c r="H3838" i="8" l="1"/>
  <c r="G3831" i="8" s="1"/>
  <c r="H1269" i="8"/>
  <c r="G1265" i="8" s="1"/>
  <c r="H1272" i="8" l="1"/>
  <c r="H1273" i="8" s="1"/>
  <c r="H3841" i="8"/>
  <c r="H3842" i="8" s="1"/>
  <c r="H3840" i="8"/>
  <c r="H3831" i="8" s="1"/>
  <c r="H1271" i="8"/>
  <c r="H1265" i="8" s="1"/>
  <c r="H1341" i="8"/>
  <c r="A1253" i="8"/>
  <c r="A1241" i="8"/>
  <c r="A1229" i="8"/>
  <c r="A1217" i="8"/>
  <c r="A1205" i="8"/>
  <c r="A1193" i="8"/>
  <c r="A1180" i="8"/>
  <c r="A1150" i="8"/>
  <c r="A1092" i="8"/>
  <c r="A1073" i="8"/>
  <c r="A1054" i="8"/>
  <c r="A982" i="8"/>
  <c r="A995" i="8"/>
  <c r="A1010" i="8"/>
  <c r="G378" i="22"/>
  <c r="G377" i="22"/>
  <c r="J377" i="22" s="1"/>
  <c r="A908" i="8"/>
  <c r="A863" i="8"/>
  <c r="A830" i="8"/>
  <c r="A813" i="8"/>
  <c r="A795" i="8"/>
  <c r="A746" i="8"/>
  <c r="A727" i="8"/>
  <c r="A708" i="8"/>
  <c r="A657" i="8"/>
  <c r="A641" i="8"/>
  <c r="A625" i="8"/>
  <c r="A607" i="8"/>
  <c r="A570" i="8"/>
  <c r="A551" i="8"/>
  <c r="A532" i="8"/>
  <c r="A512" i="8"/>
  <c r="A429" i="8"/>
  <c r="B93" i="8"/>
  <c r="C93" i="8"/>
  <c r="A93" i="8"/>
  <c r="H103" i="8"/>
  <c r="H1338" i="8" l="1"/>
  <c r="H1339" i="8"/>
  <c r="H100" i="8" l="1"/>
  <c r="H101" i="8"/>
  <c r="H1340" i="8"/>
  <c r="G1332" i="8" s="1"/>
  <c r="H1342" i="8" l="1"/>
  <c r="H1332" i="8" s="1"/>
  <c r="H1343" i="8"/>
  <c r="H1344" i="8" s="1"/>
  <c r="H102" i="8"/>
  <c r="G93" i="8" s="1"/>
  <c r="B67" i="8"/>
  <c r="C67" i="8"/>
  <c r="H87" i="8"/>
  <c r="A67" i="8"/>
  <c r="A64" i="8"/>
  <c r="H84" i="8" l="1"/>
  <c r="H104" i="8"/>
  <c r="H93" i="8" s="1"/>
  <c r="H105" i="8"/>
  <c r="H106" i="8" s="1"/>
  <c r="B2535" i="8"/>
  <c r="C2535" i="8"/>
  <c r="H2542" i="8"/>
  <c r="A2535" i="8"/>
  <c r="H2540" i="8" l="1"/>
  <c r="H85" i="8"/>
  <c r="H86" i="8" s="1"/>
  <c r="G67" i="8" s="1"/>
  <c r="B2381" i="8"/>
  <c r="C2381" i="8"/>
  <c r="H2389" i="8"/>
  <c r="A2381" i="8"/>
  <c r="H2539" i="8" l="1"/>
  <c r="H2541" i="8" s="1"/>
  <c r="H88" i="8"/>
  <c r="H67" i="8" s="1"/>
  <c r="H89" i="8"/>
  <c r="H90" i="8" s="1"/>
  <c r="H2387" i="8"/>
  <c r="H2544" i="8" l="1"/>
  <c r="H2545" i="8" s="1"/>
  <c r="G2535" i="8"/>
  <c r="H2543" i="8"/>
  <c r="H2535" i="8" s="1"/>
  <c r="H2386" i="8"/>
  <c r="H2388" i="8" s="1"/>
  <c r="G2381" i="8" s="1"/>
  <c r="H2309" i="8"/>
  <c r="H2306" i="8" l="1"/>
  <c r="H2391" i="8"/>
  <c r="H2392" i="8" s="1"/>
  <c r="H2390" i="8"/>
  <c r="H2381" i="8" s="1"/>
  <c r="H2375" i="8"/>
  <c r="H2307" i="8" l="1"/>
  <c r="H2308" i="8" s="1"/>
  <c r="G2298" i="8" s="1"/>
  <c r="H2372" i="8"/>
  <c r="H2373" i="8"/>
  <c r="H2311" i="8" l="1"/>
  <c r="H2312" i="8" s="1"/>
  <c r="H2310" i="8"/>
  <c r="H2298" i="8" s="1"/>
  <c r="H2374" i="8"/>
  <c r="H2377" i="8" l="1"/>
  <c r="H2378" i="8" s="1"/>
  <c r="G2368" i="8"/>
  <c r="H2376" i="8"/>
  <c r="H2368" i="8" s="1"/>
  <c r="H36" i="30" l="1"/>
  <c r="A1905" i="8" l="1"/>
  <c r="B1905" i="8"/>
  <c r="C1905" i="8"/>
  <c r="K361" i="22" l="1"/>
  <c r="K362" i="22" s="1"/>
  <c r="J361" i="22"/>
  <c r="K357" i="22"/>
  <c r="B357" i="22"/>
  <c r="A357" i="22"/>
  <c r="I362" i="22"/>
  <c r="B893" i="8"/>
  <c r="C893" i="8"/>
  <c r="A893" i="8"/>
  <c r="H900" i="8" l="1"/>
  <c r="K25" i="30"/>
  <c r="B25" i="30"/>
  <c r="A25" i="30"/>
  <c r="H899" i="8" l="1"/>
  <c r="H901" i="8" l="1"/>
  <c r="G893" i="8" s="1"/>
  <c r="H904" i="8" l="1"/>
  <c r="H905" i="8" s="1"/>
  <c r="H4650" i="8" l="1"/>
  <c r="B4648" i="8"/>
  <c r="C4648" i="8"/>
  <c r="H4653" i="8"/>
  <c r="A4648" i="8"/>
  <c r="H4651" i="8"/>
  <c r="B3114" i="8"/>
  <c r="C3114" i="8"/>
  <c r="H3121" i="8"/>
  <c r="A3114" i="8"/>
  <c r="B3101" i="8"/>
  <c r="C3101" i="8"/>
  <c r="H3108" i="8"/>
  <c r="A3101" i="8"/>
  <c r="B2893" i="8"/>
  <c r="C2893" i="8"/>
  <c r="H2900" i="8"/>
  <c r="A2893" i="8"/>
  <c r="K718" i="22"/>
  <c r="B718" i="22"/>
  <c r="A718" i="22"/>
  <c r="H723" i="22"/>
  <c r="K723" i="22" s="1"/>
  <c r="H722" i="22"/>
  <c r="K722" i="22" s="1"/>
  <c r="K725" i="22" s="1"/>
  <c r="E638" i="1" s="1"/>
  <c r="K638" i="1" s="1"/>
  <c r="H714" i="22"/>
  <c r="K714" i="22" s="1"/>
  <c r="H713" i="22"/>
  <c r="K713" i="22" s="1"/>
  <c r="H712" i="22"/>
  <c r="K712" i="22" s="1"/>
  <c r="H711" i="22"/>
  <c r="K711" i="22" s="1"/>
  <c r="K707" i="22"/>
  <c r="B707" i="22"/>
  <c r="A707" i="22"/>
  <c r="J19" i="30"/>
  <c r="J20" i="30"/>
  <c r="J21" i="30"/>
  <c r="J22" i="30"/>
  <c r="J17" i="30"/>
  <c r="H18" i="30"/>
  <c r="J18" i="30" s="1"/>
  <c r="K21" i="30"/>
  <c r="K20" i="30"/>
  <c r="K22" i="30"/>
  <c r="D17" i="20"/>
  <c r="D15" i="20"/>
  <c r="B1533" i="8"/>
  <c r="C1533" i="8"/>
  <c r="A1533" i="8"/>
  <c r="K716" i="22" l="1"/>
  <c r="E637" i="1" s="1"/>
  <c r="K637" i="1" s="1"/>
  <c r="H2898" i="8"/>
  <c r="H3119" i="8"/>
  <c r="H3106" i="8"/>
  <c r="J23" i="30"/>
  <c r="E21" i="29" s="1"/>
  <c r="K21" i="29" s="1"/>
  <c r="H4652" i="8"/>
  <c r="G4648" i="8" s="1"/>
  <c r="E106" i="29"/>
  <c r="K106" i="29" s="1"/>
  <c r="B476" i="8"/>
  <c r="C476" i="8"/>
  <c r="H487" i="8"/>
  <c r="A476" i="8"/>
  <c r="B459" i="8"/>
  <c r="C459" i="8"/>
  <c r="H470" i="8"/>
  <c r="A459" i="8"/>
  <c r="H68" i="30"/>
  <c r="K68" i="30" s="1"/>
  <c r="K70" i="30" s="1"/>
  <c r="G68" i="30"/>
  <c r="J68" i="30" s="1"/>
  <c r="K64" i="30"/>
  <c r="B64" i="30"/>
  <c r="A64" i="30"/>
  <c r="I70" i="30"/>
  <c r="H69" i="30"/>
  <c r="K69" i="30" s="1"/>
  <c r="J69" i="30"/>
  <c r="J86" i="30"/>
  <c r="H86" i="30"/>
  <c r="K86" i="30" s="1"/>
  <c r="J85" i="30"/>
  <c r="H85" i="30"/>
  <c r="K85" i="30" s="1"/>
  <c r="H87" i="30"/>
  <c r="K87" i="30" s="1"/>
  <c r="G87" i="30"/>
  <c r="J87" i="30" s="1"/>
  <c r="J84" i="30"/>
  <c r="H84" i="30"/>
  <c r="K84" i="30" s="1"/>
  <c r="J83" i="30"/>
  <c r="H83" i="30"/>
  <c r="K83" i="30" s="1"/>
  <c r="H82" i="30"/>
  <c r="K82" i="30" s="1"/>
  <c r="G82" i="30"/>
  <c r="J82" i="30" s="1"/>
  <c r="H81" i="30"/>
  <c r="K81" i="30" s="1"/>
  <c r="G81" i="30"/>
  <c r="J81" i="30" s="1"/>
  <c r="H80" i="30"/>
  <c r="K80" i="30" s="1"/>
  <c r="G80" i="30"/>
  <c r="J80" i="30" s="1"/>
  <c r="E22" i="29" l="1"/>
  <c r="K22" i="29" s="1"/>
  <c r="H2897" i="8"/>
  <c r="H2899" i="8" s="1"/>
  <c r="G2893" i="8" s="1"/>
  <c r="H3118" i="8"/>
  <c r="H3120" i="8" s="1"/>
  <c r="G3114" i="8" s="1"/>
  <c r="H3105" i="8"/>
  <c r="H3107" i="8" s="1"/>
  <c r="G3101" i="8" s="1"/>
  <c r="H4655" i="8"/>
  <c r="H4656" i="8" s="1"/>
  <c r="H4654" i="8"/>
  <c r="H4648" i="8" s="1"/>
  <c r="J70" i="30"/>
  <c r="E102" i="29" s="1"/>
  <c r="K102" i="29" s="1"/>
  <c r="K75" i="30"/>
  <c r="B75" i="30"/>
  <c r="A75" i="30"/>
  <c r="I88" i="30"/>
  <c r="J79" i="30"/>
  <c r="J88" i="30" s="1"/>
  <c r="H79" i="30"/>
  <c r="K79" i="30" s="1"/>
  <c r="K88" i="30" s="1"/>
  <c r="E100" i="29"/>
  <c r="K100" i="29" s="1"/>
  <c r="E61" i="30"/>
  <c r="G61" i="30" s="1"/>
  <c r="J61" i="30" s="1"/>
  <c r="J62" i="30" s="1"/>
  <c r="E96" i="29" s="1"/>
  <c r="K96" i="29" s="1"/>
  <c r="I62" i="30"/>
  <c r="K57" i="30"/>
  <c r="B57" i="30"/>
  <c r="A57" i="30"/>
  <c r="E94" i="29"/>
  <c r="K94" i="29" s="1"/>
  <c r="F36" i="22"/>
  <c r="E36" i="22"/>
  <c r="D36" i="22"/>
  <c r="F35" i="22"/>
  <c r="D35" i="22"/>
  <c r="G37" i="22"/>
  <c r="J37" i="22" s="1"/>
  <c r="I38" i="22"/>
  <c r="K37" i="22"/>
  <c r="K38" i="22" s="1"/>
  <c r="K36" i="22"/>
  <c r="K35" i="22"/>
  <c r="F54" i="30"/>
  <c r="D54" i="30"/>
  <c r="F53" i="30"/>
  <c r="D53" i="30"/>
  <c r="F52" i="30"/>
  <c r="D52" i="30"/>
  <c r="K48" i="30"/>
  <c r="B48" i="30"/>
  <c r="A48" i="30"/>
  <c r="I55" i="30"/>
  <c r="K54" i="30"/>
  <c r="K53" i="30"/>
  <c r="K52" i="30"/>
  <c r="K31" i="22"/>
  <c r="B31" i="22"/>
  <c r="A31" i="22"/>
  <c r="A32" i="30"/>
  <c r="B204" i="8"/>
  <c r="C204" i="8"/>
  <c r="H214" i="8"/>
  <c r="A204" i="8"/>
  <c r="E80" i="29"/>
  <c r="K80" i="29" s="1"/>
  <c r="E79" i="29"/>
  <c r="K79" i="29" s="1"/>
  <c r="E75" i="29"/>
  <c r="K75" i="29" s="1"/>
  <c r="E74" i="29"/>
  <c r="K74" i="29" s="1"/>
  <c r="E73" i="29"/>
  <c r="K73" i="29" s="1"/>
  <c r="B188" i="8"/>
  <c r="C188" i="8"/>
  <c r="H198" i="8"/>
  <c r="E70" i="29"/>
  <c r="K70" i="29" s="1"/>
  <c r="E69" i="29"/>
  <c r="K69" i="29" s="1"/>
  <c r="E68" i="29"/>
  <c r="K68" i="29" s="1"/>
  <c r="K36" i="30"/>
  <c r="K37" i="30" s="1"/>
  <c r="E34" i="29" s="1"/>
  <c r="K34" i="29" s="1"/>
  <c r="I37" i="30"/>
  <c r="J36" i="30"/>
  <c r="J37" i="30" s="1"/>
  <c r="B172" i="8"/>
  <c r="C172" i="8"/>
  <c r="H182" i="8"/>
  <c r="E59" i="29"/>
  <c r="K59" i="29" s="1"/>
  <c r="E58" i="29"/>
  <c r="K58" i="29" s="1"/>
  <c r="E57" i="29"/>
  <c r="K57" i="29" s="1"/>
  <c r="E51" i="29"/>
  <c r="K51" i="29" s="1"/>
  <c r="E53" i="29"/>
  <c r="K53" i="29" s="1"/>
  <c r="E52" i="29"/>
  <c r="K52" i="29" s="1"/>
  <c r="K39" i="30"/>
  <c r="B39" i="30"/>
  <c r="A39" i="30"/>
  <c r="I46" i="30"/>
  <c r="K45" i="30"/>
  <c r="J45" i="30"/>
  <c r="K44" i="30"/>
  <c r="G44" i="30"/>
  <c r="J44" i="30" s="1"/>
  <c r="K43" i="30"/>
  <c r="G43" i="30"/>
  <c r="J43" i="30" s="1"/>
  <c r="I30" i="30"/>
  <c r="K29" i="30"/>
  <c r="K30" i="30" s="1"/>
  <c r="J29" i="30"/>
  <c r="J30" i="30" s="1"/>
  <c r="E30" i="29" s="1"/>
  <c r="K30" i="29" s="1"/>
  <c r="K19" i="30"/>
  <c r="K18" i="30"/>
  <c r="K17" i="30"/>
  <c r="B13" i="30"/>
  <c r="A13" i="30"/>
  <c r="E742" i="1"/>
  <c r="K742" i="1" s="1"/>
  <c r="E219" i="1"/>
  <c r="K219" i="1" s="1"/>
  <c r="E218" i="1"/>
  <c r="K218" i="1" s="1"/>
  <c r="E217" i="1"/>
  <c r="K217" i="1" s="1"/>
  <c r="B4698" i="8"/>
  <c r="C4698" i="8"/>
  <c r="H4705" i="8"/>
  <c r="A4698" i="8"/>
  <c r="B4686" i="8"/>
  <c r="C4686" i="8"/>
  <c r="H4692" i="8"/>
  <c r="A4686" i="8"/>
  <c r="B4672" i="8"/>
  <c r="C4672" i="8"/>
  <c r="H4680" i="8"/>
  <c r="A4672" i="8"/>
  <c r="B4659" i="8"/>
  <c r="C4659" i="8"/>
  <c r="H4666" i="8"/>
  <c r="A4659" i="8"/>
  <c r="E97" i="29" l="1"/>
  <c r="K97" i="29" s="1"/>
  <c r="H468" i="8"/>
  <c r="H485" i="8"/>
  <c r="H484" i="8"/>
  <c r="H467" i="8"/>
  <c r="H2901" i="8"/>
  <c r="H2893" i="8" s="1"/>
  <c r="H2902" i="8"/>
  <c r="H2903" i="8" s="1"/>
  <c r="H3123" i="8"/>
  <c r="H3124" i="8" s="1"/>
  <c r="H3109" i="8"/>
  <c r="H3101" i="8" s="1"/>
  <c r="H3110" i="8"/>
  <c r="H3111" i="8" s="1"/>
  <c r="G36" i="22"/>
  <c r="J36" i="22" s="1"/>
  <c r="H3122" i="8"/>
  <c r="H3114" i="8" s="1"/>
  <c r="G35" i="22"/>
  <c r="J35" i="22" s="1"/>
  <c r="G52" i="30"/>
  <c r="J52" i="30" s="1"/>
  <c r="G54" i="30"/>
  <c r="J54" i="30"/>
  <c r="G53" i="30"/>
  <c r="J53" i="30" s="1"/>
  <c r="H61" i="30"/>
  <c r="K61" i="30" s="1"/>
  <c r="K62" i="30" s="1"/>
  <c r="K55" i="30"/>
  <c r="K46" i="30"/>
  <c r="J46" i="30"/>
  <c r="E50" i="29" s="1"/>
  <c r="K50" i="29" s="1"/>
  <c r="H4703" i="8"/>
  <c r="H4690" i="8"/>
  <c r="H4678" i="8"/>
  <c r="H4664" i="8"/>
  <c r="F122" i="23"/>
  <c r="H4293" i="8" s="1"/>
  <c r="D114" i="23"/>
  <c r="C114" i="23"/>
  <c r="A114" i="23"/>
  <c r="F112" i="23"/>
  <c r="D104" i="23"/>
  <c r="C104" i="23"/>
  <c r="A104" i="23"/>
  <c r="G97" i="20"/>
  <c r="G96" i="20"/>
  <c r="G95" i="20"/>
  <c r="G94" i="20"/>
  <c r="G93" i="20"/>
  <c r="G92" i="20"/>
  <c r="G91" i="20"/>
  <c r="F90" i="20"/>
  <c r="G90" i="20" s="1"/>
  <c r="G89" i="20"/>
  <c r="D87" i="20"/>
  <c r="G87" i="20" s="1"/>
  <c r="G86" i="20"/>
  <c r="G85" i="20"/>
  <c r="G84" i="20"/>
  <c r="G83" i="20"/>
  <c r="D82" i="20"/>
  <c r="G82" i="20" s="1"/>
  <c r="G81" i="20"/>
  <c r="D80" i="20"/>
  <c r="G80" i="20" s="1"/>
  <c r="D79" i="20"/>
  <c r="G79" i="20" s="1"/>
  <c r="G78" i="20"/>
  <c r="G77" i="20"/>
  <c r="G76" i="20"/>
  <c r="G75" i="20"/>
  <c r="G74" i="20"/>
  <c r="G73" i="20"/>
  <c r="G72" i="20"/>
  <c r="G71" i="20"/>
  <c r="G70" i="20"/>
  <c r="G69" i="20"/>
  <c r="G68" i="20"/>
  <c r="G67" i="20"/>
  <c r="G66" i="20"/>
  <c r="G65" i="20"/>
  <c r="G64" i="20"/>
  <c r="G63" i="20"/>
  <c r="F62" i="20"/>
  <c r="G62" i="20" s="1"/>
  <c r="G61" i="20"/>
  <c r="G60" i="20"/>
  <c r="G59" i="20"/>
  <c r="E58" i="20"/>
  <c r="G58" i="20" s="1"/>
  <c r="G57" i="20"/>
  <c r="G56" i="20"/>
  <c r="G55" i="20"/>
  <c r="G54" i="20"/>
  <c r="G53" i="20"/>
  <c r="G52" i="20"/>
  <c r="D51" i="20"/>
  <c r="G51" i="20" s="1"/>
  <c r="E50" i="20"/>
  <c r="G50" i="20" s="1"/>
  <c r="D49" i="20"/>
  <c r="G49" i="20" s="1"/>
  <c r="G48" i="20"/>
  <c r="G47" i="20"/>
  <c r="G45" i="20"/>
  <c r="G44" i="20"/>
  <c r="G43" i="20"/>
  <c r="F42" i="20"/>
  <c r="G42" i="20" s="1"/>
  <c r="G41" i="20"/>
  <c r="G40" i="20"/>
  <c r="G39" i="20"/>
  <c r="G37" i="20"/>
  <c r="G36" i="20"/>
  <c r="G35" i="20"/>
  <c r="E34" i="20"/>
  <c r="G34" i="20" s="1"/>
  <c r="G33" i="20"/>
  <c r="G32" i="20"/>
  <c r="G31" i="20"/>
  <c r="G30" i="20"/>
  <c r="G29" i="20"/>
  <c r="G28" i="20"/>
  <c r="G27" i="20"/>
  <c r="D26" i="20"/>
  <c r="G26" i="20" s="1"/>
  <c r="F25" i="20"/>
  <c r="G25" i="20" s="1"/>
  <c r="G24" i="20"/>
  <c r="G23" i="20"/>
  <c r="G22" i="20"/>
  <c r="F21" i="20"/>
  <c r="G21" i="20" s="1"/>
  <c r="G20" i="20"/>
  <c r="G19" i="20"/>
  <c r="G18" i="20"/>
  <c r="F17" i="20"/>
  <c r="E17" i="20"/>
  <c r="G16" i="20"/>
  <c r="G15" i="20"/>
  <c r="E14" i="20"/>
  <c r="D14" i="20"/>
  <c r="AH35" i="28"/>
  <c r="AG35" i="28"/>
  <c r="AF35" i="28"/>
  <c r="AE35" i="28"/>
  <c r="AD35" i="28"/>
  <c r="AC35" i="28"/>
  <c r="AB35" i="28"/>
  <c r="AA35" i="28"/>
  <c r="Z35" i="28"/>
  <c r="Y35" i="28"/>
  <c r="X35" i="28"/>
  <c r="W35" i="28"/>
  <c r="V35" i="28"/>
  <c r="U35" i="28"/>
  <c r="T35" i="28"/>
  <c r="S35" i="28"/>
  <c r="R35" i="28"/>
  <c r="Q35" i="28"/>
  <c r="P35" i="28"/>
  <c r="O35" i="28"/>
  <c r="N35" i="28"/>
  <c r="M35" i="28"/>
  <c r="L35" i="28"/>
  <c r="K35" i="28"/>
  <c r="J35" i="28"/>
  <c r="I35" i="28"/>
  <c r="H35" i="28"/>
  <c r="G35" i="28"/>
  <c r="F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K704" i="22"/>
  <c r="J704" i="22"/>
  <c r="I704" i="22"/>
  <c r="K703" i="22"/>
  <c r="J703" i="22"/>
  <c r="I703" i="22"/>
  <c r="K702" i="22"/>
  <c r="J702" i="22"/>
  <c r="I702" i="22"/>
  <c r="K701" i="22"/>
  <c r="J701" i="22"/>
  <c r="I701" i="22"/>
  <c r="K700" i="22"/>
  <c r="J700" i="22"/>
  <c r="I700" i="22"/>
  <c r="K699" i="22"/>
  <c r="J699" i="22"/>
  <c r="I699" i="22"/>
  <c r="K698" i="22"/>
  <c r="J698" i="22"/>
  <c r="I698" i="22"/>
  <c r="K697" i="22"/>
  <c r="J697" i="22"/>
  <c r="I697" i="22"/>
  <c r="K696" i="22"/>
  <c r="J696" i="22"/>
  <c r="I696" i="22"/>
  <c r="K695" i="22"/>
  <c r="J695" i="22"/>
  <c r="I695" i="22"/>
  <c r="K694" i="22"/>
  <c r="J694" i="22"/>
  <c r="I694" i="22"/>
  <c r="K693" i="22"/>
  <c r="J693" i="22"/>
  <c r="I693" i="22"/>
  <c r="K692" i="22"/>
  <c r="J692" i="22"/>
  <c r="I692" i="22"/>
  <c r="K691" i="22"/>
  <c r="J691" i="22"/>
  <c r="I691" i="22"/>
  <c r="K690" i="22"/>
  <c r="J690" i="22"/>
  <c r="I690" i="22"/>
  <c r="K689" i="22"/>
  <c r="J689" i="22"/>
  <c r="I689" i="22"/>
  <c r="K688" i="22"/>
  <c r="J688" i="22"/>
  <c r="I688" i="22"/>
  <c r="K687" i="22"/>
  <c r="J687" i="22"/>
  <c r="I687" i="22"/>
  <c r="K686" i="22"/>
  <c r="J686" i="22"/>
  <c r="I686" i="22"/>
  <c r="K685" i="22"/>
  <c r="J685" i="22"/>
  <c r="I685" i="22"/>
  <c r="K684" i="22"/>
  <c r="J684" i="22"/>
  <c r="I684" i="22"/>
  <c r="K683" i="22"/>
  <c r="J683" i="22"/>
  <c r="I683" i="22"/>
  <c r="K682" i="22"/>
  <c r="J682" i="22"/>
  <c r="I682" i="22"/>
  <c r="K681" i="22"/>
  <c r="J681" i="22"/>
  <c r="I681" i="22"/>
  <c r="K680" i="22"/>
  <c r="J680" i="22"/>
  <c r="I680" i="22"/>
  <c r="K676" i="22"/>
  <c r="B676" i="22"/>
  <c r="A676" i="22"/>
  <c r="K673" i="22"/>
  <c r="I673" i="22"/>
  <c r="G673" i="22"/>
  <c r="J673" i="22" s="1"/>
  <c r="K672" i="22"/>
  <c r="I672" i="22"/>
  <c r="G672" i="22"/>
  <c r="J672" i="22" s="1"/>
  <c r="K668" i="22"/>
  <c r="B668" i="22"/>
  <c r="A668" i="22"/>
  <c r="K665" i="22"/>
  <c r="J665" i="22"/>
  <c r="I665" i="22"/>
  <c r="K664" i="22"/>
  <c r="J664" i="22"/>
  <c r="I664" i="22"/>
  <c r="K663" i="22"/>
  <c r="J663" i="22"/>
  <c r="I663" i="22"/>
  <c r="K662" i="22"/>
  <c r="J662" i="22"/>
  <c r="I662" i="22"/>
  <c r="K661" i="22"/>
  <c r="J661" i="22"/>
  <c r="F661" i="22"/>
  <c r="I661" i="22" s="1"/>
  <c r="K660" i="22"/>
  <c r="J660" i="22"/>
  <c r="I660" i="22"/>
  <c r="K659" i="22"/>
  <c r="J659" i="22"/>
  <c r="F659" i="22"/>
  <c r="I659" i="22" s="1"/>
  <c r="K658" i="22"/>
  <c r="J658" i="22"/>
  <c r="F658" i="22"/>
  <c r="I658" i="22" s="1"/>
  <c r="K657" i="22"/>
  <c r="J657" i="22"/>
  <c r="F657" i="22"/>
  <c r="I657" i="22" s="1"/>
  <c r="K656" i="22"/>
  <c r="J656" i="22"/>
  <c r="F656" i="22"/>
  <c r="I656" i="22" s="1"/>
  <c r="K655" i="22"/>
  <c r="J655" i="22"/>
  <c r="I655" i="22"/>
  <c r="K654" i="22"/>
  <c r="J654" i="22"/>
  <c r="I654" i="22"/>
  <c r="K653" i="22"/>
  <c r="J653" i="22"/>
  <c r="I653" i="22"/>
  <c r="K652" i="22"/>
  <c r="J652" i="22"/>
  <c r="F652" i="22"/>
  <c r="I652" i="22" s="1"/>
  <c r="K651" i="22"/>
  <c r="J651" i="22"/>
  <c r="F651" i="22"/>
  <c r="I651" i="22" s="1"/>
  <c r="K650" i="22"/>
  <c r="J650" i="22"/>
  <c r="F650" i="22"/>
  <c r="I650" i="22" s="1"/>
  <c r="K649" i="22"/>
  <c r="J649" i="22"/>
  <c r="F649" i="22"/>
  <c r="I649" i="22" s="1"/>
  <c r="K648" i="22"/>
  <c r="J648" i="22"/>
  <c r="F648" i="22"/>
  <c r="I648" i="22" s="1"/>
  <c r="K647" i="22"/>
  <c r="J647" i="22"/>
  <c r="F647" i="22"/>
  <c r="I647" i="22" s="1"/>
  <c r="K646" i="22"/>
  <c r="J646" i="22"/>
  <c r="F646" i="22"/>
  <c r="I646" i="22" s="1"/>
  <c r="K645" i="22"/>
  <c r="J645" i="22"/>
  <c r="I645" i="22"/>
  <c r="K644" i="22"/>
  <c r="J644" i="22"/>
  <c r="I644" i="22"/>
  <c r="K643" i="22"/>
  <c r="J643" i="22"/>
  <c r="I643" i="22"/>
  <c r="K642" i="22"/>
  <c r="J642" i="22"/>
  <c r="I642" i="22"/>
  <c r="K641" i="22"/>
  <c r="J641" i="22"/>
  <c r="I641" i="22"/>
  <c r="K637" i="22"/>
  <c r="B637" i="22"/>
  <c r="A637" i="22"/>
  <c r="I635" i="22"/>
  <c r="K634" i="22"/>
  <c r="D634" i="22"/>
  <c r="G634" i="22" s="1"/>
  <c r="J634" i="22" s="1"/>
  <c r="K633" i="22"/>
  <c r="D633" i="22"/>
  <c r="G633" i="22" s="1"/>
  <c r="J633" i="22" s="1"/>
  <c r="K632" i="22"/>
  <c r="D632" i="22"/>
  <c r="G632" i="22" s="1"/>
  <c r="J632" i="22" s="1"/>
  <c r="K631" i="22"/>
  <c r="F631" i="22"/>
  <c r="D631" i="22"/>
  <c r="K630" i="22"/>
  <c r="F630" i="22"/>
  <c r="D630" i="22"/>
  <c r="K629" i="22"/>
  <c r="F629" i="22"/>
  <c r="D629" i="22"/>
  <c r="K628" i="22"/>
  <c r="F628" i="22"/>
  <c r="D628" i="22"/>
  <c r="K627" i="22"/>
  <c r="F627" i="22"/>
  <c r="G627" i="22" s="1"/>
  <c r="J627" i="22" s="1"/>
  <c r="K626" i="22"/>
  <c r="F626" i="22"/>
  <c r="D626" i="22"/>
  <c r="K625" i="22"/>
  <c r="F625" i="22"/>
  <c r="D625" i="22"/>
  <c r="K624" i="22"/>
  <c r="D624" i="22"/>
  <c r="G624" i="22" s="1"/>
  <c r="J624" i="22" s="1"/>
  <c r="K623" i="22"/>
  <c r="D623" i="22"/>
  <c r="G623" i="22" s="1"/>
  <c r="J623" i="22" s="1"/>
  <c r="K622" i="22"/>
  <c r="F622" i="22"/>
  <c r="D622" i="22"/>
  <c r="K621" i="22"/>
  <c r="F621" i="22"/>
  <c r="D621" i="22"/>
  <c r="K620" i="22"/>
  <c r="D620" i="22"/>
  <c r="G620" i="22" s="1"/>
  <c r="J620" i="22" s="1"/>
  <c r="K619" i="22"/>
  <c r="D619" i="22"/>
  <c r="G619" i="22" s="1"/>
  <c r="J619" i="22" s="1"/>
  <c r="K618" i="22"/>
  <c r="D618" i="22"/>
  <c r="G618" i="22" s="1"/>
  <c r="J618" i="22" s="1"/>
  <c r="K617" i="22"/>
  <c r="D617" i="22"/>
  <c r="G617" i="22" s="1"/>
  <c r="J617" i="22" s="1"/>
  <c r="K616" i="22"/>
  <c r="F616" i="22"/>
  <c r="D616" i="22"/>
  <c r="K615" i="22"/>
  <c r="F615" i="22"/>
  <c r="D615" i="22"/>
  <c r="K614" i="22"/>
  <c r="F614" i="22"/>
  <c r="D614" i="22"/>
  <c r="K613" i="22"/>
  <c r="G613" i="22"/>
  <c r="J613" i="22" s="1"/>
  <c r="K612" i="22"/>
  <c r="G612" i="22"/>
  <c r="J612" i="22" s="1"/>
  <c r="K611" i="22"/>
  <c r="G611" i="22"/>
  <c r="J611" i="22" s="1"/>
  <c r="K610" i="22"/>
  <c r="G610" i="22"/>
  <c r="J610" i="22" s="1"/>
  <c r="K606" i="22"/>
  <c r="B606" i="22"/>
  <c r="A606" i="22"/>
  <c r="K603" i="22"/>
  <c r="I603" i="22"/>
  <c r="G603" i="22"/>
  <c r="J603" i="22" s="1"/>
  <c r="K602" i="22"/>
  <c r="I602" i="22"/>
  <c r="G602" i="22"/>
  <c r="J602" i="22" s="1"/>
  <c r="K598" i="22"/>
  <c r="B598" i="22"/>
  <c r="A598" i="22"/>
  <c r="K595" i="22"/>
  <c r="J595" i="22"/>
  <c r="I595" i="22"/>
  <c r="K594" i="22"/>
  <c r="J594" i="22"/>
  <c r="I594" i="22"/>
  <c r="K590" i="22"/>
  <c r="B590" i="22"/>
  <c r="A590" i="22"/>
  <c r="K587" i="22"/>
  <c r="J587" i="22"/>
  <c r="I587" i="22"/>
  <c r="K586" i="22"/>
  <c r="J586" i="22"/>
  <c r="I586" i="22"/>
  <c r="K585" i="22"/>
  <c r="J585" i="22"/>
  <c r="I585" i="22"/>
  <c r="K584" i="22"/>
  <c r="J584" i="22"/>
  <c r="I584" i="22"/>
  <c r="K580" i="22"/>
  <c r="B580" i="22"/>
  <c r="A580" i="22"/>
  <c r="K577" i="22"/>
  <c r="J577" i="22"/>
  <c r="I577" i="22"/>
  <c r="K576" i="22"/>
  <c r="J576" i="22"/>
  <c r="I576" i="22"/>
  <c r="K572" i="22"/>
  <c r="B572" i="22"/>
  <c r="A572" i="22"/>
  <c r="K569" i="22"/>
  <c r="J569" i="22"/>
  <c r="I569" i="22"/>
  <c r="K568" i="22"/>
  <c r="J568" i="22"/>
  <c r="I568" i="22"/>
  <c r="K567" i="22"/>
  <c r="J567" i="22"/>
  <c r="I567" i="22"/>
  <c r="K566" i="22"/>
  <c r="J566" i="22"/>
  <c r="I566" i="22"/>
  <c r="K565" i="22"/>
  <c r="J565" i="22"/>
  <c r="I565" i="22"/>
  <c r="K564" i="22"/>
  <c r="J564" i="22"/>
  <c r="I564" i="22"/>
  <c r="K563" i="22"/>
  <c r="J563" i="22"/>
  <c r="I563" i="22"/>
  <c r="K562" i="22"/>
  <c r="J562" i="22"/>
  <c r="I562" i="22"/>
  <c r="K561" i="22"/>
  <c r="J561" i="22"/>
  <c r="I561" i="22"/>
  <c r="K557" i="22"/>
  <c r="B557" i="22"/>
  <c r="A557" i="22"/>
  <c r="K554" i="22"/>
  <c r="J554" i="22"/>
  <c r="I554" i="22"/>
  <c r="K553" i="22"/>
  <c r="J553" i="22"/>
  <c r="I553" i="22"/>
  <c r="K552" i="22"/>
  <c r="J552" i="22"/>
  <c r="I552" i="22"/>
  <c r="K551" i="22"/>
  <c r="J551" i="22"/>
  <c r="I551" i="22"/>
  <c r="K547" i="22"/>
  <c r="B547" i="22"/>
  <c r="A547" i="22"/>
  <c r="K544" i="22"/>
  <c r="J544" i="22"/>
  <c r="I544" i="22"/>
  <c r="K543" i="22"/>
  <c r="J543" i="22"/>
  <c r="I543" i="22"/>
  <c r="K542" i="22"/>
  <c r="J542" i="22"/>
  <c r="I542" i="22"/>
  <c r="K541" i="22"/>
  <c r="J541" i="22"/>
  <c r="I541" i="22"/>
  <c r="K540" i="22"/>
  <c r="J540" i="22"/>
  <c r="I540" i="22"/>
  <c r="K539" i="22"/>
  <c r="J539" i="22"/>
  <c r="I539" i="22"/>
  <c r="K538" i="22"/>
  <c r="J538" i="22"/>
  <c r="I538" i="22"/>
  <c r="K537" i="22"/>
  <c r="J537" i="22"/>
  <c r="I537" i="22"/>
  <c r="K533" i="22"/>
  <c r="B533" i="22"/>
  <c r="A533" i="22"/>
  <c r="K530" i="22"/>
  <c r="K531" i="22" s="1"/>
  <c r="J530" i="22"/>
  <c r="J531" i="22" s="1"/>
  <c r="I530" i="22"/>
  <c r="I531" i="22" s="1"/>
  <c r="K526" i="22"/>
  <c r="B526" i="22"/>
  <c r="A526" i="22"/>
  <c r="K523" i="22"/>
  <c r="K524" i="22" s="1"/>
  <c r="J523" i="22"/>
  <c r="J524" i="22" s="1"/>
  <c r="I523" i="22"/>
  <c r="K522" i="22"/>
  <c r="J522" i="22"/>
  <c r="I522" i="22"/>
  <c r="K518" i="22"/>
  <c r="B518" i="22"/>
  <c r="A518" i="22"/>
  <c r="K515" i="22"/>
  <c r="K516" i="22" s="1"/>
  <c r="J515" i="22"/>
  <c r="J516" i="22" s="1"/>
  <c r="D515" i="22"/>
  <c r="I515" i="22" s="1"/>
  <c r="I516" i="22" s="1"/>
  <c r="E186" i="1" s="1"/>
  <c r="K186" i="1" s="1"/>
  <c r="K511" i="22"/>
  <c r="B511" i="22"/>
  <c r="A511" i="22"/>
  <c r="I509" i="22"/>
  <c r="K508" i="22"/>
  <c r="K507" i="22"/>
  <c r="K506" i="22"/>
  <c r="K505" i="22"/>
  <c r="K504" i="22"/>
  <c r="K503" i="22"/>
  <c r="K499" i="22"/>
  <c r="B499" i="22"/>
  <c r="A499" i="22"/>
  <c r="I497" i="22"/>
  <c r="K496" i="22"/>
  <c r="J496" i="22"/>
  <c r="K495" i="22"/>
  <c r="J495" i="22"/>
  <c r="K494" i="22"/>
  <c r="J494" i="22"/>
  <c r="K493" i="22"/>
  <c r="J493" i="22"/>
  <c r="K489" i="22"/>
  <c r="B489" i="22"/>
  <c r="A489" i="22"/>
  <c r="I487" i="22"/>
  <c r="K486" i="22"/>
  <c r="J486" i="22"/>
  <c r="K485" i="22"/>
  <c r="J485" i="22"/>
  <c r="K484" i="22"/>
  <c r="J484" i="22"/>
  <c r="K483" i="22"/>
  <c r="J483" i="22"/>
  <c r="K479" i="22"/>
  <c r="B479" i="22"/>
  <c r="A479" i="22"/>
  <c r="I477" i="22"/>
  <c r="K476" i="22"/>
  <c r="K477" i="22" s="1"/>
  <c r="K472" i="22"/>
  <c r="B472" i="22"/>
  <c r="A472" i="22"/>
  <c r="I470" i="22"/>
  <c r="K469" i="22"/>
  <c r="K470" i="22" s="1"/>
  <c r="K465" i="22"/>
  <c r="B465" i="22"/>
  <c r="A465" i="22"/>
  <c r="I463" i="22"/>
  <c r="K462" i="22"/>
  <c r="G462" i="22"/>
  <c r="J462" i="22" s="1"/>
  <c r="K461" i="22"/>
  <c r="J461" i="22"/>
  <c r="K457" i="22"/>
  <c r="B457" i="22"/>
  <c r="A457" i="22"/>
  <c r="I455" i="22"/>
  <c r="K454" i="22"/>
  <c r="K453" i="22"/>
  <c r="J453" i="22"/>
  <c r="K452" i="22"/>
  <c r="J452" i="22"/>
  <c r="K451" i="22"/>
  <c r="J451" i="22"/>
  <c r="K450" i="22"/>
  <c r="D450" i="22"/>
  <c r="G450" i="22" s="1"/>
  <c r="J450" i="22" s="1"/>
  <c r="K449" i="22"/>
  <c r="D449" i="22"/>
  <c r="G449" i="22" s="1"/>
  <c r="J449" i="22" s="1"/>
  <c r="K445" i="22"/>
  <c r="B445" i="22"/>
  <c r="A445" i="22"/>
  <c r="I443" i="22"/>
  <c r="K442" i="22"/>
  <c r="K443" i="22" s="1"/>
  <c r="J442" i="22"/>
  <c r="J443" i="22" s="1"/>
  <c r="E169" i="1" s="1"/>
  <c r="K169" i="1" s="1"/>
  <c r="K438" i="22"/>
  <c r="B438" i="22"/>
  <c r="A438" i="22"/>
  <c r="I436" i="22"/>
  <c r="K435" i="22"/>
  <c r="K434" i="22"/>
  <c r="K430" i="22"/>
  <c r="B430" i="22"/>
  <c r="A430" i="22"/>
  <c r="I428" i="22"/>
  <c r="K427" i="22"/>
  <c r="K428" i="22" s="1"/>
  <c r="G427" i="22"/>
  <c r="J427" i="22" s="1"/>
  <c r="J428" i="22" s="1"/>
  <c r="K423" i="22"/>
  <c r="B423" i="22"/>
  <c r="A423" i="22"/>
  <c r="I421" i="22"/>
  <c r="K420" i="22"/>
  <c r="G420" i="22"/>
  <c r="J420" i="22" s="1"/>
  <c r="K419" i="22"/>
  <c r="G419" i="22"/>
  <c r="J419" i="22" s="1"/>
  <c r="K418" i="22"/>
  <c r="G418" i="22"/>
  <c r="J418" i="22" s="1"/>
  <c r="K417" i="22"/>
  <c r="G417" i="22"/>
  <c r="J417" i="22" s="1"/>
  <c r="K416" i="22"/>
  <c r="G416" i="22"/>
  <c r="J416" i="22" s="1"/>
  <c r="K415" i="22"/>
  <c r="G415" i="22"/>
  <c r="J415" i="22" s="1"/>
  <c r="K414" i="22"/>
  <c r="G414" i="22"/>
  <c r="J414" i="22" s="1"/>
  <c r="K413" i="22"/>
  <c r="G413" i="22"/>
  <c r="J413" i="22" s="1"/>
  <c r="K412" i="22"/>
  <c r="G412" i="22"/>
  <c r="J412" i="22" s="1"/>
  <c r="K408" i="22"/>
  <c r="B408" i="22"/>
  <c r="A408" i="22"/>
  <c r="I406" i="22"/>
  <c r="K405" i="22"/>
  <c r="K404" i="22"/>
  <c r="K403" i="22"/>
  <c r="K399" i="22"/>
  <c r="B399" i="22"/>
  <c r="A399" i="22"/>
  <c r="I397" i="22"/>
  <c r="K396" i="22"/>
  <c r="K395" i="22"/>
  <c r="K394" i="22"/>
  <c r="K390" i="22"/>
  <c r="B390" i="22"/>
  <c r="A390" i="22"/>
  <c r="I388" i="22"/>
  <c r="K387" i="22"/>
  <c r="J387" i="22"/>
  <c r="K386" i="22"/>
  <c r="J386" i="22"/>
  <c r="K385" i="22"/>
  <c r="J385" i="22"/>
  <c r="K381" i="22"/>
  <c r="B381" i="22"/>
  <c r="A381" i="22"/>
  <c r="I379" i="22"/>
  <c r="K378" i="22"/>
  <c r="J378" i="22"/>
  <c r="J379" i="22" s="1"/>
  <c r="K377" i="22"/>
  <c r="K373" i="22"/>
  <c r="B373" i="22"/>
  <c r="A373" i="22"/>
  <c r="I371" i="22"/>
  <c r="K370" i="22"/>
  <c r="K369" i="22"/>
  <c r="K368" i="22"/>
  <c r="K364" i="22"/>
  <c r="B364" i="22"/>
  <c r="A364" i="22"/>
  <c r="I355" i="22"/>
  <c r="K354" i="22"/>
  <c r="J354" i="22"/>
  <c r="K353" i="22"/>
  <c r="J353" i="22"/>
  <c r="K349" i="22"/>
  <c r="B349" i="22"/>
  <c r="A349" i="22"/>
  <c r="I347" i="22"/>
  <c r="C346" i="22"/>
  <c r="K346" i="22" s="1"/>
  <c r="K345" i="22"/>
  <c r="J345" i="22"/>
  <c r="K341" i="22"/>
  <c r="B341" i="22"/>
  <c r="A341" i="22"/>
  <c r="I339" i="22"/>
  <c r="K338" i="22"/>
  <c r="G338" i="22"/>
  <c r="J338" i="22" s="1"/>
  <c r="K337" i="22"/>
  <c r="J337" i="22"/>
  <c r="K336" i="22"/>
  <c r="J336" i="22"/>
  <c r="K332" i="22"/>
  <c r="B332" i="22"/>
  <c r="A332" i="22"/>
  <c r="I330" i="22"/>
  <c r="K329" i="22"/>
  <c r="J329" i="22"/>
  <c r="K328" i="22"/>
  <c r="J328" i="22"/>
  <c r="K327" i="22"/>
  <c r="J327" i="22"/>
  <c r="K323" i="22"/>
  <c r="B323" i="22"/>
  <c r="A323" i="22"/>
  <c r="J321" i="22"/>
  <c r="K320" i="22"/>
  <c r="I320" i="22"/>
  <c r="K319" i="22"/>
  <c r="I319" i="22"/>
  <c r="K318" i="22"/>
  <c r="I318" i="22"/>
  <c r="K314" i="22"/>
  <c r="B314" i="22"/>
  <c r="A314" i="22"/>
  <c r="J312" i="22"/>
  <c r="K311" i="22"/>
  <c r="D311" i="22"/>
  <c r="I311" i="22" s="1"/>
  <c r="K310" i="22"/>
  <c r="D310" i="22"/>
  <c r="I310" i="22" s="1"/>
  <c r="K306" i="22"/>
  <c r="B306" i="22"/>
  <c r="A306" i="22"/>
  <c r="I304" i="22"/>
  <c r="K303" i="22"/>
  <c r="G303" i="22"/>
  <c r="J303" i="22" s="1"/>
  <c r="K302" i="22"/>
  <c r="G302" i="22"/>
  <c r="J302" i="22" s="1"/>
  <c r="K298" i="22"/>
  <c r="B298" i="22"/>
  <c r="A298" i="22"/>
  <c r="I296" i="22"/>
  <c r="K295" i="22"/>
  <c r="G295" i="22"/>
  <c r="J295" i="22" s="1"/>
  <c r="K294" i="22"/>
  <c r="J294" i="22"/>
  <c r="K293" i="22"/>
  <c r="G293" i="22"/>
  <c r="J293" i="22" s="1"/>
  <c r="K292" i="22"/>
  <c r="G292" i="22"/>
  <c r="J292" i="22" s="1"/>
  <c r="K288" i="22"/>
  <c r="B288" i="22"/>
  <c r="A288" i="22"/>
  <c r="I286" i="22"/>
  <c r="K285" i="22"/>
  <c r="G285" i="22"/>
  <c r="J285" i="22" s="1"/>
  <c r="K284" i="22"/>
  <c r="G284" i="22"/>
  <c r="J284" i="22" s="1"/>
  <c r="K280" i="22"/>
  <c r="B280" i="22"/>
  <c r="A280" i="22"/>
  <c r="I278" i="22"/>
  <c r="K277" i="22"/>
  <c r="G277" i="22"/>
  <c r="J277" i="22" s="1"/>
  <c r="K276" i="22"/>
  <c r="G276" i="22"/>
  <c r="J276" i="22" s="1"/>
  <c r="K275" i="22"/>
  <c r="G275" i="22"/>
  <c r="J275" i="22" s="1"/>
  <c r="K274" i="22"/>
  <c r="G274" i="22"/>
  <c r="J274" i="22" s="1"/>
  <c r="K273" i="22"/>
  <c r="G273" i="22"/>
  <c r="J273" i="22" s="1"/>
  <c r="K272" i="22"/>
  <c r="G272" i="22"/>
  <c r="J272" i="22" s="1"/>
  <c r="K268" i="22"/>
  <c r="B268" i="22"/>
  <c r="A268" i="22"/>
  <c r="I266" i="22"/>
  <c r="K265" i="22"/>
  <c r="G265" i="22"/>
  <c r="J265" i="22" s="1"/>
  <c r="K264" i="22"/>
  <c r="G264" i="22"/>
  <c r="J264" i="22" s="1"/>
  <c r="K263" i="22"/>
  <c r="G263" i="22"/>
  <c r="J263" i="22" s="1"/>
  <c r="K262" i="22"/>
  <c r="G262" i="22"/>
  <c r="J262" i="22" s="1"/>
  <c r="K258" i="22"/>
  <c r="B258" i="22"/>
  <c r="A258" i="22"/>
  <c r="I256" i="22"/>
  <c r="K255" i="22"/>
  <c r="G255" i="22"/>
  <c r="J255" i="22" s="1"/>
  <c r="K254" i="22"/>
  <c r="G254" i="22"/>
  <c r="J254" i="22" s="1"/>
  <c r="K253" i="22"/>
  <c r="G253" i="22"/>
  <c r="J253" i="22" s="1"/>
  <c r="K252" i="22"/>
  <c r="G252" i="22"/>
  <c r="J252" i="22" s="1"/>
  <c r="K251" i="22"/>
  <c r="G251" i="22"/>
  <c r="J251" i="22" s="1"/>
  <c r="K250" i="22"/>
  <c r="G250" i="22"/>
  <c r="J250" i="22" s="1"/>
  <c r="K249" i="22"/>
  <c r="G249" i="22"/>
  <c r="J249" i="22" s="1"/>
  <c r="K248" i="22"/>
  <c r="G248" i="22"/>
  <c r="J248" i="22" s="1"/>
  <c r="K247" i="22"/>
  <c r="G247" i="22"/>
  <c r="J247" i="22" s="1"/>
  <c r="K246" i="22"/>
  <c r="G246" i="22"/>
  <c r="J246" i="22" s="1"/>
  <c r="K245" i="22"/>
  <c r="G245" i="22"/>
  <c r="J245" i="22" s="1"/>
  <c r="K241" i="22"/>
  <c r="B241" i="22"/>
  <c r="A241" i="22"/>
  <c r="K238" i="22"/>
  <c r="D238" i="22"/>
  <c r="G238" i="22" s="1"/>
  <c r="J238" i="22" s="1"/>
  <c r="K237" i="22"/>
  <c r="D237" i="22"/>
  <c r="G237" i="22" s="1"/>
  <c r="J237" i="22" s="1"/>
  <c r="K233" i="22"/>
  <c r="B233" i="22"/>
  <c r="A233" i="22"/>
  <c r="K230" i="22"/>
  <c r="J230" i="22"/>
  <c r="D230" i="22"/>
  <c r="I230" i="22" s="1"/>
  <c r="K229" i="22"/>
  <c r="J229" i="22"/>
  <c r="D229" i="22"/>
  <c r="I229" i="22" s="1"/>
  <c r="K228" i="22"/>
  <c r="J228" i="22"/>
  <c r="D228" i="22"/>
  <c r="I228" i="22" s="1"/>
  <c r="K224" i="22"/>
  <c r="B224" i="22"/>
  <c r="A224" i="22"/>
  <c r="K221" i="22"/>
  <c r="K222" i="22" s="1"/>
  <c r="D221" i="22"/>
  <c r="I221" i="22" s="1"/>
  <c r="I222" i="22" s="1"/>
  <c r="K217" i="22"/>
  <c r="B217" i="22"/>
  <c r="A217" i="22"/>
  <c r="K214" i="22"/>
  <c r="D214" i="22"/>
  <c r="G214" i="22" s="1"/>
  <c r="J214" i="22" s="1"/>
  <c r="K213" i="22"/>
  <c r="D213" i="22"/>
  <c r="I213" i="22" s="1"/>
  <c r="K209" i="22"/>
  <c r="B209" i="22"/>
  <c r="A209" i="22"/>
  <c r="I207" i="22"/>
  <c r="K206" i="22"/>
  <c r="G206" i="22"/>
  <c r="J206" i="22" s="1"/>
  <c r="K205" i="22"/>
  <c r="G205" i="22"/>
  <c r="J205" i="22" s="1"/>
  <c r="K201" i="22"/>
  <c r="B201" i="22"/>
  <c r="A201" i="22"/>
  <c r="I199" i="22"/>
  <c r="G198" i="22"/>
  <c r="J198" i="22" s="1"/>
  <c r="K197" i="22"/>
  <c r="G197" i="22"/>
  <c r="J197" i="22" s="1"/>
  <c r="K196" i="22"/>
  <c r="G196" i="22"/>
  <c r="J196" i="22" s="1"/>
  <c r="K192" i="22"/>
  <c r="B192" i="22"/>
  <c r="A192" i="22"/>
  <c r="I190" i="22"/>
  <c r="G189" i="22"/>
  <c r="J189" i="22" s="1"/>
  <c r="K188" i="22"/>
  <c r="G188" i="22"/>
  <c r="J188" i="22" s="1"/>
  <c r="K186" i="22"/>
  <c r="G186" i="22"/>
  <c r="J186" i="22" s="1"/>
  <c r="K185" i="22"/>
  <c r="G185" i="22"/>
  <c r="J185" i="22" s="1"/>
  <c r="K184" i="22"/>
  <c r="G184" i="22"/>
  <c r="J184" i="22" s="1"/>
  <c r="J190" i="22" s="1"/>
  <c r="K180" i="22"/>
  <c r="B180" i="22"/>
  <c r="A180" i="22"/>
  <c r="I178" i="22"/>
  <c r="K177" i="22"/>
  <c r="K176" i="22"/>
  <c r="G176" i="22"/>
  <c r="J176" i="22" s="1"/>
  <c r="K175" i="22"/>
  <c r="G175" i="22"/>
  <c r="J175" i="22" s="1"/>
  <c r="K174" i="22"/>
  <c r="G174" i="22"/>
  <c r="J174" i="22" s="1"/>
  <c r="K173" i="22"/>
  <c r="G173" i="22"/>
  <c r="J173" i="22" s="1"/>
  <c r="K172" i="22"/>
  <c r="G172" i="22"/>
  <c r="J172" i="22" s="1"/>
  <c r="K171" i="22"/>
  <c r="G171" i="22"/>
  <c r="J171" i="22" s="1"/>
  <c r="J170" i="22"/>
  <c r="H170" i="22"/>
  <c r="K170" i="22" s="1"/>
  <c r="J169" i="22"/>
  <c r="H169" i="22"/>
  <c r="K169" i="22" s="1"/>
  <c r="J168" i="22"/>
  <c r="H168" i="22"/>
  <c r="K168" i="22" s="1"/>
  <c r="J167" i="22"/>
  <c r="H167" i="22"/>
  <c r="K167" i="22" s="1"/>
  <c r="J166" i="22"/>
  <c r="H166" i="22"/>
  <c r="K166" i="22" s="1"/>
  <c r="J165" i="22"/>
  <c r="H165" i="22"/>
  <c r="K165" i="22" s="1"/>
  <c r="J164" i="22"/>
  <c r="H164" i="22"/>
  <c r="K164" i="22" s="1"/>
  <c r="J163" i="22"/>
  <c r="H163" i="22"/>
  <c r="K163" i="22" s="1"/>
  <c r="J162" i="22"/>
  <c r="H162" i="22"/>
  <c r="K162" i="22" s="1"/>
  <c r="J161" i="22"/>
  <c r="H161" i="22"/>
  <c r="K161" i="22" s="1"/>
  <c r="J160" i="22"/>
  <c r="H160" i="22"/>
  <c r="K160" i="22" s="1"/>
  <c r="J159" i="22"/>
  <c r="H159" i="22"/>
  <c r="K159" i="22" s="1"/>
  <c r="J158" i="22"/>
  <c r="H158" i="22"/>
  <c r="K158" i="22" s="1"/>
  <c r="J157" i="22"/>
  <c r="H157" i="22"/>
  <c r="K157" i="22" s="1"/>
  <c r="J156" i="22"/>
  <c r="H156" i="22"/>
  <c r="K156" i="22" s="1"/>
  <c r="J155" i="22"/>
  <c r="H155" i="22"/>
  <c r="K155" i="22" s="1"/>
  <c r="J154" i="22"/>
  <c r="H154" i="22"/>
  <c r="K154" i="22" s="1"/>
  <c r="J153" i="22"/>
  <c r="H153" i="22"/>
  <c r="K153" i="22" s="1"/>
  <c r="J152" i="22"/>
  <c r="H152" i="22"/>
  <c r="K152" i="22" s="1"/>
  <c r="B148" i="22"/>
  <c r="A148" i="22"/>
  <c r="I146" i="22"/>
  <c r="K145" i="22"/>
  <c r="G145" i="22"/>
  <c r="J145" i="22" s="1"/>
  <c r="K144" i="22"/>
  <c r="G144" i="22"/>
  <c r="J144" i="22" s="1"/>
  <c r="K143" i="22"/>
  <c r="G143" i="22"/>
  <c r="J143" i="22" s="1"/>
  <c r="K142" i="22"/>
  <c r="G142" i="22"/>
  <c r="J142" i="22" s="1"/>
  <c r="K141" i="22"/>
  <c r="G141" i="22"/>
  <c r="J141" i="22" s="1"/>
  <c r="K140" i="22"/>
  <c r="G140" i="22"/>
  <c r="J140" i="22" s="1"/>
  <c r="K139" i="22"/>
  <c r="F139" i="22"/>
  <c r="D139" i="22"/>
  <c r="K138" i="22"/>
  <c r="F138" i="22"/>
  <c r="D138" i="22"/>
  <c r="K137" i="22"/>
  <c r="F137" i="22"/>
  <c r="D137" i="22"/>
  <c r="K136" i="22"/>
  <c r="F136" i="22"/>
  <c r="D136" i="22"/>
  <c r="K135" i="22"/>
  <c r="F135" i="22"/>
  <c r="D135" i="22"/>
  <c r="K134" i="22"/>
  <c r="F134" i="22"/>
  <c r="D134" i="22"/>
  <c r="K133" i="22"/>
  <c r="F133" i="22"/>
  <c r="D133" i="22"/>
  <c r="K132" i="22"/>
  <c r="F132" i="22"/>
  <c r="D132" i="22"/>
  <c r="K131" i="22"/>
  <c r="F131" i="22"/>
  <c r="D131" i="22"/>
  <c r="K130" i="22"/>
  <c r="F130" i="22"/>
  <c r="D130" i="22"/>
  <c r="K129" i="22"/>
  <c r="F129" i="22"/>
  <c r="D129" i="22"/>
  <c r="K128" i="22"/>
  <c r="F128" i="22"/>
  <c r="D128" i="22"/>
  <c r="K127" i="22"/>
  <c r="F127" i="22"/>
  <c r="D127" i="22"/>
  <c r="K126" i="22"/>
  <c r="F126" i="22"/>
  <c r="D126" i="22"/>
  <c r="K125" i="22"/>
  <c r="F125" i="22"/>
  <c r="D125" i="22"/>
  <c r="K124" i="22"/>
  <c r="F124" i="22"/>
  <c r="G124" i="22" s="1"/>
  <c r="J124" i="22" s="1"/>
  <c r="K123" i="22"/>
  <c r="F123" i="22"/>
  <c r="K122" i="22"/>
  <c r="F122" i="22"/>
  <c r="G122" i="22" s="1"/>
  <c r="J122" i="22" s="1"/>
  <c r="K121" i="22"/>
  <c r="F121" i="22"/>
  <c r="G121" i="22" s="1"/>
  <c r="J121" i="22" s="1"/>
  <c r="K117" i="22"/>
  <c r="B117" i="22"/>
  <c r="A117" i="22"/>
  <c r="I89" i="22"/>
  <c r="K88" i="22"/>
  <c r="J88" i="22"/>
  <c r="K87" i="22"/>
  <c r="J87" i="22"/>
  <c r="K83" i="22"/>
  <c r="B83" i="22"/>
  <c r="A83" i="22"/>
  <c r="I81" i="22"/>
  <c r="K80" i="22"/>
  <c r="J80" i="22"/>
  <c r="K79" i="22"/>
  <c r="J79" i="22"/>
  <c r="K75" i="22"/>
  <c r="B75" i="22"/>
  <c r="A75" i="22"/>
  <c r="I73" i="22"/>
  <c r="K72" i="22"/>
  <c r="G72" i="22"/>
  <c r="J72" i="22" s="1"/>
  <c r="K71" i="22"/>
  <c r="G71" i="22"/>
  <c r="J71" i="22" s="1"/>
  <c r="K70" i="22"/>
  <c r="G70" i="22"/>
  <c r="J70" i="22" s="1"/>
  <c r="K66" i="22"/>
  <c r="B66" i="22"/>
  <c r="A66" i="22"/>
  <c r="I63" i="22"/>
  <c r="I64" i="22" s="1"/>
  <c r="J62" i="22"/>
  <c r="E62" i="22"/>
  <c r="H62" i="22" s="1"/>
  <c r="K62" i="22" s="1"/>
  <c r="J61" i="22"/>
  <c r="H61" i="22"/>
  <c r="K61" i="22" s="1"/>
  <c r="J60" i="22"/>
  <c r="H60" i="22"/>
  <c r="K60" i="22" s="1"/>
  <c r="J59" i="22"/>
  <c r="H59" i="22"/>
  <c r="K59" i="22" s="1"/>
  <c r="K55" i="22"/>
  <c r="B55" i="22"/>
  <c r="A55" i="22"/>
  <c r="I52" i="22"/>
  <c r="I53" i="22" s="1"/>
  <c r="K51" i="22"/>
  <c r="G51" i="22"/>
  <c r="J51" i="22" s="1"/>
  <c r="K50" i="22"/>
  <c r="G50" i="22"/>
  <c r="J50" i="22" s="1"/>
  <c r="K49" i="22"/>
  <c r="G49" i="22"/>
  <c r="J49" i="22" s="1"/>
  <c r="K48" i="22"/>
  <c r="G48" i="22"/>
  <c r="J48" i="22" s="1"/>
  <c r="K47" i="22"/>
  <c r="G47" i="22"/>
  <c r="J47" i="22" s="1"/>
  <c r="K46" i="22"/>
  <c r="D46" i="22"/>
  <c r="G46" i="22" s="1"/>
  <c r="J46" i="22" s="1"/>
  <c r="K45" i="22"/>
  <c r="D45" i="22"/>
  <c r="G45" i="22" s="1"/>
  <c r="J45" i="22" s="1"/>
  <c r="K44" i="22"/>
  <c r="D44" i="22"/>
  <c r="G44" i="22" s="1"/>
  <c r="J44" i="22" s="1"/>
  <c r="K40" i="22"/>
  <c r="B40" i="22"/>
  <c r="A40" i="22"/>
  <c r="K28" i="22"/>
  <c r="K29" i="22" s="1"/>
  <c r="J28" i="22"/>
  <c r="J29" i="22" s="1"/>
  <c r="K24" i="22"/>
  <c r="B24" i="22"/>
  <c r="A24" i="22"/>
  <c r="K21" i="22"/>
  <c r="J21" i="22"/>
  <c r="K20" i="22"/>
  <c r="J20" i="22"/>
  <c r="K19" i="22"/>
  <c r="J19" i="22"/>
  <c r="K18" i="22"/>
  <c r="J18" i="22"/>
  <c r="K17" i="22"/>
  <c r="J17" i="22"/>
  <c r="B13" i="22"/>
  <c r="A13" i="22"/>
  <c r="J87" i="27"/>
  <c r="I87" i="27"/>
  <c r="K82" i="27"/>
  <c r="B82" i="27"/>
  <c r="A82" i="27"/>
  <c r="J57" i="27"/>
  <c r="K47" i="27"/>
  <c r="B47" i="27"/>
  <c r="A47" i="27"/>
  <c r="I45" i="27"/>
  <c r="K43" i="27"/>
  <c r="J43" i="27"/>
  <c r="K42" i="27"/>
  <c r="J42" i="27"/>
  <c r="K41" i="27"/>
  <c r="K37" i="27"/>
  <c r="B37" i="27"/>
  <c r="A37" i="27"/>
  <c r="H4354" i="8"/>
  <c r="H4356" i="8"/>
  <c r="C4351" i="8"/>
  <c r="B4351" i="8"/>
  <c r="A4351" i="8"/>
  <c r="H4345" i="8"/>
  <c r="C4338" i="8"/>
  <c r="B4338" i="8"/>
  <c r="A4338" i="8"/>
  <c r="H4332" i="8"/>
  <c r="C4325" i="8"/>
  <c r="B4325" i="8"/>
  <c r="A4325" i="8"/>
  <c r="H4319" i="8"/>
  <c r="C4312" i="8"/>
  <c r="B4312" i="8"/>
  <c r="A4312" i="8"/>
  <c r="H4303" i="8"/>
  <c r="H4304" i="8"/>
  <c r="H4306" i="8"/>
  <c r="C4301" i="8"/>
  <c r="B4301" i="8"/>
  <c r="A4301" i="8"/>
  <c r="H4292" i="8"/>
  <c r="H4295" i="8"/>
  <c r="C4290" i="8"/>
  <c r="B4290" i="8"/>
  <c r="A4290" i="8"/>
  <c r="H4282" i="8"/>
  <c r="H4284" i="8"/>
  <c r="C4279" i="8"/>
  <c r="B4279" i="8"/>
  <c r="A4279" i="8"/>
  <c r="H4270" i="8"/>
  <c r="H4271" i="8"/>
  <c r="H4273" i="8"/>
  <c r="C4268" i="8"/>
  <c r="B4268" i="8"/>
  <c r="A4268" i="8"/>
  <c r="H4260" i="8"/>
  <c r="H4262" i="8"/>
  <c r="C4257" i="8"/>
  <c r="B4257" i="8"/>
  <c r="A4257" i="8"/>
  <c r="H4251" i="8"/>
  <c r="C4244" i="8"/>
  <c r="B4244" i="8"/>
  <c r="A4244" i="8"/>
  <c r="H4238" i="8"/>
  <c r="C4231" i="8"/>
  <c r="B4231" i="8"/>
  <c r="A4231" i="8"/>
  <c r="H4225" i="8"/>
  <c r="C4218" i="8"/>
  <c r="B4218" i="8"/>
  <c r="A4218" i="8"/>
  <c r="H4162" i="8"/>
  <c r="C4151" i="8"/>
  <c r="B4151" i="8"/>
  <c r="A4151" i="8"/>
  <c r="H4132" i="8"/>
  <c r="H4134" i="8"/>
  <c r="C4129" i="8"/>
  <c r="B4129" i="8"/>
  <c r="A4129" i="8"/>
  <c r="H4123" i="8"/>
  <c r="C4116" i="8"/>
  <c r="B4116" i="8"/>
  <c r="A4116" i="8"/>
  <c r="H4110" i="8"/>
  <c r="C4103" i="8"/>
  <c r="B4103" i="8"/>
  <c r="A4103" i="8"/>
  <c r="H4097" i="8"/>
  <c r="C4090" i="8"/>
  <c r="B4090" i="8"/>
  <c r="A4090" i="8"/>
  <c r="H4084" i="8"/>
  <c r="C4077" i="8"/>
  <c r="B4077" i="8"/>
  <c r="A4077" i="8"/>
  <c r="H4071" i="8"/>
  <c r="C4064" i="8"/>
  <c r="B4064" i="8"/>
  <c r="A4064" i="8"/>
  <c r="H4058" i="8"/>
  <c r="C4051" i="8"/>
  <c r="B4051" i="8"/>
  <c r="A4051" i="8"/>
  <c r="H4045" i="8"/>
  <c r="C4038" i="8"/>
  <c r="B4038" i="8"/>
  <c r="A4038" i="8"/>
  <c r="H4032" i="8"/>
  <c r="C4025" i="8"/>
  <c r="B4025" i="8"/>
  <c r="A4025" i="8"/>
  <c r="H4019" i="8"/>
  <c r="C4012" i="8"/>
  <c r="B4012" i="8"/>
  <c r="A4012" i="8"/>
  <c r="H4006" i="8"/>
  <c r="C3999" i="8"/>
  <c r="B3999" i="8"/>
  <c r="A3999" i="8"/>
  <c r="H3993" i="8"/>
  <c r="C3985" i="8"/>
  <c r="B3985" i="8"/>
  <c r="A3985" i="8"/>
  <c r="H3979" i="8"/>
  <c r="C3971" i="8"/>
  <c r="B3971" i="8"/>
  <c r="A3971" i="8"/>
  <c r="H3965" i="8"/>
  <c r="C3958" i="8"/>
  <c r="B3958" i="8"/>
  <c r="A3958" i="8"/>
  <c r="H3952" i="8"/>
  <c r="C3945" i="8"/>
  <c r="B3945" i="8"/>
  <c r="A3945" i="8"/>
  <c r="H3939" i="8"/>
  <c r="C3932" i="8"/>
  <c r="B3932" i="8"/>
  <c r="A3932" i="8"/>
  <c r="H3926" i="8"/>
  <c r="C3919" i="8"/>
  <c r="B3919" i="8"/>
  <c r="A3919" i="8"/>
  <c r="H3913" i="8"/>
  <c r="C3907" i="8"/>
  <c r="B3907" i="8"/>
  <c r="A3907" i="8"/>
  <c r="H3901" i="8"/>
  <c r="C3894" i="8"/>
  <c r="B3894" i="8"/>
  <c r="H3888" i="8"/>
  <c r="C3881" i="8"/>
  <c r="B3881" i="8"/>
  <c r="A3881" i="8"/>
  <c r="H3861" i="8"/>
  <c r="H3863" i="8"/>
  <c r="C3858" i="8"/>
  <c r="B3858" i="8"/>
  <c r="A3858" i="8"/>
  <c r="H3852" i="8"/>
  <c r="C3845" i="8"/>
  <c r="B3845" i="8"/>
  <c r="A3845" i="8"/>
  <c r="H3825" i="8"/>
  <c r="C3819" i="8"/>
  <c r="B3819" i="8"/>
  <c r="A3819" i="8"/>
  <c r="H3813" i="8"/>
  <c r="C3807" i="8"/>
  <c r="B3807" i="8"/>
  <c r="A3807" i="8"/>
  <c r="H3801" i="8"/>
  <c r="C3794" i="8"/>
  <c r="B3794" i="8"/>
  <c r="A3794" i="8"/>
  <c r="H3788" i="8"/>
  <c r="C3782" i="8"/>
  <c r="B3782" i="8"/>
  <c r="A3782" i="8"/>
  <c r="C3757" i="8"/>
  <c r="B3757" i="8"/>
  <c r="A3757" i="8"/>
  <c r="C3744" i="8"/>
  <c r="B3744" i="8"/>
  <c r="C3731" i="8"/>
  <c r="B3731" i="8"/>
  <c r="A3731" i="8"/>
  <c r="C3718" i="8"/>
  <c r="B3718" i="8"/>
  <c r="A3718" i="8"/>
  <c r="C3705" i="8"/>
  <c r="B3705" i="8"/>
  <c r="A3705" i="8"/>
  <c r="H3699" i="8"/>
  <c r="C3693" i="8"/>
  <c r="B3693" i="8"/>
  <c r="A3693" i="8"/>
  <c r="H3687" i="8"/>
  <c r="C3682" i="8"/>
  <c r="B3682" i="8"/>
  <c r="A3682" i="8"/>
  <c r="H3663" i="8"/>
  <c r="C3653" i="8"/>
  <c r="B3653" i="8"/>
  <c r="H3647" i="8"/>
  <c r="C3641" i="8"/>
  <c r="B3641" i="8"/>
  <c r="A3641" i="8"/>
  <c r="H3635" i="8"/>
  <c r="C3628" i="8"/>
  <c r="B3628" i="8"/>
  <c r="A3628" i="8"/>
  <c r="H3622" i="8"/>
  <c r="C3615" i="8"/>
  <c r="B3615" i="8"/>
  <c r="A3615" i="8"/>
  <c r="H3597" i="8"/>
  <c r="C3590" i="8"/>
  <c r="B3590" i="8"/>
  <c r="A3590" i="8"/>
  <c r="H3584" i="8"/>
  <c r="C3575" i="8"/>
  <c r="B3575" i="8"/>
  <c r="H3569" i="8"/>
  <c r="C3561" i="8"/>
  <c r="B3561" i="8"/>
  <c r="H3555" i="8"/>
  <c r="C3545" i="8"/>
  <c r="B3545" i="8"/>
  <c r="H3539" i="8"/>
  <c r="C3529" i="8"/>
  <c r="B3529" i="8"/>
  <c r="H3523" i="8"/>
  <c r="C3513" i="8"/>
  <c r="B3513" i="8"/>
  <c r="H3507" i="8"/>
  <c r="C3497" i="8"/>
  <c r="B3497" i="8"/>
  <c r="H3491" i="8"/>
  <c r="C3482" i="8"/>
  <c r="B3482" i="8"/>
  <c r="H3476" i="8"/>
  <c r="C3468" i="8"/>
  <c r="B3468" i="8"/>
  <c r="H3462" i="8"/>
  <c r="C3452" i="8"/>
  <c r="B3452" i="8"/>
  <c r="A3452" i="8"/>
  <c r="H3446" i="8"/>
  <c r="C3436" i="8"/>
  <c r="B3436" i="8"/>
  <c r="A3436" i="8"/>
  <c r="H3430" i="8"/>
  <c r="C3420" i="8"/>
  <c r="B3420" i="8"/>
  <c r="H3414" i="8"/>
  <c r="C3404" i="8"/>
  <c r="B3404" i="8"/>
  <c r="H3398" i="8"/>
  <c r="C3388" i="8"/>
  <c r="B3388" i="8"/>
  <c r="H3382" i="8"/>
  <c r="C3372" i="8"/>
  <c r="B3372" i="8"/>
  <c r="A3372" i="8"/>
  <c r="H3329" i="8"/>
  <c r="C3322" i="8"/>
  <c r="B3322" i="8"/>
  <c r="A3322" i="8"/>
  <c r="H3316" i="8"/>
  <c r="C3309" i="8"/>
  <c r="B3309" i="8"/>
  <c r="A3309" i="8"/>
  <c r="H3303" i="8"/>
  <c r="C3296" i="8"/>
  <c r="B3296" i="8"/>
  <c r="A3296" i="8"/>
  <c r="H3290" i="8"/>
  <c r="C3283" i="8"/>
  <c r="B3283" i="8"/>
  <c r="A3283" i="8"/>
  <c r="H3277" i="8"/>
  <c r="C3270" i="8"/>
  <c r="B3270" i="8"/>
  <c r="A3270" i="8"/>
  <c r="H3264" i="8"/>
  <c r="C3257" i="8"/>
  <c r="B3257" i="8"/>
  <c r="H3251" i="8"/>
  <c r="C3244" i="8"/>
  <c r="B3244" i="8"/>
  <c r="A3244" i="8"/>
  <c r="H3238" i="8"/>
  <c r="C3231" i="8"/>
  <c r="B3231" i="8"/>
  <c r="A3231" i="8"/>
  <c r="H3225" i="8"/>
  <c r="C3218" i="8"/>
  <c r="B3218" i="8"/>
  <c r="A3218" i="8"/>
  <c r="H3212" i="8"/>
  <c r="C3205" i="8"/>
  <c r="B3205" i="8"/>
  <c r="A3205" i="8"/>
  <c r="H3199" i="8"/>
  <c r="C3192" i="8"/>
  <c r="B3192" i="8"/>
  <c r="A3192" i="8"/>
  <c r="H3186" i="8"/>
  <c r="C3179" i="8"/>
  <c r="B3179" i="8"/>
  <c r="A3179" i="8"/>
  <c r="H3173" i="8"/>
  <c r="C3166" i="8"/>
  <c r="B3166" i="8"/>
  <c r="A3166" i="8"/>
  <c r="H3160" i="8"/>
  <c r="C3153" i="8"/>
  <c r="B3153" i="8"/>
  <c r="A3153" i="8"/>
  <c r="H3147" i="8"/>
  <c r="C3140" i="8"/>
  <c r="B3140" i="8"/>
  <c r="A3140" i="8"/>
  <c r="H3134" i="8"/>
  <c r="C3127" i="8"/>
  <c r="B3127" i="8"/>
  <c r="A3127" i="8"/>
  <c r="H3095" i="8"/>
  <c r="C3088" i="8"/>
  <c r="B3088" i="8"/>
  <c r="A3088" i="8"/>
  <c r="H3082" i="8"/>
  <c r="C3075" i="8"/>
  <c r="B3075" i="8"/>
  <c r="A3075" i="8"/>
  <c r="H3069" i="8"/>
  <c r="C3062" i="8"/>
  <c r="B3062" i="8"/>
  <c r="A3062" i="8"/>
  <c r="H3056" i="8"/>
  <c r="C3049" i="8"/>
  <c r="B3049" i="8"/>
  <c r="A3049" i="8"/>
  <c r="H3043" i="8"/>
  <c r="C3036" i="8"/>
  <c r="B3036" i="8"/>
  <c r="A3036" i="8"/>
  <c r="H3030" i="8"/>
  <c r="C3023" i="8"/>
  <c r="B3023" i="8"/>
  <c r="A3023" i="8"/>
  <c r="H3004" i="8"/>
  <c r="C2997" i="8"/>
  <c r="B2997" i="8"/>
  <c r="A2997" i="8"/>
  <c r="H2991" i="8"/>
  <c r="C2984" i="8"/>
  <c r="B2984" i="8"/>
  <c r="A2984" i="8"/>
  <c r="H2978" i="8"/>
  <c r="C2971" i="8"/>
  <c r="B2971" i="8"/>
  <c r="A2971" i="8"/>
  <c r="H2965" i="8"/>
  <c r="C2958" i="8"/>
  <c r="B2958" i="8"/>
  <c r="A2958" i="8"/>
  <c r="H2952" i="8"/>
  <c r="C2945" i="8"/>
  <c r="B2945" i="8"/>
  <c r="H2939" i="8"/>
  <c r="C2932" i="8"/>
  <c r="B2932" i="8"/>
  <c r="H2926" i="8"/>
  <c r="C2919" i="8"/>
  <c r="B2919" i="8"/>
  <c r="H2913" i="8"/>
  <c r="C2906" i="8"/>
  <c r="B2906" i="8"/>
  <c r="A2906" i="8"/>
  <c r="H2874" i="8"/>
  <c r="C2867" i="8"/>
  <c r="B2867" i="8"/>
  <c r="A2867" i="8"/>
  <c r="H2861" i="8"/>
  <c r="C2854" i="8"/>
  <c r="B2854" i="8"/>
  <c r="A2854" i="8"/>
  <c r="H2848" i="8"/>
  <c r="C2841" i="8"/>
  <c r="B2841" i="8"/>
  <c r="A2841" i="8"/>
  <c r="H2835" i="8"/>
  <c r="C2828" i="8"/>
  <c r="B2828" i="8"/>
  <c r="A2828" i="8"/>
  <c r="H2822" i="8"/>
  <c r="C2815" i="8"/>
  <c r="B2815" i="8"/>
  <c r="A2815" i="8"/>
  <c r="H2809" i="8"/>
  <c r="C2802" i="8"/>
  <c r="B2802" i="8"/>
  <c r="A2802" i="8"/>
  <c r="H2796" i="8"/>
  <c r="C2789" i="8"/>
  <c r="B2789" i="8"/>
  <c r="A2789" i="8"/>
  <c r="H2783" i="8"/>
  <c r="C2776" i="8"/>
  <c r="B2776" i="8"/>
  <c r="H2770" i="8"/>
  <c r="C2763" i="8"/>
  <c r="B2763" i="8"/>
  <c r="A2763" i="8"/>
  <c r="H2757" i="8"/>
  <c r="C2750" i="8"/>
  <c r="B2750" i="8"/>
  <c r="H2744" i="8"/>
  <c r="C2737" i="8"/>
  <c r="B2737" i="8"/>
  <c r="H2714" i="8"/>
  <c r="C2699" i="8"/>
  <c r="B2699" i="8"/>
  <c r="H2693" i="8"/>
  <c r="C2678" i="8"/>
  <c r="B2678" i="8"/>
  <c r="H2672" i="8"/>
  <c r="C2665" i="8"/>
  <c r="B2665" i="8"/>
  <c r="H2659" i="8"/>
  <c r="H2646" i="8"/>
  <c r="C2639" i="8"/>
  <c r="B2639" i="8"/>
  <c r="H2633" i="8"/>
  <c r="C2626" i="8"/>
  <c r="B2626" i="8"/>
  <c r="H2620" i="8"/>
  <c r="C2613" i="8"/>
  <c r="B2613" i="8"/>
  <c r="H2607" i="8"/>
  <c r="C2600" i="8"/>
  <c r="B2600" i="8"/>
  <c r="H2594" i="8"/>
  <c r="C2587" i="8"/>
  <c r="B2587" i="8"/>
  <c r="H2581" i="8"/>
  <c r="C2574" i="8"/>
  <c r="B2574" i="8"/>
  <c r="H2568" i="8"/>
  <c r="C2561" i="8"/>
  <c r="B2561" i="8"/>
  <c r="H2555" i="8"/>
  <c r="C2548" i="8"/>
  <c r="B2548" i="8"/>
  <c r="H2529" i="8"/>
  <c r="C2521" i="8"/>
  <c r="B2521" i="8"/>
  <c r="H2515" i="8"/>
  <c r="C2507" i="8"/>
  <c r="B2507" i="8"/>
  <c r="A2507" i="8"/>
  <c r="H2501" i="8"/>
  <c r="C2493" i="8"/>
  <c r="B2493" i="8"/>
  <c r="A2493" i="8"/>
  <c r="H2487" i="8"/>
  <c r="C2479" i="8"/>
  <c r="B2479" i="8"/>
  <c r="A2479" i="8"/>
  <c r="H2473" i="8"/>
  <c r="C2465" i="8"/>
  <c r="B2465" i="8"/>
  <c r="A2465" i="8"/>
  <c r="H2459" i="8"/>
  <c r="C2451" i="8"/>
  <c r="B2451" i="8"/>
  <c r="A2451" i="8"/>
  <c r="H2445" i="8"/>
  <c r="C2437" i="8"/>
  <c r="B2437" i="8"/>
  <c r="A2437" i="8"/>
  <c r="H2431" i="8"/>
  <c r="C2423" i="8"/>
  <c r="B2423" i="8"/>
  <c r="A2423" i="8"/>
  <c r="H2403" i="8"/>
  <c r="C2395" i="8"/>
  <c r="B2395" i="8"/>
  <c r="H2417" i="8"/>
  <c r="C2409" i="8"/>
  <c r="B2409" i="8"/>
  <c r="A2409" i="8"/>
  <c r="C2158" i="8"/>
  <c r="B2158" i="8"/>
  <c r="A2158" i="8"/>
  <c r="C2140" i="8"/>
  <c r="B2140" i="8"/>
  <c r="C2122" i="8"/>
  <c r="B2122" i="8"/>
  <c r="A2122" i="8"/>
  <c r="C2107" i="8"/>
  <c r="B2107" i="8"/>
  <c r="C2092" i="8"/>
  <c r="B2092" i="8"/>
  <c r="A2092" i="8"/>
  <c r="C2076" i="8"/>
  <c r="B2076" i="8"/>
  <c r="C2060" i="8"/>
  <c r="B2060" i="8"/>
  <c r="C2044" i="8"/>
  <c r="B2044" i="8"/>
  <c r="C2028" i="8"/>
  <c r="B2028" i="8"/>
  <c r="C2012" i="8"/>
  <c r="B2012" i="8"/>
  <c r="A2012" i="8"/>
  <c r="C1996" i="8"/>
  <c r="B1996" i="8"/>
  <c r="C1981" i="8"/>
  <c r="B1981" i="8"/>
  <c r="C1966" i="8"/>
  <c r="B1966" i="8"/>
  <c r="C1951" i="8"/>
  <c r="B1951" i="8"/>
  <c r="C1936" i="8"/>
  <c r="B1936" i="8"/>
  <c r="C1921" i="8"/>
  <c r="B1921" i="8"/>
  <c r="A1921" i="8"/>
  <c r="H1915" i="8"/>
  <c r="H1884" i="8"/>
  <c r="C1875" i="8"/>
  <c r="B1875" i="8"/>
  <c r="A1875" i="8"/>
  <c r="H1869" i="8"/>
  <c r="C1862" i="8"/>
  <c r="B1862" i="8"/>
  <c r="A1862" i="8"/>
  <c r="H1827" i="8"/>
  <c r="C1819" i="8"/>
  <c r="B1819" i="8"/>
  <c r="A1819" i="8"/>
  <c r="H1813" i="8"/>
  <c r="C1805" i="8"/>
  <c r="B1805" i="8"/>
  <c r="A1805" i="8"/>
  <c r="H1799" i="8"/>
  <c r="H1786" i="8"/>
  <c r="C1779" i="8"/>
  <c r="B1779" i="8"/>
  <c r="H1773" i="8"/>
  <c r="C1765" i="8"/>
  <c r="B1765" i="8"/>
  <c r="H1759" i="8"/>
  <c r="C1751" i="8"/>
  <c r="B1751" i="8"/>
  <c r="H1745" i="8"/>
  <c r="C1737" i="8"/>
  <c r="B1737" i="8"/>
  <c r="A1737" i="8"/>
  <c r="H1731" i="8"/>
  <c r="C1721" i="8"/>
  <c r="B1721" i="8"/>
  <c r="H1715" i="8"/>
  <c r="C1705" i="8"/>
  <c r="B1705" i="8"/>
  <c r="H1699" i="8"/>
  <c r="C1689" i="8"/>
  <c r="B1689" i="8"/>
  <c r="H1683" i="8"/>
  <c r="C1674" i="8"/>
  <c r="B1674" i="8"/>
  <c r="A1674" i="8"/>
  <c r="H1668" i="8"/>
  <c r="C1661" i="8"/>
  <c r="B1661" i="8"/>
  <c r="A1661" i="8"/>
  <c r="H1655" i="8"/>
  <c r="C1643" i="8"/>
  <c r="B1643" i="8"/>
  <c r="H1637" i="8"/>
  <c r="C1627" i="8"/>
  <c r="B1627" i="8"/>
  <c r="A1627" i="8"/>
  <c r="H1621" i="8"/>
  <c r="C1611" i="8"/>
  <c r="B1611" i="8"/>
  <c r="H1605" i="8"/>
  <c r="C1595" i="8"/>
  <c r="B1595" i="8"/>
  <c r="H1589" i="8"/>
  <c r="C1579" i="8"/>
  <c r="B1579" i="8"/>
  <c r="H1573" i="8"/>
  <c r="C1563" i="8"/>
  <c r="B1563" i="8"/>
  <c r="H1557" i="8"/>
  <c r="C1547" i="8"/>
  <c r="B1547" i="8"/>
  <c r="A1547" i="8"/>
  <c r="H1541" i="8"/>
  <c r="H1527" i="8"/>
  <c r="C1518" i="8"/>
  <c r="B1518" i="8"/>
  <c r="H1512" i="8"/>
  <c r="C1502" i="8"/>
  <c r="B1502" i="8"/>
  <c r="H1496" i="8"/>
  <c r="C1486" i="8"/>
  <c r="B1486" i="8"/>
  <c r="H1480" i="8"/>
  <c r="C1470" i="8"/>
  <c r="B1470" i="8"/>
  <c r="H1464" i="8"/>
  <c r="C1454" i="8"/>
  <c r="B1454" i="8"/>
  <c r="H1448" i="8"/>
  <c r="C1438" i="8"/>
  <c r="B1438" i="8"/>
  <c r="H1432" i="8"/>
  <c r="C1422" i="8"/>
  <c r="B1422" i="8"/>
  <c r="H1416" i="8"/>
  <c r="C1406" i="8"/>
  <c r="B1406" i="8"/>
  <c r="A1406" i="8"/>
  <c r="H1400" i="8"/>
  <c r="H1259" i="8"/>
  <c r="C1253" i="8"/>
  <c r="B1253" i="8"/>
  <c r="H1247" i="8"/>
  <c r="C1241" i="8"/>
  <c r="B1241" i="8"/>
  <c r="H1235" i="8"/>
  <c r="C1229" i="8"/>
  <c r="B1229" i="8"/>
  <c r="H1223" i="8"/>
  <c r="C1217" i="8"/>
  <c r="B1217" i="8"/>
  <c r="H1211" i="8"/>
  <c r="C1205" i="8"/>
  <c r="B1205" i="8"/>
  <c r="H1199" i="8"/>
  <c r="C1193" i="8"/>
  <c r="B1193" i="8"/>
  <c r="H1187" i="8"/>
  <c r="C1180" i="8"/>
  <c r="B1180" i="8"/>
  <c r="H1174" i="8"/>
  <c r="C1166" i="8"/>
  <c r="B1166" i="8"/>
  <c r="A1166" i="8"/>
  <c r="C1150" i="8"/>
  <c r="B1150" i="8"/>
  <c r="C1137" i="8"/>
  <c r="B1137" i="8"/>
  <c r="A1137" i="8"/>
  <c r="C1092" i="8"/>
  <c r="B1092" i="8"/>
  <c r="C1073" i="8"/>
  <c r="B1073" i="8"/>
  <c r="C1054" i="8"/>
  <c r="B1054" i="8"/>
  <c r="C1036" i="8"/>
  <c r="B1036" i="8"/>
  <c r="A1036" i="8"/>
  <c r="C1010" i="8"/>
  <c r="B1010" i="8"/>
  <c r="C995" i="8"/>
  <c r="B995" i="8"/>
  <c r="C982" i="8"/>
  <c r="B982" i="8"/>
  <c r="H976" i="8"/>
  <c r="C969" i="8"/>
  <c r="B969" i="8"/>
  <c r="A969" i="8"/>
  <c r="H963" i="8"/>
  <c r="H964" i="8" s="1"/>
  <c r="H950" i="8" s="1"/>
  <c r="C950" i="8"/>
  <c r="B950" i="8"/>
  <c r="A950" i="8"/>
  <c r="C937" i="8"/>
  <c r="B937" i="8"/>
  <c r="A937" i="8"/>
  <c r="H931" i="8"/>
  <c r="C921" i="8"/>
  <c r="B921" i="8"/>
  <c r="A921" i="8"/>
  <c r="H915" i="8"/>
  <c r="C908" i="8"/>
  <c r="B908" i="8"/>
  <c r="H887" i="8"/>
  <c r="C877" i="8"/>
  <c r="B877" i="8"/>
  <c r="A877" i="8"/>
  <c r="C863" i="8"/>
  <c r="B863" i="8"/>
  <c r="H857" i="8"/>
  <c r="C846" i="8"/>
  <c r="B846" i="8"/>
  <c r="A846" i="8"/>
  <c r="H840" i="8"/>
  <c r="C830" i="8"/>
  <c r="B830" i="8"/>
  <c r="H824" i="8"/>
  <c r="C813" i="8"/>
  <c r="B813" i="8"/>
  <c r="H807" i="8"/>
  <c r="C795" i="8"/>
  <c r="B795" i="8"/>
  <c r="H789" i="8"/>
  <c r="C778" i="8"/>
  <c r="B778" i="8"/>
  <c r="A778" i="8"/>
  <c r="H772" i="8"/>
  <c r="C765" i="8"/>
  <c r="B765" i="8"/>
  <c r="A765" i="8"/>
  <c r="H759" i="8"/>
  <c r="C746" i="8"/>
  <c r="B746" i="8"/>
  <c r="H740" i="8"/>
  <c r="C727" i="8"/>
  <c r="B727" i="8"/>
  <c r="H721" i="8"/>
  <c r="C708" i="8"/>
  <c r="B708" i="8"/>
  <c r="H702" i="8"/>
  <c r="C689" i="8"/>
  <c r="B689" i="8"/>
  <c r="A689" i="8"/>
  <c r="H667" i="8"/>
  <c r="C657" i="8"/>
  <c r="B657" i="8"/>
  <c r="H651" i="8"/>
  <c r="C641" i="8"/>
  <c r="B641" i="8"/>
  <c r="H635" i="8"/>
  <c r="C625" i="8"/>
  <c r="B625" i="8"/>
  <c r="H619" i="8"/>
  <c r="C607" i="8"/>
  <c r="B607" i="8"/>
  <c r="H601" i="8"/>
  <c r="C589" i="8"/>
  <c r="B589" i="8"/>
  <c r="A589" i="8"/>
  <c r="H583" i="8"/>
  <c r="C570" i="8"/>
  <c r="B570" i="8"/>
  <c r="H564" i="8"/>
  <c r="C551" i="8"/>
  <c r="B551" i="8"/>
  <c r="H545" i="8"/>
  <c r="C532" i="8"/>
  <c r="B532" i="8"/>
  <c r="H526" i="8"/>
  <c r="C512" i="8"/>
  <c r="B512" i="8"/>
  <c r="H506" i="8"/>
  <c r="C493" i="8"/>
  <c r="B493" i="8"/>
  <c r="A493" i="8"/>
  <c r="H453" i="8"/>
  <c r="C443" i="8"/>
  <c r="B443" i="8"/>
  <c r="A443" i="8"/>
  <c r="H437" i="8"/>
  <c r="C429" i="8"/>
  <c r="B429" i="8"/>
  <c r="A426" i="8"/>
  <c r="C322" i="8"/>
  <c r="B322" i="8"/>
  <c r="A322" i="8"/>
  <c r="C220" i="8"/>
  <c r="B220" i="8"/>
  <c r="A220" i="8"/>
  <c r="C142" i="8"/>
  <c r="B142" i="8"/>
  <c r="A142" i="8"/>
  <c r="A122" i="8"/>
  <c r="H23" i="8"/>
  <c r="H24" i="8" s="1"/>
  <c r="G20" i="8" s="1"/>
  <c r="C20" i="8"/>
  <c r="B20" i="8"/>
  <c r="A20" i="8"/>
  <c r="A17" i="8"/>
  <c r="E671" i="1"/>
  <c r="K671" i="1" s="1"/>
  <c r="E574" i="1"/>
  <c r="E572" i="1"/>
  <c r="K572" i="1" s="1"/>
  <c r="E571" i="1"/>
  <c r="K571" i="1" s="1"/>
  <c r="E569" i="1"/>
  <c r="E568" i="1"/>
  <c r="E567" i="1"/>
  <c r="E566" i="1"/>
  <c r="E542" i="1"/>
  <c r="K542" i="1" s="1"/>
  <c r="E397" i="1"/>
  <c r="E396" i="1"/>
  <c r="K396" i="1" s="1"/>
  <c r="E395" i="1"/>
  <c r="K395" i="1" s="1"/>
  <c r="E394" i="1"/>
  <c r="K394" i="1" s="1"/>
  <c r="E393" i="1"/>
  <c r="K393" i="1" s="1"/>
  <c r="E392" i="1"/>
  <c r="E391" i="1"/>
  <c r="E389" i="1"/>
  <c r="E388" i="1"/>
  <c r="E387" i="1"/>
  <c r="E386" i="1"/>
  <c r="E385" i="1"/>
  <c r="E384" i="1"/>
  <c r="K384" i="1" s="1"/>
  <c r="E383" i="1"/>
  <c r="K383" i="1" s="1"/>
  <c r="E382" i="1"/>
  <c r="K382" i="1" s="1"/>
  <c r="E381" i="1"/>
  <c r="K381" i="1" s="1"/>
  <c r="E380" i="1"/>
  <c r="K380" i="1" s="1"/>
  <c r="E379" i="1"/>
  <c r="K379" i="1" s="1"/>
  <c r="E377" i="1"/>
  <c r="K377" i="1" s="1"/>
  <c r="E376" i="1"/>
  <c r="K376" i="1" s="1"/>
  <c r="E375" i="1"/>
  <c r="K375" i="1" s="1"/>
  <c r="E374" i="1"/>
  <c r="K374" i="1" s="1"/>
  <c r="E373" i="1"/>
  <c r="K373" i="1" s="1"/>
  <c r="E372" i="1"/>
  <c r="K372" i="1" s="1"/>
  <c r="E371" i="1"/>
  <c r="K371" i="1" s="1"/>
  <c r="E370" i="1"/>
  <c r="E369" i="1"/>
  <c r="E368" i="1"/>
  <c r="E367" i="1"/>
  <c r="K367" i="1" s="1"/>
  <c r="E366" i="1"/>
  <c r="K366" i="1" s="1"/>
  <c r="E365" i="1"/>
  <c r="K365" i="1" s="1"/>
  <c r="E364" i="1"/>
  <c r="K364" i="1" s="1"/>
  <c r="E363" i="1"/>
  <c r="K363" i="1" s="1"/>
  <c r="E362" i="1"/>
  <c r="K362" i="1" s="1"/>
  <c r="E361" i="1"/>
  <c r="K361" i="1" s="1"/>
  <c r="E360" i="1"/>
  <c r="K360" i="1" s="1"/>
  <c r="E359" i="1"/>
  <c r="K359" i="1" s="1"/>
  <c r="E358" i="1"/>
  <c r="K358" i="1" s="1"/>
  <c r="E357" i="1"/>
  <c r="K357" i="1" s="1"/>
  <c r="E356" i="1"/>
  <c r="K356" i="1" s="1"/>
  <c r="E355" i="1"/>
  <c r="K355" i="1" s="1"/>
  <c r="E354" i="1"/>
  <c r="K354" i="1" s="1"/>
  <c r="E353" i="1"/>
  <c r="K353" i="1" s="1"/>
  <c r="E352" i="1"/>
  <c r="E351" i="1"/>
  <c r="E350" i="1"/>
  <c r="E349" i="1"/>
  <c r="E348" i="1"/>
  <c r="E347" i="1"/>
  <c r="K347" i="1" s="1"/>
  <c r="E346" i="1"/>
  <c r="K346" i="1" s="1"/>
  <c r="E345" i="1"/>
  <c r="K345" i="1" s="1"/>
  <c r="E344" i="1"/>
  <c r="K344" i="1" s="1"/>
  <c r="E343" i="1"/>
  <c r="K343" i="1" s="1"/>
  <c r="E342" i="1"/>
  <c r="K342" i="1" s="1"/>
  <c r="E341" i="1"/>
  <c r="K341" i="1" s="1"/>
  <c r="E340" i="1"/>
  <c r="K340" i="1" s="1"/>
  <c r="E299" i="1"/>
  <c r="K299" i="1" s="1"/>
  <c r="E173" i="1"/>
  <c r="K173" i="1" s="1"/>
  <c r="E172" i="1"/>
  <c r="K172" i="1" s="1"/>
  <c r="E170" i="1"/>
  <c r="K170" i="1" s="1"/>
  <c r="E76" i="1"/>
  <c r="K76" i="1" s="1"/>
  <c r="E75" i="1"/>
  <c r="K75" i="1" s="1"/>
  <c r="E56" i="1"/>
  <c r="E55" i="1"/>
  <c r="K55" i="1" s="1"/>
  <c r="E54" i="1"/>
  <c r="K54" i="1" s="1"/>
  <c r="E53" i="1"/>
  <c r="K53" i="1" s="1"/>
  <c r="E52" i="1"/>
  <c r="K52" i="1" s="1"/>
  <c r="E51" i="1"/>
  <c r="K51" i="1" s="1"/>
  <c r="H25" i="8"/>
  <c r="H1975" i="8" l="1"/>
  <c r="K351" i="1"/>
  <c r="H2101" i="8"/>
  <c r="K388" i="1"/>
  <c r="H2169" i="8"/>
  <c r="K397" i="1"/>
  <c r="H3738" i="8"/>
  <c r="K568" i="1"/>
  <c r="H3764" i="8"/>
  <c r="K574" i="1"/>
  <c r="K81" i="22"/>
  <c r="H1960" i="8"/>
  <c r="K350" i="1"/>
  <c r="H2038" i="8"/>
  <c r="K370" i="1"/>
  <c r="H1930" i="8"/>
  <c r="K348" i="1"/>
  <c r="H1990" i="8"/>
  <c r="K352" i="1"/>
  <c r="H2006" i="8"/>
  <c r="K368" i="1"/>
  <c r="H2054" i="8"/>
  <c r="K385" i="1"/>
  <c r="H2116" i="8"/>
  <c r="K389" i="1"/>
  <c r="H3751" i="8"/>
  <c r="K569" i="1"/>
  <c r="J266" i="22"/>
  <c r="G435" i="22" s="1"/>
  <c r="J435" i="22" s="1"/>
  <c r="J278" i="22"/>
  <c r="J286" i="22"/>
  <c r="H2086" i="8"/>
  <c r="K387" i="1"/>
  <c r="H2152" i="8"/>
  <c r="K392" i="1"/>
  <c r="H3725" i="8"/>
  <c r="K567" i="1"/>
  <c r="H151" i="8"/>
  <c r="K56" i="1"/>
  <c r="H1945" i="8"/>
  <c r="K349" i="1"/>
  <c r="H2022" i="8"/>
  <c r="K369" i="1"/>
  <c r="H2070" i="8"/>
  <c r="K386" i="1"/>
  <c r="H2134" i="8"/>
  <c r="K391" i="1"/>
  <c r="H3712" i="8"/>
  <c r="K566" i="1"/>
  <c r="E99" i="29"/>
  <c r="K99" i="29" s="1"/>
  <c r="J45" i="27"/>
  <c r="J199" i="22"/>
  <c r="J256" i="22"/>
  <c r="G503" i="22" s="1"/>
  <c r="J503" i="22" s="1"/>
  <c r="J207" i="22"/>
  <c r="I231" i="22"/>
  <c r="J421" i="22"/>
  <c r="E161" i="1" s="1"/>
  <c r="K161" i="1" s="1"/>
  <c r="K73" i="22"/>
  <c r="E83" i="1" s="1"/>
  <c r="G405" i="22"/>
  <c r="J405" i="22" s="1"/>
  <c r="E162" i="1"/>
  <c r="F507" i="22"/>
  <c r="J507" i="22" s="1"/>
  <c r="E188" i="1"/>
  <c r="K188" i="1" s="1"/>
  <c r="H4663" i="8"/>
  <c r="H4665" i="8" s="1"/>
  <c r="G4659" i="8" s="1"/>
  <c r="H4677" i="8"/>
  <c r="H4679" i="8" s="1"/>
  <c r="G4672" i="8" s="1"/>
  <c r="H211" i="8"/>
  <c r="H195" i="8"/>
  <c r="H212" i="8"/>
  <c r="H180" i="8"/>
  <c r="H196" i="8"/>
  <c r="H179" i="8"/>
  <c r="E84" i="1"/>
  <c r="G123" i="22"/>
  <c r="J123" i="22" s="1"/>
  <c r="G17" i="20"/>
  <c r="G14" i="20"/>
  <c r="G86" i="27"/>
  <c r="H86" i="27" s="1"/>
  <c r="K86" i="27" s="1"/>
  <c r="K87" i="27" s="1"/>
  <c r="G63" i="27"/>
  <c r="K63" i="27" s="1"/>
  <c r="K67" i="27" s="1"/>
  <c r="K45" i="27"/>
  <c r="J38" i="22"/>
  <c r="E69" i="1" s="1"/>
  <c r="K69" i="1" s="1"/>
  <c r="H4272" i="8"/>
  <c r="G4268" i="8" s="1"/>
  <c r="H486" i="8"/>
  <c r="G476" i="8" s="1"/>
  <c r="G129" i="22"/>
  <c r="J129" i="22" s="1"/>
  <c r="K330" i="22"/>
  <c r="K674" i="22"/>
  <c r="H469" i="8"/>
  <c r="G459" i="8" s="1"/>
  <c r="G127" i="22"/>
  <c r="J127" i="22" s="1"/>
  <c r="J304" i="22"/>
  <c r="E143" i="1" s="1"/>
  <c r="K143" i="1" s="1"/>
  <c r="J388" i="22"/>
  <c r="K596" i="22"/>
  <c r="G630" i="22"/>
  <c r="J630" i="22" s="1"/>
  <c r="J674" i="22"/>
  <c r="K705" i="22"/>
  <c r="K355" i="22"/>
  <c r="K635" i="22"/>
  <c r="G615" i="22"/>
  <c r="J615" i="22" s="1"/>
  <c r="G628" i="22"/>
  <c r="J628" i="22" s="1"/>
  <c r="K578" i="22"/>
  <c r="I604" i="22"/>
  <c r="G131" i="22"/>
  <c r="J131" i="22" s="1"/>
  <c r="K666" i="22"/>
  <c r="I674" i="22"/>
  <c r="G126" i="22"/>
  <c r="J126" i="22" s="1"/>
  <c r="K266" i="22"/>
  <c r="K406" i="22"/>
  <c r="J588" i="22"/>
  <c r="I596" i="22"/>
  <c r="E195" i="1" s="1"/>
  <c r="G130" i="22"/>
  <c r="J130" i="22" s="1"/>
  <c r="G138" i="22"/>
  <c r="J138" i="22" s="1"/>
  <c r="K231" i="22"/>
  <c r="J487" i="22"/>
  <c r="E182" i="1" s="1"/>
  <c r="K182" i="1" s="1"/>
  <c r="I524" i="22"/>
  <c r="E187" i="1" s="1"/>
  <c r="K187" i="1" s="1"/>
  <c r="J578" i="22"/>
  <c r="K588" i="22"/>
  <c r="J55" i="30"/>
  <c r="E62" i="29" s="1"/>
  <c r="K62" i="29" s="1"/>
  <c r="K436" i="22"/>
  <c r="G213" i="22"/>
  <c r="J213" i="22" s="1"/>
  <c r="G134" i="22"/>
  <c r="J134" i="22" s="1"/>
  <c r="K397" i="22"/>
  <c r="G137" i="22"/>
  <c r="J137" i="22" s="1"/>
  <c r="K207" i="22"/>
  <c r="K339" i="22"/>
  <c r="J355" i="22"/>
  <c r="J596" i="22"/>
  <c r="K371" i="22"/>
  <c r="K463" i="22"/>
  <c r="G135" i="22"/>
  <c r="J135" i="22" s="1"/>
  <c r="K604" i="22"/>
  <c r="G614" i="22"/>
  <c r="J614" i="22" s="1"/>
  <c r="K487" i="22"/>
  <c r="K509" i="22"/>
  <c r="G128" i="22"/>
  <c r="J128" i="22" s="1"/>
  <c r="K312" i="22"/>
  <c r="G621" i="22"/>
  <c r="J621" i="22" s="1"/>
  <c r="I321" i="22"/>
  <c r="E147" i="1" s="1"/>
  <c r="K147" i="1" s="1"/>
  <c r="K545" i="22"/>
  <c r="H4294" i="8"/>
  <c r="G4290" i="8" s="1"/>
  <c r="H3862" i="8"/>
  <c r="G3858" i="8" s="1"/>
  <c r="H4702" i="8"/>
  <c r="H4704" i="8" s="1"/>
  <c r="J52" i="22"/>
  <c r="J53" i="22" s="1"/>
  <c r="E74" i="1" s="1"/>
  <c r="K74" i="1" s="1"/>
  <c r="G136" i="22"/>
  <c r="J136" i="22" s="1"/>
  <c r="K239" i="22"/>
  <c r="K256" i="22"/>
  <c r="K286" i="22"/>
  <c r="K296" i="22"/>
  <c r="J330" i="22"/>
  <c r="E149" i="1" s="1"/>
  <c r="K149" i="1" s="1"/>
  <c r="J545" i="22"/>
  <c r="G629" i="22"/>
  <c r="J629" i="22" s="1"/>
  <c r="G125" i="22"/>
  <c r="J125" i="22" s="1"/>
  <c r="G221" i="22"/>
  <c r="J221" i="22" s="1"/>
  <c r="J222" i="22" s="1"/>
  <c r="J231" i="22"/>
  <c r="I238" i="22"/>
  <c r="K388" i="22"/>
  <c r="I555" i="22"/>
  <c r="E190" i="1" s="1"/>
  <c r="K190" i="1" s="1"/>
  <c r="G132" i="22"/>
  <c r="J132" i="22" s="1"/>
  <c r="J178" i="22"/>
  <c r="K215" i="22"/>
  <c r="K570" i="22"/>
  <c r="G625" i="22"/>
  <c r="J625" i="22" s="1"/>
  <c r="J63" i="22"/>
  <c r="J64" i="22" s="1"/>
  <c r="K89" i="22"/>
  <c r="G394" i="22"/>
  <c r="J394" i="22" s="1"/>
  <c r="I570" i="22"/>
  <c r="E192" i="1" s="1"/>
  <c r="J705" i="22"/>
  <c r="G139" i="22"/>
  <c r="J139" i="22" s="1"/>
  <c r="K304" i="22"/>
  <c r="K347" i="22"/>
  <c r="K379" i="22"/>
  <c r="J497" i="22"/>
  <c r="E183" i="1" s="1"/>
  <c r="K183" i="1" s="1"/>
  <c r="J570" i="22"/>
  <c r="G616" i="22"/>
  <c r="J616" i="22" s="1"/>
  <c r="G622" i="22"/>
  <c r="J622" i="22" s="1"/>
  <c r="G631" i="22"/>
  <c r="J631" i="22" s="1"/>
  <c r="J22" i="22"/>
  <c r="E25" i="1" s="1"/>
  <c r="K25" i="1" s="1"/>
  <c r="G133" i="22"/>
  <c r="J133" i="22" s="1"/>
  <c r="K278" i="22"/>
  <c r="K321" i="22"/>
  <c r="K455" i="22"/>
  <c r="K497" i="22"/>
  <c r="J555" i="22"/>
  <c r="I588" i="22"/>
  <c r="E194" i="1" s="1"/>
  <c r="G626" i="22"/>
  <c r="J626" i="22" s="1"/>
  <c r="I705" i="22"/>
  <c r="E203" i="1" s="1"/>
  <c r="K203" i="1" s="1"/>
  <c r="K146" i="22"/>
  <c r="G396" i="22"/>
  <c r="J396" i="22" s="1"/>
  <c r="I312" i="22"/>
  <c r="E146" i="1" s="1"/>
  <c r="K146" i="1" s="1"/>
  <c r="J346" i="22"/>
  <c r="K421" i="22"/>
  <c r="J463" i="22"/>
  <c r="E179" i="1" s="1"/>
  <c r="K179" i="1" s="1"/>
  <c r="I545" i="22"/>
  <c r="E189" i="1" s="1"/>
  <c r="K555" i="22"/>
  <c r="I578" i="22"/>
  <c r="E193" i="1" s="1"/>
  <c r="J666" i="22"/>
  <c r="K178" i="22"/>
  <c r="E81" i="1" s="1"/>
  <c r="K81" i="1" s="1"/>
  <c r="J339" i="22"/>
  <c r="J73" i="22"/>
  <c r="J81" i="22"/>
  <c r="J89" i="22"/>
  <c r="E85" i="1" s="1"/>
  <c r="G395" i="22"/>
  <c r="J395" i="22" s="1"/>
  <c r="J604" i="22"/>
  <c r="E196" i="1" s="1"/>
  <c r="K196" i="1" s="1"/>
  <c r="I666" i="22"/>
  <c r="E201" i="1" s="1"/>
  <c r="K201" i="1" s="1"/>
  <c r="K63" i="22"/>
  <c r="K64" i="22" s="1"/>
  <c r="E77" i="1" s="1"/>
  <c r="J239" i="22"/>
  <c r="J296" i="22"/>
  <c r="E142" i="1" s="1"/>
  <c r="J215" i="22"/>
  <c r="K52" i="22"/>
  <c r="K53" i="22" s="1"/>
  <c r="I214" i="22"/>
  <c r="I215" i="22" s="1"/>
  <c r="I237" i="22"/>
  <c r="G476" i="22"/>
  <c r="J476" i="22" s="1"/>
  <c r="J477" i="22" s="1"/>
  <c r="E181" i="1" s="1"/>
  <c r="K181" i="1" s="1"/>
  <c r="H189" i="22"/>
  <c r="K189" i="22" s="1"/>
  <c r="K190" i="22" s="1"/>
  <c r="H198" i="22"/>
  <c r="K198" i="22" s="1"/>
  <c r="K199" i="22" s="1"/>
  <c r="H4261" i="8"/>
  <c r="G4257" i="8" s="1"/>
  <c r="H4305" i="8"/>
  <c r="G4301" i="8" s="1"/>
  <c r="H4133" i="8"/>
  <c r="G4129" i="8" s="1"/>
  <c r="H4355" i="8"/>
  <c r="G4351" i="8" s="1"/>
  <c r="H4283" i="8"/>
  <c r="H230" i="8" l="1"/>
  <c r="K77" i="1"/>
  <c r="H336" i="8"/>
  <c r="K85" i="1"/>
  <c r="H1030" i="8"/>
  <c r="H1031" i="8" s="1"/>
  <c r="H1025" i="8" s="1"/>
  <c r="K189" i="1"/>
  <c r="H1048" i="8"/>
  <c r="K192" i="1"/>
  <c r="H1105" i="8"/>
  <c r="K195" i="1"/>
  <c r="H871" i="8"/>
  <c r="K142" i="1"/>
  <c r="H1086" i="8"/>
  <c r="K194" i="1"/>
  <c r="H944" i="8"/>
  <c r="K162" i="1"/>
  <c r="H273" i="8"/>
  <c r="H274" i="8" s="1"/>
  <c r="H236" i="8" s="1"/>
  <c r="K83" i="1"/>
  <c r="H1067" i="8"/>
  <c r="K193" i="1"/>
  <c r="H316" i="8"/>
  <c r="H317" i="8" s="1"/>
  <c r="H279" i="8" s="1"/>
  <c r="K84" i="1"/>
  <c r="H415" i="1"/>
  <c r="I415" i="1" s="1"/>
  <c r="J415" i="1" s="1"/>
  <c r="H486" i="1"/>
  <c r="I486" i="1" s="1"/>
  <c r="J486" i="1" s="1"/>
  <c r="H413" i="1"/>
  <c r="I413" i="1" s="1"/>
  <c r="J413" i="1" s="1"/>
  <c r="H408" i="1"/>
  <c r="I408" i="1" s="1"/>
  <c r="J408" i="1" s="1"/>
  <c r="H412" i="1"/>
  <c r="I412" i="1" s="1"/>
  <c r="J412" i="1" s="1"/>
  <c r="H50" i="29"/>
  <c r="L50" i="29" s="1"/>
  <c r="H99" i="29"/>
  <c r="L99" i="29" s="1"/>
  <c r="H62" i="29"/>
  <c r="H97" i="29"/>
  <c r="L97" i="29" s="1"/>
  <c r="H143" i="33"/>
  <c r="L143" i="33" s="1"/>
  <c r="H58" i="29"/>
  <c r="L58" i="29" s="1"/>
  <c r="H57" i="33"/>
  <c r="L57" i="33" s="1"/>
  <c r="H78" i="29"/>
  <c r="L78" i="29" s="1"/>
  <c r="H47" i="33"/>
  <c r="L47" i="33" s="1"/>
  <c r="H73" i="29"/>
  <c r="L73" i="29" s="1"/>
  <c r="H133" i="29"/>
  <c r="L133" i="29" s="1"/>
  <c r="H77" i="25"/>
  <c r="L77" i="25" s="1"/>
  <c r="H94" i="25"/>
  <c r="L94" i="25" s="1"/>
  <c r="H80" i="25"/>
  <c r="L80" i="25" s="1"/>
  <c r="H129" i="29"/>
  <c r="L129" i="29" s="1"/>
  <c r="H58" i="33"/>
  <c r="L58" i="33" s="1"/>
  <c r="H120" i="29"/>
  <c r="L120" i="29" s="1"/>
  <c r="H21" i="33"/>
  <c r="L21" i="33" s="1"/>
  <c r="H89" i="33"/>
  <c r="L89" i="33" s="1"/>
  <c r="H93" i="25"/>
  <c r="L93" i="25" s="1"/>
  <c r="H31" i="25"/>
  <c r="L31" i="25" s="1"/>
  <c r="H100" i="25"/>
  <c r="L100" i="25" s="1"/>
  <c r="H47" i="29"/>
  <c r="L47" i="29" s="1"/>
  <c r="H80" i="33"/>
  <c r="L80" i="33" s="1"/>
  <c r="H93" i="33"/>
  <c r="L93" i="33" s="1"/>
  <c r="H63" i="33"/>
  <c r="L63" i="33" s="1"/>
  <c r="H131" i="33"/>
  <c r="L131" i="33" s="1"/>
  <c r="H116" i="29"/>
  <c r="L116" i="29" s="1"/>
  <c r="H129" i="33"/>
  <c r="L129" i="33" s="1"/>
  <c r="H55" i="25"/>
  <c r="L55" i="25" s="1"/>
  <c r="H30" i="25"/>
  <c r="L30" i="25" s="1"/>
  <c r="H83" i="25"/>
  <c r="L83" i="25" s="1"/>
  <c r="H71" i="29"/>
  <c r="H100" i="33"/>
  <c r="L100" i="33" s="1"/>
  <c r="H100" i="29"/>
  <c r="L100" i="29" s="1"/>
  <c r="H113" i="33"/>
  <c r="L113" i="33" s="1"/>
  <c r="H41" i="33"/>
  <c r="H51" i="29"/>
  <c r="L51" i="29" s="1"/>
  <c r="H102" i="33"/>
  <c r="L102" i="33" s="1"/>
  <c r="H91" i="29"/>
  <c r="H49" i="25"/>
  <c r="L49" i="25" s="1"/>
  <c r="H50" i="25"/>
  <c r="L50" i="25" s="1"/>
  <c r="H22" i="29"/>
  <c r="L22" i="29" s="1"/>
  <c r="H78" i="33"/>
  <c r="L78" i="33" s="1"/>
  <c r="H128" i="33"/>
  <c r="L128" i="33" s="1"/>
  <c r="H45" i="29"/>
  <c r="H53" i="33"/>
  <c r="L53" i="33" s="1"/>
  <c r="H119" i="29"/>
  <c r="L119" i="29" s="1"/>
  <c r="H80" i="29"/>
  <c r="L80" i="29" s="1"/>
  <c r="H136" i="33"/>
  <c r="H42" i="25"/>
  <c r="L42" i="25" s="1"/>
  <c r="H52" i="25"/>
  <c r="L52" i="25" s="1"/>
  <c r="H95" i="25"/>
  <c r="L95" i="25" s="1"/>
  <c r="H46" i="33"/>
  <c r="L46" i="33" s="1"/>
  <c r="H132" i="33"/>
  <c r="L132" i="33" s="1"/>
  <c r="H110" i="33"/>
  <c r="L110" i="33" s="1"/>
  <c r="H61" i="33"/>
  <c r="L61" i="33" s="1"/>
  <c r="H131" i="29"/>
  <c r="L131" i="29" s="1"/>
  <c r="H111" i="33"/>
  <c r="L111" i="33" s="1"/>
  <c r="H98" i="33"/>
  <c r="L98" i="33" s="1"/>
  <c r="H74" i="25"/>
  <c r="L74" i="25" s="1"/>
  <c r="H76" i="25"/>
  <c r="L76" i="25" s="1"/>
  <c r="H38" i="25"/>
  <c r="L38" i="25" s="1"/>
  <c r="H117" i="29"/>
  <c r="L117" i="29" s="1"/>
  <c r="H92" i="33"/>
  <c r="L92" i="33" s="1"/>
  <c r="H24" i="33"/>
  <c r="L24" i="33" s="1"/>
  <c r="H123" i="29"/>
  <c r="L123" i="29" s="1"/>
  <c r="H105" i="33"/>
  <c r="L105" i="33" s="1"/>
  <c r="H104" i="29"/>
  <c r="L104" i="29" s="1"/>
  <c r="H36" i="25"/>
  <c r="L36" i="25" s="1"/>
  <c r="H63" i="25"/>
  <c r="L63" i="25" s="1"/>
  <c r="H41" i="25"/>
  <c r="L41" i="25" s="1"/>
  <c r="H56" i="33"/>
  <c r="L56" i="33" s="1"/>
  <c r="H96" i="33"/>
  <c r="L96" i="33" s="1"/>
  <c r="H55" i="33"/>
  <c r="L55" i="33" s="1"/>
  <c r="H43" i="29"/>
  <c r="L43" i="29" s="1"/>
  <c r="H135" i="33"/>
  <c r="L135" i="33" s="1"/>
  <c r="H126" i="29"/>
  <c r="L126" i="29" s="1"/>
  <c r="H76" i="33"/>
  <c r="L76" i="33" s="1"/>
  <c r="H71" i="25"/>
  <c r="L71" i="25" s="1"/>
  <c r="H78" i="25"/>
  <c r="L78" i="25" s="1"/>
  <c r="H32" i="25"/>
  <c r="L32" i="25" s="1"/>
  <c r="H21" i="29"/>
  <c r="L21" i="29" s="1"/>
  <c r="H51" i="33"/>
  <c r="L51" i="33" s="1"/>
  <c r="H67" i="29"/>
  <c r="L67" i="29" s="1"/>
  <c r="H34" i="29"/>
  <c r="L34" i="29" s="1"/>
  <c r="H57" i="29"/>
  <c r="L57" i="29" s="1"/>
  <c r="H52" i="33"/>
  <c r="L52" i="33" s="1"/>
  <c r="H23" i="33"/>
  <c r="L23" i="33" s="1"/>
  <c r="H134" i="33"/>
  <c r="L134" i="33" s="1"/>
  <c r="H79" i="29"/>
  <c r="L79" i="29" s="1"/>
  <c r="H107" i="33"/>
  <c r="L107" i="33" s="1"/>
  <c r="H91" i="25"/>
  <c r="L91" i="25" s="1"/>
  <c r="H53" i="25"/>
  <c r="L53" i="25" s="1"/>
  <c r="H70" i="29"/>
  <c r="L70" i="29" s="1"/>
  <c r="H96" i="29"/>
  <c r="L96" i="29" s="1"/>
  <c r="H62" i="33"/>
  <c r="L62" i="33" s="1"/>
  <c r="H114" i="33"/>
  <c r="L114" i="33" s="1"/>
  <c r="H56" i="29"/>
  <c r="L56" i="29" s="1"/>
  <c r="H59" i="33"/>
  <c r="L59" i="33" s="1"/>
  <c r="H45" i="33"/>
  <c r="L45" i="33" s="1"/>
  <c r="H125" i="29"/>
  <c r="L125" i="29" s="1"/>
  <c r="H54" i="33"/>
  <c r="L54" i="33" s="1"/>
  <c r="H72" i="25"/>
  <c r="L72" i="25" s="1"/>
  <c r="H101" i="25"/>
  <c r="L101" i="25" s="1"/>
  <c r="H118" i="29"/>
  <c r="L118" i="29" s="1"/>
  <c r="H122" i="29"/>
  <c r="L122" i="29" s="1"/>
  <c r="H152" i="33"/>
  <c r="L152" i="33" s="1"/>
  <c r="H28" i="33"/>
  <c r="L28" i="33" s="1"/>
  <c r="H101" i="33"/>
  <c r="L101" i="33" s="1"/>
  <c r="H53" i="29"/>
  <c r="L53" i="29" s="1"/>
  <c r="H30" i="29"/>
  <c r="L30" i="29" s="1"/>
  <c r="H48" i="29"/>
  <c r="L48" i="29" s="1"/>
  <c r="H144" i="33"/>
  <c r="L144" i="33" s="1"/>
  <c r="H43" i="25"/>
  <c r="L43" i="25" s="1"/>
  <c r="H92" i="25"/>
  <c r="L92" i="25" s="1"/>
  <c r="H54" i="25"/>
  <c r="L54" i="25" s="1"/>
  <c r="H22" i="33"/>
  <c r="L22" i="33" s="1"/>
  <c r="H68" i="29"/>
  <c r="L68" i="29" s="1"/>
  <c r="H54" i="29"/>
  <c r="H39" i="33"/>
  <c r="L39" i="33" s="1"/>
  <c r="H108" i="33"/>
  <c r="L108" i="33" s="1"/>
  <c r="H90" i="33"/>
  <c r="L90" i="33" s="1"/>
  <c r="H109" i="33"/>
  <c r="L109" i="33" s="1"/>
  <c r="H74" i="29"/>
  <c r="L74" i="29" s="1"/>
  <c r="H96" i="25"/>
  <c r="L96" i="25" s="1"/>
  <c r="H79" i="25"/>
  <c r="L79" i="25" s="1"/>
  <c r="H73" i="25"/>
  <c r="L73" i="25" s="1"/>
  <c r="H21" i="25"/>
  <c r="L21" i="25" s="1"/>
  <c r="H106" i="29"/>
  <c r="L106" i="29" s="1"/>
  <c r="H40" i="33"/>
  <c r="L40" i="33" s="1"/>
  <c r="H46" i="29"/>
  <c r="L46" i="29" s="1"/>
  <c r="H60" i="33"/>
  <c r="L60" i="33" s="1"/>
  <c r="H38" i="33"/>
  <c r="L38" i="33" s="1"/>
  <c r="H97" i="33"/>
  <c r="L97" i="33" s="1"/>
  <c r="H138" i="33"/>
  <c r="L138" i="33" s="1"/>
  <c r="H37" i="33"/>
  <c r="L37" i="33" s="1"/>
  <c r="H81" i="25"/>
  <c r="L81" i="25" s="1"/>
  <c r="H82" i="25"/>
  <c r="L82" i="25" s="1"/>
  <c r="H59" i="29"/>
  <c r="L59" i="29" s="1"/>
  <c r="H126" i="33"/>
  <c r="L126" i="33" s="1"/>
  <c r="H52" i="29"/>
  <c r="L52" i="29" s="1"/>
  <c r="H124" i="29"/>
  <c r="L124" i="29" s="1"/>
  <c r="H88" i="33"/>
  <c r="L88" i="33" s="1"/>
  <c r="H69" i="29"/>
  <c r="L69" i="29" s="1"/>
  <c r="H106" i="33"/>
  <c r="L106" i="33" s="1"/>
  <c r="H125" i="33"/>
  <c r="L125" i="33" s="1"/>
  <c r="H39" i="25"/>
  <c r="L39" i="25" s="1"/>
  <c r="H48" i="25"/>
  <c r="L48" i="25" s="1"/>
  <c r="H67" i="25"/>
  <c r="L67" i="25" s="1"/>
  <c r="H77" i="33"/>
  <c r="L77" i="33" s="1"/>
  <c r="H112" i="33"/>
  <c r="L112" i="33" s="1"/>
  <c r="H104" i="33"/>
  <c r="L104" i="33" s="1"/>
  <c r="H130" i="33"/>
  <c r="L130" i="33" s="1"/>
  <c r="H75" i="29"/>
  <c r="L75" i="29" s="1"/>
  <c r="H82" i="33"/>
  <c r="L82" i="33" s="1"/>
  <c r="H81" i="33"/>
  <c r="L81" i="33" s="1"/>
  <c r="H90" i="29"/>
  <c r="H33" i="25"/>
  <c r="L33" i="25" s="1"/>
  <c r="H34" i="25"/>
  <c r="L34" i="25" s="1"/>
  <c r="H94" i="29"/>
  <c r="L94" i="29" s="1"/>
  <c r="H93" i="29"/>
  <c r="L93" i="29" s="1"/>
  <c r="H127" i="33"/>
  <c r="L127" i="33" s="1"/>
  <c r="H115" i="29"/>
  <c r="L115" i="29" s="1"/>
  <c r="H128" i="29"/>
  <c r="L128" i="29" s="1"/>
  <c r="H115" i="33"/>
  <c r="L115" i="33" s="1"/>
  <c r="H83" i="33"/>
  <c r="L83" i="33" s="1"/>
  <c r="H94" i="33"/>
  <c r="L94" i="33" s="1"/>
  <c r="H36" i="33"/>
  <c r="L36" i="33" s="1"/>
  <c r="H75" i="25"/>
  <c r="L75" i="25" s="1"/>
  <c r="H37" i="25"/>
  <c r="L37" i="25" s="1"/>
  <c r="H102" i="25"/>
  <c r="L102" i="25" s="1"/>
  <c r="H228" i="1"/>
  <c r="H127" i="1"/>
  <c r="L127" i="1" s="1"/>
  <c r="H276" i="1"/>
  <c r="H59" i="1"/>
  <c r="L59" i="1" s="1"/>
  <c r="H80" i="1"/>
  <c r="L80" i="1" s="1"/>
  <c r="H165" i="1"/>
  <c r="H197" i="1"/>
  <c r="H229" i="1"/>
  <c r="H414" i="1"/>
  <c r="L414" i="1" s="1"/>
  <c r="H52" i="1"/>
  <c r="H105" i="1"/>
  <c r="H172" i="1"/>
  <c r="H360" i="1"/>
  <c r="H683" i="1"/>
  <c r="L683" i="1" s="1"/>
  <c r="H55" i="1"/>
  <c r="H76" i="1"/>
  <c r="H140" i="1"/>
  <c r="H161" i="1"/>
  <c r="H256" i="1"/>
  <c r="H587" i="1"/>
  <c r="H34" i="1"/>
  <c r="H164" i="1"/>
  <c r="H21" i="1"/>
  <c r="H141" i="1"/>
  <c r="H257" i="1"/>
  <c r="H340" i="1"/>
  <c r="H309" i="1"/>
  <c r="H325" i="1"/>
  <c r="H341" i="1"/>
  <c r="H357" i="1"/>
  <c r="H373" i="1"/>
  <c r="H428" i="1"/>
  <c r="H543" i="1"/>
  <c r="H607" i="1"/>
  <c r="H671" i="1"/>
  <c r="H735" i="1"/>
  <c r="H58" i="1"/>
  <c r="H74" i="1"/>
  <c r="H90" i="1"/>
  <c r="L90" i="1" s="1"/>
  <c r="H106" i="1"/>
  <c r="H154" i="1"/>
  <c r="H170" i="1"/>
  <c r="H186" i="1"/>
  <c r="H218" i="1"/>
  <c r="H234" i="1"/>
  <c r="H250" i="1"/>
  <c r="H282" i="1"/>
  <c r="H314" i="1"/>
  <c r="H330" i="1"/>
  <c r="H346" i="1"/>
  <c r="H362" i="1"/>
  <c r="H378" i="1"/>
  <c r="H394" i="1"/>
  <c r="H411" i="1"/>
  <c r="L411" i="1" s="1"/>
  <c r="H439" i="1"/>
  <c r="H691" i="1"/>
  <c r="L691" i="1" s="1"/>
  <c r="H183" i="1"/>
  <c r="H199" i="1"/>
  <c r="H231" i="1"/>
  <c r="H263" i="1"/>
  <c r="H279" i="1"/>
  <c r="H295" i="1"/>
  <c r="H311" i="1"/>
  <c r="H327" i="1"/>
  <c r="H343" i="1"/>
  <c r="H359" i="1"/>
  <c r="H375" i="1"/>
  <c r="H432" i="1"/>
  <c r="H487" i="1"/>
  <c r="H615" i="1"/>
  <c r="H679" i="1"/>
  <c r="L679" i="1" s="1"/>
  <c r="H743" i="1"/>
  <c r="H456" i="1"/>
  <c r="H504" i="1"/>
  <c r="H552" i="1"/>
  <c r="H616" i="1"/>
  <c r="H632" i="1"/>
  <c r="L632" i="1" s="1"/>
  <c r="H664" i="1"/>
  <c r="H680" i="1"/>
  <c r="L680" i="1" s="1"/>
  <c r="H696" i="1"/>
  <c r="H712" i="1"/>
  <c r="L712" i="1" s="1"/>
  <c r="H728" i="1"/>
  <c r="H744" i="1"/>
  <c r="H437" i="1"/>
  <c r="H453" i="1"/>
  <c r="H469" i="1"/>
  <c r="H597" i="1"/>
  <c r="L597" i="1" s="1"/>
  <c r="H677" i="1"/>
  <c r="L677" i="1" s="1"/>
  <c r="H693" i="1"/>
  <c r="L693" i="1" s="1"/>
  <c r="H709" i="1"/>
  <c r="H741" i="1"/>
  <c r="H430" i="1"/>
  <c r="H462" i="1"/>
  <c r="H542" i="1"/>
  <c r="H590" i="1"/>
  <c r="H638" i="1"/>
  <c r="H686" i="1"/>
  <c r="L686" i="1" s="1"/>
  <c r="H702" i="1"/>
  <c r="H734" i="1"/>
  <c r="H143" i="1"/>
  <c r="H435" i="1"/>
  <c r="H43" i="1"/>
  <c r="H64" i="1"/>
  <c r="H107" i="1"/>
  <c r="H149" i="1"/>
  <c r="H173" i="1"/>
  <c r="H237" i="1"/>
  <c r="H269" i="1"/>
  <c r="H301" i="1"/>
  <c r="H364" i="1"/>
  <c r="H699" i="1"/>
  <c r="H63" i="1"/>
  <c r="H196" i="1"/>
  <c r="H376" i="1"/>
  <c r="H60" i="1"/>
  <c r="H81" i="1"/>
  <c r="H168" i="1"/>
  <c r="H232" i="1"/>
  <c r="H264" i="1"/>
  <c r="H651" i="1"/>
  <c r="L651" i="1" s="1"/>
  <c r="H47" i="1"/>
  <c r="H188" i="1"/>
  <c r="H25" i="1"/>
  <c r="H61" i="1"/>
  <c r="H83" i="1"/>
  <c r="H147" i="1"/>
  <c r="H169" i="1"/>
  <c r="H201" i="1"/>
  <c r="H233" i="1"/>
  <c r="H265" i="1"/>
  <c r="H297" i="1"/>
  <c r="H356" i="1"/>
  <c r="H667" i="1"/>
  <c r="H345" i="1"/>
  <c r="H361" i="1"/>
  <c r="H377" i="1"/>
  <c r="H393" i="1"/>
  <c r="H436" i="1"/>
  <c r="H559" i="1"/>
  <c r="H687" i="1"/>
  <c r="L687" i="1" s="1"/>
  <c r="H46" i="1"/>
  <c r="H62" i="1"/>
  <c r="H158" i="1"/>
  <c r="H174" i="1"/>
  <c r="H190" i="1"/>
  <c r="H238" i="1"/>
  <c r="H254" i="1"/>
  <c r="H270" i="1"/>
  <c r="H286" i="1"/>
  <c r="H302" i="1"/>
  <c r="H334" i="1"/>
  <c r="H366" i="1"/>
  <c r="H382" i="1"/>
  <c r="H579" i="1"/>
  <c r="L579" i="1" s="1"/>
  <c r="H707" i="1"/>
  <c r="H171" i="1"/>
  <c r="H187" i="1"/>
  <c r="H203" i="1"/>
  <c r="H219" i="1"/>
  <c r="H235" i="1"/>
  <c r="H251" i="1"/>
  <c r="H267" i="1"/>
  <c r="H299" i="1"/>
  <c r="H315" i="1"/>
  <c r="H347" i="1"/>
  <c r="H363" i="1"/>
  <c r="H379" i="1"/>
  <c r="H395" i="1"/>
  <c r="H440" i="1"/>
  <c r="H503" i="1"/>
  <c r="H631" i="1"/>
  <c r="H524" i="1"/>
  <c r="L524" i="1" s="1"/>
  <c r="H556" i="1"/>
  <c r="H572" i="1"/>
  <c r="H588" i="1"/>
  <c r="H620" i="1"/>
  <c r="H700" i="1"/>
  <c r="H409" i="1"/>
  <c r="L409" i="1" s="1"/>
  <c r="H441" i="1"/>
  <c r="H457" i="1"/>
  <c r="H521" i="1"/>
  <c r="L521" i="1" s="1"/>
  <c r="H553" i="1"/>
  <c r="H617" i="1"/>
  <c r="H681" i="1"/>
  <c r="L681" i="1" s="1"/>
  <c r="H697" i="1"/>
  <c r="H713" i="1"/>
  <c r="L713" i="1" s="1"/>
  <c r="H729" i="1"/>
  <c r="H434" i="1"/>
  <c r="H466" i="1"/>
  <c r="H546" i="1"/>
  <c r="H610" i="1"/>
  <c r="H658" i="1"/>
  <c r="L658" i="1" s="1"/>
  <c r="H674" i="1"/>
  <c r="H690" i="1"/>
  <c r="L690" i="1" s="1"/>
  <c r="H706" i="1"/>
  <c r="H738" i="1"/>
  <c r="H159" i="1"/>
  <c r="H48" i="1"/>
  <c r="H69" i="1"/>
  <c r="H91" i="1"/>
  <c r="L91" i="1" s="1"/>
  <c r="H112" i="1"/>
  <c r="H181" i="1"/>
  <c r="H277" i="1"/>
  <c r="H380" i="1"/>
  <c r="H26" i="1"/>
  <c r="H79" i="1"/>
  <c r="H44" i="1"/>
  <c r="H65" i="1"/>
  <c r="H108" i="1"/>
  <c r="H151" i="1"/>
  <c r="H272" i="1"/>
  <c r="H304" i="1"/>
  <c r="H715" i="1"/>
  <c r="L715" i="1" s="1"/>
  <c r="H67" i="1"/>
  <c r="H109" i="1"/>
  <c r="H152" i="1"/>
  <c r="H209" i="1"/>
  <c r="H241" i="1"/>
  <c r="H273" i="1"/>
  <c r="H372" i="1"/>
  <c r="H731" i="1"/>
  <c r="H333" i="1"/>
  <c r="H365" i="1"/>
  <c r="H381" i="1"/>
  <c r="H703" i="1"/>
  <c r="H66" i="1"/>
  <c r="H114" i="1"/>
  <c r="H146" i="1"/>
  <c r="H178" i="1"/>
  <c r="H258" i="1"/>
  <c r="H274" i="1"/>
  <c r="H290" i="1"/>
  <c r="H306" i="1"/>
  <c r="H322" i="1"/>
  <c r="H354" i="1"/>
  <c r="H467" i="1"/>
  <c r="H175" i="1"/>
  <c r="H239" i="1"/>
  <c r="H255" i="1"/>
  <c r="H271" i="1"/>
  <c r="H287" i="1"/>
  <c r="H303" i="1"/>
  <c r="H335" i="1"/>
  <c r="H367" i="1"/>
  <c r="H383" i="1"/>
  <c r="H455" i="1"/>
  <c r="H711" i="1"/>
  <c r="H464" i="1"/>
  <c r="H496" i="1"/>
  <c r="L496" i="1" s="1"/>
  <c r="H544" i="1"/>
  <c r="H608" i="1"/>
  <c r="H640" i="1"/>
  <c r="H656" i="1"/>
  <c r="L656" i="1" s="1"/>
  <c r="H672" i="1"/>
  <c r="H688" i="1"/>
  <c r="L688" i="1" s="1"/>
  <c r="H704" i="1"/>
  <c r="H736" i="1"/>
  <c r="H429" i="1"/>
  <c r="H461" i="1"/>
  <c r="H525" i="1"/>
  <c r="L525" i="1" s="1"/>
  <c r="H541" i="1"/>
  <c r="H557" i="1"/>
  <c r="H605" i="1"/>
  <c r="H637" i="1"/>
  <c r="H685" i="1"/>
  <c r="L685" i="1" s="1"/>
  <c r="H701" i="1"/>
  <c r="H717" i="1"/>
  <c r="L717" i="1" s="1"/>
  <c r="H733" i="1"/>
  <c r="H438" i="1"/>
  <c r="H454" i="1"/>
  <c r="H470" i="1"/>
  <c r="H598" i="1"/>
  <c r="H614" i="1"/>
  <c r="H678" i="1"/>
  <c r="L678" i="1" s="1"/>
  <c r="H694" i="1"/>
  <c r="L694" i="1" s="1"/>
  <c r="H710" i="1"/>
  <c r="H726" i="1"/>
  <c r="H742" i="1"/>
  <c r="H111" i="1"/>
  <c r="H268" i="1"/>
  <c r="H344" i="1"/>
  <c r="H619" i="1"/>
  <c r="H53" i="1"/>
  <c r="H75" i="1"/>
  <c r="H96" i="1"/>
  <c r="L96" i="1" s="1"/>
  <c r="H139" i="1"/>
  <c r="H160" i="1"/>
  <c r="H189" i="1"/>
  <c r="H253" i="1"/>
  <c r="H396" i="1"/>
  <c r="H571" i="1"/>
  <c r="H95" i="1"/>
  <c r="L95" i="1" s="1"/>
  <c r="H153" i="1"/>
  <c r="H236" i="1"/>
  <c r="H328" i="1"/>
  <c r="H49" i="1"/>
  <c r="H92" i="1"/>
  <c r="L92" i="1" s="1"/>
  <c r="H184" i="1"/>
  <c r="H280" i="1"/>
  <c r="H384" i="1"/>
  <c r="H523" i="1"/>
  <c r="L523" i="1" s="1"/>
  <c r="H84" i="1"/>
  <c r="H252" i="1"/>
  <c r="H51" i="1"/>
  <c r="H93" i="1"/>
  <c r="L93" i="1" s="1"/>
  <c r="H115" i="1"/>
  <c r="H217" i="1"/>
  <c r="L217" i="1" s="1"/>
  <c r="H249" i="1"/>
  <c r="H281" i="1"/>
  <c r="H305" i="1"/>
  <c r="H353" i="1"/>
  <c r="H463" i="1"/>
  <c r="H655" i="1"/>
  <c r="L655" i="1" s="1"/>
  <c r="H54" i="1"/>
  <c r="H150" i="1"/>
  <c r="H182" i="1"/>
  <c r="H198" i="1"/>
  <c r="H230" i="1"/>
  <c r="H278" i="1"/>
  <c r="H326" i="1"/>
  <c r="H342" i="1"/>
  <c r="H358" i="1"/>
  <c r="H374" i="1"/>
  <c r="H431" i="1"/>
  <c r="H611" i="1"/>
  <c r="H739" i="1"/>
  <c r="H275" i="1"/>
  <c r="H291" i="1"/>
  <c r="H307" i="1"/>
  <c r="H323" i="1"/>
  <c r="H355" i="1"/>
  <c r="H371" i="1"/>
  <c r="H471" i="1"/>
  <c r="H663" i="1"/>
  <c r="H727" i="1"/>
  <c r="H468" i="1"/>
  <c r="H676" i="1"/>
  <c r="L676" i="1" s="1"/>
  <c r="H692" i="1"/>
  <c r="L692" i="1" s="1"/>
  <c r="H708" i="1"/>
  <c r="H740" i="1"/>
  <c r="H417" i="1"/>
  <c r="L417" i="1" s="1"/>
  <c r="H433" i="1"/>
  <c r="H465" i="1"/>
  <c r="H545" i="1"/>
  <c r="H593" i="1"/>
  <c r="H609" i="1"/>
  <c r="H641" i="1"/>
  <c r="H657" i="1"/>
  <c r="L657" i="1" s="1"/>
  <c r="H673" i="1"/>
  <c r="H689" i="1"/>
  <c r="L689" i="1" s="1"/>
  <c r="H705" i="1"/>
  <c r="H737" i="1"/>
  <c r="H442" i="1"/>
  <c r="L442" i="1" s="1"/>
  <c r="H458" i="1"/>
  <c r="H522" i="1"/>
  <c r="L522" i="1" s="1"/>
  <c r="H554" i="1"/>
  <c r="H618" i="1"/>
  <c r="H666" i="1"/>
  <c r="H682" i="1"/>
  <c r="L682" i="1" s="1"/>
  <c r="H698" i="1"/>
  <c r="H714" i="1"/>
  <c r="L714" i="1" s="1"/>
  <c r="H730" i="1"/>
  <c r="H4707" i="8"/>
  <c r="H4708" i="8" s="1"/>
  <c r="G4698" i="8"/>
  <c r="H4286" i="8"/>
  <c r="H4287" i="8" s="1"/>
  <c r="G4279" i="8"/>
  <c r="G508" i="22"/>
  <c r="J508" i="22" s="1"/>
  <c r="E202" i="1"/>
  <c r="J368" i="22"/>
  <c r="E152" i="1"/>
  <c r="K152" i="1" s="1"/>
  <c r="G369" i="22"/>
  <c r="J369" i="22" s="1"/>
  <c r="E150" i="1"/>
  <c r="K150" i="1" s="1"/>
  <c r="I239" i="22"/>
  <c r="J397" i="22"/>
  <c r="E159" i="1" s="1"/>
  <c r="K159" i="1" s="1"/>
  <c r="E197" i="1"/>
  <c r="K197" i="1" s="1"/>
  <c r="H1116" i="8"/>
  <c r="H1117" i="8" s="1"/>
  <c r="H1111" i="8" s="1"/>
  <c r="G403" i="22"/>
  <c r="J403" i="22" s="1"/>
  <c r="E158" i="1"/>
  <c r="K158" i="1" s="1"/>
  <c r="H197" i="8"/>
  <c r="G188" i="8" s="1"/>
  <c r="J146" i="22"/>
  <c r="E79" i="1" s="1"/>
  <c r="K79" i="1" s="1"/>
  <c r="E26" i="1"/>
  <c r="H48" i="8"/>
  <c r="H49" i="8" s="1"/>
  <c r="H43" i="8" s="1"/>
  <c r="H4358" i="8"/>
  <c r="H4359" i="8" s="1"/>
  <c r="H27" i="8"/>
  <c r="H28" i="8" s="1"/>
  <c r="H4136" i="8"/>
  <c r="H4137" i="8" s="1"/>
  <c r="H4308" i="8"/>
  <c r="H4309" i="8" s="1"/>
  <c r="H4264" i="8"/>
  <c r="H4265" i="8" s="1"/>
  <c r="H3865" i="8"/>
  <c r="H3866" i="8" s="1"/>
  <c r="H4275" i="8"/>
  <c r="H4276" i="8" s="1"/>
  <c r="H4297" i="8"/>
  <c r="H4298" i="8" s="1"/>
  <c r="H4681" i="8"/>
  <c r="H4672" i="8" s="1"/>
  <c r="H4682" i="8"/>
  <c r="H4683" i="8" s="1"/>
  <c r="H4667" i="8"/>
  <c r="H4659" i="8" s="1"/>
  <c r="H4668" i="8"/>
  <c r="H4669" i="8" s="1"/>
  <c r="H471" i="8"/>
  <c r="H459" i="8" s="1"/>
  <c r="H472" i="8"/>
  <c r="H473" i="8" s="1"/>
  <c r="H489" i="8"/>
  <c r="H490" i="8" s="1"/>
  <c r="G469" i="22"/>
  <c r="J469" i="22" s="1"/>
  <c r="J470" i="22" s="1"/>
  <c r="E180" i="1" s="1"/>
  <c r="K180" i="1" s="1"/>
  <c r="H4274" i="8"/>
  <c r="H4268" i="8" s="1"/>
  <c r="H488" i="8"/>
  <c r="H476" i="8" s="1"/>
  <c r="H4296" i="8"/>
  <c r="H4290" i="8" s="1"/>
  <c r="G454" i="22"/>
  <c r="J454" i="22" s="1"/>
  <c r="J455" i="22" s="1"/>
  <c r="G370" i="22"/>
  <c r="J370" i="22" s="1"/>
  <c r="J347" i="22"/>
  <c r="J362" i="22"/>
  <c r="E153" i="1" s="1"/>
  <c r="K153" i="1" s="1"/>
  <c r="H4689" i="8"/>
  <c r="H4691" i="8" s="1"/>
  <c r="G4686" i="8" s="1"/>
  <c r="H181" i="8"/>
  <c r="H213" i="8"/>
  <c r="G204" i="8" s="1"/>
  <c r="J635" i="22"/>
  <c r="H3864" i="8"/>
  <c r="H3858" i="8" s="1"/>
  <c r="H26" i="8"/>
  <c r="H20" i="8" s="1"/>
  <c r="H4706" i="8"/>
  <c r="H4698" i="8" s="1"/>
  <c r="H4307" i="8"/>
  <c r="H4301" i="8" s="1"/>
  <c r="H4263" i="8"/>
  <c r="H4257" i="8" s="1"/>
  <c r="F506" i="22"/>
  <c r="J506" i="22" s="1"/>
  <c r="H4135" i="8"/>
  <c r="H4129" i="8" s="1"/>
  <c r="H4357" i="8"/>
  <c r="H4351" i="8" s="1"/>
  <c r="H4285" i="8"/>
  <c r="H4279" i="8" s="1"/>
  <c r="H59" i="8" l="1"/>
  <c r="H60" i="8" s="1"/>
  <c r="H54" i="8" s="1"/>
  <c r="K26" i="1"/>
  <c r="I673" i="1"/>
  <c r="L673" i="1"/>
  <c r="I611" i="1"/>
  <c r="L611" i="1"/>
  <c r="I153" i="1"/>
  <c r="L153" i="1"/>
  <c r="I726" i="1"/>
  <c r="L726" i="1"/>
  <c r="I287" i="1"/>
  <c r="L287" i="1"/>
  <c r="I178" i="1"/>
  <c r="L178" i="1"/>
  <c r="I209" i="1"/>
  <c r="L209" i="1"/>
  <c r="I26" i="1"/>
  <c r="L26" i="1"/>
  <c r="I674" i="1"/>
  <c r="L674" i="1"/>
  <c r="I440" i="1"/>
  <c r="L440" i="1"/>
  <c r="I187" i="1"/>
  <c r="L187" i="1"/>
  <c r="I190" i="1"/>
  <c r="L190" i="1"/>
  <c r="I667" i="1"/>
  <c r="L667" i="1"/>
  <c r="I47" i="1"/>
  <c r="L47" i="1"/>
  <c r="I196" i="1"/>
  <c r="J196" i="1" s="1"/>
  <c r="L196" i="1"/>
  <c r="I453" i="1"/>
  <c r="L453" i="1"/>
  <c r="I487" i="1"/>
  <c r="J487" i="1" s="1"/>
  <c r="L487" i="1"/>
  <c r="I279" i="1"/>
  <c r="L279" i="1"/>
  <c r="I394" i="1"/>
  <c r="L394" i="1"/>
  <c r="I234" i="1"/>
  <c r="L234" i="1"/>
  <c r="I58" i="1"/>
  <c r="L58" i="1"/>
  <c r="I341" i="1"/>
  <c r="L341" i="1"/>
  <c r="I140" i="1"/>
  <c r="L140" i="1"/>
  <c r="I41" i="33"/>
  <c r="L41" i="33"/>
  <c r="W486" i="1"/>
  <c r="Y486" i="1"/>
  <c r="T486" i="1"/>
  <c r="X486" i="1"/>
  <c r="V486" i="1"/>
  <c r="Z486" i="1"/>
  <c r="G404" i="22"/>
  <c r="J404" i="22" s="1"/>
  <c r="J406" i="22" s="1"/>
  <c r="H1160" i="8"/>
  <c r="K202" i="1"/>
  <c r="I698" i="1"/>
  <c r="L698" i="1"/>
  <c r="I554" i="1"/>
  <c r="L554" i="1"/>
  <c r="I737" i="1"/>
  <c r="L737" i="1"/>
  <c r="I545" i="1"/>
  <c r="L545" i="1"/>
  <c r="I740" i="1"/>
  <c r="L740" i="1"/>
  <c r="I468" i="1"/>
  <c r="L468" i="1"/>
  <c r="I371" i="1"/>
  <c r="L371" i="1"/>
  <c r="I291" i="1"/>
  <c r="L291" i="1"/>
  <c r="I431" i="1"/>
  <c r="L431" i="1"/>
  <c r="I326" i="1"/>
  <c r="L326" i="1"/>
  <c r="I182" i="1"/>
  <c r="L182" i="1"/>
  <c r="I463" i="1"/>
  <c r="L463" i="1"/>
  <c r="I249" i="1"/>
  <c r="L249" i="1"/>
  <c r="I51" i="1"/>
  <c r="L51" i="1"/>
  <c r="I384" i="1"/>
  <c r="L384" i="1"/>
  <c r="I49" i="1"/>
  <c r="L49" i="1"/>
  <c r="I189" i="1"/>
  <c r="L189" i="1"/>
  <c r="I75" i="1"/>
  <c r="L75" i="1"/>
  <c r="I268" i="1"/>
  <c r="L268" i="1"/>
  <c r="I710" i="1"/>
  <c r="L710" i="1"/>
  <c r="I598" i="1"/>
  <c r="L598" i="1"/>
  <c r="I733" i="1"/>
  <c r="L733" i="1"/>
  <c r="I637" i="1"/>
  <c r="L637" i="1"/>
  <c r="I704" i="1"/>
  <c r="L704" i="1"/>
  <c r="I640" i="1"/>
  <c r="L640" i="1"/>
  <c r="I464" i="1"/>
  <c r="L464" i="1"/>
  <c r="I367" i="1"/>
  <c r="L367" i="1"/>
  <c r="I271" i="1"/>
  <c r="L271" i="1"/>
  <c r="I467" i="1"/>
  <c r="L467" i="1"/>
  <c r="I290" i="1"/>
  <c r="L290" i="1"/>
  <c r="I146" i="1"/>
  <c r="L146" i="1"/>
  <c r="I381" i="1"/>
  <c r="L381" i="1"/>
  <c r="I372" i="1"/>
  <c r="L372" i="1"/>
  <c r="I152" i="1"/>
  <c r="L152" i="1"/>
  <c r="I304" i="1"/>
  <c r="L304" i="1"/>
  <c r="I65" i="1"/>
  <c r="L65" i="1"/>
  <c r="I380" i="1"/>
  <c r="L380" i="1"/>
  <c r="I738" i="1"/>
  <c r="L738" i="1"/>
  <c r="I434" i="1"/>
  <c r="L434" i="1"/>
  <c r="I457" i="1"/>
  <c r="L457" i="1"/>
  <c r="I620" i="1"/>
  <c r="L620" i="1"/>
  <c r="I395" i="1"/>
  <c r="L395" i="1"/>
  <c r="I315" i="1"/>
  <c r="L315" i="1"/>
  <c r="I235" i="1"/>
  <c r="L235" i="1"/>
  <c r="I171" i="1"/>
  <c r="I366" i="1"/>
  <c r="L366" i="1"/>
  <c r="I270" i="1"/>
  <c r="L270" i="1"/>
  <c r="I174" i="1"/>
  <c r="I377" i="1"/>
  <c r="L377" i="1"/>
  <c r="I356" i="1"/>
  <c r="L356" i="1"/>
  <c r="I201" i="1"/>
  <c r="L201" i="1"/>
  <c r="I61" i="1"/>
  <c r="L61" i="1"/>
  <c r="I81" i="1"/>
  <c r="L81" i="1"/>
  <c r="I63" i="1"/>
  <c r="L63" i="1"/>
  <c r="I269" i="1"/>
  <c r="L269" i="1"/>
  <c r="I107" i="1"/>
  <c r="L107" i="1"/>
  <c r="I143" i="1"/>
  <c r="L143" i="1"/>
  <c r="I638" i="1"/>
  <c r="L638" i="1"/>
  <c r="I430" i="1"/>
  <c r="L430" i="1"/>
  <c r="I437" i="1"/>
  <c r="L437" i="1"/>
  <c r="I696" i="1"/>
  <c r="L696" i="1"/>
  <c r="I616" i="1"/>
  <c r="L616" i="1"/>
  <c r="I743" i="1"/>
  <c r="L743" i="1"/>
  <c r="I432" i="1"/>
  <c r="L432" i="1"/>
  <c r="I327" i="1"/>
  <c r="L327" i="1"/>
  <c r="I263" i="1"/>
  <c r="L263" i="1"/>
  <c r="I378" i="1"/>
  <c r="L378" i="1"/>
  <c r="I314" i="1"/>
  <c r="L314" i="1"/>
  <c r="I218" i="1"/>
  <c r="J218" i="1" s="1"/>
  <c r="Z218" i="1" s="1"/>
  <c r="L218" i="1"/>
  <c r="I106" i="1"/>
  <c r="L106" i="1"/>
  <c r="I735" i="1"/>
  <c r="L735" i="1"/>
  <c r="I428" i="1"/>
  <c r="L428" i="1"/>
  <c r="I325" i="1"/>
  <c r="L325" i="1"/>
  <c r="I141" i="1"/>
  <c r="L141" i="1"/>
  <c r="I587" i="1"/>
  <c r="L587" i="1"/>
  <c r="I76" i="1"/>
  <c r="L76" i="1"/>
  <c r="I172" i="1"/>
  <c r="L172" i="1"/>
  <c r="I229" i="1"/>
  <c r="L229" i="1"/>
  <c r="I54" i="29"/>
  <c r="L54" i="29"/>
  <c r="I91" i="29"/>
  <c r="L91" i="29"/>
  <c r="Z412" i="1"/>
  <c r="V412" i="1"/>
  <c r="Y412" i="1"/>
  <c r="T412" i="1"/>
  <c r="X412" i="1"/>
  <c r="W412" i="1"/>
  <c r="Z415" i="1"/>
  <c r="V415" i="1"/>
  <c r="Y415" i="1"/>
  <c r="T415" i="1"/>
  <c r="X415" i="1"/>
  <c r="W415" i="1"/>
  <c r="I618" i="1"/>
  <c r="L618" i="1"/>
  <c r="I307" i="1"/>
  <c r="L307" i="1"/>
  <c r="I198" i="1"/>
  <c r="L198" i="1"/>
  <c r="I281" i="1"/>
  <c r="L281" i="1"/>
  <c r="I253" i="1"/>
  <c r="L253" i="1"/>
  <c r="I344" i="1"/>
  <c r="L344" i="1"/>
  <c r="I614" i="1"/>
  <c r="L614" i="1"/>
  <c r="I541" i="1"/>
  <c r="L541" i="1"/>
  <c r="I736" i="1"/>
  <c r="L736" i="1"/>
  <c r="I383" i="1"/>
  <c r="L383" i="1"/>
  <c r="I175" i="1"/>
  <c r="I703" i="1"/>
  <c r="L703" i="1"/>
  <c r="I731" i="1"/>
  <c r="L731" i="1"/>
  <c r="I108" i="1"/>
  <c r="L108" i="1"/>
  <c r="I159" i="1"/>
  <c r="L159" i="1"/>
  <c r="I697" i="1"/>
  <c r="L697" i="1"/>
  <c r="I556" i="1"/>
  <c r="L556" i="1"/>
  <c r="I251" i="1"/>
  <c r="L251" i="1"/>
  <c r="I286" i="1"/>
  <c r="L286" i="1"/>
  <c r="I393" i="1"/>
  <c r="L393" i="1"/>
  <c r="I233" i="1"/>
  <c r="L233" i="1"/>
  <c r="I168" i="1"/>
  <c r="I149" i="1"/>
  <c r="L149" i="1"/>
  <c r="I435" i="1"/>
  <c r="L435" i="1"/>
  <c r="I462" i="1"/>
  <c r="L462" i="1"/>
  <c r="I456" i="1"/>
  <c r="L456" i="1"/>
  <c r="I343" i="1"/>
  <c r="L343" i="1"/>
  <c r="I183" i="1"/>
  <c r="L183" i="1"/>
  <c r="I330" i="1"/>
  <c r="L330" i="1"/>
  <c r="I154" i="1"/>
  <c r="L154" i="1"/>
  <c r="I543" i="1"/>
  <c r="L543" i="1"/>
  <c r="I257" i="1"/>
  <c r="L257" i="1"/>
  <c r="I360" i="1"/>
  <c r="L360" i="1"/>
  <c r="I228" i="1"/>
  <c r="L228" i="1"/>
  <c r="I71" i="29"/>
  <c r="L71" i="29"/>
  <c r="J371" i="22"/>
  <c r="E154" i="1" s="1"/>
  <c r="K154" i="1" s="1"/>
  <c r="I705" i="1"/>
  <c r="L705" i="1"/>
  <c r="I641" i="1"/>
  <c r="L641" i="1"/>
  <c r="I465" i="1"/>
  <c r="L465" i="1"/>
  <c r="I708" i="1"/>
  <c r="L708" i="1"/>
  <c r="I727" i="1"/>
  <c r="L727" i="1"/>
  <c r="I355" i="1"/>
  <c r="L355" i="1"/>
  <c r="I275" i="1"/>
  <c r="L275" i="1"/>
  <c r="I374" i="1"/>
  <c r="L374" i="1"/>
  <c r="I278" i="1"/>
  <c r="L278" i="1"/>
  <c r="I150" i="1"/>
  <c r="L150" i="1"/>
  <c r="I353" i="1"/>
  <c r="L353" i="1"/>
  <c r="I252" i="1"/>
  <c r="L252" i="1"/>
  <c r="I280" i="1"/>
  <c r="L280" i="1"/>
  <c r="I328" i="1"/>
  <c r="L328" i="1"/>
  <c r="I571" i="1"/>
  <c r="L571" i="1"/>
  <c r="I160" i="1"/>
  <c r="I53" i="1"/>
  <c r="L53" i="1"/>
  <c r="I111" i="1"/>
  <c r="L111" i="1"/>
  <c r="I470" i="1"/>
  <c r="L470" i="1"/>
  <c r="I605" i="1"/>
  <c r="L605" i="1"/>
  <c r="I461" i="1"/>
  <c r="L461" i="1"/>
  <c r="I608" i="1"/>
  <c r="L608" i="1"/>
  <c r="I711" i="1"/>
  <c r="L711" i="1"/>
  <c r="I335" i="1"/>
  <c r="L335" i="1"/>
  <c r="I255" i="1"/>
  <c r="L255" i="1"/>
  <c r="I354" i="1"/>
  <c r="L354" i="1"/>
  <c r="I274" i="1"/>
  <c r="L274" i="1"/>
  <c r="I114" i="1"/>
  <c r="L114" i="1"/>
  <c r="I365" i="1"/>
  <c r="L365" i="1"/>
  <c r="I273" i="1"/>
  <c r="L273" i="1"/>
  <c r="I109" i="1"/>
  <c r="L109" i="1"/>
  <c r="I272" i="1"/>
  <c r="L272" i="1"/>
  <c r="I44" i="1"/>
  <c r="L44" i="1"/>
  <c r="I277" i="1"/>
  <c r="L277" i="1"/>
  <c r="I69" i="1"/>
  <c r="J69" i="1" s="1"/>
  <c r="P69" i="1" s="1"/>
  <c r="L69" i="1"/>
  <c r="I706" i="1"/>
  <c r="L706" i="1"/>
  <c r="I610" i="1"/>
  <c r="L610" i="1"/>
  <c r="I729" i="1"/>
  <c r="L729" i="1"/>
  <c r="I617" i="1"/>
  <c r="L617" i="1"/>
  <c r="I441" i="1"/>
  <c r="L441" i="1"/>
  <c r="I588" i="1"/>
  <c r="L588" i="1"/>
  <c r="I631" i="1"/>
  <c r="L631" i="1"/>
  <c r="I379" i="1"/>
  <c r="L379" i="1"/>
  <c r="I299" i="1"/>
  <c r="L299" i="1"/>
  <c r="I219" i="1"/>
  <c r="J219" i="1" s="1"/>
  <c r="Z219" i="1" s="1"/>
  <c r="L219" i="1"/>
  <c r="I707" i="1"/>
  <c r="L707" i="1"/>
  <c r="I334" i="1"/>
  <c r="L334" i="1"/>
  <c r="I254" i="1"/>
  <c r="L254" i="1"/>
  <c r="I158" i="1"/>
  <c r="L158" i="1"/>
  <c r="I559" i="1"/>
  <c r="L559" i="1"/>
  <c r="I361" i="1"/>
  <c r="L361" i="1"/>
  <c r="I297" i="1"/>
  <c r="L297" i="1"/>
  <c r="I169" i="1"/>
  <c r="L169" i="1"/>
  <c r="I25" i="1"/>
  <c r="L25" i="1"/>
  <c r="I264" i="1"/>
  <c r="L264" i="1"/>
  <c r="I60" i="1"/>
  <c r="L60" i="1"/>
  <c r="I699" i="1"/>
  <c r="L699" i="1"/>
  <c r="I237" i="1"/>
  <c r="L237" i="1"/>
  <c r="I64" i="1"/>
  <c r="L64" i="1"/>
  <c r="I734" i="1"/>
  <c r="L734" i="1"/>
  <c r="I590" i="1"/>
  <c r="L590" i="1"/>
  <c r="I741" i="1"/>
  <c r="L741" i="1"/>
  <c r="I744" i="1"/>
  <c r="L744" i="1"/>
  <c r="I552" i="1"/>
  <c r="L552" i="1"/>
  <c r="I375" i="1"/>
  <c r="L375" i="1"/>
  <c r="I311" i="1"/>
  <c r="L311" i="1"/>
  <c r="I231" i="1"/>
  <c r="L231" i="1"/>
  <c r="I439" i="1"/>
  <c r="L439" i="1"/>
  <c r="I362" i="1"/>
  <c r="L362" i="1"/>
  <c r="I282" i="1"/>
  <c r="L282" i="1"/>
  <c r="I186" i="1"/>
  <c r="L186" i="1"/>
  <c r="I671" i="1"/>
  <c r="L671" i="1"/>
  <c r="I373" i="1"/>
  <c r="L373" i="1"/>
  <c r="I309" i="1"/>
  <c r="L309" i="1"/>
  <c r="I21" i="1"/>
  <c r="L21" i="1"/>
  <c r="I256" i="1"/>
  <c r="L256" i="1"/>
  <c r="I55" i="1"/>
  <c r="L55" i="1"/>
  <c r="I105" i="1"/>
  <c r="L105" i="1"/>
  <c r="I197" i="1"/>
  <c r="L197" i="1"/>
  <c r="I276" i="1"/>
  <c r="L276" i="1"/>
  <c r="I62" i="29"/>
  <c r="J62" i="29" s="1"/>
  <c r="P62" i="29" s="1"/>
  <c r="P63" i="29" s="1"/>
  <c r="P84" i="29" s="1"/>
  <c r="L62" i="29"/>
  <c r="X408" i="1"/>
  <c r="W408" i="1"/>
  <c r="Z408" i="1"/>
  <c r="V408" i="1"/>
  <c r="Y408" i="1"/>
  <c r="T408" i="1"/>
  <c r="I593" i="1"/>
  <c r="L593" i="1"/>
  <c r="I471" i="1"/>
  <c r="L471" i="1"/>
  <c r="I342" i="1"/>
  <c r="L342" i="1"/>
  <c r="I438" i="1"/>
  <c r="L438" i="1"/>
  <c r="I306" i="1"/>
  <c r="L306" i="1"/>
  <c r="I112" i="1"/>
  <c r="L112" i="1"/>
  <c r="I466" i="1"/>
  <c r="L466" i="1"/>
  <c r="I700" i="1"/>
  <c r="L700" i="1"/>
  <c r="I347" i="1"/>
  <c r="L347" i="1"/>
  <c r="I382" i="1"/>
  <c r="L382" i="1"/>
  <c r="I46" i="1"/>
  <c r="L46" i="1"/>
  <c r="I83" i="1"/>
  <c r="L83" i="1"/>
  <c r="I301" i="1"/>
  <c r="L301" i="1"/>
  <c r="I34" i="1"/>
  <c r="L34" i="1"/>
  <c r="I730" i="1"/>
  <c r="L730" i="1"/>
  <c r="I666" i="1"/>
  <c r="L666" i="1"/>
  <c r="I458" i="1"/>
  <c r="L458" i="1"/>
  <c r="I609" i="1"/>
  <c r="L609" i="1"/>
  <c r="I433" i="1"/>
  <c r="L433" i="1"/>
  <c r="I663" i="1"/>
  <c r="L663" i="1"/>
  <c r="I323" i="1"/>
  <c r="L323" i="1"/>
  <c r="I739" i="1"/>
  <c r="L739" i="1"/>
  <c r="I358" i="1"/>
  <c r="L358" i="1"/>
  <c r="I230" i="1"/>
  <c r="L230" i="1"/>
  <c r="I54" i="1"/>
  <c r="L54" i="1"/>
  <c r="I305" i="1"/>
  <c r="L305" i="1"/>
  <c r="I115" i="1"/>
  <c r="L115" i="1"/>
  <c r="I84" i="1"/>
  <c r="L84" i="1"/>
  <c r="I184" i="1"/>
  <c r="L184" i="1"/>
  <c r="I236" i="1"/>
  <c r="L236" i="1"/>
  <c r="I396" i="1"/>
  <c r="L396" i="1"/>
  <c r="I139" i="1"/>
  <c r="L139" i="1"/>
  <c r="I619" i="1"/>
  <c r="L619" i="1"/>
  <c r="I742" i="1"/>
  <c r="L742" i="1"/>
  <c r="I454" i="1"/>
  <c r="L454" i="1"/>
  <c r="I701" i="1"/>
  <c r="L701" i="1"/>
  <c r="I557" i="1"/>
  <c r="L557" i="1"/>
  <c r="I429" i="1"/>
  <c r="L429" i="1"/>
  <c r="I672" i="1"/>
  <c r="L672" i="1"/>
  <c r="I544" i="1"/>
  <c r="L544" i="1"/>
  <c r="I455" i="1"/>
  <c r="L455" i="1"/>
  <c r="I303" i="1"/>
  <c r="L303" i="1"/>
  <c r="I239" i="1"/>
  <c r="L239" i="1"/>
  <c r="I322" i="1"/>
  <c r="L322" i="1"/>
  <c r="I258" i="1"/>
  <c r="L258" i="1"/>
  <c r="I66" i="1"/>
  <c r="L66" i="1"/>
  <c r="I333" i="1"/>
  <c r="L333" i="1"/>
  <c r="I241" i="1"/>
  <c r="L241" i="1"/>
  <c r="I67" i="1"/>
  <c r="L67" i="1"/>
  <c r="I151" i="1"/>
  <c r="I79" i="1"/>
  <c r="L79" i="1"/>
  <c r="I181" i="1"/>
  <c r="L181" i="1"/>
  <c r="I48" i="1"/>
  <c r="L48" i="1"/>
  <c r="I546" i="1"/>
  <c r="L546" i="1"/>
  <c r="I553" i="1"/>
  <c r="L553" i="1"/>
  <c r="I572" i="1"/>
  <c r="L572" i="1"/>
  <c r="I503" i="1"/>
  <c r="J503" i="1" s="1"/>
  <c r="L503" i="1"/>
  <c r="I363" i="1"/>
  <c r="L363" i="1"/>
  <c r="I267" i="1"/>
  <c r="L267" i="1"/>
  <c r="I203" i="1"/>
  <c r="L203" i="1"/>
  <c r="I302" i="1"/>
  <c r="L302" i="1"/>
  <c r="I238" i="1"/>
  <c r="L238" i="1"/>
  <c r="I62" i="1"/>
  <c r="L62" i="1"/>
  <c r="I436" i="1"/>
  <c r="L436" i="1"/>
  <c r="I345" i="1"/>
  <c r="L345" i="1"/>
  <c r="I265" i="1"/>
  <c r="L265" i="1"/>
  <c r="I147" i="1"/>
  <c r="L147" i="1"/>
  <c r="I188" i="1"/>
  <c r="L188" i="1"/>
  <c r="I232" i="1"/>
  <c r="L232" i="1"/>
  <c r="I376" i="1"/>
  <c r="L376" i="1"/>
  <c r="I364" i="1"/>
  <c r="L364" i="1"/>
  <c r="I173" i="1"/>
  <c r="L173" i="1"/>
  <c r="I43" i="1"/>
  <c r="L43" i="1"/>
  <c r="I702" i="1"/>
  <c r="L702" i="1"/>
  <c r="I542" i="1"/>
  <c r="L542" i="1"/>
  <c r="I709" i="1"/>
  <c r="L709" i="1"/>
  <c r="I469" i="1"/>
  <c r="L469" i="1"/>
  <c r="I728" i="1"/>
  <c r="L728" i="1"/>
  <c r="I664" i="1"/>
  <c r="L664" i="1"/>
  <c r="I504" i="1"/>
  <c r="L504" i="1"/>
  <c r="I615" i="1"/>
  <c r="L615" i="1"/>
  <c r="I359" i="1"/>
  <c r="L359" i="1"/>
  <c r="I295" i="1"/>
  <c r="L295" i="1"/>
  <c r="I199" i="1"/>
  <c r="L199" i="1"/>
  <c r="I346" i="1"/>
  <c r="L346" i="1"/>
  <c r="I250" i="1"/>
  <c r="L250" i="1"/>
  <c r="I170" i="1"/>
  <c r="L170" i="1"/>
  <c r="I74" i="1"/>
  <c r="L74" i="1"/>
  <c r="I607" i="1"/>
  <c r="L607" i="1"/>
  <c r="I357" i="1"/>
  <c r="L357" i="1"/>
  <c r="I340" i="1"/>
  <c r="L340" i="1"/>
  <c r="I164" i="1"/>
  <c r="L164" i="1"/>
  <c r="I161" i="1"/>
  <c r="L161" i="1"/>
  <c r="I52" i="1"/>
  <c r="L52" i="1"/>
  <c r="I165" i="1"/>
  <c r="L165" i="1"/>
  <c r="I90" i="29"/>
  <c r="L90" i="29"/>
  <c r="I136" i="33"/>
  <c r="L136" i="33"/>
  <c r="I45" i="29"/>
  <c r="L45" i="29"/>
  <c r="X413" i="1"/>
  <c r="W413" i="1"/>
  <c r="Z413" i="1"/>
  <c r="V413" i="1"/>
  <c r="Y413" i="1"/>
  <c r="T413" i="1"/>
  <c r="H745" i="1"/>
  <c r="H76" i="29"/>
  <c r="H81" i="29"/>
  <c r="H665" i="1"/>
  <c r="H746" i="1"/>
  <c r="I97" i="29"/>
  <c r="J97" i="29" s="1"/>
  <c r="S97" i="29" s="1"/>
  <c r="I99" i="29"/>
  <c r="J99" i="29" s="1"/>
  <c r="U99" i="29" s="1"/>
  <c r="I50" i="29"/>
  <c r="J50" i="29" s="1"/>
  <c r="O50" i="29" s="1"/>
  <c r="I37" i="25"/>
  <c r="J37" i="25" s="1"/>
  <c r="M37" i="25" s="1"/>
  <c r="I83" i="33"/>
  <c r="J83" i="33" s="1"/>
  <c r="I128" i="29"/>
  <c r="J128" i="29" s="1"/>
  <c r="I127" i="33"/>
  <c r="J127" i="33" s="1"/>
  <c r="I33" i="25"/>
  <c r="J33" i="25" s="1"/>
  <c r="M33" i="25" s="1"/>
  <c r="I125" i="33"/>
  <c r="J125" i="33" s="1"/>
  <c r="I82" i="25"/>
  <c r="J82" i="25" s="1"/>
  <c r="Z82" i="25" s="1"/>
  <c r="I38" i="33"/>
  <c r="J38" i="33" s="1"/>
  <c r="I46" i="29"/>
  <c r="J46" i="29" s="1"/>
  <c r="N46" i="29" s="1"/>
  <c r="I108" i="33"/>
  <c r="J108" i="33" s="1"/>
  <c r="I22" i="33"/>
  <c r="J22" i="33" s="1"/>
  <c r="I92" i="25"/>
  <c r="J92" i="25" s="1"/>
  <c r="I101" i="33"/>
  <c r="J101" i="33" s="1"/>
  <c r="I152" i="33"/>
  <c r="J152" i="33" s="1"/>
  <c r="U152" i="33" s="1"/>
  <c r="U153" i="33" s="1"/>
  <c r="U155" i="33" s="1"/>
  <c r="I72" i="25"/>
  <c r="J72" i="25" s="1"/>
  <c r="Z72" i="25" s="1"/>
  <c r="I125" i="29"/>
  <c r="J125" i="29" s="1"/>
  <c r="I59" i="33"/>
  <c r="J59" i="33" s="1"/>
  <c r="I114" i="33"/>
  <c r="J114" i="33" s="1"/>
  <c r="I53" i="25"/>
  <c r="J53" i="25" s="1"/>
  <c r="I134" i="33"/>
  <c r="J134" i="33" s="1"/>
  <c r="I52" i="33"/>
  <c r="J52" i="33" s="1"/>
  <c r="I51" i="33"/>
  <c r="J51" i="33" s="1"/>
  <c r="I55" i="33"/>
  <c r="J55" i="33" s="1"/>
  <c r="I63" i="25"/>
  <c r="J63" i="25" s="1"/>
  <c r="Z63" i="25" s="1"/>
  <c r="Z64" i="25" s="1"/>
  <c r="I104" i="29"/>
  <c r="J104" i="29" s="1"/>
  <c r="I117" i="29"/>
  <c r="J117" i="29" s="1"/>
  <c r="I74" i="25"/>
  <c r="J74" i="25" s="1"/>
  <c r="Z74" i="25" s="1"/>
  <c r="I132" i="33"/>
  <c r="J132" i="33" s="1"/>
  <c r="I95" i="25"/>
  <c r="J95" i="25" s="1"/>
  <c r="I102" i="33"/>
  <c r="J102" i="33" s="1"/>
  <c r="I83" i="25"/>
  <c r="J83" i="25" s="1"/>
  <c r="Z83" i="25" s="1"/>
  <c r="I63" i="33"/>
  <c r="J63" i="33" s="1"/>
  <c r="I80" i="33"/>
  <c r="J80" i="33" s="1"/>
  <c r="I100" i="25"/>
  <c r="J100" i="25" s="1"/>
  <c r="N100" i="25" s="1"/>
  <c r="N103" i="25" s="1"/>
  <c r="N105" i="25" s="1"/>
  <c r="I36" i="33"/>
  <c r="J36" i="33" s="1"/>
  <c r="I94" i="29"/>
  <c r="J94" i="29" s="1"/>
  <c r="S94" i="29" s="1"/>
  <c r="I81" i="33"/>
  <c r="J81" i="33" s="1"/>
  <c r="I75" i="29"/>
  <c r="J75" i="29" s="1"/>
  <c r="I104" i="33"/>
  <c r="J104" i="33" s="1"/>
  <c r="I77" i="33"/>
  <c r="J77" i="33" s="1"/>
  <c r="I48" i="25"/>
  <c r="J48" i="25" s="1"/>
  <c r="M48" i="25" s="1"/>
  <c r="I69" i="29"/>
  <c r="J69" i="29" s="1"/>
  <c r="I124" i="29"/>
  <c r="J124" i="29" s="1"/>
  <c r="I126" i="33"/>
  <c r="J126" i="33" s="1"/>
  <c r="I138" i="33"/>
  <c r="J138" i="33" s="1"/>
  <c r="I106" i="29"/>
  <c r="J106" i="29" s="1"/>
  <c r="T106" i="29" s="1"/>
  <c r="I73" i="25"/>
  <c r="J73" i="25" s="1"/>
  <c r="Z73" i="25" s="1"/>
  <c r="I96" i="25"/>
  <c r="J96" i="25" s="1"/>
  <c r="I109" i="33"/>
  <c r="J109" i="33" s="1"/>
  <c r="I144" i="33"/>
  <c r="J144" i="33" s="1"/>
  <c r="I30" i="29"/>
  <c r="J30" i="29" s="1"/>
  <c r="N30" i="29" s="1"/>
  <c r="N31" i="29" s="1"/>
  <c r="I118" i="29"/>
  <c r="J118" i="29" s="1"/>
  <c r="I96" i="29"/>
  <c r="J96" i="29" s="1"/>
  <c r="S96" i="29" s="1"/>
  <c r="I107" i="33"/>
  <c r="J107" i="33" s="1"/>
  <c r="I34" i="29"/>
  <c r="J34" i="29" s="1"/>
  <c r="N34" i="29" s="1"/>
  <c r="N35" i="29" s="1"/>
  <c r="I32" i="25"/>
  <c r="J32" i="25" s="1"/>
  <c r="M32" i="25" s="1"/>
  <c r="I71" i="25"/>
  <c r="J71" i="25" s="1"/>
  <c r="Z71" i="25" s="1"/>
  <c r="I126" i="29"/>
  <c r="J126" i="29" s="1"/>
  <c r="I56" i="33"/>
  <c r="J56" i="33" s="1"/>
  <c r="I123" i="29"/>
  <c r="J123" i="29" s="1"/>
  <c r="I38" i="25"/>
  <c r="J38" i="25" s="1"/>
  <c r="M38" i="25" s="1"/>
  <c r="I111" i="33"/>
  <c r="J111" i="33" s="1"/>
  <c r="I61" i="33"/>
  <c r="J61" i="33" s="1"/>
  <c r="I42" i="25"/>
  <c r="J42" i="25" s="1"/>
  <c r="M42" i="25" s="1"/>
  <c r="I80" i="29"/>
  <c r="J80" i="29" s="1"/>
  <c r="I53" i="33"/>
  <c r="J53" i="33" s="1"/>
  <c r="I128" i="33"/>
  <c r="J128" i="33" s="1"/>
  <c r="I22" i="29"/>
  <c r="J22" i="29" s="1"/>
  <c r="I49" i="25"/>
  <c r="J49" i="25" s="1"/>
  <c r="M49" i="25" s="1"/>
  <c r="I113" i="33"/>
  <c r="J113" i="33" s="1"/>
  <c r="I100" i="33"/>
  <c r="J100" i="33" s="1"/>
  <c r="I55" i="25"/>
  <c r="J55" i="25" s="1"/>
  <c r="I116" i="29"/>
  <c r="J116" i="29" s="1"/>
  <c r="I93" i="25"/>
  <c r="J93" i="25" s="1"/>
  <c r="I21" i="33"/>
  <c r="J21" i="33" s="1"/>
  <c r="I58" i="33"/>
  <c r="J58" i="33" s="1"/>
  <c r="I94" i="25"/>
  <c r="J94" i="25" s="1"/>
  <c r="I133" i="29"/>
  <c r="J133" i="29" s="1"/>
  <c r="I47" i="33"/>
  <c r="J47" i="33" s="1"/>
  <c r="I78" i="29"/>
  <c r="J78" i="29" s="1"/>
  <c r="I58" i="29"/>
  <c r="J58" i="29" s="1"/>
  <c r="O58" i="29" s="1"/>
  <c r="I75" i="25"/>
  <c r="J75" i="25" s="1"/>
  <c r="Z75" i="25" s="1"/>
  <c r="I94" i="33"/>
  <c r="J94" i="33" s="1"/>
  <c r="I115" i="33"/>
  <c r="J115" i="33" s="1"/>
  <c r="I93" i="29"/>
  <c r="J93" i="29" s="1"/>
  <c r="S93" i="29" s="1"/>
  <c r="I82" i="33"/>
  <c r="J82" i="33" s="1"/>
  <c r="I130" i="33"/>
  <c r="J130" i="33" s="1"/>
  <c r="I112" i="33"/>
  <c r="J112" i="33" s="1"/>
  <c r="I39" i="25"/>
  <c r="J39" i="25" s="1"/>
  <c r="M39" i="25" s="1"/>
  <c r="I106" i="33"/>
  <c r="J106" i="33" s="1"/>
  <c r="I37" i="33"/>
  <c r="J37" i="33" s="1"/>
  <c r="I97" i="33"/>
  <c r="J97" i="33" s="1"/>
  <c r="I60" i="33"/>
  <c r="J60" i="33" s="1"/>
  <c r="I40" i="33"/>
  <c r="J40" i="33" s="1"/>
  <c r="J108" i="25"/>
  <c r="I90" i="33"/>
  <c r="J90" i="33" s="1"/>
  <c r="I54" i="25"/>
  <c r="J54" i="25" s="1"/>
  <c r="I43" i="25"/>
  <c r="J43" i="25" s="1"/>
  <c r="M43" i="25" s="1"/>
  <c r="I48" i="29"/>
  <c r="J48" i="29" s="1"/>
  <c r="N48" i="29" s="1"/>
  <c r="I28" i="33"/>
  <c r="J28" i="33" s="1"/>
  <c r="T28" i="33" s="1"/>
  <c r="T29" i="33" s="1"/>
  <c r="I101" i="25"/>
  <c r="J101" i="25" s="1"/>
  <c r="I54" i="33"/>
  <c r="J54" i="33" s="1"/>
  <c r="I56" i="29"/>
  <c r="J56" i="29" s="1"/>
  <c r="O56" i="29" s="1"/>
  <c r="I62" i="33"/>
  <c r="J62" i="33" s="1"/>
  <c r="I23" i="33"/>
  <c r="J23" i="33" s="1"/>
  <c r="I67" i="29"/>
  <c r="J67" i="29" s="1"/>
  <c r="I76" i="33"/>
  <c r="J76" i="33" s="1"/>
  <c r="I135" i="33"/>
  <c r="J135" i="33" s="1"/>
  <c r="I43" i="29"/>
  <c r="J43" i="29" s="1"/>
  <c r="N43" i="29" s="1"/>
  <c r="I41" i="25"/>
  <c r="J41" i="25" s="1"/>
  <c r="M41" i="25" s="1"/>
  <c r="I105" i="33"/>
  <c r="J105" i="33" s="1"/>
  <c r="I98" i="33"/>
  <c r="J98" i="33" s="1"/>
  <c r="I110" i="33"/>
  <c r="J110" i="33" s="1"/>
  <c r="I46" i="33"/>
  <c r="J46" i="33" s="1"/>
  <c r="I78" i="33"/>
  <c r="J78" i="33" s="1"/>
  <c r="I50" i="25"/>
  <c r="J50" i="25" s="1"/>
  <c r="M50" i="25" s="1"/>
  <c r="I30" i="25"/>
  <c r="J30" i="25" s="1"/>
  <c r="M30" i="25" s="1"/>
  <c r="I129" i="33"/>
  <c r="J129" i="33" s="1"/>
  <c r="I93" i="33"/>
  <c r="J93" i="33" s="1"/>
  <c r="I47" i="29"/>
  <c r="J47" i="29" s="1"/>
  <c r="N47" i="29" s="1"/>
  <c r="I31" i="25"/>
  <c r="J31" i="25" s="1"/>
  <c r="M31" i="25" s="1"/>
  <c r="I89" i="33"/>
  <c r="J89" i="33" s="1"/>
  <c r="I129" i="29"/>
  <c r="J129" i="29" s="1"/>
  <c r="I80" i="25"/>
  <c r="J80" i="25" s="1"/>
  <c r="Z80" i="25" s="1"/>
  <c r="I77" i="25"/>
  <c r="J77" i="25" s="1"/>
  <c r="Z77" i="25" s="1"/>
  <c r="I57" i="33"/>
  <c r="J57" i="33" s="1"/>
  <c r="I143" i="33"/>
  <c r="J143" i="33" s="1"/>
  <c r="I102" i="25"/>
  <c r="J102" i="25" s="1"/>
  <c r="I115" i="29"/>
  <c r="J115" i="29" s="1"/>
  <c r="I34" i="25"/>
  <c r="J34" i="25" s="1"/>
  <c r="M34" i="25" s="1"/>
  <c r="I67" i="25"/>
  <c r="J67" i="25" s="1"/>
  <c r="Z67" i="25" s="1"/>
  <c r="Z68" i="25" s="1"/>
  <c r="I88" i="33"/>
  <c r="J88" i="33" s="1"/>
  <c r="I52" i="29"/>
  <c r="J52" i="29" s="1"/>
  <c r="O52" i="29" s="1"/>
  <c r="I59" i="29"/>
  <c r="J59" i="29" s="1"/>
  <c r="O59" i="29" s="1"/>
  <c r="I81" i="25"/>
  <c r="J81" i="25" s="1"/>
  <c r="Z81" i="25" s="1"/>
  <c r="I21" i="25"/>
  <c r="J21" i="25" s="1"/>
  <c r="J22" i="25" s="1"/>
  <c r="J24" i="25" s="1"/>
  <c r="I79" i="25"/>
  <c r="J79" i="25" s="1"/>
  <c r="Z79" i="25" s="1"/>
  <c r="I74" i="29"/>
  <c r="J74" i="29" s="1"/>
  <c r="I39" i="33"/>
  <c r="J39" i="33" s="1"/>
  <c r="I68" i="29"/>
  <c r="J68" i="29" s="1"/>
  <c r="I53" i="29"/>
  <c r="J53" i="29" s="1"/>
  <c r="O53" i="29" s="1"/>
  <c r="I122" i="29"/>
  <c r="J122" i="29" s="1"/>
  <c r="I45" i="33"/>
  <c r="J45" i="33" s="1"/>
  <c r="I70" i="29"/>
  <c r="J70" i="29" s="1"/>
  <c r="I91" i="25"/>
  <c r="J91" i="25" s="1"/>
  <c r="I79" i="29"/>
  <c r="J79" i="29" s="1"/>
  <c r="I57" i="29"/>
  <c r="J57" i="29" s="1"/>
  <c r="O57" i="29" s="1"/>
  <c r="I21" i="29"/>
  <c r="J21" i="29" s="1"/>
  <c r="I78" i="25"/>
  <c r="J78" i="25" s="1"/>
  <c r="Z78" i="25" s="1"/>
  <c r="I96" i="33"/>
  <c r="J96" i="33" s="1"/>
  <c r="I36" i="25"/>
  <c r="J36" i="25" s="1"/>
  <c r="M36" i="25" s="1"/>
  <c r="I24" i="33"/>
  <c r="J24" i="33" s="1"/>
  <c r="I92" i="33"/>
  <c r="J92" i="33" s="1"/>
  <c r="I76" i="25"/>
  <c r="J76" i="25" s="1"/>
  <c r="Z76" i="25" s="1"/>
  <c r="I131" i="29"/>
  <c r="J131" i="29" s="1"/>
  <c r="I52" i="25"/>
  <c r="J52" i="25" s="1"/>
  <c r="I119" i="29"/>
  <c r="J119" i="29" s="1"/>
  <c r="I51" i="29"/>
  <c r="J51" i="29" s="1"/>
  <c r="O51" i="29" s="1"/>
  <c r="I100" i="29"/>
  <c r="J100" i="29" s="1"/>
  <c r="U100" i="29" s="1"/>
  <c r="U107" i="29" s="1"/>
  <c r="U109" i="29" s="1"/>
  <c r="I131" i="33"/>
  <c r="J131" i="33" s="1"/>
  <c r="I120" i="29"/>
  <c r="J120" i="29" s="1"/>
  <c r="I73" i="29"/>
  <c r="J73" i="29" s="1"/>
  <c r="I522" i="1"/>
  <c r="J522" i="1" s="1"/>
  <c r="I417" i="1"/>
  <c r="J417" i="1" s="1"/>
  <c r="I676" i="1"/>
  <c r="J676" i="1" s="1"/>
  <c r="I523" i="1"/>
  <c r="J523" i="1" s="1"/>
  <c r="I678" i="1"/>
  <c r="J678" i="1" s="1"/>
  <c r="I525" i="1"/>
  <c r="J525" i="1" s="1"/>
  <c r="I688" i="1"/>
  <c r="J688" i="1" s="1"/>
  <c r="I496" i="1"/>
  <c r="J496" i="1" s="1"/>
  <c r="I91" i="1"/>
  <c r="J91" i="1" s="1"/>
  <c r="I524" i="1"/>
  <c r="J524" i="1" s="1"/>
  <c r="I687" i="1"/>
  <c r="J687" i="1" s="1"/>
  <c r="I686" i="1"/>
  <c r="J686" i="1" s="1"/>
  <c r="I712" i="1"/>
  <c r="J712" i="1" s="1"/>
  <c r="I632" i="1"/>
  <c r="J632" i="1" s="1"/>
  <c r="I90" i="1"/>
  <c r="J90" i="1" s="1"/>
  <c r="I683" i="1"/>
  <c r="J683" i="1" s="1"/>
  <c r="I93" i="1"/>
  <c r="J93" i="1" s="1"/>
  <c r="W93" i="1" s="1"/>
  <c r="W97" i="1" s="1"/>
  <c r="W99" i="1" s="1"/>
  <c r="I656" i="1"/>
  <c r="J656" i="1" s="1"/>
  <c r="I521" i="1"/>
  <c r="J521" i="1" s="1"/>
  <c r="I677" i="1"/>
  <c r="J677" i="1" s="1"/>
  <c r="I597" i="1"/>
  <c r="J597" i="1" s="1"/>
  <c r="I680" i="1"/>
  <c r="J680" i="1" s="1"/>
  <c r="I414" i="1"/>
  <c r="J414" i="1" s="1"/>
  <c r="I80" i="1"/>
  <c r="J80" i="1" s="1"/>
  <c r="T80" i="1" s="1"/>
  <c r="I127" i="1"/>
  <c r="J127" i="1" s="1"/>
  <c r="I714" i="1"/>
  <c r="J714" i="1" s="1"/>
  <c r="I442" i="1"/>
  <c r="J442" i="1" s="1"/>
  <c r="I689" i="1"/>
  <c r="J689" i="1" s="1"/>
  <c r="I217" i="1"/>
  <c r="J217" i="1" s="1"/>
  <c r="Z217" i="1" s="1"/>
  <c r="I96" i="1"/>
  <c r="J96" i="1" s="1"/>
  <c r="I715" i="1"/>
  <c r="J715" i="1" s="1"/>
  <c r="I690" i="1"/>
  <c r="J690" i="1" s="1"/>
  <c r="I681" i="1"/>
  <c r="J681" i="1" s="1"/>
  <c r="I409" i="1"/>
  <c r="J409" i="1" s="1"/>
  <c r="I651" i="1"/>
  <c r="J651" i="1" s="1"/>
  <c r="I693" i="1"/>
  <c r="J693" i="1" s="1"/>
  <c r="I679" i="1"/>
  <c r="J679" i="1" s="1"/>
  <c r="I59" i="1"/>
  <c r="J59" i="1" s="1"/>
  <c r="I682" i="1"/>
  <c r="J682" i="1" s="1"/>
  <c r="I657" i="1"/>
  <c r="J657" i="1" s="1"/>
  <c r="I692" i="1"/>
  <c r="J692" i="1" s="1"/>
  <c r="I655" i="1"/>
  <c r="J655" i="1" s="1"/>
  <c r="I92" i="1"/>
  <c r="J92" i="1" s="1"/>
  <c r="I95" i="1"/>
  <c r="J95" i="1" s="1"/>
  <c r="I694" i="1"/>
  <c r="J694" i="1" s="1"/>
  <c r="I717" i="1"/>
  <c r="J717" i="1" s="1"/>
  <c r="I685" i="1"/>
  <c r="J685" i="1" s="1"/>
  <c r="I658" i="1"/>
  <c r="J658" i="1" s="1"/>
  <c r="I713" i="1"/>
  <c r="J713" i="1" s="1"/>
  <c r="I579" i="1"/>
  <c r="J579" i="1" s="1"/>
  <c r="I691" i="1"/>
  <c r="J691" i="1" s="1"/>
  <c r="I411" i="1"/>
  <c r="J411" i="1" s="1"/>
  <c r="H184" i="8"/>
  <c r="H185" i="8" s="1"/>
  <c r="G172" i="8"/>
  <c r="G505" i="22"/>
  <c r="J505" i="22" s="1"/>
  <c r="E200" i="1"/>
  <c r="K200" i="1" s="1"/>
  <c r="E176" i="1"/>
  <c r="K176" i="1" s="1"/>
  <c r="E175" i="1"/>
  <c r="K175" i="1" s="1"/>
  <c r="G434" i="22"/>
  <c r="J434" i="22" s="1"/>
  <c r="J436" i="22" s="1"/>
  <c r="E168" i="1" s="1"/>
  <c r="K168" i="1" s="1"/>
  <c r="E160" i="1"/>
  <c r="K160" i="1" s="1"/>
  <c r="H902" i="8"/>
  <c r="H903" i="8" s="1"/>
  <c r="H893" i="8" s="1"/>
  <c r="J153" i="1"/>
  <c r="H1131" i="8"/>
  <c r="H1132" i="8" s="1"/>
  <c r="H1122" i="8" s="1"/>
  <c r="J197" i="1"/>
  <c r="G504" i="22"/>
  <c r="J504" i="22" s="1"/>
  <c r="E151" i="1"/>
  <c r="K151" i="1" s="1"/>
  <c r="J504" i="1"/>
  <c r="J165" i="1"/>
  <c r="H199" i="8"/>
  <c r="H188" i="8" s="1"/>
  <c r="H200" i="8"/>
  <c r="H201" i="8" s="1"/>
  <c r="H216" i="8"/>
  <c r="H217" i="8" s="1"/>
  <c r="H4693" i="8"/>
  <c r="H4686" i="8" s="1"/>
  <c r="H4694" i="8"/>
  <c r="H4695" i="8" s="1"/>
  <c r="H1019" i="8"/>
  <c r="H1004" i="8"/>
  <c r="J666" i="1"/>
  <c r="J672" i="1"/>
  <c r="J631" i="1"/>
  <c r="J663" i="1"/>
  <c r="J664" i="1"/>
  <c r="J154" i="1"/>
  <c r="H215" i="8"/>
  <c r="H204" i="8" s="1"/>
  <c r="H183" i="8"/>
  <c r="H172" i="8" s="1"/>
  <c r="J509" i="22"/>
  <c r="E184" i="1" s="1"/>
  <c r="K184" i="1" s="1"/>
  <c r="Y713" i="1" l="1"/>
  <c r="U713" i="1"/>
  <c r="X713" i="1"/>
  <c r="W713" i="1"/>
  <c r="V713" i="1"/>
  <c r="W694" i="1"/>
  <c r="V694" i="1"/>
  <c r="Y694" i="1"/>
  <c r="U694" i="1"/>
  <c r="X694" i="1"/>
  <c r="Y692" i="1"/>
  <c r="U692" i="1"/>
  <c r="X692" i="1"/>
  <c r="W692" i="1"/>
  <c r="V692" i="1"/>
  <c r="Y679" i="1"/>
  <c r="U679" i="1"/>
  <c r="X679" i="1"/>
  <c r="W679" i="1"/>
  <c r="V679" i="1"/>
  <c r="W681" i="1"/>
  <c r="V681" i="1"/>
  <c r="Y681" i="1"/>
  <c r="U681" i="1"/>
  <c r="X681" i="1"/>
  <c r="Z220" i="1"/>
  <c r="X127" i="1"/>
  <c r="W127" i="1"/>
  <c r="V127" i="1"/>
  <c r="Y597" i="1"/>
  <c r="X597" i="1"/>
  <c r="W597" i="1"/>
  <c r="X712" i="1"/>
  <c r="W712" i="1"/>
  <c r="V712" i="1"/>
  <c r="Y712" i="1"/>
  <c r="U712" i="1"/>
  <c r="T91" i="1"/>
  <c r="S91" i="1"/>
  <c r="X678" i="1"/>
  <c r="W678" i="1"/>
  <c r="V678" i="1"/>
  <c r="Y678" i="1"/>
  <c r="U678" i="1"/>
  <c r="W522" i="1"/>
  <c r="Y522" i="1"/>
  <c r="T522" i="1"/>
  <c r="X522" i="1"/>
  <c r="V522" i="1"/>
  <c r="Z522" i="1"/>
  <c r="V131" i="29"/>
  <c r="U131" i="29"/>
  <c r="Z45" i="33"/>
  <c r="Y45" i="33"/>
  <c r="Z39" i="33"/>
  <c r="Y39" i="33"/>
  <c r="W143" i="33"/>
  <c r="V143" i="33"/>
  <c r="V145" i="33" s="1"/>
  <c r="U143" i="33"/>
  <c r="V129" i="29"/>
  <c r="U129" i="29"/>
  <c r="W93" i="33"/>
  <c r="V93" i="33"/>
  <c r="U93" i="33"/>
  <c r="T93" i="33"/>
  <c r="W78" i="33"/>
  <c r="V78" i="33"/>
  <c r="U78" i="33"/>
  <c r="T78" i="33"/>
  <c r="W105" i="33"/>
  <c r="V105" i="33"/>
  <c r="U105" i="33"/>
  <c r="T105" i="33"/>
  <c r="W76" i="33"/>
  <c r="V76" i="33"/>
  <c r="U76" i="33"/>
  <c r="T76" i="33"/>
  <c r="Z37" i="33"/>
  <c r="Y37" i="33"/>
  <c r="V130" i="33"/>
  <c r="U130" i="33"/>
  <c r="W130" i="33"/>
  <c r="U94" i="33"/>
  <c r="T94" i="33"/>
  <c r="W94" i="33"/>
  <c r="V94" i="33"/>
  <c r="Z47" i="33"/>
  <c r="Y47" i="33"/>
  <c r="T21" i="33"/>
  <c r="U21" i="33"/>
  <c r="U100" i="33"/>
  <c r="T100" i="33"/>
  <c r="W100" i="33"/>
  <c r="V100" i="33"/>
  <c r="W128" i="33"/>
  <c r="V128" i="33"/>
  <c r="U128" i="33"/>
  <c r="X61" i="33"/>
  <c r="V61" i="33"/>
  <c r="W61" i="33"/>
  <c r="U61" i="33"/>
  <c r="X56" i="33"/>
  <c r="W56" i="33"/>
  <c r="V56" i="33"/>
  <c r="U56" i="33"/>
  <c r="N37" i="29"/>
  <c r="V124" i="29"/>
  <c r="U124" i="29"/>
  <c r="U104" i="33"/>
  <c r="T104" i="33"/>
  <c r="W104" i="33"/>
  <c r="V104" i="33"/>
  <c r="Z36" i="33"/>
  <c r="Y36" i="33"/>
  <c r="V55" i="33"/>
  <c r="U55" i="33"/>
  <c r="X55" i="33"/>
  <c r="W55" i="33"/>
  <c r="N53" i="25"/>
  <c r="M53" i="25"/>
  <c r="T22" i="33"/>
  <c r="U22" i="33"/>
  <c r="V128" i="29"/>
  <c r="U128" i="29"/>
  <c r="I81" i="29"/>
  <c r="L81" i="29"/>
  <c r="W503" i="1"/>
  <c r="Y503" i="1"/>
  <c r="T503" i="1"/>
  <c r="V503" i="1"/>
  <c r="Z503" i="1"/>
  <c r="X503" i="1"/>
  <c r="L168" i="1"/>
  <c r="W487" i="1"/>
  <c r="Y487" i="1"/>
  <c r="T487" i="1"/>
  <c r="V487" i="1"/>
  <c r="Z487" i="1"/>
  <c r="X487" i="1"/>
  <c r="Y196" i="1"/>
  <c r="X196" i="1"/>
  <c r="Z196" i="1"/>
  <c r="W153" i="1"/>
  <c r="S153" i="1"/>
  <c r="V153" i="1"/>
  <c r="U153" i="1"/>
  <c r="T153" i="1"/>
  <c r="Y579" i="1"/>
  <c r="X579" i="1"/>
  <c r="Y655" i="1"/>
  <c r="U655" i="1"/>
  <c r="X655" i="1"/>
  <c r="W655" i="1"/>
  <c r="V655" i="1"/>
  <c r="X409" i="1"/>
  <c r="W409" i="1"/>
  <c r="Z409" i="1"/>
  <c r="V409" i="1"/>
  <c r="T409" i="1"/>
  <c r="Y409" i="1"/>
  <c r="V714" i="1"/>
  <c r="Y714" i="1"/>
  <c r="U714" i="1"/>
  <c r="X714" i="1"/>
  <c r="W714" i="1"/>
  <c r="V656" i="1"/>
  <c r="Y656" i="1"/>
  <c r="U656" i="1"/>
  <c r="X656" i="1"/>
  <c r="W656" i="1"/>
  <c r="W524" i="1"/>
  <c r="Y524" i="1"/>
  <c r="T524" i="1"/>
  <c r="Z524" i="1"/>
  <c r="V524" i="1"/>
  <c r="X524" i="1"/>
  <c r="Z417" i="1"/>
  <c r="V417" i="1"/>
  <c r="Y417" i="1"/>
  <c r="T417" i="1"/>
  <c r="X417" i="1"/>
  <c r="W417" i="1"/>
  <c r="N52" i="25"/>
  <c r="M52" i="25"/>
  <c r="M56" i="25" s="1"/>
  <c r="M58" i="25" s="1"/>
  <c r="Q68" i="29"/>
  <c r="R68" i="29"/>
  <c r="U88" i="33"/>
  <c r="T88" i="33"/>
  <c r="W88" i="33"/>
  <c r="V88" i="33"/>
  <c r="W135" i="33"/>
  <c r="V135" i="33"/>
  <c r="U135" i="33"/>
  <c r="W97" i="33"/>
  <c r="V97" i="33"/>
  <c r="U97" i="33"/>
  <c r="T97" i="33"/>
  <c r="W115" i="33"/>
  <c r="V115" i="33"/>
  <c r="U115" i="33"/>
  <c r="T115" i="33"/>
  <c r="X58" i="33"/>
  <c r="U58" i="33"/>
  <c r="W58" i="33"/>
  <c r="V58" i="33"/>
  <c r="V123" i="29"/>
  <c r="U123" i="29"/>
  <c r="V118" i="29"/>
  <c r="U118" i="29"/>
  <c r="V126" i="33"/>
  <c r="U126" i="33"/>
  <c r="W126" i="33"/>
  <c r="U77" i="33"/>
  <c r="T77" i="33"/>
  <c r="W77" i="33"/>
  <c r="V77" i="33"/>
  <c r="X63" i="33"/>
  <c r="W63" i="33"/>
  <c r="V63" i="33"/>
  <c r="U63" i="33"/>
  <c r="W132" i="33"/>
  <c r="V132" i="33"/>
  <c r="U132" i="33"/>
  <c r="U134" i="33"/>
  <c r="W134" i="33"/>
  <c r="V134" i="33"/>
  <c r="U127" i="33"/>
  <c r="W127" i="33"/>
  <c r="V127" i="33"/>
  <c r="I665" i="1"/>
  <c r="L665" i="1"/>
  <c r="T154" i="1"/>
  <c r="W154" i="1"/>
  <c r="S154" i="1"/>
  <c r="V154" i="1"/>
  <c r="U154" i="1"/>
  <c r="W672" i="1"/>
  <c r="V672" i="1"/>
  <c r="Y672" i="1"/>
  <c r="U672" i="1"/>
  <c r="X672" i="1"/>
  <c r="W664" i="1"/>
  <c r="V664" i="1"/>
  <c r="Y664" i="1"/>
  <c r="U664" i="1"/>
  <c r="X664" i="1"/>
  <c r="V165" i="1"/>
  <c r="Y165" i="1"/>
  <c r="U165" i="1"/>
  <c r="X165" i="1"/>
  <c r="W165" i="1"/>
  <c r="X197" i="1"/>
  <c r="Z197" i="1"/>
  <c r="Y197" i="1"/>
  <c r="X411" i="1"/>
  <c r="W411" i="1"/>
  <c r="Z411" i="1"/>
  <c r="V411" i="1"/>
  <c r="Y411" i="1"/>
  <c r="T411" i="1"/>
  <c r="X658" i="1"/>
  <c r="W658" i="1"/>
  <c r="V658" i="1"/>
  <c r="Y658" i="1"/>
  <c r="U658" i="1"/>
  <c r="T95" i="1"/>
  <c r="S95" i="1"/>
  <c r="W657" i="1"/>
  <c r="V657" i="1"/>
  <c r="Y657" i="1"/>
  <c r="U657" i="1"/>
  <c r="X657" i="1"/>
  <c r="V693" i="1"/>
  <c r="Y693" i="1"/>
  <c r="U693" i="1"/>
  <c r="X693" i="1"/>
  <c r="W693" i="1"/>
  <c r="W690" i="1"/>
  <c r="V690" i="1"/>
  <c r="Y690" i="1"/>
  <c r="U690" i="1"/>
  <c r="X690" i="1"/>
  <c r="V689" i="1"/>
  <c r="Y689" i="1"/>
  <c r="U689" i="1"/>
  <c r="X689" i="1"/>
  <c r="W689" i="1"/>
  <c r="W677" i="1"/>
  <c r="V677" i="1"/>
  <c r="Y677" i="1"/>
  <c r="U677" i="1"/>
  <c r="X677" i="1"/>
  <c r="Y683" i="1"/>
  <c r="U683" i="1"/>
  <c r="X683" i="1"/>
  <c r="W683" i="1"/>
  <c r="V683" i="1"/>
  <c r="W686" i="1"/>
  <c r="V686" i="1"/>
  <c r="Y686" i="1"/>
  <c r="U686" i="1"/>
  <c r="X686" i="1"/>
  <c r="W496" i="1"/>
  <c r="Y496" i="1"/>
  <c r="T496" i="1"/>
  <c r="Z496" i="1"/>
  <c r="V496" i="1"/>
  <c r="X496" i="1"/>
  <c r="W523" i="1"/>
  <c r="Y523" i="1"/>
  <c r="T523" i="1"/>
  <c r="V523" i="1"/>
  <c r="Z523" i="1"/>
  <c r="X523" i="1"/>
  <c r="R73" i="29"/>
  <c r="Q73" i="29"/>
  <c r="U96" i="33"/>
  <c r="T96" i="33"/>
  <c r="W96" i="33"/>
  <c r="V96" i="33"/>
  <c r="Q79" i="29"/>
  <c r="R79" i="29"/>
  <c r="V122" i="29"/>
  <c r="U122" i="29"/>
  <c r="R74" i="29"/>
  <c r="Q74" i="29"/>
  <c r="V57" i="33"/>
  <c r="U57" i="33"/>
  <c r="X57" i="33"/>
  <c r="W57" i="33"/>
  <c r="W89" i="33"/>
  <c r="V89" i="33"/>
  <c r="U89" i="33"/>
  <c r="T89" i="33"/>
  <c r="W129" i="33"/>
  <c r="V129" i="33"/>
  <c r="U129" i="33"/>
  <c r="Z46" i="33"/>
  <c r="Y46" i="33"/>
  <c r="Q67" i="29"/>
  <c r="R67" i="29"/>
  <c r="X54" i="33"/>
  <c r="W54" i="33"/>
  <c r="V54" i="33"/>
  <c r="U54" i="33"/>
  <c r="Z40" i="33"/>
  <c r="Y40" i="33"/>
  <c r="U106" i="33"/>
  <c r="T106" i="33"/>
  <c r="W106" i="33"/>
  <c r="V106" i="33"/>
  <c r="U82" i="33"/>
  <c r="T82" i="33"/>
  <c r="W82" i="33"/>
  <c r="V82" i="33"/>
  <c r="V133" i="29"/>
  <c r="U133" i="29"/>
  <c r="W113" i="33"/>
  <c r="V113" i="33"/>
  <c r="U113" i="33"/>
  <c r="T113" i="33"/>
  <c r="V53" i="33"/>
  <c r="U53" i="33"/>
  <c r="X53" i="33"/>
  <c r="W53" i="33"/>
  <c r="W111" i="33"/>
  <c r="V111" i="33"/>
  <c r="U111" i="33"/>
  <c r="T111" i="33"/>
  <c r="V126" i="29"/>
  <c r="U126" i="29"/>
  <c r="W107" i="33"/>
  <c r="V107" i="33"/>
  <c r="U107" i="33"/>
  <c r="T107" i="33"/>
  <c r="W144" i="33"/>
  <c r="V144" i="33"/>
  <c r="U144" i="33"/>
  <c r="Q69" i="29"/>
  <c r="R69" i="29"/>
  <c r="R75" i="29"/>
  <c r="Q75" i="29"/>
  <c r="U102" i="33"/>
  <c r="T102" i="33"/>
  <c r="W102" i="33"/>
  <c r="V102" i="33"/>
  <c r="V117" i="29"/>
  <c r="U117" i="29"/>
  <c r="V51" i="33"/>
  <c r="U51" i="33"/>
  <c r="X51" i="33"/>
  <c r="X64" i="33" s="1"/>
  <c r="W51" i="33"/>
  <c r="U114" i="33"/>
  <c r="T114" i="33"/>
  <c r="W114" i="33"/>
  <c r="V114" i="33"/>
  <c r="U108" i="33"/>
  <c r="T108" i="33"/>
  <c r="W108" i="33"/>
  <c r="V108" i="33"/>
  <c r="W125" i="33"/>
  <c r="V125" i="33"/>
  <c r="U125" i="33"/>
  <c r="W83" i="33"/>
  <c r="V83" i="33"/>
  <c r="U83" i="33"/>
  <c r="T83" i="33"/>
  <c r="I76" i="29"/>
  <c r="L76" i="29"/>
  <c r="L151" i="1"/>
  <c r="L160" i="1"/>
  <c r="X631" i="1"/>
  <c r="W631" i="1"/>
  <c r="Y631" i="1"/>
  <c r="V717" i="1"/>
  <c r="Y717" i="1"/>
  <c r="U717" i="1"/>
  <c r="X717" i="1"/>
  <c r="W717" i="1"/>
  <c r="O59" i="1"/>
  <c r="P59" i="1"/>
  <c r="T96" i="1"/>
  <c r="S96" i="1"/>
  <c r="V680" i="1"/>
  <c r="Y680" i="1"/>
  <c r="U680" i="1"/>
  <c r="X680" i="1"/>
  <c r="W680" i="1"/>
  <c r="W632" i="1"/>
  <c r="Y632" i="1"/>
  <c r="X632" i="1"/>
  <c r="W525" i="1"/>
  <c r="Y525" i="1"/>
  <c r="T525" i="1"/>
  <c r="Z525" i="1"/>
  <c r="X525" i="1"/>
  <c r="V525" i="1"/>
  <c r="U131" i="33"/>
  <c r="W131" i="33"/>
  <c r="V131" i="33"/>
  <c r="T24" i="33"/>
  <c r="U24" i="33"/>
  <c r="Q70" i="29"/>
  <c r="R70" i="29"/>
  <c r="S25" i="25"/>
  <c r="Y25" i="25"/>
  <c r="X25" i="25"/>
  <c r="N25" i="25"/>
  <c r="Z25" i="25"/>
  <c r="W25" i="25"/>
  <c r="R25" i="25"/>
  <c r="U25" i="25"/>
  <c r="V25" i="25"/>
  <c r="O25" i="25"/>
  <c r="Q25" i="25"/>
  <c r="P25" i="25"/>
  <c r="M25" i="25"/>
  <c r="T25" i="25"/>
  <c r="Y102" i="25"/>
  <c r="U102" i="25"/>
  <c r="X102" i="25"/>
  <c r="T102" i="25"/>
  <c r="W102" i="25"/>
  <c r="S102" i="25"/>
  <c r="Z102" i="25"/>
  <c r="V102" i="25"/>
  <c r="U98" i="33"/>
  <c r="T98" i="33"/>
  <c r="W98" i="33"/>
  <c r="V98" i="33"/>
  <c r="V62" i="33"/>
  <c r="X62" i="33"/>
  <c r="W62" i="33"/>
  <c r="U62" i="33"/>
  <c r="U90" i="33"/>
  <c r="T90" i="33"/>
  <c r="W90" i="33"/>
  <c r="V90" i="33"/>
  <c r="U112" i="33"/>
  <c r="T112" i="33"/>
  <c r="W112" i="33"/>
  <c r="V112" i="33"/>
  <c r="Q78" i="29"/>
  <c r="R78" i="29"/>
  <c r="N55" i="25"/>
  <c r="M55" i="25"/>
  <c r="V125" i="29"/>
  <c r="U125" i="29"/>
  <c r="Z38" i="33"/>
  <c r="Y38" i="33"/>
  <c r="Y666" i="1"/>
  <c r="U666" i="1"/>
  <c r="X666" i="1"/>
  <c r="W666" i="1"/>
  <c r="V666" i="1"/>
  <c r="V663" i="1"/>
  <c r="Y663" i="1"/>
  <c r="U663" i="1"/>
  <c r="X663" i="1"/>
  <c r="W663" i="1"/>
  <c r="W504" i="1"/>
  <c r="Y504" i="1"/>
  <c r="T504" i="1"/>
  <c r="Z504" i="1"/>
  <c r="V504" i="1"/>
  <c r="X504" i="1"/>
  <c r="X691" i="1"/>
  <c r="W691" i="1"/>
  <c r="V691" i="1"/>
  <c r="Y691" i="1"/>
  <c r="U691" i="1"/>
  <c r="V685" i="1"/>
  <c r="Y685" i="1"/>
  <c r="U685" i="1"/>
  <c r="X685" i="1"/>
  <c r="W685" i="1"/>
  <c r="T92" i="1"/>
  <c r="S92" i="1"/>
  <c r="X682" i="1"/>
  <c r="W682" i="1"/>
  <c r="V682" i="1"/>
  <c r="Y682" i="1"/>
  <c r="U682" i="1"/>
  <c r="Z651" i="1"/>
  <c r="Z652" i="1" s="1"/>
  <c r="Z720" i="1" s="1"/>
  <c r="Y651" i="1"/>
  <c r="Y652" i="1" s="1"/>
  <c r="W715" i="1"/>
  <c r="V715" i="1"/>
  <c r="Y715" i="1"/>
  <c r="U715" i="1"/>
  <c r="X715" i="1"/>
  <c r="Z442" i="1"/>
  <c r="V442" i="1"/>
  <c r="Y442" i="1"/>
  <c r="X442" i="1"/>
  <c r="W442" i="1"/>
  <c r="T442" i="1"/>
  <c r="X414" i="1"/>
  <c r="W414" i="1"/>
  <c r="Z414" i="1"/>
  <c r="V414" i="1"/>
  <c r="Y414" i="1"/>
  <c r="T414" i="1"/>
  <c r="W521" i="1"/>
  <c r="Y521" i="1"/>
  <c r="T521" i="1"/>
  <c r="Z521" i="1"/>
  <c r="X521" i="1"/>
  <c r="V521" i="1"/>
  <c r="T90" i="1"/>
  <c r="S90" i="1"/>
  <c r="X687" i="1"/>
  <c r="W687" i="1"/>
  <c r="V687" i="1"/>
  <c r="Y687" i="1"/>
  <c r="U687" i="1"/>
  <c r="Y688" i="1"/>
  <c r="U688" i="1"/>
  <c r="X688" i="1"/>
  <c r="W688" i="1"/>
  <c r="V688" i="1"/>
  <c r="V676" i="1"/>
  <c r="Y676" i="1"/>
  <c r="U676" i="1"/>
  <c r="X676" i="1"/>
  <c r="W676" i="1"/>
  <c r="V120" i="29"/>
  <c r="U120" i="29"/>
  <c r="V119" i="29"/>
  <c r="U119" i="29"/>
  <c r="U92" i="33"/>
  <c r="T92" i="33"/>
  <c r="W92" i="33"/>
  <c r="V92" i="33"/>
  <c r="V115" i="29"/>
  <c r="U115" i="29"/>
  <c r="M44" i="25"/>
  <c r="U110" i="33"/>
  <c r="T110" i="33"/>
  <c r="W110" i="33"/>
  <c r="V110" i="33"/>
  <c r="T23" i="33"/>
  <c r="U23" i="33"/>
  <c r="W101" i="25"/>
  <c r="W103" i="25" s="1"/>
  <c r="W105" i="25" s="1"/>
  <c r="S101" i="25"/>
  <c r="S103" i="25" s="1"/>
  <c r="S105" i="25" s="1"/>
  <c r="Z101" i="25"/>
  <c r="Z103" i="25" s="1"/>
  <c r="Z105" i="25" s="1"/>
  <c r="V101" i="25"/>
  <c r="X101" i="25"/>
  <c r="X103" i="25" s="1"/>
  <c r="X105" i="25" s="1"/>
  <c r="Y101" i="25"/>
  <c r="Y103" i="25" s="1"/>
  <c r="Y105" i="25" s="1"/>
  <c r="U101" i="25"/>
  <c r="U103" i="25" s="1"/>
  <c r="U105" i="25" s="1"/>
  <c r="T101" i="25"/>
  <c r="N54" i="25"/>
  <c r="M54" i="25"/>
  <c r="X60" i="33"/>
  <c r="W60" i="33"/>
  <c r="V60" i="33"/>
  <c r="U60" i="33"/>
  <c r="V116" i="29"/>
  <c r="U116" i="29"/>
  <c r="Q80" i="29"/>
  <c r="R80" i="29"/>
  <c r="Z84" i="25"/>
  <c r="Z86" i="25" s="1"/>
  <c r="W109" i="33"/>
  <c r="V109" i="33"/>
  <c r="U109" i="33"/>
  <c r="T109" i="33"/>
  <c r="W138" i="33"/>
  <c r="V138" i="33"/>
  <c r="U138" i="33"/>
  <c r="W81" i="33"/>
  <c r="V81" i="33"/>
  <c r="U81" i="33"/>
  <c r="T81" i="33"/>
  <c r="U80" i="33"/>
  <c r="T80" i="33"/>
  <c r="W80" i="33"/>
  <c r="V80" i="33"/>
  <c r="T104" i="29"/>
  <c r="S104" i="29"/>
  <c r="X52" i="33"/>
  <c r="W52" i="33"/>
  <c r="V52" i="33"/>
  <c r="U52" i="33"/>
  <c r="V59" i="33"/>
  <c r="X59" i="33"/>
  <c r="W59" i="33"/>
  <c r="U59" i="33"/>
  <c r="W101" i="33"/>
  <c r="V101" i="33"/>
  <c r="U101" i="33"/>
  <c r="T101" i="33"/>
  <c r="I746" i="1"/>
  <c r="L746" i="1"/>
  <c r="I745" i="1"/>
  <c r="L745" i="1"/>
  <c r="L175" i="1"/>
  <c r="H60" i="29"/>
  <c r="J97" i="25"/>
  <c r="J68" i="25"/>
  <c r="J145" i="33"/>
  <c r="J44" i="25"/>
  <c r="J153" i="33"/>
  <c r="J155" i="33" s="1"/>
  <c r="U156" i="33" s="1"/>
  <c r="J109" i="25"/>
  <c r="J116" i="33"/>
  <c r="J23" i="29"/>
  <c r="J25" i="29" s="1"/>
  <c r="J103" i="25"/>
  <c r="J64" i="25"/>
  <c r="J64" i="33"/>
  <c r="J29" i="33"/>
  <c r="J56" i="25"/>
  <c r="J48" i="33"/>
  <c r="J84" i="33"/>
  <c r="J25" i="33"/>
  <c r="J84" i="25"/>
  <c r="J35" i="29"/>
  <c r="J31" i="29"/>
  <c r="H1144" i="8"/>
  <c r="H989" i="8"/>
  <c r="E171" i="1"/>
  <c r="J652" i="1"/>
  <c r="J220" i="1"/>
  <c r="J97" i="1"/>
  <c r="E174" i="1"/>
  <c r="J91" i="29"/>
  <c r="T91" i="29" s="1"/>
  <c r="J81" i="29"/>
  <c r="J90" i="29"/>
  <c r="T90" i="29" s="1"/>
  <c r="J593" i="1"/>
  <c r="J667" i="1"/>
  <c r="J741" i="1"/>
  <c r="I60" i="29" l="1"/>
  <c r="L60" i="29"/>
  <c r="T103" i="25"/>
  <c r="T105" i="25" s="1"/>
  <c r="V103" i="25"/>
  <c r="V105" i="25" s="1"/>
  <c r="S97" i="1"/>
  <c r="S99" i="1" s="1"/>
  <c r="U64" i="33"/>
  <c r="U70" i="33" s="1"/>
  <c r="T97" i="1"/>
  <c r="U116" i="33"/>
  <c r="N56" i="25"/>
  <c r="N58" i="25" s="1"/>
  <c r="N59" i="25" s="1"/>
  <c r="T25" i="33"/>
  <c r="T31" i="33" s="1"/>
  <c r="T84" i="33"/>
  <c r="W145" i="33"/>
  <c r="Z48" i="33"/>
  <c r="U741" i="1"/>
  <c r="T741" i="1"/>
  <c r="Y741" i="1"/>
  <c r="T116" i="33"/>
  <c r="W84" i="33"/>
  <c r="Y48" i="33"/>
  <c r="V667" i="1"/>
  <c r="Y667" i="1"/>
  <c r="U667" i="1"/>
  <c r="X667" i="1"/>
  <c r="W667" i="1"/>
  <c r="Y593" i="1"/>
  <c r="X593" i="1"/>
  <c r="V64" i="33"/>
  <c r="V70" i="33" s="1"/>
  <c r="V116" i="33"/>
  <c r="U84" i="33"/>
  <c r="Q81" i="29"/>
  <c r="R81" i="29"/>
  <c r="X156" i="33"/>
  <c r="Z156" i="33"/>
  <c r="Y156" i="33"/>
  <c r="M156" i="33"/>
  <c r="O156" i="33"/>
  <c r="N156" i="33"/>
  <c r="S156" i="33"/>
  <c r="V156" i="33"/>
  <c r="P156" i="33"/>
  <c r="Q156" i="33"/>
  <c r="W156" i="33"/>
  <c r="R156" i="33"/>
  <c r="T156" i="33"/>
  <c r="U25" i="33"/>
  <c r="U31" i="33" s="1"/>
  <c r="U32" i="33" s="1"/>
  <c r="K174" i="1"/>
  <c r="L174" i="1"/>
  <c r="K171" i="1"/>
  <c r="L171" i="1"/>
  <c r="W64" i="33"/>
  <c r="V84" i="33"/>
  <c r="W116" i="33"/>
  <c r="W118" i="33" s="1"/>
  <c r="U145" i="33"/>
  <c r="J105" i="25"/>
  <c r="J58" i="25"/>
  <c r="J86" i="25"/>
  <c r="J37" i="29"/>
  <c r="J31" i="33"/>
  <c r="J118" i="33"/>
  <c r="J21" i="1"/>
  <c r="M21" i="1" s="1"/>
  <c r="M22" i="1" s="1"/>
  <c r="M29" i="1" s="1"/>
  <c r="J746" i="1"/>
  <c r="J743" i="1"/>
  <c r="J60" i="29"/>
  <c r="O60" i="29" s="1"/>
  <c r="J665" i="1"/>
  <c r="Y87" i="25" l="1"/>
  <c r="W87" i="25"/>
  <c r="T87" i="25"/>
  <c r="Q87" i="25"/>
  <c r="M87" i="25"/>
  <c r="U87" i="25"/>
  <c r="N87" i="25"/>
  <c r="X87" i="25"/>
  <c r="R87" i="25"/>
  <c r="S87" i="25"/>
  <c r="O87" i="25"/>
  <c r="V87" i="25"/>
  <c r="P87" i="25"/>
  <c r="T746" i="1"/>
  <c r="Y746" i="1"/>
  <c r="U746" i="1"/>
  <c r="P32" i="33"/>
  <c r="V32" i="33"/>
  <c r="Q32" i="33"/>
  <c r="R32" i="33"/>
  <c r="Z32" i="33"/>
  <c r="N32" i="33"/>
  <c r="M32" i="33"/>
  <c r="W32" i="33"/>
  <c r="X32" i="33"/>
  <c r="O32" i="33"/>
  <c r="Y32" i="33"/>
  <c r="S32" i="33"/>
  <c r="O59" i="25"/>
  <c r="S59" i="25"/>
  <c r="Z59" i="25"/>
  <c r="Q59" i="25"/>
  <c r="W59" i="25"/>
  <c r="U59" i="25"/>
  <c r="R59" i="25"/>
  <c r="Y59" i="25"/>
  <c r="V59" i="25"/>
  <c r="T59" i="25"/>
  <c r="X59" i="25"/>
  <c r="P59" i="25"/>
  <c r="Z87" i="25"/>
  <c r="T118" i="33"/>
  <c r="T119" i="33" s="1"/>
  <c r="T32" i="33"/>
  <c r="U118" i="33"/>
  <c r="U119" i="33" s="1"/>
  <c r="V38" i="29"/>
  <c r="Z38" i="29"/>
  <c r="O38" i="29"/>
  <c r="Q38" i="29"/>
  <c r="S38" i="29"/>
  <c r="U38" i="29"/>
  <c r="W38" i="29"/>
  <c r="R38" i="29"/>
  <c r="Y38" i="29"/>
  <c r="M38" i="29"/>
  <c r="T38" i="29"/>
  <c r="X38" i="29"/>
  <c r="P38" i="29"/>
  <c r="N38" i="29"/>
  <c r="Y743" i="1"/>
  <c r="U743" i="1"/>
  <c r="T743" i="1"/>
  <c r="M119" i="33"/>
  <c r="O119" i="33"/>
  <c r="Y119" i="33"/>
  <c r="Q119" i="33"/>
  <c r="S119" i="33"/>
  <c r="P119" i="33"/>
  <c r="X119" i="33"/>
  <c r="Z119" i="33"/>
  <c r="N119" i="33"/>
  <c r="R119" i="33"/>
  <c r="X665" i="1"/>
  <c r="W665" i="1"/>
  <c r="V665" i="1"/>
  <c r="Y665" i="1"/>
  <c r="U665" i="1"/>
  <c r="W119" i="33"/>
  <c r="V118" i="33"/>
  <c r="V119" i="33" s="1"/>
  <c r="M59" i="25"/>
  <c r="J110" i="25"/>
  <c r="J22" i="1"/>
  <c r="J745" i="1"/>
  <c r="J71" i="29"/>
  <c r="J45" i="29"/>
  <c r="N45" i="29" s="1"/>
  <c r="N63" i="29" s="1"/>
  <c r="N84" i="29" s="1"/>
  <c r="J76" i="29"/>
  <c r="Q71" i="29" l="1"/>
  <c r="Q82" i="29" s="1"/>
  <c r="Q84" i="29" s="1"/>
  <c r="R71" i="29"/>
  <c r="R82" i="29" s="1"/>
  <c r="R84" i="29" s="1"/>
  <c r="U745" i="1"/>
  <c r="T745" i="1"/>
  <c r="Y745" i="1"/>
  <c r="R76" i="29"/>
  <c r="Q76" i="29"/>
  <c r="J82" i="29"/>
  <c r="J136" i="33" l="1"/>
  <c r="J41" i="33"/>
  <c r="Z41" i="33" l="1"/>
  <c r="Z42" i="33" s="1"/>
  <c r="Z70" i="33" s="1"/>
  <c r="Y41" i="33"/>
  <c r="Y42" i="33" s="1"/>
  <c r="Y70" i="33" s="1"/>
  <c r="W136" i="33"/>
  <c r="V136" i="33"/>
  <c r="U136" i="33"/>
  <c r="J42" i="33"/>
  <c r="J46" i="1" l="1"/>
  <c r="N46" i="1" l="1"/>
  <c r="O46" i="1"/>
  <c r="J382" i="1"/>
  <c r="J436" i="1"/>
  <c r="Z436" i="1" l="1"/>
  <c r="V436" i="1"/>
  <c r="Y436" i="1"/>
  <c r="X436" i="1"/>
  <c r="W436" i="1"/>
  <c r="T436" i="1"/>
  <c r="U382" i="1"/>
  <c r="T382" i="1"/>
  <c r="V382" i="1"/>
  <c r="S382" i="1"/>
  <c r="P382" i="1"/>
  <c r="J84" i="1"/>
  <c r="J83" i="1"/>
  <c r="R84" i="1" l="1"/>
  <c r="Q84" i="1"/>
  <c r="R83" i="1"/>
  <c r="Q83" i="1"/>
  <c r="J115" i="1"/>
  <c r="J141" i="1"/>
  <c r="J105" i="1"/>
  <c r="J114" i="1"/>
  <c r="J107" i="1"/>
  <c r="J108" i="1"/>
  <c r="J48" i="1"/>
  <c r="J43" i="1"/>
  <c r="J62" i="1"/>
  <c r="J54" i="1"/>
  <c r="J34" i="1"/>
  <c r="N34" i="1" s="1"/>
  <c r="N35" i="1" s="1"/>
  <c r="N37" i="1" s="1"/>
  <c r="J51" i="1"/>
  <c r="J53" i="1"/>
  <c r="J25" i="1"/>
  <c r="N25" i="1" s="1"/>
  <c r="N27" i="1" s="1"/>
  <c r="N29" i="1" s="1"/>
  <c r="J75" i="1"/>
  <c r="R75" i="1" s="1"/>
  <c r="J67" i="1"/>
  <c r="J26" i="1"/>
  <c r="N26" i="1" s="1"/>
  <c r="J66" i="1"/>
  <c r="J64" i="1"/>
  <c r="J52" i="1"/>
  <c r="J55" i="1"/>
  <c r="J58" i="1"/>
  <c r="J63" i="1"/>
  <c r="J79" i="1"/>
  <c r="T79" i="1" s="1"/>
  <c r="J49" i="1"/>
  <c r="J61" i="1"/>
  <c r="J65" i="1"/>
  <c r="J47" i="1"/>
  <c r="J76" i="1"/>
  <c r="R76" i="1" s="1"/>
  <c r="J60" i="1"/>
  <c r="J74" i="1"/>
  <c r="R74" i="1" s="1"/>
  <c r="J44" i="1"/>
  <c r="O51" i="1" l="1"/>
  <c r="P51" i="1"/>
  <c r="W114" i="1"/>
  <c r="V114" i="1"/>
  <c r="O63" i="1"/>
  <c r="P63" i="1"/>
  <c r="N48" i="1"/>
  <c r="O48" i="1"/>
  <c r="S105" i="1"/>
  <c r="R105" i="1"/>
  <c r="T105" i="1"/>
  <c r="N47" i="1"/>
  <c r="O47" i="1"/>
  <c r="O52" i="1"/>
  <c r="P52" i="1"/>
  <c r="O67" i="1"/>
  <c r="P67" i="1"/>
  <c r="O64" i="1"/>
  <c r="P64" i="1"/>
  <c r="O60" i="1"/>
  <c r="P60" i="1"/>
  <c r="O61" i="1"/>
  <c r="P61" i="1"/>
  <c r="O58" i="1"/>
  <c r="P58" i="1"/>
  <c r="O66" i="1"/>
  <c r="P66" i="1"/>
  <c r="P54" i="1"/>
  <c r="O54" i="1"/>
  <c r="T108" i="1"/>
  <c r="S108" i="1"/>
  <c r="R108" i="1"/>
  <c r="Y141" i="1"/>
  <c r="Z141" i="1"/>
  <c r="N44" i="1"/>
  <c r="O44" i="1"/>
  <c r="N43" i="1"/>
  <c r="N70" i="1" s="1"/>
  <c r="N99" i="1" s="1"/>
  <c r="O43" i="1"/>
  <c r="O65" i="1"/>
  <c r="P65" i="1"/>
  <c r="N49" i="1"/>
  <c r="O49" i="1"/>
  <c r="O55" i="1"/>
  <c r="P55" i="1"/>
  <c r="O53" i="1"/>
  <c r="P53" i="1"/>
  <c r="O62" i="1"/>
  <c r="P62" i="1"/>
  <c r="T107" i="1"/>
  <c r="S107" i="1"/>
  <c r="R107" i="1"/>
  <c r="W115" i="1"/>
  <c r="V115" i="1"/>
  <c r="J139" i="1"/>
  <c r="J140" i="1"/>
  <c r="J111" i="1"/>
  <c r="J112" i="1"/>
  <c r="J553" i="1"/>
  <c r="J428" i="1"/>
  <c r="J463" i="1"/>
  <c r="J364" i="1"/>
  <c r="J274" i="1"/>
  <c r="J27" i="1"/>
  <c r="J29" i="1" s="1"/>
  <c r="J106" i="1"/>
  <c r="J35" i="1"/>
  <c r="J37" i="1" s="1"/>
  <c r="W30" i="1" l="1"/>
  <c r="V30" i="1"/>
  <c r="R30" i="1"/>
  <c r="S30" i="1"/>
  <c r="Z30" i="1"/>
  <c r="O30" i="1"/>
  <c r="U30" i="1"/>
  <c r="Q30" i="1"/>
  <c r="Y30" i="1"/>
  <c r="T30" i="1"/>
  <c r="X30" i="1"/>
  <c r="P30" i="1"/>
  <c r="M30" i="1"/>
  <c r="Z428" i="1"/>
  <c r="V428" i="1"/>
  <c r="Y428" i="1"/>
  <c r="X428" i="1"/>
  <c r="W428" i="1"/>
  <c r="T428" i="1"/>
  <c r="Y140" i="1"/>
  <c r="Z140" i="1"/>
  <c r="T274" i="1"/>
  <c r="W274" i="1"/>
  <c r="S274" i="1"/>
  <c r="V274" i="1"/>
  <c r="U274" i="1"/>
  <c r="P274" i="1"/>
  <c r="Y139" i="1"/>
  <c r="Z139" i="1"/>
  <c r="N30" i="1"/>
  <c r="R106" i="1"/>
  <c r="T106" i="1"/>
  <c r="S106" i="1"/>
  <c r="W463" i="1"/>
  <c r="Z463" i="1"/>
  <c r="V463" i="1"/>
  <c r="Y463" i="1"/>
  <c r="X463" i="1"/>
  <c r="T463" i="1"/>
  <c r="T111" i="1"/>
  <c r="S111" i="1"/>
  <c r="R111" i="1"/>
  <c r="U553" i="1"/>
  <c r="V553" i="1"/>
  <c r="S364" i="1"/>
  <c r="V364" i="1"/>
  <c r="P364" i="1"/>
  <c r="U364" i="1"/>
  <c r="T364" i="1"/>
  <c r="T112" i="1"/>
  <c r="S112" i="1"/>
  <c r="R112" i="1"/>
  <c r="J357" i="1"/>
  <c r="J328" i="1"/>
  <c r="J611" i="1"/>
  <c r="J640" i="1"/>
  <c r="V640" i="1" s="1"/>
  <c r="J598" i="1"/>
  <c r="J641" i="1"/>
  <c r="V641" i="1" s="1"/>
  <c r="J707" i="1"/>
  <c r="J738" i="1"/>
  <c r="J698" i="1"/>
  <c r="J735" i="1"/>
  <c r="J674" i="1"/>
  <c r="J587" i="1"/>
  <c r="J727" i="1"/>
  <c r="J710" i="1"/>
  <c r="J709" i="1"/>
  <c r="J701" i="1"/>
  <c r="J610" i="1"/>
  <c r="J703" i="1"/>
  <c r="J730" i="1"/>
  <c r="J702" i="1"/>
  <c r="J671" i="1"/>
  <c r="J618" i="1"/>
  <c r="J736" i="1"/>
  <c r="J637" i="1"/>
  <c r="V637" i="1" s="1"/>
  <c r="J742" i="1"/>
  <c r="J620" i="1"/>
  <c r="J607" i="1"/>
  <c r="J696" i="1"/>
  <c r="J554" i="1"/>
  <c r="J281" i="1"/>
  <c r="J383" i="1"/>
  <c r="J305" i="1"/>
  <c r="J198" i="1"/>
  <c r="J297" i="1"/>
  <c r="J366" i="1"/>
  <c r="J184" i="1"/>
  <c r="J326" i="1"/>
  <c r="J301" i="1"/>
  <c r="J256" i="1"/>
  <c r="J441" i="1"/>
  <c r="J280" i="1"/>
  <c r="J270" i="1"/>
  <c r="J462" i="1"/>
  <c r="J275" i="1"/>
  <c r="J253" i="1"/>
  <c r="J545" i="1"/>
  <c r="J458" i="1"/>
  <c r="J265" i="1"/>
  <c r="J273" i="1"/>
  <c r="J381" i="1"/>
  <c r="J230" i="1"/>
  <c r="J429" i="1"/>
  <c r="J315" i="1"/>
  <c r="J455" i="1"/>
  <c r="J267" i="1"/>
  <c r="J254" i="1"/>
  <c r="J330" i="1"/>
  <c r="J306" i="1"/>
  <c r="J559" i="1"/>
  <c r="J434" i="1"/>
  <c r="J384" i="1"/>
  <c r="J333" i="1"/>
  <c r="J161" i="1"/>
  <c r="J209" i="1"/>
  <c r="J433" i="1"/>
  <c r="J237" i="1"/>
  <c r="J394" i="1"/>
  <c r="J304" i="1"/>
  <c r="J302" i="1"/>
  <c r="J347" i="1"/>
  <c r="J238" i="1"/>
  <c r="J278" i="1"/>
  <c r="J186" i="1"/>
  <c r="J299" i="1"/>
  <c r="J359" i="1"/>
  <c r="J158" i="1"/>
  <c r="J440" i="1"/>
  <c r="J371" i="1"/>
  <c r="J374" i="1"/>
  <c r="J396" i="1"/>
  <c r="J249" i="1"/>
  <c r="J468" i="1"/>
  <c r="J286" i="1"/>
  <c r="J395" i="1"/>
  <c r="J151" i="1"/>
  <c r="J363" i="1"/>
  <c r="J365" i="1"/>
  <c r="J164" i="1"/>
  <c r="J467" i="1"/>
  <c r="J546" i="1"/>
  <c r="J290" i="1"/>
  <c r="J239" i="1"/>
  <c r="J232" i="1"/>
  <c r="J255" i="1"/>
  <c r="J343" i="1"/>
  <c r="J373" i="1"/>
  <c r="J229" i="1"/>
  <c r="J673" i="1"/>
  <c r="J257" i="1"/>
  <c r="J432" i="1"/>
  <c r="J263" i="1"/>
  <c r="J456" i="1"/>
  <c r="J464" i="1"/>
  <c r="J264" i="1"/>
  <c r="J552" i="1"/>
  <c r="J435" i="1"/>
  <c r="J430" i="1"/>
  <c r="J250" i="1"/>
  <c r="J287" i="1"/>
  <c r="J252" i="1"/>
  <c r="J465" i="1"/>
  <c r="J268" i="1"/>
  <c r="J258" i="1"/>
  <c r="J152" i="1"/>
  <c r="J726" i="1"/>
  <c r="J303" i="1"/>
  <c r="J375" i="1"/>
  <c r="J380" i="1"/>
  <c r="J325" i="1"/>
  <c r="J295" i="1"/>
  <c r="J341" i="1"/>
  <c r="J360" i="1"/>
  <c r="J376" i="1"/>
  <c r="J251" i="1"/>
  <c r="J279" i="1"/>
  <c r="J353" i="1"/>
  <c r="J150" i="1"/>
  <c r="J466" i="1"/>
  <c r="J739" i="1"/>
  <c r="J461" i="1"/>
  <c r="J454" i="1"/>
  <c r="J233" i="1"/>
  <c r="J327" i="1"/>
  <c r="J358" i="1"/>
  <c r="J322" i="1"/>
  <c r="J228" i="1"/>
  <c r="J437" i="1"/>
  <c r="J728" i="1"/>
  <c r="J344" i="1"/>
  <c r="J269" i="1"/>
  <c r="J379" i="1"/>
  <c r="J457" i="1"/>
  <c r="J711" i="1"/>
  <c r="J307" i="1"/>
  <c r="J367" i="1"/>
  <c r="J160" i="1"/>
  <c r="J182" i="1"/>
  <c r="J311" i="1"/>
  <c r="J453" i="1"/>
  <c r="J377" i="1"/>
  <c r="J542" i="1"/>
  <c r="J438" i="1"/>
  <c r="J236" i="1"/>
  <c r="J431" i="1"/>
  <c r="J187" i="1"/>
  <c r="J543" i="1"/>
  <c r="J541" i="1"/>
  <c r="J282" i="1"/>
  <c r="J272" i="1"/>
  <c r="J355" i="1"/>
  <c r="J340" i="1"/>
  <c r="J362" i="1"/>
  <c r="J231" i="1"/>
  <c r="J291" i="1"/>
  <c r="J346" i="1"/>
  <c r="J356" i="1"/>
  <c r="J345" i="1"/>
  <c r="J470" i="1"/>
  <c r="J241" i="1"/>
  <c r="J143" i="1"/>
  <c r="J276" i="1"/>
  <c r="J271" i="1"/>
  <c r="J234" i="1"/>
  <c r="J372" i="1"/>
  <c r="J149" i="1"/>
  <c r="J393" i="1"/>
  <c r="J544" i="1"/>
  <c r="J354" i="1"/>
  <c r="J342" i="1"/>
  <c r="J469" i="1"/>
  <c r="J471" i="1"/>
  <c r="J378" i="1"/>
  <c r="J439" i="1"/>
  <c r="J277" i="1"/>
  <c r="J700" i="1"/>
  <c r="J361" i="1"/>
  <c r="J323" i="1"/>
  <c r="J314" i="1"/>
  <c r="U393" i="1" l="1"/>
  <c r="T393" i="1"/>
  <c r="S393" i="1"/>
  <c r="P393" i="1"/>
  <c r="V393" i="1"/>
  <c r="V355" i="1"/>
  <c r="P355" i="1"/>
  <c r="U355" i="1"/>
  <c r="T355" i="1"/>
  <c r="S355" i="1"/>
  <c r="Y543" i="1"/>
  <c r="T543" i="1"/>
  <c r="W543" i="1"/>
  <c r="V543" i="1"/>
  <c r="Z543" i="1"/>
  <c r="X543" i="1"/>
  <c r="V307" i="1"/>
  <c r="P307" i="1"/>
  <c r="U307" i="1"/>
  <c r="T307" i="1"/>
  <c r="S307" i="1"/>
  <c r="W307" i="1"/>
  <c r="W233" i="1"/>
  <c r="S233" i="1"/>
  <c r="V233" i="1"/>
  <c r="P233" i="1"/>
  <c r="U233" i="1"/>
  <c r="T233" i="1"/>
  <c r="V295" i="1"/>
  <c r="P295" i="1"/>
  <c r="U295" i="1"/>
  <c r="T295" i="1"/>
  <c r="S295" i="1"/>
  <c r="W295" i="1"/>
  <c r="T268" i="1"/>
  <c r="W268" i="1"/>
  <c r="S268" i="1"/>
  <c r="U268" i="1"/>
  <c r="P268" i="1"/>
  <c r="V268" i="1"/>
  <c r="Z432" i="1"/>
  <c r="V432" i="1"/>
  <c r="Y432" i="1"/>
  <c r="X432" i="1"/>
  <c r="W432" i="1"/>
  <c r="T432" i="1"/>
  <c r="Y164" i="1"/>
  <c r="U164" i="1"/>
  <c r="X164" i="1"/>
  <c r="W164" i="1"/>
  <c r="V164" i="1"/>
  <c r="S158" i="1"/>
  <c r="V158" i="1"/>
  <c r="U158" i="1"/>
  <c r="T158" i="1"/>
  <c r="V304" i="1"/>
  <c r="P304" i="1"/>
  <c r="U304" i="1"/>
  <c r="T304" i="1"/>
  <c r="S304" i="1"/>
  <c r="W304" i="1"/>
  <c r="Z434" i="1"/>
  <c r="V434" i="1"/>
  <c r="Y434" i="1"/>
  <c r="X434" i="1"/>
  <c r="W434" i="1"/>
  <c r="T434" i="1"/>
  <c r="T265" i="1"/>
  <c r="U265" i="1"/>
  <c r="S265" i="1"/>
  <c r="W265" i="1"/>
  <c r="P265" i="1"/>
  <c r="V265" i="1"/>
  <c r="Z441" i="1"/>
  <c r="V441" i="1"/>
  <c r="W441" i="1"/>
  <c r="T441" i="1"/>
  <c r="Y441" i="1"/>
  <c r="X441" i="1"/>
  <c r="T184" i="1"/>
  <c r="S184" i="1"/>
  <c r="X696" i="1"/>
  <c r="W696" i="1"/>
  <c r="V696" i="1"/>
  <c r="Y696" i="1"/>
  <c r="U696" i="1"/>
  <c r="V702" i="1"/>
  <c r="Y702" i="1"/>
  <c r="U702" i="1"/>
  <c r="X702" i="1"/>
  <c r="W702" i="1"/>
  <c r="V323" i="1"/>
  <c r="U323" i="1"/>
  <c r="W323" i="1"/>
  <c r="P323" i="1"/>
  <c r="Z439" i="1"/>
  <c r="V439" i="1"/>
  <c r="W439" i="1"/>
  <c r="T439" i="1"/>
  <c r="Y439" i="1"/>
  <c r="X439" i="1"/>
  <c r="U342" i="1"/>
  <c r="T342" i="1"/>
  <c r="P342" i="1"/>
  <c r="V342" i="1"/>
  <c r="S342" i="1"/>
  <c r="W149" i="1"/>
  <c r="S149" i="1"/>
  <c r="V149" i="1"/>
  <c r="U149" i="1"/>
  <c r="T149" i="1"/>
  <c r="T276" i="1"/>
  <c r="W276" i="1"/>
  <c r="S276" i="1"/>
  <c r="U276" i="1"/>
  <c r="P276" i="1"/>
  <c r="V276" i="1"/>
  <c r="T345" i="1"/>
  <c r="S345" i="1"/>
  <c r="U345" i="1"/>
  <c r="P345" i="1"/>
  <c r="V345" i="1"/>
  <c r="W231" i="1"/>
  <c r="S231" i="1"/>
  <c r="V231" i="1"/>
  <c r="P231" i="1"/>
  <c r="U231" i="1"/>
  <c r="T231" i="1"/>
  <c r="T272" i="1"/>
  <c r="W272" i="1"/>
  <c r="S272" i="1"/>
  <c r="U272" i="1"/>
  <c r="P272" i="1"/>
  <c r="V272" i="1"/>
  <c r="W187" i="1"/>
  <c r="V187" i="1"/>
  <c r="U187" i="1"/>
  <c r="Y542" i="1"/>
  <c r="T542" i="1"/>
  <c r="W542" i="1"/>
  <c r="X542" i="1"/>
  <c r="V542" i="1"/>
  <c r="Z542" i="1"/>
  <c r="T182" i="1"/>
  <c r="S182" i="1"/>
  <c r="V711" i="1"/>
  <c r="Y711" i="1"/>
  <c r="U711" i="1"/>
  <c r="X711" i="1"/>
  <c r="W711" i="1"/>
  <c r="S344" i="1"/>
  <c r="V344" i="1"/>
  <c r="P344" i="1"/>
  <c r="T344" i="1"/>
  <c r="U344" i="1"/>
  <c r="P322" i="1"/>
  <c r="W322" i="1"/>
  <c r="V322" i="1"/>
  <c r="U322" i="1"/>
  <c r="Z454" i="1"/>
  <c r="V454" i="1"/>
  <c r="Y454" i="1"/>
  <c r="X454" i="1"/>
  <c r="W454" i="1"/>
  <c r="T454" i="1"/>
  <c r="T150" i="1"/>
  <c r="W150" i="1"/>
  <c r="S150" i="1"/>
  <c r="V150" i="1"/>
  <c r="U150" i="1"/>
  <c r="S376" i="1"/>
  <c r="V376" i="1"/>
  <c r="P376" i="1"/>
  <c r="T376" i="1"/>
  <c r="U376" i="1"/>
  <c r="V325" i="1"/>
  <c r="U325" i="1"/>
  <c r="P325" i="1"/>
  <c r="W325" i="1"/>
  <c r="Y726" i="1"/>
  <c r="U726" i="1"/>
  <c r="T726" i="1"/>
  <c r="W465" i="1"/>
  <c r="Z465" i="1"/>
  <c r="V465" i="1"/>
  <c r="T465" i="1"/>
  <c r="Y465" i="1"/>
  <c r="X465" i="1"/>
  <c r="Z430" i="1"/>
  <c r="V430" i="1"/>
  <c r="Y430" i="1"/>
  <c r="X430" i="1"/>
  <c r="W430" i="1"/>
  <c r="T430" i="1"/>
  <c r="W464" i="1"/>
  <c r="Z464" i="1"/>
  <c r="V464" i="1"/>
  <c r="X464" i="1"/>
  <c r="T464" i="1"/>
  <c r="Y464" i="1"/>
  <c r="W257" i="1"/>
  <c r="S257" i="1"/>
  <c r="V257" i="1"/>
  <c r="P257" i="1"/>
  <c r="U257" i="1"/>
  <c r="T257" i="1"/>
  <c r="V343" i="1"/>
  <c r="P343" i="1"/>
  <c r="U343" i="1"/>
  <c r="S343" i="1"/>
  <c r="T343" i="1"/>
  <c r="V290" i="1"/>
  <c r="P290" i="1"/>
  <c r="U290" i="1"/>
  <c r="T290" i="1"/>
  <c r="S290" i="1"/>
  <c r="W290" i="1"/>
  <c r="T365" i="1"/>
  <c r="S365" i="1"/>
  <c r="V365" i="1"/>
  <c r="U365" i="1"/>
  <c r="P365" i="1"/>
  <c r="V286" i="1"/>
  <c r="P286" i="1"/>
  <c r="U286" i="1"/>
  <c r="T286" i="1"/>
  <c r="S286" i="1"/>
  <c r="W286" i="1"/>
  <c r="U374" i="1"/>
  <c r="T374" i="1"/>
  <c r="P374" i="1"/>
  <c r="V374" i="1"/>
  <c r="S374" i="1"/>
  <c r="V359" i="1"/>
  <c r="P359" i="1"/>
  <c r="U359" i="1"/>
  <c r="S359" i="1"/>
  <c r="T359" i="1"/>
  <c r="W238" i="1"/>
  <c r="S238" i="1"/>
  <c r="V238" i="1"/>
  <c r="P238" i="1"/>
  <c r="U238" i="1"/>
  <c r="T238" i="1"/>
  <c r="V394" i="1"/>
  <c r="P394" i="1"/>
  <c r="U394" i="1"/>
  <c r="T394" i="1"/>
  <c r="S394" i="1"/>
  <c r="U161" i="1"/>
  <c r="T161" i="1"/>
  <c r="S161" i="1"/>
  <c r="V161" i="1"/>
  <c r="V559" i="1"/>
  <c r="U559" i="1"/>
  <c r="T267" i="1"/>
  <c r="W267" i="1"/>
  <c r="P267" i="1"/>
  <c r="V267" i="1"/>
  <c r="U267" i="1"/>
  <c r="S267" i="1"/>
  <c r="W230" i="1"/>
  <c r="S230" i="1"/>
  <c r="V230" i="1"/>
  <c r="P230" i="1"/>
  <c r="U230" i="1"/>
  <c r="T230" i="1"/>
  <c r="Z458" i="1"/>
  <c r="V458" i="1"/>
  <c r="Y458" i="1"/>
  <c r="X458" i="1"/>
  <c r="W458" i="1"/>
  <c r="T458" i="1"/>
  <c r="W462" i="1"/>
  <c r="Z462" i="1"/>
  <c r="V462" i="1"/>
  <c r="Y462" i="1"/>
  <c r="X462" i="1"/>
  <c r="T462" i="1"/>
  <c r="W256" i="1"/>
  <c r="S256" i="1"/>
  <c r="V256" i="1"/>
  <c r="P256" i="1"/>
  <c r="U256" i="1"/>
  <c r="T256" i="1"/>
  <c r="U366" i="1"/>
  <c r="T366" i="1"/>
  <c r="P366" i="1"/>
  <c r="V366" i="1"/>
  <c r="S366" i="1"/>
  <c r="V383" i="1"/>
  <c r="P383" i="1"/>
  <c r="U383" i="1"/>
  <c r="T383" i="1"/>
  <c r="S383" i="1"/>
  <c r="X607" i="1"/>
  <c r="W607" i="1"/>
  <c r="Y607" i="1"/>
  <c r="Y736" i="1"/>
  <c r="U736" i="1"/>
  <c r="T736" i="1"/>
  <c r="Y730" i="1"/>
  <c r="U730" i="1"/>
  <c r="T730" i="1"/>
  <c r="W709" i="1"/>
  <c r="U709" i="1"/>
  <c r="Y709" i="1"/>
  <c r="X709" i="1"/>
  <c r="V709" i="1"/>
  <c r="Y674" i="1"/>
  <c r="U674" i="1"/>
  <c r="X674" i="1"/>
  <c r="W674" i="1"/>
  <c r="V674" i="1"/>
  <c r="W707" i="1"/>
  <c r="V707" i="1"/>
  <c r="Y707" i="1"/>
  <c r="U707" i="1"/>
  <c r="X707" i="1"/>
  <c r="X611" i="1"/>
  <c r="W611" i="1"/>
  <c r="Y611" i="1"/>
  <c r="T277" i="1"/>
  <c r="W277" i="1"/>
  <c r="S277" i="1"/>
  <c r="P277" i="1"/>
  <c r="V277" i="1"/>
  <c r="U277" i="1"/>
  <c r="Y470" i="1"/>
  <c r="T470" i="1"/>
  <c r="W470" i="1"/>
  <c r="Z470" i="1"/>
  <c r="V470" i="1"/>
  <c r="X470" i="1"/>
  <c r="T311" i="1"/>
  <c r="W311" i="1"/>
  <c r="S311" i="1"/>
  <c r="V311" i="1"/>
  <c r="U311" i="1"/>
  <c r="P311" i="1"/>
  <c r="T269" i="1"/>
  <c r="W269" i="1"/>
  <c r="S269" i="1"/>
  <c r="P269" i="1"/>
  <c r="V269" i="1"/>
  <c r="U269" i="1"/>
  <c r="W251" i="1"/>
  <c r="S251" i="1"/>
  <c r="V251" i="1"/>
  <c r="P251" i="1"/>
  <c r="U251" i="1"/>
  <c r="T251" i="1"/>
  <c r="T264" i="1"/>
  <c r="S264" i="1"/>
  <c r="W264" i="1"/>
  <c r="P264" i="1"/>
  <c r="V264" i="1"/>
  <c r="U264" i="1"/>
  <c r="T373" i="1"/>
  <c r="S373" i="1"/>
  <c r="V373" i="1"/>
  <c r="U373" i="1"/>
  <c r="P373" i="1"/>
  <c r="S395" i="1"/>
  <c r="V395" i="1"/>
  <c r="P395" i="1"/>
  <c r="U395" i="1"/>
  <c r="T395" i="1"/>
  <c r="T278" i="1"/>
  <c r="W278" i="1"/>
  <c r="S278" i="1"/>
  <c r="V278" i="1"/>
  <c r="U278" i="1"/>
  <c r="P278" i="1"/>
  <c r="W254" i="1"/>
  <c r="S254" i="1"/>
  <c r="V254" i="1"/>
  <c r="P254" i="1"/>
  <c r="U254" i="1"/>
  <c r="T254" i="1"/>
  <c r="T275" i="1"/>
  <c r="W275" i="1"/>
  <c r="S275" i="1"/>
  <c r="V275" i="1"/>
  <c r="U275" i="1"/>
  <c r="P275" i="1"/>
  <c r="V305" i="1"/>
  <c r="P305" i="1"/>
  <c r="U305" i="1"/>
  <c r="T305" i="1"/>
  <c r="S305" i="1"/>
  <c r="W305" i="1"/>
  <c r="Y587" i="1"/>
  <c r="X587" i="1"/>
  <c r="T361" i="1"/>
  <c r="S361" i="1"/>
  <c r="U361" i="1"/>
  <c r="P361" i="1"/>
  <c r="V361" i="1"/>
  <c r="U354" i="1"/>
  <c r="T354" i="1"/>
  <c r="V354" i="1"/>
  <c r="S354" i="1"/>
  <c r="P354" i="1"/>
  <c r="S372" i="1"/>
  <c r="V372" i="1"/>
  <c r="P372" i="1"/>
  <c r="U372" i="1"/>
  <c r="T372" i="1"/>
  <c r="Y143" i="1"/>
  <c r="Z143" i="1"/>
  <c r="S356" i="1"/>
  <c r="V356" i="1"/>
  <c r="P356" i="1"/>
  <c r="U356" i="1"/>
  <c r="T356" i="1"/>
  <c r="U362" i="1"/>
  <c r="T362" i="1"/>
  <c r="V362" i="1"/>
  <c r="S362" i="1"/>
  <c r="P362" i="1"/>
  <c r="T282" i="1"/>
  <c r="W282" i="1"/>
  <c r="S282" i="1"/>
  <c r="V282" i="1"/>
  <c r="U282" i="1"/>
  <c r="P282" i="1"/>
  <c r="Z431" i="1"/>
  <c r="V431" i="1"/>
  <c r="W431" i="1"/>
  <c r="T431" i="1"/>
  <c r="Y431" i="1"/>
  <c r="X431" i="1"/>
  <c r="T377" i="1"/>
  <c r="S377" i="1"/>
  <c r="U377" i="1"/>
  <c r="P377" i="1"/>
  <c r="V377" i="1"/>
  <c r="S160" i="1"/>
  <c r="V160" i="1"/>
  <c r="U160" i="1"/>
  <c r="T160" i="1"/>
  <c r="Z457" i="1"/>
  <c r="V457" i="1"/>
  <c r="W457" i="1"/>
  <c r="T457" i="1"/>
  <c r="Y457" i="1"/>
  <c r="X457" i="1"/>
  <c r="U728" i="1"/>
  <c r="T728" i="1"/>
  <c r="Y728" i="1"/>
  <c r="U358" i="1"/>
  <c r="T358" i="1"/>
  <c r="P358" i="1"/>
  <c r="V358" i="1"/>
  <c r="S358" i="1"/>
  <c r="Z461" i="1"/>
  <c r="V461" i="1"/>
  <c r="W461" i="1"/>
  <c r="T461" i="1"/>
  <c r="Y461" i="1"/>
  <c r="X461" i="1"/>
  <c r="T353" i="1"/>
  <c r="S353" i="1"/>
  <c r="U353" i="1"/>
  <c r="P353" i="1"/>
  <c r="V353" i="1"/>
  <c r="S360" i="1"/>
  <c r="V360" i="1"/>
  <c r="P360" i="1"/>
  <c r="T360" i="1"/>
  <c r="U360" i="1"/>
  <c r="S380" i="1"/>
  <c r="V380" i="1"/>
  <c r="P380" i="1"/>
  <c r="U380" i="1"/>
  <c r="T380" i="1"/>
  <c r="V152" i="1"/>
  <c r="U152" i="1"/>
  <c r="T152" i="1"/>
  <c r="W152" i="1"/>
  <c r="S152" i="1"/>
  <c r="W252" i="1"/>
  <c r="S252" i="1"/>
  <c r="V252" i="1"/>
  <c r="P252" i="1"/>
  <c r="U252" i="1"/>
  <c r="T252" i="1"/>
  <c r="Z435" i="1"/>
  <c r="V435" i="1"/>
  <c r="W435" i="1"/>
  <c r="T435" i="1"/>
  <c r="Y435" i="1"/>
  <c r="X435" i="1"/>
  <c r="Z456" i="1"/>
  <c r="V456" i="1"/>
  <c r="Y456" i="1"/>
  <c r="X456" i="1"/>
  <c r="W456" i="1"/>
  <c r="T456" i="1"/>
  <c r="X673" i="1"/>
  <c r="W673" i="1"/>
  <c r="V673" i="1"/>
  <c r="Y673" i="1"/>
  <c r="U673" i="1"/>
  <c r="W255" i="1"/>
  <c r="S255" i="1"/>
  <c r="V255" i="1"/>
  <c r="P255" i="1"/>
  <c r="U255" i="1"/>
  <c r="T255" i="1"/>
  <c r="Y546" i="1"/>
  <c r="T546" i="1"/>
  <c r="W546" i="1"/>
  <c r="X546" i="1"/>
  <c r="V546" i="1"/>
  <c r="Z546" i="1"/>
  <c r="V363" i="1"/>
  <c r="P363" i="1"/>
  <c r="U363" i="1"/>
  <c r="T363" i="1"/>
  <c r="S363" i="1"/>
  <c r="W468" i="1"/>
  <c r="Z468" i="1"/>
  <c r="T468" i="1"/>
  <c r="Y468" i="1"/>
  <c r="X468" i="1"/>
  <c r="V468" i="1"/>
  <c r="V371" i="1"/>
  <c r="P371" i="1"/>
  <c r="U371" i="1"/>
  <c r="T371" i="1"/>
  <c r="S371" i="1"/>
  <c r="V299" i="1"/>
  <c r="P299" i="1"/>
  <c r="U299" i="1"/>
  <c r="T299" i="1"/>
  <c r="S299" i="1"/>
  <c r="W299" i="1"/>
  <c r="V347" i="1"/>
  <c r="P347" i="1"/>
  <c r="U347" i="1"/>
  <c r="T347" i="1"/>
  <c r="S347" i="1"/>
  <c r="W237" i="1"/>
  <c r="S237" i="1"/>
  <c r="V237" i="1"/>
  <c r="P237" i="1"/>
  <c r="U237" i="1"/>
  <c r="T237" i="1"/>
  <c r="V333" i="1"/>
  <c r="U333" i="1"/>
  <c r="P333" i="1"/>
  <c r="W333" i="1"/>
  <c r="V306" i="1"/>
  <c r="P306" i="1"/>
  <c r="U306" i="1"/>
  <c r="T306" i="1"/>
  <c r="S306" i="1"/>
  <c r="W306" i="1"/>
  <c r="Z455" i="1"/>
  <c r="V455" i="1"/>
  <c r="W455" i="1"/>
  <c r="T455" i="1"/>
  <c r="Y455" i="1"/>
  <c r="X455" i="1"/>
  <c r="T381" i="1"/>
  <c r="S381" i="1"/>
  <c r="V381" i="1"/>
  <c r="U381" i="1"/>
  <c r="P381" i="1"/>
  <c r="Y545" i="1"/>
  <c r="T545" i="1"/>
  <c r="W545" i="1"/>
  <c r="Z545" i="1"/>
  <c r="X545" i="1"/>
  <c r="V545" i="1"/>
  <c r="T270" i="1"/>
  <c r="W270" i="1"/>
  <c r="S270" i="1"/>
  <c r="V270" i="1"/>
  <c r="U270" i="1"/>
  <c r="P270" i="1"/>
  <c r="V301" i="1"/>
  <c r="P301" i="1"/>
  <c r="U301" i="1"/>
  <c r="T301" i="1"/>
  <c r="S301" i="1"/>
  <c r="W301" i="1"/>
  <c r="V297" i="1"/>
  <c r="P297" i="1"/>
  <c r="U297" i="1"/>
  <c r="T297" i="1"/>
  <c r="S297" i="1"/>
  <c r="W297" i="1"/>
  <c r="T281" i="1"/>
  <c r="W281" i="1"/>
  <c r="S281" i="1"/>
  <c r="P281" i="1"/>
  <c r="V281" i="1"/>
  <c r="U281" i="1"/>
  <c r="W620" i="1"/>
  <c r="Y620" i="1"/>
  <c r="X620" i="1"/>
  <c r="Y618" i="1"/>
  <c r="X618" i="1"/>
  <c r="W618" i="1"/>
  <c r="W703" i="1"/>
  <c r="V703" i="1"/>
  <c r="Y703" i="1"/>
  <c r="U703" i="1"/>
  <c r="X703" i="1"/>
  <c r="Y710" i="1"/>
  <c r="U710" i="1"/>
  <c r="X710" i="1"/>
  <c r="W710" i="1"/>
  <c r="V710" i="1"/>
  <c r="Y735" i="1"/>
  <c r="U735" i="1"/>
  <c r="T735" i="1"/>
  <c r="P328" i="1"/>
  <c r="W328" i="1"/>
  <c r="V328" i="1"/>
  <c r="U328" i="1"/>
  <c r="T314" i="1"/>
  <c r="W314" i="1"/>
  <c r="S314" i="1"/>
  <c r="V314" i="1"/>
  <c r="U314" i="1"/>
  <c r="P314" i="1"/>
  <c r="Y469" i="1"/>
  <c r="W469" i="1"/>
  <c r="V469" i="1"/>
  <c r="T469" i="1"/>
  <c r="Z469" i="1"/>
  <c r="X469" i="1"/>
  <c r="T271" i="1"/>
  <c r="W271" i="1"/>
  <c r="S271" i="1"/>
  <c r="V271" i="1"/>
  <c r="U271" i="1"/>
  <c r="P271" i="1"/>
  <c r="V291" i="1"/>
  <c r="P291" i="1"/>
  <c r="U291" i="1"/>
  <c r="T291" i="1"/>
  <c r="S291" i="1"/>
  <c r="W291" i="1"/>
  <c r="Z438" i="1"/>
  <c r="V438" i="1"/>
  <c r="Y438" i="1"/>
  <c r="X438" i="1"/>
  <c r="W438" i="1"/>
  <c r="T438" i="1"/>
  <c r="W228" i="1"/>
  <c r="S228" i="1"/>
  <c r="V228" i="1"/>
  <c r="P228" i="1"/>
  <c r="U228" i="1"/>
  <c r="T228" i="1"/>
  <c r="W466" i="1"/>
  <c r="X466" i="1"/>
  <c r="V466" i="1"/>
  <c r="Z466" i="1"/>
  <c r="Y466" i="1"/>
  <c r="T466" i="1"/>
  <c r="V303" i="1"/>
  <c r="P303" i="1"/>
  <c r="U303" i="1"/>
  <c r="T303" i="1"/>
  <c r="S303" i="1"/>
  <c r="W303" i="1"/>
  <c r="W250" i="1"/>
  <c r="S250" i="1"/>
  <c r="V250" i="1"/>
  <c r="P250" i="1"/>
  <c r="U250" i="1"/>
  <c r="T250" i="1"/>
  <c r="W239" i="1"/>
  <c r="S239" i="1"/>
  <c r="V239" i="1"/>
  <c r="P239" i="1"/>
  <c r="U239" i="1"/>
  <c r="T239" i="1"/>
  <c r="T396" i="1"/>
  <c r="S396" i="1"/>
  <c r="V396" i="1"/>
  <c r="U396" i="1"/>
  <c r="P396" i="1"/>
  <c r="W209" i="1"/>
  <c r="V209" i="1"/>
  <c r="Y209" i="1"/>
  <c r="X209" i="1"/>
  <c r="Z429" i="1"/>
  <c r="V429" i="1"/>
  <c r="W429" i="1"/>
  <c r="T429" i="1"/>
  <c r="Y429" i="1"/>
  <c r="X429" i="1"/>
  <c r="Y701" i="1"/>
  <c r="U701" i="1"/>
  <c r="X701" i="1"/>
  <c r="W701" i="1"/>
  <c r="V701" i="1"/>
  <c r="T738" i="1"/>
  <c r="Y738" i="1"/>
  <c r="U738" i="1"/>
  <c r="T357" i="1"/>
  <c r="S357" i="1"/>
  <c r="V357" i="1"/>
  <c r="U357" i="1"/>
  <c r="P357" i="1"/>
  <c r="U378" i="1"/>
  <c r="T378" i="1"/>
  <c r="S378" i="1"/>
  <c r="P378" i="1"/>
  <c r="V378" i="1"/>
  <c r="X700" i="1"/>
  <c r="W700" i="1"/>
  <c r="V700" i="1"/>
  <c r="Y700" i="1"/>
  <c r="U700" i="1"/>
  <c r="Y471" i="1"/>
  <c r="T471" i="1"/>
  <c r="W471" i="1"/>
  <c r="Z471" i="1"/>
  <c r="X471" i="1"/>
  <c r="V471" i="1"/>
  <c r="Y544" i="1"/>
  <c r="T544" i="1"/>
  <c r="W544" i="1"/>
  <c r="Z544" i="1"/>
  <c r="X544" i="1"/>
  <c r="V544" i="1"/>
  <c r="W234" i="1"/>
  <c r="S234" i="1"/>
  <c r="V234" i="1"/>
  <c r="P234" i="1"/>
  <c r="U234" i="1"/>
  <c r="T234" i="1"/>
  <c r="W241" i="1"/>
  <c r="S241" i="1"/>
  <c r="V241" i="1"/>
  <c r="P241" i="1"/>
  <c r="U241" i="1"/>
  <c r="T241" i="1"/>
  <c r="U346" i="1"/>
  <c r="T346" i="1"/>
  <c r="V346" i="1"/>
  <c r="S346" i="1"/>
  <c r="P346" i="1"/>
  <c r="S340" i="1"/>
  <c r="V340" i="1"/>
  <c r="P340" i="1"/>
  <c r="U340" i="1"/>
  <c r="T340" i="1"/>
  <c r="Y541" i="1"/>
  <c r="T541" i="1"/>
  <c r="W541" i="1"/>
  <c r="X541" i="1"/>
  <c r="V541" i="1"/>
  <c r="Z541" i="1"/>
  <c r="W236" i="1"/>
  <c r="S236" i="1"/>
  <c r="V236" i="1"/>
  <c r="P236" i="1"/>
  <c r="U236" i="1"/>
  <c r="T236" i="1"/>
  <c r="Z453" i="1"/>
  <c r="V453" i="1"/>
  <c r="W453" i="1"/>
  <c r="T453" i="1"/>
  <c r="Y453" i="1"/>
  <c r="X453" i="1"/>
  <c r="V367" i="1"/>
  <c r="P367" i="1"/>
  <c r="U367" i="1"/>
  <c r="S367" i="1"/>
  <c r="T367" i="1"/>
  <c r="V379" i="1"/>
  <c r="P379" i="1"/>
  <c r="U379" i="1"/>
  <c r="T379" i="1"/>
  <c r="S379" i="1"/>
  <c r="Z437" i="1"/>
  <c r="V437" i="1"/>
  <c r="W437" i="1"/>
  <c r="T437" i="1"/>
  <c r="Y437" i="1"/>
  <c r="X437" i="1"/>
  <c r="V327" i="1"/>
  <c r="U327" i="1"/>
  <c r="W327" i="1"/>
  <c r="P327" i="1"/>
  <c r="Y739" i="1"/>
  <c r="U739" i="1"/>
  <c r="T739" i="1"/>
  <c r="T279" i="1"/>
  <c r="W279" i="1"/>
  <c r="S279" i="1"/>
  <c r="V279" i="1"/>
  <c r="U279" i="1"/>
  <c r="P279" i="1"/>
  <c r="T341" i="1"/>
  <c r="S341" i="1"/>
  <c r="V341" i="1"/>
  <c r="U341" i="1"/>
  <c r="P341" i="1"/>
  <c r="V375" i="1"/>
  <c r="P375" i="1"/>
  <c r="U375" i="1"/>
  <c r="S375" i="1"/>
  <c r="T375" i="1"/>
  <c r="W258" i="1"/>
  <c r="S258" i="1"/>
  <c r="V258" i="1"/>
  <c r="P258" i="1"/>
  <c r="U258" i="1"/>
  <c r="T258" i="1"/>
  <c r="V287" i="1"/>
  <c r="P287" i="1"/>
  <c r="U287" i="1"/>
  <c r="T287" i="1"/>
  <c r="S287" i="1"/>
  <c r="W287" i="1"/>
  <c r="U552" i="1"/>
  <c r="V552" i="1"/>
  <c r="T263" i="1"/>
  <c r="W263" i="1"/>
  <c r="P263" i="1"/>
  <c r="V263" i="1"/>
  <c r="U263" i="1"/>
  <c r="S263" i="1"/>
  <c r="W229" i="1"/>
  <c r="S229" i="1"/>
  <c r="V229" i="1"/>
  <c r="P229" i="1"/>
  <c r="U229" i="1"/>
  <c r="T229" i="1"/>
  <c r="W232" i="1"/>
  <c r="S232" i="1"/>
  <c r="V232" i="1"/>
  <c r="P232" i="1"/>
  <c r="U232" i="1"/>
  <c r="T232" i="1"/>
  <c r="W467" i="1"/>
  <c r="Y467" i="1"/>
  <c r="X467" i="1"/>
  <c r="Z467" i="1"/>
  <c r="V467" i="1"/>
  <c r="T467" i="1"/>
  <c r="U151" i="1"/>
  <c r="T151" i="1"/>
  <c r="W151" i="1"/>
  <c r="S151" i="1"/>
  <c r="V151" i="1"/>
  <c r="W249" i="1"/>
  <c r="S249" i="1"/>
  <c r="V249" i="1"/>
  <c r="P249" i="1"/>
  <c r="U249" i="1"/>
  <c r="T249" i="1"/>
  <c r="Z440" i="1"/>
  <c r="V440" i="1"/>
  <c r="Y440" i="1"/>
  <c r="X440" i="1"/>
  <c r="W440" i="1"/>
  <c r="T440" i="1"/>
  <c r="U186" i="1"/>
  <c r="W186" i="1"/>
  <c r="V186" i="1"/>
  <c r="V302" i="1"/>
  <c r="P302" i="1"/>
  <c r="U302" i="1"/>
  <c r="T302" i="1"/>
  <c r="S302" i="1"/>
  <c r="W302" i="1"/>
  <c r="Z433" i="1"/>
  <c r="V433" i="1"/>
  <c r="W433" i="1"/>
  <c r="T433" i="1"/>
  <c r="Y433" i="1"/>
  <c r="X433" i="1"/>
  <c r="S384" i="1"/>
  <c r="V384" i="1"/>
  <c r="P384" i="1"/>
  <c r="U384" i="1"/>
  <c r="T384" i="1"/>
  <c r="P330" i="1"/>
  <c r="W330" i="1"/>
  <c r="V330" i="1"/>
  <c r="U330" i="1"/>
  <c r="T315" i="1"/>
  <c r="W315" i="1"/>
  <c r="S315" i="1"/>
  <c r="V315" i="1"/>
  <c r="U315" i="1"/>
  <c r="P315" i="1"/>
  <c r="T273" i="1"/>
  <c r="W273" i="1"/>
  <c r="S273" i="1"/>
  <c r="P273" i="1"/>
  <c r="V273" i="1"/>
  <c r="U273" i="1"/>
  <c r="W253" i="1"/>
  <c r="S253" i="1"/>
  <c r="V253" i="1"/>
  <c r="P253" i="1"/>
  <c r="U253" i="1"/>
  <c r="T253" i="1"/>
  <c r="T280" i="1"/>
  <c r="W280" i="1"/>
  <c r="S280" i="1"/>
  <c r="U280" i="1"/>
  <c r="P280" i="1"/>
  <c r="V280" i="1"/>
  <c r="P326" i="1"/>
  <c r="W326" i="1"/>
  <c r="V326" i="1"/>
  <c r="U326" i="1"/>
  <c r="V198" i="1"/>
  <c r="U198" i="1"/>
  <c r="V554" i="1"/>
  <c r="U554" i="1"/>
  <c r="T742" i="1"/>
  <c r="Y742" i="1"/>
  <c r="U742" i="1"/>
  <c r="V671" i="1"/>
  <c r="Y671" i="1"/>
  <c r="U671" i="1"/>
  <c r="X671" i="1"/>
  <c r="W671" i="1"/>
  <c r="Y610" i="1"/>
  <c r="X610" i="1"/>
  <c r="W610" i="1"/>
  <c r="Y727" i="1"/>
  <c r="U727" i="1"/>
  <c r="T727" i="1"/>
  <c r="V698" i="1"/>
  <c r="Y698" i="1"/>
  <c r="U698" i="1"/>
  <c r="X698" i="1"/>
  <c r="W698" i="1"/>
  <c r="Y598" i="1"/>
  <c r="X598" i="1"/>
  <c r="W598" i="1"/>
  <c r="J704" i="1"/>
  <c r="J588" i="1"/>
  <c r="J616" i="1"/>
  <c r="J609" i="1"/>
  <c r="J619" i="1"/>
  <c r="J737" i="1"/>
  <c r="J733" i="1"/>
  <c r="J706" i="1"/>
  <c r="J615" i="1"/>
  <c r="J608" i="1"/>
  <c r="J697" i="1"/>
  <c r="J699" i="1"/>
  <c r="J740" i="1"/>
  <c r="J708" i="1"/>
  <c r="J734" i="1"/>
  <c r="J605" i="1"/>
  <c r="J744" i="1"/>
  <c r="J729" i="1"/>
  <c r="J614" i="1"/>
  <c r="J590" i="1"/>
  <c r="J731" i="1"/>
  <c r="J617" i="1"/>
  <c r="J638" i="1"/>
  <c r="V638" i="1" s="1"/>
  <c r="Y744" i="1" l="1"/>
  <c r="U744" i="1"/>
  <c r="T744" i="1"/>
  <c r="X615" i="1"/>
  <c r="W615" i="1"/>
  <c r="Y615" i="1"/>
  <c r="X704" i="1"/>
  <c r="W704" i="1"/>
  <c r="V704" i="1"/>
  <c r="Y704" i="1"/>
  <c r="U704" i="1"/>
  <c r="Y605" i="1"/>
  <c r="X605" i="1"/>
  <c r="W605" i="1"/>
  <c r="V706" i="1"/>
  <c r="Y706" i="1"/>
  <c r="U706" i="1"/>
  <c r="X706" i="1"/>
  <c r="W706" i="1"/>
  <c r="Y614" i="1"/>
  <c r="X614" i="1"/>
  <c r="W614" i="1"/>
  <c r="T734" i="1"/>
  <c r="Y734" i="1"/>
  <c r="U734" i="1"/>
  <c r="Y697" i="1"/>
  <c r="U697" i="1"/>
  <c r="X697" i="1"/>
  <c r="W697" i="1"/>
  <c r="V697" i="1"/>
  <c r="U733" i="1"/>
  <c r="T733" i="1"/>
  <c r="Y733" i="1"/>
  <c r="W616" i="1"/>
  <c r="Y616" i="1"/>
  <c r="X616" i="1"/>
  <c r="Y731" i="1"/>
  <c r="U731" i="1"/>
  <c r="T731" i="1"/>
  <c r="Y740" i="1"/>
  <c r="U740" i="1"/>
  <c r="T740" i="1"/>
  <c r="X619" i="1"/>
  <c r="W619" i="1"/>
  <c r="Y619" i="1"/>
  <c r="T747" i="1"/>
  <c r="T749" i="1" s="1"/>
  <c r="T750" i="1" s="1"/>
  <c r="Y590" i="1"/>
  <c r="X590" i="1"/>
  <c r="W699" i="1"/>
  <c r="V699" i="1"/>
  <c r="Y699" i="1"/>
  <c r="U699" i="1"/>
  <c r="X699" i="1"/>
  <c r="Y609" i="1"/>
  <c r="X609" i="1"/>
  <c r="W609" i="1"/>
  <c r="Y617" i="1"/>
  <c r="X617" i="1"/>
  <c r="W617" i="1"/>
  <c r="T729" i="1"/>
  <c r="Y729" i="1"/>
  <c r="Y747" i="1" s="1"/>
  <c r="Y749" i="1" s="1"/>
  <c r="Y750" i="1" s="1"/>
  <c r="U729" i="1"/>
  <c r="U747" i="1" s="1"/>
  <c r="U749" i="1" s="1"/>
  <c r="U750" i="1" s="1"/>
  <c r="X708" i="1"/>
  <c r="W708" i="1"/>
  <c r="V708" i="1"/>
  <c r="Y708" i="1"/>
  <c r="U708" i="1"/>
  <c r="W608" i="1"/>
  <c r="Y608" i="1"/>
  <c r="X608" i="1"/>
  <c r="U737" i="1"/>
  <c r="T737" i="1"/>
  <c r="Y737" i="1"/>
  <c r="Y588" i="1"/>
  <c r="X588" i="1"/>
  <c r="J747" i="1"/>
  <c r="J749" i="1" s="1"/>
  <c r="J189" i="1"/>
  <c r="V189" i="1" l="1"/>
  <c r="U189" i="1"/>
  <c r="W189" i="1"/>
  <c r="O750" i="1"/>
  <c r="V750" i="1"/>
  <c r="Q750" i="1"/>
  <c r="S750" i="1"/>
  <c r="Z750" i="1"/>
  <c r="N750" i="1"/>
  <c r="P750" i="1"/>
  <c r="X750" i="1"/>
  <c r="M750" i="1"/>
  <c r="W750" i="1"/>
  <c r="R750" i="1"/>
  <c r="H1185" i="8" l="1"/>
  <c r="H4223" i="8"/>
  <c r="H3823" i="8"/>
  <c r="H3132" i="8"/>
  <c r="H3723" i="8"/>
  <c r="H1245" i="8"/>
  <c r="H2911" i="8"/>
  <c r="H2631" i="8"/>
  <c r="H1184" i="8"/>
  <c r="H1186" i="8" s="1"/>
  <c r="G1180" i="8" s="1"/>
  <c r="H4004" i="8"/>
  <c r="H3762" i="8"/>
  <c r="H2457" i="8"/>
  <c r="H1867" i="8"/>
  <c r="H3911" i="8"/>
  <c r="H3288" i="8"/>
  <c r="H3661" i="8"/>
  <c r="H2591" i="8"/>
  <c r="H1172" i="8"/>
  <c r="H770" i="8"/>
  <c r="H1244" i="8"/>
  <c r="H1246" i="8" s="1"/>
  <c r="H2618" i="8"/>
  <c r="H3684" i="8"/>
  <c r="H4042" i="8"/>
  <c r="H3822" i="8"/>
  <c r="H4056" i="8"/>
  <c r="H1232" i="8"/>
  <c r="H1102" i="8"/>
  <c r="H1257" i="8"/>
  <c r="H2565" i="8"/>
  <c r="H2401" i="8"/>
  <c r="H3696" i="8"/>
  <c r="H3262" i="8"/>
  <c r="H2429" i="8"/>
  <c r="H974" i="8"/>
  <c r="H1045" i="8"/>
  <c r="H2644" i="8"/>
  <c r="H1256" i="8"/>
  <c r="H2113" i="8"/>
  <c r="H4330" i="8"/>
  <c r="H3197" i="8"/>
  <c r="H3697" i="8"/>
  <c r="H1665" i="8"/>
  <c r="H3581" i="8"/>
  <c r="H3910" i="8"/>
  <c r="H2780" i="8"/>
  <c r="H4121" i="8"/>
  <c r="H2806" i="8"/>
  <c r="H2793" i="8"/>
  <c r="H4082" i="8"/>
  <c r="H1866" i="8"/>
  <c r="H885" i="8"/>
  <c r="H2098" i="8"/>
  <c r="H3314" i="8"/>
  <c r="H3811" i="8"/>
  <c r="H2499" i="8"/>
  <c r="H2443" i="8"/>
  <c r="H2657" i="8"/>
  <c r="H3990" i="8"/>
  <c r="H2051" i="8"/>
  <c r="H3977" i="8"/>
  <c r="H2527" i="8"/>
  <c r="H929" i="8"/>
  <c r="H2471" i="8"/>
  <c r="H757" i="8"/>
  <c r="H1233" i="8"/>
  <c r="H1221" i="8"/>
  <c r="H1784" i="8"/>
  <c r="H3326" i="8"/>
  <c r="H1197" i="8"/>
  <c r="H2442" i="8"/>
  <c r="H1987" i="8"/>
  <c r="H942" i="8"/>
  <c r="H599" i="8"/>
  <c r="H3380" i="8"/>
  <c r="H2166" i="8"/>
  <c r="H1811" i="8"/>
  <c r="H3924" i="8"/>
  <c r="H1942" i="8"/>
  <c r="H1586" i="8"/>
  <c r="H3028" i="8"/>
  <c r="H2643" i="8"/>
  <c r="H3093" i="8"/>
  <c r="H2415" i="8"/>
  <c r="H3645" i="8"/>
  <c r="H3646" i="8" s="1"/>
  <c r="H3053" i="8"/>
  <c r="H333" i="8"/>
  <c r="H4236" i="8"/>
  <c r="H3379" i="8"/>
  <c r="H3489" i="8"/>
  <c r="H4108" i="8"/>
  <c r="H3287" i="8"/>
  <c r="H1209" i="8"/>
  <c r="H3962" i="8"/>
  <c r="H3001" i="8"/>
  <c r="H1810" i="8"/>
  <c r="H2963" i="8"/>
  <c r="H1742" i="8"/>
  <c r="H2949" i="8"/>
  <c r="H2989" i="8"/>
  <c r="H1208" i="8"/>
  <c r="H3327" i="8"/>
  <c r="H1824" i="8"/>
  <c r="H3157" i="8"/>
  <c r="H2767" i="8"/>
  <c r="H3810" i="8"/>
  <c r="H1554" i="8"/>
  <c r="H3632" i="8"/>
  <c r="H1524" i="8"/>
  <c r="H2711" i="8"/>
  <c r="H3027" i="8"/>
  <c r="H4003" i="8"/>
  <c r="H3249" i="8"/>
  <c r="H3196" i="8"/>
  <c r="H2414" i="8"/>
  <c r="H4235" i="8"/>
  <c r="H3553" i="8"/>
  <c r="H3633" i="8"/>
  <c r="H1618" i="8"/>
  <c r="H4094" i="8"/>
  <c r="H4249" i="8"/>
  <c r="H1783" i="8"/>
  <c r="H1493" i="8"/>
  <c r="H2845" i="8"/>
  <c r="H1171" i="8"/>
  <c r="H1142" i="8"/>
  <c r="H3991" i="8"/>
  <c r="H665" i="8"/>
  <c r="H2019" i="8"/>
  <c r="H633" i="8"/>
  <c r="H756" i="8"/>
  <c r="H2617" i="8"/>
  <c r="H821" i="8"/>
  <c r="H3566" i="8"/>
  <c r="H2604" i="8"/>
  <c r="H2579" i="8"/>
  <c r="H2485" i="8"/>
  <c r="H3785" i="8"/>
  <c r="H1712" i="8"/>
  <c r="H1666" i="8"/>
  <c r="H3261" i="8"/>
  <c r="H3263" i="8" s="1"/>
  <c r="H4081" i="8"/>
  <c r="H973" i="8"/>
  <c r="H2513" i="8"/>
  <c r="H3749" i="8"/>
  <c r="H2872" i="8"/>
  <c r="H3145" i="8"/>
  <c r="H3950" i="8"/>
  <c r="H3054" i="8"/>
  <c r="H1188" i="8"/>
  <c r="H1180" i="8" s="1"/>
  <c r="H1189" i="8"/>
  <c r="H1190" i="8" s="1"/>
  <c r="H786" i="8"/>
  <c r="H2937" i="8"/>
  <c r="H3171" i="8"/>
  <c r="H804" i="8"/>
  <c r="H2976" i="8"/>
  <c r="H3002" i="8"/>
  <c r="H3620" i="8"/>
  <c r="H2846" i="8"/>
  <c r="H2605" i="8"/>
  <c r="H1797" i="8"/>
  <c r="H4043" i="8"/>
  <c r="H434" i="8"/>
  <c r="H450" i="8"/>
  <c r="H987" i="8"/>
  <c r="H2553" i="8"/>
  <c r="H2820" i="8"/>
  <c r="H3595" i="8"/>
  <c r="H2670" i="8"/>
  <c r="H2669" i="8"/>
  <c r="H2781" i="8"/>
  <c r="H2950" i="8"/>
  <c r="H869" i="8"/>
  <c r="H2794" i="8"/>
  <c r="H2566" i="8"/>
  <c r="H4159" i="8"/>
  <c r="H2807" i="8"/>
  <c r="H2742" i="8"/>
  <c r="H4030" i="8"/>
  <c r="H2131" i="8"/>
  <c r="H3799" i="8"/>
  <c r="H3236" i="8"/>
  <c r="H3736" i="8"/>
  <c r="H3710" i="8"/>
  <c r="H2833" i="8"/>
  <c r="H3899" i="8"/>
  <c r="H3850" i="8"/>
  <c r="H3849" i="8"/>
  <c r="H3223" i="8"/>
  <c r="H3222" i="8"/>
  <c r="H3937" i="8"/>
  <c r="H1001" i="8"/>
  <c r="H2592" i="8"/>
  <c r="H1525" i="8"/>
  <c r="H3080" i="8"/>
  <c r="H3041" i="8"/>
  <c r="H1196" i="8"/>
  <c r="H4069" i="8"/>
  <c r="H4068" i="8"/>
  <c r="H2067" i="8"/>
  <c r="H1988" i="8"/>
  <c r="H913" i="8"/>
  <c r="H1602" i="8"/>
  <c r="H3158" i="8"/>
  <c r="H3685" i="8"/>
  <c r="H2768" i="8"/>
  <c r="H3886" i="8"/>
  <c r="H1220" i="8"/>
  <c r="H2871" i="8"/>
  <c r="H2083" i="8"/>
  <c r="H1957" i="8"/>
  <c r="H1757" i="8"/>
  <c r="H3963" i="8"/>
  <c r="H1696" i="8"/>
  <c r="H4017" i="8"/>
  <c r="H648" i="8"/>
  <c r="H2924" i="8"/>
  <c r="H4317" i="8"/>
  <c r="H3301" i="8"/>
  <c r="H4095" i="8"/>
  <c r="H3184" i="8"/>
  <c r="H4120" i="8"/>
  <c r="H3067" i="8"/>
  <c r="H1461" i="8"/>
  <c r="H3275" i="8"/>
  <c r="H2755" i="8"/>
  <c r="H2552" i="8"/>
  <c r="H2923" i="8"/>
  <c r="H3567" i="8"/>
  <c r="H3210" i="8"/>
  <c r="H3474" i="8"/>
  <c r="H4343" i="8"/>
  <c r="H837" i="8"/>
  <c r="H3786" i="8"/>
  <c r="H4316" i="8"/>
  <c r="H1635" i="8"/>
  <c r="H3520" i="8"/>
  <c r="H3885" i="8"/>
  <c r="H1927" i="8"/>
  <c r="H1681" i="8"/>
  <c r="H2859" i="8"/>
  <c r="H206" i="1" l="1"/>
  <c r="H1249" i="8"/>
  <c r="H1250" i="8" s="1"/>
  <c r="G1241" i="8"/>
  <c r="H4122" i="8"/>
  <c r="G4116" i="8" s="1"/>
  <c r="H3266" i="8"/>
  <c r="H3267" i="8" s="1"/>
  <c r="G3257" i="8"/>
  <c r="H2444" i="8"/>
  <c r="G2437" i="8" s="1"/>
  <c r="H1248" i="8"/>
  <c r="H1241" i="8" s="1"/>
  <c r="H1222" i="8"/>
  <c r="G1217" i="8" s="1"/>
  <c r="H3289" i="8"/>
  <c r="H3812" i="8"/>
  <c r="H3824" i="8"/>
  <c r="H1881" i="8"/>
  <c r="H2099" i="8"/>
  <c r="H2100" i="8" s="1"/>
  <c r="G2092" i="8" s="1"/>
  <c r="H3040" i="8"/>
  <c r="H3042" i="8" s="1"/>
  <c r="H649" i="8"/>
  <c r="H650" i="8" s="1"/>
  <c r="H451" i="8"/>
  <c r="H452" i="8" s="1"/>
  <c r="H868" i="8"/>
  <c r="H870" i="8" s="1"/>
  <c r="H719" i="8"/>
  <c r="H1653" i="8"/>
  <c r="H1770" i="8"/>
  <c r="H3660" i="8"/>
  <c r="H3662" i="8" s="1"/>
  <c r="H3444" i="8"/>
  <c r="H3826" i="8"/>
  <c r="H3819" i="8" s="1"/>
  <c r="H2832" i="8"/>
  <c r="H2834" i="8" s="1"/>
  <c r="H1785" i="8"/>
  <c r="G1779" i="8" s="1"/>
  <c r="H3029" i="8"/>
  <c r="G3023" i="8" s="1"/>
  <c r="H2512" i="8"/>
  <c r="H2514" i="8" s="1"/>
  <c r="H1868" i="8"/>
  <c r="H884" i="8"/>
  <c r="H886" i="8" s="1"/>
  <c r="H1619" i="8"/>
  <c r="H1620" i="8" s="1"/>
  <c r="H1882" i="8"/>
  <c r="H1083" i="8"/>
  <c r="H1697" i="8"/>
  <c r="H1698" i="8" s="1"/>
  <c r="H1771" i="8"/>
  <c r="H2114" i="8"/>
  <c r="H2115" i="8" s="1"/>
  <c r="G2107" i="8" s="1"/>
  <c r="H3248" i="8"/>
  <c r="H3250" i="8" s="1"/>
  <c r="G3244" i="8" s="1"/>
  <c r="H1173" i="8"/>
  <c r="H4005" i="8"/>
  <c r="G3999" i="8" s="1"/>
  <c r="H941" i="8"/>
  <c r="H943" i="8" s="1"/>
  <c r="G937" i="8" s="1"/>
  <c r="H975" i="8"/>
  <c r="H2925" i="8"/>
  <c r="H3412" i="8"/>
  <c r="H1445" i="8"/>
  <c r="H718" i="8"/>
  <c r="H986" i="8"/>
  <c r="H988" i="8" s="1"/>
  <c r="H3619" i="8"/>
  <c r="H3621" i="8" s="1"/>
  <c r="H2858" i="8"/>
  <c r="H2860" i="8" s="1"/>
  <c r="H3898" i="8"/>
  <c r="H3900" i="8" s="1"/>
  <c r="H2754" i="8"/>
  <c r="H2756" i="8" s="1"/>
  <c r="H2470" i="8"/>
  <c r="H2472" i="8" s="1"/>
  <c r="H3443" i="8"/>
  <c r="H4237" i="8"/>
  <c r="H1064" i="8"/>
  <c r="H3066" i="8"/>
  <c r="H3068" i="8" s="1"/>
  <c r="G3062" i="8" s="1"/>
  <c r="H1634" i="8"/>
  <c r="H1636" i="8" s="1"/>
  <c r="H3460" i="8"/>
  <c r="H2578" i="8"/>
  <c r="H2580" i="8" s="1"/>
  <c r="G2574" i="8" s="1"/>
  <c r="H3473" i="8"/>
  <c r="H3475" i="8" s="1"/>
  <c r="G3468" i="8" s="1"/>
  <c r="H1538" i="8"/>
  <c r="H3798" i="8"/>
  <c r="H3800" i="8" s="1"/>
  <c r="G3794" i="8" s="1"/>
  <c r="H3936" i="8"/>
  <c r="H3938" i="8" s="1"/>
  <c r="G3932" i="8" s="1"/>
  <c r="H2690" i="8"/>
  <c r="H3235" i="8"/>
  <c r="H3237" i="8" s="1"/>
  <c r="H1555" i="8"/>
  <c r="H1556" i="8" s="1"/>
  <c r="G1547" i="8" s="1"/>
  <c r="H3698" i="8"/>
  <c r="H3079" i="8"/>
  <c r="H3081" i="8" s="1"/>
  <c r="G3075" i="8" s="1"/>
  <c r="H1913" i="8"/>
  <c r="H1002" i="8"/>
  <c r="H1003" i="8" s="1"/>
  <c r="H1713" i="8"/>
  <c r="H1714" i="8" s="1"/>
  <c r="G1705" i="8" s="1"/>
  <c r="H1413" i="8"/>
  <c r="H1796" i="8"/>
  <c r="H1798" i="8" s="1"/>
  <c r="H699" i="8"/>
  <c r="H3521" i="8"/>
  <c r="H3522" i="8" s="1"/>
  <c r="H598" i="8"/>
  <c r="H600" i="8" s="1"/>
  <c r="H3209" i="8"/>
  <c r="H3211" i="8" s="1"/>
  <c r="H3505" i="8"/>
  <c r="H3396" i="8"/>
  <c r="H3735" i="8"/>
  <c r="H3737" i="8" s="1"/>
  <c r="H3411" i="8"/>
  <c r="H3582" i="8"/>
  <c r="H3583" i="8" s="1"/>
  <c r="G3575" i="8" s="1"/>
  <c r="H3459" i="8"/>
  <c r="H1157" i="8"/>
  <c r="H4248" i="8"/>
  <c r="H4250" i="8" s="1"/>
  <c r="H3131" i="8"/>
  <c r="H3133" i="8" s="1"/>
  <c r="H1158" i="8"/>
  <c r="H1084" i="8"/>
  <c r="H2808" i="8"/>
  <c r="H2567" i="8"/>
  <c r="H1065" i="8"/>
  <c r="H1066" i="8" s="1"/>
  <c r="H2020" i="8"/>
  <c r="H2021" i="8" s="1"/>
  <c r="H1571" i="8"/>
  <c r="H4160" i="8"/>
  <c r="H4161" i="8" s="1"/>
  <c r="H3183" i="8"/>
  <c r="H3185" i="8" s="1"/>
  <c r="G3179" i="8" s="1"/>
  <c r="H1510" i="8"/>
  <c r="H3488" i="8"/>
  <c r="H3490" i="8" s="1"/>
  <c r="H3709" i="8"/>
  <c r="H3711" i="8" s="1"/>
  <c r="H4083" i="8"/>
  <c r="G4077" i="8" s="1"/>
  <c r="H504" i="8"/>
  <c r="H2416" i="8"/>
  <c r="G2409" i="8" s="1"/>
  <c r="H3722" i="8"/>
  <c r="H3724" i="8" s="1"/>
  <c r="G3718" i="8" s="1"/>
  <c r="H3092" i="8"/>
  <c r="H3094" i="8" s="1"/>
  <c r="G3088" i="8" s="1"/>
  <c r="H2084" i="8"/>
  <c r="H2085" i="8" s="1"/>
  <c r="H4107" i="8"/>
  <c r="H4109" i="8" s="1"/>
  <c r="G4103" i="8" s="1"/>
  <c r="H2052" i="8"/>
  <c r="H2053" i="8" s="1"/>
  <c r="H3536" i="8"/>
  <c r="H2132" i="8"/>
  <c r="H2133" i="8" s="1"/>
  <c r="G2122" i="8" s="1"/>
  <c r="H2741" i="8"/>
  <c r="H2743" i="8" s="1"/>
  <c r="G2737" i="8" s="1"/>
  <c r="H1728" i="8"/>
  <c r="H3537" i="8"/>
  <c r="H1729" i="8"/>
  <c r="H2554" i="8"/>
  <c r="H3300" i="8"/>
  <c r="H3302" i="8" s="1"/>
  <c r="G3296" i="8" s="1"/>
  <c r="H1446" i="8"/>
  <c r="H1958" i="8"/>
  <c r="H1959" i="8" s="1"/>
  <c r="H928" i="8"/>
  <c r="H930" i="8" s="1"/>
  <c r="G921" i="8" s="1"/>
  <c r="H2150" i="8"/>
  <c r="H3170" i="8"/>
  <c r="H3172" i="8" s="1"/>
  <c r="H2962" i="8"/>
  <c r="H2964" i="8" s="1"/>
  <c r="G2958" i="8" s="1"/>
  <c r="H3748" i="8"/>
  <c r="H3750" i="8" s="1"/>
  <c r="G3744" i="8" s="1"/>
  <c r="H2004" i="8"/>
  <c r="H3198" i="8"/>
  <c r="G3192" i="8" s="1"/>
  <c r="H3427" i="8"/>
  <c r="H2656" i="8"/>
  <c r="H2658" i="8" s="1"/>
  <c r="G2652" i="8" s="1"/>
  <c r="H2003" i="8"/>
  <c r="H1016" i="8"/>
  <c r="H435" i="8"/>
  <c r="H436" i="8" s="1"/>
  <c r="H561" i="8"/>
  <c r="H2936" i="8"/>
  <c r="H2938" i="8" s="1"/>
  <c r="G2932" i="8" s="1"/>
  <c r="H4044" i="8"/>
  <c r="H1812" i="8"/>
  <c r="G1805" i="8" s="1"/>
  <c r="H1603" i="8"/>
  <c r="H1604" i="8" s="1"/>
  <c r="G1595" i="8" s="1"/>
  <c r="H1103" i="8"/>
  <c r="H1104" i="8" s="1"/>
  <c r="H3976" i="8"/>
  <c r="H3978" i="8" s="1"/>
  <c r="H1652" i="8"/>
  <c r="H1743" i="8"/>
  <c r="H1744" i="8" s="1"/>
  <c r="G1737" i="8" s="1"/>
  <c r="H148" i="8"/>
  <c r="H2975" i="8"/>
  <c r="H2977" i="8" s="1"/>
  <c r="H4318" i="8"/>
  <c r="H912" i="8"/>
  <c r="H914" i="8" s="1"/>
  <c r="G908" i="8" s="1"/>
  <c r="H543" i="8"/>
  <c r="H787" i="8"/>
  <c r="H788" i="8" s="1"/>
  <c r="H4029" i="8"/>
  <c r="H4031" i="8" s="1"/>
  <c r="H1430" i="8"/>
  <c r="H1478" i="8"/>
  <c r="H3428" i="8"/>
  <c r="H2498" i="8"/>
  <c r="H2500" i="8" s="1"/>
  <c r="H580" i="8"/>
  <c r="H2167" i="8"/>
  <c r="H2168" i="8" s="1"/>
  <c r="G2158" i="8" s="1"/>
  <c r="H1972" i="8"/>
  <c r="H2400" i="8"/>
  <c r="H2402" i="8" s="1"/>
  <c r="H4222" i="8"/>
  <c r="H4224" i="8" s="1"/>
  <c r="H1989" i="8"/>
  <c r="H1928" i="8"/>
  <c r="H1929" i="8" s="1"/>
  <c r="H2068" i="8"/>
  <c r="H2069" i="8" s="1"/>
  <c r="H3949" i="8"/>
  <c r="H3951" i="8" s="1"/>
  <c r="H2526" i="8"/>
  <c r="H2528" i="8" s="1"/>
  <c r="G2521" i="8" s="1"/>
  <c r="H1462" i="8"/>
  <c r="H1463" i="8" s="1"/>
  <c r="H4329" i="8"/>
  <c r="H4331" i="8" s="1"/>
  <c r="H1210" i="8"/>
  <c r="G1205" i="8" s="1"/>
  <c r="H2036" i="8"/>
  <c r="H3274" i="8"/>
  <c r="H3276" i="8" s="1"/>
  <c r="G3270" i="8" s="1"/>
  <c r="H1046" i="8"/>
  <c r="H1047" i="8" s="1"/>
  <c r="H3594" i="8"/>
  <c r="H3596" i="8" s="1"/>
  <c r="H562" i="8"/>
  <c r="H1680" i="8"/>
  <c r="H1682" i="8" s="1"/>
  <c r="H2619" i="8"/>
  <c r="G2613" i="8" s="1"/>
  <c r="H616" i="8"/>
  <c r="H855" i="8"/>
  <c r="H3552" i="8"/>
  <c r="H3554" i="8" s="1"/>
  <c r="G3545" i="8" s="1"/>
  <c r="H769" i="8"/>
  <c r="H771" i="8" s="1"/>
  <c r="G765" i="8" s="1"/>
  <c r="H228" i="8"/>
  <c r="H2847" i="8"/>
  <c r="H2645" i="8"/>
  <c r="G2639" i="8" s="1"/>
  <c r="H3328" i="8"/>
  <c r="H1539" i="8"/>
  <c r="H1756" i="8"/>
  <c r="H1758" i="8" s="1"/>
  <c r="H3395" i="8"/>
  <c r="H542" i="8"/>
  <c r="H1570" i="8"/>
  <c r="H3144" i="8"/>
  <c r="H3146" i="8" s="1"/>
  <c r="H1973" i="8"/>
  <c r="H3504" i="8"/>
  <c r="H1509" i="8"/>
  <c r="H2456" i="8"/>
  <c r="H2458" i="8" s="1"/>
  <c r="H700" i="8"/>
  <c r="H3265" i="8"/>
  <c r="H3257" i="8" s="1"/>
  <c r="H2795" i="8"/>
  <c r="H3381" i="8"/>
  <c r="G3372" i="8" s="1"/>
  <c r="H1397" i="8"/>
  <c r="H1141" i="8"/>
  <c r="H1143" i="8" s="1"/>
  <c r="G1137" i="8" s="1"/>
  <c r="H1494" i="8"/>
  <c r="H1495" i="8" s="1"/>
  <c r="G1486" i="8" s="1"/>
  <c r="H2691" i="8"/>
  <c r="H149" i="8"/>
  <c r="H2873" i="8"/>
  <c r="H838" i="8"/>
  <c r="H839" i="8" s="1"/>
  <c r="H524" i="8"/>
  <c r="H2819" i="8"/>
  <c r="H2821" i="8" s="1"/>
  <c r="H1414" i="8"/>
  <c r="H1198" i="8"/>
  <c r="H2606" i="8"/>
  <c r="H3923" i="8"/>
  <c r="H3925" i="8" s="1"/>
  <c r="G3919" i="8" s="1"/>
  <c r="H334" i="8"/>
  <c r="H335" i="8" s="1"/>
  <c r="H1017" i="8"/>
  <c r="H1477" i="8"/>
  <c r="H581" i="8"/>
  <c r="H3887" i="8"/>
  <c r="H1587" i="8"/>
  <c r="H1588" i="8" s="1"/>
  <c r="H2149" i="8"/>
  <c r="H805" i="8"/>
  <c r="H806" i="8" s="1"/>
  <c r="H4342" i="8"/>
  <c r="H4344" i="8" s="1"/>
  <c r="H2671" i="8"/>
  <c r="H632" i="8"/>
  <c r="H634" i="8" s="1"/>
  <c r="H854" i="8"/>
  <c r="H3912" i="8"/>
  <c r="H503" i="8"/>
  <c r="H2446" i="8"/>
  <c r="H2437" i="8" s="1"/>
  <c r="H2484" i="8"/>
  <c r="H2486" i="8" s="1"/>
  <c r="G2479" i="8" s="1"/>
  <c r="H3313" i="8"/>
  <c r="H3315" i="8" s="1"/>
  <c r="H2782" i="8"/>
  <c r="H2769" i="8"/>
  <c r="G2763" i="8" s="1"/>
  <c r="H1667" i="8"/>
  <c r="G1661" i="8" s="1"/>
  <c r="H1258" i="8"/>
  <c r="G1253" i="8" s="1"/>
  <c r="H1526" i="8"/>
  <c r="H2712" i="8"/>
  <c r="H2713" i="8" s="1"/>
  <c r="G2699" i="8" s="1"/>
  <c r="H3159" i="8"/>
  <c r="G3153" i="8" s="1"/>
  <c r="H1943" i="8"/>
  <c r="H1944" i="8" s="1"/>
  <c r="G1936" i="8" s="1"/>
  <c r="H4016" i="8"/>
  <c r="H4018" i="8" s="1"/>
  <c r="G4012" i="8" s="1"/>
  <c r="H4070" i="8"/>
  <c r="H3224" i="8"/>
  <c r="H1398" i="8"/>
  <c r="H4096" i="8"/>
  <c r="G4090" i="8" s="1"/>
  <c r="H2630" i="8"/>
  <c r="H2632" i="8" s="1"/>
  <c r="G2626" i="8" s="1"/>
  <c r="H1234" i="8"/>
  <c r="G1229" i="8" s="1"/>
  <c r="H737" i="8"/>
  <c r="H3851" i="8"/>
  <c r="H2951" i="8"/>
  <c r="H3992" i="8"/>
  <c r="H3787" i="8"/>
  <c r="G3782" i="8" s="1"/>
  <c r="H3568" i="8"/>
  <c r="G3561" i="8" s="1"/>
  <c r="H738" i="8"/>
  <c r="H3634" i="8"/>
  <c r="G3628" i="8" s="1"/>
  <c r="H1825" i="8"/>
  <c r="H1826" i="8" s="1"/>
  <c r="G1819" i="8" s="1"/>
  <c r="H2988" i="8"/>
  <c r="H2990" i="8" s="1"/>
  <c r="G2984" i="8" s="1"/>
  <c r="H2035" i="8"/>
  <c r="H617" i="8"/>
  <c r="H3055" i="8"/>
  <c r="H2910" i="8"/>
  <c r="H2912" i="8" s="1"/>
  <c r="G2906" i="8" s="1"/>
  <c r="H2428" i="8"/>
  <c r="H2430" i="8" s="1"/>
  <c r="G2423" i="8" s="1"/>
  <c r="H227" i="8"/>
  <c r="H1912" i="8"/>
  <c r="H822" i="8"/>
  <c r="H823" i="8" s="1"/>
  <c r="G813" i="8" s="1"/>
  <c r="H2593" i="8"/>
  <c r="H758" i="8"/>
  <c r="H3003" i="8"/>
  <c r="H3761" i="8"/>
  <c r="H3763" i="8" s="1"/>
  <c r="G3757" i="8" s="1"/>
  <c r="H664" i="8"/>
  <c r="H666" i="8" s="1"/>
  <c r="G657" i="8" s="1"/>
  <c r="H3964" i="8"/>
  <c r="G3958" i="8" s="1"/>
  <c r="H1429" i="8"/>
  <c r="H4055" i="8"/>
  <c r="H4057" i="8" s="1"/>
  <c r="G4051" i="8" s="1"/>
  <c r="H523" i="8"/>
  <c r="H3686" i="8"/>
  <c r="G3682" i="8" s="1"/>
  <c r="J174" i="1"/>
  <c r="H4125" i="8"/>
  <c r="H4126" i="8" s="1"/>
  <c r="J159" i="1"/>
  <c r="J109" i="1"/>
  <c r="J169" i="1"/>
  <c r="J571" i="1"/>
  <c r="J175" i="1"/>
  <c r="J705" i="1"/>
  <c r="J235" i="1"/>
  <c r="J183" i="1"/>
  <c r="J170" i="1"/>
  <c r="J188" i="1"/>
  <c r="J147" i="1"/>
  <c r="J557" i="1"/>
  <c r="J334" i="1"/>
  <c r="J201" i="1"/>
  <c r="J203" i="1"/>
  <c r="J309" i="1"/>
  <c r="J335" i="1"/>
  <c r="J146" i="1"/>
  <c r="J168" i="1"/>
  <c r="J181" i="1"/>
  <c r="J171" i="1"/>
  <c r="J173" i="1"/>
  <c r="J199" i="1"/>
  <c r="J81" i="1"/>
  <c r="T81" i="1" s="1"/>
  <c r="T86" i="1" s="1"/>
  <c r="T99" i="1" s="1"/>
  <c r="J178" i="1"/>
  <c r="J172" i="1"/>
  <c r="J572" i="1"/>
  <c r="J190" i="1"/>
  <c r="J556" i="1"/>
  <c r="X572" i="1" l="1"/>
  <c r="W572" i="1"/>
  <c r="Y168" i="1"/>
  <c r="X168" i="1"/>
  <c r="Z168" i="1"/>
  <c r="T147" i="1"/>
  <c r="U147" i="1"/>
  <c r="X169" i="1"/>
  <c r="Z169" i="1"/>
  <c r="Y169" i="1"/>
  <c r="Y172" i="1"/>
  <c r="X172" i="1"/>
  <c r="Z172" i="1"/>
  <c r="X173" i="1"/>
  <c r="Z173" i="1"/>
  <c r="Y173" i="1"/>
  <c r="T146" i="1"/>
  <c r="U146" i="1"/>
  <c r="V201" i="1"/>
  <c r="U201" i="1"/>
  <c r="W188" i="1"/>
  <c r="V188" i="1"/>
  <c r="U188" i="1"/>
  <c r="Y705" i="1"/>
  <c r="U705" i="1"/>
  <c r="X705" i="1"/>
  <c r="W705" i="1"/>
  <c r="V705" i="1"/>
  <c r="S109" i="1"/>
  <c r="R109" i="1"/>
  <c r="T109" i="1"/>
  <c r="V556" i="1"/>
  <c r="U556" i="1"/>
  <c r="T178" i="1"/>
  <c r="S178" i="1"/>
  <c r="Z171" i="1"/>
  <c r="Y171" i="1"/>
  <c r="X171" i="1"/>
  <c r="V335" i="1"/>
  <c r="U335" i="1"/>
  <c r="W335" i="1"/>
  <c r="P335" i="1"/>
  <c r="P334" i="1"/>
  <c r="W334" i="1"/>
  <c r="V334" i="1"/>
  <c r="U334" i="1"/>
  <c r="Z170" i="1"/>
  <c r="Y170" i="1"/>
  <c r="X170" i="1"/>
  <c r="Z175" i="1"/>
  <c r="Y175" i="1"/>
  <c r="X175" i="1"/>
  <c r="U159" i="1"/>
  <c r="T159" i="1"/>
  <c r="S159" i="1"/>
  <c r="V159" i="1"/>
  <c r="H2447" i="8"/>
  <c r="H2448" i="8" s="1"/>
  <c r="V199" i="1"/>
  <c r="U199" i="1"/>
  <c r="V203" i="1"/>
  <c r="U203" i="1"/>
  <c r="W235" i="1"/>
  <c r="S235" i="1"/>
  <c r="V235" i="1"/>
  <c r="P235" i="1"/>
  <c r="U235" i="1"/>
  <c r="T235" i="1"/>
  <c r="Z174" i="1"/>
  <c r="Y174" i="1"/>
  <c r="X174" i="1"/>
  <c r="U190" i="1"/>
  <c r="W190" i="1"/>
  <c r="V190" i="1"/>
  <c r="T181" i="1"/>
  <c r="S181" i="1"/>
  <c r="V309" i="1"/>
  <c r="P309" i="1"/>
  <c r="U309" i="1"/>
  <c r="T309" i="1"/>
  <c r="S309" i="1"/>
  <c r="W309" i="1"/>
  <c r="V557" i="1"/>
  <c r="U557" i="1"/>
  <c r="T183" i="1"/>
  <c r="S183" i="1"/>
  <c r="X571" i="1"/>
  <c r="W571" i="1"/>
  <c r="I206" i="1"/>
  <c r="L206" i="1"/>
  <c r="H916" i="8"/>
  <c r="H908" i="8" s="1"/>
  <c r="H4124" i="8"/>
  <c r="H4116" i="8" s="1"/>
  <c r="H560" i="1"/>
  <c r="H126" i="1"/>
  <c r="H574" i="1"/>
  <c r="H135" i="1"/>
  <c r="H488" i="1"/>
  <c r="H494" i="1"/>
  <c r="H527" i="1"/>
  <c r="H397" i="1"/>
  <c r="H509" i="1"/>
  <c r="H293" i="1"/>
  <c r="H603" i="1"/>
  <c r="H445" i="1"/>
  <c r="H308" i="1"/>
  <c r="H388" i="1"/>
  <c r="H515" i="1"/>
  <c r="H420" i="1"/>
  <c r="H313" i="1"/>
  <c r="H349" i="1"/>
  <c r="H213" i="1"/>
  <c r="H246" i="1"/>
  <c r="H208" i="1"/>
  <c r="H155" i="1"/>
  <c r="H296" i="1"/>
  <c r="H490" i="1"/>
  <c r="H518" i="1"/>
  <c r="H567" i="1"/>
  <c r="H540" i="1"/>
  <c r="H259" i="1"/>
  <c r="H514" i="1"/>
  <c r="H210" i="1"/>
  <c r="H211" i="1"/>
  <c r="H507" i="1"/>
  <c r="H288" i="1"/>
  <c r="H424" i="1"/>
  <c r="H200" i="1"/>
  <c r="H132" i="1"/>
  <c r="H448" i="1"/>
  <c r="H262" i="1"/>
  <c r="H569" i="1"/>
  <c r="H156" i="1"/>
  <c r="H629" i="1"/>
  <c r="H418" i="1"/>
  <c r="H162" i="1"/>
  <c r="H389" i="1"/>
  <c r="H630" i="1"/>
  <c r="H606" i="1"/>
  <c r="H449" i="1"/>
  <c r="H460" i="1"/>
  <c r="H476" i="1"/>
  <c r="H450" i="1"/>
  <c r="H538" i="1"/>
  <c r="H516" i="1"/>
  <c r="H312" i="1"/>
  <c r="H492" i="1"/>
  <c r="H391" i="1"/>
  <c r="H501" i="1"/>
  <c r="H500" i="1"/>
  <c r="H497" i="1"/>
  <c r="H421" i="1"/>
  <c r="H212" i="1"/>
  <c r="H3058" i="8"/>
  <c r="H3059" i="8" s="1"/>
  <c r="G3049" i="8"/>
  <c r="H3953" i="8"/>
  <c r="H3945" i="8" s="1"/>
  <c r="G3945" i="8"/>
  <c r="H3713" i="8"/>
  <c r="H3705" i="8" s="1"/>
  <c r="G3705" i="8"/>
  <c r="H3135" i="8"/>
  <c r="H3127" i="8" s="1"/>
  <c r="G3127" i="8"/>
  <c r="H4239" i="8"/>
  <c r="H4231" i="8" s="1"/>
  <c r="G4231" i="8"/>
  <c r="H2836" i="8"/>
  <c r="H2828" i="8" s="1"/>
  <c r="G2828" i="8"/>
  <c r="H917" i="8"/>
  <c r="H918" i="8" s="1"/>
  <c r="H3227" i="8"/>
  <c r="H3228" i="8" s="1"/>
  <c r="G3218" i="8"/>
  <c r="H4346" i="8"/>
  <c r="H4338" i="8" s="1"/>
  <c r="G4338" i="8"/>
  <c r="H3889" i="8"/>
  <c r="H3881" i="8" s="1"/>
  <c r="G3881" i="8"/>
  <c r="H4334" i="8"/>
  <c r="H4335" i="8" s="1"/>
  <c r="G4325" i="8"/>
  <c r="H2404" i="8"/>
  <c r="H2395" i="8" s="1"/>
  <c r="G2395" i="8"/>
  <c r="H4034" i="8"/>
  <c r="H4035" i="8" s="1"/>
  <c r="G4025" i="8"/>
  <c r="H2557" i="8"/>
  <c r="H2558" i="8" s="1"/>
  <c r="G2548" i="8"/>
  <c r="H3493" i="8"/>
  <c r="H3494" i="8" s="1"/>
  <c r="G3482" i="8"/>
  <c r="H4252" i="8"/>
  <c r="H4244" i="8" s="1"/>
  <c r="G4244" i="8"/>
  <c r="H1801" i="8"/>
  <c r="H1802" i="8" s="1"/>
  <c r="G1792" i="8"/>
  <c r="H3239" i="8"/>
  <c r="H3231" i="8" s="1"/>
  <c r="G3231" i="8"/>
  <c r="H1639" i="8"/>
  <c r="H1640" i="8" s="1"/>
  <c r="G1627" i="8"/>
  <c r="H2862" i="8"/>
  <c r="H2854" i="8" s="1"/>
  <c r="G2854" i="8"/>
  <c r="H761" i="8"/>
  <c r="H762" i="8" s="1"/>
  <c r="G746" i="8"/>
  <c r="H3318" i="8"/>
  <c r="H3319" i="8" s="1"/>
  <c r="G3309" i="8"/>
  <c r="H2673" i="8"/>
  <c r="H2665" i="8" s="1"/>
  <c r="G2665" i="8"/>
  <c r="H841" i="8"/>
  <c r="H830" i="8" s="1"/>
  <c r="G830" i="8"/>
  <c r="H2798" i="8"/>
  <c r="H2799" i="8" s="1"/>
  <c r="G2789" i="8"/>
  <c r="H3648" i="8"/>
  <c r="H3641" i="8" s="1"/>
  <c r="G3641" i="8"/>
  <c r="H555" i="1" s="1"/>
  <c r="L555" i="1" s="1"/>
  <c r="H2055" i="8"/>
  <c r="H2044" i="8" s="1"/>
  <c r="G2044" i="8"/>
  <c r="H4164" i="8"/>
  <c r="H4165" i="8" s="1"/>
  <c r="G4151" i="8"/>
  <c r="H2569" i="8"/>
  <c r="H2561" i="8" s="1"/>
  <c r="G2561" i="8"/>
  <c r="H3902" i="8"/>
  <c r="H3894" i="8" s="1"/>
  <c r="G3894" i="8"/>
  <c r="H2595" i="8"/>
  <c r="H2587" i="8" s="1"/>
  <c r="G2587" i="8"/>
  <c r="H3914" i="8"/>
  <c r="G3907" i="8"/>
  <c r="H338" i="8"/>
  <c r="H339" i="8" s="1"/>
  <c r="G322" i="8"/>
  <c r="H2876" i="8"/>
  <c r="H2877" i="8" s="1"/>
  <c r="G2867" i="8"/>
  <c r="H3331" i="8"/>
  <c r="H3332" i="8" s="1"/>
  <c r="G3322" i="8"/>
  <c r="H1049" i="8"/>
  <c r="H1036" i="8" s="1"/>
  <c r="G1036" i="8"/>
  <c r="H2072" i="8"/>
  <c r="H2073" i="8" s="1"/>
  <c r="G2060" i="8"/>
  <c r="H2502" i="8"/>
  <c r="H2493" i="8" s="1"/>
  <c r="G2493" i="8"/>
  <c r="H4320" i="8"/>
  <c r="H4312" i="8" s="1"/>
  <c r="G4312" i="8"/>
  <c r="H2811" i="8"/>
  <c r="H2812" i="8" s="1"/>
  <c r="G2802" i="8"/>
  <c r="H3214" i="8"/>
  <c r="H3215" i="8" s="1"/>
  <c r="G3205" i="8"/>
  <c r="H2516" i="8"/>
  <c r="H2507" i="8" s="1"/>
  <c r="G2507" i="8"/>
  <c r="H652" i="8"/>
  <c r="H641" i="8" s="1"/>
  <c r="G641" i="8"/>
  <c r="H3827" i="8"/>
  <c r="H3828" i="8" s="1"/>
  <c r="G3819" i="8"/>
  <c r="H1225" i="8"/>
  <c r="H1226" i="8" s="1"/>
  <c r="H2954" i="8"/>
  <c r="H2955" i="8" s="1"/>
  <c r="G2945" i="8"/>
  <c r="H4073" i="8"/>
  <c r="H4074" i="8" s="1"/>
  <c r="G4064" i="8"/>
  <c r="H808" i="8"/>
  <c r="H795" i="8" s="1"/>
  <c r="G795" i="8"/>
  <c r="H2824" i="8"/>
  <c r="H2825" i="8" s="1"/>
  <c r="G2815" i="8"/>
  <c r="H1685" i="8"/>
  <c r="H1686" i="8" s="1"/>
  <c r="G1674" i="8"/>
  <c r="H1465" i="8"/>
  <c r="H1454" i="8" s="1"/>
  <c r="G1454" i="8"/>
  <c r="H1932" i="8"/>
  <c r="H1933" i="8" s="1"/>
  <c r="G1921" i="8"/>
  <c r="H790" i="8"/>
  <c r="H778" i="8" s="1"/>
  <c r="G778" i="8"/>
  <c r="H2979" i="8"/>
  <c r="H2971" i="8" s="1"/>
  <c r="G2971" i="8"/>
  <c r="H3980" i="8"/>
  <c r="H3971" i="8" s="1"/>
  <c r="G3971" i="8"/>
  <c r="H439" i="8"/>
  <c r="H440" i="8" s="1"/>
  <c r="G429" i="8"/>
  <c r="H1962" i="8"/>
  <c r="H1963" i="8" s="1"/>
  <c r="G1951" i="8"/>
  <c r="H2087" i="8"/>
  <c r="H2076" i="8" s="1"/>
  <c r="G2076" i="8"/>
  <c r="H2024" i="8"/>
  <c r="H2025" i="8" s="1"/>
  <c r="G2012" i="8"/>
  <c r="H3740" i="8"/>
  <c r="H3741" i="8" s="1"/>
  <c r="G3731" i="8"/>
  <c r="H602" i="8"/>
  <c r="H589" i="8" s="1"/>
  <c r="G589" i="8"/>
  <c r="H2474" i="8"/>
  <c r="H2465" i="8" s="1"/>
  <c r="G2465" i="8"/>
  <c r="H3623" i="8"/>
  <c r="H3615" i="8" s="1"/>
  <c r="G3615" i="8"/>
  <c r="H1622" i="8"/>
  <c r="H1611" i="8" s="1"/>
  <c r="G1611" i="8"/>
  <c r="H3044" i="8"/>
  <c r="H3036" i="8" s="1"/>
  <c r="G3036" i="8"/>
  <c r="H3815" i="8"/>
  <c r="H3816" i="8" s="1"/>
  <c r="G3807" i="8"/>
  <c r="H1590" i="8"/>
  <c r="H1579" i="8" s="1"/>
  <c r="G1579" i="8"/>
  <c r="H1201" i="8"/>
  <c r="H1202" i="8" s="1"/>
  <c r="G1193" i="8"/>
  <c r="H3598" i="8"/>
  <c r="H3590" i="8" s="1"/>
  <c r="G3590" i="8"/>
  <c r="H4226" i="8"/>
  <c r="H4218" i="8" s="1"/>
  <c r="G4218" i="8"/>
  <c r="H1005" i="8"/>
  <c r="H995" i="8" s="1"/>
  <c r="G995" i="8"/>
  <c r="H978" i="8"/>
  <c r="H979" i="8" s="1"/>
  <c r="G969" i="8"/>
  <c r="H1871" i="8"/>
  <c r="H1872" i="8" s="1"/>
  <c r="G1862" i="8"/>
  <c r="H454" i="8"/>
  <c r="H443" i="8" s="1"/>
  <c r="G443" i="8"/>
  <c r="H3995" i="8"/>
  <c r="H3996" i="8" s="1"/>
  <c r="G3985" i="8"/>
  <c r="H1224" i="8"/>
  <c r="H1217" i="8" s="1"/>
  <c r="H3005" i="8"/>
  <c r="H2997" i="8" s="1"/>
  <c r="G2997" i="8"/>
  <c r="H3854" i="8"/>
  <c r="H3855" i="8" s="1"/>
  <c r="G3845" i="8"/>
  <c r="H1529" i="8"/>
  <c r="H1530" i="8" s="1"/>
  <c r="G1518" i="8"/>
  <c r="H2785" i="8"/>
  <c r="H2786" i="8" s="1"/>
  <c r="G2776" i="8"/>
  <c r="H637" i="8"/>
  <c r="H638" i="8" s="1"/>
  <c r="G625" i="8"/>
  <c r="H2608" i="8"/>
  <c r="H2600" i="8" s="1"/>
  <c r="G2600" i="8"/>
  <c r="H2460" i="8"/>
  <c r="H2451" i="8" s="1"/>
  <c r="G2451" i="8"/>
  <c r="H3148" i="8"/>
  <c r="H3140" i="8" s="1"/>
  <c r="G3140" i="8"/>
  <c r="H1761" i="8"/>
  <c r="H1762" i="8" s="1"/>
  <c r="G1751" i="8"/>
  <c r="H2849" i="8"/>
  <c r="H2841" i="8" s="1"/>
  <c r="G2841" i="8"/>
  <c r="H1991" i="8"/>
  <c r="H1981" i="8" s="1"/>
  <c r="G1981" i="8"/>
  <c r="H1106" i="8"/>
  <c r="H1092" i="8" s="1"/>
  <c r="G1092" i="8"/>
  <c r="H4047" i="8"/>
  <c r="H4048" i="8" s="1"/>
  <c r="G4038" i="8"/>
  <c r="H3175" i="8"/>
  <c r="H3176" i="8" s="1"/>
  <c r="G3166" i="8"/>
  <c r="H1068" i="8"/>
  <c r="H1054" i="8" s="1"/>
  <c r="G1054" i="8"/>
  <c r="H3525" i="8"/>
  <c r="H3526" i="8" s="1"/>
  <c r="G3513" i="8"/>
  <c r="H3700" i="8"/>
  <c r="H3693" i="8" s="1"/>
  <c r="G3693" i="8"/>
  <c r="H2758" i="8"/>
  <c r="H2750" i="8" s="1"/>
  <c r="G2750" i="8"/>
  <c r="H990" i="8"/>
  <c r="H982" i="8" s="1"/>
  <c r="G982" i="8"/>
  <c r="H2927" i="8"/>
  <c r="H2919" i="8" s="1"/>
  <c r="G2919" i="8"/>
  <c r="H1176" i="8"/>
  <c r="H1177" i="8" s="1"/>
  <c r="G1166" i="8"/>
  <c r="H1700" i="8"/>
  <c r="H1689" i="8" s="1"/>
  <c r="G1689" i="8"/>
  <c r="H888" i="8"/>
  <c r="H877" i="8" s="1"/>
  <c r="G877" i="8"/>
  <c r="H3665" i="8"/>
  <c r="H3666" i="8" s="1"/>
  <c r="G3653" i="8"/>
  <c r="H872" i="8"/>
  <c r="H863" i="8" s="1"/>
  <c r="G863" i="8"/>
  <c r="H3292" i="8"/>
  <c r="H3293" i="8" s="1"/>
  <c r="G3283" i="8"/>
  <c r="H3291" i="8"/>
  <c r="H3283" i="8" s="1"/>
  <c r="H1772" i="8"/>
  <c r="H1775" i="8" s="1"/>
  <c r="H1776" i="8" s="1"/>
  <c r="H3814" i="8"/>
  <c r="H3807" i="8" s="1"/>
  <c r="H1479" i="8"/>
  <c r="H2475" i="8"/>
  <c r="H2476" i="8" s="1"/>
  <c r="H3624" i="8"/>
  <c r="H3625" i="8" s="1"/>
  <c r="H3649" i="8"/>
  <c r="H3650" i="8" s="1"/>
  <c r="H3538" i="8"/>
  <c r="H3445" i="8"/>
  <c r="G3436" i="8" s="1"/>
  <c r="H1883" i="8"/>
  <c r="H4253" i="8"/>
  <c r="H4254" i="8" s="1"/>
  <c r="H3664" i="8"/>
  <c r="H3653" i="8" s="1"/>
  <c r="H1654" i="8"/>
  <c r="H1657" i="8" s="1"/>
  <c r="H1658" i="8" s="1"/>
  <c r="H720" i="8"/>
  <c r="H4240" i="8"/>
  <c r="H4241" i="8" s="1"/>
  <c r="H1870" i="8"/>
  <c r="H1862" i="8" s="1"/>
  <c r="H563" i="8"/>
  <c r="H4227" i="8"/>
  <c r="H4228" i="8" s="1"/>
  <c r="H2692" i="8"/>
  <c r="H3903" i="8"/>
  <c r="H3904" i="8" s="1"/>
  <c r="H2784" i="8"/>
  <c r="H2776" i="8" s="1"/>
  <c r="H1466" i="8"/>
  <c r="H1467" i="8" s="1"/>
  <c r="H1787" i="8"/>
  <c r="H1779" i="8" s="1"/>
  <c r="H1788" i="8"/>
  <c r="H1789" i="8" s="1"/>
  <c r="H4046" i="8"/>
  <c r="H4038" i="8" s="1"/>
  <c r="H2797" i="8"/>
  <c r="H2789" i="8" s="1"/>
  <c r="H4033" i="8"/>
  <c r="H4025" i="8" s="1"/>
  <c r="H701" i="8"/>
  <c r="H3031" i="8"/>
  <c r="H3023" i="8" s="1"/>
  <c r="H3032" i="8"/>
  <c r="H3033" i="8" s="1"/>
  <c r="H873" i="8"/>
  <c r="H874" i="8" s="1"/>
  <c r="H1085" i="8"/>
  <c r="H1088" i="8" s="1"/>
  <c r="H1089" i="8" s="1"/>
  <c r="H977" i="8"/>
  <c r="H969" i="8" s="1"/>
  <c r="H1050" i="8"/>
  <c r="H1051" i="8" s="1"/>
  <c r="H1528" i="8"/>
  <c r="H1518" i="8" s="1"/>
  <c r="H2850" i="8"/>
  <c r="H2851" i="8" s="1"/>
  <c r="H2570" i="8"/>
  <c r="H2571" i="8" s="1"/>
  <c r="H2928" i="8"/>
  <c r="H2929" i="8" s="1"/>
  <c r="H1175" i="8"/>
  <c r="H1166" i="8" s="1"/>
  <c r="H1914" i="8"/>
  <c r="H3136" i="8"/>
  <c r="H3137" i="8" s="1"/>
  <c r="H1159" i="8"/>
  <c r="H791" i="8"/>
  <c r="H792" i="8" s="1"/>
  <c r="H3413" i="8"/>
  <c r="H3415" i="8" s="1"/>
  <c r="H3404" i="8" s="1"/>
  <c r="H505" i="8"/>
  <c r="H3397" i="8"/>
  <c r="H1447" i="8"/>
  <c r="H4007" i="8"/>
  <c r="H3999" i="8" s="1"/>
  <c r="H4008" i="8"/>
  <c r="H4009" i="8" s="1"/>
  <c r="H3149" i="8"/>
  <c r="H3150" i="8" s="1"/>
  <c r="H4163" i="8"/>
  <c r="H4151" i="8" s="1"/>
  <c r="H3492" i="8"/>
  <c r="H3482" i="8" s="1"/>
  <c r="H337" i="8"/>
  <c r="H322" i="8" s="1"/>
  <c r="H150" i="8"/>
  <c r="H3599" i="8"/>
  <c r="H3600" i="8" s="1"/>
  <c r="H760" i="8"/>
  <c r="H746" i="8" s="1"/>
  <c r="H3890" i="8"/>
  <c r="H3891" i="8" s="1"/>
  <c r="H1701" i="8"/>
  <c r="H1702" i="8" s="1"/>
  <c r="H1623" i="8"/>
  <c r="H1624" i="8" s="1"/>
  <c r="H2503" i="8"/>
  <c r="H2504" i="8" s="1"/>
  <c r="H2136" i="8"/>
  <c r="H2137" i="8" s="1"/>
  <c r="H2135" i="8"/>
  <c r="H2122" i="8" s="1"/>
  <c r="H3084" i="8"/>
  <c r="H3085" i="8" s="1"/>
  <c r="H3083" i="8"/>
  <c r="H3075" i="8" s="1"/>
  <c r="H2875" i="8"/>
  <c r="H2867" i="8" s="1"/>
  <c r="H3057" i="8"/>
  <c r="H3049" i="8" s="1"/>
  <c r="H1069" i="8"/>
  <c r="H1070" i="8" s="1"/>
  <c r="H2596" i="8"/>
  <c r="H2597" i="8" s="1"/>
  <c r="H1107" i="8"/>
  <c r="H1108" i="8" s="1"/>
  <c r="H3461" i="8"/>
  <c r="H582" i="8"/>
  <c r="H3045" i="8"/>
  <c r="H3046" i="8" s="1"/>
  <c r="H3429" i="8"/>
  <c r="H2823" i="8"/>
  <c r="H2815" i="8" s="1"/>
  <c r="H1415" i="8"/>
  <c r="H2151" i="8"/>
  <c r="H438" i="8"/>
  <c r="H429" i="8" s="1"/>
  <c r="H3213" i="8"/>
  <c r="H3205" i="8" s="1"/>
  <c r="H1800" i="8"/>
  <c r="H1792" i="8" s="1"/>
  <c r="H653" i="8"/>
  <c r="H654" i="8" s="1"/>
  <c r="H2517" i="8"/>
  <c r="H2518" i="8" s="1"/>
  <c r="H809" i="8"/>
  <c r="H810" i="8" s="1"/>
  <c r="H1200" i="8"/>
  <c r="H1193" i="8" s="1"/>
  <c r="H1760" i="8"/>
  <c r="H1751" i="8" s="1"/>
  <c r="H1540" i="8"/>
  <c r="H3941" i="8"/>
  <c r="H3942" i="8" s="1"/>
  <c r="H3940" i="8"/>
  <c r="H3932" i="8" s="1"/>
  <c r="H3586" i="8"/>
  <c r="H3587" i="8" s="1"/>
  <c r="H3585" i="8"/>
  <c r="H3575" i="8" s="1"/>
  <c r="H3803" i="8"/>
  <c r="H3804" i="8" s="1"/>
  <c r="H3802" i="8"/>
  <c r="H3794" i="8" s="1"/>
  <c r="H945" i="8"/>
  <c r="H937" i="8" s="1"/>
  <c r="H946" i="8"/>
  <c r="H947" i="8" s="1"/>
  <c r="H3174" i="8"/>
  <c r="H3166" i="8" s="1"/>
  <c r="H1992" i="8"/>
  <c r="H1993" i="8" s="1"/>
  <c r="H3701" i="8"/>
  <c r="H3702" i="8" s="1"/>
  <c r="H3981" i="8"/>
  <c r="H3982" i="8" s="1"/>
  <c r="H991" i="8"/>
  <c r="H992" i="8" s="1"/>
  <c r="H842" i="8"/>
  <c r="H843" i="8" s="1"/>
  <c r="H4333" i="8"/>
  <c r="H4325" i="8" s="1"/>
  <c r="H1018" i="8"/>
  <c r="H1511" i="8"/>
  <c r="H1572" i="8"/>
  <c r="H2980" i="8"/>
  <c r="H2981" i="8" s="1"/>
  <c r="H3524" i="8"/>
  <c r="H3513" i="8" s="1"/>
  <c r="H2863" i="8"/>
  <c r="H2864" i="8" s="1"/>
  <c r="H3506" i="8"/>
  <c r="H3994" i="8"/>
  <c r="H3985" i="8" s="1"/>
  <c r="H3240" i="8"/>
  <c r="H3241" i="8" s="1"/>
  <c r="H3752" i="8"/>
  <c r="H3744" i="8" s="1"/>
  <c r="H3753" i="8"/>
  <c r="H3754" i="8" s="1"/>
  <c r="H932" i="8"/>
  <c r="H921" i="8" s="1"/>
  <c r="H933" i="8"/>
  <c r="H934" i="8" s="1"/>
  <c r="H2745" i="8"/>
  <c r="H2737" i="8" s="1"/>
  <c r="H2746" i="8"/>
  <c r="H2747" i="8" s="1"/>
  <c r="H636" i="8"/>
  <c r="H625" i="8" s="1"/>
  <c r="H2405" i="8"/>
  <c r="H2406" i="8" s="1"/>
  <c r="H2609" i="8"/>
  <c r="H2610" i="8" s="1"/>
  <c r="H603" i="8"/>
  <c r="H604" i="8" s="1"/>
  <c r="H3317" i="8"/>
  <c r="H3309" i="8" s="1"/>
  <c r="H3954" i="8"/>
  <c r="H3955" i="8" s="1"/>
  <c r="H2556" i="8"/>
  <c r="H2548" i="8" s="1"/>
  <c r="H2953" i="8"/>
  <c r="H2945" i="8" s="1"/>
  <c r="H2810" i="8"/>
  <c r="H2802" i="8" s="1"/>
  <c r="H3714" i="8"/>
  <c r="H3715" i="8" s="1"/>
  <c r="H2837" i="8"/>
  <c r="H2838" i="8" s="1"/>
  <c r="H1006" i="8"/>
  <c r="H1007" i="8" s="1"/>
  <c r="H2088" i="8"/>
  <c r="H2089" i="8" s="1"/>
  <c r="H4321" i="8"/>
  <c r="H4322" i="8" s="1"/>
  <c r="H1931" i="8"/>
  <c r="H1921" i="8" s="1"/>
  <c r="H2023" i="8"/>
  <c r="H2012" i="8" s="1"/>
  <c r="H2037" i="8"/>
  <c r="H3006" i="8"/>
  <c r="H3007" i="8" s="1"/>
  <c r="H3226" i="8"/>
  <c r="H3218" i="8" s="1"/>
  <c r="H1431" i="8"/>
  <c r="H1730" i="8"/>
  <c r="H3305" i="8"/>
  <c r="H3306" i="8" s="1"/>
  <c r="H3304" i="8"/>
  <c r="H3296" i="8" s="1"/>
  <c r="H2941" i="8"/>
  <c r="H2942" i="8" s="1"/>
  <c r="H2940" i="8"/>
  <c r="H2932" i="8" s="1"/>
  <c r="H2071" i="8"/>
  <c r="H2060" i="8" s="1"/>
  <c r="H2660" i="8"/>
  <c r="H2652" i="8" s="1"/>
  <c r="H2661" i="8"/>
  <c r="H2662" i="8" s="1"/>
  <c r="H2419" i="8"/>
  <c r="H2420" i="8" s="1"/>
  <c r="H2418" i="8"/>
  <c r="H2409" i="8" s="1"/>
  <c r="H2005" i="8"/>
  <c r="G1996" i="8" s="1"/>
  <c r="H3727" i="8"/>
  <c r="H3728" i="8" s="1"/>
  <c r="H3726" i="8"/>
  <c r="H3718" i="8" s="1"/>
  <c r="H455" i="8"/>
  <c r="H456" i="8" s="1"/>
  <c r="H565" i="8"/>
  <c r="H551" i="8" s="1"/>
  <c r="H2674" i="8"/>
  <c r="H2675" i="8" s="1"/>
  <c r="H3739" i="8"/>
  <c r="H3731" i="8" s="1"/>
  <c r="H2759" i="8"/>
  <c r="H2760" i="8" s="1"/>
  <c r="H1638" i="8"/>
  <c r="H1627" i="8" s="1"/>
  <c r="H889" i="8"/>
  <c r="H890" i="8" s="1"/>
  <c r="H3330" i="8"/>
  <c r="H3322" i="8" s="1"/>
  <c r="H2966" i="8"/>
  <c r="H2958" i="8" s="1"/>
  <c r="H2967" i="8"/>
  <c r="H2968" i="8" s="1"/>
  <c r="H1684" i="8"/>
  <c r="H1674" i="8" s="1"/>
  <c r="H3200" i="8"/>
  <c r="H3192" i="8" s="1"/>
  <c r="H3201" i="8"/>
  <c r="H3202" i="8" s="1"/>
  <c r="H4086" i="8"/>
  <c r="H4087" i="8" s="1"/>
  <c r="H4085" i="8"/>
  <c r="H4077" i="8" s="1"/>
  <c r="H2171" i="8"/>
  <c r="H2172" i="8" s="1"/>
  <c r="H2170" i="8"/>
  <c r="H2158" i="8" s="1"/>
  <c r="H1213" i="8"/>
  <c r="H1214" i="8" s="1"/>
  <c r="H1212" i="8"/>
  <c r="H1205" i="8" s="1"/>
  <c r="H1815" i="8"/>
  <c r="H1816" i="8" s="1"/>
  <c r="H1814" i="8"/>
  <c r="H1805" i="8" s="1"/>
  <c r="H1591" i="8"/>
  <c r="H1592" i="8" s="1"/>
  <c r="H618" i="8"/>
  <c r="H1974" i="8"/>
  <c r="G1966" i="8" s="1"/>
  <c r="H544" i="8"/>
  <c r="G532" i="8" s="1"/>
  <c r="H1885" i="8"/>
  <c r="H1875" i="8" s="1"/>
  <c r="H2582" i="8"/>
  <c r="H2574" i="8" s="1"/>
  <c r="H2583" i="8"/>
  <c r="H2584" i="8" s="1"/>
  <c r="H3252" i="8"/>
  <c r="H3244" i="8" s="1"/>
  <c r="H3253" i="8"/>
  <c r="H3254" i="8" s="1"/>
  <c r="H229" i="8"/>
  <c r="H525" i="8"/>
  <c r="H2461" i="8"/>
  <c r="H2462" i="8" s="1"/>
  <c r="H1558" i="8"/>
  <c r="H1547" i="8" s="1"/>
  <c r="H1559" i="8"/>
  <c r="H1560" i="8" s="1"/>
  <c r="H1399" i="8"/>
  <c r="H773" i="8"/>
  <c r="H765" i="8" s="1"/>
  <c r="H774" i="8"/>
  <c r="H775" i="8" s="1"/>
  <c r="H4072" i="8"/>
  <c r="H4064" i="8" s="1"/>
  <c r="H4347" i="8"/>
  <c r="H4348" i="8" s="1"/>
  <c r="H4112" i="8"/>
  <c r="H4113" i="8" s="1"/>
  <c r="H4111" i="8"/>
  <c r="H4103" i="8" s="1"/>
  <c r="H2647" i="8"/>
  <c r="H2639" i="8" s="1"/>
  <c r="H2648" i="8"/>
  <c r="H2649" i="8" s="1"/>
  <c r="H856" i="8"/>
  <c r="G846" i="8" s="1"/>
  <c r="H2056" i="8"/>
  <c r="H2057" i="8" s="1"/>
  <c r="H3927" i="8"/>
  <c r="H3919" i="8" s="1"/>
  <c r="H3928" i="8"/>
  <c r="H3929" i="8" s="1"/>
  <c r="H3853" i="8"/>
  <c r="H3845" i="8" s="1"/>
  <c r="H1961" i="8"/>
  <c r="H1951" i="8" s="1"/>
  <c r="H3384" i="8"/>
  <c r="H3385" i="8" s="1"/>
  <c r="H3383" i="8"/>
  <c r="H3372" i="8" s="1"/>
  <c r="H2622" i="8"/>
  <c r="H2623" i="8" s="1"/>
  <c r="H2621" i="8"/>
  <c r="H2613" i="8" s="1"/>
  <c r="H825" i="8"/>
  <c r="H813" i="8" s="1"/>
  <c r="H826" i="8"/>
  <c r="H827" i="8" s="1"/>
  <c r="H1828" i="8"/>
  <c r="H1819" i="8" s="1"/>
  <c r="H1829" i="8"/>
  <c r="H1830" i="8" s="1"/>
  <c r="H2715" i="8"/>
  <c r="H2699" i="8" s="1"/>
  <c r="H2716" i="8"/>
  <c r="H2717" i="8" s="1"/>
  <c r="H4060" i="8"/>
  <c r="H4061" i="8" s="1"/>
  <c r="H4059" i="8"/>
  <c r="H4051" i="8" s="1"/>
  <c r="H2103" i="8"/>
  <c r="H2104" i="8" s="1"/>
  <c r="H2102" i="8"/>
  <c r="H2092" i="8" s="1"/>
  <c r="H4098" i="8"/>
  <c r="H4090" i="8" s="1"/>
  <c r="H4099" i="8"/>
  <c r="H4100" i="8" s="1"/>
  <c r="H3448" i="8"/>
  <c r="H3449" i="8" s="1"/>
  <c r="H3447" i="8"/>
  <c r="H3436" i="8" s="1"/>
  <c r="H3278" i="8"/>
  <c r="H3270" i="8" s="1"/>
  <c r="H3279" i="8"/>
  <c r="H3280" i="8" s="1"/>
  <c r="H1717" i="8"/>
  <c r="H1718" i="8" s="1"/>
  <c r="H1716" i="8"/>
  <c r="H1705" i="8" s="1"/>
  <c r="H3637" i="8"/>
  <c r="H3638" i="8" s="1"/>
  <c r="H3636" i="8"/>
  <c r="H3628" i="8" s="1"/>
  <c r="H4020" i="8"/>
  <c r="H4012" i="8" s="1"/>
  <c r="H4021" i="8"/>
  <c r="H4022" i="8" s="1"/>
  <c r="H2772" i="8"/>
  <c r="H2773" i="8" s="1"/>
  <c r="H2771" i="8"/>
  <c r="H2763" i="8" s="1"/>
  <c r="H1946" i="8"/>
  <c r="H1936" i="8" s="1"/>
  <c r="H1947" i="8"/>
  <c r="H1948" i="8" s="1"/>
  <c r="H3967" i="8"/>
  <c r="H3968" i="8" s="1"/>
  <c r="H3966" i="8"/>
  <c r="H3958" i="8" s="1"/>
  <c r="H2433" i="8"/>
  <c r="H2434" i="8" s="1"/>
  <c r="H2432" i="8"/>
  <c r="H2423" i="8" s="1"/>
  <c r="H2531" i="8"/>
  <c r="H2532" i="8" s="1"/>
  <c r="H2530" i="8"/>
  <c r="H2521" i="8" s="1"/>
  <c r="H3161" i="8"/>
  <c r="H3153" i="8" s="1"/>
  <c r="H3162" i="8"/>
  <c r="H3163" i="8" s="1"/>
  <c r="H3477" i="8"/>
  <c r="H3468" i="8" s="1"/>
  <c r="H3478" i="8"/>
  <c r="H3479" i="8" s="1"/>
  <c r="H3070" i="8"/>
  <c r="H3062" i="8" s="1"/>
  <c r="H3071" i="8"/>
  <c r="H3072" i="8" s="1"/>
  <c r="H1747" i="8"/>
  <c r="H1748" i="8" s="1"/>
  <c r="H1746" i="8"/>
  <c r="H1737" i="8" s="1"/>
  <c r="H3570" i="8"/>
  <c r="H3561" i="8" s="1"/>
  <c r="H3571" i="8"/>
  <c r="H3572" i="8" s="1"/>
  <c r="H739" i="8"/>
  <c r="G727" i="8" s="1"/>
  <c r="H668" i="8"/>
  <c r="H657" i="8" s="1"/>
  <c r="H669" i="8"/>
  <c r="H670" i="8" s="1"/>
  <c r="H3188" i="8"/>
  <c r="H3189" i="8" s="1"/>
  <c r="H3187" i="8"/>
  <c r="H3179" i="8" s="1"/>
  <c r="H2992" i="8"/>
  <c r="H2984" i="8" s="1"/>
  <c r="H2993" i="8"/>
  <c r="H2994" i="8" s="1"/>
  <c r="H3790" i="8"/>
  <c r="H3791" i="8" s="1"/>
  <c r="H3789" i="8"/>
  <c r="H3782" i="8" s="1"/>
  <c r="H1237" i="8"/>
  <c r="H1238" i="8" s="1"/>
  <c r="H1236" i="8"/>
  <c r="H1229" i="8" s="1"/>
  <c r="H1606" i="8"/>
  <c r="H1595" i="8" s="1"/>
  <c r="H1607" i="8"/>
  <c r="H1608" i="8" s="1"/>
  <c r="H1261" i="8"/>
  <c r="H1262" i="8" s="1"/>
  <c r="H1260" i="8"/>
  <c r="H1253" i="8" s="1"/>
  <c r="H2488" i="8"/>
  <c r="H2479" i="8" s="1"/>
  <c r="H2489" i="8"/>
  <c r="H2490" i="8" s="1"/>
  <c r="H3689" i="8"/>
  <c r="H3690" i="8" s="1"/>
  <c r="H3688" i="8"/>
  <c r="H3682" i="8" s="1"/>
  <c r="H3766" i="8"/>
  <c r="H3767" i="8" s="1"/>
  <c r="H3765" i="8"/>
  <c r="H3757" i="8" s="1"/>
  <c r="H2117" i="8"/>
  <c r="H2107" i="8" s="1"/>
  <c r="H2118" i="8"/>
  <c r="H2119" i="8" s="1"/>
  <c r="H1498" i="8"/>
  <c r="H1499" i="8" s="1"/>
  <c r="H1497" i="8"/>
  <c r="H1486" i="8" s="1"/>
  <c r="H1670" i="8"/>
  <c r="H1671" i="8" s="1"/>
  <c r="H1669" i="8"/>
  <c r="H1661" i="8" s="1"/>
  <c r="H1481" i="8"/>
  <c r="H1470" i="8" s="1"/>
  <c r="H1145" i="8"/>
  <c r="H1137" i="8" s="1"/>
  <c r="H1146" i="8"/>
  <c r="H1147" i="8" s="1"/>
  <c r="H2915" i="8"/>
  <c r="H2916" i="8" s="1"/>
  <c r="H2914" i="8"/>
  <c r="H2906" i="8" s="1"/>
  <c r="H3097" i="8"/>
  <c r="H3098" i="8" s="1"/>
  <c r="H3096" i="8"/>
  <c r="H3088" i="8" s="1"/>
  <c r="H2634" i="8"/>
  <c r="H2626" i="8" s="1"/>
  <c r="H2635" i="8"/>
  <c r="H2636" i="8" s="1"/>
  <c r="H3557" i="8"/>
  <c r="H3558" i="8" s="1"/>
  <c r="H3556" i="8"/>
  <c r="H3545" i="8" s="1"/>
  <c r="J206" i="1"/>
  <c r="I212" i="1" l="1"/>
  <c r="J212" i="1" s="1"/>
  <c r="L212" i="1"/>
  <c r="I501" i="1"/>
  <c r="L501" i="1"/>
  <c r="I516" i="1"/>
  <c r="L516" i="1"/>
  <c r="I460" i="1"/>
  <c r="L460" i="1"/>
  <c r="I389" i="1"/>
  <c r="L389" i="1"/>
  <c r="I156" i="1"/>
  <c r="L156" i="1"/>
  <c r="I132" i="1"/>
  <c r="J132" i="1" s="1"/>
  <c r="L132" i="1"/>
  <c r="I507" i="1"/>
  <c r="L507" i="1"/>
  <c r="I259" i="1"/>
  <c r="J259" i="1" s="1"/>
  <c r="L259" i="1"/>
  <c r="I490" i="1"/>
  <c r="L490" i="1"/>
  <c r="I246" i="1"/>
  <c r="L246" i="1"/>
  <c r="I420" i="1"/>
  <c r="L420" i="1"/>
  <c r="I445" i="1"/>
  <c r="J445" i="1" s="1"/>
  <c r="L445" i="1"/>
  <c r="I397" i="1"/>
  <c r="J397" i="1" s="1"/>
  <c r="L397" i="1"/>
  <c r="I135" i="1"/>
  <c r="L135" i="1"/>
  <c r="Y206" i="1"/>
  <c r="X206" i="1"/>
  <c r="W206" i="1"/>
  <c r="V206" i="1"/>
  <c r="I421" i="1"/>
  <c r="J421" i="1" s="1"/>
  <c r="L421" i="1"/>
  <c r="I391" i="1"/>
  <c r="L391" i="1"/>
  <c r="I538" i="1"/>
  <c r="L538" i="1"/>
  <c r="I449" i="1"/>
  <c r="L449" i="1"/>
  <c r="I162" i="1"/>
  <c r="J162" i="1" s="1"/>
  <c r="L162" i="1"/>
  <c r="I569" i="1"/>
  <c r="L569" i="1"/>
  <c r="I200" i="1"/>
  <c r="L200" i="1"/>
  <c r="I211" i="1"/>
  <c r="L211" i="1"/>
  <c r="I540" i="1"/>
  <c r="J540" i="1" s="1"/>
  <c r="L540" i="1"/>
  <c r="I296" i="1"/>
  <c r="L296" i="1"/>
  <c r="I213" i="1"/>
  <c r="L213" i="1"/>
  <c r="I515" i="1"/>
  <c r="J515" i="1" s="1"/>
  <c r="L515" i="1"/>
  <c r="I603" i="1"/>
  <c r="J603" i="1" s="1"/>
  <c r="L603" i="1"/>
  <c r="I527" i="1"/>
  <c r="J527" i="1" s="1"/>
  <c r="L527" i="1"/>
  <c r="I574" i="1"/>
  <c r="L574" i="1"/>
  <c r="I497" i="1"/>
  <c r="J497" i="1" s="1"/>
  <c r="L497" i="1"/>
  <c r="I492" i="1"/>
  <c r="J492" i="1" s="1"/>
  <c r="L492" i="1"/>
  <c r="I450" i="1"/>
  <c r="J450" i="1" s="1"/>
  <c r="L450" i="1"/>
  <c r="I606" i="1"/>
  <c r="L606" i="1"/>
  <c r="I418" i="1"/>
  <c r="J418" i="1" s="1"/>
  <c r="L418" i="1"/>
  <c r="I262" i="1"/>
  <c r="L262" i="1"/>
  <c r="I424" i="1"/>
  <c r="L424" i="1"/>
  <c r="I210" i="1"/>
  <c r="L210" i="1"/>
  <c r="I567" i="1"/>
  <c r="J567" i="1" s="1"/>
  <c r="L567" i="1"/>
  <c r="I155" i="1"/>
  <c r="L155" i="1"/>
  <c r="I349" i="1"/>
  <c r="L349" i="1"/>
  <c r="I388" i="1"/>
  <c r="L388" i="1"/>
  <c r="I293" i="1"/>
  <c r="L293" i="1"/>
  <c r="I494" i="1"/>
  <c r="L494" i="1"/>
  <c r="I126" i="1"/>
  <c r="L126" i="1"/>
  <c r="I500" i="1"/>
  <c r="L500" i="1"/>
  <c r="I312" i="1"/>
  <c r="J312" i="1" s="1"/>
  <c r="L312" i="1"/>
  <c r="I476" i="1"/>
  <c r="L476" i="1"/>
  <c r="I630" i="1"/>
  <c r="J630" i="1" s="1"/>
  <c r="L630" i="1"/>
  <c r="I629" i="1"/>
  <c r="J629" i="1" s="1"/>
  <c r="L629" i="1"/>
  <c r="I448" i="1"/>
  <c r="J448" i="1" s="1"/>
  <c r="L448" i="1"/>
  <c r="I288" i="1"/>
  <c r="L288" i="1"/>
  <c r="I514" i="1"/>
  <c r="J514" i="1" s="1"/>
  <c r="L514" i="1"/>
  <c r="I518" i="1"/>
  <c r="L518" i="1"/>
  <c r="I208" i="1"/>
  <c r="J208" i="1" s="1"/>
  <c r="L208" i="1"/>
  <c r="I313" i="1"/>
  <c r="L313" i="1"/>
  <c r="I308" i="1"/>
  <c r="J308" i="1" s="1"/>
  <c r="L308" i="1"/>
  <c r="I509" i="1"/>
  <c r="L509" i="1"/>
  <c r="I488" i="1"/>
  <c r="L488" i="1"/>
  <c r="I560" i="1"/>
  <c r="L560" i="1"/>
  <c r="H368" i="1"/>
  <c r="L368" i="1" s="1"/>
  <c r="H142" i="1"/>
  <c r="H205" i="1"/>
  <c r="L205" i="1" s="1"/>
  <c r="H176" i="1"/>
  <c r="H624" i="1"/>
  <c r="H422" i="1"/>
  <c r="L422" i="1" s="1"/>
  <c r="H130" i="1"/>
  <c r="H137" i="1"/>
  <c r="L137" i="1" s="1"/>
  <c r="H119" i="1"/>
  <c r="H531" i="1"/>
  <c r="H113" i="1"/>
  <c r="H166" i="1"/>
  <c r="L166" i="1" s="1"/>
  <c r="H660" i="1"/>
  <c r="L660" i="1" s="1"/>
  <c r="H207" i="1"/>
  <c r="H582" i="1"/>
  <c r="L582" i="1" s="1"/>
  <c r="H266" i="1"/>
  <c r="L266" i="1" s="1"/>
  <c r="H423" i="1"/>
  <c r="H568" i="1"/>
  <c r="H387" i="1"/>
  <c r="H110" i="1"/>
  <c r="H493" i="1"/>
  <c r="H348" i="1"/>
  <c r="H289" i="1"/>
  <c r="L289" i="1" s="1"/>
  <c r="H134" i="1"/>
  <c r="H661" i="1"/>
  <c r="L661" i="1" s="1"/>
  <c r="H566" i="1"/>
  <c r="H499" i="1"/>
  <c r="H473" i="1"/>
  <c r="H406" i="1"/>
  <c r="H625" i="1"/>
  <c r="H351" i="1"/>
  <c r="L351" i="1" s="1"/>
  <c r="H517" i="1"/>
  <c r="L517" i="1" s="1"/>
  <c r="H292" i="1"/>
  <c r="L292" i="1" s="1"/>
  <c r="H489" i="1"/>
  <c r="H483" i="1"/>
  <c r="H447" i="1"/>
  <c r="H125" i="1"/>
  <c r="H511" i="1"/>
  <c r="H668" i="1"/>
  <c r="H386" i="1"/>
  <c r="H520" i="1"/>
  <c r="L520" i="1" s="1"/>
  <c r="H85" i="1"/>
  <c r="L85" i="1" s="1"/>
  <c r="H446" i="1"/>
  <c r="H444" i="1"/>
  <c r="H385" i="1"/>
  <c r="H479" i="1"/>
  <c r="H131" i="1"/>
  <c r="H284" i="1"/>
  <c r="L284" i="1" s="1"/>
  <c r="H132" i="29"/>
  <c r="H534" i="1"/>
  <c r="H669" i="1"/>
  <c r="L669" i="1" s="1"/>
  <c r="H670" i="1"/>
  <c r="L670" i="1" s="1"/>
  <c r="H472" i="1"/>
  <c r="H451" i="1"/>
  <c r="H580" i="1"/>
  <c r="H510" i="1"/>
  <c r="L510" i="1" s="1"/>
  <c r="H427" i="1"/>
  <c r="H558" i="1"/>
  <c r="H508" i="1"/>
  <c r="H195" i="1"/>
  <c r="H506" i="1"/>
  <c r="H320" i="1"/>
  <c r="L320" i="1" s="1"/>
  <c r="H547" i="1"/>
  <c r="H261" i="1"/>
  <c r="H498" i="1"/>
  <c r="H122" i="1"/>
  <c r="H369" i="1"/>
  <c r="H350" i="1"/>
  <c r="H133" i="1"/>
  <c r="H244" i="1"/>
  <c r="L244" i="1" s="1"/>
  <c r="H481" i="1"/>
  <c r="H626" i="1"/>
  <c r="H482" i="1"/>
  <c r="H505" i="1"/>
  <c r="L505" i="1" s="1"/>
  <c r="H533" i="1"/>
  <c r="H550" i="1"/>
  <c r="H581" i="1"/>
  <c r="H601" i="1"/>
  <c r="L601" i="1" s="1"/>
  <c r="H502" i="1"/>
  <c r="H613" i="1"/>
  <c r="H145" i="1"/>
  <c r="L145" i="1" s="1"/>
  <c r="H565" i="1"/>
  <c r="L565" i="1" s="1"/>
  <c r="H193" i="1"/>
  <c r="H352" i="1"/>
  <c r="H298" i="1"/>
  <c r="L298" i="1" s="1"/>
  <c r="H124" i="1"/>
  <c r="L124" i="1" s="1"/>
  <c r="H248" i="1"/>
  <c r="H584" i="1"/>
  <c r="L584" i="1" s="1"/>
  <c r="H480" i="1"/>
  <c r="H425" i="1"/>
  <c r="L425" i="1" s="1"/>
  <c r="H192" i="1"/>
  <c r="H485" i="1"/>
  <c r="H600" i="1"/>
  <c r="H642" i="1"/>
  <c r="I555" i="1"/>
  <c r="H136" i="1"/>
  <c r="H519" i="1"/>
  <c r="H484" i="1"/>
  <c r="H513" i="1"/>
  <c r="H662" i="1"/>
  <c r="H443" i="1"/>
  <c r="H599" i="1"/>
  <c r="H512" i="1"/>
  <c r="H539" i="1"/>
  <c r="H628" i="1"/>
  <c r="H602" i="1"/>
  <c r="L602" i="1" s="1"/>
  <c r="H623" i="1"/>
  <c r="H232" i="8"/>
  <c r="H233" i="8" s="1"/>
  <c r="G220" i="8"/>
  <c r="H621" i="8"/>
  <c r="H622" i="8" s="1"/>
  <c r="G607" i="8"/>
  <c r="H1433" i="8"/>
  <c r="H1422" i="8" s="1"/>
  <c r="G1422" i="8"/>
  <c r="H1020" i="8"/>
  <c r="H1010" i="8" s="1"/>
  <c r="G1010" i="8"/>
  <c r="H1450" i="8"/>
  <c r="H1451" i="8" s="1"/>
  <c r="G1438" i="8"/>
  <c r="H3431" i="8"/>
  <c r="H3420" i="8" s="1"/>
  <c r="G3420" i="8"/>
  <c r="H153" i="8"/>
  <c r="H154" i="8" s="1"/>
  <c r="G142" i="8"/>
  <c r="H3399" i="8"/>
  <c r="H3388" i="8" s="1"/>
  <c r="G3388" i="8"/>
  <c r="H1162" i="8"/>
  <c r="H1163" i="8" s="1"/>
  <c r="G1150" i="8"/>
  <c r="H723" i="8"/>
  <c r="H724" i="8" s="1"/>
  <c r="G708" i="8"/>
  <c r="H1886" i="8"/>
  <c r="H1887" i="8" s="1"/>
  <c r="G1875" i="8"/>
  <c r="H1774" i="8"/>
  <c r="H1765" i="8" s="1"/>
  <c r="G1765" i="8"/>
  <c r="H3463" i="8"/>
  <c r="H3452" i="8" s="1"/>
  <c r="G3452" i="8"/>
  <c r="H1401" i="8"/>
  <c r="H1390" i="8" s="1"/>
  <c r="G1390" i="8"/>
  <c r="H3509" i="8"/>
  <c r="H3510" i="8" s="1"/>
  <c r="G3497" i="8"/>
  <c r="H1574" i="8"/>
  <c r="H1563" i="8" s="1"/>
  <c r="G1563" i="8"/>
  <c r="H2153" i="8"/>
  <c r="H2140" i="8" s="1"/>
  <c r="G2140" i="8"/>
  <c r="H507" i="8"/>
  <c r="H493" i="8" s="1"/>
  <c r="G493" i="8"/>
  <c r="H566" i="8"/>
  <c r="H567" i="8" s="1"/>
  <c r="G551" i="8"/>
  <c r="H1656" i="8"/>
  <c r="H1643" i="8" s="1"/>
  <c r="G1643" i="8"/>
  <c r="H3915" i="8"/>
  <c r="H3916" i="8" s="1"/>
  <c r="H3907" i="8"/>
  <c r="H2694" i="8"/>
  <c r="H2678" i="8" s="1"/>
  <c r="G2678" i="8"/>
  <c r="H1543" i="8"/>
  <c r="H1544" i="8" s="1"/>
  <c r="G1533" i="8"/>
  <c r="H528" i="8"/>
  <c r="H529" i="8" s="1"/>
  <c r="G512" i="8"/>
  <c r="H2154" i="8"/>
  <c r="H2155" i="8" s="1"/>
  <c r="H1733" i="8"/>
  <c r="H1734" i="8" s="1"/>
  <c r="G1721" i="8"/>
  <c r="H2040" i="8"/>
  <c r="H2041" i="8" s="1"/>
  <c r="G2028" i="8"/>
  <c r="H1514" i="8"/>
  <c r="H1515" i="8" s="1"/>
  <c r="G1502" i="8"/>
  <c r="H1417" i="8"/>
  <c r="H1406" i="8" s="1"/>
  <c r="G1406" i="8"/>
  <c r="H584" i="8"/>
  <c r="H570" i="8" s="1"/>
  <c r="G570" i="8"/>
  <c r="H3416" i="8"/>
  <c r="H3417" i="8" s="1"/>
  <c r="G3404" i="8"/>
  <c r="H1916" i="8"/>
  <c r="H1905" i="8" s="1"/>
  <c r="G1905" i="8"/>
  <c r="H1087" i="8"/>
  <c r="H1073" i="8" s="1"/>
  <c r="G1073" i="8"/>
  <c r="H704" i="8"/>
  <c r="H705" i="8" s="1"/>
  <c r="G689" i="8"/>
  <c r="H3540" i="8"/>
  <c r="H3529" i="8" s="1"/>
  <c r="G3529" i="8"/>
  <c r="H1482" i="8"/>
  <c r="H1483" i="8" s="1"/>
  <c r="G1470" i="8"/>
  <c r="H703" i="8"/>
  <c r="H689" i="8" s="1"/>
  <c r="H3541" i="8"/>
  <c r="H3542" i="8" s="1"/>
  <c r="H1917" i="8"/>
  <c r="H1918" i="8" s="1"/>
  <c r="H585" i="8"/>
  <c r="H586" i="8" s="1"/>
  <c r="H3464" i="8"/>
  <c r="H3465" i="8" s="1"/>
  <c r="H722" i="8"/>
  <c r="H708" i="8" s="1"/>
  <c r="H2695" i="8"/>
  <c r="H2696" i="8" s="1"/>
  <c r="H1449" i="8"/>
  <c r="H1438" i="8" s="1"/>
  <c r="H3400" i="8"/>
  <c r="H3401" i="8" s="1"/>
  <c r="H152" i="8"/>
  <c r="H142" i="8" s="1"/>
  <c r="H1161" i="8"/>
  <c r="H1150" i="8" s="1"/>
  <c r="H1542" i="8"/>
  <c r="H1533" i="8" s="1"/>
  <c r="H1418" i="8"/>
  <c r="H1419" i="8" s="1"/>
  <c r="H620" i="8"/>
  <c r="H607" i="8" s="1"/>
  <c r="H508" i="8"/>
  <c r="H509" i="8" s="1"/>
  <c r="H3432" i="8"/>
  <c r="H3433" i="8" s="1"/>
  <c r="H1402" i="8"/>
  <c r="H1403" i="8" s="1"/>
  <c r="H1513" i="8"/>
  <c r="H1502" i="8" s="1"/>
  <c r="H1575" i="8"/>
  <c r="H1576" i="8" s="1"/>
  <c r="H3508" i="8"/>
  <c r="H3497" i="8" s="1"/>
  <c r="H2039" i="8"/>
  <c r="H2028" i="8" s="1"/>
  <c r="H1434" i="8"/>
  <c r="H1435" i="8" s="1"/>
  <c r="H1021" i="8"/>
  <c r="H1022" i="8" s="1"/>
  <c r="H1732" i="8"/>
  <c r="H1721" i="8" s="1"/>
  <c r="H231" i="8"/>
  <c r="H220" i="8" s="1"/>
  <c r="H527" i="8"/>
  <c r="H512" i="8" s="1"/>
  <c r="H2007" i="8"/>
  <c r="H1996" i="8" s="1"/>
  <c r="H2008" i="8"/>
  <c r="H2009" i="8" s="1"/>
  <c r="H546" i="8"/>
  <c r="H532" i="8" s="1"/>
  <c r="H547" i="8"/>
  <c r="H548" i="8" s="1"/>
  <c r="H1977" i="8"/>
  <c r="H1978" i="8" s="1"/>
  <c r="H1976" i="8"/>
  <c r="H1966" i="8" s="1"/>
  <c r="H858" i="8"/>
  <c r="H846" i="8" s="1"/>
  <c r="H859" i="8"/>
  <c r="H860" i="8" s="1"/>
  <c r="H741" i="8"/>
  <c r="H727" i="8" s="1"/>
  <c r="H742" i="8"/>
  <c r="H743" i="8" s="1"/>
  <c r="J518" i="1"/>
  <c r="J210" i="1"/>
  <c r="J155" i="1"/>
  <c r="J501" i="1"/>
  <c r="G17" i="48"/>
  <c r="J156" i="1"/>
  <c r="J391" i="1"/>
  <c r="J490" i="1"/>
  <c r="J569" i="1"/>
  <c r="X603" i="1" l="1"/>
  <c r="W603" i="1"/>
  <c r="Y603" i="1"/>
  <c r="Y540" i="1"/>
  <c r="T540" i="1"/>
  <c r="W540" i="1"/>
  <c r="Z540" i="1"/>
  <c r="X540" i="1"/>
  <c r="V540" i="1"/>
  <c r="Y630" i="1"/>
  <c r="X630" i="1"/>
  <c r="W630" i="1"/>
  <c r="I512" i="1"/>
  <c r="J512" i="1" s="1"/>
  <c r="L512" i="1"/>
  <c r="I193" i="1"/>
  <c r="J193" i="1" s="1"/>
  <c r="L193" i="1"/>
  <c r="I533" i="1"/>
  <c r="L533" i="1"/>
  <c r="I547" i="1"/>
  <c r="J547" i="1" s="1"/>
  <c r="L547" i="1"/>
  <c r="I508" i="1"/>
  <c r="J508" i="1" s="1"/>
  <c r="L508" i="1"/>
  <c r="I131" i="1"/>
  <c r="J131" i="1" s="1"/>
  <c r="L131" i="1"/>
  <c r="I668" i="1"/>
  <c r="J668" i="1" s="1"/>
  <c r="L668" i="1"/>
  <c r="I499" i="1"/>
  <c r="J499" i="1" s="1"/>
  <c r="L499" i="1"/>
  <c r="I387" i="1"/>
  <c r="J387" i="1" s="1"/>
  <c r="L387" i="1"/>
  <c r="V308" i="1"/>
  <c r="P308" i="1"/>
  <c r="U308" i="1"/>
  <c r="T308" i="1"/>
  <c r="S308" i="1"/>
  <c r="W308" i="1"/>
  <c r="Z448" i="1"/>
  <c r="V448" i="1"/>
  <c r="Y448" i="1"/>
  <c r="X448" i="1"/>
  <c r="W448" i="1"/>
  <c r="T448" i="1"/>
  <c r="S162" i="1"/>
  <c r="V162" i="1"/>
  <c r="U162" i="1"/>
  <c r="T162" i="1"/>
  <c r="X569" i="1"/>
  <c r="W569" i="1"/>
  <c r="I599" i="1"/>
  <c r="J599" i="1" s="1"/>
  <c r="L599" i="1"/>
  <c r="I484" i="1"/>
  <c r="J484" i="1" s="1"/>
  <c r="L484" i="1"/>
  <c r="I642" i="1"/>
  <c r="J642" i="1" s="1"/>
  <c r="V642" i="1" s="1"/>
  <c r="V643" i="1" s="1"/>
  <c r="L642" i="1"/>
  <c r="I122" i="1"/>
  <c r="J122" i="1" s="1"/>
  <c r="L122" i="1"/>
  <c r="I558" i="1"/>
  <c r="J558" i="1" s="1"/>
  <c r="L558" i="1"/>
  <c r="I451" i="1"/>
  <c r="J451" i="1" s="1"/>
  <c r="L451" i="1"/>
  <c r="I534" i="1"/>
  <c r="J534" i="1" s="1"/>
  <c r="L534" i="1"/>
  <c r="I479" i="1"/>
  <c r="J479" i="1" s="1"/>
  <c r="L479" i="1"/>
  <c r="I511" i="1"/>
  <c r="J511" i="1" s="1"/>
  <c r="L511" i="1"/>
  <c r="I489" i="1"/>
  <c r="J489" i="1" s="1"/>
  <c r="L489" i="1"/>
  <c r="I625" i="1"/>
  <c r="L625" i="1"/>
  <c r="I566" i="1"/>
  <c r="J566" i="1" s="1"/>
  <c r="L566" i="1"/>
  <c r="I348" i="1"/>
  <c r="J348" i="1" s="1"/>
  <c r="L348" i="1"/>
  <c r="I568" i="1"/>
  <c r="J568" i="1" s="1"/>
  <c r="L568" i="1"/>
  <c r="I207" i="1"/>
  <c r="J207" i="1" s="1"/>
  <c r="L207" i="1"/>
  <c r="I531" i="1"/>
  <c r="L531" i="1"/>
  <c r="I142" i="1"/>
  <c r="J142" i="1" s="1"/>
  <c r="L142" i="1"/>
  <c r="W492" i="1"/>
  <c r="Y492" i="1"/>
  <c r="T492" i="1"/>
  <c r="Z492" i="1"/>
  <c r="V492" i="1"/>
  <c r="X492" i="1"/>
  <c r="U397" i="1"/>
  <c r="T397" i="1"/>
  <c r="V397" i="1"/>
  <c r="S397" i="1"/>
  <c r="P397" i="1"/>
  <c r="I513" i="1"/>
  <c r="J513" i="1" s="1"/>
  <c r="L513" i="1"/>
  <c r="I248" i="1"/>
  <c r="J248" i="1" s="1"/>
  <c r="L248" i="1"/>
  <c r="I369" i="1"/>
  <c r="J369" i="1" s="1"/>
  <c r="L369" i="1"/>
  <c r="I580" i="1"/>
  <c r="L580" i="1"/>
  <c r="I130" i="1"/>
  <c r="L130" i="1"/>
  <c r="W514" i="1"/>
  <c r="Y514" i="1"/>
  <c r="T514" i="1"/>
  <c r="X514" i="1"/>
  <c r="V514" i="1"/>
  <c r="Z514" i="1"/>
  <c r="U155" i="1"/>
  <c r="T155" i="1"/>
  <c r="W155" i="1"/>
  <c r="S155" i="1"/>
  <c r="V155" i="1"/>
  <c r="W518" i="1"/>
  <c r="Y518" i="1"/>
  <c r="T518" i="1"/>
  <c r="X518" i="1"/>
  <c r="V518" i="1"/>
  <c r="Z518" i="1"/>
  <c r="I628" i="1"/>
  <c r="L628" i="1"/>
  <c r="I443" i="1"/>
  <c r="J443" i="1" s="1"/>
  <c r="L443" i="1"/>
  <c r="I519" i="1"/>
  <c r="J519" i="1" s="1"/>
  <c r="L519" i="1"/>
  <c r="I600" i="1"/>
  <c r="J600" i="1" s="1"/>
  <c r="L600" i="1"/>
  <c r="I480" i="1"/>
  <c r="J480" i="1" s="1"/>
  <c r="L480" i="1"/>
  <c r="I581" i="1"/>
  <c r="J581" i="1" s="1"/>
  <c r="L581" i="1"/>
  <c r="I482" i="1"/>
  <c r="J482" i="1" s="1"/>
  <c r="L482" i="1"/>
  <c r="I133" i="1"/>
  <c r="J133" i="1" s="1"/>
  <c r="L133" i="1"/>
  <c r="I498" i="1"/>
  <c r="J498" i="1" s="1"/>
  <c r="L498" i="1"/>
  <c r="I506" i="1"/>
  <c r="J506" i="1" s="1"/>
  <c r="L506" i="1"/>
  <c r="I427" i="1"/>
  <c r="L427" i="1"/>
  <c r="I472" i="1"/>
  <c r="L472" i="1"/>
  <c r="I132" i="29"/>
  <c r="J132" i="29" s="1"/>
  <c r="L132" i="29"/>
  <c r="I385" i="1"/>
  <c r="J385" i="1" s="1"/>
  <c r="L385" i="1"/>
  <c r="I125" i="1"/>
  <c r="J125" i="1" s="1"/>
  <c r="L125" i="1"/>
  <c r="I406" i="1"/>
  <c r="J406" i="1" s="1"/>
  <c r="L406" i="1"/>
  <c r="I493" i="1"/>
  <c r="J493" i="1" s="1"/>
  <c r="L493" i="1"/>
  <c r="I423" i="1"/>
  <c r="J423" i="1" s="1"/>
  <c r="L423" i="1"/>
  <c r="I119" i="1"/>
  <c r="J119" i="1" s="1"/>
  <c r="L119" i="1"/>
  <c r="I624" i="1"/>
  <c r="J624" i="1" s="1"/>
  <c r="L624" i="1"/>
  <c r="Y629" i="1"/>
  <c r="X629" i="1"/>
  <c r="W629" i="1"/>
  <c r="Y527" i="1"/>
  <c r="T527" i="1"/>
  <c r="W527" i="1"/>
  <c r="Z527" i="1"/>
  <c r="V527" i="1"/>
  <c r="X527" i="1"/>
  <c r="W515" i="1"/>
  <c r="Y515" i="1"/>
  <c r="T515" i="1"/>
  <c r="V515" i="1"/>
  <c r="Z515" i="1"/>
  <c r="X515" i="1"/>
  <c r="I623" i="1"/>
  <c r="J623" i="1" s="1"/>
  <c r="L623" i="1"/>
  <c r="I192" i="1"/>
  <c r="J192" i="1" s="1"/>
  <c r="L192" i="1"/>
  <c r="I502" i="1"/>
  <c r="L502" i="1"/>
  <c r="I481" i="1"/>
  <c r="J481" i="1" s="1"/>
  <c r="L481" i="1"/>
  <c r="I446" i="1"/>
  <c r="J446" i="1" s="1"/>
  <c r="L446" i="1"/>
  <c r="I483" i="1"/>
  <c r="J483" i="1" s="1"/>
  <c r="L483" i="1"/>
  <c r="I113" i="1"/>
  <c r="J113" i="1" s="1"/>
  <c r="L113" i="1"/>
  <c r="Y208" i="1"/>
  <c r="X208" i="1"/>
  <c r="W208" i="1"/>
  <c r="V208" i="1"/>
  <c r="T312" i="1"/>
  <c r="W312" i="1"/>
  <c r="S312" i="1"/>
  <c r="U312" i="1"/>
  <c r="P312" i="1"/>
  <c r="V312" i="1"/>
  <c r="Z421" i="1"/>
  <c r="V421" i="1"/>
  <c r="Y421" i="1"/>
  <c r="T421" i="1"/>
  <c r="X421" i="1"/>
  <c r="W421" i="1"/>
  <c r="W490" i="1"/>
  <c r="Y490" i="1"/>
  <c r="T490" i="1"/>
  <c r="X490" i="1"/>
  <c r="V490" i="1"/>
  <c r="Z490" i="1"/>
  <c r="S391" i="1"/>
  <c r="V391" i="1"/>
  <c r="P391" i="1"/>
  <c r="U391" i="1"/>
  <c r="T391" i="1"/>
  <c r="V156" i="1"/>
  <c r="U156" i="1"/>
  <c r="T156" i="1"/>
  <c r="W156" i="1"/>
  <c r="S156" i="1"/>
  <c r="W501" i="1"/>
  <c r="Y501" i="1"/>
  <c r="T501" i="1"/>
  <c r="Z501" i="1"/>
  <c r="X501" i="1"/>
  <c r="V501" i="1"/>
  <c r="Y210" i="1"/>
  <c r="X210" i="1"/>
  <c r="W210" i="1"/>
  <c r="V210" i="1"/>
  <c r="I539" i="1"/>
  <c r="L539" i="1"/>
  <c r="I662" i="1"/>
  <c r="J662" i="1" s="1"/>
  <c r="L662" i="1"/>
  <c r="I136" i="1"/>
  <c r="J136" i="1" s="1"/>
  <c r="L136" i="1"/>
  <c r="I485" i="1"/>
  <c r="J485" i="1" s="1"/>
  <c r="L485" i="1"/>
  <c r="I352" i="1"/>
  <c r="J352" i="1" s="1"/>
  <c r="L352" i="1"/>
  <c r="I613" i="1"/>
  <c r="J613" i="1" s="1"/>
  <c r="L613" i="1"/>
  <c r="I550" i="1"/>
  <c r="L550" i="1"/>
  <c r="I626" i="1"/>
  <c r="J626" i="1" s="1"/>
  <c r="L626" i="1"/>
  <c r="I350" i="1"/>
  <c r="J350" i="1" s="1"/>
  <c r="L350" i="1"/>
  <c r="I261" i="1"/>
  <c r="J261" i="1" s="1"/>
  <c r="L261" i="1"/>
  <c r="I195" i="1"/>
  <c r="J195" i="1" s="1"/>
  <c r="L195" i="1"/>
  <c r="I444" i="1"/>
  <c r="J444" i="1" s="1"/>
  <c r="L444" i="1"/>
  <c r="I386" i="1"/>
  <c r="J386" i="1" s="1"/>
  <c r="L386" i="1"/>
  <c r="I447" i="1"/>
  <c r="J447" i="1" s="1"/>
  <c r="L447" i="1"/>
  <c r="I473" i="1"/>
  <c r="J473" i="1" s="1"/>
  <c r="L473" i="1"/>
  <c r="I134" i="1"/>
  <c r="J134" i="1" s="1"/>
  <c r="L134" i="1"/>
  <c r="I110" i="1"/>
  <c r="J110" i="1" s="1"/>
  <c r="L110" i="1"/>
  <c r="I176" i="1"/>
  <c r="J176" i="1" s="1"/>
  <c r="L176" i="1"/>
  <c r="X567" i="1"/>
  <c r="W567" i="1"/>
  <c r="Z418" i="1"/>
  <c r="V418" i="1"/>
  <c r="Y418" i="1"/>
  <c r="T418" i="1"/>
  <c r="X418" i="1"/>
  <c r="W418" i="1"/>
  <c r="Z450" i="1"/>
  <c r="V450" i="1"/>
  <c r="Y450" i="1"/>
  <c r="X450" i="1"/>
  <c r="W450" i="1"/>
  <c r="T450" i="1"/>
  <c r="W497" i="1"/>
  <c r="Y497" i="1"/>
  <c r="T497" i="1"/>
  <c r="Z497" i="1"/>
  <c r="X497" i="1"/>
  <c r="V497" i="1"/>
  <c r="Z445" i="1"/>
  <c r="V445" i="1"/>
  <c r="W445" i="1"/>
  <c r="T445" i="1"/>
  <c r="Y445" i="1"/>
  <c r="X445" i="1"/>
  <c r="W259" i="1"/>
  <c r="S259" i="1"/>
  <c r="V259" i="1"/>
  <c r="P259" i="1"/>
  <c r="U259" i="1"/>
  <c r="T259" i="1"/>
  <c r="X132" i="1"/>
  <c r="W132" i="1"/>
  <c r="V132" i="1"/>
  <c r="Y212" i="1"/>
  <c r="X212" i="1"/>
  <c r="W212" i="1"/>
  <c r="V212" i="1"/>
  <c r="H118" i="1"/>
  <c r="L118" i="1" s="1"/>
  <c r="H121" i="29"/>
  <c r="H120" i="1"/>
  <c r="L120" i="1" s="1"/>
  <c r="H392" i="1"/>
  <c r="L392" i="1" s="1"/>
  <c r="H532" i="1"/>
  <c r="H324" i="1"/>
  <c r="L324" i="1" s="1"/>
  <c r="H202" i="1"/>
  <c r="L202" i="1" s="1"/>
  <c r="H56" i="1"/>
  <c r="H243" i="1"/>
  <c r="L243" i="1" s="1"/>
  <c r="H242" i="1"/>
  <c r="H77" i="1"/>
  <c r="H124" i="33"/>
  <c r="L124" i="33" s="1"/>
  <c r="I425" i="1"/>
  <c r="J425" i="1" s="1"/>
  <c r="H622" i="1"/>
  <c r="I124" i="1"/>
  <c r="J124" i="1" s="1"/>
  <c r="I298" i="1"/>
  <c r="J298" i="1" s="1"/>
  <c r="I565" i="1"/>
  <c r="J565" i="1" s="1"/>
  <c r="I145" i="1"/>
  <c r="J145" i="1" s="1"/>
  <c r="I601" i="1"/>
  <c r="J601" i="1" s="1"/>
  <c r="H549" i="1"/>
  <c r="L549" i="1" s="1"/>
  <c r="I320" i="1"/>
  <c r="J320" i="1" s="1"/>
  <c r="H407" i="1"/>
  <c r="H604" i="1"/>
  <c r="L604" i="1" s="1"/>
  <c r="I292" i="1"/>
  <c r="J292" i="1" s="1"/>
  <c r="I289" i="1"/>
  <c r="J289" i="1" s="1"/>
  <c r="H537" i="1"/>
  <c r="H194" i="1"/>
  <c r="L194" i="1" s="1"/>
  <c r="H529" i="1"/>
  <c r="L529" i="1" s="1"/>
  <c r="H240" i="1"/>
  <c r="L240" i="1" s="1"/>
  <c r="H370" i="1"/>
  <c r="I602" i="1"/>
  <c r="J602" i="1" s="1"/>
  <c r="H419" i="1"/>
  <c r="L419" i="1" s="1"/>
  <c r="H426" i="1"/>
  <c r="L426" i="1" s="1"/>
  <c r="I584" i="1"/>
  <c r="J584" i="1" s="1"/>
  <c r="I505" i="1"/>
  <c r="J505" i="1" s="1"/>
  <c r="I244" i="1"/>
  <c r="J244" i="1" s="1"/>
  <c r="H452" i="1"/>
  <c r="H591" i="1"/>
  <c r="L591" i="1" s="1"/>
  <c r="I351" i="1"/>
  <c r="J351" i="1" s="1"/>
  <c r="I266" i="1"/>
  <c r="J266" i="1" s="1"/>
  <c r="I660" i="1"/>
  <c r="J660" i="1" s="1"/>
  <c r="I166" i="1"/>
  <c r="J166" i="1" s="1"/>
  <c r="I137" i="1"/>
  <c r="J137" i="1" s="1"/>
  <c r="H459" i="1"/>
  <c r="L459" i="1" s="1"/>
  <c r="H285" i="1"/>
  <c r="L285" i="1" s="1"/>
  <c r="H117" i="1"/>
  <c r="L117" i="1" s="1"/>
  <c r="H260" i="1"/>
  <c r="L260" i="1" s="1"/>
  <c r="H67" i="33"/>
  <c r="H300" i="1"/>
  <c r="L300" i="1" s="1"/>
  <c r="H129" i="1"/>
  <c r="L129" i="1" s="1"/>
  <c r="H528" i="1"/>
  <c r="H530" i="1"/>
  <c r="L530" i="1" s="1"/>
  <c r="H123" i="1"/>
  <c r="H612" i="1"/>
  <c r="L612" i="1" s="1"/>
  <c r="H179" i="1"/>
  <c r="I670" i="1"/>
  <c r="J670" i="1" s="1"/>
  <c r="I669" i="1"/>
  <c r="J669" i="1" s="1"/>
  <c r="I85" i="1"/>
  <c r="J85" i="1" s="1"/>
  <c r="I520" i="1"/>
  <c r="J520" i="1" s="1"/>
  <c r="H477" i="1"/>
  <c r="H475" i="1"/>
  <c r="I517" i="1"/>
  <c r="J517" i="1" s="1"/>
  <c r="H491" i="1"/>
  <c r="L491" i="1" s="1"/>
  <c r="I368" i="1"/>
  <c r="J368" i="1" s="1"/>
  <c r="H245" i="1"/>
  <c r="H128" i="1"/>
  <c r="L128" i="1" s="1"/>
  <c r="H332" i="1"/>
  <c r="L332" i="1" s="1"/>
  <c r="H121" i="1"/>
  <c r="L121" i="1" s="1"/>
  <c r="H247" i="1"/>
  <c r="H294" i="1"/>
  <c r="L294" i="1" s="1"/>
  <c r="H586" i="1"/>
  <c r="L586" i="1" s="1"/>
  <c r="H495" i="1"/>
  <c r="L495" i="1" s="1"/>
  <c r="H627" i="1"/>
  <c r="L627" i="1" s="1"/>
  <c r="H102" i="29"/>
  <c r="I510" i="1"/>
  <c r="J510" i="1" s="1"/>
  <c r="I284" i="1"/>
  <c r="J284" i="1" s="1"/>
  <c r="H478" i="1"/>
  <c r="H474" i="1"/>
  <c r="I661" i="1"/>
  <c r="J661" i="1" s="1"/>
  <c r="H621" i="1"/>
  <c r="L621" i="1" s="1"/>
  <c r="I582" i="1"/>
  <c r="J582" i="1" s="1"/>
  <c r="I422" i="1"/>
  <c r="J422" i="1" s="1"/>
  <c r="I205" i="1"/>
  <c r="J205" i="1" s="1"/>
  <c r="J516" i="1"/>
  <c r="J135" i="1"/>
  <c r="J488" i="1"/>
  <c r="J211" i="1"/>
  <c r="J449" i="1"/>
  <c r="J606" i="1"/>
  <c r="J313" i="1"/>
  <c r="J509" i="1"/>
  <c r="J625" i="1"/>
  <c r="J531" i="1"/>
  <c r="J533" i="1"/>
  <c r="J126" i="1"/>
  <c r="J388" i="1"/>
  <c r="J262" i="1"/>
  <c r="J424" i="1"/>
  <c r="J628" i="1"/>
  <c r="J389" i="1"/>
  <c r="J580" i="1"/>
  <c r="J476" i="1"/>
  <c r="J574" i="1"/>
  <c r="J427" i="1"/>
  <c r="J507" i="1"/>
  <c r="J293" i="1"/>
  <c r="J494" i="1"/>
  <c r="J500" i="1"/>
  <c r="J288" i="1"/>
  <c r="J538" i="1"/>
  <c r="J560" i="1"/>
  <c r="J349" i="1"/>
  <c r="J213" i="1"/>
  <c r="J460" i="1"/>
  <c r="J296" i="1"/>
  <c r="J502" i="1"/>
  <c r="J200" i="1"/>
  <c r="J246" i="1"/>
  <c r="J539" i="1"/>
  <c r="J420" i="1"/>
  <c r="J54" i="29"/>
  <c r="O54" i="29" s="1"/>
  <c r="O63" i="29" s="1"/>
  <c r="O84" i="29" s="1"/>
  <c r="J643" i="1"/>
  <c r="J472" i="1"/>
  <c r="Y473" i="1" l="1"/>
  <c r="T473" i="1"/>
  <c r="W473" i="1"/>
  <c r="V473" i="1"/>
  <c r="Z473" i="1"/>
  <c r="X473" i="1"/>
  <c r="W502" i="1"/>
  <c r="Y502" i="1"/>
  <c r="T502" i="1"/>
  <c r="X502" i="1"/>
  <c r="V502" i="1"/>
  <c r="Z502" i="1"/>
  <c r="W507" i="1"/>
  <c r="Y507" i="1"/>
  <c r="T507" i="1"/>
  <c r="V507" i="1"/>
  <c r="Z507" i="1"/>
  <c r="X507" i="1"/>
  <c r="Z424" i="1"/>
  <c r="V424" i="1"/>
  <c r="Y424" i="1"/>
  <c r="T424" i="1"/>
  <c r="X424" i="1"/>
  <c r="W424" i="1"/>
  <c r="Z422" i="1"/>
  <c r="V422" i="1"/>
  <c r="Y422" i="1"/>
  <c r="T422" i="1"/>
  <c r="X422" i="1"/>
  <c r="W422" i="1"/>
  <c r="I102" i="29"/>
  <c r="J102" i="29" s="1"/>
  <c r="L102" i="29"/>
  <c r="R85" i="1"/>
  <c r="Q85" i="1"/>
  <c r="Q86" i="1" s="1"/>
  <c r="Q99" i="1" s="1"/>
  <c r="Y584" i="1"/>
  <c r="X584" i="1"/>
  <c r="T145" i="1"/>
  <c r="U145" i="1"/>
  <c r="I121" i="29"/>
  <c r="J121" i="29" s="1"/>
  <c r="L121" i="29"/>
  <c r="U386" i="1"/>
  <c r="T386" i="1"/>
  <c r="S386" i="1"/>
  <c r="P386" i="1"/>
  <c r="V386" i="1"/>
  <c r="X136" i="1"/>
  <c r="W136" i="1"/>
  <c r="V136" i="1"/>
  <c r="X113" i="1"/>
  <c r="W113" i="1"/>
  <c r="W248" i="1"/>
  <c r="S248" i="1"/>
  <c r="V248" i="1"/>
  <c r="P248" i="1"/>
  <c r="U248" i="1"/>
  <c r="T248" i="1"/>
  <c r="W246" i="1"/>
  <c r="S246" i="1"/>
  <c r="V246" i="1"/>
  <c r="P246" i="1"/>
  <c r="U246" i="1"/>
  <c r="T246" i="1"/>
  <c r="T349" i="1"/>
  <c r="S349" i="1"/>
  <c r="V349" i="1"/>
  <c r="U349" i="1"/>
  <c r="P349" i="1"/>
  <c r="W500" i="1"/>
  <c r="Y500" i="1"/>
  <c r="T500" i="1"/>
  <c r="Z500" i="1"/>
  <c r="V500" i="1"/>
  <c r="X500" i="1"/>
  <c r="Z427" i="1"/>
  <c r="V427" i="1"/>
  <c r="W427" i="1"/>
  <c r="T427" i="1"/>
  <c r="Y427" i="1"/>
  <c r="X427" i="1"/>
  <c r="T389" i="1"/>
  <c r="S389" i="1"/>
  <c r="V389" i="1"/>
  <c r="U389" i="1"/>
  <c r="P389" i="1"/>
  <c r="T262" i="1"/>
  <c r="V262" i="1"/>
  <c r="U262" i="1"/>
  <c r="S262" i="1"/>
  <c r="P262" i="1"/>
  <c r="W262" i="1"/>
  <c r="Y531" i="1"/>
  <c r="T531" i="1"/>
  <c r="W531" i="1"/>
  <c r="Z531" i="1"/>
  <c r="V531" i="1"/>
  <c r="X531" i="1"/>
  <c r="Y606" i="1"/>
  <c r="X606" i="1"/>
  <c r="W606" i="1"/>
  <c r="X135" i="1"/>
  <c r="W135" i="1"/>
  <c r="V135" i="1"/>
  <c r="Y582" i="1"/>
  <c r="X582" i="1"/>
  <c r="I478" i="1"/>
  <c r="J478" i="1" s="1"/>
  <c r="L478" i="1"/>
  <c r="I247" i="1"/>
  <c r="J247" i="1" s="1"/>
  <c r="L247" i="1"/>
  <c r="I245" i="1"/>
  <c r="J245" i="1" s="1"/>
  <c r="L245" i="1"/>
  <c r="I475" i="1"/>
  <c r="J475" i="1" s="1"/>
  <c r="L475" i="1"/>
  <c r="X669" i="1"/>
  <c r="W669" i="1"/>
  <c r="V669" i="1"/>
  <c r="Y669" i="1"/>
  <c r="U669" i="1"/>
  <c r="I123" i="1"/>
  <c r="J123" i="1" s="1"/>
  <c r="L123" i="1"/>
  <c r="W660" i="1"/>
  <c r="V660" i="1"/>
  <c r="Y660" i="1"/>
  <c r="U660" i="1"/>
  <c r="U718" i="1" s="1"/>
  <c r="U720" i="1" s="1"/>
  <c r="U721" i="1" s="1"/>
  <c r="X660" i="1"/>
  <c r="I452" i="1"/>
  <c r="J452" i="1" s="1"/>
  <c r="L452" i="1"/>
  <c r="V289" i="1"/>
  <c r="P289" i="1"/>
  <c r="U289" i="1"/>
  <c r="T289" i="1"/>
  <c r="S289" i="1"/>
  <c r="W289" i="1"/>
  <c r="P320" i="1"/>
  <c r="W320" i="1"/>
  <c r="U320" i="1"/>
  <c r="V320" i="1"/>
  <c r="X565" i="1"/>
  <c r="W565" i="1"/>
  <c r="Z425" i="1"/>
  <c r="V425" i="1"/>
  <c r="Y425" i="1"/>
  <c r="T425" i="1"/>
  <c r="X425" i="1"/>
  <c r="W425" i="1"/>
  <c r="I532" i="1"/>
  <c r="J532" i="1" s="1"/>
  <c r="L532" i="1"/>
  <c r="W624" i="1"/>
  <c r="Y624" i="1"/>
  <c r="X624" i="1"/>
  <c r="Z423" i="1"/>
  <c r="V423" i="1"/>
  <c r="Y423" i="1"/>
  <c r="T423" i="1"/>
  <c r="X423" i="1"/>
  <c r="W423" i="1"/>
  <c r="Z406" i="1"/>
  <c r="V406" i="1"/>
  <c r="Y406" i="1"/>
  <c r="T406" i="1"/>
  <c r="X406" i="1"/>
  <c r="W406" i="1"/>
  <c r="T385" i="1"/>
  <c r="S385" i="1"/>
  <c r="P385" i="1"/>
  <c r="V385" i="1"/>
  <c r="U385" i="1"/>
  <c r="W506" i="1"/>
  <c r="Y506" i="1"/>
  <c r="T506" i="1"/>
  <c r="X506" i="1"/>
  <c r="V506" i="1"/>
  <c r="Z506" i="1"/>
  <c r="W133" i="1"/>
  <c r="V133" i="1"/>
  <c r="X133" i="1"/>
  <c r="Y581" i="1"/>
  <c r="X581" i="1"/>
  <c r="W600" i="1"/>
  <c r="Y600" i="1"/>
  <c r="X600" i="1"/>
  <c r="Z443" i="1"/>
  <c r="V443" i="1"/>
  <c r="W443" i="1"/>
  <c r="T443" i="1"/>
  <c r="Y443" i="1"/>
  <c r="X443" i="1"/>
  <c r="X568" i="1"/>
  <c r="W568" i="1"/>
  <c r="X566" i="1"/>
  <c r="W566" i="1"/>
  <c r="W489" i="1"/>
  <c r="Y489" i="1"/>
  <c r="T489" i="1"/>
  <c r="Z489" i="1"/>
  <c r="X489" i="1"/>
  <c r="V489" i="1"/>
  <c r="Y479" i="1"/>
  <c r="T479" i="1"/>
  <c r="W479" i="1"/>
  <c r="Z479" i="1"/>
  <c r="X479" i="1"/>
  <c r="V479" i="1"/>
  <c r="Z451" i="1"/>
  <c r="V451" i="1"/>
  <c r="W451" i="1"/>
  <c r="T451" i="1"/>
  <c r="Y451" i="1"/>
  <c r="X451" i="1"/>
  <c r="V122" i="1"/>
  <c r="X122" i="1"/>
  <c r="W122" i="1"/>
  <c r="Y484" i="1"/>
  <c r="T484" i="1"/>
  <c r="W484" i="1"/>
  <c r="X484" i="1"/>
  <c r="V484" i="1"/>
  <c r="Z484" i="1"/>
  <c r="W499" i="1"/>
  <c r="Y499" i="1"/>
  <c r="T499" i="1"/>
  <c r="V499" i="1"/>
  <c r="Z499" i="1"/>
  <c r="X499" i="1"/>
  <c r="X131" i="1"/>
  <c r="W131" i="1"/>
  <c r="V131" i="1"/>
  <c r="Y547" i="1"/>
  <c r="T547" i="1"/>
  <c r="W547" i="1"/>
  <c r="V547" i="1"/>
  <c r="Z547" i="1"/>
  <c r="X547" i="1"/>
  <c r="W193" i="1"/>
  <c r="V193" i="1"/>
  <c r="Y539" i="1"/>
  <c r="T539" i="1"/>
  <c r="W539" i="1"/>
  <c r="Z539" i="1"/>
  <c r="V539" i="1"/>
  <c r="X539" i="1"/>
  <c r="V288" i="1"/>
  <c r="P288" i="1"/>
  <c r="U288" i="1"/>
  <c r="T288" i="1"/>
  <c r="S288" i="1"/>
  <c r="W288" i="1"/>
  <c r="T313" i="1"/>
  <c r="W313" i="1"/>
  <c r="S313" i="1"/>
  <c r="P313" i="1"/>
  <c r="V313" i="1"/>
  <c r="U313" i="1"/>
  <c r="I474" i="1"/>
  <c r="J474" i="1" s="1"/>
  <c r="L474" i="1"/>
  <c r="I537" i="1"/>
  <c r="J537" i="1" s="1"/>
  <c r="L537" i="1"/>
  <c r="U350" i="1"/>
  <c r="T350" i="1"/>
  <c r="P350" i="1"/>
  <c r="V350" i="1"/>
  <c r="S350" i="1"/>
  <c r="Z446" i="1"/>
  <c r="V446" i="1"/>
  <c r="Y446" i="1"/>
  <c r="X446" i="1"/>
  <c r="W446" i="1"/>
  <c r="T446" i="1"/>
  <c r="V296" i="1"/>
  <c r="P296" i="1"/>
  <c r="U296" i="1"/>
  <c r="T296" i="1"/>
  <c r="S296" i="1"/>
  <c r="W296" i="1"/>
  <c r="X574" i="1"/>
  <c r="W574" i="1"/>
  <c r="S388" i="1"/>
  <c r="V388" i="1"/>
  <c r="P388" i="1"/>
  <c r="U388" i="1"/>
  <c r="T388" i="1"/>
  <c r="W516" i="1"/>
  <c r="Y516" i="1"/>
  <c r="T516" i="1"/>
  <c r="Z516" i="1"/>
  <c r="V516" i="1"/>
  <c r="X516" i="1"/>
  <c r="V284" i="1"/>
  <c r="P284" i="1"/>
  <c r="U284" i="1"/>
  <c r="T284" i="1"/>
  <c r="S284" i="1"/>
  <c r="W284" i="1"/>
  <c r="I477" i="1"/>
  <c r="J477" i="1" s="1"/>
  <c r="L477" i="1"/>
  <c r="Y670" i="1"/>
  <c r="U670" i="1"/>
  <c r="X670" i="1"/>
  <c r="W670" i="1"/>
  <c r="V670" i="1"/>
  <c r="I67" i="33"/>
  <c r="J67" i="33" s="1"/>
  <c r="L67" i="33"/>
  <c r="T266" i="1"/>
  <c r="V266" i="1"/>
  <c r="U266" i="1"/>
  <c r="S266" i="1"/>
  <c r="W266" i="1"/>
  <c r="P266" i="1"/>
  <c r="W244" i="1"/>
  <c r="S244" i="1"/>
  <c r="V244" i="1"/>
  <c r="P244" i="1"/>
  <c r="U244" i="1"/>
  <c r="T244" i="1"/>
  <c r="V292" i="1"/>
  <c r="P292" i="1"/>
  <c r="U292" i="1"/>
  <c r="T292" i="1"/>
  <c r="S292" i="1"/>
  <c r="W292" i="1"/>
  <c r="V298" i="1"/>
  <c r="P298" i="1"/>
  <c r="U298" i="1"/>
  <c r="T298" i="1"/>
  <c r="S298" i="1"/>
  <c r="W298" i="1"/>
  <c r="I56" i="1"/>
  <c r="J56" i="1" s="1"/>
  <c r="L56" i="1"/>
  <c r="Y176" i="1"/>
  <c r="X176" i="1"/>
  <c r="Z176" i="1"/>
  <c r="V134" i="1"/>
  <c r="X134" i="1"/>
  <c r="W134" i="1"/>
  <c r="Z447" i="1"/>
  <c r="V447" i="1"/>
  <c r="W447" i="1"/>
  <c r="T447" i="1"/>
  <c r="Y447" i="1"/>
  <c r="X447" i="1"/>
  <c r="Z444" i="1"/>
  <c r="V444" i="1"/>
  <c r="Y444" i="1"/>
  <c r="X444" i="1"/>
  <c r="W444" i="1"/>
  <c r="T444" i="1"/>
  <c r="T261" i="1"/>
  <c r="U261" i="1"/>
  <c r="S261" i="1"/>
  <c r="W261" i="1"/>
  <c r="P261" i="1"/>
  <c r="V261" i="1"/>
  <c r="Y626" i="1"/>
  <c r="X626" i="1"/>
  <c r="W626" i="1"/>
  <c r="Y613" i="1"/>
  <c r="X613" i="1"/>
  <c r="W613" i="1"/>
  <c r="Y485" i="1"/>
  <c r="T485" i="1"/>
  <c r="W485" i="1"/>
  <c r="V485" i="1"/>
  <c r="Z485" i="1"/>
  <c r="X485" i="1"/>
  <c r="Y662" i="1"/>
  <c r="U662" i="1"/>
  <c r="X662" i="1"/>
  <c r="W662" i="1"/>
  <c r="V662" i="1"/>
  <c r="Y483" i="1"/>
  <c r="T483" i="1"/>
  <c r="W483" i="1"/>
  <c r="Z483" i="1"/>
  <c r="X483" i="1"/>
  <c r="V483" i="1"/>
  <c r="Y481" i="1"/>
  <c r="T481" i="1"/>
  <c r="W481" i="1"/>
  <c r="V481" i="1"/>
  <c r="Z481" i="1"/>
  <c r="X481" i="1"/>
  <c r="W192" i="1"/>
  <c r="V192" i="1"/>
  <c r="T369" i="1"/>
  <c r="S369" i="1"/>
  <c r="U369" i="1"/>
  <c r="P369" i="1"/>
  <c r="V369" i="1"/>
  <c r="W513" i="1"/>
  <c r="Y513" i="1"/>
  <c r="T513" i="1"/>
  <c r="Z513" i="1"/>
  <c r="X513" i="1"/>
  <c r="V513" i="1"/>
  <c r="W213" i="1"/>
  <c r="V213" i="1"/>
  <c r="Y213" i="1"/>
  <c r="X213" i="1"/>
  <c r="Y580" i="1"/>
  <c r="X580" i="1"/>
  <c r="Y533" i="1"/>
  <c r="T533" i="1"/>
  <c r="W533" i="1"/>
  <c r="X533" i="1"/>
  <c r="V533" i="1"/>
  <c r="Z533" i="1"/>
  <c r="W488" i="1"/>
  <c r="Y488" i="1"/>
  <c r="T488" i="1"/>
  <c r="Z488" i="1"/>
  <c r="V488" i="1"/>
  <c r="X488" i="1"/>
  <c r="W517" i="1"/>
  <c r="Y517" i="1"/>
  <c r="T517" i="1"/>
  <c r="Z517" i="1"/>
  <c r="X517" i="1"/>
  <c r="V517" i="1"/>
  <c r="W166" i="1"/>
  <c r="V166" i="1"/>
  <c r="Y166" i="1"/>
  <c r="U166" i="1"/>
  <c r="X166" i="1"/>
  <c r="I370" i="1"/>
  <c r="J370" i="1" s="1"/>
  <c r="L370" i="1"/>
  <c r="I407" i="1"/>
  <c r="J407" i="1" s="1"/>
  <c r="L407" i="1"/>
  <c r="I622" i="1"/>
  <c r="J622" i="1" s="1"/>
  <c r="L622" i="1"/>
  <c r="I242" i="1"/>
  <c r="J242" i="1" s="1"/>
  <c r="L242" i="1"/>
  <c r="R110" i="1"/>
  <c r="R214" i="1" s="1"/>
  <c r="R222" i="1" s="1"/>
  <c r="T110" i="1"/>
  <c r="S110" i="1"/>
  <c r="W195" i="1"/>
  <c r="V195" i="1"/>
  <c r="S352" i="1"/>
  <c r="V352" i="1"/>
  <c r="P352" i="1"/>
  <c r="T352" i="1"/>
  <c r="U352" i="1"/>
  <c r="X623" i="1"/>
  <c r="W623" i="1"/>
  <c r="Y623" i="1"/>
  <c r="V200" i="1"/>
  <c r="U200" i="1"/>
  <c r="V560" i="1"/>
  <c r="U560" i="1"/>
  <c r="W494" i="1"/>
  <c r="Y494" i="1"/>
  <c r="T494" i="1"/>
  <c r="X494" i="1"/>
  <c r="V494" i="1"/>
  <c r="Z494" i="1"/>
  <c r="W628" i="1"/>
  <c r="Y628" i="1"/>
  <c r="X628" i="1"/>
  <c r="Y625" i="1"/>
  <c r="X625" i="1"/>
  <c r="W625" i="1"/>
  <c r="Z449" i="1"/>
  <c r="V449" i="1"/>
  <c r="W449" i="1"/>
  <c r="T449" i="1"/>
  <c r="Y449" i="1"/>
  <c r="X449" i="1"/>
  <c r="S368" i="1"/>
  <c r="V368" i="1"/>
  <c r="P368" i="1"/>
  <c r="T368" i="1"/>
  <c r="U368" i="1"/>
  <c r="Y472" i="1"/>
  <c r="T472" i="1"/>
  <c r="W472" i="1"/>
  <c r="X472" i="1"/>
  <c r="V472" i="1"/>
  <c r="Z472" i="1"/>
  <c r="Z420" i="1"/>
  <c r="V420" i="1"/>
  <c r="Y420" i="1"/>
  <c r="T420" i="1"/>
  <c r="X420" i="1"/>
  <c r="W420" i="1"/>
  <c r="Z460" i="1"/>
  <c r="V460" i="1"/>
  <c r="Y460" i="1"/>
  <c r="X460" i="1"/>
  <c r="W460" i="1"/>
  <c r="T460" i="1"/>
  <c r="Y538" i="1"/>
  <c r="T538" i="1"/>
  <c r="W538" i="1"/>
  <c r="V538" i="1"/>
  <c r="Z538" i="1"/>
  <c r="X538" i="1"/>
  <c r="V293" i="1"/>
  <c r="P293" i="1"/>
  <c r="U293" i="1"/>
  <c r="T293" i="1"/>
  <c r="S293" i="1"/>
  <c r="W293" i="1"/>
  <c r="Y476" i="1"/>
  <c r="T476" i="1"/>
  <c r="W476" i="1"/>
  <c r="X476" i="1"/>
  <c r="V476" i="1"/>
  <c r="Z476" i="1"/>
  <c r="V126" i="1"/>
  <c r="X126" i="1"/>
  <c r="W126" i="1"/>
  <c r="W509" i="1"/>
  <c r="Y509" i="1"/>
  <c r="T509" i="1"/>
  <c r="Z509" i="1"/>
  <c r="X509" i="1"/>
  <c r="V509" i="1"/>
  <c r="W211" i="1"/>
  <c r="V211" i="1"/>
  <c r="Y211" i="1"/>
  <c r="X211" i="1"/>
  <c r="W205" i="1"/>
  <c r="V205" i="1"/>
  <c r="Y205" i="1"/>
  <c r="X205" i="1"/>
  <c r="X661" i="1"/>
  <c r="W661" i="1"/>
  <c r="V661" i="1"/>
  <c r="Y661" i="1"/>
  <c r="U661" i="1"/>
  <c r="W510" i="1"/>
  <c r="Y510" i="1"/>
  <c r="T510" i="1"/>
  <c r="X510" i="1"/>
  <c r="V510" i="1"/>
  <c r="Z510" i="1"/>
  <c r="W520" i="1"/>
  <c r="Y520" i="1"/>
  <c r="T520" i="1"/>
  <c r="Z520" i="1"/>
  <c r="V520" i="1"/>
  <c r="X520" i="1"/>
  <c r="I179" i="1"/>
  <c r="J179" i="1" s="1"/>
  <c r="L179" i="1"/>
  <c r="I528" i="1"/>
  <c r="J528" i="1" s="1"/>
  <c r="L528" i="1"/>
  <c r="W137" i="1"/>
  <c r="V137" i="1"/>
  <c r="X137" i="1"/>
  <c r="V351" i="1"/>
  <c r="P351" i="1"/>
  <c r="U351" i="1"/>
  <c r="S351" i="1"/>
  <c r="T351" i="1"/>
  <c r="W505" i="1"/>
  <c r="Y505" i="1"/>
  <c r="T505" i="1"/>
  <c r="Z505" i="1"/>
  <c r="X505" i="1"/>
  <c r="V505" i="1"/>
  <c r="Y602" i="1"/>
  <c r="X602" i="1"/>
  <c r="W602" i="1"/>
  <c r="Y601" i="1"/>
  <c r="X601" i="1"/>
  <c r="W601" i="1"/>
  <c r="X124" i="1"/>
  <c r="W124" i="1"/>
  <c r="V124" i="1"/>
  <c r="I77" i="1"/>
  <c r="J77" i="1" s="1"/>
  <c r="R77" i="1" s="1"/>
  <c r="R86" i="1" s="1"/>
  <c r="R99" i="1" s="1"/>
  <c r="L77" i="1"/>
  <c r="X119" i="1"/>
  <c r="W119" i="1"/>
  <c r="V119" i="1"/>
  <c r="W493" i="1"/>
  <c r="Y493" i="1"/>
  <c r="T493" i="1"/>
  <c r="Z493" i="1"/>
  <c r="X493" i="1"/>
  <c r="V493" i="1"/>
  <c r="W125" i="1"/>
  <c r="V125" i="1"/>
  <c r="X125" i="1"/>
  <c r="V132" i="29"/>
  <c r="U132" i="29"/>
  <c r="W498" i="1"/>
  <c r="Y498" i="1"/>
  <c r="T498" i="1"/>
  <c r="X498" i="1"/>
  <c r="V498" i="1"/>
  <c r="Z498" i="1"/>
  <c r="Y482" i="1"/>
  <c r="T482" i="1"/>
  <c r="W482" i="1"/>
  <c r="Z482" i="1"/>
  <c r="V482" i="1"/>
  <c r="X482" i="1"/>
  <c r="Y480" i="1"/>
  <c r="T480" i="1"/>
  <c r="W480" i="1"/>
  <c r="X480" i="1"/>
  <c r="V480" i="1"/>
  <c r="Z480" i="1"/>
  <c r="W519" i="1"/>
  <c r="Y519" i="1"/>
  <c r="T519" i="1"/>
  <c r="V519" i="1"/>
  <c r="Z519" i="1"/>
  <c r="X519" i="1"/>
  <c r="Y142" i="1"/>
  <c r="Z142" i="1"/>
  <c r="Z214" i="1" s="1"/>
  <c r="Z222" i="1" s="1"/>
  <c r="W207" i="1"/>
  <c r="V207" i="1"/>
  <c r="Y207" i="1"/>
  <c r="X207" i="1"/>
  <c r="S348" i="1"/>
  <c r="V348" i="1"/>
  <c r="P348" i="1"/>
  <c r="U348" i="1"/>
  <c r="T348" i="1"/>
  <c r="W511" i="1"/>
  <c r="Y511" i="1"/>
  <c r="T511" i="1"/>
  <c r="V511" i="1"/>
  <c r="Z511" i="1"/>
  <c r="X511" i="1"/>
  <c r="Y534" i="1"/>
  <c r="T534" i="1"/>
  <c r="W534" i="1"/>
  <c r="V534" i="1"/>
  <c r="Z534" i="1"/>
  <c r="X534" i="1"/>
  <c r="V558" i="1"/>
  <c r="U558" i="1"/>
  <c r="X599" i="1"/>
  <c r="W599" i="1"/>
  <c r="Y599" i="1"/>
  <c r="V387" i="1"/>
  <c r="P387" i="1"/>
  <c r="U387" i="1"/>
  <c r="T387" i="1"/>
  <c r="S387" i="1"/>
  <c r="W668" i="1"/>
  <c r="V668" i="1"/>
  <c r="Y668" i="1"/>
  <c r="U668" i="1"/>
  <c r="X668" i="1"/>
  <c r="W508" i="1"/>
  <c r="Y508" i="1"/>
  <c r="T508" i="1"/>
  <c r="Z508" i="1"/>
  <c r="V508" i="1"/>
  <c r="X508" i="1"/>
  <c r="W512" i="1"/>
  <c r="Y512" i="1"/>
  <c r="T512" i="1"/>
  <c r="Z512" i="1"/>
  <c r="V512" i="1"/>
  <c r="X512" i="1"/>
  <c r="J718" i="1"/>
  <c r="J720" i="1" s="1"/>
  <c r="H180" i="1"/>
  <c r="L180" i="1" s="1"/>
  <c r="I529" i="1"/>
  <c r="J529" i="1" s="1"/>
  <c r="I495" i="1"/>
  <c r="J495" i="1" s="1"/>
  <c r="I612" i="1"/>
  <c r="J612" i="1" s="1"/>
  <c r="J157" i="33"/>
  <c r="I260" i="1"/>
  <c r="J260" i="1" s="1"/>
  <c r="I459" i="1"/>
  <c r="J459" i="1" s="1"/>
  <c r="I419" i="1"/>
  <c r="J419" i="1" s="1"/>
  <c r="I240" i="1"/>
  <c r="J240" i="1" s="1"/>
  <c r="I604" i="1"/>
  <c r="J604" i="1" s="1"/>
  <c r="I549" i="1"/>
  <c r="J549" i="1" s="1"/>
  <c r="I324" i="1"/>
  <c r="J324" i="1" s="1"/>
  <c r="I621" i="1"/>
  <c r="J621" i="1" s="1"/>
  <c r="I586" i="1"/>
  <c r="J586" i="1" s="1"/>
  <c r="I332" i="1"/>
  <c r="J332" i="1" s="1"/>
  <c r="I117" i="1"/>
  <c r="J117" i="1" s="1"/>
  <c r="I124" i="33"/>
  <c r="J124" i="33" s="1"/>
  <c r="J158" i="33"/>
  <c r="I243" i="1"/>
  <c r="J243" i="1" s="1"/>
  <c r="I121" i="1"/>
  <c r="J121" i="1" s="1"/>
  <c r="I530" i="1"/>
  <c r="J530" i="1" s="1"/>
  <c r="I300" i="1"/>
  <c r="J300" i="1" s="1"/>
  <c r="I591" i="1"/>
  <c r="J591" i="1" s="1"/>
  <c r="I392" i="1"/>
  <c r="J392" i="1" s="1"/>
  <c r="I627" i="1"/>
  <c r="J627" i="1" s="1"/>
  <c r="I294" i="1"/>
  <c r="J294" i="1" s="1"/>
  <c r="I128" i="1"/>
  <c r="J128" i="1" s="1"/>
  <c r="I491" i="1"/>
  <c r="J491" i="1" s="1"/>
  <c r="H103" i="29"/>
  <c r="L103" i="29" s="1"/>
  <c r="J138" i="29"/>
  <c r="I129" i="1"/>
  <c r="J129" i="1" s="1"/>
  <c r="I285" i="1"/>
  <c r="J285" i="1" s="1"/>
  <c r="I426" i="1"/>
  <c r="J426" i="1" s="1"/>
  <c r="I194" i="1"/>
  <c r="J194" i="1" s="1"/>
  <c r="I202" i="1"/>
  <c r="J202" i="1" s="1"/>
  <c r="H535" i="1"/>
  <c r="L535" i="1" s="1"/>
  <c r="I118" i="1"/>
  <c r="J118" i="1" s="1"/>
  <c r="H536" i="1"/>
  <c r="L536" i="1" s="1"/>
  <c r="I120" i="1"/>
  <c r="J120" i="1" s="1"/>
  <c r="J550" i="1"/>
  <c r="J134" i="29"/>
  <c r="J136" i="29" s="1"/>
  <c r="J130" i="1"/>
  <c r="J86" i="1"/>
  <c r="J68" i="33"/>
  <c r="J70" i="33" s="1"/>
  <c r="J555" i="1"/>
  <c r="J575" i="1"/>
  <c r="J70" i="1"/>
  <c r="J63" i="29"/>
  <c r="J84" i="29" s="1"/>
  <c r="M71" i="33" l="1"/>
  <c r="R71" i="33"/>
  <c r="T71" i="33"/>
  <c r="N71" i="33"/>
  <c r="P71" i="33"/>
  <c r="O71" i="33"/>
  <c r="Q71" i="33"/>
  <c r="S71" i="33"/>
  <c r="V71" i="33"/>
  <c r="U71" i="33"/>
  <c r="Y71" i="33"/>
  <c r="Z71" i="33"/>
  <c r="V118" i="1"/>
  <c r="X118" i="1"/>
  <c r="W118" i="1"/>
  <c r="W124" i="33"/>
  <c r="W139" i="33" s="1"/>
  <c r="W147" i="33" s="1"/>
  <c r="W148" i="33" s="1"/>
  <c r="V124" i="33"/>
  <c r="V139" i="33" s="1"/>
  <c r="V147" i="33" s="1"/>
  <c r="U124" i="33"/>
  <c r="U139" i="33" s="1"/>
  <c r="U147" i="33" s="1"/>
  <c r="U370" i="1"/>
  <c r="U398" i="1" s="1"/>
  <c r="T370" i="1"/>
  <c r="V370" i="1"/>
  <c r="V398" i="1" s="1"/>
  <c r="S370" i="1"/>
  <c r="P370" i="1"/>
  <c r="P398" i="1" s="1"/>
  <c r="Y537" i="1"/>
  <c r="T537" i="1"/>
  <c r="W537" i="1"/>
  <c r="X537" i="1"/>
  <c r="V537" i="1"/>
  <c r="Z537" i="1"/>
  <c r="W247" i="1"/>
  <c r="S247" i="1"/>
  <c r="V247" i="1"/>
  <c r="P247" i="1"/>
  <c r="U247" i="1"/>
  <c r="T247" i="1"/>
  <c r="J398" i="1"/>
  <c r="V285" i="1"/>
  <c r="P285" i="1"/>
  <c r="U285" i="1"/>
  <c r="T285" i="1"/>
  <c r="S285" i="1"/>
  <c r="W285" i="1"/>
  <c r="W491" i="1"/>
  <c r="Y491" i="1"/>
  <c r="T491" i="1"/>
  <c r="V491" i="1"/>
  <c r="Z491" i="1"/>
  <c r="X491" i="1"/>
  <c r="T392" i="1"/>
  <c r="S392" i="1"/>
  <c r="P392" i="1"/>
  <c r="V392" i="1"/>
  <c r="U392" i="1"/>
  <c r="W121" i="1"/>
  <c r="V121" i="1"/>
  <c r="X121" i="1"/>
  <c r="W117" i="1"/>
  <c r="V117" i="1"/>
  <c r="X117" i="1"/>
  <c r="X214" i="1" s="1"/>
  <c r="X222" i="1" s="1"/>
  <c r="P324" i="1"/>
  <c r="W324" i="1"/>
  <c r="U324" i="1"/>
  <c r="V324" i="1"/>
  <c r="V336" i="1" s="1"/>
  <c r="Z419" i="1"/>
  <c r="V419" i="1"/>
  <c r="Y419" i="1"/>
  <c r="T419" i="1"/>
  <c r="X419" i="1"/>
  <c r="W419" i="1"/>
  <c r="W612" i="1"/>
  <c r="Y612" i="1"/>
  <c r="X612" i="1"/>
  <c r="O721" i="1"/>
  <c r="N721" i="1"/>
  <c r="M721" i="1"/>
  <c r="T721" i="1"/>
  <c r="R721" i="1"/>
  <c r="P721" i="1"/>
  <c r="Q721" i="1"/>
  <c r="S721" i="1"/>
  <c r="Z721" i="1"/>
  <c r="T398" i="1"/>
  <c r="S398" i="1"/>
  <c r="O56" i="1"/>
  <c r="O70" i="1" s="1"/>
  <c r="O99" i="1" s="1"/>
  <c r="P56" i="1"/>
  <c r="P70" i="1" s="1"/>
  <c r="P99" i="1" s="1"/>
  <c r="P100" i="1" s="1"/>
  <c r="W575" i="1"/>
  <c r="Y718" i="1"/>
  <c r="Y720" i="1" s="1"/>
  <c r="Y721" i="1" s="1"/>
  <c r="X123" i="1"/>
  <c r="W123" i="1"/>
  <c r="V123" i="1"/>
  <c r="V121" i="29"/>
  <c r="V134" i="29" s="1"/>
  <c r="V136" i="29" s="1"/>
  <c r="V137" i="29" s="1"/>
  <c r="U121" i="29"/>
  <c r="U134" i="29" s="1"/>
  <c r="U136" i="29" s="1"/>
  <c r="U137" i="29" s="1"/>
  <c r="T102" i="29"/>
  <c r="S102" i="29"/>
  <c r="V130" i="1"/>
  <c r="X130" i="1"/>
  <c r="W130" i="1"/>
  <c r="W214" i="1" s="1"/>
  <c r="W222" i="1" s="1"/>
  <c r="X120" i="1"/>
  <c r="W120" i="1"/>
  <c r="V120" i="1"/>
  <c r="V202" i="1"/>
  <c r="U202" i="1"/>
  <c r="W129" i="1"/>
  <c r="V129" i="1"/>
  <c r="X129" i="1"/>
  <c r="X128" i="1"/>
  <c r="W128" i="1"/>
  <c r="V128" i="1"/>
  <c r="Y591" i="1"/>
  <c r="X591" i="1"/>
  <c r="W243" i="1"/>
  <c r="S243" i="1"/>
  <c r="V243" i="1"/>
  <c r="P243" i="1"/>
  <c r="U243" i="1"/>
  <c r="T243" i="1"/>
  <c r="P332" i="1"/>
  <c r="P336" i="1" s="1"/>
  <c r="P400" i="1" s="1"/>
  <c r="P401" i="1" s="1"/>
  <c r="W332" i="1"/>
  <c r="W336" i="1" s="1"/>
  <c r="U332" i="1"/>
  <c r="V332" i="1"/>
  <c r="W549" i="1"/>
  <c r="Y549" i="1"/>
  <c r="T549" i="1"/>
  <c r="X549" i="1"/>
  <c r="V549" i="1"/>
  <c r="Z549" i="1"/>
  <c r="Z459" i="1"/>
  <c r="V459" i="1"/>
  <c r="W459" i="1"/>
  <c r="T459" i="1"/>
  <c r="Y459" i="1"/>
  <c r="X459" i="1"/>
  <c r="W495" i="1"/>
  <c r="Y495" i="1"/>
  <c r="T495" i="1"/>
  <c r="V495" i="1"/>
  <c r="Z495" i="1"/>
  <c r="X495" i="1"/>
  <c r="T179" i="1"/>
  <c r="S179" i="1"/>
  <c r="W242" i="1"/>
  <c r="S242" i="1"/>
  <c r="V242" i="1"/>
  <c r="P242" i="1"/>
  <c r="U242" i="1"/>
  <c r="T242" i="1"/>
  <c r="Z407" i="1"/>
  <c r="V407" i="1"/>
  <c r="Y407" i="1"/>
  <c r="T407" i="1"/>
  <c r="X407" i="1"/>
  <c r="W407" i="1"/>
  <c r="Y477" i="1"/>
  <c r="T477" i="1"/>
  <c r="W477" i="1"/>
  <c r="V477" i="1"/>
  <c r="Z477" i="1"/>
  <c r="X477" i="1"/>
  <c r="Y474" i="1"/>
  <c r="T474" i="1"/>
  <c r="W474" i="1"/>
  <c r="Z474" i="1"/>
  <c r="V474" i="1"/>
  <c r="X474" i="1"/>
  <c r="Y532" i="1"/>
  <c r="T532" i="1"/>
  <c r="W532" i="1"/>
  <c r="Z532" i="1"/>
  <c r="X532" i="1"/>
  <c r="V532" i="1"/>
  <c r="X575" i="1"/>
  <c r="Z452" i="1"/>
  <c r="V452" i="1"/>
  <c r="Y452" i="1"/>
  <c r="X452" i="1"/>
  <c r="W452" i="1"/>
  <c r="T452" i="1"/>
  <c r="V718" i="1"/>
  <c r="V720" i="1" s="1"/>
  <c r="V721" i="1" s="1"/>
  <c r="W245" i="1"/>
  <c r="S245" i="1"/>
  <c r="V245" i="1"/>
  <c r="P245" i="1"/>
  <c r="U245" i="1"/>
  <c r="T245" i="1"/>
  <c r="Y478" i="1"/>
  <c r="T478" i="1"/>
  <c r="W478" i="1"/>
  <c r="Z478" i="1"/>
  <c r="V478" i="1"/>
  <c r="X478" i="1"/>
  <c r="U214" i="1"/>
  <c r="U222" i="1" s="1"/>
  <c r="M85" i="29"/>
  <c r="Y85" i="29"/>
  <c r="U85" i="29"/>
  <c r="W85" i="29"/>
  <c r="V85" i="29"/>
  <c r="X85" i="29"/>
  <c r="Z85" i="29"/>
  <c r="T85" i="29"/>
  <c r="S85" i="29"/>
  <c r="P85" i="29"/>
  <c r="N85" i="29"/>
  <c r="R85" i="29"/>
  <c r="Q85" i="29"/>
  <c r="W550" i="1"/>
  <c r="Y550" i="1"/>
  <c r="T550" i="1"/>
  <c r="V550" i="1"/>
  <c r="Z550" i="1"/>
  <c r="X550" i="1"/>
  <c r="Z426" i="1"/>
  <c r="V426" i="1"/>
  <c r="Y426" i="1"/>
  <c r="T426" i="1"/>
  <c r="X426" i="1"/>
  <c r="W426" i="1"/>
  <c r="X627" i="1"/>
  <c r="X633" i="1" s="1"/>
  <c r="W627" i="1"/>
  <c r="W633" i="1" s="1"/>
  <c r="Y627" i="1"/>
  <c r="Y530" i="1"/>
  <c r="T530" i="1"/>
  <c r="W530" i="1"/>
  <c r="V530" i="1"/>
  <c r="Z530" i="1"/>
  <c r="X530" i="1"/>
  <c r="Y621" i="1"/>
  <c r="X621" i="1"/>
  <c r="W621" i="1"/>
  <c r="W240" i="1"/>
  <c r="S240" i="1"/>
  <c r="V240" i="1"/>
  <c r="P240" i="1"/>
  <c r="P316" i="1" s="1"/>
  <c r="U240" i="1"/>
  <c r="T240" i="1"/>
  <c r="Y528" i="1"/>
  <c r="T528" i="1"/>
  <c r="W528" i="1"/>
  <c r="Z528" i="1"/>
  <c r="X528" i="1"/>
  <c r="V528" i="1"/>
  <c r="Y622" i="1"/>
  <c r="Y633" i="1" s="1"/>
  <c r="X622" i="1"/>
  <c r="W622" i="1"/>
  <c r="U336" i="1"/>
  <c r="Y475" i="1"/>
  <c r="T475" i="1"/>
  <c r="W475" i="1"/>
  <c r="Z475" i="1"/>
  <c r="X475" i="1"/>
  <c r="V475" i="1"/>
  <c r="V555" i="1"/>
  <c r="U555" i="1"/>
  <c r="U561" i="1" s="1"/>
  <c r="U645" i="1" s="1"/>
  <c r="W137" i="29"/>
  <c r="Z137" i="29"/>
  <c r="M137" i="29"/>
  <c r="N137" i="29"/>
  <c r="O137" i="29"/>
  <c r="P137" i="29"/>
  <c r="Q137" i="29"/>
  <c r="R137" i="29"/>
  <c r="Y137" i="29"/>
  <c r="X137" i="29"/>
  <c r="S137" i="29"/>
  <c r="T137" i="29"/>
  <c r="W194" i="1"/>
  <c r="V194" i="1"/>
  <c r="V294" i="1"/>
  <c r="P294" i="1"/>
  <c r="U294" i="1"/>
  <c r="T294" i="1"/>
  <c r="S294" i="1"/>
  <c r="W294" i="1"/>
  <c r="V300" i="1"/>
  <c r="P300" i="1"/>
  <c r="U300" i="1"/>
  <c r="T300" i="1"/>
  <c r="S300" i="1"/>
  <c r="W300" i="1"/>
  <c r="Y586" i="1"/>
  <c r="Y594" i="1" s="1"/>
  <c r="X586" i="1"/>
  <c r="X594" i="1" s="1"/>
  <c r="W604" i="1"/>
  <c r="Y604" i="1"/>
  <c r="X604" i="1"/>
  <c r="T260" i="1"/>
  <c r="S260" i="1"/>
  <c r="W260" i="1"/>
  <c r="P260" i="1"/>
  <c r="V260" i="1"/>
  <c r="U260" i="1"/>
  <c r="Y529" i="1"/>
  <c r="T529" i="1"/>
  <c r="W529" i="1"/>
  <c r="X529" i="1"/>
  <c r="V529" i="1"/>
  <c r="Z529" i="1"/>
  <c r="Y214" i="1"/>
  <c r="Y222" i="1" s="1"/>
  <c r="R100" i="1"/>
  <c r="X67" i="33"/>
  <c r="X68" i="33" s="1"/>
  <c r="X70" i="33" s="1"/>
  <c r="X71" i="33" s="1"/>
  <c r="W67" i="33"/>
  <c r="W68" i="33" s="1"/>
  <c r="W70" i="33" s="1"/>
  <c r="W71" i="33" s="1"/>
  <c r="X718" i="1"/>
  <c r="X720" i="1" s="1"/>
  <c r="X721" i="1" s="1"/>
  <c r="W718" i="1"/>
  <c r="W720" i="1" s="1"/>
  <c r="W721" i="1" s="1"/>
  <c r="O85" i="29"/>
  <c r="J316" i="1"/>
  <c r="J751" i="1"/>
  <c r="I535" i="1"/>
  <c r="J535" i="1" s="1"/>
  <c r="I536" i="1"/>
  <c r="J536" i="1" s="1"/>
  <c r="I180" i="1"/>
  <c r="J180" i="1" s="1"/>
  <c r="J752" i="1"/>
  <c r="J139" i="33"/>
  <c r="J147" i="33" s="1"/>
  <c r="J336" i="1"/>
  <c r="J400" i="1" s="1"/>
  <c r="J594" i="1"/>
  <c r="J633" i="1"/>
  <c r="I103" i="29"/>
  <c r="J103" i="29" s="1"/>
  <c r="J139" i="29"/>
  <c r="J99" i="1"/>
  <c r="Q100" i="1" s="1"/>
  <c r="J159" i="33"/>
  <c r="G20" i="48" s="1"/>
  <c r="W223" i="1" l="1"/>
  <c r="T180" i="1"/>
  <c r="T214" i="1" s="1"/>
  <c r="T222" i="1" s="1"/>
  <c r="T223" i="1" s="1"/>
  <c r="S180" i="1"/>
  <c r="S214" i="1" s="1"/>
  <c r="S222" i="1" s="1"/>
  <c r="S223" i="1" s="1"/>
  <c r="J214" i="1"/>
  <c r="J222" i="1" s="1"/>
  <c r="X223" i="1" s="1"/>
  <c r="M401" i="1"/>
  <c r="Q401" i="1"/>
  <c r="X401" i="1"/>
  <c r="O401" i="1"/>
  <c r="N401" i="1"/>
  <c r="R401" i="1"/>
  <c r="Y401" i="1"/>
  <c r="Z401" i="1"/>
  <c r="J561" i="1"/>
  <c r="Y536" i="1"/>
  <c r="T536" i="1"/>
  <c r="W536" i="1"/>
  <c r="Z536" i="1"/>
  <c r="X536" i="1"/>
  <c r="V536" i="1"/>
  <c r="Y223" i="1"/>
  <c r="V316" i="1"/>
  <c r="V400" i="1" s="1"/>
  <c r="V401" i="1" s="1"/>
  <c r="O100" i="1"/>
  <c r="V214" i="1"/>
  <c r="V222" i="1" s="1"/>
  <c r="V223" i="1" s="1"/>
  <c r="Z100" i="1"/>
  <c r="V100" i="1"/>
  <c r="X100" i="1"/>
  <c r="Y100" i="1"/>
  <c r="M100" i="1"/>
  <c r="U100" i="1"/>
  <c r="W100" i="1"/>
  <c r="S100" i="1"/>
  <c r="N100" i="1"/>
  <c r="T100" i="1"/>
  <c r="T103" i="29"/>
  <c r="T107" i="29" s="1"/>
  <c r="T109" i="29" s="1"/>
  <c r="T110" i="29" s="1"/>
  <c r="S103" i="29"/>
  <c r="S107" i="29" s="1"/>
  <c r="S109" i="29" s="1"/>
  <c r="S110" i="29" s="1"/>
  <c r="Y148" i="33"/>
  <c r="T148" i="33"/>
  <c r="X148" i="33"/>
  <c r="Q148" i="33"/>
  <c r="P148" i="33"/>
  <c r="M148" i="33"/>
  <c r="Z148" i="33"/>
  <c r="N148" i="33"/>
  <c r="S148" i="33"/>
  <c r="O148" i="33"/>
  <c r="R148" i="33"/>
  <c r="Y535" i="1"/>
  <c r="Y561" i="1" s="1"/>
  <c r="Y645" i="1" s="1"/>
  <c r="Y646" i="1" s="1"/>
  <c r="T535" i="1"/>
  <c r="T561" i="1" s="1"/>
  <c r="T645" i="1" s="1"/>
  <c r="T646" i="1" s="1"/>
  <c r="W535" i="1"/>
  <c r="W561" i="1" s="1"/>
  <c r="W645" i="1" s="1"/>
  <c r="W646" i="1" s="1"/>
  <c r="Z535" i="1"/>
  <c r="Z561" i="1" s="1"/>
  <c r="Z645" i="1" s="1"/>
  <c r="Z646" i="1" s="1"/>
  <c r="V535" i="1"/>
  <c r="V561" i="1" s="1"/>
  <c r="V645" i="1" s="1"/>
  <c r="V646" i="1" s="1"/>
  <c r="X535" i="1"/>
  <c r="X561" i="1" s="1"/>
  <c r="X645" i="1" s="1"/>
  <c r="X646" i="1" s="1"/>
  <c r="T316" i="1"/>
  <c r="T400" i="1" s="1"/>
  <c r="T401" i="1" s="1"/>
  <c r="S316" i="1"/>
  <c r="S400" i="1" s="1"/>
  <c r="S401" i="1" s="1"/>
  <c r="U223" i="1"/>
  <c r="U148" i="33"/>
  <c r="U316" i="1"/>
  <c r="U400" i="1" s="1"/>
  <c r="U401" i="1" s="1"/>
  <c r="W316" i="1"/>
  <c r="W400" i="1" s="1"/>
  <c r="W401" i="1" s="1"/>
  <c r="V148" i="33"/>
  <c r="J645" i="1"/>
  <c r="U646" i="1" s="1"/>
  <c r="J107" i="29"/>
  <c r="J109" i="29" s="1"/>
  <c r="J753" i="1"/>
  <c r="G18" i="48" s="1"/>
  <c r="P110" i="29" l="1"/>
  <c r="X110" i="29"/>
  <c r="N110" i="29"/>
  <c r="O110" i="29"/>
  <c r="Z110" i="29"/>
  <c r="R110" i="29"/>
  <c r="W110" i="29"/>
  <c r="Y110" i="29"/>
  <c r="M110" i="29"/>
  <c r="V110" i="29"/>
  <c r="Q110" i="29"/>
  <c r="U110" i="29"/>
  <c r="S646" i="1"/>
  <c r="O646" i="1"/>
  <c r="R646" i="1"/>
  <c r="M646" i="1"/>
  <c r="Q646" i="1"/>
  <c r="P646" i="1"/>
  <c r="N646" i="1"/>
  <c r="N223" i="1"/>
  <c r="O223" i="1"/>
  <c r="Q223" i="1"/>
  <c r="P223" i="1"/>
  <c r="M223" i="1"/>
  <c r="R223" i="1"/>
  <c r="Z223" i="1"/>
  <c r="J140" i="29"/>
  <c r="G19" i="48" s="1"/>
  <c r="G21" i="48" s="1"/>
</calcChain>
</file>

<file path=xl/sharedStrings.xml><?xml version="1.0" encoding="utf-8"?>
<sst xmlns="http://schemas.openxmlformats.org/spreadsheetml/2006/main" count="100231" uniqueCount="15586">
  <si>
    <t>Código</t>
  </si>
  <si>
    <t>Descrição</t>
  </si>
  <si>
    <t>02.00.000</t>
  </si>
  <si>
    <t>03.00.000</t>
  </si>
  <si>
    <t>04.00.000</t>
  </si>
  <si>
    <t>06.00.000</t>
  </si>
  <si>
    <t>CÓDIGO</t>
  </si>
  <si>
    <t>FONTE</t>
  </si>
  <si>
    <t>SERVIÇOS PRELIMINARES</t>
  </si>
  <si>
    <t>07.00.000</t>
  </si>
  <si>
    <t>10.00.000</t>
  </si>
  <si>
    <t>Unidade</t>
  </si>
  <si>
    <t>Custo Unit.</t>
  </si>
  <si>
    <t>09.00.000</t>
  </si>
  <si>
    <t>11.00.000</t>
  </si>
  <si>
    <t>12.00.000</t>
  </si>
  <si>
    <t>13.00.000</t>
  </si>
  <si>
    <t>CUSTO TOTAL DOS SERVIÇOS</t>
  </si>
  <si>
    <t>PREÇO TOTAL DOS SERVIÇOS (CUSTO TOTAL + BDI)</t>
  </si>
  <si>
    <t>MÊS 1</t>
  </si>
  <si>
    <t>MÊS 2</t>
  </si>
  <si>
    <t>A</t>
  </si>
  <si>
    <t>B</t>
  </si>
  <si>
    <t>% MENSAL</t>
  </si>
  <si>
    <t>DESCRIÇÃO DA ETAPA</t>
  </si>
  <si>
    <t>PERCENTUAL DA ETAPA</t>
  </si>
  <si>
    <t>ETAPA</t>
  </si>
  <si>
    <t>COMPOSIÇÕES ANALÍTICAS</t>
  </si>
  <si>
    <t>QUANTIDADE:</t>
  </si>
  <si>
    <t xml:space="preserve">   </t>
  </si>
  <si>
    <t>MÊS 3</t>
  </si>
  <si>
    <t>UNIDADE</t>
  </si>
  <si>
    <t>ORIGEM DO PRECO</t>
  </si>
  <si>
    <t>PRIMER EPOXI</t>
  </si>
  <si>
    <t/>
  </si>
  <si>
    <t>UNIVERSIDADE DE BRASÍLIA</t>
  </si>
  <si>
    <t>SECRETARIA DE INFRAESTRUTURA</t>
  </si>
  <si>
    <t>LOCALIDADE: 4495 - BRASILIA</t>
  </si>
  <si>
    <t xml:space="preserve">CODIGO  </t>
  </si>
  <si>
    <t>DESCRICAO DO INSUMO</t>
  </si>
  <si>
    <t xml:space="preserve">UN    </t>
  </si>
  <si>
    <t>CR</t>
  </si>
  <si>
    <t xml:space="preserve">PAR   </t>
  </si>
  <si>
    <t xml:space="preserve">H     </t>
  </si>
  <si>
    <t xml:space="preserve">C </t>
  </si>
  <si>
    <t xml:space="preserve">M3    </t>
  </si>
  <si>
    <t xml:space="preserve">M2    </t>
  </si>
  <si>
    <t>AS</t>
  </si>
  <si>
    <t xml:space="preserve">M     </t>
  </si>
  <si>
    <t xml:space="preserve">KG    </t>
  </si>
  <si>
    <t xml:space="preserve">L     </t>
  </si>
  <si>
    <t xml:space="preserve">18L   </t>
  </si>
  <si>
    <t xml:space="preserve">200KG </t>
  </si>
  <si>
    <t xml:space="preserve">MES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</si>
  <si>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</si>
  <si>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</si>
  <si>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</si>
  <si>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</si>
  <si>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</si>
  <si>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</si>
  <si>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</si>
  <si>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</si>
  <si>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</si>
  <si>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</si>
  <si>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</si>
  <si>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</si>
  <si>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SERVENTE COM ENCARGOS COMPLEMENTARES</t>
  </si>
  <si>
    <t>H</t>
  </si>
  <si>
    <t>PREÇO TOTAL</t>
  </si>
  <si>
    <t>CURSO DE CAPACITAÇÃO PARA SERVENTE (ENCARGOS COMPLEMENTARES) - HORISTA</t>
  </si>
  <si>
    <t>ARMADOR COM ENCARGOS COMPLEMENTARES</t>
  </si>
  <si>
    <t>CURSO DE CAPACITAÇÃO PARA AJUDANTE ESPECIALIZADO (ENCARGOS COMPLEMENTARES) - HORISTA</t>
  </si>
  <si>
    <t>ASSENTADOR DE TUBOS COM ENCARGOS COMPLEMENTARES</t>
  </si>
  <si>
    <t>CURSO DE CAPACITAÇÃO PARA ASSENTADOR DE TUBOS (ENCARGOS COMPLEMENTARES) - HORISTA</t>
  </si>
  <si>
    <t>AUXILIAR DE ELETRICISTA COM ENCARGOS COMPLEMENTARES</t>
  </si>
  <si>
    <t>CURSO DE CAPACITAÇÃO PARA AUXILIAR DE ELETRICISTA (ENCARGOS COMPLEMENTARES) - HORISTA</t>
  </si>
  <si>
    <t>AUXILIAR DE ENCANADOR OU BOMBEIRO HIDRÁULICO COM ENCARGOS COMPLEMENTARES</t>
  </si>
  <si>
    <t>CURSO DE CAPACITAÇÃO PARA AUXILIAR DE ENCANADOR OU BOMBEIRO HIDRÁULICO (ENCARGOS COMPLEMENTARES) - HORISTA</t>
  </si>
  <si>
    <t>AUXILIAR DE SERRALHEIRO COM ENCARGOS COMPLEMENTARES</t>
  </si>
  <si>
    <t>CURSO DE CAPACITAÇÃO PARA AUXILIAR DE SERRALHEIRO (ENCARGOS COMPLEMENTARES) - HORISTA</t>
  </si>
  <si>
    <t>AZULEJISTA OU LADRILHISTA COM ENCARGOS COMPLEMENTARES</t>
  </si>
  <si>
    <t>CURSO DE CAPACITAÇÃO PARA AZULEJISTA OU LADRILHISTA (ENCARGOS COMPLEMENTARES) - HORISTA</t>
  </si>
  <si>
    <t>CURSO DE CAPACITAÇÃO PARA CARPINTEIRO DE ESQUADRIA (ENCARGOS COMPLEMENTARES) - HORISTA</t>
  </si>
  <si>
    <t>CARPINTEIRO DE FORMAS COM ENCARGOS COMPLEMENTARES</t>
  </si>
  <si>
    <t>ELETRICISTA COM ENCARGOS COMPLEMENTARES</t>
  </si>
  <si>
    <t>CURSO DE CAPACITAÇÃO PARA ELETRICISTA (ENCARGOS COMPLEMENTARES) - HORISTA</t>
  </si>
  <si>
    <t>ENCANADOR OU BOMBEIRO HIDRÁULICO COM ENCARGOS COMPLEMENTARES</t>
  </si>
  <si>
    <t>GESSEIRO COM ENCARGOS COMPLEMENTARES</t>
  </si>
  <si>
    <t>CURSO DE CAPACITAÇÃO PARA ENCANADOR OU BOMBEIRO HIDRÁULICO (ENCARGOS COMPLEMENTARES) - HORISTA</t>
  </si>
  <si>
    <t>CURSO DE CAPACITAÇÃO PARA GESSEIRO (ENCARGOS COMPLEMENTARES) - HORISTA</t>
  </si>
  <si>
    <t>PEDREIRO COM ENCARGOS COMPLEMENTARES</t>
  </si>
  <si>
    <t>CURSO DE CAPACITAÇÃO PARA PEDREIRO (ENCARGOS COMPLEMENTARES) - HORISTA</t>
  </si>
  <si>
    <t>PINTOR COM ENCARGOS COMPLEMENTARES</t>
  </si>
  <si>
    <t>CURSO DE CAPACITAÇÃO PARA PINTOR (ENCARGOS COMPLEMENTARES) - HORISTA</t>
  </si>
  <si>
    <t>TELHADISTA COM ENCARGOS COMPLEMENTARES</t>
  </si>
  <si>
    <t>CURSO DE CAPACITAÇÃO PARA TELHADISTA (ENCARGOS COMPLEMENTARES) - HORISTA</t>
  </si>
  <si>
    <t>CURSO DE CAPACITAÇÃO PARA VIDRACEIRO (ENCARGOS COMPLEMENTARES) - HORISTA</t>
  </si>
  <si>
    <t>VIDRACEIRO COM ENCARGOS COMPLEMENTARES</t>
  </si>
  <si>
    <t>OPERADOR DE BETONEIRA ESTACIONÁRIA/MISTURADOR COM ENCARGOS COMPLEMENTARES</t>
  </si>
  <si>
    <t>CURSO DE CAPACITAÇÃO PARA OPERADOR DE BETONEIRA ESTACIONÁRIA/MISTURADOR (ENCARGOS COMPLEMENTARES) - HORISTA</t>
  </si>
  <si>
    <t>CHP</t>
  </si>
  <si>
    <t>CHI</t>
  </si>
  <si>
    <t>AJUDANTE ESPECIALIZADO COM ENCARGOS COMPLEMENTARES</t>
  </si>
  <si>
    <t>IMPERMEABILIZADOR COM ENCARGOS COMPLEMENTARES</t>
  </si>
  <si>
    <t>MOTORISTA DE CAMINHÃO COM ENCARGOS COMPLEMENTARES</t>
  </si>
  <si>
    <t>TRATORISTA COM ENCARGOS COMPLEMENTARES</t>
  </si>
  <si>
    <t>OPERADOR DE ESCAVADEIRA COM ENCARGOS COMPLEMENTARES</t>
  </si>
  <si>
    <t>OPERADOR DE MÁQUINAS E EQUIPAMENTOS COM ENCARGOS COMPLEMENTARES</t>
  </si>
  <si>
    <t>OPERADOR DE PÁ CARREGADEIRA COM ENCARGOS COMPLEMENTARES</t>
  </si>
  <si>
    <t>OPERADOR DE PAVIMENTADORA COM ENCARGOS COMPLEMENTARES</t>
  </si>
  <si>
    <t>OPERADOR DE ROLO COMPACTADOR COM ENCARGOS COMPLEMENTARES</t>
  </si>
  <si>
    <t>RASTELEIRO COM ENCARGOS COMPLEMENTARES</t>
  </si>
  <si>
    <t>SERRALHEIRO COM ENCARGOS COMPLEMENTARES</t>
  </si>
  <si>
    <t>CURSO DE CAPACITAÇÃO PARA ARMADOR (ENCARGOS COMPLEMENTARES) - HORISTA</t>
  </si>
  <si>
    <t>CURSO DE CAPACITAÇÃO PARA IMPERMEABILIZADOR (ENCARGOS COMPLEMENTARES) - HORISTA</t>
  </si>
  <si>
    <t>CURSO DE CAPACITAÇÃO PARA OPERADOR DE ESCAVADEIRA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</si>
  <si>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</si>
  <si>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</si>
  <si>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</si>
  <si>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RASTELEIRO (ENCARGOS COMPLEMENTARES) - HORISTA</t>
  </si>
  <si>
    <t>CURSO DE CAPACITAÇÃO PARA TRATORISTA (ENCARGOS COMPLEMENTARES) - HORISTA</t>
  </si>
  <si>
    <t>CURSO DE CAPACITAÇÃO PARA AJUDANTE DE CARPINTEIRO (ENCARGOS COMPLEMENTARES) - HORISTA</t>
  </si>
  <si>
    <t>CURSO DE CAPACITAÇÃO PARA OPERADOR DE MÁQUINAS E EQUIPAMENTOS (ENCARGOS COMPLEMENTARES) - HORISTA</t>
  </si>
  <si>
    <t>CURSO DE CAPACITAÇÃO PARA SERRALHEIRO (ENCARGOS COMPLEMENTARES) - HORISTA</t>
  </si>
  <si>
    <t>DESCRIÇÃO</t>
  </si>
  <si>
    <t>CUSTO UNIT.</t>
  </si>
  <si>
    <t>CUSTO TOTAL</t>
  </si>
  <si>
    <t>CUSTO (mão-de-obra):</t>
  </si>
  <si>
    <t>CUSTO (material):</t>
  </si>
  <si>
    <t>CUSTO TOTAL UNIT.:</t>
  </si>
  <si>
    <t>CUSTO TOTAL:</t>
  </si>
  <si>
    <t>ENDEREÇO:</t>
  </si>
  <si>
    <t>BDI:</t>
  </si>
  <si>
    <t>Preço Total</t>
  </si>
  <si>
    <t>Quant.</t>
  </si>
  <si>
    <t>CODIGO  DA COMPOSICAO</t>
  </si>
  <si>
    <t>DESCRICAO DA COMPOSICAO</t>
  </si>
  <si>
    <t>ORIGEM DE PREÇO</t>
  </si>
  <si>
    <t>VINCULO</t>
  </si>
  <si>
    <t>M</t>
  </si>
  <si>
    <t>ATRIBUÍDO SÃO PAULO</t>
  </si>
  <si>
    <t>CAIXA REFERENCIAL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</si>
  <si>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</si>
  <si>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</si>
  <si>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</si>
  <si>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</si>
  <si>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</si>
  <si>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</si>
  <si>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</si>
  <si>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</si>
  <si>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</si>
  <si>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</si>
  <si>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</si>
  <si>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</si>
  <si>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</si>
  <si>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</si>
  <si>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</si>
  <si>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</si>
  <si>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</si>
  <si>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</si>
  <si>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</si>
  <si>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</si>
  <si>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</si>
  <si>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</si>
  <si>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</si>
  <si>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</si>
  <si>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</si>
  <si>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</si>
  <si>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</si>
  <si>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</si>
  <si>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</si>
  <si>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</si>
  <si>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</si>
  <si>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</si>
  <si>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</si>
  <si>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</si>
  <si>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</si>
  <si>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</si>
  <si>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</si>
  <si>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</si>
  <si>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</si>
  <si>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</si>
  <si>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</si>
  <si>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</si>
  <si>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</si>
  <si>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</si>
  <si>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</si>
  <si>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</si>
  <si>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</si>
  <si>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</si>
  <si>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</si>
  <si>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</si>
  <si>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</si>
  <si>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</si>
  <si>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</si>
  <si>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</si>
  <si>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</si>
  <si>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</si>
  <si>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</si>
  <si>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</si>
  <si>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</si>
  <si>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</si>
  <si>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</si>
  <si>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</si>
  <si>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</si>
  <si>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</si>
  <si>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</si>
  <si>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</si>
  <si>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</si>
  <si>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</si>
  <si>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</si>
  <si>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</si>
  <si>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</si>
  <si>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</si>
  <si>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</si>
  <si>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</si>
  <si>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</si>
  <si>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</si>
  <si>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</si>
  <si>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</si>
  <si>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</si>
  <si>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</si>
  <si>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</si>
  <si>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</si>
  <si>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</si>
  <si>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</si>
  <si>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</si>
  <si>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</si>
  <si>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</si>
  <si>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</si>
  <si>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</si>
  <si>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</si>
  <si>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</si>
  <si>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</si>
  <si>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</si>
  <si>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</si>
  <si>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</si>
  <si>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</si>
  <si>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</si>
  <si>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</si>
  <si>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</si>
  <si>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</si>
  <si>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</si>
  <si>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</si>
  <si>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</si>
  <si>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</si>
  <si>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</si>
  <si>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</si>
  <si>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</si>
  <si>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</si>
  <si>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</si>
  <si>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</si>
  <si>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</si>
  <si>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</si>
  <si>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</si>
  <si>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</si>
  <si>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</si>
  <si>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</si>
  <si>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</si>
  <si>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</si>
  <si>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</si>
  <si>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</si>
  <si>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</si>
  <si>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</si>
  <si>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</si>
  <si>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</si>
  <si>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</si>
  <si>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</si>
  <si>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</si>
  <si>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</si>
  <si>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</si>
  <si>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</si>
  <si>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</si>
  <si>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</si>
  <si>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</si>
  <si>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</si>
  <si>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</si>
  <si>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</si>
  <si>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</si>
  <si>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</si>
  <si>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</si>
  <si>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</si>
  <si>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</si>
  <si>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</si>
  <si>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</si>
  <si>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</si>
  <si>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</si>
  <si>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</si>
  <si>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</si>
  <si>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</si>
  <si>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</si>
  <si>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</si>
  <si>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</si>
  <si>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</si>
  <si>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</si>
  <si>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</si>
  <si>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</si>
  <si>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</si>
  <si>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</si>
  <si>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</si>
  <si>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</si>
  <si>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</si>
  <si>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</si>
  <si>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</si>
  <si>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</si>
  <si>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</si>
  <si>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</si>
  <si>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</si>
  <si>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</si>
  <si>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</si>
  <si>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</si>
  <si>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</si>
  <si>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</si>
  <si>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</si>
  <si>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</si>
  <si>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</si>
  <si>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</si>
  <si>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</si>
  <si>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</si>
  <si>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</si>
  <si>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</si>
  <si>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</si>
  <si>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</si>
  <si>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</si>
  <si>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</si>
  <si>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</si>
  <si>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</si>
  <si>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</si>
  <si>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</si>
  <si>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</si>
  <si>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</si>
  <si>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</si>
  <si>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</si>
  <si>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</si>
  <si>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</si>
  <si>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</si>
  <si>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</si>
  <si>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COEFICIENTE DE REPRESENTATIVIDADE</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</si>
  <si>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</si>
  <si>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</si>
  <si>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</si>
  <si>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</si>
  <si>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</si>
  <si>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</si>
  <si>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</si>
  <si>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</si>
  <si>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</si>
  <si>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</si>
  <si>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</si>
  <si>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</si>
  <si>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</si>
  <si>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</si>
  <si>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</si>
  <si>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</si>
  <si>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</si>
  <si>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</si>
  <si>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</si>
  <si>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</si>
  <si>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</si>
  <si>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</si>
  <si>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</si>
  <si>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</si>
  <si>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</si>
  <si>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</si>
  <si>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</si>
  <si>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</si>
  <si>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</si>
  <si>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</si>
  <si>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</si>
  <si>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</si>
  <si>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</si>
  <si>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</si>
  <si>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</si>
  <si>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</si>
  <si>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</si>
  <si>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</si>
  <si>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</si>
  <si>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</si>
  <si>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</si>
  <si>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</si>
  <si>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</si>
  <si>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</si>
  <si>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</si>
  <si>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</si>
  <si>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</si>
  <si>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</si>
  <si>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</si>
  <si>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</si>
  <si>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</si>
  <si>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</si>
  <si>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</si>
  <si>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</si>
  <si>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</si>
  <si>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</si>
  <si>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</si>
  <si>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</si>
  <si>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</si>
  <si>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</si>
  <si>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</si>
  <si>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</si>
  <si>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</si>
  <si>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</si>
  <si>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</si>
  <si>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</si>
  <si>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</si>
  <si>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</si>
  <si>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</si>
  <si>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</si>
  <si>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</si>
  <si>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</si>
  <si>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</si>
  <si>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</si>
  <si>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</si>
  <si>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</si>
  <si>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</si>
  <si>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</si>
  <si>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</si>
  <si>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</si>
  <si>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</si>
  <si>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</si>
  <si>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</si>
  <si>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</si>
  <si>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</si>
  <si>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</si>
  <si>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</si>
  <si>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</si>
  <si>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</si>
  <si>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</si>
  <si>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</si>
  <si>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</si>
  <si>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</si>
  <si>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</si>
  <si>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</si>
  <si>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</si>
  <si>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</si>
  <si>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</si>
  <si>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</si>
  <si>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</si>
  <si>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</si>
  <si>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</si>
  <si>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</si>
  <si>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</si>
  <si>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</si>
  <si>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</si>
  <si>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</si>
  <si>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</si>
  <si>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</si>
  <si>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</si>
  <si>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</si>
  <si>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</si>
  <si>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</si>
  <si>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</si>
  <si>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</si>
  <si>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</si>
  <si>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</si>
  <si>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</si>
  <si>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</si>
  <si>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</si>
  <si>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</si>
  <si>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</si>
  <si>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</si>
  <si>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</si>
  <si>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</si>
  <si>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</si>
  <si>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</si>
  <si>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</si>
  <si>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</si>
  <si>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</si>
  <si>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</si>
  <si>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</si>
  <si>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</si>
  <si>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</si>
  <si>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</si>
  <si>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</si>
  <si>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</si>
  <si>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</si>
  <si>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</si>
  <si>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</si>
  <si>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</si>
  <si>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</si>
  <si>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</si>
  <si>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</si>
  <si>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</si>
  <si>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</si>
  <si>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</si>
  <si>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</si>
  <si>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</si>
  <si>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</si>
  <si>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</si>
  <si>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</si>
  <si>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</si>
  <si>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</si>
  <si>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</si>
  <si>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</si>
  <si>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</si>
  <si>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</si>
  <si>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</si>
  <si>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</si>
  <si>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</si>
  <si>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</si>
  <si>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</si>
  <si>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</si>
  <si>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</si>
  <si>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</si>
  <si>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</si>
  <si>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</si>
  <si>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</si>
  <si>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</si>
  <si>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</si>
  <si>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</si>
  <si>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</si>
  <si>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</si>
  <si>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</si>
  <si>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</si>
  <si>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</si>
  <si>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</si>
  <si>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</si>
  <si>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</si>
  <si>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</si>
  <si>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</si>
  <si>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</si>
  <si>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</si>
  <si>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</si>
  <si>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</si>
  <si>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</si>
  <si>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</si>
  <si>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</si>
  <si>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</si>
  <si>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</si>
  <si>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</si>
  <si>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</si>
  <si>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</si>
  <si>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</si>
  <si>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</si>
  <si>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</si>
  <si>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</si>
  <si>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</si>
  <si>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</si>
  <si>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</si>
  <si>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</si>
  <si>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</si>
  <si>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</si>
  <si>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</si>
  <si>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</si>
  <si>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</si>
  <si>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</si>
  <si>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</si>
  <si>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</si>
  <si>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</si>
  <si>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</si>
  <si>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</si>
  <si>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</si>
  <si>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</si>
  <si>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</si>
  <si>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</si>
  <si>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</si>
  <si>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</si>
  <si>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</si>
  <si>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</si>
  <si>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</si>
  <si>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</si>
  <si>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</si>
  <si>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</si>
  <si>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</si>
  <si>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</si>
  <si>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</si>
  <si>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</si>
  <si>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</si>
  <si>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</si>
  <si>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</si>
  <si>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</si>
  <si>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</si>
  <si>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</si>
  <si>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</si>
  <si>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</si>
  <si>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</si>
  <si>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</si>
  <si>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</si>
  <si>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</si>
  <si>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</si>
  <si>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</si>
  <si>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</si>
  <si>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</si>
  <si>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</si>
  <si>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</si>
  <si>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</si>
  <si>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</si>
  <si>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</si>
  <si>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</si>
  <si>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</si>
  <si>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</si>
  <si>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</si>
  <si>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</si>
  <si>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</si>
  <si>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</si>
  <si>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</si>
  <si>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</si>
  <si>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</si>
  <si>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</si>
  <si>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</si>
  <si>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</si>
  <si>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</si>
  <si>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</si>
  <si>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</si>
  <si>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</si>
  <si>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</si>
  <si>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</si>
  <si>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</si>
  <si>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</si>
  <si>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</si>
  <si>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</si>
  <si>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</si>
  <si>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</si>
  <si>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</si>
  <si>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</si>
  <si>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</si>
  <si>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</si>
  <si>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</si>
  <si>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</si>
  <si>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</si>
  <si>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</si>
  <si>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</si>
  <si>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</si>
  <si>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</si>
  <si>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</si>
  <si>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</si>
  <si>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</si>
  <si>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</si>
  <si>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</si>
  <si>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</si>
  <si>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</si>
  <si>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</si>
  <si>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</si>
  <si>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</si>
  <si>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</si>
  <si>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</si>
  <si>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</si>
  <si>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</si>
  <si>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</si>
  <si>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</si>
  <si>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</si>
  <si>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</si>
  <si>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</si>
  <si>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</si>
  <si>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</si>
  <si>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</si>
  <si>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</si>
  <si>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</si>
  <si>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</si>
  <si>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</si>
  <si>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</si>
  <si>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</si>
  <si>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</si>
  <si>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</si>
  <si>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</si>
  <si>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</si>
  <si>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</si>
  <si>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</si>
  <si>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</si>
  <si>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</si>
  <si>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</si>
  <si>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</si>
  <si>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</si>
  <si>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</si>
  <si>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</si>
  <si>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</si>
  <si>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</si>
  <si>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</si>
  <si>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</si>
  <si>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</si>
  <si>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</si>
  <si>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</si>
  <si>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</si>
  <si>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</si>
  <si>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</si>
  <si>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</si>
  <si>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</si>
  <si>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</si>
  <si>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</si>
  <si>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</si>
  <si>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</si>
  <si>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</si>
  <si>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</si>
  <si>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</si>
  <si>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</si>
  <si>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</si>
  <si>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</si>
  <si>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</si>
  <si>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</si>
  <si>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</si>
  <si>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</si>
  <si>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</si>
  <si>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</si>
  <si>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</si>
  <si>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</si>
  <si>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</si>
  <si>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</si>
  <si>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</si>
  <si>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</si>
  <si>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</si>
  <si>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</si>
  <si>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</si>
  <si>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</si>
  <si>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</si>
  <si>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</si>
  <si>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</si>
  <si>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</si>
  <si>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</si>
  <si>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</si>
  <si>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</si>
  <si>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</si>
  <si>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</si>
  <si>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</si>
  <si>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</si>
  <si>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</si>
  <si>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</si>
  <si>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</si>
  <si>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</si>
  <si>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</si>
  <si>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</si>
  <si>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</si>
  <si>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</si>
  <si>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</si>
  <si>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</si>
  <si>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</si>
  <si>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</si>
  <si>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</si>
  <si>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</si>
  <si>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</si>
  <si>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</si>
  <si>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</si>
  <si>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</si>
  <si>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</si>
  <si>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</si>
  <si>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</si>
  <si>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</si>
  <si>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</si>
  <si>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</si>
  <si>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</si>
  <si>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</si>
  <si>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</si>
  <si>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</si>
  <si>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</si>
  <si>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</si>
  <si>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</si>
  <si>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</si>
  <si>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</si>
  <si>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</si>
  <si>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</si>
  <si>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</si>
  <si>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</si>
  <si>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</si>
  <si>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</si>
  <si>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</si>
  <si>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</si>
  <si>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</si>
  <si>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</si>
  <si>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</si>
  <si>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</si>
  <si>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</si>
  <si>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</si>
  <si>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</si>
  <si>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</si>
  <si>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</si>
  <si>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</si>
  <si>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</si>
  <si>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</si>
  <si>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</si>
  <si>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</si>
  <si>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</si>
  <si>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</si>
  <si>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</si>
  <si>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</si>
  <si>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</si>
  <si>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</si>
  <si>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</si>
  <si>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</si>
  <si>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</si>
  <si>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</si>
  <si>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</si>
  <si>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</si>
  <si>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</si>
  <si>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</si>
  <si>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</si>
  <si>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</si>
  <si>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</si>
  <si>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</si>
  <si>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</si>
  <si>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</si>
  <si>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</si>
  <si>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</si>
  <si>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</si>
  <si>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</si>
  <si>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</si>
  <si>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</si>
  <si>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</si>
  <si>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</si>
  <si>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</si>
  <si>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</si>
  <si>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</si>
  <si>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</si>
  <si>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</si>
  <si>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</si>
  <si>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</si>
  <si>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</si>
  <si>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</si>
  <si>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</si>
  <si>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</si>
  <si>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</si>
  <si>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</si>
  <si>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</si>
  <si>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</si>
  <si>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</si>
  <si>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</si>
  <si>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</si>
  <si>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</si>
  <si>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</si>
  <si>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</si>
  <si>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</si>
  <si>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</si>
  <si>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</si>
  <si>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</si>
  <si>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</si>
  <si>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</si>
  <si>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</si>
  <si>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</si>
  <si>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</si>
  <si>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</si>
  <si>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</si>
  <si>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</si>
  <si>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</si>
  <si>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</si>
  <si>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</si>
  <si>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</si>
  <si>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</si>
  <si>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</si>
  <si>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</si>
  <si>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</si>
  <si>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</si>
  <si>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</si>
  <si>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</si>
  <si>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</si>
  <si>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</si>
  <si>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</si>
  <si>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</si>
  <si>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</si>
  <si>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</si>
  <si>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</si>
  <si>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</si>
  <si>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</si>
  <si>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</si>
  <si>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</si>
  <si>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</si>
  <si>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</si>
  <si>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</si>
  <si>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</si>
  <si>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</si>
  <si>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</si>
  <si>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</si>
  <si>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</si>
  <si>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</si>
  <si>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</si>
  <si>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</si>
  <si>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</si>
  <si>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</si>
  <si>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</si>
  <si>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</si>
  <si>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</si>
  <si>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</si>
  <si>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</si>
  <si>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</si>
  <si>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</si>
  <si>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</si>
  <si>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</si>
  <si>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</si>
  <si>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</si>
  <si>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</si>
  <si>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</si>
  <si>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</si>
  <si>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</si>
  <si>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</si>
  <si>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</si>
  <si>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</si>
  <si>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</si>
  <si>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</si>
  <si>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</si>
  <si>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</si>
  <si>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</si>
  <si>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</si>
  <si>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</si>
  <si>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</si>
  <si>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</si>
  <si>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</si>
  <si>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</si>
  <si>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</si>
  <si>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</si>
  <si>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</si>
  <si>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</si>
  <si>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</si>
  <si>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</si>
  <si>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</si>
  <si>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</si>
  <si>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</si>
  <si>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</si>
  <si>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</si>
  <si>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</si>
  <si>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</si>
  <si>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</si>
  <si>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</si>
  <si>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</si>
  <si>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</si>
  <si>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</si>
  <si>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</si>
  <si>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</si>
  <si>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</si>
  <si>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</si>
  <si>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</si>
  <si>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</si>
  <si>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</si>
  <si>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</si>
  <si>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</si>
  <si>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</si>
  <si>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</si>
  <si>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</si>
  <si>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</si>
  <si>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</si>
  <si>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</si>
  <si>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</si>
  <si>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</si>
  <si>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</si>
  <si>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</si>
  <si>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</si>
  <si>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</si>
  <si>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</si>
  <si>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</si>
  <si>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</si>
  <si>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</si>
  <si>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</si>
  <si>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</si>
  <si>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</si>
  <si>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</si>
  <si>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</si>
  <si>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</si>
  <si>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</si>
  <si>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</si>
  <si>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</si>
  <si>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</si>
  <si>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</si>
  <si>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</si>
  <si>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</si>
  <si>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</si>
  <si>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</si>
  <si>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</si>
  <si>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</si>
  <si>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</si>
  <si>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</si>
  <si>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</si>
  <si>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</si>
  <si>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</si>
  <si>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</si>
  <si>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</si>
  <si>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</si>
  <si>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</si>
  <si>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</si>
  <si>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</si>
  <si>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</si>
  <si>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</si>
  <si>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</si>
  <si>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</si>
  <si>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</si>
  <si>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</si>
  <si>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</si>
  <si>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</si>
  <si>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</si>
  <si>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</si>
  <si>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</si>
  <si>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</si>
  <si>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</si>
  <si>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</si>
  <si>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</si>
  <si>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</si>
  <si>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</si>
  <si>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</si>
  <si>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</si>
  <si>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</si>
  <si>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</si>
  <si>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</si>
  <si>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</si>
  <si>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</si>
  <si>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</si>
  <si>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</si>
  <si>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</si>
  <si>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</si>
  <si>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</si>
  <si>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</si>
  <si>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</si>
  <si>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</si>
  <si>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</si>
  <si>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</si>
  <si>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</si>
  <si>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</si>
  <si>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</si>
  <si>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</si>
  <si>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</si>
  <si>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</si>
  <si>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</si>
  <si>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</si>
  <si>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</si>
  <si>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</si>
  <si>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</si>
  <si>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</si>
  <si>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</si>
  <si>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</si>
  <si>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</si>
  <si>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</si>
  <si>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</si>
  <si>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</si>
  <si>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</si>
  <si>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</si>
  <si>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</si>
  <si>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</si>
  <si>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</si>
  <si>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</si>
  <si>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</si>
  <si>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</si>
  <si>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</si>
  <si>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</si>
  <si>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</si>
  <si>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</si>
  <si>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</si>
  <si>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</si>
  <si>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</si>
  <si>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</si>
  <si>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</si>
  <si>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</si>
  <si>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</si>
  <si>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</si>
  <si>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</si>
  <si>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</si>
  <si>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</si>
  <si>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</si>
  <si>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</si>
  <si>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</si>
  <si>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</si>
  <si>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</si>
  <si>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</si>
  <si>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</si>
  <si>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</si>
  <si>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</si>
  <si>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</si>
  <si>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</si>
  <si>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</si>
  <si>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</si>
  <si>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</si>
  <si>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</si>
  <si>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</si>
  <si>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</si>
  <si>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</si>
  <si>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</si>
  <si>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</si>
  <si>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</si>
  <si>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</si>
  <si>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</si>
  <si>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</si>
  <si>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</si>
  <si>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</si>
  <si>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</si>
  <si>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</si>
  <si>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</si>
  <si>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</si>
  <si>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</si>
  <si>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</si>
  <si>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</si>
  <si>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</si>
  <si>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</si>
  <si>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</si>
  <si>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</si>
  <si>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</si>
  <si>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</si>
  <si>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</si>
  <si>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</si>
  <si>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</si>
  <si>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</si>
  <si>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</si>
  <si>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</si>
  <si>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</si>
  <si>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</si>
  <si>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</si>
  <si>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</si>
  <si>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</si>
  <si>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</si>
  <si>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</si>
  <si>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</si>
  <si>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</si>
  <si>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</si>
  <si>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</si>
  <si>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</si>
  <si>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</si>
  <si>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</si>
  <si>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</si>
  <si>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</si>
  <si>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</si>
  <si>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</si>
  <si>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</si>
  <si>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</si>
  <si>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</si>
  <si>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</si>
  <si>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</si>
  <si>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</si>
  <si>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</si>
  <si>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</si>
  <si>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</si>
  <si>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</si>
  <si>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</si>
  <si>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</si>
  <si>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</si>
  <si>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</si>
  <si>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</si>
  <si>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</si>
  <si>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</si>
  <si>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</si>
  <si>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</si>
  <si>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</si>
  <si>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</si>
  <si>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</si>
  <si>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</si>
  <si>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</si>
  <si>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</si>
  <si>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</si>
  <si>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</si>
  <si>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</si>
  <si>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</si>
  <si>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</si>
  <si>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</si>
  <si>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</si>
  <si>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</si>
  <si>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</si>
  <si>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</si>
  <si>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</si>
  <si>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</si>
  <si>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</si>
  <si>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</si>
  <si>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</si>
  <si>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</si>
  <si>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</si>
  <si>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</si>
  <si>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</si>
  <si>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</si>
  <si>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</si>
  <si>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</si>
  <si>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</si>
  <si>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</si>
  <si>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</si>
  <si>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</si>
  <si>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</si>
  <si>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</si>
  <si>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</si>
  <si>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</si>
  <si>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</si>
  <si>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</si>
  <si>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</si>
  <si>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</si>
  <si>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</si>
  <si>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</si>
  <si>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</si>
  <si>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</si>
  <si>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</si>
  <si>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</si>
  <si>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</si>
  <si>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</si>
  <si>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</si>
  <si>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</si>
  <si>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</si>
  <si>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</si>
  <si>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</si>
  <si>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</si>
  <si>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</si>
  <si>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</si>
  <si>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</si>
  <si>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</si>
  <si>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</si>
  <si>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</si>
  <si>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</si>
  <si>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</si>
  <si>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</si>
  <si>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</si>
  <si>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</si>
  <si>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</si>
  <si>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</si>
  <si>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</si>
  <si>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</si>
  <si>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</si>
  <si>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</si>
  <si>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</si>
  <si>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</si>
  <si>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</si>
  <si>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</si>
  <si>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</si>
  <si>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</si>
  <si>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</si>
  <si>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</si>
  <si>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</si>
  <si>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</si>
  <si>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</si>
  <si>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</si>
  <si>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</si>
  <si>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</si>
  <si>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</si>
  <si>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</si>
  <si>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</si>
  <si>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</si>
  <si>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</si>
  <si>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</si>
  <si>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</si>
  <si>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</si>
  <si>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</si>
  <si>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</si>
  <si>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</si>
  <si>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</si>
  <si>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</si>
  <si>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</si>
  <si>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</si>
  <si>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</si>
  <si>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</si>
  <si>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</si>
  <si>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</si>
  <si>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</si>
  <si>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</si>
  <si>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</si>
  <si>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</si>
  <si>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</si>
  <si>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</si>
  <si>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</si>
  <si>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</si>
  <si>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</si>
  <si>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</si>
  <si>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</si>
  <si>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</si>
  <si>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</si>
  <si>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</si>
  <si>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</si>
  <si>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</si>
  <si>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</si>
  <si>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</si>
  <si>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</si>
  <si>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</si>
  <si>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</si>
  <si>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</si>
  <si>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</si>
  <si>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</si>
  <si>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</si>
  <si>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</si>
  <si>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</si>
  <si>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</si>
  <si>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</si>
  <si>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</si>
  <si>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</si>
  <si>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</si>
  <si>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</si>
  <si>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</si>
  <si>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</si>
  <si>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</si>
  <si>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</si>
  <si>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</si>
  <si>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</si>
  <si>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</si>
  <si>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</si>
  <si>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</si>
  <si>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</si>
  <si>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</si>
  <si>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</si>
  <si>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</si>
  <si>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</si>
  <si>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</si>
  <si>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</si>
  <si>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</si>
  <si>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</si>
  <si>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</si>
  <si>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</si>
  <si>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</si>
  <si>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</si>
  <si>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</si>
  <si>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</si>
  <si>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</si>
  <si>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</si>
  <si>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</si>
  <si>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</si>
  <si>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</si>
  <si>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</si>
  <si>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</si>
  <si>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</si>
  <si>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</si>
  <si>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</si>
  <si>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</si>
  <si>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</si>
  <si>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</si>
  <si>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</si>
  <si>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</si>
  <si>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</si>
  <si>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</si>
  <si>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</si>
  <si>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</si>
  <si>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</si>
  <si>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</si>
  <si>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</si>
  <si>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</si>
  <si>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</si>
  <si>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</si>
  <si>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</si>
  <si>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</si>
  <si>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</si>
  <si>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</si>
  <si>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</si>
  <si>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</si>
  <si>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</si>
  <si>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</si>
  <si>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</si>
  <si>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</si>
  <si>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</si>
  <si>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</si>
  <si>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</si>
  <si>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</si>
  <si>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</si>
  <si>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</si>
  <si>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</si>
  <si>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</si>
  <si>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</si>
  <si>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</si>
  <si>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</si>
  <si>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</si>
  <si>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</si>
  <si>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</si>
  <si>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</si>
  <si>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</si>
  <si>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</si>
  <si>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</si>
  <si>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</si>
  <si>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</si>
  <si>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</si>
  <si>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</si>
  <si>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</si>
  <si>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</si>
  <si>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</si>
  <si>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</si>
  <si>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</si>
  <si>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</si>
  <si>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</si>
  <si>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</si>
  <si>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</si>
  <si>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</si>
  <si>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</si>
  <si>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</si>
  <si>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</si>
  <si>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</si>
  <si>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</si>
  <si>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</si>
  <si>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</si>
  <si>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</si>
  <si>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</si>
  <si>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</si>
  <si>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</si>
  <si>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</si>
  <si>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</si>
  <si>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</si>
  <si>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</si>
  <si>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</si>
  <si>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</si>
  <si>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</si>
  <si>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</si>
  <si>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</si>
  <si>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</si>
  <si>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</si>
  <si>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</si>
  <si>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</si>
  <si>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</si>
  <si>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</si>
  <si>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</si>
  <si>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</si>
  <si>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</si>
  <si>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</si>
  <si>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</si>
  <si>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</si>
  <si>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</si>
  <si>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</si>
  <si>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</si>
  <si>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</si>
  <si>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</si>
  <si>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</si>
  <si>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</si>
  <si>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</si>
  <si>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</si>
  <si>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</si>
  <si>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</si>
  <si>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</si>
  <si>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</si>
  <si>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</si>
  <si>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</si>
  <si>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</si>
  <si>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</si>
  <si>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</si>
  <si>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</si>
  <si>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</si>
  <si>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</si>
  <si>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</si>
  <si>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</si>
  <si>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</si>
  <si>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</si>
  <si>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</si>
  <si>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</si>
  <si>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</si>
  <si>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</si>
  <si>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</si>
  <si>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</si>
  <si>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</si>
  <si>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</si>
  <si>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</si>
  <si>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</si>
  <si>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</si>
  <si>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</si>
  <si>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</si>
  <si>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</si>
  <si>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</si>
  <si>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</si>
  <si>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</si>
  <si>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</si>
  <si>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</si>
  <si>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</si>
  <si>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</si>
  <si>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</si>
  <si>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</si>
  <si>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</si>
  <si>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</si>
  <si>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</si>
  <si>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</si>
  <si>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</si>
  <si>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</si>
  <si>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</si>
  <si>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</si>
  <si>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</si>
  <si>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</si>
  <si>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</si>
  <si>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</si>
  <si>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</si>
  <si>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</si>
  <si>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</si>
  <si>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</si>
  <si>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</si>
  <si>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</si>
  <si>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</si>
  <si>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</si>
  <si>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</si>
  <si>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</si>
  <si>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</si>
  <si>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</si>
  <si>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</si>
  <si>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</si>
  <si>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</si>
  <si>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</si>
  <si>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</si>
  <si>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</si>
  <si>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</si>
  <si>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</si>
  <si>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</si>
  <si>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</si>
  <si>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</si>
  <si>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</si>
  <si>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</si>
  <si>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</si>
  <si>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</si>
  <si>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</si>
  <si>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</si>
  <si>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</si>
  <si>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</si>
  <si>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</si>
  <si>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</si>
  <si>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</si>
  <si>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</si>
  <si>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</si>
  <si>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</si>
  <si>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</si>
  <si>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</si>
  <si>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</si>
  <si>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</si>
  <si>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</si>
  <si>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</si>
  <si>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</si>
  <si>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</si>
  <si>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</si>
  <si>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</si>
  <si>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</si>
  <si>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</si>
  <si>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</si>
  <si>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</si>
  <si>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</si>
  <si>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</si>
  <si>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</si>
  <si>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</si>
  <si>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</si>
  <si>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</si>
  <si>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</si>
  <si>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</si>
  <si>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</si>
  <si>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</si>
  <si>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</si>
  <si>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</si>
  <si>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</si>
  <si>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</si>
  <si>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</si>
  <si>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</si>
  <si>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</si>
  <si>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</si>
  <si>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</si>
  <si>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</si>
  <si>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</si>
  <si>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</si>
  <si>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</si>
  <si>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</si>
  <si>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</si>
  <si>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</si>
  <si>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</si>
  <si>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</si>
  <si>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</si>
  <si>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</si>
  <si>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</si>
  <si>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</si>
  <si>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</si>
  <si>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</si>
  <si>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</si>
  <si>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</si>
  <si>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</si>
  <si>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</si>
  <si>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</si>
  <si>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</si>
  <si>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</si>
  <si>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</si>
  <si>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</si>
  <si>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</si>
  <si>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</si>
  <si>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</si>
  <si>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</si>
  <si>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</si>
  <si>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</si>
  <si>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</si>
  <si>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</si>
  <si>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</si>
  <si>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</si>
  <si>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</si>
  <si>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</si>
  <si>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</si>
  <si>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</si>
  <si>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</si>
  <si>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</si>
  <si>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</si>
  <si>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</si>
  <si>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</si>
  <si>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</si>
  <si>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</si>
  <si>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</si>
  <si>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</si>
  <si>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</si>
  <si>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</si>
  <si>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</si>
  <si>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</si>
  <si>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</si>
  <si>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</si>
  <si>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</si>
  <si>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</si>
  <si>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</si>
  <si>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</si>
  <si>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</si>
  <si>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</si>
  <si>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</si>
  <si>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</si>
  <si>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</si>
  <si>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</si>
  <si>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</si>
  <si>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</si>
  <si>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</si>
  <si>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</si>
  <si>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</si>
  <si>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</si>
  <si>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</si>
  <si>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</si>
  <si>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</si>
  <si>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</si>
  <si>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</si>
  <si>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</si>
  <si>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</si>
  <si>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</si>
  <si>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</si>
  <si>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</si>
  <si>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</si>
  <si>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</si>
  <si>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</si>
  <si>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</si>
  <si>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</si>
  <si>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</si>
  <si>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</si>
  <si>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</si>
  <si>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</si>
  <si>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</si>
  <si>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</si>
  <si>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</si>
  <si>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</si>
  <si>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</si>
  <si>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</si>
  <si>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</si>
  <si>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</si>
  <si>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</si>
  <si>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</si>
  <si>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</si>
  <si>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</si>
  <si>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</si>
  <si>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</si>
  <si>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</si>
  <si>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</si>
  <si>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</si>
  <si>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</si>
  <si>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</si>
  <si>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</si>
  <si>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</si>
  <si>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</si>
  <si>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</si>
  <si>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</si>
  <si>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</si>
  <si>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</si>
  <si>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</si>
  <si>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</si>
  <si>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</si>
  <si>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</si>
  <si>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</si>
  <si>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</si>
  <si>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</si>
  <si>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</si>
  <si>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</si>
  <si>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</si>
  <si>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</si>
  <si>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</si>
  <si>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</si>
  <si>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</si>
  <si>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</si>
  <si>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</si>
  <si>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</si>
  <si>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</si>
  <si>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</si>
  <si>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</si>
  <si>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</si>
  <si>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</si>
  <si>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</si>
  <si>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</si>
  <si>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</si>
  <si>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</si>
  <si>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</si>
  <si>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</si>
  <si>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</si>
  <si>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</si>
  <si>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</si>
  <si>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</si>
  <si>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</si>
  <si>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</si>
  <si>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</si>
  <si>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</si>
  <si>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</si>
  <si>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</si>
  <si>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</si>
  <si>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</si>
  <si>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</si>
  <si>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</si>
  <si>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</si>
  <si>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</si>
  <si>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</si>
  <si>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</si>
  <si>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</si>
  <si>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</si>
  <si>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</si>
  <si>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</si>
  <si>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</si>
  <si>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</si>
  <si>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</si>
  <si>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</si>
  <si>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</si>
  <si>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</si>
  <si>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</si>
  <si>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</si>
  <si>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</si>
  <si>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</si>
  <si>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</si>
  <si>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</si>
  <si>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</si>
  <si>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</si>
  <si>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</si>
  <si>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</si>
  <si>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</si>
  <si>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</si>
  <si>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</si>
  <si>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</si>
  <si>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</si>
  <si>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</si>
  <si>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</si>
  <si>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</si>
  <si>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</si>
  <si>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</si>
  <si>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</si>
  <si>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</si>
  <si>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</si>
  <si>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</si>
  <si>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</si>
  <si>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</si>
  <si>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</si>
  <si>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</si>
  <si>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</si>
  <si>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</si>
  <si>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</si>
  <si>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</si>
  <si>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</si>
  <si>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</si>
  <si>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</si>
  <si>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</si>
  <si>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</si>
  <si>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</si>
  <si>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</si>
  <si>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</si>
  <si>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</si>
  <si>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</si>
  <si>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</si>
  <si>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</si>
  <si>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</si>
  <si>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</si>
  <si>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</si>
  <si>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</si>
  <si>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</si>
  <si>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</si>
  <si>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</si>
  <si>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</si>
  <si>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</si>
  <si>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</si>
  <si>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</si>
  <si>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</si>
  <si>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</si>
  <si>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</si>
  <si>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</si>
  <si>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</si>
  <si>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</si>
  <si>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</si>
  <si>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</si>
  <si>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</si>
  <si>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</si>
  <si>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</si>
  <si>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</si>
  <si>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</si>
  <si>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</si>
  <si>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</si>
  <si>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</si>
  <si>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</si>
  <si>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</si>
  <si>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</si>
  <si>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</si>
  <si>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</si>
  <si>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</si>
  <si>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</si>
  <si>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</si>
  <si>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</si>
  <si>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</si>
  <si>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</si>
  <si>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</si>
  <si>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</si>
  <si>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</si>
  <si>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</si>
  <si>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</si>
  <si>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</si>
  <si>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</si>
  <si>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</si>
  <si>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</si>
  <si>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</si>
  <si>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</si>
  <si>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</si>
  <si>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</si>
  <si>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</si>
  <si>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</si>
  <si>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</si>
  <si>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</si>
  <si>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</si>
  <si>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</si>
  <si>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</si>
  <si>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</si>
  <si>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</si>
  <si>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</si>
  <si>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</si>
  <si>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</si>
  <si>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</si>
  <si>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</si>
  <si>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</si>
  <si>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</si>
  <si>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</si>
  <si>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</si>
  <si>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</si>
  <si>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</si>
  <si>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</si>
  <si>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</si>
  <si>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</si>
  <si>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</si>
  <si>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</si>
  <si>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</si>
  <si>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</si>
  <si>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</si>
  <si>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</si>
  <si>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</si>
  <si>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</si>
  <si>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</si>
  <si>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</si>
  <si>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</si>
  <si>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</si>
  <si>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</si>
  <si>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</si>
  <si>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</si>
  <si>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</si>
  <si>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</si>
  <si>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</si>
  <si>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</si>
  <si>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</si>
  <si>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</si>
  <si>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</si>
  <si>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</si>
  <si>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</si>
  <si>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</si>
  <si>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</si>
  <si>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</si>
  <si>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</si>
  <si>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</si>
  <si>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</si>
  <si>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</si>
  <si>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</si>
  <si>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</si>
  <si>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</si>
  <si>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</si>
  <si>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</si>
  <si>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</si>
  <si>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</si>
  <si>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</si>
  <si>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</si>
  <si>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</si>
  <si>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</si>
  <si>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</si>
  <si>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</si>
  <si>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</si>
  <si>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</si>
  <si>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</si>
  <si>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</si>
  <si>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</si>
  <si>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</si>
  <si>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</si>
  <si>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</si>
  <si>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</si>
  <si>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</si>
  <si>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</si>
  <si>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</si>
  <si>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</si>
  <si>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</si>
  <si>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</si>
  <si>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</si>
  <si>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</si>
  <si>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</si>
  <si>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</si>
  <si>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</si>
  <si>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</si>
  <si>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</si>
  <si>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</si>
  <si>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</si>
  <si>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</si>
  <si>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</si>
  <si>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</si>
  <si>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</si>
  <si>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</si>
  <si>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</si>
  <si>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</si>
  <si>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</si>
  <si>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</si>
  <si>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</si>
  <si>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</si>
  <si>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</si>
  <si>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</si>
  <si>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</si>
  <si>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</si>
  <si>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</si>
  <si>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</si>
  <si>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</si>
  <si>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</si>
  <si>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</si>
  <si>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</si>
  <si>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</si>
  <si>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</si>
  <si>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</si>
  <si>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</si>
  <si>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</si>
  <si>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</si>
  <si>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</si>
  <si>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</si>
  <si>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</si>
  <si>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</si>
  <si>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</si>
  <si>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</si>
  <si>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</si>
  <si>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</si>
  <si>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</si>
  <si>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</si>
  <si>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</si>
  <si>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</si>
  <si>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</si>
  <si>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</si>
  <si>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</si>
  <si>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</si>
  <si>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</si>
  <si>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</si>
  <si>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</si>
  <si>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</si>
  <si>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</si>
  <si>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</si>
  <si>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</si>
  <si>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</si>
  <si>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</si>
  <si>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</si>
  <si>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</si>
  <si>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</si>
  <si>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</si>
  <si>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</si>
  <si>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</si>
  <si>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</si>
  <si>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</si>
  <si>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</si>
  <si>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</si>
  <si>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</si>
  <si>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</si>
  <si>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</si>
  <si>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</si>
  <si>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</si>
  <si>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</si>
  <si>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</si>
  <si>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</si>
  <si>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</si>
  <si>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</si>
  <si>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</si>
  <si>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</si>
  <si>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</si>
  <si>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</si>
  <si>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</si>
  <si>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</si>
  <si>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</si>
  <si>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</si>
  <si>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</si>
  <si>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</si>
  <si>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</si>
  <si>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</si>
  <si>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</si>
  <si>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</si>
  <si>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</si>
  <si>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</si>
  <si>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</si>
  <si>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</si>
  <si>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</si>
  <si>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</si>
  <si>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</si>
  <si>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</si>
  <si>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</si>
  <si>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</si>
  <si>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</si>
  <si>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</si>
  <si>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</si>
  <si>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</si>
  <si>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</si>
  <si>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</si>
  <si>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</si>
  <si>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</si>
  <si>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</si>
  <si>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</si>
  <si>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</si>
  <si>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</si>
  <si>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</si>
  <si>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</si>
  <si>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</si>
  <si>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</si>
  <si>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</si>
  <si>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</si>
  <si>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</si>
  <si>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</si>
  <si>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</si>
  <si>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</si>
  <si>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</si>
  <si>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</si>
  <si>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</si>
  <si>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</si>
  <si>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</si>
  <si>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</si>
  <si>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</si>
  <si>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</si>
  <si>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</si>
  <si>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</si>
  <si>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</si>
  <si>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</si>
  <si>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</si>
  <si>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</si>
  <si>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</si>
  <si>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</si>
  <si>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</si>
  <si>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</si>
  <si>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</si>
  <si>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</si>
  <si>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</si>
  <si>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</si>
  <si>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</si>
  <si>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</si>
  <si>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</si>
  <si>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</si>
  <si>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</si>
  <si>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</si>
  <si>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</si>
  <si>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</si>
  <si>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</si>
  <si>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</si>
  <si>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</si>
  <si>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</si>
  <si>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</si>
  <si>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</si>
  <si>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</si>
  <si>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</si>
  <si>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</si>
  <si>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</si>
  <si>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</si>
  <si>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</si>
  <si>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</si>
  <si>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</si>
  <si>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</si>
  <si>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</si>
  <si>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</si>
  <si>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</si>
  <si>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</si>
  <si>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</si>
  <si>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</si>
  <si>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</si>
  <si>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</si>
  <si>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</si>
  <si>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</si>
  <si>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</si>
  <si>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</si>
  <si>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</si>
  <si>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</si>
  <si>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</si>
  <si>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</si>
  <si>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</si>
  <si>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</si>
  <si>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</si>
  <si>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</si>
  <si>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</si>
  <si>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</si>
  <si>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</si>
  <si>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</si>
  <si>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</si>
  <si>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</si>
  <si>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</si>
  <si>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</si>
  <si>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</si>
  <si>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</si>
  <si>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</si>
  <si>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</si>
  <si>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</si>
  <si>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</si>
  <si>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</si>
  <si>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</si>
  <si>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</si>
  <si>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</si>
  <si>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</si>
  <si>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</si>
  <si>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</si>
  <si>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</si>
  <si>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</si>
  <si>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</si>
  <si>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</si>
  <si>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</si>
  <si>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</si>
  <si>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</si>
  <si>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</si>
  <si>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</si>
  <si>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</si>
  <si>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</si>
  <si>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</si>
  <si>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</si>
  <si>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</si>
  <si>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</si>
  <si>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</si>
  <si>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</si>
  <si>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</si>
  <si>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</si>
  <si>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</si>
  <si>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</si>
  <si>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</si>
  <si>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</si>
  <si>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</si>
  <si>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</si>
  <si>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</si>
  <si>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</si>
  <si>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</si>
  <si>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</si>
  <si>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74033/1</t>
  </si>
  <si>
    <t>IMPERMEABILIZACAO DE SUPERFICIE COM GEOMEMBRANA (MANTA TERMOPLASTICA LISA) TIPO PEAD, E=2MM.</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</si>
  <si>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</si>
  <si>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</si>
  <si>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</si>
  <si>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</si>
  <si>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</si>
  <si>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</si>
  <si>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</si>
  <si>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</si>
  <si>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</si>
  <si>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</si>
  <si>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</si>
  <si>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</si>
  <si>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</si>
  <si>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</si>
  <si>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</si>
  <si>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</si>
  <si>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</si>
  <si>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</si>
  <si>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</si>
  <si>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</si>
  <si>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</si>
  <si>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</si>
  <si>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</si>
  <si>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</si>
  <si>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</si>
  <si>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</si>
  <si>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</si>
  <si>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</si>
  <si>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</si>
  <si>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</si>
  <si>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</si>
  <si>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</si>
  <si>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</si>
  <si>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</si>
  <si>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</si>
  <si>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</si>
  <si>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</si>
  <si>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</si>
  <si>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</si>
  <si>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</si>
  <si>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</si>
  <si>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</si>
  <si>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</si>
  <si>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</si>
  <si>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</si>
  <si>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</si>
  <si>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</si>
  <si>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</si>
  <si>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</si>
  <si>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</si>
  <si>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</si>
  <si>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</si>
  <si>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</si>
  <si>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</si>
  <si>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</si>
  <si>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</si>
  <si>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</si>
  <si>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</si>
  <si>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</si>
  <si>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</si>
  <si>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</si>
  <si>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</si>
  <si>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</si>
  <si>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</si>
  <si>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</si>
  <si>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</si>
  <si>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</si>
  <si>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</si>
  <si>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</si>
  <si>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</si>
  <si>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</si>
  <si>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</si>
  <si>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</si>
  <si>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</si>
  <si>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</si>
  <si>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</si>
  <si>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</si>
  <si>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</si>
  <si>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</si>
  <si>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</si>
  <si>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</si>
  <si>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</si>
  <si>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</si>
  <si>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</si>
  <si>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</si>
  <si>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</si>
  <si>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</si>
  <si>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</si>
  <si>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</si>
  <si>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</si>
  <si>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</si>
  <si>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</si>
  <si>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</si>
  <si>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</si>
  <si>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</si>
  <si>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</si>
  <si>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</si>
  <si>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</si>
  <si>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</si>
  <si>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</si>
  <si>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</si>
  <si>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</si>
  <si>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</si>
  <si>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</si>
  <si>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</si>
  <si>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</si>
  <si>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</si>
  <si>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</si>
  <si>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</si>
  <si>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</si>
  <si>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</si>
  <si>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</si>
  <si>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</si>
  <si>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</si>
  <si>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</si>
  <si>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</si>
  <si>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</si>
  <si>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</si>
  <si>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</si>
  <si>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</si>
  <si>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</si>
  <si>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</si>
  <si>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</si>
  <si>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</si>
  <si>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</si>
  <si>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</si>
  <si>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</si>
  <si>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</si>
  <si>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</si>
  <si>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</si>
  <si>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</si>
  <si>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</si>
  <si>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</si>
  <si>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</si>
  <si>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</si>
  <si>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</si>
  <si>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</si>
  <si>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</si>
  <si>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</si>
  <si>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</si>
  <si>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</si>
  <si>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</si>
  <si>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</si>
  <si>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</si>
  <si>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</si>
  <si>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</si>
  <si>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</si>
  <si>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</si>
  <si>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</si>
  <si>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</si>
  <si>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</si>
  <si>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</si>
  <si>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</si>
  <si>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</si>
  <si>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</si>
  <si>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</si>
  <si>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</si>
  <si>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</si>
  <si>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</si>
  <si>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</si>
  <si>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</si>
  <si>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</si>
  <si>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</si>
  <si>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</si>
  <si>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</si>
  <si>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</si>
  <si>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</si>
  <si>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</si>
  <si>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</si>
  <si>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</si>
  <si>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</si>
  <si>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</si>
  <si>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</si>
  <si>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</si>
  <si>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</si>
  <si>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</si>
  <si>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</si>
  <si>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</si>
  <si>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</si>
  <si>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</si>
  <si>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</si>
  <si>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</si>
  <si>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</si>
  <si>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</si>
  <si>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</si>
  <si>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</si>
  <si>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</si>
  <si>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</si>
  <si>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</si>
  <si>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</si>
  <si>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</si>
  <si>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</si>
  <si>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</si>
  <si>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</si>
  <si>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</si>
  <si>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</si>
  <si>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</si>
  <si>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</si>
  <si>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</si>
  <si>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</si>
  <si>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</si>
  <si>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</si>
  <si>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</si>
  <si>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</si>
  <si>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</si>
  <si>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</si>
  <si>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</si>
  <si>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</si>
  <si>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</si>
  <si>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</si>
  <si>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</si>
  <si>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</si>
  <si>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</si>
  <si>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</si>
  <si>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</si>
  <si>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</si>
  <si>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</si>
  <si>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</si>
  <si>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</si>
  <si>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</si>
  <si>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</si>
  <si>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</si>
  <si>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</si>
  <si>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</si>
  <si>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</si>
  <si>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</si>
  <si>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</si>
  <si>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</si>
  <si>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</si>
  <si>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</si>
  <si>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</si>
  <si>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</si>
  <si>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</si>
  <si>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</si>
  <si>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</si>
  <si>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</si>
  <si>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</si>
  <si>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</si>
  <si>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</si>
  <si>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</si>
  <si>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</si>
  <si>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</si>
  <si>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</si>
  <si>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</si>
  <si>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</si>
  <si>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</si>
  <si>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</si>
  <si>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</si>
  <si>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</si>
  <si>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</si>
  <si>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</si>
  <si>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</si>
  <si>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</si>
  <si>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</si>
  <si>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</si>
  <si>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</si>
  <si>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</si>
  <si>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</si>
  <si>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</si>
  <si>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</si>
  <si>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</si>
  <si>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</si>
  <si>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</si>
  <si>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</si>
  <si>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</si>
  <si>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</si>
  <si>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</si>
  <si>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</si>
  <si>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</si>
  <si>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</si>
  <si>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</si>
  <si>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</si>
  <si>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</si>
  <si>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</si>
  <si>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</si>
  <si>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</si>
  <si>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</si>
  <si>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</si>
  <si>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</si>
  <si>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</si>
  <si>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</si>
  <si>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</si>
  <si>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</si>
  <si>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</si>
  <si>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</si>
  <si>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</si>
  <si>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</si>
  <si>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</si>
  <si>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</si>
  <si>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</si>
  <si>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</si>
  <si>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</si>
  <si>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</si>
  <si>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</si>
  <si>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</si>
  <si>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</si>
  <si>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</si>
  <si>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</si>
  <si>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</si>
  <si>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</si>
  <si>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</si>
  <si>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</si>
  <si>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</si>
  <si>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</si>
  <si>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</si>
  <si>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</si>
  <si>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</si>
  <si>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</si>
  <si>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</si>
  <si>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</si>
  <si>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</si>
  <si>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</si>
  <si>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</si>
  <si>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</si>
  <si>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</si>
  <si>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</si>
  <si>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</si>
  <si>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</si>
  <si>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</si>
  <si>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</si>
  <si>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</si>
  <si>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</si>
  <si>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</si>
  <si>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</si>
  <si>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</si>
  <si>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</si>
  <si>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</si>
  <si>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</si>
  <si>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</si>
  <si>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</si>
  <si>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</si>
  <si>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</si>
  <si>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</si>
  <si>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</si>
  <si>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</si>
  <si>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</si>
  <si>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</si>
  <si>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</si>
  <si>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</si>
  <si>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</si>
  <si>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</si>
  <si>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</si>
  <si>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</si>
  <si>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</si>
  <si>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</si>
  <si>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</si>
  <si>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</si>
  <si>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</si>
  <si>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</si>
  <si>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</si>
  <si>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</si>
  <si>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</si>
  <si>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</si>
  <si>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</si>
  <si>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</si>
  <si>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</si>
  <si>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</si>
  <si>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</si>
  <si>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</si>
  <si>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</si>
  <si>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</si>
  <si>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</si>
  <si>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</si>
  <si>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</si>
  <si>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</si>
  <si>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</si>
  <si>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</si>
  <si>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</si>
  <si>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</si>
  <si>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</si>
  <si>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</si>
  <si>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</si>
  <si>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</si>
  <si>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</si>
  <si>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</si>
  <si>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</si>
  <si>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</si>
  <si>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</si>
  <si>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</si>
  <si>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</si>
  <si>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</si>
  <si>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</si>
  <si>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</si>
  <si>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</si>
  <si>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</si>
  <si>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</si>
  <si>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</si>
  <si>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</si>
  <si>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</si>
  <si>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</si>
  <si>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</si>
  <si>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</si>
  <si>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</si>
  <si>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</si>
  <si>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</si>
  <si>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</si>
  <si>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</si>
  <si>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</si>
  <si>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</si>
  <si>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</si>
  <si>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</si>
  <si>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</si>
  <si>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</si>
  <si>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</si>
  <si>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</si>
  <si>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</si>
  <si>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</si>
  <si>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</si>
  <si>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</si>
  <si>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</si>
  <si>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</si>
  <si>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</si>
  <si>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</si>
  <si>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</si>
  <si>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</si>
  <si>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</si>
  <si>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</si>
  <si>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</si>
  <si>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</si>
  <si>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</si>
  <si>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</si>
  <si>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</si>
  <si>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</si>
  <si>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</si>
  <si>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</si>
  <si>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</si>
  <si>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</si>
  <si>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</si>
  <si>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</si>
  <si>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</si>
  <si>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</si>
  <si>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</si>
  <si>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</si>
  <si>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</si>
  <si>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</si>
  <si>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</si>
  <si>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</si>
  <si>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</si>
  <si>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</si>
  <si>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</si>
  <si>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</si>
  <si>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</si>
  <si>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</si>
  <si>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</si>
  <si>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</si>
  <si>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</si>
  <si>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</si>
  <si>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</si>
  <si>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</si>
  <si>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</si>
  <si>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</si>
  <si>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</si>
  <si>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</si>
  <si>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</si>
  <si>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</si>
  <si>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</si>
  <si>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</si>
  <si>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</si>
  <si>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</si>
  <si>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</si>
  <si>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</si>
  <si>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</si>
  <si>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</si>
  <si>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</si>
  <si>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</si>
  <si>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</si>
  <si>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</si>
  <si>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</si>
  <si>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</si>
  <si>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</si>
  <si>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</si>
  <si>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</si>
  <si>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</si>
  <si>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</si>
  <si>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</si>
  <si>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</si>
  <si>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</si>
  <si>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</si>
  <si>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</si>
  <si>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</si>
  <si>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</si>
  <si>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</si>
  <si>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</si>
  <si>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</si>
  <si>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</si>
  <si>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</si>
  <si>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</si>
  <si>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</si>
  <si>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</si>
  <si>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</si>
  <si>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</si>
  <si>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</si>
  <si>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</si>
  <si>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</si>
  <si>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</si>
  <si>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</si>
  <si>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</si>
  <si>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</si>
  <si>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</si>
  <si>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</si>
  <si>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</si>
  <si>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</si>
  <si>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</si>
  <si>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</si>
  <si>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</si>
  <si>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</si>
  <si>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</si>
  <si>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</si>
  <si>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</si>
  <si>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</si>
  <si>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</si>
  <si>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</si>
  <si>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</si>
  <si>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</si>
  <si>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</si>
  <si>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</si>
  <si>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</si>
  <si>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</si>
  <si>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</si>
  <si>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</si>
  <si>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</si>
  <si>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</si>
  <si>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</si>
  <si>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</si>
  <si>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</si>
  <si>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</si>
  <si>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</si>
  <si>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</si>
  <si>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</si>
  <si>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</si>
  <si>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</si>
  <si>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</si>
  <si>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</si>
  <si>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</si>
  <si>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</si>
  <si>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</si>
  <si>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</si>
  <si>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</si>
  <si>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</si>
  <si>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</si>
  <si>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</si>
  <si>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</si>
  <si>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</si>
  <si>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</si>
  <si>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</si>
  <si>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</si>
  <si>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</si>
  <si>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</si>
  <si>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</si>
  <si>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</si>
  <si>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</si>
  <si>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</si>
  <si>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</si>
  <si>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</si>
  <si>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</si>
  <si>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</si>
  <si>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</si>
  <si>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</si>
  <si>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</si>
  <si>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</si>
  <si>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</si>
  <si>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</si>
  <si>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</si>
  <si>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</si>
  <si>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</si>
  <si>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</si>
  <si>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</si>
  <si>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</si>
  <si>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</si>
  <si>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</si>
  <si>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</si>
  <si>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</si>
  <si>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</si>
  <si>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</si>
  <si>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</si>
  <si>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</si>
  <si>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</si>
  <si>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</si>
  <si>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</si>
  <si>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</si>
  <si>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</si>
  <si>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</si>
  <si>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</si>
  <si>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</si>
  <si>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</si>
  <si>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</si>
  <si>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</si>
  <si>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</si>
  <si>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</si>
  <si>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</si>
  <si>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</si>
  <si>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</si>
  <si>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</si>
  <si>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</si>
  <si>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</si>
  <si>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</si>
  <si>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</si>
  <si>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</si>
  <si>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</si>
  <si>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</si>
  <si>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</si>
  <si>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</si>
  <si>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</si>
  <si>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</si>
  <si>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</si>
  <si>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</si>
  <si>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</si>
  <si>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</si>
  <si>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</si>
  <si>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</si>
  <si>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</si>
  <si>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</si>
  <si>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</si>
  <si>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</si>
  <si>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</si>
  <si>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</si>
  <si>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</si>
  <si>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</si>
  <si>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</si>
  <si>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</si>
  <si>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</si>
  <si>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</si>
  <si>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</si>
  <si>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</si>
  <si>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</si>
  <si>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</si>
  <si>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</si>
  <si>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</si>
  <si>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</si>
  <si>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</si>
  <si>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</si>
  <si>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</si>
  <si>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</si>
  <si>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</si>
  <si>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</si>
  <si>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</si>
  <si>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</si>
  <si>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</si>
  <si>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</si>
  <si>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</si>
  <si>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</si>
  <si>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</si>
  <si>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</si>
  <si>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</si>
  <si>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</si>
  <si>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</si>
  <si>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</si>
  <si>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</si>
  <si>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</si>
  <si>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</si>
  <si>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</si>
  <si>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</si>
  <si>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</si>
  <si>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</si>
  <si>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</si>
  <si>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</si>
  <si>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</si>
  <si>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</si>
  <si>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</si>
  <si>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</si>
  <si>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</si>
  <si>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</si>
  <si>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</si>
  <si>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</si>
  <si>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</si>
  <si>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</si>
  <si>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</si>
  <si>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</si>
  <si>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</si>
  <si>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</si>
  <si>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</si>
  <si>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</si>
  <si>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</si>
  <si>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</si>
  <si>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</si>
  <si>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</si>
  <si>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</si>
  <si>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</si>
  <si>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</si>
  <si>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</si>
  <si>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</si>
  <si>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</si>
  <si>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</si>
  <si>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</si>
  <si>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</si>
  <si>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</si>
  <si>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</si>
  <si>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</si>
  <si>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</si>
  <si>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</si>
  <si>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</si>
  <si>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</si>
  <si>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</si>
  <si>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</si>
  <si>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</si>
  <si>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</si>
  <si>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</si>
  <si>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</si>
  <si>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</si>
  <si>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</si>
  <si>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</si>
  <si>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</si>
  <si>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</si>
  <si>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</si>
  <si>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</si>
  <si>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</si>
  <si>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</si>
  <si>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</si>
  <si>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</si>
  <si>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</si>
  <si>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</si>
  <si>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</si>
  <si>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</si>
  <si>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</si>
  <si>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</si>
  <si>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</si>
  <si>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</si>
  <si>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</si>
  <si>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</si>
  <si>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</si>
  <si>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</si>
  <si>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</si>
  <si>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</si>
  <si>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</si>
  <si>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</si>
  <si>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</si>
  <si>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</si>
  <si>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</si>
  <si>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</si>
  <si>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</si>
  <si>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</si>
  <si>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</si>
  <si>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</si>
  <si>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</si>
  <si>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</si>
  <si>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</si>
  <si>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</si>
  <si>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</si>
  <si>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</si>
  <si>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</si>
  <si>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</si>
  <si>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</si>
  <si>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</si>
  <si>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</si>
  <si>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</si>
  <si>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</si>
  <si>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</si>
  <si>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</si>
  <si>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</si>
  <si>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</si>
  <si>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</si>
  <si>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</si>
  <si>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</si>
  <si>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</si>
  <si>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</si>
  <si>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</si>
  <si>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</si>
  <si>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</si>
  <si>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</si>
  <si>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</si>
  <si>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</si>
  <si>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</si>
  <si>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</si>
  <si>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</si>
  <si>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</si>
  <si>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</si>
  <si>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</si>
  <si>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</si>
  <si>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</si>
  <si>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</si>
  <si>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</si>
  <si>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</si>
  <si>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</si>
  <si>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</si>
  <si>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</si>
  <si>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</si>
  <si>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</si>
  <si>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</si>
  <si>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</si>
  <si>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</si>
  <si>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</si>
  <si>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</si>
  <si>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</si>
  <si>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</si>
  <si>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</si>
  <si>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</si>
  <si>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</si>
  <si>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</si>
  <si>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</si>
  <si>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</si>
  <si>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</si>
  <si>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</si>
  <si>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</si>
  <si>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</si>
  <si>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</si>
  <si>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</si>
  <si>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</si>
  <si>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</si>
  <si>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</si>
  <si>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</si>
  <si>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</si>
  <si>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</si>
  <si>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</si>
  <si>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</si>
  <si>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</si>
  <si>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</si>
  <si>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</si>
  <si>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</si>
  <si>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</si>
  <si>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</si>
  <si>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</si>
  <si>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</si>
  <si>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</si>
  <si>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</si>
  <si>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</si>
  <si>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</si>
  <si>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</si>
  <si>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</si>
  <si>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</si>
  <si>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</si>
  <si>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</si>
  <si>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</si>
  <si>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</si>
  <si>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</si>
  <si>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</si>
  <si>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</si>
  <si>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</si>
  <si>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</si>
  <si>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</si>
  <si>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</si>
  <si>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</si>
  <si>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</si>
  <si>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</si>
  <si>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</si>
  <si>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</si>
  <si>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</si>
  <si>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</si>
  <si>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</si>
  <si>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</si>
  <si>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</si>
  <si>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</si>
  <si>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</si>
  <si>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</si>
  <si>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</si>
  <si>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</si>
  <si>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</si>
  <si>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</si>
  <si>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</si>
  <si>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</si>
  <si>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</si>
  <si>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</si>
  <si>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</si>
  <si>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</si>
  <si>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</si>
  <si>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</si>
  <si>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</si>
  <si>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</si>
  <si>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</si>
  <si>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</si>
  <si>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</si>
  <si>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</si>
  <si>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</si>
  <si>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</si>
  <si>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</si>
  <si>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</si>
  <si>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</si>
  <si>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</si>
  <si>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</si>
  <si>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</si>
  <si>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</si>
  <si>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</si>
  <si>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</si>
  <si>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</si>
  <si>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</si>
  <si>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</si>
  <si>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</si>
  <si>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</si>
  <si>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</si>
  <si>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</si>
  <si>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</si>
  <si>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</si>
  <si>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</si>
  <si>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</si>
  <si>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</si>
  <si>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</si>
  <si>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</si>
  <si>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</si>
  <si>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</si>
  <si>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</si>
  <si>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</si>
  <si>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</si>
  <si>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</si>
  <si>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</si>
  <si>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</si>
  <si>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</si>
  <si>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</si>
  <si>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</si>
  <si>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</si>
  <si>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</si>
  <si>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</si>
  <si>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</si>
  <si>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</si>
  <si>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</si>
  <si>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</si>
  <si>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</si>
  <si>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</si>
  <si>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</si>
  <si>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</si>
  <si>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</si>
  <si>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</si>
  <si>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</si>
  <si>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</si>
  <si>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</si>
  <si>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</si>
  <si>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</si>
  <si>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</si>
  <si>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</si>
  <si>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</si>
  <si>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</si>
  <si>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</si>
  <si>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</si>
  <si>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</si>
  <si>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</si>
  <si>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</si>
  <si>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</si>
  <si>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</si>
  <si>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</si>
  <si>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</si>
  <si>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</si>
  <si>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</si>
  <si>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</si>
  <si>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</si>
  <si>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</si>
  <si>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</si>
  <si>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</si>
  <si>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</si>
  <si>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</si>
  <si>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</si>
  <si>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</si>
  <si>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</si>
  <si>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</si>
  <si>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</si>
  <si>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</si>
  <si>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</si>
  <si>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</si>
  <si>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</si>
  <si>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</si>
  <si>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</si>
  <si>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</si>
  <si>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</si>
  <si>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</si>
  <si>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</si>
  <si>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</si>
  <si>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</si>
  <si>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</si>
  <si>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</si>
  <si>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</si>
  <si>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</si>
  <si>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</si>
  <si>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</si>
  <si>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</si>
  <si>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</si>
  <si>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</si>
  <si>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</si>
  <si>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</si>
  <si>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</si>
  <si>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</si>
  <si>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</si>
  <si>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</si>
  <si>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</si>
  <si>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</si>
  <si>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</si>
  <si>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</si>
  <si>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</si>
  <si>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</si>
  <si>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</si>
  <si>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</si>
  <si>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</si>
  <si>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</si>
  <si>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</si>
  <si>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</si>
  <si>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</si>
  <si>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</si>
  <si>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</si>
  <si>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</si>
  <si>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</si>
  <si>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</si>
  <si>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</si>
  <si>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</si>
  <si>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</si>
  <si>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</si>
  <si>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</si>
  <si>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</si>
  <si>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</si>
  <si>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</si>
  <si>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</si>
  <si>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</si>
  <si>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</si>
  <si>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</si>
  <si>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</si>
  <si>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</si>
  <si>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</si>
  <si>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</si>
  <si>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</si>
  <si>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</si>
  <si>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</si>
  <si>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</si>
  <si>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</si>
  <si>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</si>
  <si>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</si>
  <si>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</si>
  <si>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</si>
  <si>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</si>
  <si>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</si>
  <si>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</si>
  <si>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</si>
  <si>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</si>
  <si>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</si>
  <si>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</si>
  <si>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</si>
  <si>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</si>
  <si>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</si>
  <si>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</si>
  <si>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</si>
  <si>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</si>
  <si>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</si>
  <si>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</si>
  <si>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</si>
  <si>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</si>
  <si>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</si>
  <si>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</si>
  <si>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</si>
  <si>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</si>
  <si>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</si>
  <si>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</si>
  <si>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</si>
  <si>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</si>
  <si>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</si>
  <si>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</si>
  <si>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</si>
  <si>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</si>
  <si>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</si>
  <si>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</si>
  <si>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</si>
  <si>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</si>
  <si>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</si>
  <si>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</si>
  <si>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</si>
  <si>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</si>
  <si>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</si>
  <si>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</si>
  <si>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</si>
  <si>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</si>
  <si>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</si>
  <si>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</si>
  <si>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</si>
  <si>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</si>
  <si>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</si>
  <si>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</si>
  <si>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</si>
  <si>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</si>
  <si>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</si>
  <si>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</si>
  <si>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</si>
  <si>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</si>
  <si>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</si>
  <si>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</si>
  <si>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</si>
  <si>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</si>
  <si>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</si>
  <si>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</si>
  <si>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</si>
  <si>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</si>
  <si>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</si>
  <si>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</si>
  <si>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</si>
  <si>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</si>
  <si>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</si>
  <si>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</si>
  <si>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</si>
  <si>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</si>
  <si>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</si>
  <si>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</si>
  <si>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</si>
  <si>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</si>
  <si>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</si>
  <si>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</si>
  <si>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</si>
  <si>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</si>
  <si>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</si>
  <si>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</si>
  <si>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</si>
  <si>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</si>
  <si>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</si>
  <si>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</si>
  <si>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</si>
  <si>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</si>
  <si>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</si>
  <si>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</si>
  <si>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</si>
  <si>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</si>
  <si>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</si>
  <si>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</si>
  <si>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</si>
  <si>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</si>
  <si>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</si>
  <si>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</si>
  <si>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</si>
  <si>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</si>
  <si>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</si>
  <si>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</si>
  <si>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</si>
  <si>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</si>
  <si>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</si>
  <si>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</si>
  <si>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</si>
  <si>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</si>
  <si>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</si>
  <si>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</si>
  <si>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</si>
  <si>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</si>
  <si>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</si>
  <si>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</si>
  <si>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</si>
  <si>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</si>
  <si>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</si>
  <si>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</si>
  <si>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</si>
  <si>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</si>
  <si>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</si>
  <si>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</si>
  <si>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</si>
  <si>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</si>
  <si>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</si>
  <si>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</si>
  <si>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</si>
  <si>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</si>
  <si>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</si>
  <si>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</si>
  <si>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</si>
  <si>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</si>
  <si>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</si>
  <si>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</si>
  <si>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</si>
  <si>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</si>
  <si>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</si>
  <si>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</si>
  <si>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</si>
  <si>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</si>
  <si>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</si>
  <si>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</si>
  <si>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</si>
  <si>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</si>
  <si>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</si>
  <si>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</si>
  <si>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</si>
  <si>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</si>
  <si>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</si>
  <si>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</si>
  <si>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</si>
  <si>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</si>
  <si>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</si>
  <si>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</si>
  <si>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</si>
  <si>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</si>
  <si>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</si>
  <si>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</si>
  <si>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</si>
  <si>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</si>
  <si>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</si>
  <si>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</si>
  <si>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</si>
  <si>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</si>
  <si>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</si>
  <si>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</si>
  <si>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</si>
  <si>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</si>
  <si>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</si>
  <si>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</si>
  <si>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</si>
  <si>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</si>
  <si>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</si>
  <si>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</si>
  <si>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</si>
  <si>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</si>
  <si>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</si>
  <si>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</si>
  <si>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</si>
  <si>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</si>
  <si>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</si>
  <si>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</si>
  <si>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</si>
  <si>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</si>
  <si>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</si>
  <si>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</si>
  <si>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</si>
  <si>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</si>
  <si>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</si>
  <si>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</si>
  <si>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</si>
  <si>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</si>
  <si>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</si>
  <si>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</si>
  <si>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</si>
  <si>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</si>
  <si>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</si>
  <si>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</si>
  <si>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</si>
  <si>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</si>
  <si>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</si>
  <si>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</si>
  <si>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</si>
  <si>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</si>
  <si>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</si>
  <si>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</si>
  <si>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</si>
  <si>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</si>
  <si>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</si>
  <si>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</si>
  <si>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</si>
  <si>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</si>
  <si>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</si>
  <si>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</si>
  <si>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</si>
  <si>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</si>
  <si>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</si>
  <si>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</si>
  <si>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</si>
  <si>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</si>
  <si>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</si>
  <si>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</si>
  <si>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</si>
  <si>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</si>
  <si>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</si>
  <si>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</si>
  <si>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</si>
  <si>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</si>
  <si>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</si>
  <si>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</si>
  <si>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</si>
  <si>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</si>
  <si>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</si>
  <si>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</si>
  <si>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</si>
  <si>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</si>
  <si>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</si>
  <si>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</si>
  <si>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</si>
  <si>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</si>
  <si>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</si>
  <si>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</si>
  <si>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</si>
  <si>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</si>
  <si>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</si>
  <si>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</si>
  <si>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</si>
  <si>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</si>
  <si>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</si>
  <si>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</si>
  <si>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</si>
  <si>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</si>
  <si>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</si>
  <si>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</si>
  <si>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</si>
  <si>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</si>
  <si>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</si>
  <si>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</si>
  <si>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</si>
  <si>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</si>
  <si>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</si>
  <si>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</si>
  <si>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</si>
  <si>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</si>
  <si>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</si>
  <si>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</si>
  <si>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</si>
  <si>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</si>
  <si>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</si>
  <si>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</si>
  <si>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</si>
  <si>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</si>
  <si>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</si>
  <si>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</si>
  <si>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</si>
  <si>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</si>
  <si>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</si>
  <si>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</si>
  <si>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</si>
  <si>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</si>
  <si>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</si>
  <si>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</si>
  <si>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</si>
  <si>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</si>
  <si>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</si>
  <si>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</si>
  <si>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</si>
  <si>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</si>
  <si>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</si>
  <si>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</si>
  <si>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</si>
  <si>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</si>
  <si>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</si>
  <si>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</si>
  <si>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</si>
  <si>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</si>
  <si>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</si>
  <si>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</si>
  <si>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</si>
  <si>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</si>
  <si>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</si>
  <si>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</si>
  <si>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</si>
  <si>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</si>
  <si>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</si>
  <si>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</si>
  <si>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</si>
  <si>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</si>
  <si>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</si>
  <si>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</si>
  <si>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</si>
  <si>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</si>
  <si>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</si>
  <si>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</si>
  <si>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</si>
  <si>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</si>
  <si>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</si>
  <si>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</si>
  <si>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</si>
  <si>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</si>
  <si>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</si>
  <si>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</si>
  <si>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</si>
  <si>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</si>
  <si>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</si>
  <si>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</si>
  <si>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</si>
  <si>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</si>
  <si>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</si>
  <si>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</si>
  <si>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</si>
  <si>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</si>
  <si>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</si>
  <si>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</si>
  <si>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</si>
  <si>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</si>
  <si>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</si>
  <si>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</si>
  <si>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</si>
  <si>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</si>
  <si>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</si>
  <si>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</si>
  <si>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</si>
  <si>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</si>
  <si>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</si>
  <si>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</si>
  <si>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</si>
  <si>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</si>
  <si>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</si>
  <si>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</si>
  <si>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</si>
  <si>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</si>
  <si>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</si>
  <si>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</si>
  <si>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</si>
  <si>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</si>
  <si>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</si>
  <si>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</si>
  <si>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</si>
  <si>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</si>
  <si>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</si>
  <si>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</si>
  <si>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</si>
  <si>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</si>
  <si>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</si>
  <si>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</si>
  <si>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</si>
  <si>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</si>
  <si>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</si>
  <si>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</si>
  <si>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</si>
  <si>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</si>
  <si>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</si>
  <si>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</si>
  <si>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</si>
  <si>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</si>
  <si>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</si>
  <si>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</si>
  <si>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</si>
  <si>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</si>
  <si>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</si>
  <si>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</si>
  <si>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</si>
  <si>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</si>
  <si>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</si>
  <si>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</si>
  <si>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</si>
  <si>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</si>
  <si>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</si>
  <si>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</si>
  <si>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</si>
  <si>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</si>
  <si>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</si>
  <si>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</si>
  <si>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</si>
  <si>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</si>
  <si>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</si>
  <si>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</si>
  <si>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</si>
  <si>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</si>
  <si>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</si>
  <si>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</si>
  <si>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</si>
  <si>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</si>
  <si>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</si>
  <si>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</si>
  <si>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</si>
  <si>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</si>
  <si>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</si>
  <si>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</si>
  <si>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</si>
  <si>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</si>
  <si>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</si>
  <si>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</si>
  <si>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</si>
  <si>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</si>
  <si>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</si>
  <si>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</si>
  <si>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</si>
  <si>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</si>
  <si>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</si>
  <si>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</si>
  <si>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</si>
  <si>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</si>
  <si>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</si>
  <si>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</si>
  <si>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</si>
  <si>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</si>
  <si>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</si>
  <si>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</si>
  <si>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</si>
  <si>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</si>
  <si>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</si>
  <si>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</si>
  <si>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</si>
  <si>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</si>
  <si>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</si>
  <si>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</si>
  <si>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</si>
  <si>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</si>
  <si>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</si>
  <si>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</si>
  <si>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</si>
  <si>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</si>
  <si>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</si>
  <si>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</si>
  <si>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</si>
  <si>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</si>
  <si>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</si>
  <si>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</si>
  <si>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</si>
  <si>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</si>
  <si>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</si>
  <si>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</si>
  <si>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</si>
  <si>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</si>
  <si>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</si>
  <si>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</si>
  <si>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</si>
  <si>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</si>
  <si>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</si>
  <si>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</si>
  <si>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</si>
  <si>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</si>
  <si>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</si>
  <si>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</si>
  <si>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</si>
  <si>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</si>
  <si>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</si>
  <si>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</si>
  <si>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</si>
  <si>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</si>
  <si>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</si>
  <si>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</si>
  <si>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</si>
  <si>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</si>
  <si>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</si>
  <si>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</si>
  <si>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</si>
  <si>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</si>
  <si>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</si>
  <si>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</si>
  <si>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</si>
  <si>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</si>
  <si>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</si>
  <si>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</si>
  <si>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</si>
  <si>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</si>
  <si>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</si>
  <si>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</si>
  <si>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</si>
  <si>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</si>
  <si>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</si>
  <si>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</si>
  <si>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</si>
  <si>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</si>
  <si>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</si>
  <si>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</si>
  <si>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</si>
  <si>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</si>
  <si>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</si>
  <si>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</si>
  <si>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</si>
  <si>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</si>
  <si>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</si>
  <si>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</si>
  <si>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</si>
  <si>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</si>
  <si>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</si>
  <si>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</si>
  <si>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</si>
  <si>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</si>
  <si>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</si>
  <si>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</si>
  <si>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</si>
  <si>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</si>
  <si>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</si>
  <si>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</si>
  <si>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</si>
  <si>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</si>
  <si>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</si>
  <si>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</si>
  <si>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</si>
  <si>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</si>
  <si>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</si>
  <si>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</si>
  <si>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</si>
  <si>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</si>
  <si>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</si>
  <si>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</si>
  <si>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</si>
  <si>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</si>
  <si>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</si>
  <si>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</si>
  <si>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</si>
  <si>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</si>
  <si>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</si>
  <si>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</si>
  <si>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</si>
  <si>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</si>
  <si>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</si>
  <si>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</si>
  <si>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</si>
  <si>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</si>
  <si>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</si>
  <si>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</si>
  <si>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</si>
  <si>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</si>
  <si>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</si>
  <si>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</si>
  <si>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</si>
  <si>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</si>
  <si>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</si>
  <si>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</si>
  <si>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</si>
  <si>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</si>
  <si>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</si>
  <si>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</si>
  <si>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</si>
  <si>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</si>
  <si>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</si>
  <si>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</si>
  <si>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</si>
  <si>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</si>
  <si>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</si>
  <si>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</si>
  <si>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</si>
  <si>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</si>
  <si>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</si>
  <si>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</si>
  <si>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</si>
  <si>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</si>
  <si>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</si>
  <si>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</si>
  <si>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</si>
  <si>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</si>
  <si>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</si>
  <si>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</si>
  <si>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</si>
  <si>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</si>
  <si>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</si>
  <si>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</si>
  <si>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</si>
  <si>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</si>
  <si>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</si>
  <si>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</si>
  <si>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</si>
  <si>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</si>
  <si>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</si>
  <si>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</si>
  <si>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</si>
  <si>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</si>
  <si>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</si>
  <si>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</si>
  <si>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</si>
  <si>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</si>
  <si>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</si>
  <si>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</si>
  <si>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</si>
  <si>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</si>
  <si>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</si>
  <si>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</si>
  <si>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</si>
  <si>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</si>
  <si>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</si>
  <si>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</si>
  <si>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</si>
  <si>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</si>
  <si>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</si>
  <si>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</si>
  <si>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</si>
  <si>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</si>
  <si>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</si>
  <si>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</si>
  <si>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</si>
  <si>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</si>
  <si>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</si>
  <si>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</si>
  <si>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</si>
  <si>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</si>
  <si>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</si>
  <si>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</si>
  <si>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</si>
  <si>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</si>
  <si>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</si>
  <si>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</si>
  <si>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</si>
  <si>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</si>
  <si>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</si>
  <si>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</si>
  <si>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</si>
  <si>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</si>
  <si>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</si>
  <si>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</si>
  <si>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</si>
  <si>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</si>
  <si>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</si>
  <si>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</si>
  <si>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</si>
  <si>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</si>
  <si>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</si>
  <si>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</si>
  <si>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</si>
  <si>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</si>
  <si>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</si>
  <si>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</si>
  <si>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</si>
  <si>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</si>
  <si>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</si>
  <si>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</si>
  <si>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</si>
  <si>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</si>
  <si>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</si>
  <si>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</si>
  <si>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</si>
  <si>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</si>
  <si>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</si>
  <si>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</si>
  <si>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</si>
  <si>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</si>
  <si>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</si>
  <si>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</si>
  <si>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</si>
  <si>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</si>
  <si>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</si>
  <si>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</si>
  <si>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</si>
  <si>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</si>
  <si>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</si>
  <si>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</si>
  <si>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</si>
  <si>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</si>
  <si>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</si>
  <si>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</si>
  <si>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</si>
  <si>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</si>
  <si>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</si>
  <si>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</si>
  <si>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</si>
  <si>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</si>
  <si>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</si>
  <si>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</si>
  <si>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</si>
  <si>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</si>
  <si>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</si>
  <si>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</si>
  <si>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</si>
  <si>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</si>
  <si>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</si>
  <si>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</si>
  <si>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</si>
  <si>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</si>
  <si>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</si>
  <si>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</si>
  <si>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</si>
  <si>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</si>
  <si>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</si>
  <si>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</si>
  <si>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</si>
  <si>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</si>
  <si>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</si>
  <si>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</si>
  <si>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</si>
  <si>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</si>
  <si>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</si>
  <si>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</si>
  <si>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</si>
  <si>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</si>
  <si>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</si>
  <si>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</si>
  <si>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</si>
  <si>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</si>
  <si>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</si>
  <si>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</si>
  <si>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</si>
  <si>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</si>
  <si>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</si>
  <si>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</si>
  <si>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</si>
  <si>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</si>
  <si>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</si>
  <si>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</si>
  <si>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</si>
  <si>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</si>
  <si>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</si>
  <si>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</si>
  <si>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</si>
  <si>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</si>
  <si>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</si>
  <si>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</si>
  <si>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</si>
  <si>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</si>
  <si>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</si>
  <si>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</si>
  <si>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</si>
  <si>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</si>
  <si>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</si>
  <si>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</si>
  <si>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</si>
  <si>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</si>
  <si>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</si>
  <si>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</si>
  <si>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</si>
  <si>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</si>
  <si>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</si>
  <si>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</si>
  <si>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</si>
  <si>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</si>
  <si>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</si>
  <si>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</si>
  <si>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</si>
  <si>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</si>
  <si>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</si>
  <si>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</si>
  <si>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</si>
  <si>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</si>
  <si>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</si>
  <si>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</si>
  <si>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</si>
  <si>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</si>
  <si>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</si>
  <si>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</si>
  <si>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</si>
  <si>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</si>
  <si>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</si>
  <si>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</si>
  <si>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</si>
  <si>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</si>
  <si>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</si>
  <si>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</si>
  <si>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</si>
  <si>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</si>
  <si>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</si>
  <si>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</si>
  <si>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</si>
  <si>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</si>
  <si>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</si>
  <si>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</si>
  <si>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</si>
  <si>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</si>
  <si>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</si>
  <si>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</si>
  <si>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</si>
  <si>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</si>
  <si>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</si>
  <si>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</si>
  <si>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</si>
  <si>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</si>
  <si>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</si>
  <si>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</si>
  <si>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</si>
  <si>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</si>
  <si>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</si>
  <si>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</si>
  <si>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</si>
  <si>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</si>
  <si>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</si>
  <si>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</si>
  <si>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</si>
  <si>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</si>
  <si>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</si>
  <si>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</si>
  <si>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</si>
  <si>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</si>
  <si>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</si>
  <si>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</si>
  <si>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</si>
  <si>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</si>
  <si>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</si>
  <si>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</si>
  <si>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</si>
  <si>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</si>
  <si>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</si>
  <si>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</si>
  <si>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</si>
  <si>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</si>
  <si>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</si>
  <si>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</si>
  <si>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</si>
  <si>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</si>
  <si>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</si>
  <si>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</si>
  <si>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</si>
  <si>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</si>
  <si>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</si>
  <si>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</si>
  <si>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</si>
  <si>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</si>
  <si>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</si>
  <si>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</si>
  <si>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</si>
  <si>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</si>
  <si>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</si>
  <si>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</si>
  <si>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</si>
  <si>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</si>
  <si>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</si>
  <si>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</si>
  <si>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</si>
  <si>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</si>
  <si>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</si>
  <si>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</si>
  <si>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</si>
  <si>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</si>
  <si>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</si>
  <si>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</si>
  <si>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</si>
  <si>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</si>
  <si>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</si>
  <si>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</si>
  <si>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</si>
  <si>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</si>
  <si>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</si>
  <si>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</si>
  <si>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</si>
  <si>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</si>
  <si>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</si>
  <si>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</si>
  <si>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</si>
  <si>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</si>
  <si>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</si>
  <si>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</si>
  <si>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</si>
  <si>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</si>
  <si>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</si>
  <si>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</si>
  <si>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</si>
  <si>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</si>
  <si>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</si>
  <si>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</si>
  <si>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</si>
  <si>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</si>
  <si>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</si>
  <si>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</si>
  <si>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</si>
  <si>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</si>
  <si>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</si>
  <si>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</si>
  <si>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</si>
  <si>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</si>
  <si>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</si>
  <si>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</si>
  <si>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</si>
  <si>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</si>
  <si>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</si>
  <si>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</si>
  <si>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</si>
  <si>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</si>
  <si>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</si>
  <si>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</si>
  <si>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</si>
  <si>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</si>
  <si>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</si>
  <si>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</si>
  <si>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</si>
  <si>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</si>
  <si>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</si>
  <si>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</si>
  <si>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</si>
  <si>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</si>
  <si>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</si>
  <si>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</si>
  <si>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</si>
  <si>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</si>
  <si>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</si>
  <si>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</si>
  <si>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</si>
  <si>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</si>
  <si>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</si>
  <si>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</si>
  <si>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</si>
  <si>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</si>
  <si>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</si>
  <si>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</si>
  <si>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</si>
  <si>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</si>
  <si>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</si>
  <si>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</si>
  <si>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</si>
  <si>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</si>
  <si>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</si>
  <si>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</si>
  <si>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</si>
  <si>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</si>
  <si>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</si>
  <si>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</si>
  <si>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</si>
  <si>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</si>
  <si>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</si>
  <si>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</si>
  <si>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</si>
  <si>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</si>
  <si>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</si>
  <si>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</si>
  <si>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</si>
  <si>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</si>
  <si>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</si>
  <si>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</si>
  <si>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</si>
  <si>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</si>
  <si>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</si>
  <si>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</si>
  <si>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</si>
  <si>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</si>
  <si>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</si>
  <si>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</si>
  <si>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</si>
  <si>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</si>
  <si>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</si>
  <si>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</si>
  <si>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</si>
  <si>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</si>
  <si>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</si>
  <si>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</si>
  <si>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</si>
  <si>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</si>
  <si>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</si>
  <si>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</si>
  <si>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</si>
  <si>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</si>
  <si>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</si>
  <si>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</si>
  <si>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</si>
  <si>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</si>
  <si>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</si>
  <si>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</si>
  <si>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</si>
  <si>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</si>
  <si>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</si>
  <si>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</si>
  <si>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</si>
  <si>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</si>
  <si>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</si>
  <si>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</si>
  <si>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</si>
  <si>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</si>
  <si>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</si>
  <si>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</si>
  <si>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</si>
  <si>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</si>
  <si>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</si>
  <si>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</si>
  <si>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</si>
  <si>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</si>
  <si>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</si>
  <si>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</si>
  <si>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</si>
  <si>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</si>
  <si>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</si>
  <si>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</si>
  <si>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</si>
  <si>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</si>
  <si>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</si>
  <si>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</si>
  <si>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</si>
  <si>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</si>
  <si>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</si>
  <si>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</si>
  <si>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</si>
  <si>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</si>
  <si>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</si>
  <si>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</si>
  <si>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</si>
  <si>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</si>
  <si>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</si>
  <si>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</si>
  <si>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</si>
  <si>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</si>
  <si>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</si>
  <si>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</si>
  <si>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</si>
  <si>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</si>
  <si>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</si>
  <si>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</si>
  <si>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</si>
  <si>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</si>
  <si>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</si>
  <si>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</si>
  <si>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</si>
  <si>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</si>
  <si>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</si>
  <si>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</si>
  <si>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</si>
  <si>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</si>
  <si>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</si>
  <si>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</si>
  <si>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</si>
  <si>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</si>
  <si>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</si>
  <si>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</si>
  <si>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</si>
  <si>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</si>
  <si>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</si>
  <si>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</si>
  <si>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</si>
  <si>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</si>
  <si>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</si>
  <si>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</si>
  <si>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</si>
  <si>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</si>
  <si>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</si>
  <si>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</si>
  <si>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</si>
  <si>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</si>
  <si>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</si>
  <si>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</si>
  <si>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</si>
  <si>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</si>
  <si>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</si>
  <si>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</si>
  <si>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</si>
  <si>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</si>
  <si>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</si>
  <si>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</si>
  <si>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</si>
  <si>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</si>
  <si>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</si>
  <si>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</si>
  <si>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</si>
  <si>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</si>
  <si>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</si>
  <si>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</si>
  <si>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</si>
  <si>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</si>
  <si>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</si>
  <si>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</si>
  <si>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</si>
  <si>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</si>
  <si>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</si>
  <si>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</si>
  <si>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</si>
  <si>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</si>
  <si>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</si>
  <si>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</si>
  <si>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</si>
  <si>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</si>
  <si>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</si>
  <si>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</si>
  <si>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</si>
  <si>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</si>
  <si>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</si>
  <si>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</si>
  <si>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</si>
  <si>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</si>
  <si>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</si>
  <si>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</si>
  <si>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</si>
  <si>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</si>
  <si>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</si>
  <si>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</si>
  <si>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</si>
  <si>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</si>
  <si>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</si>
  <si>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</si>
  <si>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</si>
  <si>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</si>
  <si>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</si>
  <si>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</si>
  <si>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</si>
  <si>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</si>
  <si>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</si>
  <si>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</si>
  <si>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</si>
  <si>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</si>
  <si>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</si>
  <si>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</si>
  <si>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</si>
  <si>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</si>
  <si>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</si>
  <si>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</si>
  <si>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</si>
  <si>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</si>
  <si>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</si>
  <si>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</si>
  <si>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</si>
  <si>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</si>
  <si>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</si>
  <si>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</si>
  <si>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</si>
  <si>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</si>
  <si>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</si>
  <si>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</si>
  <si>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</si>
  <si>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</si>
  <si>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</si>
  <si>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</si>
  <si>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</si>
  <si>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</si>
  <si>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</si>
  <si>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</si>
  <si>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</si>
  <si>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</si>
  <si>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</si>
  <si>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</si>
  <si>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</si>
  <si>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</si>
  <si>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</si>
  <si>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</si>
  <si>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</si>
  <si>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</si>
  <si>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</si>
  <si>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</si>
  <si>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</si>
  <si>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</si>
  <si>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</si>
  <si>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</si>
  <si>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</si>
  <si>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</si>
  <si>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</si>
  <si>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</si>
  <si>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</si>
  <si>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</si>
  <si>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</si>
  <si>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</si>
  <si>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</si>
  <si>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</si>
  <si>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</si>
  <si>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</si>
  <si>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</si>
  <si>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</si>
  <si>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</si>
  <si>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</si>
  <si>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</si>
  <si>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</si>
  <si>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</si>
  <si>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</si>
  <si>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</si>
  <si>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</si>
  <si>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</si>
  <si>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</si>
  <si>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</si>
  <si>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</si>
  <si>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</si>
  <si>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</si>
  <si>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</si>
  <si>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</si>
  <si>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</si>
  <si>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</si>
  <si>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</si>
  <si>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</si>
  <si>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</si>
  <si>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</si>
  <si>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</si>
  <si>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</si>
  <si>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</si>
  <si>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</si>
  <si>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</si>
  <si>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</si>
  <si>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</si>
  <si>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</si>
  <si>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</si>
  <si>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</si>
  <si>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</si>
  <si>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</si>
  <si>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</si>
  <si>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</si>
  <si>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</si>
  <si>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</si>
  <si>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</si>
  <si>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</si>
  <si>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</si>
  <si>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</si>
  <si>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</si>
  <si>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</si>
  <si>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</si>
  <si>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</si>
  <si>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</si>
  <si>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</si>
  <si>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</si>
  <si>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</si>
  <si>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</si>
  <si>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</si>
  <si>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</si>
  <si>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</si>
  <si>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</si>
  <si>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</si>
  <si>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</si>
  <si>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</si>
  <si>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</si>
  <si>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</si>
  <si>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</si>
  <si>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</si>
  <si>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</si>
  <si>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</si>
  <si>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</si>
  <si>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</si>
  <si>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</si>
  <si>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</si>
  <si>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</si>
  <si>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</si>
  <si>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</si>
  <si>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</si>
  <si>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</si>
  <si>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</si>
  <si>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</si>
  <si>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</si>
  <si>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</si>
  <si>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</si>
  <si>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</si>
  <si>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</si>
  <si>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</si>
  <si>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</si>
  <si>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</si>
  <si>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</si>
  <si>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</si>
  <si>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</si>
  <si>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</si>
  <si>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</si>
  <si>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</si>
  <si>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</si>
  <si>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</si>
  <si>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</si>
  <si>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</si>
  <si>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</si>
  <si>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</si>
  <si>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</si>
  <si>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</si>
  <si>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</si>
  <si>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</si>
  <si>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</si>
  <si>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</si>
  <si>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</si>
  <si>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</si>
  <si>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</si>
  <si>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</si>
  <si>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</si>
  <si>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</si>
  <si>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</si>
  <si>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</si>
  <si>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</si>
  <si>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</si>
  <si>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</si>
  <si>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</si>
  <si>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</si>
  <si>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</si>
  <si>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</si>
  <si>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</si>
  <si>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</si>
  <si>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</si>
  <si>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</si>
  <si>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</si>
  <si>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</si>
  <si>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</si>
  <si>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</si>
  <si>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</si>
  <si>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</si>
  <si>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</si>
  <si>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</si>
  <si>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</si>
  <si>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</si>
  <si>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</si>
  <si>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</si>
  <si>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</si>
  <si>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</si>
  <si>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</si>
  <si>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</si>
  <si>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</si>
  <si>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</si>
  <si>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</si>
  <si>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</si>
  <si>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</si>
  <si>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</si>
  <si>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</si>
  <si>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</si>
  <si>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</si>
  <si>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</si>
  <si>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</si>
  <si>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</si>
  <si>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</si>
  <si>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</si>
  <si>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</si>
  <si>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</si>
  <si>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</si>
  <si>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</si>
  <si>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</si>
  <si>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</si>
  <si>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</si>
  <si>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</si>
  <si>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</si>
  <si>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</si>
  <si>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</si>
  <si>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</si>
  <si>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</si>
  <si>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</si>
  <si>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</si>
  <si>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</si>
  <si>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</si>
  <si>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</si>
  <si>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</si>
  <si>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</si>
  <si>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</si>
  <si>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</si>
  <si>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</si>
  <si>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</si>
  <si>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</si>
  <si>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</si>
  <si>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</si>
  <si>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</si>
  <si>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</si>
  <si>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</si>
  <si>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</si>
  <si>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</si>
  <si>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</si>
  <si>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</si>
  <si>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</si>
  <si>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</si>
  <si>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</si>
  <si>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</si>
  <si>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</si>
  <si>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</si>
  <si>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</si>
  <si>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</si>
  <si>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</si>
  <si>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</si>
  <si>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</si>
  <si>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</si>
  <si>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</si>
  <si>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</si>
  <si>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</si>
  <si>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</si>
  <si>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</si>
  <si>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</si>
  <si>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</si>
  <si>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</si>
  <si>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</si>
  <si>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</si>
  <si>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</si>
  <si>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</si>
  <si>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</si>
  <si>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</si>
  <si>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</si>
  <si>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</si>
  <si>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</si>
  <si>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</si>
  <si>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</si>
  <si>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</si>
  <si>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</si>
  <si>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</si>
  <si>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</si>
  <si>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</si>
  <si>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</si>
  <si>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</si>
  <si>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</si>
  <si>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</si>
  <si>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</si>
  <si>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</si>
  <si>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</si>
  <si>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</si>
  <si>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</si>
  <si>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</si>
  <si>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</si>
  <si>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</si>
  <si>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</si>
  <si>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</si>
  <si>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</si>
  <si>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</si>
  <si>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</si>
  <si>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</si>
  <si>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</si>
  <si>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</si>
  <si>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</si>
  <si>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</si>
  <si>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</si>
  <si>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</si>
  <si>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</si>
  <si>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</si>
  <si>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</si>
  <si>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</si>
  <si>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</si>
  <si>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</si>
  <si>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</si>
  <si>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</si>
  <si>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</si>
  <si>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</si>
  <si>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</si>
  <si>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</si>
  <si>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</si>
  <si>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</si>
  <si>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</si>
  <si>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</si>
  <si>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</si>
  <si>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</si>
  <si>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</si>
  <si>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</si>
  <si>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</si>
  <si>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</si>
  <si>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</si>
  <si>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</si>
  <si>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</si>
  <si>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</si>
  <si>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</si>
  <si>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</si>
  <si>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</si>
  <si>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</si>
  <si>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</si>
  <si>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</si>
  <si>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</si>
  <si>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</si>
  <si>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</si>
  <si>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</si>
  <si>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</si>
  <si>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</si>
  <si>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</si>
  <si>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</si>
  <si>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</si>
  <si>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</si>
  <si>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</si>
  <si>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</si>
  <si>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</si>
  <si>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</si>
  <si>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</si>
  <si>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</si>
  <si>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</si>
  <si>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</si>
  <si>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</si>
  <si>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</si>
  <si>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</si>
  <si>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</si>
  <si>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</si>
  <si>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</si>
  <si>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</si>
  <si>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</si>
  <si>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</si>
  <si>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</si>
  <si>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</si>
  <si>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</si>
  <si>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</si>
  <si>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</si>
  <si>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</si>
  <si>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</si>
  <si>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</si>
  <si>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</si>
  <si>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</si>
  <si>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</si>
  <si>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</si>
  <si>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</si>
  <si>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</si>
  <si>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</si>
  <si>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</si>
  <si>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</si>
  <si>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</si>
  <si>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</si>
  <si>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</si>
  <si>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</si>
  <si>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</si>
  <si>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</si>
  <si>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</si>
  <si>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</si>
  <si>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</si>
  <si>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</si>
  <si>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</si>
  <si>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</si>
  <si>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</si>
  <si>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</si>
  <si>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</si>
  <si>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</si>
  <si>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</si>
  <si>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</si>
  <si>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</si>
  <si>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</si>
  <si>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</si>
  <si>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</si>
  <si>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</si>
  <si>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</si>
  <si>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</si>
  <si>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</si>
  <si>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</si>
  <si>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</si>
  <si>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</si>
  <si>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</si>
  <si>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</si>
  <si>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</si>
  <si>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</si>
  <si>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</si>
  <si>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</si>
  <si>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</si>
  <si>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</si>
  <si>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</si>
  <si>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</si>
  <si>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</si>
  <si>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</si>
  <si>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</si>
  <si>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</si>
  <si>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</si>
  <si>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</si>
  <si>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</si>
  <si>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</si>
  <si>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</si>
  <si>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</si>
  <si>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</si>
  <si>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</si>
  <si>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</si>
  <si>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</si>
  <si>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</si>
  <si>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</si>
  <si>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</si>
  <si>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</si>
  <si>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</si>
  <si>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</si>
  <si>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</si>
  <si>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</si>
  <si>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</si>
  <si>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</si>
  <si>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</si>
  <si>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</si>
  <si>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</si>
  <si>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</si>
  <si>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</si>
  <si>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</si>
  <si>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</si>
  <si>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</si>
  <si>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</si>
  <si>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</si>
  <si>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</si>
  <si>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</si>
  <si>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</si>
  <si>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</si>
  <si>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</si>
  <si>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</si>
  <si>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</si>
  <si>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</si>
  <si>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</si>
  <si>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</si>
  <si>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</si>
  <si>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</si>
  <si>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</si>
  <si>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</si>
  <si>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</si>
  <si>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</si>
  <si>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</si>
  <si>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</si>
  <si>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</si>
  <si>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</si>
  <si>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</si>
  <si>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</si>
  <si>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</si>
  <si>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</si>
  <si>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</si>
  <si>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</si>
  <si>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</si>
  <si>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</si>
  <si>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</si>
  <si>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</si>
  <si>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</si>
  <si>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</si>
  <si>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</si>
  <si>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</si>
  <si>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</si>
  <si>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</si>
  <si>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</si>
  <si>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</si>
  <si>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</si>
  <si>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</si>
  <si>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</si>
  <si>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</si>
  <si>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</si>
  <si>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</si>
  <si>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</si>
  <si>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</si>
  <si>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</si>
  <si>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</si>
  <si>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</si>
  <si>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</si>
  <si>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</si>
  <si>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</si>
  <si>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</si>
  <si>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</si>
  <si>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</si>
  <si>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</si>
  <si>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</si>
  <si>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</si>
  <si>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</si>
  <si>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</si>
  <si>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</si>
  <si>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</si>
  <si>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</si>
  <si>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</si>
  <si>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</si>
  <si>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</si>
  <si>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</si>
  <si>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</si>
  <si>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</si>
  <si>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</si>
  <si>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</si>
  <si>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</si>
  <si>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</si>
  <si>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</si>
  <si>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</si>
  <si>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</si>
  <si>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</si>
  <si>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</si>
  <si>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</si>
  <si>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</si>
  <si>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</si>
  <si>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</si>
  <si>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</si>
  <si>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</si>
  <si>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</si>
  <si>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</si>
  <si>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</si>
  <si>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</si>
  <si>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</si>
  <si>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</si>
  <si>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</si>
  <si>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</si>
  <si>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</si>
  <si>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</si>
  <si>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</si>
  <si>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</si>
  <si>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</si>
  <si>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</si>
  <si>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</si>
  <si>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</si>
  <si>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</si>
  <si>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</si>
  <si>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</si>
  <si>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</si>
  <si>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</si>
  <si>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</si>
  <si>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</si>
  <si>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</si>
  <si>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</si>
  <si>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</si>
  <si>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</si>
  <si>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</si>
  <si>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</si>
  <si>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</si>
  <si>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</si>
  <si>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</si>
  <si>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</si>
  <si>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</si>
  <si>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</si>
  <si>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</si>
  <si>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</si>
  <si>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</si>
  <si>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</si>
  <si>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</si>
  <si>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</si>
  <si>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</si>
  <si>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</si>
  <si>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</si>
  <si>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</si>
  <si>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</si>
  <si>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</si>
  <si>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</si>
  <si>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</si>
  <si>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</si>
  <si>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</si>
  <si>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</si>
  <si>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</si>
  <si>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</si>
  <si>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</si>
  <si>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</si>
  <si>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</si>
  <si>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</si>
  <si>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</si>
  <si>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</si>
  <si>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</si>
  <si>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</si>
  <si>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</si>
  <si>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</si>
  <si>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</si>
  <si>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</si>
  <si>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</si>
  <si>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</si>
  <si>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</si>
  <si>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</si>
  <si>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</si>
  <si>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</si>
  <si>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</si>
  <si>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</si>
  <si>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</si>
  <si>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</si>
  <si>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</si>
  <si>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</si>
  <si>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</si>
  <si>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</si>
  <si>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</si>
  <si>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</si>
  <si>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</si>
  <si>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</si>
  <si>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</si>
  <si>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</si>
  <si>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</si>
  <si>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</si>
  <si>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</si>
  <si>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</si>
  <si>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</si>
  <si>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</si>
  <si>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</si>
  <si>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</si>
  <si>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</si>
  <si>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</si>
  <si>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</si>
  <si>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</si>
  <si>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</si>
  <si>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</si>
  <si>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</si>
  <si>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</si>
  <si>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</si>
  <si>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</si>
  <si>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</si>
  <si>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</si>
  <si>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</si>
  <si>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</si>
  <si>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</si>
  <si>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</si>
  <si>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</si>
  <si>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</si>
  <si>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</si>
  <si>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</si>
  <si>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</si>
  <si>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</si>
  <si>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</si>
  <si>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</si>
  <si>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</si>
  <si>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</si>
  <si>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</si>
  <si>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</si>
  <si>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</si>
  <si>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</si>
  <si>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</si>
  <si>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</si>
  <si>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</si>
  <si>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</si>
  <si>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</si>
  <si>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</si>
  <si>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</si>
  <si>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</si>
  <si>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</si>
  <si>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</si>
  <si>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</si>
  <si>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</si>
  <si>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</si>
  <si>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</si>
  <si>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</si>
  <si>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</si>
  <si>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</si>
  <si>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</si>
  <si>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</si>
  <si>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</si>
  <si>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</si>
  <si>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</si>
  <si>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</si>
  <si>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</si>
  <si>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</si>
  <si>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</si>
  <si>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</si>
  <si>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</si>
  <si>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</si>
  <si>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</si>
  <si>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</si>
  <si>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</si>
  <si>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</si>
  <si>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</si>
  <si>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</si>
  <si>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</si>
  <si>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</si>
  <si>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</si>
  <si>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</si>
  <si>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</si>
  <si>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</si>
  <si>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</si>
  <si>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</si>
  <si>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</si>
  <si>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</si>
  <si>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</si>
  <si>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</si>
  <si>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</si>
  <si>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</si>
  <si>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</si>
  <si>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</si>
  <si>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</si>
  <si>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</si>
  <si>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</si>
  <si>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</si>
  <si>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</si>
  <si>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</si>
  <si>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</si>
  <si>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</si>
  <si>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</si>
  <si>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</si>
  <si>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</si>
  <si>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</si>
  <si>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</si>
  <si>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</si>
  <si>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</si>
  <si>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</si>
  <si>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</si>
  <si>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</si>
  <si>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</si>
  <si>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</si>
  <si>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</si>
  <si>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</si>
  <si>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</si>
  <si>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</si>
  <si>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</si>
  <si>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</si>
  <si>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</si>
  <si>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</si>
  <si>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</si>
  <si>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</si>
  <si>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</si>
  <si>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</si>
  <si>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</si>
  <si>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</si>
  <si>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</si>
  <si>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</si>
  <si>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</si>
  <si>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</si>
  <si>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</si>
  <si>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</si>
  <si>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</si>
  <si>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</si>
  <si>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</si>
  <si>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</si>
  <si>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</si>
  <si>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</si>
  <si>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</si>
  <si>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</si>
  <si>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</si>
  <si>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</si>
  <si>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</si>
  <si>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</si>
  <si>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</si>
  <si>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</si>
  <si>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</si>
  <si>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</si>
  <si>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</si>
  <si>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</si>
  <si>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</si>
  <si>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</si>
  <si>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</si>
  <si>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</si>
  <si>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</si>
  <si>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</si>
  <si>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</si>
  <si>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</si>
  <si>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</si>
  <si>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</si>
  <si>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</si>
  <si>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</si>
  <si>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</si>
  <si>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</si>
  <si>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</si>
  <si>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</si>
  <si>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</si>
  <si>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</si>
  <si>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</si>
  <si>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</si>
  <si>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</si>
  <si>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</si>
  <si>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</si>
  <si>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</si>
  <si>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</si>
  <si>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</si>
  <si>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</si>
  <si>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</si>
  <si>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</si>
  <si>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</si>
  <si>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</si>
  <si>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</si>
  <si>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</si>
  <si>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</si>
  <si>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</si>
  <si>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</si>
  <si>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</si>
  <si>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</si>
  <si>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</si>
  <si>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</si>
  <si>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</si>
  <si>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</si>
  <si>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</si>
  <si>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</si>
  <si>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</si>
  <si>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</si>
  <si>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</si>
  <si>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</si>
  <si>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</si>
  <si>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</si>
  <si>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</si>
  <si>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</si>
  <si>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</si>
  <si>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</si>
  <si>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</si>
  <si>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</si>
  <si>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</si>
  <si>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</si>
  <si>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</si>
  <si>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</si>
  <si>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</si>
  <si>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</si>
  <si>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</si>
  <si>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</si>
  <si>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</si>
  <si>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</si>
  <si>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</si>
  <si>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</si>
  <si>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</si>
  <si>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</si>
  <si>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</si>
  <si>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</si>
  <si>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</si>
  <si>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</si>
  <si>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</si>
  <si>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</si>
  <si>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</si>
  <si>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</si>
  <si>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</si>
  <si>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</si>
  <si>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</si>
  <si>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</si>
  <si>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</si>
  <si>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</si>
  <si>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</si>
  <si>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</si>
  <si>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</si>
  <si>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</si>
  <si>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</si>
  <si>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</si>
  <si>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</si>
  <si>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</si>
  <si>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</si>
  <si>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</si>
  <si>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</si>
  <si>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</si>
  <si>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</si>
  <si>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</si>
  <si>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GRAMA SAO CARLOS EM LEIVAS</t>
  </si>
  <si>
    <t>PLANTIO DE GRAMA ESMERALDA EM ROLO</t>
  </si>
  <si>
    <t>RETIRADA DE GRAMA EM PLACAS</t>
  </si>
  <si>
    <t>PODA E LIMPEZA DE ARBUSTO TIPO CERCA VIVA</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</si>
  <si>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</si>
  <si>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</si>
  <si>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</si>
  <si>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</si>
  <si>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</si>
  <si>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</si>
  <si>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</si>
  <si>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</si>
  <si>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</si>
  <si>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</si>
  <si>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</si>
  <si>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</si>
  <si>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</si>
  <si>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</si>
  <si>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</si>
  <si>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</si>
  <si>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</si>
  <si>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</si>
  <si>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</si>
  <si>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</si>
  <si>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</si>
  <si>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</si>
  <si>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</si>
  <si>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</si>
  <si>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</si>
  <si>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</si>
  <si>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</si>
  <si>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</si>
  <si>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</si>
  <si>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</si>
  <si>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</si>
  <si>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</si>
  <si>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</si>
  <si>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</si>
  <si>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</si>
  <si>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</si>
  <si>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</si>
  <si>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</si>
  <si>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</si>
  <si>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</si>
  <si>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</si>
  <si>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</si>
  <si>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</si>
  <si>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</si>
  <si>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</si>
  <si>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</si>
  <si>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</si>
  <si>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</si>
  <si>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</si>
  <si>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</si>
  <si>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</si>
  <si>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</si>
  <si>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</si>
  <si>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</si>
  <si>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</si>
  <si>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</si>
  <si>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</si>
  <si>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</si>
  <si>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</si>
  <si>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</si>
  <si>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</si>
  <si>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</si>
  <si>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</si>
  <si>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</si>
  <si>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</si>
  <si>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</si>
  <si>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</si>
  <si>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</si>
  <si>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</si>
  <si>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</si>
  <si>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</si>
  <si>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</si>
  <si>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</si>
  <si>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</si>
  <si>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</si>
  <si>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</si>
  <si>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</si>
  <si>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</si>
  <si>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</si>
  <si>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</si>
  <si>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</si>
  <si>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</si>
  <si>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AUXILIAR DE LABORATÓRIO (ENCARGOS COMPLEMENTARES) - HORISTA</t>
  </si>
  <si>
    <t>CURSO DE CAPACITAÇÃO PARA AUXILIAR DE MECÂNICO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</si>
  <si>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</si>
  <si>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</si>
  <si>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</si>
  <si>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</si>
  <si>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</si>
  <si>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</si>
  <si>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</si>
  <si>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</si>
  <si>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</si>
  <si>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</si>
  <si>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</si>
  <si>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ESTUCADOR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</si>
  <si>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</si>
  <si>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</si>
  <si>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</si>
  <si>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</si>
  <si>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</si>
  <si>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</si>
  <si>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</si>
  <si>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</si>
  <si>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</si>
  <si>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</si>
  <si>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</si>
  <si>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</si>
  <si>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</si>
  <si>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</si>
  <si>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</si>
  <si>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</si>
  <si>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</si>
  <si>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GUINCHO (ENCARGOS COMPLEMENTARES) - HORISTA</t>
  </si>
  <si>
    <t>CURSO DE CAPACITAÇÃO PARA OPERADOR DE GUINDASTE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</si>
  <si>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</si>
  <si>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</si>
  <si>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</si>
  <si>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</si>
  <si>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</si>
  <si>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</si>
  <si>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</si>
  <si>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</si>
  <si>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</si>
  <si>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</si>
  <si>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</si>
  <si>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</si>
  <si>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</si>
  <si>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</si>
  <si>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</si>
  <si>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</si>
  <si>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</si>
  <si>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</si>
  <si>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</si>
  <si>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</si>
  <si>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</si>
  <si>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</si>
  <si>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</si>
  <si>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</si>
  <si>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</si>
  <si>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</si>
  <si>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</si>
  <si>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</si>
  <si>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</si>
  <si>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</si>
  <si>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</si>
  <si>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</si>
  <si>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</si>
  <si>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</si>
  <si>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</si>
  <si>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</si>
  <si>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</si>
  <si>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</si>
  <si>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</si>
  <si>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</si>
  <si>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</si>
  <si>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</si>
  <si>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</si>
  <si>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</si>
  <si>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</si>
  <si>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</si>
  <si>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</si>
  <si>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</si>
  <si>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</si>
  <si>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</si>
  <si>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</si>
  <si>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Referên.</t>
  </si>
  <si>
    <t>OBJETO:</t>
  </si>
  <si>
    <t>DATA:</t>
  </si>
  <si>
    <t>REF. CUSTO INSUMOS:</t>
  </si>
  <si>
    <t>Conforme Resolução nº 0013/2016 do Decanato de Administração</t>
  </si>
  <si>
    <t>PREÇO DA ETAPA</t>
  </si>
  <si>
    <t>SINAPI</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</si>
  <si>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</si>
  <si>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</si>
  <si>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</si>
  <si>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</si>
  <si>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</si>
  <si>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</si>
  <si>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</si>
  <si>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</si>
  <si>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</si>
  <si>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</si>
  <si>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PVC COM JUNTA ELASTICA</t>
  </si>
  <si>
    <t>0048</t>
  </si>
  <si>
    <t>FORNEC E/OU ASSENT DE TUBO DE CONCRETO COM JUNTA ELASTICA</t>
  </si>
  <si>
    <t>0051</t>
  </si>
  <si>
    <t>FORNEC E/OU ASSENT DE TUBO DE CONCRETO COM JUNTA ARGAMASSADA</t>
  </si>
  <si>
    <t>0052</t>
  </si>
  <si>
    <t>FORNEC E/OU ASSENT DE HIDRANTES TAMPOES E PECAS ESPECIAIS</t>
  </si>
  <si>
    <t>0053</t>
  </si>
  <si>
    <t>FORNEC E/OU ASSENT DE CONEXOES DIVERSAS</t>
  </si>
  <si>
    <t>0253</t>
  </si>
  <si>
    <t>CANTEIRO DE OBRAS</t>
  </si>
  <si>
    <t>CANT</t>
  </si>
  <si>
    <t>CONSTRUCAO DO CANTEIRO</t>
  </si>
  <si>
    <t>0001</t>
  </si>
  <si>
    <t>PLACA DE OBRA</t>
  </si>
  <si>
    <t>0002</t>
  </si>
  <si>
    <t>AQUISICAO E ASSENTAMENTO PLACA DE OBRA</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</si>
  <si>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</si>
  <si>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</si>
  <si>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</si>
  <si>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</si>
  <si>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</si>
  <si>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</si>
  <si>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</si>
  <si>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</si>
  <si>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</si>
  <si>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</si>
  <si>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</si>
  <si>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</si>
  <si>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</si>
  <si>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</si>
  <si>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</si>
  <si>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</si>
  <si>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</si>
  <si>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</si>
  <si>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ESTRUTURA DE ACO</t>
  </si>
  <si>
    <t>ESTRUTURA ESPACIAL</t>
  </si>
  <si>
    <t>CUMEEIRA CERAMICA</t>
  </si>
  <si>
    <t>0079</t>
  </si>
  <si>
    <t>CUMEEIRA DE FIBROCIMENTO</t>
  </si>
  <si>
    <t>0080</t>
  </si>
  <si>
    <t>CALHA METALICA</t>
  </si>
  <si>
    <t>0084</t>
  </si>
  <si>
    <t>RUFO METALICO</t>
  </si>
  <si>
    <t>0086</t>
  </si>
  <si>
    <t>TELHAMENTO COM TELHA DE FIBRA DE VIDRO</t>
  </si>
  <si>
    <t>0252</t>
  </si>
  <si>
    <t>ESTRUTURA METALICA</t>
  </si>
  <si>
    <t>0291</t>
  </si>
  <si>
    <t>ESTRUTURAS METALICAS DIVERSAS</t>
  </si>
  <si>
    <t>TELHAMENTO COM TELHA DE VIDRO</t>
  </si>
  <si>
    <t>0302</t>
  </si>
  <si>
    <t>DRENAGEM/OBRAS DE CONTENCAO/POCOS DE VISITA E CAIXAS</t>
  </si>
  <si>
    <t>DROP</t>
  </si>
  <si>
    <t>REBAIXAMENTO DO LENCOL FREATICO</t>
  </si>
  <si>
    <t>0027</t>
  </si>
  <si>
    <t>MEIA CANA DE CONCRETO</t>
  </si>
  <si>
    <t>DRENOS</t>
  </si>
  <si>
    <t>0028</t>
  </si>
  <si>
    <t>DRENAGEM SUBTERRANEA</t>
  </si>
  <si>
    <t>DRENO COM MANTA GEOTEXTIL</t>
  </si>
  <si>
    <t>DRENO FRANCES C/MATERIAL FILTRANTE</t>
  </si>
  <si>
    <t>DRENOS DE CHORUME EM TUBOS DRENANTES - MMA</t>
  </si>
  <si>
    <t>EXECUCAO DE DRENOS DE CHORUME EM TUBOS DRENANTES</t>
  </si>
  <si>
    <t>TUBULAÇÃO EM PVC CORRUGADO RIGIDO PERFURADO P/ DRENAGEM</t>
  </si>
  <si>
    <t>ENROCAMENTOS</t>
  </si>
  <si>
    <t>0029</t>
  </si>
  <si>
    <t>ENSECADEIRAS</t>
  </si>
  <si>
    <t>0030</t>
  </si>
  <si>
    <t>ENSECADEIRA DE MADEIRA</t>
  </si>
  <si>
    <t>GABIOES</t>
  </si>
  <si>
    <t>0031</t>
  </si>
  <si>
    <t>MUROS DE ARRIMO</t>
  </si>
  <si>
    <t>0032</t>
  </si>
  <si>
    <t>POCOS DE VISITA/BOCAS DE LOBO/CX. DE PASSAGEM/CX. DIVERSAS</t>
  </si>
  <si>
    <t>0036</t>
  </si>
  <si>
    <t>FORNECIMENTO/ASSENT GRELHAS FF P/CAIXAS DE RALO</t>
  </si>
  <si>
    <t>BOCA PARA BUEIRO TUBULAR DE CONCRETO SIMPLES</t>
  </si>
  <si>
    <t>POCO DE VISITA - DRENAGEM PLUVIAL - EM CONCRETO ESTRUTURAL</t>
  </si>
  <si>
    <t>MEIO FIO, LINHA D'AGUA E SARJERTA</t>
  </si>
  <si>
    <t>0037</t>
  </si>
  <si>
    <t>ESCORAMENTO</t>
  </si>
  <si>
    <t>ESCO</t>
  </si>
  <si>
    <t>ESCORAMENTO DE MADEIRA EM VALAS</t>
  </si>
  <si>
    <t>0023</t>
  </si>
  <si>
    <t>ESCORAMENTO MISTO EM VALAS</t>
  </si>
  <si>
    <t>0025</t>
  </si>
  <si>
    <t>CIMBRAMENTO</t>
  </si>
  <si>
    <t>0293</t>
  </si>
  <si>
    <t>ESQUADRIAS/FERRAGENS/VIDROS</t>
  </si>
  <si>
    <t>ESQV</t>
  </si>
  <si>
    <t>PORTA DE MADEIRA</t>
  </si>
  <si>
    <t>0089</t>
  </si>
  <si>
    <t>PORTA DE MADEIRA COMPENSADA LISA</t>
  </si>
  <si>
    <t>JANELA DE MADEIRA</t>
  </si>
  <si>
    <t>0090</t>
  </si>
  <si>
    <t>PORTA E/OU TAMPA DE FERRO</t>
  </si>
  <si>
    <t>0092</t>
  </si>
  <si>
    <t>PORTA DE FERRO DE ABRIR</t>
  </si>
  <si>
    <t>ALÇAPÃO DE FERRO</t>
  </si>
  <si>
    <t>PORTA DE AÇO DE ENROLAR</t>
  </si>
  <si>
    <t>JANELA DE FERRO</t>
  </si>
  <si>
    <t>0093</t>
  </si>
  <si>
    <t>GUARDA-CORPO DE FERRO</t>
  </si>
  <si>
    <t>0095</t>
  </si>
  <si>
    <t>ESCADAS/CORRIMAOS</t>
  </si>
  <si>
    <t>0097</t>
  </si>
  <si>
    <t>ESCADA MARINHEIRO</t>
  </si>
  <si>
    <t>PORTA E/OU TAMPA DE ALUMINIO</t>
  </si>
  <si>
    <t>0098</t>
  </si>
  <si>
    <t>FERRAGENS PARA PORTAS</t>
  </si>
  <si>
    <t>0100</t>
  </si>
  <si>
    <t>FORNECIMENTO E ASSENTAMENTO DE FERRAGENS</t>
  </si>
  <si>
    <t>FERRAGENS PARA JANELAS</t>
  </si>
  <si>
    <t>0101</t>
  </si>
  <si>
    <t>FERRAGENS DIVERSAS</t>
  </si>
  <si>
    <t>0102</t>
  </si>
  <si>
    <t>TARJETA</t>
  </si>
  <si>
    <t>DOBRADICA</t>
  </si>
  <si>
    <t>PORTA CADEADO</t>
  </si>
  <si>
    <t>VIDROS/ESPELHOS</t>
  </si>
  <si>
    <t>0103</t>
  </si>
  <si>
    <t>PORTA DE VIDRO TEMPERADO</t>
  </si>
  <si>
    <t>ESPELHO C/MOLDURA</t>
  </si>
  <si>
    <t>PORTOES DE MADEIRA/FERRO/ALUMINIO</t>
  </si>
  <si>
    <t>0105</t>
  </si>
  <si>
    <t>PE-A.43 - PORTÃO DE FERRO COM FERRAGENS SEM PINTURA</t>
  </si>
  <si>
    <t>FABRICACAO E INSTALACAO DE PORTAO PARA ENTRADA DE VEICULOS - MMA</t>
  </si>
  <si>
    <t>JANELA DE ALUMINIO</t>
  </si>
  <si>
    <t>0222</t>
  </si>
  <si>
    <t>PERFIL/CANTONEIRA/BARRA</t>
  </si>
  <si>
    <t>0304</t>
  </si>
  <si>
    <t>CANTONEIRA DE ALUMÍNIO</t>
  </si>
  <si>
    <t>FUNDACOES E ESTRUTURAS</t>
  </si>
  <si>
    <t>FUES</t>
  </si>
  <si>
    <t>TUBULOES</t>
  </si>
  <si>
    <t>0038</t>
  </si>
  <si>
    <t>ESTACAS</t>
  </si>
  <si>
    <t>0039</t>
  </si>
  <si>
    <t>LASTROS/FUNDACOES DIVERSAS</t>
  </si>
  <si>
    <t>0040</t>
  </si>
  <si>
    <t>FORMAS/CIMBRAMENTOS/ESCORAMENTOS</t>
  </si>
  <si>
    <t>0041</t>
  </si>
  <si>
    <t>ARMADURAS</t>
  </si>
  <si>
    <t>0042</t>
  </si>
  <si>
    <t>TIRANTES</t>
  </si>
  <si>
    <t>ARMACAO CA-50 P/1,0M3 DE CONCRETO</t>
  </si>
  <si>
    <t>CONCRETOS</t>
  </si>
  <si>
    <t>0043</t>
  </si>
  <si>
    <t>LANCAMENTO MANUAL DE CONCRETO</t>
  </si>
  <si>
    <t>LAJE PRE-FABRICADA</t>
  </si>
  <si>
    <t>0044</t>
  </si>
  <si>
    <t>LAJE PRE-MOLDADA</t>
  </si>
  <si>
    <t>EMBASAMENTOS</t>
  </si>
  <si>
    <t>0247</t>
  </si>
  <si>
    <t>EMBASAMENTO DE MATERIAL GRANULAR</t>
  </si>
  <si>
    <t>AGULHAMENTO DE PEDRA MARROADA NO FUNDO DE VALAS</t>
  </si>
  <si>
    <t>ADESIVOS PARA ESTRUTURAS</t>
  </si>
  <si>
    <t>0286</t>
  </si>
  <si>
    <t>JUNTA ELASTICA</t>
  </si>
  <si>
    <t>CINTAS E VERGAS</t>
  </si>
  <si>
    <t>0296</t>
  </si>
  <si>
    <t>ESTRUTURAS DIVERSAS</t>
  </si>
  <si>
    <t>0301</t>
  </si>
  <si>
    <t>PILAR E SUPORTE CAIXA D AGUA EM MADEIRA 1A CASAS HP</t>
  </si>
  <si>
    <t>IMPERMEABILIZACOES E PROTECOES DIVERSAS</t>
  </si>
  <si>
    <t>IMPE</t>
  </si>
  <si>
    <t>IMPERMEABILIZACAO COM ARGAMASSA</t>
  </si>
  <si>
    <t>0138</t>
  </si>
  <si>
    <t>IMPERMEABILIZACAO COM ADITIVO</t>
  </si>
  <si>
    <t>0140</t>
  </si>
  <si>
    <t>IMPERMEABILIZACAO COM MANTA</t>
  </si>
  <si>
    <t>0141</t>
  </si>
  <si>
    <t>IMPERMEABILIZACAO DE TERRACOS E LAJES</t>
  </si>
  <si>
    <t>ESTABILIZAÇÃO DE SOLO COM GEOMEMBRANA</t>
  </si>
  <si>
    <t>IMPERMEABILIZACAO BETUMINOSA C/EMULSAO ASFALTICA E ACRILICA</t>
  </si>
  <si>
    <t>0145</t>
  </si>
  <si>
    <t>IMPERMEABILIZACAO FLEXIVEL</t>
  </si>
  <si>
    <t>IMPERMEAB. DE FUNDACOES/BALDRAMES/MUROS DE ARRIMO/ALICERCES E REVEST. EM CONTATO C/SOLO - UTILIZ. TINTA BETUMINOSA TIPO NEUTROLIN / 2DEMAOS</t>
  </si>
  <si>
    <t>IMPERMEABILIZACAO COM PINTURA</t>
  </si>
  <si>
    <t>0146</t>
  </si>
  <si>
    <t>IMPERMEABILIZACAO COM RESINA EPOXI</t>
  </si>
  <si>
    <t>IMPERMEABILIZACAO COM MASTIQUE</t>
  </si>
  <si>
    <t>0147</t>
  </si>
  <si>
    <t>CONSERVACAO DE CALHAS DE CONCRETO - PAR</t>
  </si>
  <si>
    <t>IMPERMEABILIZACAO DE LAJES</t>
  </si>
  <si>
    <t>INSTALACAO ELETRICA/ELETRIFICACAO E ILUMINACAO EXTERNA</t>
  </si>
  <si>
    <t>INEL</t>
  </si>
  <si>
    <t>ELETRODUTOS/CALHAS PARA LEITO DE CABOS</t>
  </si>
  <si>
    <t>0165</t>
  </si>
  <si>
    <t>DUTOS DE POLIESTER DE ALTA DENSIDADE(PEAD)</t>
  </si>
  <si>
    <t>CONEXOES</t>
  </si>
  <si>
    <t>0166</t>
  </si>
  <si>
    <t>TERMINAL MECANICO</t>
  </si>
  <si>
    <t>FIOS/CABOS</t>
  </si>
  <si>
    <t>0167</t>
  </si>
  <si>
    <t>CAIXAS</t>
  </si>
  <si>
    <t>0168</t>
  </si>
  <si>
    <t>QUADROS/DISJUNTORES</t>
  </si>
  <si>
    <t>0169</t>
  </si>
  <si>
    <t>DISJUNTORES</t>
  </si>
  <si>
    <t>QUADROS DE DISTRIBUICAO.</t>
  </si>
  <si>
    <t>INTERRUPTOR/TOMADA</t>
  </si>
  <si>
    <t>0170</t>
  </si>
  <si>
    <t>LUMINARIA INTERNA/BOCAL/LAMPADAS</t>
  </si>
  <si>
    <t>0171</t>
  </si>
  <si>
    <t>LUMINARIA INTERNA TP CALHA SOBREPOR</t>
  </si>
  <si>
    <t>FORNECIMENTO DE MAT/MO P/ELETRIFICACAO E ILUMINACAO PUBLICA</t>
  </si>
  <si>
    <t>0172</t>
  </si>
  <si>
    <t>FORNEC/COLOC DE CONECTORES/LACO DE ROLDANA E ALCA P/ILUM PUBLICA</t>
  </si>
  <si>
    <t>DIVERSOS PARA SUBESTACAO</t>
  </si>
  <si>
    <t>POSTE DE CONCRETO</t>
  </si>
  <si>
    <t>0173</t>
  </si>
  <si>
    <t>POSTE METALICO</t>
  </si>
  <si>
    <t>0174</t>
  </si>
  <si>
    <t>POSTES DE ACO FORNECIMENTO E ASSENTAMENTO</t>
  </si>
  <si>
    <t>CHUMBADORES DE ACO</t>
  </si>
  <si>
    <t>LUMINARIA EXTERNA</t>
  </si>
  <si>
    <t>0175</t>
  </si>
  <si>
    <t>LAMPADAS E RECEPTACULOS</t>
  </si>
  <si>
    <t>LUMINARIA EXTERNA ABERTA</t>
  </si>
  <si>
    <t>REFLETOR PARA LAMPADAS VAPOR DE MERCURIO, VAPOR DE SODIO, VAPOR METALICO</t>
  </si>
  <si>
    <t>TRANSFORMADORES</t>
  </si>
  <si>
    <t>0176</t>
  </si>
  <si>
    <t>TRANSFORMADORES DE DISTRIBUICAO</t>
  </si>
  <si>
    <t>PONTOS DE LUZ/TOMADAS ANTENA TV/CAMPAINHAS/INTERRUPTORES</t>
  </si>
  <si>
    <t>0177</t>
  </si>
  <si>
    <t>SISTEMAS DE PROTECAO/ATERRAMENTO</t>
  </si>
  <si>
    <t>0243</t>
  </si>
  <si>
    <t>SERVICOS DIVERSOS</t>
  </si>
  <si>
    <t>0244</t>
  </si>
  <si>
    <t>CHAVES EM GERAL/FUSIVEIS E CONECTORES</t>
  </si>
  <si>
    <t>0270</t>
  </si>
  <si>
    <t>CHAVES</t>
  </si>
  <si>
    <t>INSTALACOES ESPECIAIS</t>
  </si>
  <si>
    <t>INES</t>
  </si>
  <si>
    <t>INCENDIO</t>
  </si>
  <si>
    <t>0186</t>
  </si>
  <si>
    <t>EXTINTOR DE INCENDIO</t>
  </si>
  <si>
    <t>TELEFONE</t>
  </si>
  <si>
    <t>0187</t>
  </si>
  <si>
    <t>CAIXAS PARA INSTALACOES TELEFONICAS</t>
  </si>
  <si>
    <t>AR CONDICIONADO</t>
  </si>
  <si>
    <t>0190</t>
  </si>
  <si>
    <t>GAS</t>
  </si>
  <si>
    <t>0274</t>
  </si>
  <si>
    <t>INSTALACAO GAS</t>
  </si>
  <si>
    <t>BOMBAS P/INSTALACAO PREDIAL</t>
  </si>
  <si>
    <t>0312</t>
  </si>
  <si>
    <t>INSTALACOES HIDRO SANITARIAS</t>
  </si>
  <si>
    <t>INHI</t>
  </si>
  <si>
    <t>FORNEC. E ASSENTAMENTO DE TUBOS P/INSTALACAO DOMICILIAR</t>
  </si>
  <si>
    <t>0179</t>
  </si>
  <si>
    <t>0180</t>
  </si>
  <si>
    <t>CAIXAS D'DAGUA, DE INSPECAO E DE GORDURA</t>
  </si>
  <si>
    <t>0181</t>
  </si>
  <si>
    <t>CAIXA DE PASSAGEM (INSPECAO) PRE-MOLDADA DN 60 CM</t>
  </si>
  <si>
    <t>RALOS/CAIXA SIFONADA</t>
  </si>
  <si>
    <t>0182</t>
  </si>
  <si>
    <t>APARELHOS SANITARIOS, LOUCAS, METAIS E OUTROS</t>
  </si>
  <si>
    <t>0183</t>
  </si>
  <si>
    <t>MICTORIO LOUCA S/INSTALACAO HIDRAULICA/SANITARIA</t>
  </si>
  <si>
    <t>FOSSAS/SUMIDOUROS</t>
  </si>
  <si>
    <t>0184</t>
  </si>
  <si>
    <t>PONTOS DE AGUA/ESGOTO</t>
  </si>
  <si>
    <t>0185</t>
  </si>
  <si>
    <t>REGISTROS/VALVULAS</t>
  </si>
  <si>
    <t>0271</t>
  </si>
  <si>
    <t>VALVULA DE RETENCAO DE PE COM CRIVO 1 1/4"</t>
  </si>
  <si>
    <t>FORN/ASSENT VALVULA GLOBO 2 1/2 POL</t>
  </si>
  <si>
    <t>HIDROMETRO</t>
  </si>
  <si>
    <t>0272</t>
  </si>
  <si>
    <t>0297</t>
  </si>
  <si>
    <t>INSTALACOES DE PRODUCAO</t>
  </si>
  <si>
    <t>INPR</t>
  </si>
  <si>
    <t>INSTALACAO DE BOMBAS EM GERAL</t>
  </si>
  <si>
    <t>0232</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</si>
  <si>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</si>
  <si>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</si>
  <si>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</si>
  <si>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</si>
  <si>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</si>
  <si>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MONTAGENS EM GERAL</t>
  </si>
  <si>
    <t>0240</t>
  </si>
  <si>
    <t>INSTALACAO DE MISTURADOR</t>
  </si>
  <si>
    <t>VERTEDORES</t>
  </si>
  <si>
    <t>LEITO FILTRANTE</t>
  </si>
  <si>
    <t>LIGACOES PREDIAIS AGUA/ESGOTO/ENERGIA/TELEFONE</t>
  </si>
  <si>
    <t>LIPR</t>
  </si>
  <si>
    <t>LIGACOES PREDIAIS DE AGUA</t>
  </si>
  <si>
    <t>0058</t>
  </si>
  <si>
    <t>KIT CAVALETE</t>
  </si>
  <si>
    <t>MONTAGEM E INSTALACAO DE CAVALETE</t>
  </si>
  <si>
    <t>RAMAL PREDIAL</t>
  </si>
  <si>
    <t>LIGACOES PREDIAIS DE ESGOTO</t>
  </si>
  <si>
    <t>0059</t>
  </si>
  <si>
    <t>MOVIMENTO DE TERRA</t>
  </si>
  <si>
    <t>MOVT</t>
  </si>
  <si>
    <t>DRAGAGEM</t>
  </si>
  <si>
    <t>0017</t>
  </si>
  <si>
    <t>CORTE/ESCAVACAO EM JAZIDAS OU CAMPO ABERTO</t>
  </si>
  <si>
    <t>0018</t>
  </si>
  <si>
    <t>ESCAVAÇÃO MECANIZADA A CEU ABERTO</t>
  </si>
  <si>
    <t>ESCAVACAO E CARGA MATERIAL 1A CATEGORIA</t>
  </si>
  <si>
    <t>ESPALHAMENTO MECANIZADO DE MATERIAL 1A. CATEGORIA</t>
  </si>
  <si>
    <t>ESCAVACAO, CARGA E TRANSPORTE DMT 50 A 200M C/ CAMINHAO BASCULANTE</t>
  </si>
  <si>
    <t>ESCAVACAO E TRANSPORTE DMT 50M C/TRATOR ESTEIRAS CAT D8</t>
  </si>
  <si>
    <t>ESCAVACAO DE MATERIAL 1A. CATEGORIA (SUBLEITO)</t>
  </si>
  <si>
    <t>ESCAVACAO DE VALAS</t>
  </si>
  <si>
    <t>0019</t>
  </si>
  <si>
    <t>ESCAVACAO MANUAL DE VALAS</t>
  </si>
  <si>
    <t>ATERRO COM OU S/COMPACTACAO</t>
  </si>
  <si>
    <t>0020</t>
  </si>
  <si>
    <t>ATERRO/REATERRO DE VALAS COM OU S/COMPACTACAO</t>
  </si>
  <si>
    <t>0021</t>
  </si>
  <si>
    <t>CARGA, DESCARGA E/OU TRANSPORTE DE MATERIAIS</t>
  </si>
  <si>
    <t>0022</t>
  </si>
  <si>
    <t>CARGA E DESCARGA MECANIZADA</t>
  </si>
  <si>
    <t>REGULARIZACAO E APILOAMENTO DE FUNDO DE VALAS</t>
  </si>
  <si>
    <t>0225</t>
  </si>
  <si>
    <t>FORNEC. DE MAT. C/OU S/CARGA, DESC. E TRANSPORTE</t>
  </si>
  <si>
    <t>0282</t>
  </si>
  <si>
    <t>COMPACTACAO OU APILOAMENTO</t>
  </si>
  <si>
    <t>0283</t>
  </si>
  <si>
    <t>ATERRO/REATERRO DE AREAS</t>
  </si>
  <si>
    <t>ESPALHAMENTO E COMPACTAÇÃO DE MATERIAL</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</si>
  <si>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</si>
  <si>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</si>
  <si>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</si>
  <si>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</si>
  <si>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</si>
  <si>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</si>
  <si>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</si>
  <si>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</si>
  <si>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</si>
  <si>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</si>
  <si>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ELEMENTO VAZADO CONCRETO (COBOGO)</t>
  </si>
  <si>
    <t>ALVENARIA DE BLOCOS DE VIDRO</t>
  </si>
  <si>
    <t>0067</t>
  </si>
  <si>
    <t>DIVISORIAS/MARMORE/GRANITO/MARMORITE/CONCRETO/MAD.AGLOM.</t>
  </si>
  <si>
    <t>0070</t>
  </si>
  <si>
    <t>PAREDE DIVISORIA PARA SANITARIOS E BANHEIROS</t>
  </si>
  <si>
    <t>PAINEL DIVISORIO MADEIRA</t>
  </si>
  <si>
    <t>PAINEL DIVISORIO MARMORE/GRANITO</t>
  </si>
  <si>
    <t>ALVENARIA DE BLOCO-CONCRETO CELULAR</t>
  </si>
  <si>
    <t>0251</t>
  </si>
  <si>
    <t>ALVENARIA DE BLOCOS DE CONCRETO CELULAR</t>
  </si>
  <si>
    <t>PAVIMENTACAO</t>
  </si>
  <si>
    <t>PAVI</t>
  </si>
  <si>
    <t>RECOMPOSICAO DE PAVIMENTACAO</t>
  </si>
  <si>
    <t>0054</t>
  </si>
  <si>
    <t>REFORMA CONSERVACAO LOGRADOUROS EM PARALELEPIPEDO</t>
  </si>
  <si>
    <t>EXECUCAO DE SUB-LEITO, LEITO, SUB-BASE, BASE ETC</t>
  </si>
  <si>
    <t>0056</t>
  </si>
  <si>
    <t>EXECUCAO DE PAVIMENTACOES DIVERSAS</t>
  </si>
  <si>
    <t>0057</t>
  </si>
  <si>
    <t>REVESTIMENTO BETUMINOSO</t>
  </si>
  <si>
    <t>FORNECIMENTO AREIA-ASFALTO</t>
  </si>
  <si>
    <t>SINALIZACAO HORIZONTAL/VERTICAL</t>
  </si>
  <si>
    <t>0249</t>
  </si>
  <si>
    <t>MURETA DIVISORIA E/OU DE PROTECAO</t>
  </si>
  <si>
    <t>0250</t>
  </si>
  <si>
    <t>BARREIRA PRE-MOLDADA CONCR ARMADO/MURETA DIVISORIA DE TRAFEGO</t>
  </si>
  <si>
    <t>PINTURA GUARDA-CORPO GUARDA-RODA E MURETA PROTECAO</t>
  </si>
  <si>
    <t>FABRICACAO/EXECUCAO DE CBUQ/PRE-MISTURADOS</t>
  </si>
  <si>
    <t>0287</t>
  </si>
  <si>
    <t>PINTURAS</t>
  </si>
  <si>
    <t>PINT</t>
  </si>
  <si>
    <t>PINTURA DE PAREDE</t>
  </si>
  <si>
    <t>0155</t>
  </si>
  <si>
    <t>EMASSAMENTO P/PINTURA OLEO/ESMALTE</t>
  </si>
  <si>
    <t>PINTURAS A OLEO E ALQUIDICOS SOBRE PAREDES E TETOS</t>
  </si>
  <si>
    <t>PINTURA EM CONCRETO APARENTE</t>
  </si>
  <si>
    <t>0156</t>
  </si>
  <si>
    <t>ACABAMENTO EPOXI</t>
  </si>
  <si>
    <t>PINTURA EM MADEIRA</t>
  </si>
  <si>
    <t>0157</t>
  </si>
  <si>
    <t>PINTURA ESMALTE</t>
  </si>
  <si>
    <t>PINTURA ESMALTE ACETINADO 2 DEMAOS APARELHADA P/MADEIRA</t>
  </si>
  <si>
    <t>PINTURA EM ESQUADRIAS DE MADEIRA</t>
  </si>
  <si>
    <t>PINTURA PARA METAL</t>
  </si>
  <si>
    <t>0158</t>
  </si>
  <si>
    <t>PINTURA EM FERRO, SOBRE BASE ANTI-CORROSIVA, EM DUAS DEMAOS</t>
  </si>
  <si>
    <t>PINTURA FUNDO OXIDO FERRO/ZARCAO 1 DEMAO  P/FERRO</t>
  </si>
  <si>
    <t>PINTURA DE PECAS METALICAS A REVOLVER(AR-COMPRIMIDO)</t>
  </si>
  <si>
    <t>PINTURA A OLEO E ALQUIDICOS SOBRE FERRO</t>
  </si>
  <si>
    <t>PINTURA DE POSTES</t>
  </si>
  <si>
    <t>ACABAMENTO ALUMINIO</t>
  </si>
  <si>
    <t>PINTURA PARA PISO</t>
  </si>
  <si>
    <t>0161</t>
  </si>
  <si>
    <t>PINTURAS IMPERMEABILIZANTES</t>
  </si>
  <si>
    <t>MARCACAO DE QUADRAS E PINTURAS DE PISOS</t>
  </si>
  <si>
    <t>PINTURA EM TELHA</t>
  </si>
  <si>
    <t>0261</t>
  </si>
  <si>
    <t>PISOS</t>
  </si>
  <si>
    <t>PISO</t>
  </si>
  <si>
    <t>PISO DE MADEIRA</t>
  </si>
  <si>
    <t>0112</t>
  </si>
  <si>
    <t>PISO EM MADEIRA</t>
  </si>
  <si>
    <t>PISO CERAMICO</t>
  </si>
  <si>
    <t>0113</t>
  </si>
  <si>
    <t>PISO DE PEDRA</t>
  </si>
  <si>
    <t>0115</t>
  </si>
  <si>
    <t>PISO EM PEDRA</t>
  </si>
  <si>
    <t>PISO PEDRA</t>
  </si>
  <si>
    <t>PISO VINILICO/BORRACHA</t>
  </si>
  <si>
    <t>0116</t>
  </si>
  <si>
    <t>PLURIGOMA</t>
  </si>
  <si>
    <t>PISO DE ALTA RESISTENCIA</t>
  </si>
  <si>
    <t>0117</t>
  </si>
  <si>
    <t>PISO GRANILITE/MARMORITE</t>
  </si>
  <si>
    <t>0118</t>
  </si>
  <si>
    <t>SOLEIRA DE MARMORE/GRANITO</t>
  </si>
  <si>
    <t>0122</t>
  </si>
  <si>
    <t>SOLEIRA MARMORE BRANCO</t>
  </si>
  <si>
    <t>RODAPE DE MADEIRA</t>
  </si>
  <si>
    <t>0130</t>
  </si>
  <si>
    <t>RODAPES DE MADEIRA</t>
  </si>
  <si>
    <t>RODAPE CERAMICO</t>
  </si>
  <si>
    <t>0131</t>
  </si>
  <si>
    <t>RODAPE DE MARMORE,GRANITO,MARMORITE,GRANILITE E OUTROS</t>
  </si>
  <si>
    <t>0164</t>
  </si>
  <si>
    <t>RODAPE DE MARMORITE</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</si>
  <si>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</si>
  <si>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</si>
  <si>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</si>
  <si>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</si>
  <si>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</si>
  <si>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</si>
  <si>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</si>
  <si>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</si>
  <si>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</si>
  <si>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</si>
  <si>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</si>
  <si>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</si>
  <si>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REBOCO</t>
  </si>
  <si>
    <t>0108</t>
  </si>
  <si>
    <t>PASTILHAS,CERAMICAS, PLACAS PRE-MOLDADAS E OUTROS</t>
  </si>
  <si>
    <t>0110</t>
  </si>
  <si>
    <t>PEITORIL DE MARMORE/GRANITO</t>
  </si>
  <si>
    <t>0125</t>
  </si>
  <si>
    <t>PEITORIL DE CONCRETO</t>
  </si>
  <si>
    <t>0129</t>
  </si>
  <si>
    <t>FORRO DE MADEIRA</t>
  </si>
  <si>
    <t>0133</t>
  </si>
  <si>
    <t>FORRO DE GESSO</t>
  </si>
  <si>
    <t>0134</t>
  </si>
  <si>
    <t>LAMINADO PARA PAREDE</t>
  </si>
  <si>
    <t>0257</t>
  </si>
  <si>
    <t>REVESTIMENTO DE CORRIMAO</t>
  </si>
  <si>
    <t>0290</t>
  </si>
  <si>
    <t>CORRIMAO DE GRANITO ARTIFICIAL (MARMORITE) COM 15 CM DE LARGURA</t>
  </si>
  <si>
    <t>FORRO METALICO/PVC</t>
  </si>
  <si>
    <t>0311</t>
  </si>
  <si>
    <t>REVESTIMENTO TERMICO E/OU ACUSTICO</t>
  </si>
  <si>
    <t>0315</t>
  </si>
  <si>
    <t>ISOLAMENTO TERMICO C/LA DE VIDRO</t>
  </si>
  <si>
    <t>RESTAURO</t>
  </si>
  <si>
    <t>0319</t>
  </si>
  <si>
    <t>SEDI</t>
  </si>
  <si>
    <t>ARGAMASSAS</t>
  </si>
  <si>
    <t>0210</t>
  </si>
  <si>
    <t>ARGAMASSA TRAÇO 1:3 (CIMENTO E AREIA), PREPARO MECANICO , INCLUSO ADITIVO IMPERMEABILIZANTE</t>
  </si>
  <si>
    <t>CARGA, DESCARGA E TRANSPORTE DE MATERIAIS</t>
  </si>
  <si>
    <t>0211</t>
  </si>
  <si>
    <t>LIMPEZA E ARREMATES FINAIS</t>
  </si>
  <si>
    <t>0212</t>
  </si>
  <si>
    <t>ABERTURA DE POCO | CISTERNA OU CACIMBA |</t>
  </si>
  <si>
    <t>0215</t>
  </si>
  <si>
    <t>PERFURACAO DE POCO</t>
  </si>
  <si>
    <t>POCO TUBULAR PROFUNDO</t>
  </si>
  <si>
    <t>0216</t>
  </si>
  <si>
    <t>OUTROS</t>
  </si>
  <si>
    <t>0318</t>
  </si>
  <si>
    <t>LETREIROS/LOGOTIPOS/NUMERAÇÕES/SINALIZAÇÕES</t>
  </si>
  <si>
    <t>0324</t>
  </si>
  <si>
    <t>´PLACA DE IDENTIFICAÇÃO</t>
  </si>
  <si>
    <t>SERVICOS PRELIMINARES</t>
  </si>
  <si>
    <t>SERP</t>
  </si>
  <si>
    <t>PREPARO DO TERRENO</t>
  </si>
  <si>
    <t>0010</t>
  </si>
  <si>
    <t>LIMPEZA DE TERRENO - ROCADA</t>
  </si>
  <si>
    <t>DESMATAMENTO / LIMPEZA</t>
  </si>
  <si>
    <t>TRANSITO E SEGURANCA</t>
  </si>
  <si>
    <t>0011</t>
  </si>
  <si>
    <t>TAPUME DE VEDACAO</t>
  </si>
  <si>
    <t>SINALIZACAO DE TRANSITO</t>
  </si>
  <si>
    <t>ACESSOS/PASSADICOS</t>
  </si>
  <si>
    <t>0012</t>
  </si>
  <si>
    <t>PASSADICOS E TRAVESSIAS - MONTAGEM, MANUTENCAO E REMOCAO</t>
  </si>
  <si>
    <t>DEMOLICOES/RETIRADAS</t>
  </si>
  <si>
    <t>0014</t>
  </si>
  <si>
    <t>SINALIZACAO DO CANTEIRO DE OBRAS</t>
  </si>
  <si>
    <t>0233</t>
  </si>
  <si>
    <t>SERVICOS TECNICOS</t>
  </si>
  <si>
    <t>SERT</t>
  </si>
  <si>
    <t>CONTROLE TECNOLOGICO</t>
  </si>
  <si>
    <t>0006</t>
  </si>
  <si>
    <t>LOCACAO</t>
  </si>
  <si>
    <t>0008</t>
  </si>
  <si>
    <t>LEVANTAMENTO CADASTRAL</t>
  </si>
  <si>
    <t>0009</t>
  </si>
  <si>
    <t>TRANPORTES, CARGAS E DESCARGAS</t>
  </si>
  <si>
    <t>TRAN</t>
  </si>
  <si>
    <t>TRANSPORTE COMERCIAL</t>
  </si>
  <si>
    <t>0332</t>
  </si>
  <si>
    <t>TRANSPORTE MATERIAIS BETUMINOSOS</t>
  </si>
  <si>
    <t>0333</t>
  </si>
  <si>
    <t>URBANIZACAO</t>
  </si>
  <si>
    <t>URBA</t>
  </si>
  <si>
    <t>CERCA/PROTETORES</t>
  </si>
  <si>
    <t>0202</t>
  </si>
  <si>
    <t>PORTÃO PARA CERCA</t>
  </si>
  <si>
    <t>CERCA COM MOURÕES DE MADEIRA</t>
  </si>
  <si>
    <t>CERCA COM MOUROES - MMA</t>
  </si>
  <si>
    <t>CERCA DE ARAME LISO</t>
  </si>
  <si>
    <t>ALAMBRADO</t>
  </si>
  <si>
    <t>0204</t>
  </si>
  <si>
    <t>ALAMBRADO PARA QUADRA POLIESPORTIVA</t>
  </si>
  <si>
    <t>ARBORIZACAO, INCLUSIVE PREPARO DO SOLO</t>
  </si>
  <si>
    <t>0205</t>
  </si>
  <si>
    <t>PLANTIO DE ARVORES E ARBUSTOS</t>
  </si>
  <si>
    <t>GRAMA, INCLUSIVE PREPARO DO SOLO</t>
  </si>
  <si>
    <t>0206</t>
  </si>
  <si>
    <t>MANUTENCAO E LIMPEZA DE AREAS VERDES</t>
  </si>
  <si>
    <t>0277</t>
  </si>
  <si>
    <t>FUNDAÇÕES E ESTRUTURAS</t>
  </si>
  <si>
    <t>02.01.000</t>
  </si>
  <si>
    <t>04.01.000</t>
  </si>
  <si>
    <t xml:space="preserve">                                                                                                      </t>
  </si>
  <si>
    <t>07.02.000</t>
  </si>
  <si>
    <t>09.02.000</t>
  </si>
  <si>
    <t>SERVIÇOS COMPLEMENTARES</t>
  </si>
  <si>
    <t>02.01.100</t>
  </si>
  <si>
    <t>BDI</t>
  </si>
  <si>
    <t>03.02.000</t>
  </si>
  <si>
    <t>ESTRUTURAS DE CONCRETO</t>
  </si>
  <si>
    <t>ARQUITETURA E ELEMENTOS DE URBANISMO</t>
  </si>
  <si>
    <t>ARQUITETURA</t>
  </si>
  <si>
    <t>INSTALAÇÕES ELÉTRICAS E ELETRÔNICAS</t>
  </si>
  <si>
    <t>06.01.000</t>
  </si>
  <si>
    <t>06.09.000</t>
  </si>
  <si>
    <t>SISTEMA DE CABEAMENTO ESTRUTURADO</t>
  </si>
  <si>
    <t>INSTALAÇÕES MECÂNICAS E DE UTILIDADES</t>
  </si>
  <si>
    <t>SERVIÇOS AUXILIARES E ADMINISTRATIVOS</t>
  </si>
  <si>
    <t>09.04.000</t>
  </si>
  <si>
    <t>Para obras de construção civil, reforma e/ou ampliação</t>
  </si>
  <si>
    <t>Para fornecimento de materiais e equipamentos em obras de construção, reforma e/ou ampliação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</si>
  <si>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</si>
  <si>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</si>
  <si>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</si>
  <si>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</si>
  <si>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</si>
  <si>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</si>
  <si>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</si>
  <si>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</si>
  <si>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</si>
  <si>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</si>
  <si>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</si>
  <si>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</si>
  <si>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</si>
  <si>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</si>
  <si>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</si>
  <si>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</si>
  <si>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</si>
  <si>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</si>
  <si>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</si>
  <si>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</si>
  <si>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</si>
  <si>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</si>
  <si>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</si>
  <si>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</si>
  <si>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</si>
  <si>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</si>
  <si>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</si>
  <si>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</si>
  <si>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</si>
  <si>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</si>
  <si>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</si>
  <si>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</si>
  <si>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</si>
  <si>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</si>
  <si>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</si>
  <si>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</si>
  <si>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</si>
  <si>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</si>
  <si>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</si>
  <si>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</si>
  <si>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</si>
  <si>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</si>
  <si>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</si>
  <si>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</si>
  <si>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</si>
  <si>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</si>
  <si>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</si>
  <si>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</si>
  <si>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</si>
  <si>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</si>
  <si>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</si>
  <si>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</si>
  <si>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</si>
  <si>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</si>
  <si>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</si>
  <si>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</si>
  <si>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</si>
  <si>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</si>
  <si>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</si>
  <si>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</si>
  <si>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</si>
  <si>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</si>
  <si>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</si>
  <si>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</si>
  <si>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</si>
  <si>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</si>
  <si>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</si>
  <si>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</si>
  <si>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</si>
  <si>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</si>
  <si>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</si>
  <si>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</si>
  <si>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</si>
  <si>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</si>
  <si>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</si>
  <si>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74209/1</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</si>
  <si>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</si>
  <si>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</si>
  <si>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</si>
  <si>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</si>
  <si>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</si>
  <si>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</si>
  <si>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</si>
  <si>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74131/5</t>
  </si>
  <si>
    <t>CAIXA DE PASSAGEM PARA TELEFONE 15X15X10CM (SOBREPOR), FORNECIMENTO E INSTALACAO.</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</si>
  <si>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</si>
  <si>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</si>
  <si>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</si>
  <si>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</si>
  <si>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</si>
  <si>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</si>
  <si>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</si>
  <si>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</si>
  <si>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</si>
  <si>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</si>
  <si>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</si>
  <si>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</si>
  <si>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</si>
  <si>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</si>
  <si>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</si>
  <si>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</si>
  <si>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</si>
  <si>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</si>
  <si>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</si>
  <si>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</si>
  <si>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</si>
  <si>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</si>
  <si>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02.04.000</t>
  </si>
  <si>
    <t>TERRAPLANAGEM</t>
  </si>
  <si>
    <t>CENTRO DE PLANEJAMENTO OSCAR NIEMEYER</t>
  </si>
  <si>
    <t>PREÇO MENSAL</t>
  </si>
  <si>
    <t>MÊS 4</t>
  </si>
  <si>
    <t>02.03.101</t>
  </si>
  <si>
    <t>02.04.100</t>
  </si>
  <si>
    <t>02.04.101</t>
  </si>
  <si>
    <t>03.01.000</t>
  </si>
  <si>
    <t>03.01.100</t>
  </si>
  <si>
    <t>FUNDAÇÕES</t>
  </si>
  <si>
    <t>03.03.000</t>
  </si>
  <si>
    <t>ESTRUTURAS METÁLICAS</t>
  </si>
  <si>
    <t>05.00.000</t>
  </si>
  <si>
    <t>05.01.000</t>
  </si>
  <si>
    <t>05.03.000</t>
  </si>
  <si>
    <t>05.03.100</t>
  </si>
  <si>
    <t>05.06.000</t>
  </si>
  <si>
    <t>05.06.100</t>
  </si>
  <si>
    <t>05.04.000</t>
  </si>
  <si>
    <t>05.04.100</t>
  </si>
  <si>
    <t>INSTALAÇÕES HIDRÁULICAS E SANITÁRIAS</t>
  </si>
  <si>
    <t>ÁGUA FRIA</t>
  </si>
  <si>
    <t>DRENAGEM DE ÁGUAS PLUVIAIS</t>
  </si>
  <si>
    <t>ESGOTOS SANITÁRIOS</t>
  </si>
  <si>
    <t>SERVIÇOS DIVERSOS</t>
  </si>
  <si>
    <t>06.03.000</t>
  </si>
  <si>
    <t>INSTALAÇÕES ELÉTRICAS</t>
  </si>
  <si>
    <t>DETECÇÃO E ALARME DE INCÊNDIO</t>
  </si>
  <si>
    <t>06.07.000</t>
  </si>
  <si>
    <t>CFTV</t>
  </si>
  <si>
    <t>06.07.100</t>
  </si>
  <si>
    <t>07.01.000</t>
  </si>
  <si>
    <t>07.01.100</t>
  </si>
  <si>
    <t>07.01.101</t>
  </si>
  <si>
    <t>ELEVADORES</t>
  </si>
  <si>
    <t>08.00.000</t>
  </si>
  <si>
    <t>08.01.000</t>
  </si>
  <si>
    <t>INSTALAÇÕES DE PREVENÇÃO E COMBATE A INCÊNDIO</t>
  </si>
  <si>
    <t>PREVENÇÃO E COMBATE A INCÊNDIO</t>
  </si>
  <si>
    <t>LIMPEZA DE OBRAS</t>
  </si>
  <si>
    <t>COMO CONSTRUÍDO (AS-BUILT)</t>
  </si>
  <si>
    <t>10.01.000</t>
  </si>
  <si>
    <t>PESSOAL</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</si>
  <si>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</si>
  <si>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</si>
  <si>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</si>
  <si>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</si>
  <si>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</si>
  <si>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</si>
  <si>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</si>
  <si>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</si>
  <si>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</si>
  <si>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</si>
  <si>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</si>
  <si>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</si>
  <si>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</si>
  <si>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</si>
  <si>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</si>
  <si>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</si>
  <si>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</si>
  <si>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</si>
  <si>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</si>
  <si>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</si>
  <si>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</si>
  <si>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</si>
  <si>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</si>
  <si>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</si>
  <si>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</si>
  <si>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</si>
  <si>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</si>
  <si>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</si>
  <si>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</si>
  <si>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</si>
  <si>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</si>
  <si>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</si>
  <si>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</si>
  <si>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</si>
  <si>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</si>
  <si>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</si>
  <si>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</si>
  <si>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</si>
  <si>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</si>
  <si>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</si>
  <si>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</si>
  <si>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</si>
  <si>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</si>
  <si>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</si>
  <si>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</si>
  <si>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</si>
  <si>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</si>
  <si>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</si>
  <si>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</si>
  <si>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</si>
  <si>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</si>
  <si>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</si>
  <si>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</si>
  <si>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</si>
  <si>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</si>
  <si>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</si>
  <si>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</si>
  <si>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</si>
  <si>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</si>
  <si>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</si>
  <si>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</si>
  <si>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</si>
  <si>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</si>
  <si>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</si>
  <si>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</si>
  <si>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</si>
  <si>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</si>
  <si>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</si>
  <si>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</si>
  <si>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</si>
  <si>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</si>
  <si>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</si>
  <si>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</si>
  <si>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</si>
  <si>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</si>
  <si>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</si>
  <si>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</si>
  <si>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</si>
  <si>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</si>
  <si>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</si>
  <si>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</si>
  <si>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</si>
  <si>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</si>
  <si>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</si>
  <si>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</si>
  <si>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</si>
  <si>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</si>
  <si>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</si>
  <si>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</si>
  <si>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</si>
  <si>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</si>
  <si>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</si>
  <si>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</si>
  <si>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</si>
  <si>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</si>
  <si>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</si>
  <si>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</si>
  <si>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</si>
  <si>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</si>
  <si>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</si>
  <si>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</si>
  <si>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</si>
  <si>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</si>
  <si>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</si>
  <si>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</si>
  <si>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</si>
  <si>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</si>
  <si>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</si>
  <si>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</si>
  <si>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</si>
  <si>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</si>
  <si>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</si>
  <si>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</si>
  <si>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</si>
  <si>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</si>
  <si>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</si>
  <si>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</si>
  <si>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</si>
  <si>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</si>
  <si>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</si>
  <si>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</si>
  <si>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</si>
  <si>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</si>
  <si>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</si>
  <si>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</si>
  <si>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</si>
  <si>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</si>
  <si>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</si>
  <si>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</si>
  <si>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</si>
  <si>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</si>
  <si>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</si>
  <si>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</si>
  <si>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</si>
  <si>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</si>
  <si>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</si>
  <si>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</si>
  <si>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</si>
  <si>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</si>
  <si>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</si>
  <si>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</si>
  <si>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</si>
  <si>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</si>
  <si>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</si>
  <si>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</si>
  <si>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</si>
  <si>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</si>
  <si>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</si>
  <si>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</si>
  <si>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</si>
  <si>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</si>
  <si>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</si>
  <si>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</si>
  <si>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</si>
  <si>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</si>
  <si>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</si>
  <si>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</si>
  <si>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</si>
  <si>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</si>
  <si>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</si>
  <si>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</si>
  <si>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</si>
  <si>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</si>
  <si>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</si>
  <si>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</si>
  <si>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</si>
  <si>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</si>
  <si>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</si>
  <si>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</si>
  <si>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</si>
  <si>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</si>
  <si>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</si>
  <si>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</si>
  <si>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</si>
  <si>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</si>
  <si>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</si>
  <si>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</si>
  <si>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</si>
  <si>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</si>
  <si>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</si>
  <si>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</si>
  <si>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</si>
  <si>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</si>
  <si>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</si>
  <si>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</si>
  <si>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</si>
  <si>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</si>
  <si>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</si>
  <si>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</si>
  <si>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</si>
  <si>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</si>
  <si>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</si>
  <si>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</si>
  <si>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</si>
  <si>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</si>
  <si>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</si>
  <si>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</si>
  <si>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</si>
  <si>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</si>
  <si>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</si>
  <si>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</si>
  <si>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</si>
  <si>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</si>
  <si>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Construções Provisórias </t>
  </si>
  <si>
    <t>02.01.200</t>
  </si>
  <si>
    <t>Ligações Provisórias</t>
  </si>
  <si>
    <t>02.01.400</t>
  </si>
  <si>
    <t>Proteção e sinalização</t>
  </si>
  <si>
    <t>03.02.180</t>
  </si>
  <si>
    <t>04.01.700</t>
  </si>
  <si>
    <t>Acabamentos e arremates</t>
  </si>
  <si>
    <t>04.01.800</t>
  </si>
  <si>
    <t>Equipamentos e acessórios</t>
  </si>
  <si>
    <t>Planilha Orçamentária</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</si>
  <si>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</si>
  <si>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</si>
  <si>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</si>
  <si>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</si>
  <si>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</si>
  <si>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</si>
  <si>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</si>
  <si>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</si>
  <si>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</si>
  <si>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</si>
  <si>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</si>
  <si>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</si>
  <si>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</si>
  <si>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</si>
  <si>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</si>
  <si>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</si>
  <si>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</si>
  <si>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</si>
  <si>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CPRB</t>
  </si>
  <si>
    <t>RESULTADO BDI NORMAL</t>
  </si>
  <si>
    <t>BDI DIFERENCIADO - FORNECIMENTO DE MATERIAIS E EQUIPAMENTOS</t>
  </si>
  <si>
    <t>ENCARGOS SOCIAIS</t>
  </si>
  <si>
    <t>Todos os custos de mão-de-obra utilizados nesse orçamento têm como referência o SINAPI. Os encargos sociais, portanto, são calculados de acordo com a metodologia dessa tabela, disponível em: http://www.caixa.gov.br/Downloads/sinapi-encargos-sociais-sem-desoneracao/SINAPI_Encargos_Sociais_A_PARTIR_DE_AGOSTO_2017.pdf</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</si>
  <si>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</si>
  <si>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</si>
  <si>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</si>
  <si>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</si>
  <si>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</si>
  <si>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</si>
  <si>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</si>
  <si>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</si>
  <si>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</si>
  <si>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</si>
  <si>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</si>
  <si>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</si>
  <si>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</si>
  <si>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</si>
  <si>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</si>
  <si>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</si>
  <si>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</si>
  <si>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</si>
  <si>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</si>
  <si>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</si>
  <si>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</si>
  <si>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</si>
  <si>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</si>
  <si>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</si>
  <si>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</si>
  <si>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</si>
  <si>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</si>
  <si>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</si>
  <si>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</si>
  <si>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</si>
  <si>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</si>
  <si>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</si>
  <si>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</si>
  <si>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</si>
  <si>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</si>
  <si>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</si>
  <si>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</si>
  <si>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</si>
  <si>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</si>
  <si>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</si>
  <si>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</si>
  <si>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</si>
  <si>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</si>
  <si>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</si>
  <si>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</si>
  <si>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</si>
  <si>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</si>
  <si>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</si>
  <si>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</si>
  <si>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</si>
  <si>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</si>
  <si>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</si>
  <si>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</si>
  <si>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</si>
  <si>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</si>
  <si>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</si>
  <si>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</si>
  <si>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</si>
  <si>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</si>
  <si>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</si>
  <si>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</si>
  <si>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</si>
  <si>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</si>
  <si>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</si>
  <si>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</si>
  <si>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</si>
  <si>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</si>
  <si>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</si>
  <si>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</si>
  <si>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02.01.101</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</si>
  <si>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</si>
  <si>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</si>
  <si>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</si>
  <si>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</si>
  <si>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</si>
  <si>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</si>
  <si>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</si>
  <si>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</si>
  <si>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</si>
  <si>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</si>
  <si>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</si>
  <si>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</si>
  <si>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</si>
  <si>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</si>
  <si>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</si>
  <si>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</si>
  <si>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</si>
  <si>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</si>
  <si>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</si>
  <si>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</si>
  <si>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</si>
  <si>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</si>
  <si>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</si>
  <si>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</si>
  <si>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</si>
  <si>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</si>
  <si>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</si>
  <si>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</si>
  <si>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</si>
  <si>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</si>
  <si>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</si>
  <si>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</si>
  <si>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</si>
  <si>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</si>
  <si>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</si>
  <si>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</si>
  <si>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</si>
  <si>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</si>
  <si>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</si>
  <si>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</si>
  <si>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INSTALACAO DE LOGICA</t>
  </si>
  <si>
    <t>0313</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</si>
  <si>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</si>
  <si>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</si>
  <si>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</si>
  <si>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</si>
  <si>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</si>
  <si>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</si>
  <si>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</si>
  <si>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</si>
  <si>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</si>
  <si>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</si>
  <si>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</si>
  <si>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</si>
  <si>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</si>
  <si>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SINAPI INSUMO</t>
  </si>
  <si>
    <t>02.01.102</t>
  </si>
  <si>
    <t>02.01.105</t>
  </si>
  <si>
    <t>02.01.201</t>
  </si>
  <si>
    <t>Ligação provisória predial de água em mureta de concreto com fornecimento de material, inclusive mureta e hidrômetro, rede DN 50mm</t>
  </si>
  <si>
    <t>ORSE</t>
  </si>
  <si>
    <t>QUANT.</t>
  </si>
  <si>
    <t>02.01.205</t>
  </si>
  <si>
    <t>Ligação provisória de esgoto DN 100mm, até a caixa, composta por 10m de tubo de PVC de esgoto predial DN 100mm e caixa de alvenaria com tampa de concreto</t>
  </si>
  <si>
    <t>unidade</t>
  </si>
  <si>
    <t>02.01.401</t>
  </si>
  <si>
    <t>m2</t>
  </si>
  <si>
    <t>02.01.404</t>
  </si>
  <si>
    <t>Transformador distribuição 45 kVa trifasico 60 Hz classe 15 kV, fornecimento e instalação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</si>
  <si>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</si>
  <si>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</si>
  <si>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</si>
  <si>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</si>
  <si>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</si>
  <si>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</si>
  <si>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</si>
  <si>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</si>
  <si>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</si>
  <si>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</si>
  <si>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</si>
  <si>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</si>
  <si>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</si>
  <si>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</si>
  <si>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</si>
  <si>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</si>
  <si>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</si>
  <si>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</si>
  <si>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</si>
  <si>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</si>
  <si>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</si>
  <si>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</si>
  <si>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</si>
  <si>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</si>
  <si>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</si>
  <si>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</si>
  <si>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</si>
  <si>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</si>
  <si>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</si>
  <si>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</si>
  <si>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</si>
  <si>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</si>
  <si>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</si>
  <si>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</si>
  <si>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</si>
  <si>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</si>
  <si>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</si>
  <si>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</si>
  <si>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</si>
  <si>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</si>
  <si>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</si>
  <si>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</si>
  <si>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</si>
  <si>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</si>
  <si>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</si>
  <si>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</si>
  <si>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</si>
  <si>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</si>
  <si>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</si>
  <si>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</si>
  <si>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</si>
  <si>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</si>
  <si>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</si>
  <si>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</si>
  <si>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</si>
  <si>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</si>
  <si>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</si>
  <si>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</si>
  <si>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</si>
  <si>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</si>
  <si>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</si>
  <si>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</si>
  <si>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</si>
  <si>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</si>
  <si>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</si>
  <si>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</si>
  <si>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</si>
  <si>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</si>
  <si>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</si>
  <si>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</si>
  <si>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</si>
  <si>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</si>
  <si>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</si>
  <si>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</si>
  <si>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</si>
  <si>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</si>
  <si>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</si>
  <si>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</si>
  <si>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</si>
  <si>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</si>
  <si>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</si>
  <si>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</si>
  <si>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</si>
  <si>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</si>
  <si>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</si>
  <si>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</si>
  <si>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</si>
  <si>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</si>
  <si>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</si>
  <si>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</si>
  <si>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</si>
  <si>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</si>
  <si>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</si>
  <si>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</si>
  <si>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</si>
  <si>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</si>
  <si>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</si>
  <si>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</si>
  <si>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</si>
  <si>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</si>
  <si>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</si>
  <si>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</si>
  <si>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</si>
  <si>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</si>
  <si>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</si>
  <si>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</si>
  <si>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</si>
  <si>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</si>
  <si>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</si>
  <si>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</si>
  <si>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</si>
  <si>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</si>
  <si>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</si>
  <si>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</si>
  <si>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</si>
  <si>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</si>
  <si>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</si>
  <si>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</si>
  <si>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</si>
  <si>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</si>
  <si>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</si>
  <si>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</si>
  <si>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</si>
  <si>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</si>
  <si>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</si>
  <si>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</si>
  <si>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</si>
  <si>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</si>
  <si>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</si>
  <si>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</si>
  <si>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</si>
  <si>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</si>
  <si>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</si>
  <si>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</si>
  <si>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</si>
  <si>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</si>
  <si>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</si>
  <si>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</si>
  <si>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</si>
  <si>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</si>
  <si>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</si>
  <si>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</si>
  <si>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</si>
  <si>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</si>
  <si>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</si>
  <si>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</si>
  <si>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</si>
  <si>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</si>
  <si>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</si>
  <si>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</si>
  <si>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</si>
  <si>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</si>
  <si>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</si>
  <si>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</si>
  <si>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</si>
  <si>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</si>
  <si>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</si>
  <si>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</si>
  <si>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</si>
  <si>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</si>
  <si>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</si>
  <si>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</si>
  <si>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</si>
  <si>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</si>
  <si>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</si>
  <si>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</si>
  <si>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</si>
  <si>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</si>
  <si>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</si>
  <si>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</si>
  <si>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</si>
  <si>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</si>
  <si>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</si>
  <si>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</si>
  <si>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</si>
  <si>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</si>
  <si>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</si>
  <si>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</si>
  <si>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</si>
  <si>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</si>
  <si>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</si>
  <si>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</si>
  <si>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</si>
  <si>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</si>
  <si>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</si>
  <si>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</si>
  <si>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</si>
  <si>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</si>
  <si>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</si>
  <si>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</si>
  <si>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</si>
  <si>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</si>
  <si>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</si>
  <si>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</si>
  <si>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</si>
  <si>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</si>
  <si>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</si>
  <si>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</si>
  <si>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</si>
  <si>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</si>
  <si>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</si>
  <si>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</si>
  <si>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</si>
  <si>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</si>
  <si>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</si>
  <si>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</si>
  <si>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</si>
  <si>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</si>
  <si>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</si>
  <si>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</si>
  <si>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</si>
  <si>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</si>
  <si>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</si>
  <si>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</si>
  <si>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</si>
  <si>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</si>
  <si>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</si>
  <si>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</si>
  <si>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</si>
  <si>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</si>
  <si>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</si>
  <si>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</si>
  <si>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</si>
  <si>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</si>
  <si>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</si>
  <si>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</si>
  <si>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</si>
  <si>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</si>
  <si>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</si>
  <si>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</si>
  <si>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</si>
  <si>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</si>
  <si>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</si>
  <si>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</si>
  <si>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</si>
  <si>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</si>
  <si>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</si>
  <si>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</si>
  <si>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</si>
  <si>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</si>
  <si>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</si>
  <si>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</si>
  <si>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</si>
  <si>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</si>
  <si>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</si>
  <si>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</si>
  <si>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</si>
  <si>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</si>
  <si>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</si>
  <si>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</si>
  <si>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</si>
  <si>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</si>
  <si>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</si>
  <si>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</si>
  <si>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</si>
  <si>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</si>
  <si>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</si>
  <si>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</si>
  <si>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</si>
  <si>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</si>
  <si>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</si>
  <si>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</si>
  <si>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</si>
  <si>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</si>
  <si>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</si>
  <si>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</si>
  <si>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</si>
  <si>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</si>
  <si>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</si>
  <si>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</si>
  <si>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</si>
  <si>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</si>
  <si>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</si>
  <si>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</si>
  <si>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</si>
  <si>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</si>
  <si>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</si>
  <si>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</si>
  <si>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</si>
  <si>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</si>
  <si>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</si>
  <si>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</si>
  <si>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</si>
  <si>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</si>
  <si>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</si>
  <si>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</si>
  <si>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</si>
  <si>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</si>
  <si>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</si>
  <si>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</si>
  <si>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</si>
  <si>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</si>
  <si>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</si>
  <si>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</si>
  <si>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</si>
  <si>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</si>
  <si>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</si>
  <si>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</si>
  <si>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</si>
  <si>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</si>
  <si>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</si>
  <si>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</si>
  <si>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</si>
  <si>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</si>
  <si>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</si>
  <si>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</si>
  <si>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</si>
  <si>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</si>
  <si>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</si>
  <si>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</si>
  <si>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</si>
  <si>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</si>
  <si>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</si>
  <si>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</si>
  <si>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</si>
  <si>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</si>
  <si>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</si>
  <si>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</si>
  <si>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</si>
  <si>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</si>
  <si>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</si>
  <si>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</si>
  <si>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</si>
  <si>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</si>
  <si>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</si>
  <si>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</si>
  <si>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</si>
  <si>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</si>
  <si>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</si>
  <si>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</si>
  <si>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</si>
  <si>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</si>
  <si>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</si>
  <si>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</si>
  <si>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</si>
  <si>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</si>
  <si>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</si>
  <si>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</si>
  <si>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</si>
  <si>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</si>
  <si>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</si>
  <si>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</si>
  <si>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</si>
  <si>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</si>
  <si>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</si>
  <si>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</si>
  <si>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</si>
  <si>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</si>
  <si>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</si>
  <si>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</si>
  <si>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</si>
  <si>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</si>
  <si>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</si>
  <si>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</si>
  <si>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</si>
  <si>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</si>
  <si>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</si>
  <si>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</si>
  <si>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</si>
  <si>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</si>
  <si>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</si>
  <si>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</si>
  <si>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</si>
  <si>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</si>
  <si>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</si>
  <si>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</si>
  <si>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</si>
  <si>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</si>
  <si>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</si>
  <si>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</si>
  <si>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</si>
  <si>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</si>
  <si>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</si>
  <si>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</si>
  <si>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</si>
  <si>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</si>
  <si>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</si>
  <si>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</si>
  <si>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</si>
  <si>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</si>
  <si>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</si>
  <si>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</si>
  <si>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</si>
  <si>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</si>
  <si>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</si>
  <si>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</si>
  <si>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</si>
  <si>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</si>
  <si>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</si>
  <si>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</si>
  <si>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</si>
  <si>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02.03.000</t>
  </si>
  <si>
    <t>LOCAÇÃO DE OBRAS</t>
  </si>
  <si>
    <t>BDI unitário</t>
  </si>
  <si>
    <t>Preço Unit.</t>
  </si>
  <si>
    <t>SUBTOTAL (02.01.000)</t>
  </si>
  <si>
    <t>SUBTOTAL (02.03.000)</t>
  </si>
  <si>
    <t>SUBTOTAL (02.04.000)</t>
  </si>
  <si>
    <t>Limpeza e preparo de área</t>
  </si>
  <si>
    <t>m3</t>
  </si>
  <si>
    <t>TOTAL (02.00.000)</t>
  </si>
  <si>
    <t>SUBTOTAL (03.01.000)</t>
  </si>
  <si>
    <t>kg</t>
  </si>
  <si>
    <t>Escadas em concreto armado</t>
  </si>
  <si>
    <t>Fabricação, montagem e desmontagem de forma para escadas em chapa de madeira compensada plastificada, 18mm, 8 utilizações, inclusive escoramento metálico</t>
  </si>
  <si>
    <t>Armação de escada de uma estrutura convencional de concreto armado utilizando aço CA-50 de 10mm</t>
  </si>
  <si>
    <t>Armação de escada de uma estrutura convencional de concreto armado utilizando aço CA-50 de 12,5mm</t>
  </si>
  <si>
    <t>Concreto fck = 40 MPa, lançado, adensado e acabado</t>
  </si>
  <si>
    <t>92874 MOD</t>
  </si>
  <si>
    <t>03.02.181</t>
  </si>
  <si>
    <t>03.02.183</t>
  </si>
  <si>
    <t>CPOS</t>
  </si>
  <si>
    <t>15.05.520</t>
  </si>
  <si>
    <t>03.02.300</t>
  </si>
  <si>
    <t>Concreto pré-moldado</t>
  </si>
  <si>
    <t>03.02.320</t>
  </si>
  <si>
    <t>03.02.330</t>
  </si>
  <si>
    <t>03.02.340</t>
  </si>
  <si>
    <t>B.09.000.038505</t>
  </si>
  <si>
    <t>ADITIVO EXPANSOR PARA REPARO DE RASGO</t>
  </si>
  <si>
    <t>LAJE EM PAINEL PROTENDIDO ALVEOLAR, ESPESSURA 20 CM, SOBRECARGA 500KGF/M2</t>
  </si>
  <si>
    <t>SUBTOTAL (03.02.000)</t>
  </si>
  <si>
    <t>TOTAL (03.00.000)</t>
  </si>
  <si>
    <t>04.01.100</t>
  </si>
  <si>
    <t>Paredes</t>
  </si>
  <si>
    <t>SUBTOTAL (03.03.000)</t>
  </si>
  <si>
    <t>Alvenaria de vedação de blocos vazados de cerâmica de 9x19x19 cm (espessura 9cm)</t>
  </si>
  <si>
    <t>Alvenaria de vedação de blocos vazados de cerâmica de 14x9x19 cm (espessura 14cm)</t>
  </si>
  <si>
    <t>Alvenaria de vedação de blocos vazados de cerâmica de 19x19x39 cm (espessura 19cm)</t>
  </si>
  <si>
    <t>Cinta de amarração de alvenaria moldada in loco em concreto (passando na altura das vergas, direto)</t>
  </si>
  <si>
    <t>Contraverga moldada in loco em concreto para janelas com mais de 1,5m de vão</t>
  </si>
  <si>
    <t>Fixação (encunhamento) de alvenaria de vedação com espuma de poliuretano expansiva</t>
  </si>
  <si>
    <t>m</t>
  </si>
  <si>
    <t>Comp. Montada</t>
  </si>
  <si>
    <t>04.01.107</t>
  </si>
  <si>
    <t>Cobogó de concreto (elemento vazado), 7 x 41 x 41 cm, assentado com argamassa traço 1:3</t>
  </si>
  <si>
    <t>Parede com placas de gesso acartonado (drywall), para uso interno, com duas faces simples, com vãos</t>
  </si>
  <si>
    <t>Instalação de isolamento com lã de rocha em paredes drywall.</t>
  </si>
  <si>
    <t>04.01.200</t>
  </si>
  <si>
    <t>Esquadrias</t>
  </si>
  <si>
    <t>Porta em alumínio, tipo veneziana, duas folhas, 88x214 cm, incluindo guarnição, maçaneta, fechaduras, ferragens e pintura, fixação com parafusos (PA01)</t>
  </si>
  <si>
    <t>Porta em telha perfurada de alumínio, com bandeira, 1 folha, 95x212 cm (bandeira 85 cm), incluindo guarnição, maçaneta, fechaduras, ferragens e pintura, fixação com parafusos (PA02)</t>
  </si>
  <si>
    <t>Porta em alumínio, tipo veneziana, com bandeira, seis folhas, 222x214 cm (bandeira 91 cm), incluindo guarnição, maçaneta, fechaduras, ferragens e pintura, fixação com parafusos (PA03-A)</t>
  </si>
  <si>
    <t>Porta em alumínio, tipo veneziana, com bandeira, seis folhas, 222x214 cm (bandeira 131 cm), incluindo guarnição, maçaneta, fechaduras, ferragens e pintura, fixação com parafusos (PA03-B)</t>
  </si>
  <si>
    <t>Porta em alumínio, tipo veneziana, 1 folha, 90x150 cm, incluindo guarnição, maçaneta, fechaduras, ferragens e pintura, fixação com parafusos (PA04)</t>
  </si>
  <si>
    <t>91341 MOD 1</t>
  </si>
  <si>
    <t>91341 MOD 2</t>
  </si>
  <si>
    <t>91341 MOD 3</t>
  </si>
  <si>
    <t>91341 MOD 4</t>
  </si>
  <si>
    <t>91341 MOD 5</t>
  </si>
  <si>
    <t>Caixilho fixo de alumínio para fachada, 710 x 720 cm, incluindo duas portas de abrir de duas folhas (180 x 210 cm), com barras antipânico, exclusive vidros (EA-05)</t>
  </si>
  <si>
    <t>Caixilho fixo de alumínio para fachada, 710 x 720 cm, incluindo uma porta de abrir de duas folhas (180 x 210 cm), com barras antipânico, exclusive vidros (EA-06)</t>
  </si>
  <si>
    <t>85010 MOD 1</t>
  </si>
  <si>
    <t>85010 MOD 2</t>
  </si>
  <si>
    <t>85010 MOD 3</t>
  </si>
  <si>
    <t>85010 MOD 4</t>
  </si>
  <si>
    <t>85010 MOD 5</t>
  </si>
  <si>
    <t>SBC</t>
  </si>
  <si>
    <t>Esquadria com montantes e quadro em alumínio, tipo maxim-ar, fixo e veneziana, 732 x 205 cm, inclusive pintura, exclusive vidros (EA-01)</t>
  </si>
  <si>
    <t>Esquadria com montantes e quadro em alumínio, tipo maxim-ar, fixo e veneziana, 732 x 205 cm,  inclusive pintura, exclusive vidros (EA-02)</t>
  </si>
  <si>
    <t>Esquadria com montantes e quadro em alumínio, tipo maxim-ar, fixo e veneziana, 754 x 205 cm, inclusive pintura, exclusive vidros (EA-03)</t>
  </si>
  <si>
    <t>Esquadria com montantes e quadro em alumínio, tipo basculante, fixo e veneziana, 3,75 x 100 cm, inclusive pintura, exclusive vidros (EA-04)</t>
  </si>
  <si>
    <t>JANELA EM ALUMÍNIO MAXIM AR, EXCLUSIVE VIDRO</t>
  </si>
  <si>
    <t>Porta de madeira, com enchimento sarrafeado, semioca, fechamento com chapas de MDF, revestimento das faces em laminado melamínico, com veneziana, inclusive batente, dobradiças, maçaneta, fechadura e batedor para piso, 90 x 210cm (PM-01)</t>
  </si>
  <si>
    <t>Porta de madeira, com enchimento sarrafeado, semioca, fechamento com chapas de MDF, revestimento das faces em laminado melamínico, com veneziana, inclusive dobradiças, batente, barra de apoio, proteção em chapa de aço, maçaneta, fechadura e batedor para piso, 90 x 210cm (PM-02)</t>
  </si>
  <si>
    <t>Porta de madeira, com enchimento sarrafeado, semioca, fechamento com chapas de MDF, revestimento das faces em laminado melamínico, com visor em vidro, duas folhas, inclusive batente, dobradiças, maçaneta, fechadura e batedor para piso, 130 x 210cm (PM-03)</t>
  </si>
  <si>
    <t>Porta de madeira, com enchimento sarrafeado, semioca, fechamento com chapas de MDF, revestimento das faces em laminado melamínico, com visor em vidro, uma folhas, inclusive batente, dobradiças, maçaneta, fechadura e batedor para piso, 90 x 210cm (PM-04 e PM-04a)</t>
  </si>
  <si>
    <t>Porta sarrafeada de 28mm em compensado de madeira naval, com revestimento em laminado melamínico para box dos sanitários, inclusive dobradiças, fechadura e tarjeta, 60 x 160 cm (PB-01)</t>
  </si>
  <si>
    <t>90844 MOD 1</t>
  </si>
  <si>
    <t>90844 MOD 2</t>
  </si>
  <si>
    <t>90844 MOD 3</t>
  </si>
  <si>
    <t>90844 MOD 4</t>
  </si>
  <si>
    <t>91009 MOD</t>
  </si>
  <si>
    <t>COTAÇÃO</t>
  </si>
  <si>
    <t>FIXADOR DE PORTA DE PRESSÃO PARA PISO</t>
  </si>
  <si>
    <t>VISOR EM ALUMÍNIO COM  VIDRO LISO</t>
  </si>
  <si>
    <t>04.01.300</t>
  </si>
  <si>
    <t>Vidros</t>
  </si>
  <si>
    <t>Vidro comum laminado, liso, incolor, duplo, espessura total 6 mm, colocado (EA-01, 02, 03, 04, 08, 09)</t>
  </si>
  <si>
    <t>Vidro comum laminado, liso, espelhado, duplo, espessura total 6 mm, colocado (EA07)</t>
  </si>
  <si>
    <t>Vidro comum laminado, liso, incolor, duplo, espessura total 8 mm, colocado (EA-05 e 06)</t>
  </si>
  <si>
    <t>Vidro comum laminado liso, incolor, duplo, espessura total 10mm, colocado (guarda-corpos)</t>
  </si>
  <si>
    <t>VIDRO LAMINADO INCOLOR DE 10MM</t>
  </si>
  <si>
    <t>04.01.312</t>
  </si>
  <si>
    <t>Espelho cristal, espessura 4mm, com parafusos de fixação, sem moldura, com pintura protetiva</t>
  </si>
  <si>
    <t>04.01.400</t>
  </si>
  <si>
    <t>Cobertura e fechamento lateral</t>
  </si>
  <si>
    <t>Rufo externo em chapa de aço galvanizado número 24, corte de 25cm, incluso transporte vertical</t>
  </si>
  <si>
    <t>Rufo tipo pingadeira em chapa de aço galvanizado número 24, incluso transporte vertical</t>
  </si>
  <si>
    <t>04.01.407</t>
  </si>
  <si>
    <t>94213 MOD</t>
  </si>
  <si>
    <t>F.14.000.025516</t>
  </si>
  <si>
    <t>TELHA EM CHAPA DE AÇO ZINCADO, PRÉ-PINTADO, PERFIL TRAPEZOIDAL, REF MBP-40</t>
  </si>
  <si>
    <t>04.01.510</t>
  </si>
  <si>
    <t>Revestimentos de piso</t>
  </si>
  <si>
    <t>Revestimento cerâmico para piso com placas tipo grês, dimensões 30 x 30 cm</t>
  </si>
  <si>
    <t>Piso de granito cinza andorinha, e = 20mm, acabamento flameado (escadas)</t>
  </si>
  <si>
    <t>Piso em granitina espessura acabada 15 mm, incluso juntas de dilatação plásticas</t>
  </si>
  <si>
    <t>04.01.511</t>
  </si>
  <si>
    <t>04.01.512</t>
  </si>
  <si>
    <t>04.01.515</t>
  </si>
  <si>
    <t>04.01.516</t>
  </si>
  <si>
    <t>04.01.529</t>
  </si>
  <si>
    <t>AGETOP</t>
  </si>
  <si>
    <t>Piso cimentado traço 1:3 (cimento e areia), acabamento liso espessura 2 cm, preparo mecânico da argamassa</t>
  </si>
  <si>
    <t>04.01.530</t>
  </si>
  <si>
    <t>Revestimentos de paredes</t>
  </si>
  <si>
    <t>Chapisco aplicado em paredes internas, com colher de pedreiro, argamassa traço 1:3 com preparo mecânico</t>
  </si>
  <si>
    <t xml:space="preserve">Emboço/massa única, traço 1:2:8, preparo mecânico, aplicado manualmente </t>
  </si>
  <si>
    <t>Revestimento cerâmico para paredes internas, meia parede ou parede inteira, com placas grês ou semi-grês 15x15 cm</t>
  </si>
  <si>
    <t>04.01.532</t>
  </si>
  <si>
    <t>04.01.534</t>
  </si>
  <si>
    <t>04.01.560</t>
  </si>
  <si>
    <t>Pinturas</t>
  </si>
  <si>
    <t>Aplicação e lixamento de massa látex em paredes, duas demãos</t>
  </si>
  <si>
    <t>Aplicação e lixamento de massa látex em teto duas demãos</t>
  </si>
  <si>
    <t>Aplicação de fundo selador acrílico em paredes, uma demão</t>
  </si>
  <si>
    <t>Aplicação de fundo selador látex PVA em teto, uma demão</t>
  </si>
  <si>
    <t>Aplicação manual de pintura com tinta látex PVA em teto, duas demãos</t>
  </si>
  <si>
    <t>Aplicação manual de tinta látex acrílica paredes, duas demãos</t>
  </si>
  <si>
    <t>Aplicação de fundo selador acrílico em estruturas de concreto aparente e nos pisos e soleiras de granitina, uma demão</t>
  </si>
  <si>
    <t>04.01.566</t>
  </si>
  <si>
    <t>04.01.569</t>
  </si>
  <si>
    <t>04.01.600</t>
  </si>
  <si>
    <t>Impermeabilizações</t>
  </si>
  <si>
    <t>Regularização de laje de cobertura com execução dos caimentos, com contrapiso de argamassa traço 1:4, espessura 3 cm</t>
  </si>
  <si>
    <t>Impermeabilização de superfície com manta asfáltica com polímeros tipo app, e=4mm, incluindo aplicação de primer (laje de cobertura)</t>
  </si>
  <si>
    <t>Contrapiso em argamassa traço 1:4 de cimento e areia, preparo mecânico com betoneira, aplicado em áreas molhadas sobre impermeabilização (proteção mecânica), espessura 3cm, armado com tela</t>
  </si>
  <si>
    <t>Impermeabilização de superfície com cimento especial cristalizante com adesivo líquido, uma demão (paredes dos banheiros, até meia altura)</t>
  </si>
  <si>
    <t>Impermeabilização de superfície com argamassa polimérica semi-flexível (na superfície do piso dos boxes dos chuveiros)</t>
  </si>
  <si>
    <t>87755 MOD</t>
  </si>
  <si>
    <t>98546 MOD</t>
  </si>
  <si>
    <t>Impermeabilização de superfície com manta asfáltica com polímeros tipo app, e=4mm, incluindo aplicação de primer (comum para laje de cobertura, antirraiz para reservatório enterrado)</t>
  </si>
  <si>
    <t>Pavimento térreo</t>
  </si>
  <si>
    <t>Pavimento superior</t>
  </si>
  <si>
    <t>Cobertura</t>
  </si>
  <si>
    <t>Área sobre portas</t>
  </si>
  <si>
    <t>Área sob esquadrias</t>
  </si>
  <si>
    <t>Ambos os pavimentos</t>
  </si>
  <si>
    <t>EA01</t>
  </si>
  <si>
    <t>EA02</t>
  </si>
  <si>
    <t>EA03</t>
  </si>
  <si>
    <t>EA04</t>
  </si>
  <si>
    <t>EA08</t>
  </si>
  <si>
    <t>EA09</t>
  </si>
  <si>
    <t>EA05</t>
  </si>
  <si>
    <t>EA06</t>
  </si>
  <si>
    <t>Guarda corpos das escadas</t>
  </si>
  <si>
    <t>Guarda corpo piso superior - GC06</t>
  </si>
  <si>
    <t>Guarda corpo piso superior - GC07</t>
  </si>
  <si>
    <t>Guarda corpo piso superior - GC08</t>
  </si>
  <si>
    <t>Sanitários masculino e feminino</t>
  </si>
  <si>
    <t>Sanitários PNE</t>
  </si>
  <si>
    <t>Ao redor das casas de máquinas</t>
  </si>
  <si>
    <t>Ao redor das paredes do reservatório superior</t>
  </si>
  <si>
    <t>Topo das paredes do reservatório</t>
  </si>
  <si>
    <t>Bordas das casas de máquinas</t>
  </si>
  <si>
    <t>Platibanda</t>
  </si>
  <si>
    <t>Áreas das casas de máquinas</t>
  </si>
  <si>
    <t>Área técnica (atrás do brise de fachada)</t>
  </si>
  <si>
    <t>Rampas de acesso</t>
  </si>
  <si>
    <t>Banheiros feminino e masculino</t>
  </si>
  <si>
    <t>Banheiros PNE</t>
  </si>
  <si>
    <t>Copa + DML</t>
  </si>
  <si>
    <t>Patamares das escadas</t>
  </si>
  <si>
    <t>Degraus</t>
  </si>
  <si>
    <t>Sob piso cerâmico</t>
  </si>
  <si>
    <t>Sob piso cimentado</t>
  </si>
  <si>
    <t>Pilares aparentes no térreo (interior)</t>
  </si>
  <si>
    <t>Pilares aparentes no pavto superior (interior)</t>
  </si>
  <si>
    <t>Vigas e pilares da fachada</t>
  </si>
  <si>
    <t>Acabamento nos rodapés subindo 30 cm</t>
  </si>
  <si>
    <t>Aplicação nos banheiros, sanitário PNE e copa</t>
  </si>
  <si>
    <t>Piso térreo</t>
  </si>
  <si>
    <t>Piso superior</t>
  </si>
  <si>
    <t>EA07</t>
  </si>
  <si>
    <t>PG-01: 4 unidades de 0,29x1,06m</t>
  </si>
  <si>
    <t>PG-02: 16 unidades de 0,17*0,95m</t>
  </si>
  <si>
    <t>DG01 (10 peças de 1,37 x 1,82)</t>
  </si>
  <si>
    <t>DG02 (2 peças de 0,28 x 1,82)</t>
  </si>
  <si>
    <t>DG03 (4 peças de 0,12 x 1,82)</t>
  </si>
  <si>
    <t>DG04 (8 peças de 0,38 x 1,82)</t>
  </si>
  <si>
    <t>DG05 (4 peças de 1,47 x 1,82)</t>
  </si>
  <si>
    <t>DG06 (4 peças de 0,93 x 1,82)</t>
  </si>
  <si>
    <t>DG07 (4 peças de 0,23 x 1,82)</t>
  </si>
  <si>
    <t>DG08 (4 peças de 0,32 x 1,82)</t>
  </si>
  <si>
    <t>DG09 (2 peças de 0,42 x 1,82)</t>
  </si>
  <si>
    <t>DG10 (4 peças de 0,67 x 1,82)</t>
  </si>
  <si>
    <t>DG11 (2 peças de 0,25 x 1,82)</t>
  </si>
  <si>
    <t>BG01</t>
  </si>
  <si>
    <t>BG02</t>
  </si>
  <si>
    <t>BG03</t>
  </si>
  <si>
    <t>BG04</t>
  </si>
  <si>
    <t>BG05</t>
  </si>
  <si>
    <t>BG06</t>
  </si>
  <si>
    <t>BG07</t>
  </si>
  <si>
    <t>BG08</t>
  </si>
  <si>
    <t>BG09</t>
  </si>
  <si>
    <t>BG10</t>
  </si>
  <si>
    <t>BG11</t>
  </si>
  <si>
    <t>BG12</t>
  </si>
  <si>
    <t>BG13</t>
  </si>
  <si>
    <t>BG14</t>
  </si>
  <si>
    <t>BG15</t>
  </si>
  <si>
    <t>BG16</t>
  </si>
  <si>
    <t>BG17</t>
  </si>
  <si>
    <t>BG18</t>
  </si>
  <si>
    <t>BG19</t>
  </si>
  <si>
    <t>BG20</t>
  </si>
  <si>
    <t>BG21</t>
  </si>
  <si>
    <t>BG22</t>
  </si>
  <si>
    <t>BG23</t>
  </si>
  <si>
    <t>BG25</t>
  </si>
  <si>
    <t>BG24</t>
  </si>
  <si>
    <t>GC1 e CG1a</t>
  </si>
  <si>
    <t>GC2 e CG2a</t>
  </si>
  <si>
    <t>GC3 e CG3a</t>
  </si>
  <si>
    <t>GC4 e CG4a</t>
  </si>
  <si>
    <t>GC5 e CG5a</t>
  </si>
  <si>
    <t>GC6</t>
  </si>
  <si>
    <t>GC7</t>
  </si>
  <si>
    <t>GC8</t>
  </si>
  <si>
    <t>GC9</t>
  </si>
  <si>
    <t>Guarda corpo rampa 2 - GC03</t>
  </si>
  <si>
    <t>Guarda corpo rampa 3 - GC04</t>
  </si>
  <si>
    <t>Guarda corpo rampa 1 - GC01</t>
  </si>
  <si>
    <t>Guarda corpo rampa 2 - GC01</t>
  </si>
  <si>
    <t>Guarda corpo rampa 2 - GC02</t>
  </si>
  <si>
    <t>Guarda corpo rampa 3 - GC02</t>
  </si>
  <si>
    <t>03.02.440</t>
  </si>
  <si>
    <t>Base em concreto para bancadas de granito (BG01 a BG19)</t>
  </si>
  <si>
    <t>03.02.441</t>
  </si>
  <si>
    <t>Bancadas de granito</t>
  </si>
  <si>
    <t>Montagem e desmontagem de forma para pilares retangulares e estruturas similares, com área média das seções menor ou igual a 0,25m2, em chapa de madeira compensada plastificada, 10 utilizações</t>
  </si>
  <si>
    <t>Concreto fck = 15 MPa, traço 1:3,4:3,5 (cimento/areia média/brita 1), preparo mecânico com betoneira</t>
  </si>
  <si>
    <t>03.02.443</t>
  </si>
  <si>
    <t>04.01.602</t>
  </si>
  <si>
    <t>04.01.609</t>
  </si>
  <si>
    <t>Rodapé em granito, altura 10 cm</t>
  </si>
  <si>
    <t>Aplicação nos banheiros, sanitário PNE, copa e bancadas da entrada</t>
  </si>
  <si>
    <t>Rodapé em granitina, altura 10 cm</t>
  </si>
  <si>
    <t>04.01.702</t>
  </si>
  <si>
    <t>Soleira de granito, largura 15cm, espessura 3cm, assentada sobre argamassa traço 1:4 (cimento e areia)</t>
  </si>
  <si>
    <t>Peitoril em peças de concreto pré-fabricadas, espessura 50mm</t>
  </si>
  <si>
    <t>04.01.703</t>
  </si>
  <si>
    <t>04.01.705</t>
  </si>
  <si>
    <t>Prateleiras em placas de granito, espessura 20mm, polido em todas as faces aparentes, exclusive mão-francesa (PG-01 e PG-02)</t>
  </si>
  <si>
    <t>86895 MOD</t>
  </si>
  <si>
    <t>Mão-francesa em aço, abas iguais, 30cm, capacidade mínima de 60 kg, branca, fornecimento e instalação (bancadas BG-20 a BG-25 e prateleiras)</t>
  </si>
  <si>
    <t>04.01.809</t>
  </si>
  <si>
    <t>Guarda-corpo de montantes em chapa metálica, com acabamento em pintura esmalte branco brilhante e VEDAÇÃO EM VIDRO, com corrimãos nas alturas de 92 e 70cm EM UMA FACE, exclusive vidros (escadas internas e pavimento superior)</t>
  </si>
  <si>
    <t>Guarda-corpo de montantes em chapa metálica, com acabamento em pintura esmalte branco brilhante e VEDAÇÃO EM TELA METÁLICA, sem corrimãos</t>
  </si>
  <si>
    <t>Guarda-corpo de montantes em chapa metálica, com acabamento em pintura esmalte branco brilhante e VEDAÇÃO EM TELA METÁLICA, com corrimãos nas alturas de 92 e 70cm EM UMA FACE</t>
  </si>
  <si>
    <t>Guarda-corpo de montantes em chapa metálica, com acabamento em pintura esmalte branco brilhante e VEDAÇÃO EM TELA METÁLICA, com corrimãos nas alturas de 92 e 70cm EM AMBAS AS FACES</t>
  </si>
  <si>
    <t>Alçapão em ferro 70 x 85 cm, incluso ferragens (acesso à cobertura)</t>
  </si>
  <si>
    <t>Escada tipo marinheiro em aço CA-50 9,52mm, incluso pintura com fundo anticorrosivo tipo zarcão (instalada dentro do shaft, para acesso à cobertura, e junto às caixas d'água, para manutenção)</t>
  </si>
  <si>
    <t>04.01.805</t>
  </si>
  <si>
    <t>79627 MOD</t>
  </si>
  <si>
    <t>04.01.120</t>
  </si>
  <si>
    <t>Bancadas em granito cinza andorinha ou desireé (BG01 a BG25)</t>
  </si>
  <si>
    <t>Rodabancada em granito polido</t>
  </si>
  <si>
    <t>SUBTOTAL (04.01.000)</t>
  </si>
  <si>
    <t>Saboneteira de embutir em louça branca, 15 x 15 cm, fornecimento e instalação</t>
  </si>
  <si>
    <t>Cabide de louça branco</t>
  </si>
  <si>
    <t>Dispenser de papel higiênico tipo rolão em plástico ABS de alta resistência, cor branca</t>
  </si>
  <si>
    <t>Toalheiro interfolha em plástico ABS de alta resistência, cor branca</t>
  </si>
  <si>
    <t>Saboneteira spray em plástico ABS de alta resistência, cor branca</t>
  </si>
  <si>
    <t>Assento para bacia sanitária em cor branca</t>
  </si>
  <si>
    <t>Assento para bacia sanitária para PCD, cor branca</t>
  </si>
  <si>
    <t>Barra de apoio reta, fixa, em aço inox, L = 80 cm</t>
  </si>
  <si>
    <t>Barra de apoio para lavatório, fixa, em aço inox</t>
  </si>
  <si>
    <t>SABONETEIRA BRANCA 15X15 CM (REF DECA A180 OU SIMILAR)</t>
  </si>
  <si>
    <t>CABIDE DE LOUÇA, REF DECA A680 OU SIMILAR</t>
  </si>
  <si>
    <t>ASSENTO PARA VASO SANITÁRIO PARA PESSOA COM DEFICIÊNCIA</t>
  </si>
  <si>
    <t>TOTAL (04.00.000)</t>
  </si>
  <si>
    <t>05.01.200</t>
  </si>
  <si>
    <t>Tubulações e conexões de PVC rígido</t>
  </si>
  <si>
    <t>SUBTOTAL (05.01.000)</t>
  </si>
  <si>
    <t>Tubo de PVC soldável, DN 25mm, para água fria, fornecimento e instalação</t>
  </si>
  <si>
    <t>Tubo de PVC soldável, DN 32mm, para água fria, fornecimento e instalação</t>
  </si>
  <si>
    <t>Tubo de PVC soldável, DN 40mm, para água fria, fornecimento e instalação</t>
  </si>
  <si>
    <t>Tubo de PVC soldável, DN 50mm, para água fria, fornecimento e instalação</t>
  </si>
  <si>
    <t>Tubo de PVC soldável, DN 60mm, para água fria, fornecimento e instalação</t>
  </si>
  <si>
    <t>Tubo de PVC soldável, DN 75mm, para água fria, fornecimento e instalação</t>
  </si>
  <si>
    <t>Adaptador com flange livre, PVC soldável, DN 50mm x 1 1/2", instalado em reservação de água de edificação, fornecimento e instalação</t>
  </si>
  <si>
    <t>Adaptador com flange livre, PVC soldável, DN 75mm x 2 1/2", instalado em reservação de água de edificação, fornecimento e instalação</t>
  </si>
  <si>
    <t>Adaptador curto com bolsa e rosca para registro, PVC soldável, DN 25mm - 3/4", fornecimento e instalação</t>
  </si>
  <si>
    <t>Adaptador curto com bolsa e rosca para registro, PVC soldável, DN 32mm - 1", fornecimento e instalação</t>
  </si>
  <si>
    <t>Adaptador curto com bolsa e rosca para registro, PVC soldável, DN 50mm - 1 1/2", fornecimento e instalação</t>
  </si>
  <si>
    <t>Bucha de redução PVC soldável curta, 32mm-25mm</t>
  </si>
  <si>
    <t>Bucha de redução PVC soldável curta, 40mm-32mm</t>
  </si>
  <si>
    <t>Bucha de redução PVC soldável curta, 50mm-40mm</t>
  </si>
  <si>
    <t>Bucha de redução PVC soldável curta, 60mm-50mm</t>
  </si>
  <si>
    <t>Bucha de redução PVC soldável curta, 75mm-60mm</t>
  </si>
  <si>
    <t>Bucha de redução PVC soldável longa, 40mm-25mm</t>
  </si>
  <si>
    <t>Bucha de redução PVC soldável longa, 50mm-25mm</t>
  </si>
  <si>
    <t>Bucha de redução PVC soldável longa, 50mm-32mm</t>
  </si>
  <si>
    <t>90375 MOD 1</t>
  </si>
  <si>
    <t>90375 MOD 2</t>
  </si>
  <si>
    <t>90375 MOD 3</t>
  </si>
  <si>
    <t>90375 MOD 4</t>
  </si>
  <si>
    <t>90375 MOD 5</t>
  </si>
  <si>
    <t>90375 MOD 6</t>
  </si>
  <si>
    <t>90375 MOD 7</t>
  </si>
  <si>
    <t>Cap PVC 25mm, soldável, fornecimento e instalação</t>
  </si>
  <si>
    <t>72293 MOD</t>
  </si>
  <si>
    <t>05.01.204</t>
  </si>
  <si>
    <t>Curva 45 graus PVC soldável, DN 25mm, fornecimento e instalação</t>
  </si>
  <si>
    <t>Curva 45 graus PVC soldável, DN 75mm, fornecimento e instalação</t>
  </si>
  <si>
    <t>Curva 90 graus PVC soldável, DN 25mm, fornecimento e instalação</t>
  </si>
  <si>
    <t>Curva 90 graus PVC soldável, DN 32mm, fornecimento e instalação</t>
  </si>
  <si>
    <t>Curva 90 graus PVC soldável, DN 40mm, fornecimento e instalação</t>
  </si>
  <si>
    <t>Curva 90 graus PVC soldável, DN 50mm, fornecimento e instalação</t>
  </si>
  <si>
    <t>Curva 90 graus PVC soldável, DN 60mm, fornecimento e instalação</t>
  </si>
  <si>
    <t>Curva 90 graus PVC soldável, DN 75mm, fornecimento e instalação</t>
  </si>
  <si>
    <t>Joelho 45 graus, PVC, soldável, DN 50mm, fornecimento e instalação</t>
  </si>
  <si>
    <t>Joelho 90 graus com bucha de latão, PVC, soldável, DN 25 x 3/4", fornecimento e instalação</t>
  </si>
  <si>
    <t>Joelho 90 graus com bucha de latão, PVC, soldável, DN 25 x 1/2", fornecimento e instalação</t>
  </si>
  <si>
    <t>Joelho 90 graus com bucha de latão, PVC, soldável, DN 32 x 1", fornecimento e instalação</t>
  </si>
  <si>
    <t>Joelho 90 graus com bucha de latão e rosca, PVC, soldável, 1/2" ou 3/4", fornecimento e instalação</t>
  </si>
  <si>
    <t>Joelho de redução 90 graus PVC soldável, 32mm-25mm ou 40mm-32mm, fornecimento e instalação</t>
  </si>
  <si>
    <t>89366 MOD 1</t>
  </si>
  <si>
    <t>89366 MOD 2</t>
  </si>
  <si>
    <t>89366 MOD 3</t>
  </si>
  <si>
    <t>89367 MOD</t>
  </si>
  <si>
    <t>Luva de redução, PVC, soldável, DN 32mm x 25mm, fornecimento e instalação</t>
  </si>
  <si>
    <t>Luva de redução, PVC, soldável, DN 50mm x 25mm, fornecimento e instalação</t>
  </si>
  <si>
    <t>Luva com bucha de latão, PVC, soldável, DN 25mm x 1/2", fornecimento e instalação</t>
  </si>
  <si>
    <t>Luva soldável e com rosca, PVC, soldável, DN 25mm x 3/4", fornecimento e instalação</t>
  </si>
  <si>
    <t>Luva soldável e com rosca, PVC, soldável, DN 32mm x 1", fornecimento e instalação</t>
  </si>
  <si>
    <t>Luva de PVC soldável, DN 75mm, fornecimento e instalação</t>
  </si>
  <si>
    <t>Luva de PVC soldável, DN 50mm, fornecimento e instalação</t>
  </si>
  <si>
    <t>89381 MOD</t>
  </si>
  <si>
    <t>Tê de PVC soldável, DN 25mm, fornecimento e instalação</t>
  </si>
  <si>
    <t>Tê de PVC soldável, DN 32mm, fornecimento e instalação</t>
  </si>
  <si>
    <t>Tê de PVC soldável, DN 40mm, fornecimento e instalação</t>
  </si>
  <si>
    <t>Tê de PVC soldável, DN 50mm, fornecimento e instalação</t>
  </si>
  <si>
    <t>Tê de PVC soldável, DN 60mm, fornecimento e instalação</t>
  </si>
  <si>
    <t>Tê de PVC soldável, DN 75mm, fornecimento e instalação</t>
  </si>
  <si>
    <t>Tê de redução, de PVC soldável, DN 32mm-25mm, fornecimento e instalação</t>
  </si>
  <si>
    <t>Tê de redução, de PVC soldável, DN 40mm-32mm, fornecimento e instalação</t>
  </si>
  <si>
    <t>Tê de redução, de PVC soldável, DN 75mm-50mm, fornecimento e instalação</t>
  </si>
  <si>
    <t>Tê de redução, de PVC soldável, com bucha latão na bolsa central, 25mm - 1/2", fornecimento e instalação</t>
  </si>
  <si>
    <t>Tê de PVC soldável, com bucha latão na bolsa central, 25mm - 3/4", fornecimento e instalação</t>
  </si>
  <si>
    <t>União de PVC soldável, DN 50mm, fornecimento e instalação</t>
  </si>
  <si>
    <t>05.01.210</t>
  </si>
  <si>
    <t>05.01.500</t>
  </si>
  <si>
    <t>Aparelhos e acessórios sanitários</t>
  </si>
  <si>
    <t xml:space="preserve"> Lavatório louça (tipo Deca-Linha Vogue Plus Conforto, ref L-510 ou similar) com coluna suspensa, (tipo Deca, Linha Vogue Plus Conforto, ref. C-510 ou similar), c/ sifão cromado, válvula cromada, engate cromado, exclusive torneira</t>
  </si>
  <si>
    <t>Mictório sifonado de louça branca com pertences, com registro de pressão 1/2" com canopla cromada, acabamento simples e conjunto para fixação</t>
  </si>
  <si>
    <t>Cuba simples de embutir em aço inox, retangular, dimensões 30 x 46 x 17 cm, acabamento interno em alto brilho escovado, inclusive sifão e válvula</t>
  </si>
  <si>
    <t>Cuba simples de embutir em aço inox, retangular, dimensões 49,5 x 39 x 25 cm, acabamento interno em alto brilho ou escovado, inclusive sifão e válvula</t>
  </si>
  <si>
    <t>Cuba simples de embutir em aço inox, retangular, dimensões 60 x 50 x 27 cm, acabamento interno em alto brilho ou escovado, inclusive sifão e válvula</t>
  </si>
  <si>
    <t>Cuba simples de embutir em aço inox, retangular, dimensões 43 x 53 x 50 cm, acabamento interno em alto brilho ou escovado, inclusive sifão e válvula</t>
  </si>
  <si>
    <t>Tanque de louça branca com coluna, incluso conjunto de fixação</t>
  </si>
  <si>
    <t>Torneira cromada de mesa para lavatório, com fechamento automático</t>
  </si>
  <si>
    <t>Torneira cromada tubo móvel, de parede 1/2" ou 3/4", para pia, padrão médio, fornecimento e instalação</t>
  </si>
  <si>
    <t>Torneira para lavatório cirúrgico, com acionamento por cotovelo</t>
  </si>
  <si>
    <t>Torneira de jardim, cromada, 1/2" ou 3/4"</t>
  </si>
  <si>
    <t>Torneira cromada 1/2" com adaptador para mangueira, fornecimento e instalação</t>
  </si>
  <si>
    <t>Registro de pressão bruto de latão, roscável, 3/4", com acabamento e canopla cromados, fornecido e instalado em ramal de água</t>
  </si>
  <si>
    <t>Registro de gaveta bruto de latão, roscável, 3/4", com acabamento e canopla cromados, fornecido e instalado em ramal de água</t>
  </si>
  <si>
    <t>Registro de gaveta bruto de latão, roscável, 1", com acabamento e canopla cromados, fornecido e instalado</t>
  </si>
  <si>
    <t>Registro de gaveta bruto de latão, roscável, 2 1/2", fornecido e instalado</t>
  </si>
  <si>
    <t>Registro de gaveta bruto de latão, roscável, 1 1/2", fornecido e instalado</t>
  </si>
  <si>
    <t>Chuveiro elétrico comum, corpo plástico, tipo ducha, fornecimento e instalação</t>
  </si>
  <si>
    <t>Chuveiro de emergência com lava olhos, com bacia em aço inox, fornecimento e instalação</t>
  </si>
  <si>
    <t>Válvula de descarga 1 1/2" com registro, acabamento em metal cromado, fornecimento e instalação</t>
  </si>
  <si>
    <t>05.01.508</t>
  </si>
  <si>
    <t>86936 MOD 1</t>
  </si>
  <si>
    <t>86936 MOD 2</t>
  </si>
  <si>
    <t>86936 MOD 3</t>
  </si>
  <si>
    <t>05.01.511</t>
  </si>
  <si>
    <t>86915 MOD</t>
  </si>
  <si>
    <t>86914 MOD</t>
  </si>
  <si>
    <t>05.01.515</t>
  </si>
  <si>
    <t>05.01.519</t>
  </si>
  <si>
    <t>LAVATÓRIO LOUÇA. REF L510 VOGUE PLUS CONFORTO DECA OU SIMILAR</t>
  </si>
  <si>
    <t>COLUNA SUSPENSA DE LOUÇA PARA LAVATÓRIO, LINHA VOGUE PLUS CONFORTO DECA OU SIMILAR</t>
  </si>
  <si>
    <t>CUBA AÇO INOX GRANDE, DIMENSÕES 60 X 50 X 30 CM</t>
  </si>
  <si>
    <t>TORNEIRA PARA LAVATÓRIO CIRURGICO, ACIONAMENTO POR COTOVELO</t>
  </si>
  <si>
    <t>CHUVEIRO E LAVA OLHOS DE EMERGENCIA E BACIA EM AÇO INOX</t>
  </si>
  <si>
    <t>05.01.600</t>
  </si>
  <si>
    <t>Equipamentos</t>
  </si>
  <si>
    <t>Bomba Schneider ME-1210 1CV</t>
  </si>
  <si>
    <t>Caixa de comando para bomba</t>
  </si>
  <si>
    <t>Chave de boia automática</t>
  </si>
  <si>
    <t>Chave de boia automática superior</t>
  </si>
  <si>
    <t>Reservatório metálico cilíndrico horizontal - capacidade de 20.000 L, inclusive içamento</t>
  </si>
  <si>
    <t>Hidrômetro multijato vazão 7m3/h</t>
  </si>
  <si>
    <t>Kit cavalete para medição de água, entrada principal em PVC 25mm, para um medidor, fornecimento e instalação, exclusive hidrômetro</t>
  </si>
  <si>
    <t>Caixa em concreto pré-moldado para abrigo de hidrômetro, fornecimento e instalação</t>
  </si>
  <si>
    <t>95675 MOD</t>
  </si>
  <si>
    <t>05.01.603</t>
  </si>
  <si>
    <t>05.01.608</t>
  </si>
  <si>
    <t>48.03.138</t>
  </si>
  <si>
    <t>SUBTOTAL (05.03.000)</t>
  </si>
  <si>
    <t>Tubos e conexões de ferro fundido</t>
  </si>
  <si>
    <t>Ralo hemisférico em ferro fundido, tipo abacaxi, 100mm</t>
  </si>
  <si>
    <t>05.03.114</t>
  </si>
  <si>
    <t>05.03.300</t>
  </si>
  <si>
    <t>Tubos e conexões de PVC</t>
  </si>
  <si>
    <t>Tubo de PVC série R para águas pluviais, diâmetro 100mm, fornecido e instalado</t>
  </si>
  <si>
    <t>Cap PVC 100mm, fornecimento e instalação</t>
  </si>
  <si>
    <r>
      <t>Curva PVC longa 45</t>
    </r>
    <r>
      <rPr>
        <sz val="11"/>
        <rFont val="Calibri"/>
        <family val="2"/>
      </rPr>
      <t>°, série R, água pluvial, DN 100mm, junta elástica, fornecida e instalada</t>
    </r>
  </si>
  <si>
    <t>Curva PVC curta 90°, série R, água pluvial, DN 100mm, junta elástica, fornecida e instalada</t>
  </si>
  <si>
    <t>Junção simples PVC, série R, água pluvial, DN 100 x 100mm, junta elástica, fornecida e instalada</t>
  </si>
  <si>
    <t>Luva simples PVC, série R, água pluvial, DN 100mm, junta elástica, fornecida e instalada</t>
  </si>
  <si>
    <t>Luva de correr PVC, série R, água pluvial, DN 100mm, junta elástica, fornecida e instalada</t>
  </si>
  <si>
    <t>95695 MOD</t>
  </si>
  <si>
    <t>05.03.301</t>
  </si>
  <si>
    <t>05.03.302</t>
  </si>
  <si>
    <t>05.03.306</t>
  </si>
  <si>
    <t>05.03.900</t>
  </si>
  <si>
    <t>Caixas</t>
  </si>
  <si>
    <t>Caixa de areia 60x60x60 em alvenaria</t>
  </si>
  <si>
    <t>Tampa de concreto armado 60x60x5 para caixa</t>
  </si>
  <si>
    <t>Escavação manual de valas para caixas de areia</t>
  </si>
  <si>
    <t>Junta argamassada entre tubo DN 100 mm e caixa de areia</t>
  </si>
  <si>
    <t>05.03.901</t>
  </si>
  <si>
    <t>05.03.902</t>
  </si>
  <si>
    <t>05.03.903</t>
  </si>
  <si>
    <t>05.03.904</t>
  </si>
  <si>
    <t>72285 MOD</t>
  </si>
  <si>
    <t>Tubulações e conexões de PVC</t>
  </si>
  <si>
    <t>SUBTOTAL (05.04.000)</t>
  </si>
  <si>
    <t>Tubo de PVC, série normal, esgoto predial, DN 40mm, fornecimento e instalação</t>
  </si>
  <si>
    <t>Tubo de PVC, série normal, esgoto predial, DN 50mm, fornecimento e instalação</t>
  </si>
  <si>
    <t>Tubo de PVC, série normal, esgoto predial, DN 75mm, fornecimento e instalação</t>
  </si>
  <si>
    <t>Tubo de PVC, série normal, esgoto predial, DN 100mm, fornecimento e instalação</t>
  </si>
  <si>
    <t>Tubo de PVC, série normal, esgoto predial, DN 150mm, fornecimento e instalação</t>
  </si>
  <si>
    <t>Cap PVC 50mm (tampão), fornecimento e instalação</t>
  </si>
  <si>
    <t>Cap PVC 75mm (tampão), fornecimento e instalação</t>
  </si>
  <si>
    <t>Cap PVC 100mm (tampão), fornecimento e instalação</t>
  </si>
  <si>
    <t>Curva 45 graus, PVC, esgoto predial, DN 75mm, fornecimento e instalação</t>
  </si>
  <si>
    <t>Curva longa 45 graus, PVC, esgoto predial, DN 40mm, fornecimento e instalação</t>
  </si>
  <si>
    <t>Curva longa 45 graus, PVC, esgoto predial, DN 50mm, fornecimento e instalação</t>
  </si>
  <si>
    <t>Curva longa 45 graus, PVC, esgoto predial, DN 75mm, fornecimento e instalação</t>
  </si>
  <si>
    <t>Curva longa 45 graus, PVC, esgoto predial, DN 100mm, fornecimento e instalação</t>
  </si>
  <si>
    <t>Curva curta 90 graus, PVC, esgoto predial, DN 40mm, fornecimento e instalação</t>
  </si>
  <si>
    <t>Curva curta 90 graus, PVC, esgoto predial, DN 50mm, fornecimento e instalação</t>
  </si>
  <si>
    <t>Curva curta 90 graus, PVC, esgoto predial, DN 75mm, fornecimento e instalação</t>
  </si>
  <si>
    <t>Curva curta 90 graus, PVC, esgoto predial, DN 100mm, fornecimento e instalação</t>
  </si>
  <si>
    <t>Curva longa 90 graus, PVC, esgoto predial, DN 50 mm, fornecimento e instalação</t>
  </si>
  <si>
    <t>Curva longa 90 graus, PVC, esgoto predial, DN 75 mm, fornecimento e instalação</t>
  </si>
  <si>
    <t>Curva longa 90 graus, PVC, esgoto predial, DN 100 mm, fornecimento e instalação</t>
  </si>
  <si>
    <t>Joelho 45 graus, PVC, esgoto predial, DN 40mm, fornecimento e instalação</t>
  </si>
  <si>
    <t>Joelho 45 graus, PVC, esgoto predial, DN 50mm, fornecimento e instalação</t>
  </si>
  <si>
    <t>Joelho 45 graus, PVC, esgoto predial, DN 75mm, fornecimento e instalação</t>
  </si>
  <si>
    <t>Joelho 45 graus, PVC, esgoto predial, DN 100mm, fornecimento e instalação</t>
  </si>
  <si>
    <t>Joelho 90 graus, PVC, esgoto predial, DN 40mm, fornecimento e instalação</t>
  </si>
  <si>
    <t>Joelho 90 graus, PVC, esgoto predial, DN 50mm, fornecimento e instalação</t>
  </si>
  <si>
    <t>Joelho 90 graus, PVC, esgoto predial, DN 75mm, fornecimento e instalação</t>
  </si>
  <si>
    <t>Joelho 90 graus, PVC, esgoto predial, DN 100mm, fornecimento e instalação</t>
  </si>
  <si>
    <t>Joelho 90 graus, PVC, esgoto predial, com visita, DN 100x50mm, fornecimento e instalação</t>
  </si>
  <si>
    <t>Junção simples, PVC, esgoto predial, DN 75x50mm, fornecimento e instalação</t>
  </si>
  <si>
    <t>Junção simples, PVC, esgoto predial, DN 100x50mm, fornecimento e instalação</t>
  </si>
  <si>
    <t>Junção simples, PVC, esgoto predial, DN 100x75mm, fornecimento e instalação</t>
  </si>
  <si>
    <t>Junção simples, PVC, esgoto predial, DN 50x50mm, fornecimento e instalação</t>
  </si>
  <si>
    <t>Junção simples, PVC, esgoto predial, DN 75x75mm, fornecimento e instalação</t>
  </si>
  <si>
    <t>Junção simples, PVC, esgoto predial, DN 100x100mm, fornecimento e instalação</t>
  </si>
  <si>
    <t>Luva simples, PVC, esgoto predial, DN 50mm, fornecimento e instalação</t>
  </si>
  <si>
    <t>Luva simples, PVC, esgoto predial, DN 75mm, fornecimento e instalação</t>
  </si>
  <si>
    <t>Luva simples, PVC, esgoto predial, DN 100mm, fornecimento e instalação</t>
  </si>
  <si>
    <t>Luva de correr, PVC, esgoto predial, DN 75mm, fornecimento e instalação</t>
  </si>
  <si>
    <t>Bucha de redução, PVC, esgoto predial, DN 50x40mm, fornecimento e instalação</t>
  </si>
  <si>
    <t>Redução excêntrica, PVC, esgoto predial, DN 75x50mm, fornecimento e instalação</t>
  </si>
  <si>
    <t>Redução excêntrica, PVC, esgoto predial, DN 100x75mm, fornecimento e instalação</t>
  </si>
  <si>
    <t>Tê, PVC, esgoto predial, DN 50x50mm, fornecimento e instalação</t>
  </si>
  <si>
    <t>Tê, PVC, esgoto predial, DN 75x75mm, fornecimento e instalação</t>
  </si>
  <si>
    <t>Tê, PVC, esgoto predial, DN 100x100mm, fornecimento e instalação</t>
  </si>
  <si>
    <t>Tê de redução, PVC, esgoto predial, DN 100x75mm, fornecimento e instalação</t>
  </si>
  <si>
    <t>Tê de redução, PVC, esgoto predial, DN 75x50mm, fornecimento e instalação</t>
  </si>
  <si>
    <t>Terminal de ventilação, PVC, esgoto predial, DN 100mm, fornecimento e instalação</t>
  </si>
  <si>
    <t>89524 MOD</t>
  </si>
  <si>
    <t>89735 MOD</t>
  </si>
  <si>
    <t>89750 MOD</t>
  </si>
  <si>
    <t>89730 MOD</t>
  </si>
  <si>
    <t>89743 MOD</t>
  </si>
  <si>
    <t>89809 MOD</t>
  </si>
  <si>
    <t>89795 MOD</t>
  </si>
  <si>
    <t>89797 MOD</t>
  </si>
  <si>
    <t>89829 MOD</t>
  </si>
  <si>
    <t>05.04.800</t>
  </si>
  <si>
    <t>Acessórios</t>
  </si>
  <si>
    <t>Caixa sifonada PVC 100x150x50mm, com grelha quadrada branca</t>
  </si>
  <si>
    <t>Caixa sifonada PVC 150x150x50mm, com grelha quadrada branca</t>
  </si>
  <si>
    <t>Caixa sifonada PVC 150x185x75mm com grelha quadrada branca</t>
  </si>
  <si>
    <t>Caixa de gordura 60x60x60cm, em alvenaria</t>
  </si>
  <si>
    <t>Caixa de inspeção 80x80x80cm em alvenaria</t>
  </si>
  <si>
    <t>05.04.806</t>
  </si>
  <si>
    <t>89708 MOD 1</t>
  </si>
  <si>
    <t>89708 MOD 2</t>
  </si>
  <si>
    <t>Caixa de gordura 80x80x80cm, em alvenaria</t>
  </si>
  <si>
    <t>SINAPI ANTIGO</t>
  </si>
  <si>
    <t>TOTAL (05.00.000)</t>
  </si>
  <si>
    <t>06.01.300</t>
  </si>
  <si>
    <t>Redes em média e baixa tensão</t>
  </si>
  <si>
    <t>Eletroduto rígido roscável, PVC, DN 25mm (3/4), aparente</t>
  </si>
  <si>
    <t>Eletroduto rígido roscável, PVC, DN 32mm (1"), aparente</t>
  </si>
  <si>
    <t>Eletroduto PVC rígido roscável 1 1/2"</t>
  </si>
  <si>
    <t>Eletroduto PVC rígido roscável 4"</t>
  </si>
  <si>
    <t>Cabo de cobre flexível isolado, #2,5mm2, anti-chama, 450/750V,  fornecimento e instalação</t>
  </si>
  <si>
    <t>Cabo de cobre flexível isolado, #4,0mm2, anti-chama, 450/750V,  fornecimento e instalação</t>
  </si>
  <si>
    <t>Cabo de cobre flexível isolado, #6,0mm2, anti-chama, 450/750V,  fornecimento e instalação</t>
  </si>
  <si>
    <t>Cabo de cobre flexível, isolação EPR, 0,6/1kV, #4,0mm2, fornecimento e instalação</t>
  </si>
  <si>
    <t>Cabo de cobre flexível, isolação EPR, 0,6/1kV, #6,0mm2, fornecimento e instalação</t>
  </si>
  <si>
    <t>Cabo de cobre flexível, isolação EPR, 0,6/1kV, #10mm2, fornecimento e instalação</t>
  </si>
  <si>
    <t>Cabo de cobre flexível, isolação EPR, 0,6/1kV, #16mm2, fornecimento e instalação</t>
  </si>
  <si>
    <t>Cabo de cobre flexível, isolação EPR, 0,6/1kV, #25mm2, fornecimento e instalação</t>
  </si>
  <si>
    <t>Cabo de cobre flexível, isolação EPR, 0,6/1kV, #35mm2, fornecimento e instalação</t>
  </si>
  <si>
    <t>Cabo de cobre flexível, isolação EPR, 0,6/1kV, #50mm2, fornecimento e instalação</t>
  </si>
  <si>
    <t>Cabo de cobre flexível, isolação EPR, 0,6/1kV, #70mm2, fornecimento e instalação</t>
  </si>
  <si>
    <t>Cabo de cobre flexível, isolação EPR, 0,6/1kV, #95mm2, fornecimento e instalação</t>
  </si>
  <si>
    <t>Cabo de cobre flexível, isolação EPR, 0,6/1kV, #185mm2, fornecimento e instalação</t>
  </si>
  <si>
    <t>Caixa de passagem de embutir, em chapa de aço galvanizado, dimensões 20x20x12</t>
  </si>
  <si>
    <t>Caixa de passagem de embutir, em chapa de aço galvanizado, dimensões 80x80x12cm</t>
  </si>
  <si>
    <t>Caixa retangular, 4" x 4", a 30cm do piso, metálica, instalada em parede</t>
  </si>
  <si>
    <t>Caixa metálica sextavada 3" x 3", instalada no teto</t>
  </si>
  <si>
    <t>Caixa metálica octogonal 4" x 4", instalada no teto</t>
  </si>
  <si>
    <t>Caixa PVC octogonal 4" x 4", instalada no teto</t>
  </si>
  <si>
    <t>Caixa de passagem 50x50x60, fundo brita</t>
  </si>
  <si>
    <t>Caixa de passagem 80x80x60, fundo brita</t>
  </si>
  <si>
    <t>Disjuntor monopolar tipo DIN, corrente nominal 16A, fornecimento e instalação</t>
  </si>
  <si>
    <t>Disjuntor monopolar tipo DIN, corrente nominal 20A, fornecimento e instalação</t>
  </si>
  <si>
    <t>Disjuntor monopolar tipo DIN, corrente nominal 32A, fornecimento e instalação</t>
  </si>
  <si>
    <t>Disjuntor monopolar tipo DIN, corrente nominal 40A, fornecimento e instalação</t>
  </si>
  <si>
    <t>Disjuntor monopolar tipo DIN, corrente nominal 50A, fornecimento e instalação</t>
  </si>
  <si>
    <t>Dispositivo de proteção contra surto de tensão, DPS 20 kA - 275V</t>
  </si>
  <si>
    <t>Dispositivo de proteção contra surto de tensão, DPS 40 kA - 275V</t>
  </si>
  <si>
    <t>Dispositivo residual diferencial (DR) tripolar, sensibilidade 30ma, corrente nominal 40A</t>
  </si>
  <si>
    <t>Dispositivo residual diferencial (DR) tripolar, sensibilidade 30ma, corrente nominal 63A</t>
  </si>
  <si>
    <t>Dispositivo residual diferencial (DR) tripolar, sensibilidade 30ma, corrente nominal 80A</t>
  </si>
  <si>
    <t>Dispositivo residual diferencial (DR) tripolar, sensibilidade 30ma, corrente nominal 100A</t>
  </si>
  <si>
    <t>05.04.803</t>
  </si>
  <si>
    <t>Ralo sifonado 100 x 40</t>
  </si>
  <si>
    <t>86901 MOD</t>
  </si>
  <si>
    <t>Cuba de embutir oval em louça branca, 36 x 49 cm, fornecimento e instalação, inclusive sifão e válvula</t>
  </si>
  <si>
    <t>Tê de redução, PVC, esgoto predial, DN 100x50mm, fornecimento e instalação</t>
  </si>
  <si>
    <t>89833 MOD 2</t>
  </si>
  <si>
    <t>89833 MOD 1</t>
  </si>
  <si>
    <t>Terminal de ventilação, PVC, esgoto predial, DN 50mm, fornecimento e instalação</t>
  </si>
  <si>
    <t>95730 MOD</t>
  </si>
  <si>
    <t>95731 MOD</t>
  </si>
  <si>
    <t>ELETROCALHA METÁLICA PERFURADA 400 X 100 X 3000 MM</t>
  </si>
  <si>
    <t>ELETROCALHA METÁLICA PERFURADA 300 X 100 X 3000 MM</t>
  </si>
  <si>
    <t>ELETROCALHA METÁLICA PERFURADA 200 X 100 X 3000 MM</t>
  </si>
  <si>
    <t>ELETROCALHA METÁLICA PERFURADA 100 X 100 X 3000 MM</t>
  </si>
  <si>
    <t>9041 MOD 1</t>
  </si>
  <si>
    <t>9041 MOD 2</t>
  </si>
  <si>
    <t>06.01.400</t>
  </si>
  <si>
    <t>Iluminação e tomadas</t>
  </si>
  <si>
    <t>Luminária de sobrepor para duas lâmpadas fluorescentes tubulares de 28W, corpo e aletas planas em alumínio anodizado alto brilho, porta lâmpadas antivibratório em policarbonato, com trava de segurança e proteção contra aquecimento dos contatos. ref. Itaim 3006 2xT16 28W, completa (L-01)</t>
  </si>
  <si>
    <t>Luminária de sobrepor para quatro lâmpadas fluorescentes tubulares de 14W, corpo em chapa de aço tratada com pintura eletrostática epoxi-pó na cor branca. Refletor em alumínio anodizado alto brílho, porta lâmpadas antivibratório em policarbonato, com trava de segurança e proteção contra aquecimento dos contatos. ref. Itaim 3136 4xT16 14W completa (L-02)</t>
  </si>
  <si>
    <t>Luminária de embutir para quatro lâmpadas fluorescentes tubulares de 14W, corpo em chapa de aço tratada com pintura eletrostática na cor branca, difusor em acrílico translúcido, porta lâmpadas antivibratório em policarbonato, com trava de segurança e proteção contra aquecimento dos contatos. ref. Itaim 2105 4xT16 14W, completa (L-03)</t>
  </si>
  <si>
    <t>Luminária de embutir para quatro lâmpadas fluorescentes tubulares de 14W, corpo e aletas planas em chapa de aço tratada com pintura eletrostática epoxi-pó na cor branca, refletor em alumínio anodizado alto brilho, porta lâmpadas antivibratório em policarbonato, com trava de segurança e proteção contra aquecimento dos contatos. ref. Itaim 2692 4xT16 14W, completa (L-04)</t>
  </si>
  <si>
    <t>Luminária circular de embutir para uma lâmpada fluorescente compacta de 32W, dupla, 4 pinos, corpo em alumínio repuxado com pintura eletrostática epoxi-pó na cor branca, refletor em alumínio anodizado jateado,  ref. Itaim Jaspe 1xTC-TEL 32W, completa (L-05)</t>
  </si>
  <si>
    <t>Luminária pendente para uma lâmpada fluorescente compacta tripla de 42W, 4 pinos, corpo superior e canopla em alumínio repuxado com pintura eletrostática epoxi-pó na cor branca, refletor em acrílico prismático transparente, com aro e hastes cromadas, suspenso por três cabos de aço, com regulagem até três metros, com alojamento para equipamento auxiliar . ref. Itaim Orfeu 1xTC-TEL 42W, completa (L-07)</t>
  </si>
  <si>
    <t>Luminária de sobrepor tipo arandela para uma lâmpada fluorescente compacta eletrônica de 20W, corpo e grade frontal de proteção em alumínio fundido com acabamento em pintura na cor cinza martelado, difusor em vidro transparente frisado, ref. Itaim Tassu 1xTC-TSE 20W, completa (L-08)</t>
  </si>
  <si>
    <t>Luminária circular de embutir para uma lâmpada fluorescente compacta de 32W, dupla, 4 pinos. corpo em alumínio repuxado com pintura eletrostática epoxi-pó na cor branca, refletor em alumínio anodizado jateado. ref. Itaim Turiassu 1xTC-TEL 32W, completa (L-09)</t>
  </si>
  <si>
    <t>Luminária de embutir, corpo/refletor em chapa de aço tratada com acabamento em pintura eletrostática na cor branca, difusor em acrílico translúcido, Ref. Itaim 2109 2xT16 14W, completa (L-10)</t>
  </si>
  <si>
    <t>Luminária retangular de embutir, corpo em chapa de aço tratada com pintura eletrostática na cor branca, refletor em alumínio anodizado de alto brilho, difusor em acrílico prismático transparente, ref. Itaim Tabira 2  2xTC-TSE 15W, completa (L-11)</t>
  </si>
  <si>
    <t>Luminária de embutir para duas lâmpadas fluorescentes tubulares de 14W, corpo em chapa de aço tratada pintura eletrostática branca, refletor e aletas parabólicas em alumínio anodizado alto brilho e cobre soquete com acabamento especular de alto brilho, porta lâmpadas antivibratório em policarbonato, com trava de segurança e proteção contra aquecimento dos contatos. Ref. Itaim 2005 2xT16 14W, completa (T-12)</t>
  </si>
  <si>
    <t>Luminária pendente para 2 lâmpadas fluorescentes tubulares 28W, corpo em perfil de alumínio com acabamento em pintura eletrostática na cor branca, ref: Itaim 3433-P-2xT16 28W, completa (L-13)</t>
  </si>
  <si>
    <t>Luminária de sobrepor tipo arandela corpo e grade frontal de proteção em alumínio fundido com pintura na cor cinza martelado, difusor em vidro transparente frisado, 1xTC-TSE 23W, completa (L-14)</t>
  </si>
  <si>
    <t>Projetor de sobrepor com foco orientável 150W, corpo em alumínio injetado, com aletas para dissipação de calor, refletor simétrico em alumínio anodizado de alto brilho, difusor em vidro plano transparente temperado, possui alojamento para equipamento auxiliar, grau de proteção IP 65, completa (L-15)</t>
  </si>
  <si>
    <t>Bloco autônomo de iluminação de emergência com autonomia mínima de 1 hora, 30 leds, potência de 2 W e fluxo luminoso 200 lumens</t>
  </si>
  <si>
    <t>Sensor de presença com fotocélula</t>
  </si>
  <si>
    <t>06.01.403</t>
  </si>
  <si>
    <t>41.14.620</t>
  </si>
  <si>
    <t>P.15.000.034104</t>
  </si>
  <si>
    <t>LUMINÁRIA DE SOBREPOR TIPO CALHA ABERTA COM REFLETOR E ALETAS PARABÓLICAS PARA DUAS LÂMPADAS FLUORESCENTES DE 28W</t>
  </si>
  <si>
    <t>REATOR ELETRÔNICO PARA LÂMPADA FLUORESCENTE T5, 2X28W</t>
  </si>
  <si>
    <t>LÂMPADA FLUORESCENTE TUBULAR T5 28W</t>
  </si>
  <si>
    <t>41.14.770</t>
  </si>
  <si>
    <t>P.15.000.034061</t>
  </si>
  <si>
    <t>LUMINÁRIA TIPO EMBUTIR DE 618X618MM, DIFUSOR EM ACRÍLICO TRANSLÚCIDO, PARA 4 LÂMPADAS FLUORESCENTES TUBULARES 14W</t>
  </si>
  <si>
    <t>41.14.780</t>
  </si>
  <si>
    <t>41.14.430</t>
  </si>
  <si>
    <t>41.14.310</t>
  </si>
  <si>
    <t>41.14.020</t>
  </si>
  <si>
    <t>41.14.440</t>
  </si>
  <si>
    <t>41.14.600</t>
  </si>
  <si>
    <t>41.12.050</t>
  </si>
  <si>
    <t>P.15.000.034084</t>
  </si>
  <si>
    <t>LUMINÁRIA DE SOBREPOR TIPO CALHA FECHADA, DIFUSOR EM ACRÍLICO TRANSLÚCIDO, PARA 4 LÂMPADAS FLUORESCENTES TUBULARES 14W</t>
  </si>
  <si>
    <t>LUMINÁRIA QUADRADA DE EMBUTIR TIPO CALHA ABERTA REFLETOR E ALETA PARABÓLICAS EM ALUMÍNIO, 4 LÂMPADAS FLUORESCENTES DE 14W</t>
  </si>
  <si>
    <t>P.15.000.046031</t>
  </si>
  <si>
    <t>LUMINÁRIA REDONDA DE EMBUTIR PARA 1 OU 2 LÂMPADAS FLUORESCENTES COMPACTAS</t>
  </si>
  <si>
    <t>LUMINÁRIA TIPO PENDENTE SIMPLES</t>
  </si>
  <si>
    <t>LAMPADA FLUORESCENTE ELETRONICA COMPACTA INTEGRADA 45W</t>
  </si>
  <si>
    <t>P.15.000.091298</t>
  </si>
  <si>
    <t>LUMINÁRIA RETANGULAR DE EMBUTIR TIPO CALHA FECHADA COM DIFUSOR PLANO EM ACRÍLICO PARA 2 LÂMPADAS FLUORESCENTES DE 14W</t>
  </si>
  <si>
    <t>LUMINÁRIA RETANGULAR DE EMBUTIR TIPO CALHA ABERTA COM REFLETOR E ALETAS PARABÓLICAS PARA 2 LÂMPADAS FLUORESCENTES DE 14W</t>
  </si>
  <si>
    <t>P.15.000.034102</t>
  </si>
  <si>
    <t>LUMINÁRIA INDUSTRIAL PENDENTE TIPO CALHA ABERTA PARA 1/2 LÂMPADAS FLUORESCEBNTES 28W</t>
  </si>
  <si>
    <t>LÂMPADA FLUORESCENTE TUBULAR T5 DE 28W</t>
  </si>
  <si>
    <t>REATOR ELETRÔNICO PARA LÂMPADA FLUORESCENTE COMPACTA DUPLA DE 18W</t>
  </si>
  <si>
    <t>97608 MOD</t>
  </si>
  <si>
    <t>P.15.000.046028</t>
  </si>
  <si>
    <t>PROJETOR RETANGULAR FECHADO COM ALOJAMENTO PARA REATOR, PARA LÂMPADA VAPOR METÁLICO OU DE SÓDIO 150 A 400W</t>
  </si>
  <si>
    <t>06.01.500</t>
  </si>
  <si>
    <t>Aterramento e proteção contra descargas atmosféricas (SPDA)</t>
  </si>
  <si>
    <t>Captor tipo Franklin para SPDA, fornecimento e instalação</t>
  </si>
  <si>
    <t>Base metálica para mastro 1 1/2 para SPDA, fornecimento e instalação</t>
  </si>
  <si>
    <t>Mastro 1 1/2 para SPDA, comprimento de 3 m, fornecimento e instalação</t>
  </si>
  <si>
    <t>Barra chata de alumínio 3/4" x 1/4", fornecimento e instalação</t>
  </si>
  <si>
    <t>Solda exotérmica, inclusive molde, alicate, cartucho e ignitor</t>
  </si>
  <si>
    <t>Reaterro manual de valas apiloado com soquete</t>
  </si>
  <si>
    <t>Haste de aterramento 3/4 para SPDA, fornecimento e instalação</t>
  </si>
  <si>
    <t>Laudo de resistividade do solo para aterramento</t>
  </si>
  <si>
    <t>06.01.506</t>
  </si>
  <si>
    <t>06.01.508</t>
  </si>
  <si>
    <t>BARRA CHATA DE ALUMINIO 3/4 X 1/4</t>
  </si>
  <si>
    <t>MOLDE SOLDA EXOTÉRMICA PARA CABOS</t>
  </si>
  <si>
    <t>CARTUCHO EM PÓ PARA SOLDA EXOTÉRMICA 90/115/150/250</t>
  </si>
  <si>
    <t>ALICATE PARA MOLDE DE SOLDA EXOTÉRMICA</t>
  </si>
  <si>
    <t>PALITO IGNITOR PARA SOLDA EXOTÉRMICA</t>
  </si>
  <si>
    <t>SUBTOTAL (06.01.000)</t>
  </si>
  <si>
    <t>SUBTOTAL (06.03.000)</t>
  </si>
  <si>
    <t>06.03.200</t>
  </si>
  <si>
    <t>Equipamentos de detecção</t>
  </si>
  <si>
    <t>Central de alarme e detecção de incendio, capacidade: 8 laços, com 2 linhas, mod.VR-8L, Verin ou similar</t>
  </si>
  <si>
    <t>Acionador manual (botoeira) analógico/endereçável, tipo quebra-vidro</t>
  </si>
  <si>
    <t>Sirene áudio-visual para alarme de incêndio, endereçável</t>
  </si>
  <si>
    <t>Detector de fumaça óptico endereçável</t>
  </si>
  <si>
    <t>Detector de temperatura termovelocimétrico endereçável</t>
  </si>
  <si>
    <t>06.03.201</t>
  </si>
  <si>
    <t>06.03.202</t>
  </si>
  <si>
    <t>06.03.203</t>
  </si>
  <si>
    <t>CENTRAL DE ALARME E DETECÇÃO DE INCENDIO, CAPACIDADE: 2 BATERIAS, 8 LAÇOS, COM 2 LINHAS, MOD.VR-8L, VERIN OU SIMILAR</t>
  </si>
  <si>
    <t>ACIONADOR MANUAL (BOTOEIRA) TIPO QUEBRA-VIDRO, P/INCÊNDIO</t>
  </si>
  <si>
    <t>SIRENE AUDIO-VISUAL PARA ALARME DE INCÊNDIO ENDEREÇÁVEL</t>
  </si>
  <si>
    <t>DETECTOR DE FUMAÇA ÓPTICO ENDEREÇÁVEL</t>
  </si>
  <si>
    <t>DETECTOR DE TEMPERATURA ENDEREÇÁVEL</t>
  </si>
  <si>
    <t>06.03.300</t>
  </si>
  <si>
    <t>Eletrodutos (inclusive acessórios de conexão, suporte e fixação)</t>
  </si>
  <si>
    <t>06.03.301</t>
  </si>
  <si>
    <t>Cabo de cobre flexível, blindado, com fita de cobre, 2 x 1,5 mm2, tensão 1 kV</t>
  </si>
  <si>
    <t>06.03.400</t>
  </si>
  <si>
    <t>Cabos e fios</t>
  </si>
  <si>
    <t>06.03.401</t>
  </si>
  <si>
    <t>CABO DE COBRE FLEXÍVEL BLINDADO COM FITA DE COBRE, 2 X 1,5MM2</t>
  </si>
  <si>
    <t>Central de supervisão</t>
  </si>
  <si>
    <t>SUBTOTAL (06.07.000)</t>
  </si>
  <si>
    <t>Organizador de cabos / guia de cabos /cable guide</t>
  </si>
  <si>
    <t>Distribuidor interno óptico (DIO), ref. Furukawa ou superior</t>
  </si>
  <si>
    <t>Unidade gerenciadora digital de vídeo em rede (NVR) de até 16 câmeras IP, armazenamento de 12 TB, 1 interface de rede Gigabit Ethernet e 4 entradas de alarme</t>
  </si>
  <si>
    <t>66.08.610</t>
  </si>
  <si>
    <t>06.07.102</t>
  </si>
  <si>
    <t>06.07.103</t>
  </si>
  <si>
    <t>06.07.104</t>
  </si>
  <si>
    <t>PESQUISA DE MERCADO</t>
  </si>
  <si>
    <t>SWITCH 24 PORTAS 10/100/1000BASE-TX 4 PORTAS SFP FIXAS, 2 PORTAS DE EMPILHAMENTO, REFERÊNCIA EXTREME NETWORKS X430-24T</t>
  </si>
  <si>
    <t>DISTRIBUIDOR INTERNO ÓPTICO (DIO)</t>
  </si>
  <si>
    <t>P.17.000.030003</t>
  </si>
  <si>
    <t>UNIDADE GERENCIADORA DIGITAL DE VÍDEO EM REDE (NVR) DE ATÉ 16 CÂMERAS IP, ARMAZENAMENTO DE 12 TB, 1 INTERFACE DE REDE GIGABIT ETHERNET E 4 ENTRADAS DE ALARME</t>
  </si>
  <si>
    <t>06.07.200</t>
  </si>
  <si>
    <t>Câmeras, objetivas e equipamentos auxiliares</t>
  </si>
  <si>
    <t>Câmera IP "tipo 2", colorida, alta resolução (Day/Night), tipo SNB-5001 Samsumg, fornecimento e instalação</t>
  </si>
  <si>
    <t>06.07.201</t>
  </si>
  <si>
    <t>06.07.300</t>
  </si>
  <si>
    <t>Eletrodutos (inclusive acessórios de conexão, suporte e fiação)</t>
  </si>
  <si>
    <t>06.07.400</t>
  </si>
  <si>
    <t>Cabo UTP 4 pares categoria 6, fornecimento e lançamento</t>
  </si>
  <si>
    <t>Cabo de fibra óptica monomodo indoor/outdoor 4 fibras (62,5/125um)</t>
  </si>
  <si>
    <t>06.07.401</t>
  </si>
  <si>
    <t>06.07.402</t>
  </si>
  <si>
    <t>CABO DE FIBRA ÓPTICA DE 4 VIAS 62,5/125, MONOMODO</t>
  </si>
  <si>
    <t>06.07.500</t>
  </si>
  <si>
    <t>Serviços diversos</t>
  </si>
  <si>
    <t>Tampão FoFo para caixa R1, fornecimento e instalação</t>
  </si>
  <si>
    <t>Certificação de pontos de cabeamento</t>
  </si>
  <si>
    <t>06.07.502</t>
  </si>
  <si>
    <t>CERTIFICADO DIGITAL</t>
  </si>
  <si>
    <t>SUBTOTAL (06.09.000)</t>
  </si>
  <si>
    <t>Patch panel de 24 portas, categoria 6</t>
  </si>
  <si>
    <t>Voice panel de 24 portas, categoria 6</t>
  </si>
  <si>
    <t>Rack de piso 19" x 44U's, ref.: Furukawa, AMP ou Panduit, fechado, corpo em alumínio ou aço martelado, prof 067 cm, porta frontal em acrílico transparente, porta traseira e laterais fechadas e removíveis, guia horizontal de cabos, módulo de iluminação e ventilação, régua de 08 tomadas padrão brasileiro, NBR 14136, ( 2P+T, 20A/250V ), polarização Nema 5/15 e disjuntor na capacidade aproximada, barras, réguas, parafusos, porcas e arruelas de fixação</t>
  </si>
  <si>
    <t>Cabo telefônico CTP-APL 50/50</t>
  </si>
  <si>
    <t>Patch cord de 2,00 metros, padrão Furukawa, AMP, Panduit ou superior</t>
  </si>
  <si>
    <t>Caixa octogonal 4" x 4", PVC, embutida no forro, fornecimento e instalação</t>
  </si>
  <si>
    <t>Caixa de passagem metálica de embutir, com tampa parafusada, dimensões 60 x 60 x 12 cm</t>
  </si>
  <si>
    <t>VOICE PANEL DE 24 PORTAS, CATEGORIA 6</t>
  </si>
  <si>
    <t>06.09.003</t>
  </si>
  <si>
    <t>98402 MOD</t>
  </si>
  <si>
    <t>CABO TELEFÔNICO CTP-APL 50/50</t>
  </si>
  <si>
    <t>06.09.004</t>
  </si>
  <si>
    <t>06.09.005</t>
  </si>
  <si>
    <t>06.09.007</t>
  </si>
  <si>
    <t>06.09.013</t>
  </si>
  <si>
    <t>ELETROCALHA METÁLICA PERFURADA 100 X 100</t>
  </si>
  <si>
    <t>TOTAL (06.00.000)</t>
  </si>
  <si>
    <t>Plataforma elevatória</t>
  </si>
  <si>
    <t>SUBTOTAL (07.01.000)</t>
  </si>
  <si>
    <t>SUBTOTAL (07.02.000)</t>
  </si>
  <si>
    <t>TOTAL (07.00.000)</t>
  </si>
  <si>
    <t>PERFIL AÇO INOX, CANTONEIRA ABAS IGUAIS, 1" X 1/8"</t>
  </si>
  <si>
    <t>RESERVATÓRIO METÁLICO CILÍNDRICO ALTURA 9M</t>
  </si>
  <si>
    <t>CAMERA DE VIDEO DIGITAL, MONOFOCAL, FIXA, DO TIPO IP, 2MP, CAIXA DE PROTEÇÃO CONTRA LUZ SOLAR E INTEMPERISMO</t>
  </si>
  <si>
    <t>RACK FECHADO TIPO ARMÁRIO 19" X 42U X 680 MM</t>
  </si>
  <si>
    <t>M2XMES</t>
  </si>
  <si>
    <t xml:space="preserve">MXMES </t>
  </si>
  <si>
    <t>ENCARGOS SOCIAIS DESONERADOS: 84,58%(HORA)   49,49%(MÊS)</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</si>
  <si>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</si>
  <si>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</si>
  <si>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</si>
  <si>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</si>
  <si>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</si>
  <si>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</si>
  <si>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</si>
  <si>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</si>
  <si>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</si>
  <si>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</si>
  <si>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</si>
  <si>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</si>
  <si>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</si>
  <si>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</si>
  <si>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</si>
  <si>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</si>
  <si>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</si>
  <si>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</si>
  <si>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</si>
  <si>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</si>
  <si>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</si>
  <si>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</si>
  <si>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</si>
  <si>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</si>
  <si>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</si>
  <si>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</si>
  <si>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</si>
  <si>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</si>
  <si>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</si>
  <si>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</si>
  <si>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</si>
  <si>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</si>
  <si>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</si>
  <si>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</si>
  <si>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</si>
  <si>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</si>
  <si>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</si>
  <si>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</si>
  <si>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</si>
  <si>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</si>
  <si>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</si>
  <si>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</si>
  <si>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</si>
  <si>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</si>
  <si>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</si>
  <si>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</si>
  <si>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</si>
  <si>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</si>
  <si>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</si>
  <si>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</si>
  <si>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</si>
  <si>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</si>
  <si>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</si>
  <si>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</si>
  <si>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</si>
  <si>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</si>
  <si>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</si>
  <si>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</si>
  <si>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</si>
  <si>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</si>
  <si>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</si>
  <si>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</si>
  <si>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</si>
  <si>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</si>
  <si>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</si>
  <si>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</si>
  <si>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</si>
  <si>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</si>
  <si>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</si>
  <si>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</si>
  <si>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</si>
  <si>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</si>
  <si>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</si>
  <si>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</si>
  <si>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</si>
  <si>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</si>
  <si>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</si>
  <si>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</si>
  <si>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</si>
  <si>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</si>
  <si>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</si>
  <si>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</si>
  <si>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</si>
  <si>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</si>
  <si>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</si>
  <si>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</si>
  <si>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</si>
  <si>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</si>
  <si>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</si>
  <si>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</si>
  <si>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</si>
  <si>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</si>
  <si>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</si>
  <si>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</si>
  <si>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</si>
  <si>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</si>
  <si>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</si>
  <si>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</si>
  <si>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</si>
  <si>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</si>
  <si>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</si>
  <si>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</si>
  <si>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</si>
  <si>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</si>
  <si>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</si>
  <si>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</si>
  <si>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</si>
  <si>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</si>
  <si>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</si>
  <si>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</si>
  <si>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</si>
  <si>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</si>
  <si>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</si>
  <si>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</si>
  <si>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</si>
  <si>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</si>
  <si>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</si>
  <si>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</si>
  <si>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</si>
  <si>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</si>
  <si>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</si>
  <si>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</si>
  <si>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</si>
  <si>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</si>
  <si>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</si>
  <si>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</si>
  <si>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</si>
  <si>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</si>
  <si>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</si>
  <si>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</si>
  <si>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</si>
  <si>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</si>
  <si>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</si>
  <si>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</si>
  <si>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</si>
  <si>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</si>
  <si>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</si>
  <si>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</si>
  <si>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</si>
  <si>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</si>
  <si>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</si>
  <si>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</si>
  <si>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</si>
  <si>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</si>
  <si>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</si>
  <si>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</si>
  <si>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</si>
  <si>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</si>
  <si>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</si>
  <si>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</si>
  <si>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</si>
  <si>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</si>
  <si>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</si>
  <si>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</si>
  <si>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</si>
  <si>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</si>
  <si>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</si>
  <si>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</si>
  <si>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</si>
  <si>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</si>
  <si>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</si>
  <si>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</si>
  <si>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</si>
  <si>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</si>
  <si>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</si>
  <si>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</si>
  <si>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</si>
  <si>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</si>
  <si>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</si>
  <si>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</si>
  <si>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</si>
  <si>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</si>
  <si>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</si>
  <si>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</si>
  <si>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</si>
  <si>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</si>
  <si>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</si>
  <si>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</si>
  <si>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</si>
  <si>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</si>
  <si>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</si>
  <si>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</si>
  <si>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</si>
  <si>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</si>
  <si>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</si>
  <si>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</si>
  <si>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</si>
  <si>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</si>
  <si>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</si>
  <si>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</si>
  <si>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</si>
  <si>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</si>
  <si>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</si>
  <si>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</si>
  <si>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</si>
  <si>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</si>
  <si>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</si>
  <si>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</si>
  <si>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</si>
  <si>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</si>
  <si>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</si>
  <si>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</si>
  <si>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</si>
  <si>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</si>
  <si>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</si>
  <si>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</si>
  <si>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</si>
  <si>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</si>
  <si>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</si>
  <si>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</si>
  <si>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</si>
  <si>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</si>
  <si>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</si>
  <si>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</si>
  <si>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</si>
  <si>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</si>
  <si>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</si>
  <si>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</si>
  <si>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</si>
  <si>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</si>
  <si>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</si>
  <si>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</si>
  <si>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</si>
  <si>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</si>
  <si>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</si>
  <si>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</si>
  <si>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</si>
  <si>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</si>
  <si>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</si>
  <si>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</si>
  <si>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</si>
  <si>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</si>
  <si>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</si>
  <si>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</si>
  <si>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</si>
  <si>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</si>
  <si>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</si>
  <si>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</si>
  <si>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</si>
  <si>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</si>
  <si>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</si>
  <si>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</si>
  <si>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</si>
  <si>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</si>
  <si>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</si>
  <si>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</si>
  <si>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</si>
  <si>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</si>
  <si>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</si>
  <si>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</si>
  <si>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</si>
  <si>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</si>
  <si>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</si>
  <si>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</si>
  <si>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</si>
  <si>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</si>
  <si>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</si>
  <si>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</si>
  <si>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</si>
  <si>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</si>
  <si>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</si>
  <si>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</si>
  <si>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</si>
  <si>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</si>
  <si>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</si>
  <si>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</si>
  <si>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</si>
  <si>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</si>
  <si>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</si>
  <si>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</si>
  <si>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</si>
  <si>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</si>
  <si>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</si>
  <si>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</si>
  <si>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</si>
  <si>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</si>
  <si>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</si>
  <si>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</si>
  <si>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</si>
  <si>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</si>
  <si>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</si>
  <si>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</si>
  <si>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</si>
  <si>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</si>
  <si>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</si>
  <si>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</si>
  <si>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</si>
  <si>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</si>
  <si>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</si>
  <si>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</si>
  <si>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</si>
  <si>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</si>
  <si>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</si>
  <si>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</si>
  <si>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</si>
  <si>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</si>
  <si>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</si>
  <si>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</si>
  <si>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</si>
  <si>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</si>
  <si>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</si>
  <si>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</si>
  <si>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</si>
  <si>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</si>
  <si>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</si>
  <si>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</si>
  <si>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</si>
  <si>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</si>
  <si>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</si>
  <si>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</si>
  <si>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</si>
  <si>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</si>
  <si>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</si>
  <si>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</si>
  <si>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</si>
  <si>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</si>
  <si>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</si>
  <si>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</si>
  <si>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</si>
  <si>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</si>
  <si>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</si>
  <si>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</si>
  <si>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</si>
  <si>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</si>
  <si>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</si>
  <si>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</si>
  <si>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</si>
  <si>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</si>
  <si>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</si>
  <si>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</si>
  <si>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</si>
  <si>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</si>
  <si>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</si>
  <si>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</si>
  <si>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</si>
  <si>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</si>
  <si>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</si>
  <si>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</si>
  <si>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</si>
  <si>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</si>
  <si>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</si>
  <si>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</si>
  <si>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</si>
  <si>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</si>
  <si>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</si>
  <si>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</si>
  <si>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</si>
  <si>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</si>
  <si>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</si>
  <si>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</si>
  <si>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</si>
  <si>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</si>
  <si>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</si>
  <si>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</si>
  <si>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</si>
  <si>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</si>
  <si>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</si>
  <si>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</si>
  <si>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</si>
  <si>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</si>
  <si>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</si>
  <si>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</si>
  <si>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</si>
  <si>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</si>
  <si>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</si>
  <si>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</si>
  <si>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Entrada provisória de energia elétrica aérea trifásica 40A em poste de madeira</t>
  </si>
  <si>
    <t>Pilarete de amarração para alvenaria moldada in loco em concreto (9x9cm)</t>
  </si>
  <si>
    <t>Chapisco aplicado em fachada, com colher de pedreiro, argamassa traço 1:3 com preparo mecânico</t>
  </si>
  <si>
    <t>04.01.229</t>
  </si>
  <si>
    <t>Porta radiológica montada em batentes de aço, acabamento em fórmica branca 920x2100mm, 2mm de chumbo, ref.: OSMED ou similar</t>
  </si>
  <si>
    <t>PORTA RADIOLÓGICA EM MAD/MAD DE LEI DIM: 0,92X2,12M, LAMINADO DE CHUMBO EMBUTIDO, E=2MM, DOBRADIÇAS REFORÇADAS ANELADAS DE 3 1/2" X 3", FECHADURA TAMBOR AUTOBLOCANTE, MARCA AROUCA, REF 108449/40-Z-ZCE OU SIMILAR, MAÇANETA TIPO ALAVANCA</t>
  </si>
  <si>
    <t>04.01.546</t>
  </si>
  <si>
    <t>Revestimento de paredes em argamassa baritada, espessura de 4,0cm, aplicação em 2 camadas sucessivas de 2,0cm</t>
  </si>
  <si>
    <t>10716 MOD</t>
  </si>
  <si>
    <t>ARGAMASSA BARITADA PRONTA PARA APLICAÇÃO</t>
  </si>
  <si>
    <t>Revestimento de piso com argamassa baritada, espessura de 4,0cm, aplicação em 2 camadas sucessivas de 2,0cm</t>
  </si>
  <si>
    <t>87643 MOD</t>
  </si>
  <si>
    <t>04.01.550</t>
  </si>
  <si>
    <t>Revestimento de forro</t>
  </si>
  <si>
    <t>Forro fixo de drywall para ambientes comerciais, inclusive estrutura de fixação</t>
  </si>
  <si>
    <t>Forro de gesso removível, em placas de 125x62,5cm, espessura 9,5mm, cor branca, borda aparente, com acabamento liso e película de PVC</t>
  </si>
  <si>
    <t>Revestimento de laje com argamassa baritada, espessura de 4,0cm, aplicação em 2 camadas sucessivas de 2,0cm</t>
  </si>
  <si>
    <t>04.01.558</t>
  </si>
  <si>
    <t>90406 MOD</t>
  </si>
  <si>
    <t>Aplicação de 1 demão de verniz acrílico em estruturas de concreto aparente e nos pisos e soleiras de granitina</t>
  </si>
  <si>
    <t>VERNIZ ACRÍLICO INCOLOR</t>
  </si>
  <si>
    <t>BARRA DE APOIO PARA LAVATÓRIO EM MEIO DE VÃO, TRÊS LADOS, EM AÇO INOX, L=40X60CM, D-1 1/4"</t>
  </si>
  <si>
    <t>04.02.000</t>
  </si>
  <si>
    <t>COMUNICAÇÃO VISUAL</t>
  </si>
  <si>
    <t>PLACA DE SINALIZAÇÃO VERTICAL 50X80CM</t>
  </si>
  <si>
    <t>Pavto. Térreo</t>
  </si>
  <si>
    <t>Pavto. Superior</t>
  </si>
  <si>
    <t>Colar de tomada FoFo 1"</t>
  </si>
  <si>
    <t>Registro de esfera 1"</t>
  </si>
  <si>
    <t>Registro de gaveta bruto de latão, roscável, 1 1/2", com acabamento e canopla cromados, fornecido e instalado</t>
  </si>
  <si>
    <t>Curva 90 graus PVC roscável, com rosca, DN 1", fornecimento e instalação</t>
  </si>
  <si>
    <t>Adaptador com flange livre, PVC soldável, DN 32mm x 1", instalado em reservação de água de edificação, fornecimento e instalação</t>
  </si>
  <si>
    <t>Bebedouro 25 mm x 1/2"</t>
  </si>
  <si>
    <t>Torneira de uso geral 25-3/4"</t>
  </si>
  <si>
    <t>Vaso sanitário de louça branca (sem conjunto de ligação)</t>
  </si>
  <si>
    <t>Vaso sanitário de louça branca, para PCD, sem furo frontal, sem conjunto de ligação</t>
  </si>
  <si>
    <t>Engate flexível plástico 1/2 - 30cm</t>
  </si>
  <si>
    <t>Tubo de ligação latão cromado c/canopla p/vaso sanitário 38mm</t>
  </si>
  <si>
    <t>Luva de redução, PVC, soldável, DN 40mm x 32mm, fornecimento e instalação</t>
  </si>
  <si>
    <t>Tê de PVC soldável, com bucha latão na bolsa central, 20mm - 1/2", fornecimento e instalação</t>
  </si>
  <si>
    <t>Adaptador curto com bolsa e rosca para registro, PVC soldável, DN 75mm - 2 1/2", fornecimento e instalação</t>
  </si>
  <si>
    <t>PISO TÁTIL DIRECIONAL E/OU ALERTA, DE CONCRETO, COLORIDO, DIM 25X25 CM, PARA DEFICIENTE VISUAL</t>
  </si>
  <si>
    <t>QNN 14, Área Especial, Campus UnB Ceilândia, RA IX</t>
  </si>
  <si>
    <t>m3 x km</t>
  </si>
  <si>
    <t>Carga e descarga mecanizadas de entulho em caminhão basculante 6 m3</t>
  </si>
  <si>
    <t>Transporte com caminhão basculante de 6m3 em via urbana pavimentada, DMT até 30 km (estimado em 20 km até a URE da Estrutural)</t>
  </si>
  <si>
    <t>Limpeza mecanizada de terreno com remoção de camada vegetal utilizando motoniveladora (remoção de 10 cm de solo)</t>
  </si>
  <si>
    <t>05.03.500</t>
  </si>
  <si>
    <t>Tubulações de concreto</t>
  </si>
  <si>
    <t>05.03.501</t>
  </si>
  <si>
    <t>Tubo de concreto para redes coletoras de águas pluviais, diâmetro de 400 mm, instalado em local com baixo nível de interferências</t>
  </si>
  <si>
    <t>Quantidade Unitária</t>
  </si>
  <si>
    <t>Quantidade Total</t>
  </si>
  <si>
    <t>Q</t>
  </si>
  <si>
    <t>Comp.</t>
  </si>
  <si>
    <t>Largura</t>
  </si>
  <si>
    <t>Altura</t>
  </si>
  <si>
    <t>Área</t>
  </si>
  <si>
    <t>Volume</t>
  </si>
  <si>
    <t>Extensão</t>
  </si>
  <si>
    <t>(m²)</t>
  </si>
  <si>
    <t>(m³)</t>
  </si>
  <si>
    <t>(m)</t>
  </si>
  <si>
    <t>Total do serviço</t>
  </si>
  <si>
    <t>Placa institucional</t>
  </si>
  <si>
    <t>Placa gov federal</t>
  </si>
  <si>
    <t>Placa técnica</t>
  </si>
  <si>
    <t>Volume de material proveniente da limpeza mecanizada do terreno (10 cm de camada de solo/vegetal x área)</t>
  </si>
  <si>
    <t>Referência</t>
  </si>
  <si>
    <t>Perímetro de forma</t>
  </si>
  <si>
    <t>Altura da base</t>
  </si>
  <si>
    <t>Área do tampo</t>
  </si>
  <si>
    <t>02.01.202.01</t>
  </si>
  <si>
    <t>02.01.202.02</t>
  </si>
  <si>
    <t>03.02.182.01</t>
  </si>
  <si>
    <t>03.02.182.02</t>
  </si>
  <si>
    <t>04.01.102.01</t>
  </si>
  <si>
    <t>04.01.102.02</t>
  </si>
  <si>
    <t>04.01.102.03</t>
  </si>
  <si>
    <t>04.01.102.04</t>
  </si>
  <si>
    <t>04.01.102.05</t>
  </si>
  <si>
    <t>04.01.102.06</t>
  </si>
  <si>
    <t>04.01.102.07</t>
  </si>
  <si>
    <t>Cobertura - Mureta caixa d'água</t>
  </si>
  <si>
    <t>Cobertura - Casas de máquinas</t>
  </si>
  <si>
    <t>Comp. Alvenaria / Espaç. 5m</t>
  </si>
  <si>
    <t>04.01.121.01</t>
  </si>
  <si>
    <t>04.01.121.02</t>
  </si>
  <si>
    <t>04.01.220.01</t>
  </si>
  <si>
    <t>04.01.220.02</t>
  </si>
  <si>
    <t>04.01.220.03</t>
  </si>
  <si>
    <t>04.01.220.04</t>
  </si>
  <si>
    <t>04.01.220.05</t>
  </si>
  <si>
    <t>04.01.223.01</t>
  </si>
  <si>
    <t>04.01.223.02</t>
  </si>
  <si>
    <t>04.01.223.03</t>
  </si>
  <si>
    <t>04.01.223.04</t>
  </si>
  <si>
    <t>04.01.223.05</t>
  </si>
  <si>
    <t>04.01.228.01</t>
  </si>
  <si>
    <t>04.01.228.02</t>
  </si>
  <si>
    <t>04.01.228.03</t>
  </si>
  <si>
    <t>04.01.228.04</t>
  </si>
  <si>
    <t>04.01.230.01</t>
  </si>
  <si>
    <t>04.01.230.02</t>
  </si>
  <si>
    <t>04.01.230.03</t>
  </si>
  <si>
    <t>04.01.230.04</t>
  </si>
  <si>
    <t>04.01.230.05</t>
  </si>
  <si>
    <t>04.01.305.01</t>
  </si>
  <si>
    <t>04.01.305.02</t>
  </si>
  <si>
    <t>04.01.305.03</t>
  </si>
  <si>
    <t>04.01.305.04</t>
  </si>
  <si>
    <t>04.01.415.01</t>
  </si>
  <si>
    <t>04.01.415.02</t>
  </si>
  <si>
    <t>04.01.528.01</t>
  </si>
  <si>
    <t>04.01.528.02</t>
  </si>
  <si>
    <t>04.01.531.01</t>
  </si>
  <si>
    <t>04.01.531.02</t>
  </si>
  <si>
    <t>Pavimento térreo (alv 14 cm: fachada)</t>
  </si>
  <si>
    <t>Pavimento superior (alv 14 cm: fachada)</t>
  </si>
  <si>
    <t>Área sob esquadrias (alv 14 cm: fachada)</t>
  </si>
  <si>
    <t xml:space="preserve">Face interna das paredes de 14 cm </t>
  </si>
  <si>
    <t>Duas faces das paredes de 9 cm</t>
  </si>
  <si>
    <t>Duas faces das paredes de 19 cm</t>
  </si>
  <si>
    <t>Paredes de fachada que recebem chapisco</t>
  </si>
  <si>
    <t>Paredes internas que recebem chapisco</t>
  </si>
  <si>
    <t>Paredes internas que recebem argamassa baritada</t>
  </si>
  <si>
    <t>Sala de raios-x</t>
  </si>
  <si>
    <t>04.01.555.01</t>
  </si>
  <si>
    <t>04.01.555.02</t>
  </si>
  <si>
    <t>04.01.561.01</t>
  </si>
  <si>
    <t>04.01.561.02</t>
  </si>
  <si>
    <t>04.01.561.03</t>
  </si>
  <si>
    <t>04.01.561.04</t>
  </si>
  <si>
    <t>04.01.576.01</t>
  </si>
  <si>
    <t>04.01.576.02</t>
  </si>
  <si>
    <t>04.01.601.01</t>
  </si>
  <si>
    <t>04.01.601.02</t>
  </si>
  <si>
    <t>04.01.601.03</t>
  </si>
  <si>
    <t>04.01.604.01</t>
  </si>
  <si>
    <t>04.01.604.02</t>
  </si>
  <si>
    <t>04.01.801.01</t>
  </si>
  <si>
    <t>04.01.801.02</t>
  </si>
  <si>
    <t>04.01.801.03</t>
  </si>
  <si>
    <t>04.01.801.04</t>
  </si>
  <si>
    <t>04.01.808.01</t>
  </si>
  <si>
    <t>04.01.808.02</t>
  </si>
  <si>
    <t>04.01.808.03</t>
  </si>
  <si>
    <t>Paredes internas que recebem massa única</t>
  </si>
  <si>
    <t>Aplicação manual de massa acrílica em panos de fachada com presença de vãos, de edifícios de múltiplos pavimentos, duas demãos</t>
  </si>
  <si>
    <t>Paredes de fachada (14 cm)</t>
  </si>
  <si>
    <t>Divisórias internas de drywall (duas faces)</t>
  </si>
  <si>
    <t>Pisos de granitina</t>
  </si>
  <si>
    <t>Sobre manta asfáltica comum</t>
  </si>
  <si>
    <t>EDIFÍCIO PRINCIPAL</t>
  </si>
  <si>
    <t>Cordoalha de cobre nu 35mm2, não enterrada, com isolador, fornecimento e instalação</t>
  </si>
  <si>
    <t>Cordoalha de cobre nu 50mm2, não enterrada, com isolador, fornecimento e instalação</t>
  </si>
  <si>
    <t>Unidade evaporadora tipo "VRV-100% Ar exterior" Mod./Marca p/ referência: RPI10,0FSN3B2A - HITACHI ou equivalente (apenas FORNECIMENTO)</t>
  </si>
  <si>
    <t>Unidade evaporadora tipo "VRV-Cassete 4vias Mod./Marca p/ referência: RCI5,0FSN3B2 - HITACHI ou equivalente (apenas FORNECIMENTO)</t>
  </si>
  <si>
    <t>Unidade evaporadora tipo "VRV-Cassete 4vias Mod./Marca p/ referência: RCI4,0FSN3B2 - HITACHI ou equivalente (apenas FORNECIMENTO)</t>
  </si>
  <si>
    <t>Unidade evaporadora tipo "VRV-Cassete 4vias Mod./Marca p/ referência: RCI3,0FSN3B2 - HITACHI ou equivalente (apenas FORNECIMENTO)</t>
  </si>
  <si>
    <t>Unidade evaporadora tipo "VRV-Cassete 4vias Mod./Marca p/ referência: RCI2,5FSN3B2 - HITACHI ou equivalente (apenas FORNECIMENTO)</t>
  </si>
  <si>
    <t>Unidade evaporadora tipo "VRV-Cassete 4vias Mod./Marca p/ referência: RCI2,0FSN3B - HITACHI ou equivalente (apenas FORNECIMENTO)</t>
  </si>
  <si>
    <t>Unidade evaporadora tipo "VRV-Cassete 4vias Mod./Marca p/ referência: RCI1,5FSN3B2 - HITACHI ou equivalente (apenas FORNCIMENTO)</t>
  </si>
  <si>
    <t>Unidade evaporadora tipo "VRV-Cassete Júnior 4vias Mod./Marca p/ referência: RCIM1,5FSN3 - HITACHI ou equivalente (apenas FORNECIMENTO)</t>
  </si>
  <si>
    <t>Unidade evaporadora tipo "VRV-Cassete 2vias Mod./Marca p/ referência: RCD2,5FSN2 - HITACHI ou equivalente (apenas FORNECIMENTO)</t>
  </si>
  <si>
    <t>Unidade evaporadora tipo "VRV-Hiwall Mod./Marca p/ referência: RPK1,0FSNM3 - HITACHI ou equivalente (apenas FORNECIMENTO)</t>
  </si>
  <si>
    <t>Unidade evaporadora tipo "VRV-Hiwall Mod./Marca p/ referência: RPK1,5FSNM3 - HITACHI ou equivalente (apenas FORNECIMENTO)</t>
  </si>
  <si>
    <t>Unidade evaporadora tipo "VRV-Hiwall Mod./Marca p/ referência: RPK4,0FSNM3 - HITACHI ou equivalente (apenas FORNECIMENTO)</t>
  </si>
  <si>
    <t>07.02.300</t>
  </si>
  <si>
    <t>07.02.301.01</t>
  </si>
  <si>
    <t>07.02.301.02</t>
  </si>
  <si>
    <t>07.02.301.03</t>
  </si>
  <si>
    <t>Manta de lã de vidro, Mod./Marca p/ referência: ISOFLEX RT 1.0 (12x38) - ISOVER OU EQUIVALENTE</t>
  </si>
  <si>
    <t>07.02.304.01</t>
  </si>
  <si>
    <t>07.02.700</t>
  </si>
  <si>
    <t>Parafuso tipo francês c/ porca sextavada 5/16" x 3/4" (galvanizado)</t>
  </si>
  <si>
    <t>Vergalhão roscado galvanizado 1/4” x 3m</t>
  </si>
  <si>
    <t>Arruela lisa galvanizada, diam. 1/4”</t>
  </si>
  <si>
    <t>Porca sextavada galvanizada, diam. 1/4”</t>
  </si>
  <si>
    <t>Chumbador CB 1/4” x 2”</t>
  </si>
  <si>
    <t>07.02.800</t>
  </si>
  <si>
    <t>Rede de dutos</t>
  </si>
  <si>
    <t>Tubulação frigorígena</t>
  </si>
  <si>
    <t>07.02.701.01</t>
  </si>
  <si>
    <t>Curva de cobre 90° 1.1/2"</t>
  </si>
  <si>
    <t>Curva de cobre 90° 1.1/4"</t>
  </si>
  <si>
    <t>Curva de cobre 90° 1.1/8"</t>
  </si>
  <si>
    <t>Curva de cobre 90° 1"</t>
  </si>
  <si>
    <t>Curva de cobre 90° 7/8"</t>
  </si>
  <si>
    <t>Curva de cobre 90° 3/4"</t>
  </si>
  <si>
    <t>07.02.305.01</t>
  </si>
  <si>
    <t>07.02.305.02</t>
  </si>
  <si>
    <t>07.02.305.03</t>
  </si>
  <si>
    <t>07.02.305.07</t>
  </si>
  <si>
    <t>07.02.305.08</t>
  </si>
  <si>
    <t>07.02.305.09</t>
  </si>
  <si>
    <t>07.02.305.10</t>
  </si>
  <si>
    <t>07.02.305.11</t>
  </si>
  <si>
    <t>07.02.305.12</t>
  </si>
  <si>
    <t>07.02.305.13</t>
  </si>
  <si>
    <t>07.02.305.14</t>
  </si>
  <si>
    <t>07.02.801.01</t>
  </si>
  <si>
    <t>07.02.801.02</t>
  </si>
  <si>
    <t>07.02.801.03</t>
  </si>
  <si>
    <t>07.02.801.04</t>
  </si>
  <si>
    <t>07.02.801.05</t>
  </si>
  <si>
    <t>07.02.801.06</t>
  </si>
  <si>
    <t>07.02.802.01</t>
  </si>
  <si>
    <t>07.02.802.02</t>
  </si>
  <si>
    <t>07.02.802.03</t>
  </si>
  <si>
    <t>07.02.802.04</t>
  </si>
  <si>
    <t>07.02.803.01</t>
  </si>
  <si>
    <t>07.02.803.02</t>
  </si>
  <si>
    <t>07.02.803.03</t>
  </si>
  <si>
    <t>07.02.803.04</t>
  </si>
  <si>
    <t>07.02.803.05</t>
  </si>
  <si>
    <t>07.02.803.06</t>
  </si>
  <si>
    <t>07.02.804.01</t>
  </si>
  <si>
    <t>07.02.804.02</t>
  </si>
  <si>
    <t>07.02.804.03</t>
  </si>
  <si>
    <t>07.02.804.04</t>
  </si>
  <si>
    <t>07.02.500</t>
  </si>
  <si>
    <t>Equipamentos auxiliares</t>
  </si>
  <si>
    <t>Valvula de serviço, Ref.: GBC (Danfoss) 7/8”</t>
  </si>
  <si>
    <t>Valvula de serviço, Ref.: GBC (Danfoss) 5/8”</t>
  </si>
  <si>
    <t>Valvula de serviço, Ref.: GBC (Danfoss) 1/2”</t>
  </si>
  <si>
    <t>Valvula de serviço, Ref.: GBC (Danfoss) 3/8”</t>
  </si>
  <si>
    <t>Valvula de serviço, Ref.: GBC (Danfoss) 1/4”</t>
  </si>
  <si>
    <t>07.02.501.01</t>
  </si>
  <si>
    <t>07.02.501.02</t>
  </si>
  <si>
    <t>07.02.501.03</t>
  </si>
  <si>
    <t>07.02.501.04</t>
  </si>
  <si>
    <t>07.02.501.05</t>
  </si>
  <si>
    <t>Multi-kit Mod./Marca p/ referência: E302SNB1 - HITACHI ou EQUIVALENTE</t>
  </si>
  <si>
    <t>Multi-kit Mod./Marca p/ referência: E242SNB1 - HITACHI ou EQUIVALENTE</t>
  </si>
  <si>
    <t>Multi-kit Mod./Marca p/ referência: E162SNB1 - HITACHI ou EQUIVALENTE</t>
  </si>
  <si>
    <t>Multi-kit Mod./Marca p/ referência: E102SNB1 - HITACHI ou EQUIVALENTE</t>
  </si>
  <si>
    <t>Gabinete de ventilação para ar exterior (BOOSTER) com filtragem (G4/F7) vazão=9.198m3/h x 60 mmca</t>
  </si>
  <si>
    <t>Gabinete de ventilação para ar exterior (BOOSTER) com filtragem (G4/F7) vazão=5.970m3/h x 60 mmca</t>
  </si>
  <si>
    <t>07.02.502.01</t>
  </si>
  <si>
    <t>07.02.502.02</t>
  </si>
  <si>
    <t>Gabinete de exaustão vazão=5.100m3/h x 30 mmca</t>
  </si>
  <si>
    <t>07.02.502.03</t>
  </si>
  <si>
    <t>Veneziana p/ porta VSH2M 500x300mm</t>
  </si>
  <si>
    <t>Veneziana p/ porta VSH2M 300x200mm</t>
  </si>
  <si>
    <t>Veneziana com registro RHN  + RG 400x150mm</t>
  </si>
  <si>
    <t>Veneziana com registro RHN + RG  400x100mm</t>
  </si>
  <si>
    <t>Difusor quadrado 1 via com registro  DI - 11 + RG  15"x 15"</t>
  </si>
  <si>
    <t>Difusor quadrado 1 via com registro  DI - 11 + RG  12" x 12"</t>
  </si>
  <si>
    <t>Difusor quadrado 1 via com registro  DI - 11 + RG  9" x  9"</t>
  </si>
  <si>
    <t>Difusor quadrado 1 via com registro  DI - 11 + RG  6" x 6"</t>
  </si>
  <si>
    <t>07.02.701.02</t>
  </si>
  <si>
    <t>07.02.701.03</t>
  </si>
  <si>
    <t>07.02.701.04</t>
  </si>
  <si>
    <t>07.02.702.01</t>
  </si>
  <si>
    <t>07.02.702.02</t>
  </si>
  <si>
    <t>07.02.703.01</t>
  </si>
  <si>
    <t>07.02.703.02</t>
  </si>
  <si>
    <t>07.02.703.03</t>
  </si>
  <si>
    <t>07.02.703.04</t>
  </si>
  <si>
    <t>07.02.900</t>
  </si>
  <si>
    <t>Serviços complementares</t>
  </si>
  <si>
    <t>07.02.901</t>
  </si>
  <si>
    <t>61.20.450 MOD 1</t>
  </si>
  <si>
    <t>61.20.450 MOD 2</t>
  </si>
  <si>
    <t>61.20.450 MOD 3</t>
  </si>
  <si>
    <t>10398 INSUMO</t>
  </si>
  <si>
    <t>LÃ DE VIDRO REVESTIDA COM UMA FACE EM ALUMÍNIO, ESPESSURA 38MM, APLICADO</t>
  </si>
  <si>
    <t>S.04.000.069569</t>
  </si>
  <si>
    <t>PARAFUSO FRANCÊS 5/16" X 3/4" COM PORCA E ARRUELA GALVANIZADAS</t>
  </si>
  <si>
    <t>CJ</t>
  </si>
  <si>
    <t>CODIGO</t>
  </si>
  <si>
    <t>MATERIAL</t>
  </si>
  <si>
    <t xml:space="preserve">UN </t>
  </si>
  <si>
    <t xml:space="preserve">EMPRESA  </t>
  </si>
  <si>
    <t>PREÇO</t>
  </si>
  <si>
    <t>CNPJ</t>
  </si>
  <si>
    <t>E-MAIL</t>
  </si>
  <si>
    <t>DATA</t>
  </si>
  <si>
    <t xml:space="preserve">PREÇO MEDIANO </t>
  </si>
  <si>
    <t>Preço obtido do site</t>
  </si>
  <si>
    <t>SITE</t>
  </si>
  <si>
    <t>TIPO</t>
  </si>
  <si>
    <t>Canto para duto tipo TDC 25mm - POWERMATIC ou EQUIVALENTE</t>
  </si>
  <si>
    <t>MEDIANA</t>
  </si>
  <si>
    <t>CANTO PARA DUTO TIPO TDC 25MM</t>
  </si>
  <si>
    <t>Fita de vedação 20 x 4mm, rolo com 10m - POWERMATIC ou EQUIVALENTE</t>
  </si>
  <si>
    <t>FITA DE VEDAÇÃO 20 X 4MM ROLO 10 M</t>
  </si>
  <si>
    <t>Fita adesiva aluminizada, rolo de 30 metros</t>
  </si>
  <si>
    <t>FITA ADESIVA DE ALUMÍNIO 50MM X 30M</t>
  </si>
  <si>
    <t>Perfilado tipo “U” galvanizado 38x38mm, 6 metros de comprimento</t>
  </si>
  <si>
    <t>9669 MOD</t>
  </si>
  <si>
    <t>Tubo de silicone 280g</t>
  </si>
  <si>
    <t>CPOS INSUMO</t>
  </si>
  <si>
    <t>ORSE INSUMO</t>
  </si>
  <si>
    <t>ARRUELA LISA GALVANIZADA DE 1/4"</t>
  </si>
  <si>
    <t>Tubo de cobre flexível 5/8" x 1/32", com isolamento térmico em borracha elastomérica flexível e=19mm, instalado em ramal de alimentação de ar condicionado</t>
  </si>
  <si>
    <t>Tubo de cobre flexível 1/2" x 1/32", com isolamento térmico em borracha elastomérica flexível e=19mm, instalado em ramal de alimentação de ar condicionado</t>
  </si>
  <si>
    <t>Tubo de cobre flexível 3/8" x 1/32", com isolamento térmico em borracha elastomérica flexível e=19mm, instalado em ramal de alimentação de ar condicionado</t>
  </si>
  <si>
    <t>Tubo de cobre flexível 1/4" x 1/32", com isolamento térmico em borracha elastomérica flexível e=19mm, instalado em ramal de alimentação de ar condicionado</t>
  </si>
  <si>
    <t>Tubo de cobre rígido 1 1/2" x 1/16", com isolamento térmico em borracha elastomérica flexível e=19mm, para instalação de ar condicionado</t>
  </si>
  <si>
    <t>Tubo de cobre rígido 1 1/4" x 1/16", com isolamento térmico em borracha elastomérica flexível e=19mm, para instalação de ar condicionado</t>
  </si>
  <si>
    <t>Tubo de cobre rígido 1 1/8" x 1/16", com isolamento térmico em borracha elastomérica flexível e=19mm, para instalação de ar condicionado</t>
  </si>
  <si>
    <t>Tubo de cobre rígido 1" x 1/16", com isolamento térmico em borracha elastomérica flexível e=19mm, para instalação de ar condicionado</t>
  </si>
  <si>
    <t>Tubo de cobre rígido 7/8" x 1/16", com isolamento térmico em borracha elastomérica flexível e=19mm, para instalação de ar condicionado</t>
  </si>
  <si>
    <t>Tubo de cobre rígido 3/4" x 1/16", com isolamento térmico em borracha elastomérica flexível e=19mm, para instalação de ar condicionado</t>
  </si>
  <si>
    <t>04.01.701.01</t>
  </si>
  <si>
    <t>04.01.701.02</t>
  </si>
  <si>
    <t>Área de Granito (planta)</t>
  </si>
  <si>
    <t>Altura da saia</t>
  </si>
  <si>
    <t>Comp da saia</t>
  </si>
  <si>
    <t>Comp de rodabancada</t>
  </si>
  <si>
    <t>Quant Mão francesa</t>
  </si>
  <si>
    <t>Unidades</t>
  </si>
  <si>
    <t>unid</t>
  </si>
  <si>
    <t>PLANILHA ORÇAMENTÁRIA - CANTEIRO E ADMINISTRAÇÃO LOCAL</t>
  </si>
  <si>
    <t>02.04.402.01</t>
  </si>
  <si>
    <t>02.04.402.02</t>
  </si>
  <si>
    <t>Fundo do 1o lance</t>
  </si>
  <si>
    <t>Fundo do 2o lance</t>
  </si>
  <si>
    <t>Fundo do 3o lance</t>
  </si>
  <si>
    <t>Patamares</t>
  </si>
  <si>
    <t>Laterais 1o lance</t>
  </si>
  <si>
    <t>Laterais 2o lance</t>
  </si>
  <si>
    <t>Laterais 3o lance</t>
  </si>
  <si>
    <t>-</t>
  </si>
  <si>
    <t>Fundos dos patamares</t>
  </si>
  <si>
    <t>Laterais dos patamares</t>
  </si>
  <si>
    <t>Total para 1 escada</t>
  </si>
  <si>
    <t>Total pra 2 escadas</t>
  </si>
  <si>
    <t>Primeiro lance</t>
  </si>
  <si>
    <t>Segundo lance</t>
  </si>
  <si>
    <t>Terceiro lance</t>
  </si>
  <si>
    <t>Área lateral</t>
  </si>
  <si>
    <t>Sanitários femininos (térreo e superior)</t>
  </si>
  <si>
    <t>Sanitários masculinos (térreo e superior)</t>
  </si>
  <si>
    <t>Sanitários PNE masculinos (térreo e superior)</t>
  </si>
  <si>
    <t>Sanitários PNE femininos (térreo e superior)</t>
  </si>
  <si>
    <t>Copa</t>
  </si>
  <si>
    <t>DML</t>
  </si>
  <si>
    <t>Perímetro</t>
  </si>
  <si>
    <t>Desconto das portas PM2</t>
  </si>
  <si>
    <t>Desconto das portas PM1</t>
  </si>
  <si>
    <t>Desconto das janelas EA4</t>
  </si>
  <si>
    <t>Laje aparente do hall de entrada principal</t>
  </si>
  <si>
    <t>Laje aparente do hall de entrada secundário</t>
  </si>
  <si>
    <t>Serviço</t>
  </si>
  <si>
    <t>05.01.201.01</t>
  </si>
  <si>
    <t>05.01.201.02</t>
  </si>
  <si>
    <t>05.01.201.03</t>
  </si>
  <si>
    <t>05.01.201.04</t>
  </si>
  <si>
    <t>05.01.201.05</t>
  </si>
  <si>
    <t>05.01.201.06</t>
  </si>
  <si>
    <t>05.01.202.01</t>
  </si>
  <si>
    <t>05.01.202.02</t>
  </si>
  <si>
    <t>05.01.202.03</t>
  </si>
  <si>
    <t>05.01.202.04</t>
  </si>
  <si>
    <t>05.01.202.05</t>
  </si>
  <si>
    <t>05.01.202.06</t>
  </si>
  <si>
    <t>05.01.203.01</t>
  </si>
  <si>
    <t>05.01.203.02</t>
  </si>
  <si>
    <t>05.01.203.03</t>
  </si>
  <si>
    <t>05.01.203.04</t>
  </si>
  <si>
    <t>05.01.203.05</t>
  </si>
  <si>
    <t>05.01.203.06</t>
  </si>
  <si>
    <t>05.01.203.07</t>
  </si>
  <si>
    <t>05.01.203.08</t>
  </si>
  <si>
    <t>05.01.206.01</t>
  </si>
  <si>
    <t>05.01.206.02</t>
  </si>
  <si>
    <t>05.01.206.03</t>
  </si>
  <si>
    <t>05.01.206.04</t>
  </si>
  <si>
    <t>05.01.206.05</t>
  </si>
  <si>
    <t>05.01.206.06</t>
  </si>
  <si>
    <t>05.01.206.07</t>
  </si>
  <si>
    <t>05.01.206.08</t>
  </si>
  <si>
    <t>05.01.207.01</t>
  </si>
  <si>
    <t>05.01.207.02</t>
  </si>
  <si>
    <t>05.01.207.03</t>
  </si>
  <si>
    <t>05.01.207.04</t>
  </si>
  <si>
    <t>05.01.207.05</t>
  </si>
  <si>
    <t>05.01.208.01</t>
  </si>
  <si>
    <t>05.01.208.02</t>
  </si>
  <si>
    <t>05.01.208.03</t>
  </si>
  <si>
    <t>05.01.208.04</t>
  </si>
  <si>
    <t>05.01.208.05</t>
  </si>
  <si>
    <t>05.01.208.07</t>
  </si>
  <si>
    <t>05.01.208.08</t>
  </si>
  <si>
    <t>05.01.209.01</t>
  </si>
  <si>
    <t>05.01.209.02</t>
  </si>
  <si>
    <t>05.01.209.03</t>
  </si>
  <si>
    <t>05.01.209.04</t>
  </si>
  <si>
    <t>05.01.209.05</t>
  </si>
  <si>
    <t>05.01.209.06</t>
  </si>
  <si>
    <t>05.01.209.07</t>
  </si>
  <si>
    <t>05.01.209.08</t>
  </si>
  <si>
    <t>05.01.209.09</t>
  </si>
  <si>
    <t>05.01.209.10</t>
  </si>
  <si>
    <t>05.01.209.11</t>
  </si>
  <si>
    <t>05.01.209.12</t>
  </si>
  <si>
    <t>Vaso sanitário de louça branca, exclusive conjunto de ligação, fornecimento e instalação</t>
  </si>
  <si>
    <t>Vaso sanitário de louça branca, para PCD, sem furo frontal, exclusive conjunto de ligação, fornecimento e instalação</t>
  </si>
  <si>
    <t>05.01.501.01</t>
  </si>
  <si>
    <t>05.01.501.02</t>
  </si>
  <si>
    <t>05.01.503.01</t>
  </si>
  <si>
    <t>05.01.503.02</t>
  </si>
  <si>
    <t>Tubo de ligação em latão cromado com canopla para vaso sanitário 38mm</t>
  </si>
  <si>
    <t>05.01.503.03</t>
  </si>
  <si>
    <t>05.01.517</t>
  </si>
  <si>
    <t>TUBO DE LIGAÇÃO EM PVC, COM ANEL EXPANSOR PARA VASO SANITÁRIO, ACABAMENTO CROMADO, DECA 1968C OU SIMILAR</t>
  </si>
  <si>
    <t>05.01.510.01</t>
  </si>
  <si>
    <t>05.01.510.02</t>
  </si>
  <si>
    <t>05.01.510.03</t>
  </si>
  <si>
    <t>05.01.510.04</t>
  </si>
  <si>
    <t>05.01.512.01</t>
  </si>
  <si>
    <t>05.01.512.02</t>
  </si>
  <si>
    <t>05.01.512.03</t>
  </si>
  <si>
    <t>05.01.512.04</t>
  </si>
  <si>
    <t>05.01.512.05</t>
  </si>
  <si>
    <t>Torneira de jardim ou torneira de uso geral, cromada, 1/2" ou 3/4"</t>
  </si>
  <si>
    <t>05.01.516.01</t>
  </si>
  <si>
    <t>05.01.516.02</t>
  </si>
  <si>
    <t>05.01.516.04</t>
  </si>
  <si>
    <t>05.01.516.05</t>
  </si>
  <si>
    <t>Válvula de esfera bruta, bronze, roscável, 1", fornecimento e instalação</t>
  </si>
  <si>
    <t>Engate flexível plástico 1/2 - 30 cm, fornecimento e instalação</t>
  </si>
  <si>
    <t>05.01.506</t>
  </si>
  <si>
    <t>Bebedouro elétrico de pressão 40L, inox</t>
  </si>
  <si>
    <t>BEBEDOURO ELÉTRICO DE PRESSÃO 40 L INOX</t>
  </si>
  <si>
    <t>QUANTITATIVOS - INSTALAÇÕES ELÉTRICAS</t>
  </si>
  <si>
    <t>Quantitativo de Quadros</t>
  </si>
  <si>
    <t>Quadro</t>
  </si>
  <si>
    <t>16A</t>
  </si>
  <si>
    <t>20A</t>
  </si>
  <si>
    <t>32A</t>
  </si>
  <si>
    <t>40A</t>
  </si>
  <si>
    <t>50A</t>
  </si>
  <si>
    <t>63A</t>
  </si>
  <si>
    <t>70A</t>
  </si>
  <si>
    <t>100A</t>
  </si>
  <si>
    <t>175A</t>
  </si>
  <si>
    <t>150A</t>
  </si>
  <si>
    <t>250A</t>
  </si>
  <si>
    <t>Disjuntor Tripolar 18kA ou mais</t>
  </si>
  <si>
    <t>Prancha</t>
  </si>
  <si>
    <t>ELE 22/27</t>
  </si>
  <si>
    <t>QDT-NB-TÉRREO (901)</t>
  </si>
  <si>
    <t>SS 20KA</t>
  </si>
  <si>
    <t>QDT-NB-SUPERIOR (902)</t>
  </si>
  <si>
    <t>QDT-N-SUPERIOR (803)</t>
  </si>
  <si>
    <t>DR Tetrapolar 30mA</t>
  </si>
  <si>
    <t>80A</t>
  </si>
  <si>
    <t>QDT-NB-SUPERIOR (903)</t>
  </si>
  <si>
    <t>QDT-NB-SUPERIOR (904)</t>
  </si>
  <si>
    <t>QDT-N-SUPERIOR (801)</t>
  </si>
  <si>
    <t>QDT-N-SUPERIOR (405)</t>
  </si>
  <si>
    <t>QDT-N-TÉRREO (802)</t>
  </si>
  <si>
    <t>QDT-N-TÉRREO (401)</t>
  </si>
  <si>
    <t>QDT-N-TÉRREO (402)</t>
  </si>
  <si>
    <t>QDT-N-SUPERIOR (403)</t>
  </si>
  <si>
    <t>QDT-N-SUPERIOR (404)</t>
  </si>
  <si>
    <t>ELE 23/27</t>
  </si>
  <si>
    <t>QDT-E-TÉRREO (301)</t>
  </si>
  <si>
    <t>QDT-E-TÉRREO (601)</t>
  </si>
  <si>
    <t>QDG-ES</t>
  </si>
  <si>
    <t>OBS: 1 estabilizador 60kVA 380/220V-220/127V</t>
  </si>
  <si>
    <t>QDG-NB</t>
  </si>
  <si>
    <t>OBS: 1 NoBreak 40kVA</t>
  </si>
  <si>
    <t>QGD-FCE</t>
  </si>
  <si>
    <t>SS 40kA</t>
  </si>
  <si>
    <t>1200A</t>
  </si>
  <si>
    <t>300A</t>
  </si>
  <si>
    <t>QDT-E-TÉRREO (302)</t>
  </si>
  <si>
    <t>QDT-E-SUPERIOR (303)</t>
  </si>
  <si>
    <t>25A</t>
  </si>
  <si>
    <t>QF-INCÊNDIO</t>
  </si>
  <si>
    <t>QAC-N-TÉRREO (101)</t>
  </si>
  <si>
    <t>QAC-N-SUPERIOR (102)</t>
  </si>
  <si>
    <t>QG-AC</t>
  </si>
  <si>
    <t>125A</t>
  </si>
  <si>
    <t>QFAC-01</t>
  </si>
  <si>
    <t>QFAC-02</t>
  </si>
  <si>
    <t>QFAC-03</t>
  </si>
  <si>
    <t>QDL-E-SUPERIOR (202)</t>
  </si>
  <si>
    <t>QDL-E-TÉRREO (201)</t>
  </si>
  <si>
    <t>Até 12</t>
  </si>
  <si>
    <t>Até 18</t>
  </si>
  <si>
    <t>Até 24</t>
  </si>
  <si>
    <t>Até 28</t>
  </si>
  <si>
    <t>Até 30</t>
  </si>
  <si>
    <t>Até 36</t>
  </si>
  <si>
    <t>Até 40</t>
  </si>
  <si>
    <t>Até 48</t>
  </si>
  <si>
    <t>Quadro de distribuição com barramento trifásico, de sobrepor, em chapa de aço galvanizado, para até 12 disjuntores DIN</t>
  </si>
  <si>
    <t>Quadro de distribuição com barramento trifásico, de sobrepor, em chapa de aço galvanizado, para até 18 disjuntores DIN</t>
  </si>
  <si>
    <t>Quadro de distribuição com barramento trifásico, de sobrepor, em chapa de aço galvanizado, para até 24 disjuntores DIN</t>
  </si>
  <si>
    <t>Quadro de distribuição com barramento trifásico, de sobrepor, em chapa de aço galvanizado, para até 28 disjuntores DIN</t>
  </si>
  <si>
    <t>Quadro de distribuição com barramento trifásico, de sobrepor, em chapa de aço galvanizado, para até 30 disjuntores DIN</t>
  </si>
  <si>
    <t>Quadro de distribuição com barramento trifásico, de sobrepor, em chapa de aço galvanizado, para até 36 disjuntores DIN</t>
  </si>
  <si>
    <t>Quadro de distribuição com barramento trifásico, de sobrepor, em chapa de aço galvanizado, para até 40 disjuntores DIN</t>
  </si>
  <si>
    <t>Quadro de distribuição com barramento trifásico, de sobrepor, em chapa de aço galvanizado, para até 48 disjuntores DIN</t>
  </si>
  <si>
    <t>8067 MOD 1</t>
  </si>
  <si>
    <t>8067 MOD 2</t>
  </si>
  <si>
    <t>8067 MOD 3</t>
  </si>
  <si>
    <t>8067 MOD 4</t>
  </si>
  <si>
    <t>8067 MOD 5</t>
  </si>
  <si>
    <t>8067 MOD 6</t>
  </si>
  <si>
    <t>8067 MOD 7</t>
  </si>
  <si>
    <t>8067 MOD 8</t>
  </si>
  <si>
    <t>06.01.302.01</t>
  </si>
  <si>
    <t>06.01.302.02</t>
  </si>
  <si>
    <t>06.01.302.03</t>
  </si>
  <si>
    <t>06.01.302.04</t>
  </si>
  <si>
    <t>06.01.302.05</t>
  </si>
  <si>
    <t>06.01.302.06</t>
  </si>
  <si>
    <t>06.01.302.07</t>
  </si>
  <si>
    <t>06.01.302.08</t>
  </si>
  <si>
    <t>06.01.304.01</t>
  </si>
  <si>
    <t>06.01.304.02</t>
  </si>
  <si>
    <t>06.01.304.03</t>
  </si>
  <si>
    <t>06.01.304.04</t>
  </si>
  <si>
    <t>06.01.305.01</t>
  </si>
  <si>
    <t>06.01.305.02</t>
  </si>
  <si>
    <t>06.01.305.03</t>
  </si>
  <si>
    <t>06.01.305.04</t>
  </si>
  <si>
    <t>06.01.305.05</t>
  </si>
  <si>
    <t>06.01.305.06</t>
  </si>
  <si>
    <t>06.01.305.07</t>
  </si>
  <si>
    <t>06.01.305.08</t>
  </si>
  <si>
    <t>06.01.305.09</t>
  </si>
  <si>
    <t>06.01.305.10</t>
  </si>
  <si>
    <t>06.01.305.11</t>
  </si>
  <si>
    <t>06.01.305.12</t>
  </si>
  <si>
    <t>06.01.305.13</t>
  </si>
  <si>
    <t>06.01.306.01</t>
  </si>
  <si>
    <t>06.01.306.02</t>
  </si>
  <si>
    <t>06.01.306.03</t>
  </si>
  <si>
    <t>06.01.306.04</t>
  </si>
  <si>
    <t>06.01.306.05</t>
  </si>
  <si>
    <t>06.01.306.06</t>
  </si>
  <si>
    <t>06.01.306.07</t>
  </si>
  <si>
    <t>06.01.306.08</t>
  </si>
  <si>
    <t>06.01.308.01</t>
  </si>
  <si>
    <t>06.01.308.02</t>
  </si>
  <si>
    <t>06.01.308.03</t>
  </si>
  <si>
    <t>06.01.308.04</t>
  </si>
  <si>
    <t>06.01.308.05</t>
  </si>
  <si>
    <t>06.01.308.06</t>
  </si>
  <si>
    <t>06.01.308.07</t>
  </si>
  <si>
    <t>06.01.308.08</t>
  </si>
  <si>
    <t>06.01.308.09</t>
  </si>
  <si>
    <t>06.01.308.10</t>
  </si>
  <si>
    <t>06.01.308.11</t>
  </si>
  <si>
    <t>06.01.308.12</t>
  </si>
  <si>
    <t>06.01.308.13</t>
  </si>
  <si>
    <t>06.01.308.14</t>
  </si>
  <si>
    <t>06.01.308.15</t>
  </si>
  <si>
    <t>06.01.309.01</t>
  </si>
  <si>
    <t>06.01.309.02</t>
  </si>
  <si>
    <t>06.01.309.03</t>
  </si>
  <si>
    <t>06.01.309.04</t>
  </si>
  <si>
    <t>06.01.312.01</t>
  </si>
  <si>
    <t>06.01.312.02</t>
  </si>
  <si>
    <t>06.01.313.01</t>
  </si>
  <si>
    <t>06.01.313.02</t>
  </si>
  <si>
    <t>06.01.313.03</t>
  </si>
  <si>
    <t>06.01.313.04</t>
  </si>
  <si>
    <t>06.01.313.05</t>
  </si>
  <si>
    <t>Disjuntor tripolar tipo DIN, corrente nominal 70A - 18kA, fornecimento e instalação</t>
  </si>
  <si>
    <t>Disjuntor tripolar tipo DIN, corrente nominal 70A - 6kA, fornecimento e instalação</t>
  </si>
  <si>
    <t>Disjuntor Tripolar 6kA/380V</t>
  </si>
  <si>
    <t>Disjuntor Monopolar 3kA/220V</t>
  </si>
  <si>
    <t>Disjuntor tripolar tipo DIN, corrente nominal 20A - 6kA, fornecimento e instalação</t>
  </si>
  <si>
    <t>Disjuntor tripolar tipo DIN, corrente nominal 32A - 6kA, fornecimento e instalação</t>
  </si>
  <si>
    <t>Disjuntor tripolar tipo DIN, corrente nominal 40A - 6kA, fornecimento e instalação</t>
  </si>
  <si>
    <t>Disjuntor tripolar tipo DIN, corrente nominal 63A - 6kA, fornecimento e instalação</t>
  </si>
  <si>
    <t>Disjuntor tripolar tipo DIN, corrente nominal 20A - 18kA, fornecimento e instalação</t>
  </si>
  <si>
    <t>Disjuntor tripolar tipo DIN, corrente nominal 32A - 18kA, fornecimento e instalação</t>
  </si>
  <si>
    <t>Disjuntor tripolar tipo DIN, corrente nominal 40A - 18kA, fornecimento e instalação</t>
  </si>
  <si>
    <t>Disjuntor tripolar tipo DIN, corrente nominal 63A - 18kA, fornecimento e instalação</t>
  </si>
  <si>
    <t>Disjuntor tripolar tipo DIN, corrente nominal 63A - 6kA ou 18kA, fornecimento e instalação</t>
  </si>
  <si>
    <t>Disjuntor tripolar tipo DIN, corrente nominal 70A - 6kA ou 18kA, fornecimento e instalação</t>
  </si>
  <si>
    <t>DISJUNTOR TRIPOLAR 70A, PADRÃO DIN (LINHA BRANCA), CURVA DE DISPARO C</t>
  </si>
  <si>
    <t>Disjuntor tripolar tipo DIN, corrente nominal 70A - 45kA, em caixa moldada, fornecimento e instalação</t>
  </si>
  <si>
    <t>Disjuntor tripolar tipo DIN, corrente nominal 100A - 6kA, fornecimento e instalação</t>
  </si>
  <si>
    <t>Disjuntor tripolar tipo DIN, corrente nominal 100A - 18kA, fornecimento e instalação</t>
  </si>
  <si>
    <t>Disjuntor tripolar tipo DIN, corrente nominal 100A - 6kA ou 18kA, fornecimento e instalação</t>
  </si>
  <si>
    <t>DISJUNTOR TRIPOLAR 100A, PADRÃO DIN (LINHA BRANCA), CURVA DE DISPARO C</t>
  </si>
  <si>
    <t>Disjuntor tripolar tipo DIN, corrente nominal 100A - 45kA, em caixa moldada, fornecimento e instalação</t>
  </si>
  <si>
    <t>Disjuntor tripolar tipo DIN, corrente nominal 125A - 18kA, fornecimento e instalação</t>
  </si>
  <si>
    <t>Disjuntor tripolar tipo DIN, corrente nominal 125A - 45kA, em caixa moldada, fornecimento e instalação</t>
  </si>
  <si>
    <t>DISJUNTOR TRIPOLAR 100A, PADRÃO DIN (LINHA BRANCA), CORRENTE DE INTERRUPÇÃO 65kA</t>
  </si>
  <si>
    <t>Disjuntor tripolar tipo DIN, corrente nominal 150A - 18kA, fornecimento e instalação</t>
  </si>
  <si>
    <t>DISJUNTOR TRIPOLAR 125A, PADRÃO DIN (LINHA BRANCA), CORRENTE DE INTERRUPÇÃO 22kA</t>
  </si>
  <si>
    <t>Disjuntor tripolar tipo DIN, corrente nominal 175A - 45kA, em caixa moldada, fornecimento e instalação</t>
  </si>
  <si>
    <t>Disjuntor tripolar tipo DIN, corrente nominal 250A - 18kA, fornecimento e instalação</t>
  </si>
  <si>
    <t>DISJUNTOR TRIPOLAR 250A, PADRÃO DIN (LINHA BRANCA), CORRENTE DE INTERRUPÇÃO 22kA</t>
  </si>
  <si>
    <t>DISJUNTOR TRIPOLAR 300A, PADRÃO DIN (LINHA BRANCA), CORRENTE DE INTERRUPÇÃO 65kA</t>
  </si>
  <si>
    <t>Disjuntor tripolar tipo DIN, corrente nominal 300A - 18kA ou 45kA, em caixa moldada, fornecimento e instalação</t>
  </si>
  <si>
    <t>06.01.308.16</t>
  </si>
  <si>
    <t>06.01.308.17</t>
  </si>
  <si>
    <t>06.01.308.18</t>
  </si>
  <si>
    <t>06.01.308.19</t>
  </si>
  <si>
    <t>06.01.308.20</t>
  </si>
  <si>
    <t>06.01.308.21</t>
  </si>
  <si>
    <t>06.01.308.22</t>
  </si>
  <si>
    <t>06.01.308.23</t>
  </si>
  <si>
    <t>06.01.308.24</t>
  </si>
  <si>
    <t>06.01.308.25</t>
  </si>
  <si>
    <t>06.01.308.26</t>
  </si>
  <si>
    <t>Dispositivo residual diferencial (DR) tripolar, sensibilidade 30ma, corrente nominal 25A</t>
  </si>
  <si>
    <t>8194 MOD 1</t>
  </si>
  <si>
    <t>8194 MOD 2</t>
  </si>
  <si>
    <t>8194 MOD 3</t>
  </si>
  <si>
    <t>8194 MOD 4</t>
  </si>
  <si>
    <t>8194 MOD 5</t>
  </si>
  <si>
    <t>06.01.401.01</t>
  </si>
  <si>
    <t>06.01.401.02</t>
  </si>
  <si>
    <t>06.01.401.03</t>
  </si>
  <si>
    <t>06.01.401.04</t>
  </si>
  <si>
    <t>06.01.401.05</t>
  </si>
  <si>
    <t>06.01.401.06</t>
  </si>
  <si>
    <t>06.01.401.07</t>
  </si>
  <si>
    <t>06.01.401.08</t>
  </si>
  <si>
    <t>06.01.401.09</t>
  </si>
  <si>
    <t>06.01.401.10</t>
  </si>
  <si>
    <t>06.01.401.11</t>
  </si>
  <si>
    <t>06.01.401.12</t>
  </si>
  <si>
    <t>06.01.401.13</t>
  </si>
  <si>
    <t>06.01.401.14</t>
  </si>
  <si>
    <t>06.01.401.15</t>
  </si>
  <si>
    <t>06.01.403.01</t>
  </si>
  <si>
    <t>06.01.403.03</t>
  </si>
  <si>
    <t>06.01.403.05</t>
  </si>
  <si>
    <t>06.01.404.01</t>
  </si>
  <si>
    <t>06.01.404.02</t>
  </si>
  <si>
    <t>06.01.404.03</t>
  </si>
  <si>
    <t>Módulo de tomada hexagonal 2P+T, 10A, para instalação em condulete aparente de alumínio</t>
  </si>
  <si>
    <t>Módulo de tomada hexagonal 2P+T, 20A, para instalação em condulete aparente de alumínio</t>
  </si>
  <si>
    <t>INSUMO 38101</t>
  </si>
  <si>
    <t>INSUMO 38102</t>
  </si>
  <si>
    <t>06.01.304.05</t>
  </si>
  <si>
    <t>Condulete de alumínio para instalações aparentes, 3/4", inclusive tampa (cega, ou com abertura para tomadas ou interruptores)</t>
  </si>
  <si>
    <t>40.04.140</t>
  </si>
  <si>
    <t>Tomada steck (3F+N+T), blindada industrial de sobrepor</t>
  </si>
  <si>
    <t>TOMADA INDUSTRIAL 3P+T, DE 32A, PARA 220/240, COM CARCAÇA, PRENSA CABOS, ALIVIADOR DE TENSÃO E TAMPA TRAVA, REF S-4209 OU EQUIVALENTE</t>
  </si>
  <si>
    <t>Curva 90º para eletroduto de PVC rígido 4"</t>
  </si>
  <si>
    <t>Curva 90º para eletroduto de PVC rígido 1"</t>
  </si>
  <si>
    <t>Curva 90º para eletroduto de PVC rígido 3/4"</t>
  </si>
  <si>
    <t>Luva para eletroduto de PVC rígido 4"</t>
  </si>
  <si>
    <t>Luva para eletroduto de PVC rígido 1"</t>
  </si>
  <si>
    <t>Luva para eletroduto de PVC rígido 3/4"</t>
  </si>
  <si>
    <t>06.01.304.06</t>
  </si>
  <si>
    <t>06.01.304.07</t>
  </si>
  <si>
    <t>06.01.304.08</t>
  </si>
  <si>
    <t>06.01.304.09</t>
  </si>
  <si>
    <t>06.01.304.10</t>
  </si>
  <si>
    <t>06.01.304.11</t>
  </si>
  <si>
    <t>06.01.304.12</t>
  </si>
  <si>
    <t>06.01.304.13</t>
  </si>
  <si>
    <t>Curva 90º para eletroduto de PVC rígido 1 1/2"</t>
  </si>
  <si>
    <t>Luva para eletroduto de PVC rígido 1 1/2"</t>
  </si>
  <si>
    <t>Curva de inversão, galvanizada, 400x100mm, chapa #18</t>
  </si>
  <si>
    <t>Curva de inversão, galvanizada, 300x100mm, chapa #18</t>
  </si>
  <si>
    <t>Curva de inversão, galvanizada, 200x100mm, chapa #18</t>
  </si>
  <si>
    <t>Curva de inversão, galvanizada, 100x100mm, chapa #18</t>
  </si>
  <si>
    <t>Curva horizontal 90º, galvanizada, 300x100mm, chapa #18</t>
  </si>
  <si>
    <t>Curva horizontal 90º, galvanizada, 200x100mm, chapa #18</t>
  </si>
  <si>
    <t>Curva horizontal 90º, galvanizada, 100x100mm, chapa #18</t>
  </si>
  <si>
    <t>Tê horizontal 90º, galvanizado, 200x100mm, chapa #18</t>
  </si>
  <si>
    <t>Tê horizontal 90º, galvanizado, 400x100mm, chapa #18</t>
  </si>
  <si>
    <t>Gancho vertical galvanizado para eletrocalha 400x100mm</t>
  </si>
  <si>
    <t>Tê horizontal 90º, galvanizado, 100x100mm, chapa #18</t>
  </si>
  <si>
    <t>Gancho vertical galvanizado para eletrocalha 300x100mm</t>
  </si>
  <si>
    <t>Gancho vertical galvanizado para eletrocalha 200x100mm</t>
  </si>
  <si>
    <t>Gancho vertical galvanizado para eletrocalha 100x100mm</t>
  </si>
  <si>
    <t>Emenda interna para eletrocalha galvanizada, 400x100mm, chapa #18</t>
  </si>
  <si>
    <t>Emenda interna para eletrocalha galvanizada, 300x100mm, chapa #18</t>
  </si>
  <si>
    <t>Emenda interna para eletrocalha galvanizada, 200x100mm, chapa #18</t>
  </si>
  <si>
    <t>Emenda interna para eletrocalha galvanizada, 100x100mm, chapa #18</t>
  </si>
  <si>
    <t>Tampa galvanizada para eletrocalha 400x3000mm</t>
  </si>
  <si>
    <t>Tampa galvanizada para eletrocalha 300x3000mm</t>
  </si>
  <si>
    <t>Tampa galvanizada para eletrocalha 100x3000mm</t>
  </si>
  <si>
    <t>06.01.309.05</t>
  </si>
  <si>
    <t>06.01.309.06</t>
  </si>
  <si>
    <t>06.01.309.07</t>
  </si>
  <si>
    <t>06.01.309.08</t>
  </si>
  <si>
    <t>06.01.309.09</t>
  </si>
  <si>
    <t>06.01.309.10</t>
  </si>
  <si>
    <t>06.01.309.11</t>
  </si>
  <si>
    <t>06.01.309.12</t>
  </si>
  <si>
    <t>06.01.309.13</t>
  </si>
  <si>
    <t>06.01.309.14</t>
  </si>
  <si>
    <t>06.01.309.15</t>
  </si>
  <si>
    <t>06.01.309.16</t>
  </si>
  <si>
    <t>06.01.309.17</t>
  </si>
  <si>
    <t>06.01.309.18</t>
  </si>
  <si>
    <t>06.01.309.19</t>
  </si>
  <si>
    <t>06.01.309.20</t>
  </si>
  <si>
    <t>06.01.309.21</t>
  </si>
  <si>
    <t>06.01.309.22</t>
  </si>
  <si>
    <t>06.01.309.23</t>
  </si>
  <si>
    <t>06.01.309.24</t>
  </si>
  <si>
    <t>06.01.309.25</t>
  </si>
  <si>
    <t>CURVA DE INVERSÃO 400X100MM PARA ELETROCALHA METÁLICA</t>
  </si>
  <si>
    <t>CURVA DE INVERSÃO 300X100MM PARA ELETROCALHA METÁLICA</t>
  </si>
  <si>
    <t>CURVA DE INVERSÃO 200X100MM PARA ELETROCALHA METÁLICA</t>
  </si>
  <si>
    <t>Eletrocalha metálica perfurada, chapa #18, 400 x 100 mm</t>
  </si>
  <si>
    <t>Eletrocalha metálica perfurada, chapa #18, 300 x 100 mm</t>
  </si>
  <si>
    <t>Eletrocalha metálica perfurada, chapa #18, 200 x 100 mm</t>
  </si>
  <si>
    <t>Eletrocalha metálica perfurada, chapa #18, 100 x 100 mm</t>
  </si>
  <si>
    <t>CURVA HORIZONTAL 300X100MM PARA ELETROCALHA METÁLICA COM ÂNGULO DE 90</t>
  </si>
  <si>
    <t>CURVA HORIZONTAL 100X100MM PARA ELETROCALHA METÁLICA COM ÂNGULO DE 90</t>
  </si>
  <si>
    <t>TÊ HORIZONTAL 100X100 PARA ELETROCALHA METÁLICA</t>
  </si>
  <si>
    <t>TÊ HORIZONTAL 400X100 PARA ELETROCALHA METÁLICA</t>
  </si>
  <si>
    <t>TÊ HORIZONTAL 200X100 PARA ELETROCALHA METÁLICA</t>
  </si>
  <si>
    <t>SUPORTE VERTICAL 200X100 PARA FIXAÇÃO DE ELETROCALHA METÁLICA</t>
  </si>
  <si>
    <t>8695 MOD</t>
  </si>
  <si>
    <t>SUPORTE VERTICAL 100X100 PARA FIXAÇÃO DE ELETROCALHA METÁLICA</t>
  </si>
  <si>
    <t>EMENDA INTERNA 400X100MM COM BASE LISA PERFURADA PARA ELETROCALHA</t>
  </si>
  <si>
    <t>EMENDA INTERNA 300X100MM COM BASE LISA PERFURADA PARA ELETROCALHA</t>
  </si>
  <si>
    <t>EMENDA INTERNA 200X100MM COM BASE LISA PERFURADA PARA ELETROCALHA</t>
  </si>
  <si>
    <t>EMENDA INTERNA 100X100MM COM BASE LISA PERFURADA PARA ELETROCALHA</t>
  </si>
  <si>
    <t>8110 MOD</t>
  </si>
  <si>
    <t>9527 MOD 1</t>
  </si>
  <si>
    <t>9527 MOD 2</t>
  </si>
  <si>
    <t>9527 MOD 3</t>
  </si>
  <si>
    <t>TAMPA DE ENCAIXE PARA ELETROCALHA METÁLICA 400MM</t>
  </si>
  <si>
    <t>TAMPA DE ENCAIXE PARA ELETROCALHA METÁLICA 300MM</t>
  </si>
  <si>
    <t>TAMPA DE ENCAIXE PARA ELETROCALHA METÁLICA 100MM</t>
  </si>
  <si>
    <t>06.01.410</t>
  </si>
  <si>
    <t>06.01.415</t>
  </si>
  <si>
    <t>06.01.416</t>
  </si>
  <si>
    <t>Vergalhão com rosca total 3/8" para fixação de eletrocalhas</t>
  </si>
  <si>
    <t>Saída horizontal de eletrocalha para eletroduto 3/4"</t>
  </si>
  <si>
    <t>VERGALHÃO (TIRANTE) COM ROSCA TOTAL 3/8"X1000MM</t>
  </si>
  <si>
    <t>SAÍDA HORIZONTAL PARA ELETRODUTO 3/4"</t>
  </si>
  <si>
    <t>06.09.002.01</t>
  </si>
  <si>
    <t>06.09.002.02</t>
  </si>
  <si>
    <t>06.09.002.03</t>
  </si>
  <si>
    <t>06.09.002.04</t>
  </si>
  <si>
    <t>06.09.006.01</t>
  </si>
  <si>
    <t>06.09.006.02</t>
  </si>
  <si>
    <t>06.09.008.01</t>
  </si>
  <si>
    <t>06.09.008.02</t>
  </si>
  <si>
    <t>Condulete de alumínio para instalações aparentes, 3/4", inclusive tampa (cega, ou com abertura para RJ45)</t>
  </si>
  <si>
    <t>Interruptor simples (apenas módulo), 10A/250V, para ser montado em condulete aparente de alumínio</t>
  </si>
  <si>
    <t>INSUMO 38112</t>
  </si>
  <si>
    <t>Interruptor paralelo (apenas módulo), 10A/250V, para ser montado em condulete aparente de alumínio</t>
  </si>
  <si>
    <t>INSUMO 38113</t>
  </si>
  <si>
    <t>06.09.009.01</t>
  </si>
  <si>
    <t>06.09.009.02</t>
  </si>
  <si>
    <t>06.09.009.03</t>
  </si>
  <si>
    <t>Eletroduto rígido roscável, PVC, DN 60mm (2"), embutida no piso (exclusive escavação)</t>
  </si>
  <si>
    <t>Curva 90º para eletroduto de PVC rígido 2"</t>
  </si>
  <si>
    <t>06.09.009.04</t>
  </si>
  <si>
    <t>06.09.009.05</t>
  </si>
  <si>
    <t>06.09.009.06</t>
  </si>
  <si>
    <t>06.09.009.07</t>
  </si>
  <si>
    <t>06.09.009.08</t>
  </si>
  <si>
    <t>06.09.009.09</t>
  </si>
  <si>
    <t>Tomada fêmea RJ45, cat 6</t>
  </si>
  <si>
    <t>INSUMO 38104</t>
  </si>
  <si>
    <t>Fornecimento e instalação de eletrocalha perfurada 100 x 100, chapa #18</t>
  </si>
  <si>
    <t>06.09.012.01</t>
  </si>
  <si>
    <t>06.09.012.02</t>
  </si>
  <si>
    <t>Caixa retangular 4"x2", PVC, fornecimento e instalação</t>
  </si>
  <si>
    <t>06.09.008.03</t>
  </si>
  <si>
    <t>06.09.008.04</t>
  </si>
  <si>
    <t>06.10.000</t>
  </si>
  <si>
    <t>SUBTOTAL (06.10.000)</t>
  </si>
  <si>
    <t>06.10.100</t>
  </si>
  <si>
    <t>Escavação de valas</t>
  </si>
  <si>
    <t>06.10.300</t>
  </si>
  <si>
    <t>Caixas de passagem</t>
  </si>
  <si>
    <t>06.10.301.01</t>
  </si>
  <si>
    <t>06.10.301.02</t>
  </si>
  <si>
    <t>06.09.011.01</t>
  </si>
  <si>
    <t>06.09.011.02</t>
  </si>
  <si>
    <t>06.09.011.03</t>
  </si>
  <si>
    <t>06.09.011.04</t>
  </si>
  <si>
    <t>06.09.011.05</t>
  </si>
  <si>
    <t>06.09.011.06</t>
  </si>
  <si>
    <t>Rodapé metálico, com tampa de encaixe, triplo, 3x30x40, fab. Alcan</t>
  </si>
  <si>
    <t>38.16.030</t>
  </si>
  <si>
    <t>RODAPÉ TÉCNICO TRIPLO COM TAMPA E PINTURA ELETROSTÁTICA DE 3X30X40</t>
  </si>
  <si>
    <t>P.04.000.062801</t>
  </si>
  <si>
    <t>06.09.011.07</t>
  </si>
  <si>
    <t>06.09.011.08</t>
  </si>
  <si>
    <t>Caixa para rodapé metálico, para 2 tomadas de energia e 2 tomadas RJ45</t>
  </si>
  <si>
    <t>38.16.090</t>
  </si>
  <si>
    <t>P.04.000.062806</t>
  </si>
  <si>
    <t>CAIXA PARA TOMADAS DE ENERGIA, RJ, SOBRESSALENTE, INTERRUPTOR OU ESPELHO DE 3X30X40</t>
  </si>
  <si>
    <t>06.09.014</t>
  </si>
  <si>
    <t>Fusão da fibra óptica</t>
  </si>
  <si>
    <t>06.01.501.01</t>
  </si>
  <si>
    <t>06.01.501.02</t>
  </si>
  <si>
    <t>06.01.501.03</t>
  </si>
  <si>
    <t>06.01.504.01</t>
  </si>
  <si>
    <t>06.01.504.02</t>
  </si>
  <si>
    <t>06.01.504.03</t>
  </si>
  <si>
    <t>06.01.504.04</t>
  </si>
  <si>
    <t>06.10.101.01</t>
  </si>
  <si>
    <t>06.10.301.03</t>
  </si>
  <si>
    <t>06.10.101.02</t>
  </si>
  <si>
    <t>Eletroduto de PVC rígido roscável, 3/4", aparente, instalado em parede ou teto, inclusive conexões e acessórios</t>
  </si>
  <si>
    <t>06.07.301.01</t>
  </si>
  <si>
    <t>06.07.301.02</t>
  </si>
  <si>
    <t>06.07.301.03</t>
  </si>
  <si>
    <t>Área de revestimento cerâmico em paredes de banheiros</t>
  </si>
  <si>
    <t>Impermeabilização com cristalizante (A+B) tipo Viaplus 5000, com quatro demãos cruzadas, aplicação de tela de poliéster (malha 1x1) na segunda demão (casas de máquinas)</t>
  </si>
  <si>
    <t>Casa de máquinas 01</t>
  </si>
  <si>
    <t>Casa de máquinas 02</t>
  </si>
  <si>
    <t>Casa de máquinas 03</t>
  </si>
  <si>
    <t>Casa de máquinas 04</t>
  </si>
  <si>
    <t>Fachada noroeste</t>
  </si>
  <si>
    <t>Fachada sudeste</t>
  </si>
  <si>
    <t>Cantoneira de alumínio 1"x1" para proteção de quinas de paredes dos banheiros</t>
  </si>
  <si>
    <t>Paredes com quina</t>
  </si>
  <si>
    <t>Divisória de sanitário em granito</t>
  </si>
  <si>
    <t>Faces</t>
  </si>
  <si>
    <t>Soleiras de granito</t>
  </si>
  <si>
    <t>Rodabancada</t>
  </si>
  <si>
    <t>Prateleiras de granito</t>
  </si>
  <si>
    <t>Compr.</t>
  </si>
  <si>
    <t>Pintura impermeabilizante para pedras (para pisos, divisórias, bancadas e soleiras de granito)</t>
  </si>
  <si>
    <t>Pisos de granito</t>
  </si>
  <si>
    <t>03.01.400</t>
  </si>
  <si>
    <t>Fundações profundas</t>
  </si>
  <si>
    <t>03.01.425.01</t>
  </si>
  <si>
    <t>Montagem de armadura longitudinal de estacas de seção circular, diâmetro = 10mm</t>
  </si>
  <si>
    <t>03.01.425.02</t>
  </si>
  <si>
    <t>03.01.425.03</t>
  </si>
  <si>
    <t>Arrasamento mecânico de estaca de concreto armado, diâmetro até 40cm</t>
  </si>
  <si>
    <t>03.01.430</t>
  </si>
  <si>
    <t>03.01.500</t>
  </si>
  <si>
    <t>Blocos de fundação</t>
  </si>
  <si>
    <t>03.01.501</t>
  </si>
  <si>
    <t>03.01.502</t>
  </si>
  <si>
    <t>03.01.504</t>
  </si>
  <si>
    <t>Lastro de concreto magro, aplicado em blocos de coroamento ou sapatas, espessura 5 cm</t>
  </si>
  <si>
    <t>Escavação mecanizada para bloco de coroamento ou sapata, com previsão de forma, com retroescavadeira</t>
  </si>
  <si>
    <t>Fabricação, montagem e desmontagem de forma para bloco de coroamento, em chapa de madeira compensada resinada, e=17mm, 4 utilizações</t>
  </si>
  <si>
    <t>03.01.503.01</t>
  </si>
  <si>
    <t>03.01.503.02</t>
  </si>
  <si>
    <t>03.01.503.03</t>
  </si>
  <si>
    <t>Armação de bloco, viga baldrame ou sapata, utilizando aço CA-50 de 8mm</t>
  </si>
  <si>
    <t>Armação de bloco, viga baldrame ou sapata, utilizando aço CA-50 de 10mm</t>
  </si>
  <si>
    <t>Armação de bloco, viga baldrame ou sapata, utilizando aço CA-50 de 16mm</t>
  </si>
  <si>
    <t>Concretagem de blocos de coroamento e vigas baldrames, fck = 20 MPa, com uso de bomba, lançamento, adensamento e acabamento</t>
  </si>
  <si>
    <t>96557 MOD</t>
  </si>
  <si>
    <t>03.01.550</t>
  </si>
  <si>
    <t>Vigas Baldrame</t>
  </si>
  <si>
    <t>Fabricação, montagem e desmontagem de forma para viga baldrame, em chapa de madeira compensada resinada, e=17mm, 4 utilizações</t>
  </si>
  <si>
    <t>03.01.551</t>
  </si>
  <si>
    <t>Armação de bloco, viga baldrame ou sapata, utilizando aço CA-50 de 6,3mm</t>
  </si>
  <si>
    <t>Armação de bloco, viga baldrame ou sapata, utilizando aço CA-50 de 12,5mm</t>
  </si>
  <si>
    <t>Armação de bloco, viga baldrame ou sapata, utilizando aço CA-50 de 20mm</t>
  </si>
  <si>
    <t>Armação de bloco, viga baldrame ou sapata, utilizando aço CA-60 de 5mm</t>
  </si>
  <si>
    <t>03.01.552.01</t>
  </si>
  <si>
    <t>03.01.552.02</t>
  </si>
  <si>
    <t>03.01.552.03</t>
  </si>
  <si>
    <t>03.01.552.04</t>
  </si>
  <si>
    <t>03.01.552.05</t>
  </si>
  <si>
    <t>03.01.552.06</t>
  </si>
  <si>
    <t>03.01.552.07</t>
  </si>
  <si>
    <t>Concretagem de blocos de coroamento e vigas baldrames, fck = 30 MPa, com uso de bomba, lançamento, adensamento e acabamento</t>
  </si>
  <si>
    <t>03.01.553</t>
  </si>
  <si>
    <t>Escavação mecanizada para viga baldrame, com previsão de forma, com mini-escavadeira</t>
  </si>
  <si>
    <t>03.01.102.01</t>
  </si>
  <si>
    <t>03.01.102.02</t>
  </si>
  <si>
    <t>SERVIÇOS TÉCNICO-PROFISSIONAIS</t>
  </si>
  <si>
    <t>01.03.000</t>
  </si>
  <si>
    <t>ESTUDOS E PROJETOS</t>
  </si>
  <si>
    <t>SUBTOTAL (01.03.000)</t>
  </si>
  <si>
    <t>01.00.000</t>
  </si>
  <si>
    <t>01.06.000</t>
  </si>
  <si>
    <t>PLANEJAMENTO E CONTROLE</t>
  </si>
  <si>
    <t>Ensaio de abatimento de tronco de cone (1 a cada caminhão de 8m3 de concreto usinado)</t>
  </si>
  <si>
    <t>01.06.001</t>
  </si>
  <si>
    <t>01.06.002</t>
  </si>
  <si>
    <t>de ensaio</t>
  </si>
  <si>
    <t>Estacas</t>
  </si>
  <si>
    <t>Blocos</t>
  </si>
  <si>
    <t>Escadas</t>
  </si>
  <si>
    <t>Baldrames</t>
  </si>
  <si>
    <t>Bancadas</t>
  </si>
  <si>
    <t>TOTAL (01.00.000)</t>
  </si>
  <si>
    <t>SUBTOTAL (01.06.000)</t>
  </si>
  <si>
    <t>08.01.200</t>
  </si>
  <si>
    <t>Tubulações de aço-carbono e conexões de ferro maleável</t>
  </si>
  <si>
    <t>Tubo de aço galvanizado com costura, classe média, conexão rosqueada, DN 65 (2 1/2"), instalado em rede de alimentação para hidrante, fornecimento e instalação</t>
  </si>
  <si>
    <t>Tubo de aço galvanizado com costura, classe média, conexão rosqueada, DN 25 (1"), instalado em rede de alimentação para hidrante, fornecimento e instalação</t>
  </si>
  <si>
    <t>Joelho 45 graus, em ferro galvanizado, DN 65 (2 1/2"), conexão rosqueada, instalado em rede de alimentação para hidrante, fornecimento e instalação</t>
  </si>
  <si>
    <t>Joelho 90 graus, em ferro galvanizado, DN 65 (2 1/2"), conexão rosqueada, instalado em rede de alimentação para hidrante, fornecimento e instalação</t>
  </si>
  <si>
    <t>Tê em ferro galvanizado, conexão rosqueadam DN 65 (2 1/2"), instalado em rede de alimentação para hidrante, fornecimento e instalação</t>
  </si>
  <si>
    <t>Tê em ferro galvanizado, conexão rosqueadam DN 25 (1"), instalado em rede de alimentação para hidrante, fornecimento e instalação</t>
  </si>
  <si>
    <t>08.01.201.01</t>
  </si>
  <si>
    <t>08.01.201.02</t>
  </si>
  <si>
    <t>08.01.203.01</t>
  </si>
  <si>
    <t>08.01.203.02</t>
  </si>
  <si>
    <t>08.01.204.01</t>
  </si>
  <si>
    <t>08.01.204.02</t>
  </si>
  <si>
    <t>08.01.500</t>
  </si>
  <si>
    <t>Conjunto de mangueira para combate a incêndio em fibra de poliéster pura, com 1 1/2", revestida internamente, com 2 lances de 15m cada</t>
  </si>
  <si>
    <t>Caixa de incêndio metálica com tampa, 60x90x17cm</t>
  </si>
  <si>
    <t>Registro de gaveta bruto, latão, roscável, 2 1/2, fornecimento e instalação</t>
  </si>
  <si>
    <t>Adaptador em latão, engate rápido, 2 1/2", rosca interna 5 fios 2 1/2, para instalação predial de combate a incêndio</t>
  </si>
  <si>
    <t>Registro/válvula globo angular 45 graus em latão para hidrantes de incêndio predial, DN 2 1/2, com volante, classe de pressão de até 200 PSI, fornecimento e instalação</t>
  </si>
  <si>
    <t>Válvula de retenção horizontal 65mm (2 1/2"), fornecimento e instalação</t>
  </si>
  <si>
    <t>Hidrante subterrâneo ferro fundido com curva longa e caixa DN=75mm</t>
  </si>
  <si>
    <t>Extintor de capacidade extintora mínima 3A:40B:C, carga mínima de 6kg</t>
  </si>
  <si>
    <t>Manômetro de 0 a 200 PSI (0 a 14 kgf/cms), fornecimento e colocação</t>
  </si>
  <si>
    <t>Tanque de pressão capacidade mínima 10L, classe 150</t>
  </si>
  <si>
    <t>Pressostato de acionamento da bomba jockey (liga a pressão 1,5 kg/cm2 e desliga a pressão 2 kg/cm2)</t>
  </si>
  <si>
    <t>Esguicho tipo jato sólido, em latão, engate rápido, 1 1/2" x 13mm, para mangueira em instalação predial de combate a incêndio</t>
  </si>
  <si>
    <t>Eletroduto de aço zincado 3/4"</t>
  </si>
  <si>
    <t>Conduletes de alumínio para tubulação de aço 3/4"</t>
  </si>
  <si>
    <t>06.03.302</t>
  </si>
  <si>
    <t>08.01.501</t>
  </si>
  <si>
    <t>08.01.502.01</t>
  </si>
  <si>
    <t>08.01.502.02</t>
  </si>
  <si>
    <t>Registro de gaveta para ligação de mangueira, 2 1/2</t>
  </si>
  <si>
    <t>08.01.503</t>
  </si>
  <si>
    <t>08.01.508</t>
  </si>
  <si>
    <t>05.01.509</t>
  </si>
  <si>
    <t>08.01.510</t>
  </si>
  <si>
    <t>08.01.511</t>
  </si>
  <si>
    <t>72288 MOD</t>
  </si>
  <si>
    <t>08.01.516</t>
  </si>
  <si>
    <t>Bomba elétrica centrífuga, 2 CV, vazão 19,8 m3/h, altura manométrica de 11,25 mca, 2 1/2" x 2 1/2", fornecimento e instalação</t>
  </si>
  <si>
    <t>08.01.517</t>
  </si>
  <si>
    <t>BOMBA PARA INCÊNDIO JOCKEY 2CV</t>
  </si>
  <si>
    <t>08.01.519.01</t>
  </si>
  <si>
    <t>08.01.520</t>
  </si>
  <si>
    <t>08.01.521</t>
  </si>
  <si>
    <t>08.01.522</t>
  </si>
  <si>
    <t>PRESSOSTATO 0 A 10 KGF/CM2</t>
  </si>
  <si>
    <t>Placa de sinalização de saída de emergência (códs. 12, 13, 14A, 14B, 17A), em PVC, com fundo verde e símbolos fotoluminescentes, 26 x 13 cm</t>
  </si>
  <si>
    <t>Placa de sinalização de extintor de incêndio portátil (cód. 23), em PVC, com fundo vermelho e símbolos fotoluminescentes, 18x18 cm</t>
  </si>
  <si>
    <t>Placa de sinalização de abrigo de mangueira e hidrante (cód. 25), em PVC, com fundo vermelho e símbolos fotoluminescentes, 15x15 cm</t>
  </si>
  <si>
    <t>04.02.103.01</t>
  </si>
  <si>
    <t>04.02.103.02</t>
  </si>
  <si>
    <t>04.02.103.03</t>
  </si>
  <si>
    <t>TOTAL (08.00.000)</t>
  </si>
  <si>
    <t>SUBTOTAL (08.01.000)</t>
  </si>
  <si>
    <t>PLANILHA ORÇAMENTÁRIA - RESERVATÓRIO ENTERRADO</t>
  </si>
  <si>
    <t>Locação do Reservatório</t>
  </si>
  <si>
    <t>Montagem de armadura transversal de estacas de seção circular, diâmetro = 6,3mm</t>
  </si>
  <si>
    <t>Bloco tipo 1 (B1, B2, etc)</t>
  </si>
  <si>
    <t>Bloco tipo 2 (B5, B11, B12)</t>
  </si>
  <si>
    <t>Bloco tipo 3 (B13)</t>
  </si>
  <si>
    <t>Arranques dos pilares</t>
  </si>
  <si>
    <t>Montagem e desmontagem de forma de pilares retangulares e estruturas similares, em chapa de madeira compensada resinada, e=17mm, 4 utilizações</t>
  </si>
  <si>
    <t>Armação de pilar ou viga de uma estrutura convencional de concreto armado em uma edificação térrea ou sobrado utilizando aço CA-50 de 10mm</t>
  </si>
  <si>
    <t>Armação de pilar ou viga de uma estrutura convencional de concreto armado em uma edificação térrea ou sobrado utilizando aço CA-50 de 16mm</t>
  </si>
  <si>
    <t>Armação de pilar ou viga de uma estrutura convencional de concreto armado em uma edificação térrea ou sobrado utilizando aço CA-60 de 5mm</t>
  </si>
  <si>
    <t>Concretagem de pilares, fck = 30MPa, com uso de grua em edificação com seção média de pilares menor ou igual a 0,25m2 - lançamento, adensamento e acabamento</t>
  </si>
  <si>
    <t>92719 MOD</t>
  </si>
  <si>
    <t>Volume enterrado do reservatório</t>
  </si>
  <si>
    <t>03.02.110</t>
  </si>
  <si>
    <t>Pilares</t>
  </si>
  <si>
    <t>03.02.111</t>
  </si>
  <si>
    <t>03.02.112.01</t>
  </si>
  <si>
    <t>03.02.112.02</t>
  </si>
  <si>
    <t>03.02.112.03</t>
  </si>
  <si>
    <t>03.02.113</t>
  </si>
  <si>
    <t>03.02.130</t>
  </si>
  <si>
    <t>Montagem e desmontagem de forma de laje maciça com área média menor ou igual a 20 m2, pé-direito simples, em chapa de madeira compensada resinada, 4 utilizações</t>
  </si>
  <si>
    <t>Lajes (de fundo do reservatório e tampas)</t>
  </si>
  <si>
    <t>03.02.131</t>
  </si>
  <si>
    <t>Armação de laje de uma estrutura convencional de concreto armado em uma edificação térrea ou sobrado utilizando aço CA-60 de 5mm</t>
  </si>
  <si>
    <t>Armação de laje de uma estrutura convencional de concreto armado em uma edificação térrea ou sobrado utilizando aço CA-50 de 8mm</t>
  </si>
  <si>
    <t>Concretagem de vigas e lajes, fck = 30MPa, para lajes maciças ou nervuradas com uso de bomba em edificação com área média de lajes menor ou igual a 20m2</t>
  </si>
  <si>
    <t>92725 MOD</t>
  </si>
  <si>
    <t>03.02.132.01</t>
  </si>
  <si>
    <t>03.02.132.02</t>
  </si>
  <si>
    <t>03.02.133</t>
  </si>
  <si>
    <t>03.02.140</t>
  </si>
  <si>
    <t>Paredes de contenção</t>
  </si>
  <si>
    <t>Montagem e desmontagem de forma de pilares retangulares e estruturas similares com área menor que 0,25m2, em chapa de madeira compensada resinada, e=17mm, 4 utilizações</t>
  </si>
  <si>
    <t>Montagem e desmontagem de forma de pilares retangulares e estruturas similares, com área maior que 0,25m2, em chapa de madeira compensada resinada, e=17mm, 4 utilizações</t>
  </si>
  <si>
    <t>03.02.141</t>
  </si>
  <si>
    <t>Armação de sistema de paredes de concreto, executadas como reforço, vergalhão de 8mm</t>
  </si>
  <si>
    <t>Armação de sistema de paredes de concreto, executadas como reforço, vergalhão de 10mm</t>
  </si>
  <si>
    <t>03.02.142.01</t>
  </si>
  <si>
    <t>03.02.142.02</t>
  </si>
  <si>
    <t>Concretagem das paredes de contenção, com uso de bomba, incluindo adensamento e acabamento</t>
  </si>
  <si>
    <t>03.02.143</t>
  </si>
  <si>
    <t>02.04.201</t>
  </si>
  <si>
    <t>Escavação mecanizada com retroescavadeira</t>
  </si>
  <si>
    <t>03.01.600</t>
  </si>
  <si>
    <t>Impermeabilização</t>
  </si>
  <si>
    <t>Impermeabilização de superfícies (faces de blocos de fundação e vigas baldrame) com emulsão asfáltica, duas demãos</t>
  </si>
  <si>
    <t>03.01.602</t>
  </si>
  <si>
    <t>Impermeabilização de superfícies (faces de blocos de fundação) com emulsão asfáltica, duas demãos</t>
  </si>
  <si>
    <t>Face sup</t>
  </si>
  <si>
    <t>Blocos tipo 1</t>
  </si>
  <si>
    <t>Blocos tipo 2</t>
  </si>
  <si>
    <t>Vigas baldrame</t>
  </si>
  <si>
    <t>Compactação mecânica de solo para execução de radier, com compactador de solos tipo placa vibratória</t>
  </si>
  <si>
    <t>Concretagem de radier, piso ou laje sobre o solo, fck = 30MPa, espessura de 10cm - lançamento, adensamento e acabamento</t>
  </si>
  <si>
    <t>04.01.531</t>
  </si>
  <si>
    <t>Paredes internas do reservatório de bombas</t>
  </si>
  <si>
    <t>Aplicação manual de tinta látex acrílica em teto, duas demãos</t>
  </si>
  <si>
    <t>Aplicação manual de tinta látex acrílica em paredes, duas demãos</t>
  </si>
  <si>
    <t>04.01.604</t>
  </si>
  <si>
    <t>Piso do poço de inspeção</t>
  </si>
  <si>
    <t>Paredes do poço de inspeção (I)</t>
  </si>
  <si>
    <t>Paredes do poço de inspeção (II)</t>
  </si>
  <si>
    <t>Paredes externas do reservatório</t>
  </si>
  <si>
    <t>Fundo do reservatório</t>
  </si>
  <si>
    <t>Teto do poço de inspeção</t>
  </si>
  <si>
    <t>Piso dos reservatórios</t>
  </si>
  <si>
    <t>Teto dos reservatórios</t>
  </si>
  <si>
    <t>Paredes dos reservatórios</t>
  </si>
  <si>
    <t>Impermeabilização com cristalizante (A+B) tipo Viaplus 5000, com quatro demãos cruzadas, aplicação de tela de poliéster (malha 1x1) na segunda demão (nas superfícies indicadas em projeto)</t>
  </si>
  <si>
    <t>Paredes laterais externas</t>
  </si>
  <si>
    <t>Alçapão em chapa metálica dobrada #16, 105x105cm (P1)</t>
  </si>
  <si>
    <t>Alçapão em chapa metálica dobrada #16, 146x101cm (P2)</t>
  </si>
  <si>
    <t>04.01.210.01</t>
  </si>
  <si>
    <t>04.01.210.02</t>
  </si>
  <si>
    <t>74079/2 MOD 1</t>
  </si>
  <si>
    <t>74079/2 MOD 2</t>
  </si>
  <si>
    <t>04.01.804</t>
  </si>
  <si>
    <t>Escada tipo marinheiro 8 barras a cada 40 cm, chumbada na parede (acesso ao poço)</t>
  </si>
  <si>
    <t>05.01.518.01</t>
  </si>
  <si>
    <t>05.01.518.02</t>
  </si>
  <si>
    <t>05.01.601.01</t>
  </si>
  <si>
    <t>05.01.601.02</t>
  </si>
  <si>
    <t>05.01.609.01</t>
  </si>
  <si>
    <t>05.01.609.02</t>
  </si>
  <si>
    <t>05.01.609.03</t>
  </si>
  <si>
    <t>Reservatório</t>
  </si>
  <si>
    <t>Total Prédio</t>
  </si>
  <si>
    <t>Aparelhos e acessórios</t>
  </si>
  <si>
    <t>Lajes</t>
  </si>
  <si>
    <t>Contenções</t>
  </si>
  <si>
    <t>Pisos</t>
  </si>
  <si>
    <t>Blocos e arranques</t>
  </si>
  <si>
    <t>Cabos de cobre enterrados (aterramento)</t>
  </si>
  <si>
    <t>Caixa de passagem em alvenaria, tipo R1, dimensões 60 x 35 x 60 cm (cabeamento estruturado + CFTV)</t>
  </si>
  <si>
    <t>Caixa de passagem tipo R1</t>
  </si>
  <si>
    <t>Escavação manual de vala (eletrodutos enterrados, aterramento e caixas de passagem)</t>
  </si>
  <si>
    <t>Eletroduto 2" enterrado (cab. Estruturado)</t>
  </si>
  <si>
    <t>Caixa de inspeção em alvenaria 30 x 30 x 40cm, com tampa em ferro fundido T16 (SPDA)</t>
  </si>
  <si>
    <t>Caixa de inspeção aterramento</t>
  </si>
  <si>
    <t>05.03.304.01</t>
  </si>
  <si>
    <t>05.03.304.02</t>
  </si>
  <si>
    <t>05.03.307.01</t>
  </si>
  <si>
    <t>05.03.307.02</t>
  </si>
  <si>
    <t>05.04.301.01</t>
  </si>
  <si>
    <t>05.04.301.02</t>
  </si>
  <si>
    <t>05.04.301.03</t>
  </si>
  <si>
    <t>05.04.301.04</t>
  </si>
  <si>
    <t>05.04.301.05</t>
  </si>
  <si>
    <t>05.04.302.01</t>
  </si>
  <si>
    <t>05.04.302.02</t>
  </si>
  <si>
    <t>05.04.302.03</t>
  </si>
  <si>
    <t>05.04.304.01</t>
  </si>
  <si>
    <t>05.04.304.02</t>
  </si>
  <si>
    <t>05.04.304.03</t>
  </si>
  <si>
    <t>05.04.304.04</t>
  </si>
  <si>
    <t>05.04.304.05</t>
  </si>
  <si>
    <t>05.04.304.06</t>
  </si>
  <si>
    <t>05.04.304.07</t>
  </si>
  <si>
    <t>05.04.304.08</t>
  </si>
  <si>
    <t>05.04.304.09</t>
  </si>
  <si>
    <t>05.04.304.10</t>
  </si>
  <si>
    <t>05.04.304.11</t>
  </si>
  <si>
    <t>05.04.304.12</t>
  </si>
  <si>
    <t>05.04.305.01</t>
  </si>
  <si>
    <t>05.04.305.02</t>
  </si>
  <si>
    <t>05.04.305.03</t>
  </si>
  <si>
    <t>05.04.305.04</t>
  </si>
  <si>
    <t>05.04.305.05</t>
  </si>
  <si>
    <t>05.04.305.06</t>
  </si>
  <si>
    <t>05.04.305.07</t>
  </si>
  <si>
    <t>05.04.305.08</t>
  </si>
  <si>
    <t>05.04.305.09</t>
  </si>
  <si>
    <t>05.04.306.01</t>
  </si>
  <si>
    <t>05.04.306.02</t>
  </si>
  <si>
    <t>05.04.306.03</t>
  </si>
  <si>
    <t>05.04.306.04</t>
  </si>
  <si>
    <t>05.04.306.05</t>
  </si>
  <si>
    <t>05.04.306.06</t>
  </si>
  <si>
    <t>05.04.307.01</t>
  </si>
  <si>
    <t>05.04.307.02</t>
  </si>
  <si>
    <t>05.04.307.03</t>
  </si>
  <si>
    <t>05.04.307.04</t>
  </si>
  <si>
    <t>05.04.309.01</t>
  </si>
  <si>
    <t>05.04.309.02</t>
  </si>
  <si>
    <t>05.04.309.03</t>
  </si>
  <si>
    <t>05.04.316.01</t>
  </si>
  <si>
    <t>05.04.316.02</t>
  </si>
  <si>
    <t>05.04.316.03</t>
  </si>
  <si>
    <t>05.04.316.04</t>
  </si>
  <si>
    <t>05.04.316.05</t>
  </si>
  <si>
    <t>05.04.316.06</t>
  </si>
  <si>
    <t>05.04.317.01</t>
  </si>
  <si>
    <t>05.04.317.02</t>
  </si>
  <si>
    <t>05.04.801.01</t>
  </si>
  <si>
    <t>05.04.801.02</t>
  </si>
  <si>
    <t>05.04.801.03</t>
  </si>
  <si>
    <t>37.13.770</t>
  </si>
  <si>
    <t>DISJUNTOR EM CAIXA MOLDADA, TERMOMAGNÉTICO, TRIPOLAR, 1250A, FAIXA DE AJUSTE DE 800 A 1250A</t>
  </si>
  <si>
    <t>P.26.000.044007</t>
  </si>
  <si>
    <t>38.23.160</t>
  </si>
  <si>
    <t>SUPORTE PARA ELETROCALHA GALVANIZADA A FOGO, 400 X 100MM</t>
  </si>
  <si>
    <t>P.04.000.062202</t>
  </si>
  <si>
    <t>P.04.000.062201</t>
  </si>
  <si>
    <t>38.23.150</t>
  </si>
  <si>
    <t>Lavagem das tubulações com gás 141B e pressurização com nitrogênio (infraestrutura para sistema de climatização VRV)</t>
  </si>
  <si>
    <t>LAVAGEM DAS TUBULAÇÕES COM GÁS 141B E PRESSURIZACAO COM NITROGENIO</t>
  </si>
  <si>
    <t>Lastros</t>
  </si>
  <si>
    <t>85014 MOD</t>
  </si>
  <si>
    <t>06.01.200</t>
  </si>
  <si>
    <t>03.01.553, 03.02.113 e 03.02.123</t>
  </si>
  <si>
    <t>03.02.133 e 03.02.138</t>
  </si>
  <si>
    <t>04.01.528.03</t>
  </si>
  <si>
    <t>Piso em concreto 20MPa, usinado, espessura 7cm, com armação em tela soldada</t>
  </si>
  <si>
    <t>72183 MOD</t>
  </si>
  <si>
    <t>Regularização de piso em argamassa traço 1:4 (cimento e areia), preparo mecânico, e = 2 cm</t>
  </si>
  <si>
    <t>Sob piso de granitina do pavto superior</t>
  </si>
  <si>
    <t>Impermeabilização de superfície com manta asfáltica com polímeros tipo app, e=4mm, antirraiz, incluindo aplicação de primer (superfície externa do reservatório enterrado)</t>
  </si>
  <si>
    <t>05.06.500</t>
  </si>
  <si>
    <t>Quadro geral de baixa tensão montado em duas caixas metálicas para montagem de 1700x800x400</t>
  </si>
  <si>
    <t>Cabo de cobre flexível, isolado em EPR, 185mm2, antichama, 0,6/1,0 kV</t>
  </si>
  <si>
    <t>9512 MOD</t>
  </si>
  <si>
    <t>conjunto (2 caixas)</t>
  </si>
  <si>
    <t>PAINEL MODULAR DESMONTÁVEL 1,70X1,20X0,4M, COM CHAPA E BARRAMENTOS</t>
  </si>
  <si>
    <t>Cabo de cobre flexível, isolado em EPR, 95mm2, antichama, 0,6/1,0 kV</t>
  </si>
  <si>
    <t>Cabo de cobre flexível, isolação EPR, 0,6/1kV, #2,5mm2, fornecimento e instalação</t>
  </si>
  <si>
    <t>69.05.230 MOD</t>
  </si>
  <si>
    <t>Execução de escritório em canteiro de obra em chapa de madeira compensada (3 escritórios de 3m x 4m)</t>
  </si>
  <si>
    <t>Execução de almoxarifado em canteiro de obra em chapa de madeira compensada, incluindo prateleiras</t>
  </si>
  <si>
    <t>02.01.104</t>
  </si>
  <si>
    <t>Execução de refeitório em canteiro de obra em chapa de madeira compensada</t>
  </si>
  <si>
    <t>Execução de sanitário e vestiário em canteiro de obra, em chapa de madeira compensada</t>
  </si>
  <si>
    <t>02.01.107</t>
  </si>
  <si>
    <t>Execução de guarita em canteiro de obra em chapa de madeira compensada</t>
  </si>
  <si>
    <t>FITA VEDAÇÃO TEFLON LARG=1/2"</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</si>
  <si>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</si>
  <si>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</si>
  <si>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</si>
  <si>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</si>
  <si>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</si>
  <si>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</si>
  <si>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</si>
  <si>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</si>
  <si>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</si>
  <si>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</si>
  <si>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</si>
  <si>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</si>
  <si>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</si>
  <si>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</si>
  <si>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</si>
  <si>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</si>
  <si>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</si>
  <si>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</si>
  <si>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</si>
  <si>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</si>
  <si>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</si>
  <si>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</si>
  <si>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Tapume com telha metálica, inclusive portão, altura 2,20m</t>
  </si>
  <si>
    <t>02.01.402</t>
  </si>
  <si>
    <t>85424 MOD</t>
  </si>
  <si>
    <t>Isolamento de obra com tela plástica tipo tapume, estrutura de madeira pontaletada, altura 1,20m</t>
  </si>
  <si>
    <t>OK</t>
  </si>
  <si>
    <t>Locação convencional de obra, através de gabarito de tábuas corridas pontaletadas a cada 2,00m, 2 utilizações</t>
  </si>
  <si>
    <t>Tipo alerta</t>
  </si>
  <si>
    <t>Tipo direcional</t>
  </si>
  <si>
    <t>98670 MOD</t>
  </si>
  <si>
    <t>Piso de ladrilho hidráulico colorido, modelo tátil (alerta ou direcional), 25x25cm aplicado em ambientes internos, incluso aplicação de resina</t>
  </si>
  <si>
    <t>9812 MOD</t>
  </si>
  <si>
    <t>QUADRO DE COMANDO PARA 2 BOMBAS DE RECALQUE DE 1/3 A 2CV, TRIFÁSICA, 220 VOLTS, COM CHAVE SELETORA, ACIONAMENTO MANUAL/AUTOMÁTICO, RELÉ DE SOBRECARGA E CONTATORA</t>
  </si>
  <si>
    <t>05.04.805.01</t>
  </si>
  <si>
    <t>05.04.805.02</t>
  </si>
  <si>
    <t>06.01.301.03 e 06.01.302.02</t>
  </si>
  <si>
    <t>06.01.305.15</t>
  </si>
  <si>
    <t>06.01.308.12 e 06.01.308.13</t>
  </si>
  <si>
    <t>DISJUNTOR TRIPOLAR 63A, PADRÃO DIN (LINHA BRANCA), CURVA DE DISPARO C</t>
  </si>
  <si>
    <t>06.01.308.14 e 06.01.308.15</t>
  </si>
  <si>
    <t>06.01.308.17 e 06.01.308.18</t>
  </si>
  <si>
    <t>P.13.000.045614</t>
  </si>
  <si>
    <t>06.03.204.01</t>
  </si>
  <si>
    <t>06.03.204.02</t>
  </si>
  <si>
    <t>GUIA FRONTAL DE CABOS</t>
  </si>
  <si>
    <t>Painel de Preços do Governo</t>
  </si>
  <si>
    <t>DESCRIÇÃO EDITAL</t>
  </si>
  <si>
    <t>UASG</t>
  </si>
  <si>
    <t>pares de fusão</t>
  </si>
  <si>
    <t>PREÇO UNITÁRIO CONTRATADO</t>
  </si>
  <si>
    <t>IDENTIFICAÇÃO DA COMPRA</t>
  </si>
  <si>
    <t>DATA DO RESULTADO</t>
  </si>
  <si>
    <t>FUSÃO DE FIBRA ÓPTICA</t>
  </si>
  <si>
    <t>PAR DE FUSÃO</t>
  </si>
  <si>
    <t>Plataforma enclausurada, modelo Vertical Hidro Easy fabricante ThyssenKrupp Elevadores ou equivalente, Carga nominal: 250 kg; Cabina: 900 x 1400 x 1100 mm (medidas internas mínimas), incluindo o enclausuramento em vidro laminado</t>
  </si>
  <si>
    <t>Cotação por email</t>
  </si>
  <si>
    <t>90.347.840/0003-80</t>
  </si>
  <si>
    <t>(61) 2108-2333</t>
  </si>
  <si>
    <t>www.thyssenkruppelevadores.com.br</t>
  </si>
  <si>
    <t>geiser.silva@thyssenkrupp.com</t>
  </si>
  <si>
    <t>PLATAFORMA ELEVATÓRIA CONFORME ESPECIFICAÇÃO EM CADERNO</t>
  </si>
  <si>
    <t>22.06.210</t>
  </si>
  <si>
    <t>BRISE METÁLICO FIXO EM CHAPA MICROPERFURADA ALUZINC PRÉ-PINTADA ÂNGULO FIXO</t>
  </si>
  <si>
    <t>E.20.000.025052</t>
  </si>
  <si>
    <t>06.07.101 e 06.09.001</t>
  </si>
  <si>
    <t>34.203.752/0001-71</t>
  </si>
  <si>
    <t>(71) 2202-2838</t>
  </si>
  <si>
    <t>www.comdados-ba.com.br</t>
  </si>
  <si>
    <t>lia@comdados-ba.com.br</t>
  </si>
  <si>
    <t>COMDADOS</t>
  </si>
  <si>
    <t>Duto em chapa de aço galvanizada zincada #26, inclusive portas de inspeção</t>
  </si>
  <si>
    <t>Duto em chapa de aço galvanizada zincada #24, inclusive portas de inspeção</t>
  </si>
  <si>
    <t>Duto em chapa de aço galvanizada zincada #22, inclusive portas de inspeção</t>
  </si>
  <si>
    <t>Instalação de unidades condensadoras tipo "VRV"</t>
  </si>
  <si>
    <t>CIRILO PEÇAS</t>
  </si>
  <si>
    <t>http://cirilopecas.com.br/produto/valvula-de-servico-7-8-carreir-cassete-piso-teto-317414401/</t>
  </si>
  <si>
    <t>(17) 3322-3500</t>
  </si>
  <si>
    <t>contato@cirilopecas.com.br</t>
  </si>
  <si>
    <t>IRAN PARTS</t>
  </si>
  <si>
    <t>https://www.iranparts.com.br/valvula-de-servico-p-condensadora-de-7-8</t>
  </si>
  <si>
    <t>(21) 3491-7467</t>
  </si>
  <si>
    <t>sac@iranparts.com.br</t>
  </si>
  <si>
    <t>SPLIT PEÇAS</t>
  </si>
  <si>
    <t>(18) 3522-2090</t>
  </si>
  <si>
    <t>22.636.760/0001-22</t>
  </si>
  <si>
    <t xml:space="preserve"> 23.910.588/0001-16</t>
  </si>
  <si>
    <t>https://www.splitpecas.com.br/pecas-para-ar-condicionado/valvula-de-servico-7-8-soldavel-midea-carrier-piso-teto-36-000-a-90-000-btus-317410-401--p</t>
  </si>
  <si>
    <t>vendas@splitpecas.com.br</t>
  </si>
  <si>
    <t>VALVULA DE SERVICO 7/8"</t>
  </si>
  <si>
    <t>POLIPARTES</t>
  </si>
  <si>
    <t>http://cirilopecas.com.br/produto/valvula-de-servico-58-vias-r22-springer-07404040/</t>
  </si>
  <si>
    <t>https://www.polipartes.com.br/valvula-servico-5-8-ar-condicionado-split-springer-38xcb-xcd-18-22-30-36k-07404040/p</t>
  </si>
  <si>
    <t>39.118.153/0001-73</t>
  </si>
  <si>
    <t>(21) 2506-5672</t>
  </si>
  <si>
    <t>vendas@polipartes.com.br</t>
  </si>
  <si>
    <t>REFRIAR</t>
  </si>
  <si>
    <t>http://www.refriarparts.com.br/produtos/0,29252_valvula-de-servico-5-8-valvula-de-servico-da-condensadora-5-8</t>
  </si>
  <si>
    <t>07.006.993/0001-58</t>
  </si>
  <si>
    <t>(18) 3021-2150</t>
  </si>
  <si>
    <t>vendas@refriarparts.com.br</t>
  </si>
  <si>
    <t>VALVULA DE SERVICO 5/8"</t>
  </si>
  <si>
    <t>https://www.splitpecas.com.br/pecas-para-ar-condicionado/valvulas/valvula-de-servico-1-2-para-ar-condicionado</t>
  </si>
  <si>
    <t>https://www.polipartes.com.br/valvula-servico-1-2-ar-condicionado-split-springer-38kca-12k-07404039/p</t>
  </si>
  <si>
    <t>http://www.refriarparts.com.br/produtos/0,86244_valvula-de-servico-da-condensadora-1-2-valvula-de-servico-1-2</t>
  </si>
  <si>
    <t>VALVULA DE SERVICO 1/2"</t>
  </si>
  <si>
    <t>https://www.splitpecas.com.br/pecas-para-ar-condicionado/valvulas/valvula-de-servico-3-8-para-ar-condicionado</t>
  </si>
  <si>
    <t>https://www.polipartes.com.br/valvula-servico-3-8-ar-condicionado-split-springer-38xcb-38kca-30k---79-e-30k-07404038/p</t>
  </si>
  <si>
    <t>VALVULA DE SERVICO 3/8"</t>
  </si>
  <si>
    <t>https://www.splitpecas.com.br/pecas-para-ar-condicionado/valvulas/valvula-de-liquido-1-4-com-schrader-condensadora-7-000-9-000-e-12-000btus</t>
  </si>
  <si>
    <t>http://cirilopecas.com.br/produto/valvula-de-servico-1-4-vias-r22-springer-07404037/</t>
  </si>
  <si>
    <t>http://www.refriarparts.com.br/produtos/0,24211_valvula-liquido-condensadora-1-4-com-schrader-valvula-de-servico-condensadora-1-4</t>
  </si>
  <si>
    <t>VALVULA DE SERVICO 1/4"</t>
  </si>
  <si>
    <t>61.10.567 MOD</t>
  </si>
  <si>
    <t>61.10.569 MOD</t>
  </si>
  <si>
    <t>61.10.574 MOD 1</t>
  </si>
  <si>
    <t>61.10.574 MOD 2</t>
  </si>
  <si>
    <t>Dumper/Registro regulador de vazão RLB 750x200mm</t>
  </si>
  <si>
    <t>Dumper/Registro regulador de vazão RLB 350x350mm</t>
  </si>
  <si>
    <t>61.10.402 MOD</t>
  </si>
  <si>
    <t>61.10.401 MOD</t>
  </si>
  <si>
    <t>61.10.530 MOD 1</t>
  </si>
  <si>
    <t>61.10.530</t>
  </si>
  <si>
    <t>61.10.530 MOD 2</t>
  </si>
  <si>
    <t>61.10.530 MOD 3</t>
  </si>
  <si>
    <t>Q.04.000.031436</t>
  </si>
  <si>
    <t>GRELHA DE PORTA TAMANHO 0,14 A 0,30 M2</t>
  </si>
  <si>
    <t>Q.04.000.031434</t>
  </si>
  <si>
    <t>GRELHA DE PORTA TAMANHO 0,03 A 0,06 M2</t>
  </si>
  <si>
    <t>Q.04.000.031429</t>
  </si>
  <si>
    <t>GRELHA DE RETORNO/EXAUSTÃO COM REGISTRO, TAMANHO 0,03 A 0,06 M2</t>
  </si>
  <si>
    <t>DAMPER DE REGULAGEM MANUAL TAMANHO 0,15 A 0,20 M2</t>
  </si>
  <si>
    <t>Q.04.000.031418</t>
  </si>
  <si>
    <t>Q.04.000.031409</t>
  </si>
  <si>
    <t>DAMPER DE REGULAGEM MANUAL TAMANHO 0,10 A 0,14 M2</t>
  </si>
  <si>
    <t>Q.04.000.031417</t>
  </si>
  <si>
    <t>DIFUSOR DE INSUFLAÇÃO DE AR COM REGISTRO</t>
  </si>
  <si>
    <t>MULTIKIT (DERIVAÇÃO DE COBRE SET-FREE) E302SNB HITACHI</t>
  </si>
  <si>
    <t>MULTIKIT (DERIVAÇÃO DE COBRE SET-FREE) E242SNB HITACHI</t>
  </si>
  <si>
    <t>MULTIKIT (DERIVACAO DE COBRE SET-FREE) EXXXSNB2 HITACHI</t>
  </si>
  <si>
    <t>MULTIKIT (DERIVACAO DE COBRE SET-FREE)E102SNB HITACHI</t>
  </si>
  <si>
    <t>69.06.200 MOD</t>
  </si>
  <si>
    <t>Equipamentos e acessórios de sanitários</t>
  </si>
  <si>
    <t>04.01.802.01</t>
  </si>
  <si>
    <t>04.01.802.02</t>
  </si>
  <si>
    <t>09.03.000</t>
  </si>
  <si>
    <t>LIGAÇÕES DEFINITIVAS</t>
  </si>
  <si>
    <t>09.03.100</t>
  </si>
  <si>
    <t>Ligação definitiva de água e esgoto, conforme concessionária local</t>
  </si>
  <si>
    <t>CAESB</t>
  </si>
  <si>
    <t>TAXAS</t>
  </si>
  <si>
    <t>SUBTOTAL (09.03.000)</t>
  </si>
  <si>
    <t>SUBTOTAL (09.02.000)</t>
  </si>
  <si>
    <t>09.02.001</t>
  </si>
  <si>
    <t>THYSSENKRUPP</t>
  </si>
  <si>
    <t>MONTELE</t>
  </si>
  <si>
    <t>17.609.256/0001-01</t>
  </si>
  <si>
    <t>(61) 98122-5038</t>
  </si>
  <si>
    <t>www.montele.com.br</t>
  </si>
  <si>
    <t>jogner.bayer@montele.ind.br</t>
  </si>
  <si>
    <t>Limpeza geral</t>
  </si>
  <si>
    <t>Projeto e implementação de gerenciamento integrado de resíduos sólidos e gestão de perdas</t>
  </si>
  <si>
    <t>01.06.003</t>
  </si>
  <si>
    <t>01.27.011</t>
  </si>
  <si>
    <t>09.04.001</t>
  </si>
  <si>
    <t>Projeto as-built de arquitetura: reservatório</t>
  </si>
  <si>
    <t>Projeto as-built de instalações hidrossanitárias: reservatório</t>
  </si>
  <si>
    <t>Projeto as-built de estruturas e fundações: reservatório</t>
  </si>
  <si>
    <t>SUBTOTAL (09.04.000)</t>
  </si>
  <si>
    <t>TOTAL (09.00.000)</t>
  </si>
  <si>
    <t>09.04.002</t>
  </si>
  <si>
    <t>09.04.003</t>
  </si>
  <si>
    <t>09.04.004</t>
  </si>
  <si>
    <t>09.04.005</t>
  </si>
  <si>
    <t>09.04.006</t>
  </si>
  <si>
    <t>09.04.007</t>
  </si>
  <si>
    <t>09.04.008</t>
  </si>
  <si>
    <t>09.04.009</t>
  </si>
  <si>
    <t>09.04.015</t>
  </si>
  <si>
    <t>09.04.016</t>
  </si>
  <si>
    <t>09.04.017</t>
  </si>
  <si>
    <t>09.04.001 a 09.04.017</t>
  </si>
  <si>
    <t>Projetos as-built</t>
  </si>
  <si>
    <t>CANTEIRO E ADMINISTRAÇÃO LOCAL</t>
  </si>
  <si>
    <t>MÊS 5</t>
  </si>
  <si>
    <t>MÊS 6</t>
  </si>
  <si>
    <t>MÊS 7</t>
  </si>
  <si>
    <t>MÊS 8</t>
  </si>
  <si>
    <t>MÊS 9</t>
  </si>
  <si>
    <t>MÊS 10</t>
  </si>
  <si>
    <t>MÊS 11</t>
  </si>
  <si>
    <t>MÊS 12</t>
  </si>
  <si>
    <t>MÊS 13</t>
  </si>
  <si>
    <t>MÊS 14</t>
  </si>
  <si>
    <t>RESERVATÓRIO</t>
  </si>
  <si>
    <t>10.03.000</t>
  </si>
  <si>
    <t>MÁQUINAS E EQUIPAMENTOS</t>
  </si>
  <si>
    <t>SUBTOTAL (10.01.000)</t>
  </si>
  <si>
    <t>SUBTOTAL (10.03.000)</t>
  </si>
  <si>
    <t>TOTAL (10.00.000)</t>
  </si>
  <si>
    <t>10.03.702</t>
  </si>
  <si>
    <t>TX</t>
  </si>
  <si>
    <t>Locação de andaime fachadeiro</t>
  </si>
  <si>
    <t>INSUMO 20193</t>
  </si>
  <si>
    <t>m2 x mês</t>
  </si>
  <si>
    <t>Colocação de tela em andaime fachadeiro</t>
  </si>
  <si>
    <t>02.04.300</t>
  </si>
  <si>
    <t>Aterro compactado</t>
  </si>
  <si>
    <t>02.04.301</t>
  </si>
  <si>
    <t>Execução e compactação de aterro com solo predominantemente argiloso, exclusive escavação, carga, transporte e solo</t>
  </si>
  <si>
    <t>02.04.302</t>
  </si>
  <si>
    <t>Argila vermelha ou arenosa, retirada na jazida, sem transporte</t>
  </si>
  <si>
    <t>02.04.303</t>
  </si>
  <si>
    <t>02.04.304</t>
  </si>
  <si>
    <t>Corte</t>
  </si>
  <si>
    <t>Solto</t>
  </si>
  <si>
    <t>Aterro</t>
  </si>
  <si>
    <t>Coeficientes: http://blogs.pini.com.br/posts/Engenharia-custos/como-trabalhar-com-empolamento-e-contracao-311252-1.aspx</t>
  </si>
  <si>
    <t>Volume de aterro necessário</t>
  </si>
  <si>
    <t>Vol Solto</t>
  </si>
  <si>
    <t>(m3)</t>
  </si>
  <si>
    <t>Desconto da escavação dos baldrames do edifício principal</t>
  </si>
  <si>
    <t>Desconto da escavação dos blocos do edifício principal</t>
  </si>
  <si>
    <t>Desconto da escavação do reservatório</t>
  </si>
  <si>
    <t>Vol Corte</t>
  </si>
  <si>
    <t>Carga e descarga mecânicas de solo utilizando caminhão basculante 6m3/16T, e pá carregadeira sobre pneus 128 HP, capacidade de caçamba 1,7 a 2,8m3</t>
  </si>
  <si>
    <t>PLANILHA ORÇAMENTÁRIA - ESTACIONAMENTO E URBANIZAÇÃO</t>
  </si>
  <si>
    <t>Locação de pavimentação</t>
  </si>
  <si>
    <t>Sinalização permanente, vertical, com placa de aço padrão DNIT, 50x80cm, fixada com base de concreto (vaga exclusiva para PCD e idoso)</t>
  </si>
  <si>
    <t>Fornecimento e implantação de placa de regulamentação em aço D = 0,60 m - película retrorrefletiva tipo I e SI</t>
  </si>
  <si>
    <t>Fornecimento e implantação de placa de regulamentação em aço, R2 lado 0,60 m - película retrorrefletiva tipo I e SI</t>
  </si>
  <si>
    <t>Fornecimento e implantação de suporte metálico galvanizado para placa de regulamentação - R2 - lado de 0,60 m</t>
  </si>
  <si>
    <t>Sinalização horizontal com tinta retroreflexiva à base de resina acrílica com microesferas de vidro</t>
  </si>
  <si>
    <t>Piso tátil direcional e/ou alerta, de concreto, colorido, para deficientes visuais, dimensões 25x25cm, aplicado com argamassa industrializada ac-ii, rejuntado</t>
  </si>
  <si>
    <t>04.02.102.01</t>
  </si>
  <si>
    <t>04.02.102.02</t>
  </si>
  <si>
    <t>04.02.102.03</t>
  </si>
  <si>
    <t>04.02.102.04</t>
  </si>
  <si>
    <t>04.02.105</t>
  </si>
  <si>
    <t>04.02.106</t>
  </si>
  <si>
    <t>SICRO</t>
  </si>
  <si>
    <t>CONJUNTO DE CANTONEIRAS E PARAFUSOS GALVANIZADOS PARA FIXAÇÃO DE PLACAS</t>
  </si>
  <si>
    <t>SUPORTE EM AÇO CARBONO GALVANIZADO PERFIL C</t>
  </si>
  <si>
    <t>M0787</t>
  </si>
  <si>
    <t>M0789</t>
  </si>
  <si>
    <t>04.04.000</t>
  </si>
  <si>
    <t>PAISAGISMO</t>
  </si>
  <si>
    <t>04.04.301</t>
  </si>
  <si>
    <t>PLANTA - PATA DE VACA (BAUHINIA FORTICATA), H= 2,0M</t>
  </si>
  <si>
    <t>Planta- Pata de vaca (Bauhinia forticata), h=2,0m, fornecimento e plantio</t>
  </si>
  <si>
    <t>SUBTOTAL (04.02.000)</t>
  </si>
  <si>
    <t>SUBTOTAL (04.04.000)</t>
  </si>
  <si>
    <t>04.05.000</t>
  </si>
  <si>
    <t>PAVIMENTAÇÃO</t>
  </si>
  <si>
    <t>Regularização e compactação de subleito até 20 cm de espessura</t>
  </si>
  <si>
    <t>04.05.102</t>
  </si>
  <si>
    <t>Assentamento de guia (meio-fio) em trecho curvo, confeccionada em concreto pré-fabricado, dimensões 100x15x13x30 cm (comprimento x base inferior x base superior x altura), para urbanização interna de empreendimentos</t>
  </si>
  <si>
    <t>Execução de passeio (calçada) ou piso de concreto com concreto moldado in loco, usinado, acabamento camurçado, espessura 8cm</t>
  </si>
  <si>
    <t>04.05.502</t>
  </si>
  <si>
    <t>04.05.602</t>
  </si>
  <si>
    <t>04.05.604.01</t>
  </si>
  <si>
    <t>04.05.604.02</t>
  </si>
  <si>
    <t>INSUMO 6079</t>
  </si>
  <si>
    <t>04.06.000</t>
  </si>
  <si>
    <t>SISTEMA VIÁRIO</t>
  </si>
  <si>
    <t>SUBTOTAL (04.06.000)</t>
  </si>
  <si>
    <t>SUBTOTAL (04.05.000)</t>
  </si>
  <si>
    <t>Pára-rodas em tubo de aço galvanizado preenchido com concreto, L=200cm, diâm. = 10 cm, inclusive pintura automotiva amarela, conforme projeto</t>
  </si>
  <si>
    <t>04.06.103</t>
  </si>
  <si>
    <t>unidades</t>
  </si>
  <si>
    <t>TECNICONTROL</t>
  </si>
  <si>
    <t>91.9295.105/0001-70</t>
  </si>
  <si>
    <t>(51) 3442-1756</t>
  </si>
  <si>
    <t>www.tecnicontrol.com.br</t>
  </si>
  <si>
    <t>arnon@tecnicontrol.com.br</t>
  </si>
  <si>
    <t>DRENAGEM DE ÁGUAS PLUVIAS</t>
  </si>
  <si>
    <t>05.03.501.02</t>
  </si>
  <si>
    <t>05.03.501.01</t>
  </si>
  <si>
    <t>Grelha FoFo 30x90 cm, 135 kg, para boca de lobo com assentamento de argamassa cimento/areia 1:4 - fornecimento e instalação</t>
  </si>
  <si>
    <t>Caixa octogonal 3 x 3"</t>
  </si>
  <si>
    <t>06.01.306.10</t>
  </si>
  <si>
    <t>Caixa de passagem em alvenaria de tijolos maciços, 40x40x40cm, com tampa</t>
  </si>
  <si>
    <t>3233 MOD</t>
  </si>
  <si>
    <t>Eletroduto PVC rígido roscável 1"</t>
  </si>
  <si>
    <t>06.01.401.16</t>
  </si>
  <si>
    <t>06.01.405</t>
  </si>
  <si>
    <t>Poste metálico, cônico contínuo, aço galvanizado, com janela de inspeção, 7 metros</t>
  </si>
  <si>
    <t>73769/2 MOD</t>
  </si>
  <si>
    <t>Relé fotoelétrico p/comando de iluminação externa</t>
  </si>
  <si>
    <t>96986 MOD</t>
  </si>
  <si>
    <t>Haste de aterramento IHR 1/2" com rabicho</t>
  </si>
  <si>
    <t>HASTE DE ATERRAMENTO 1/2"</t>
  </si>
  <si>
    <t>Escavação manual de vala (eletrodutos enterrados e caixas de passagem)</t>
  </si>
  <si>
    <t>Fixação de eletroduto de PVC com abraçadeira metálica</t>
  </si>
  <si>
    <t>06.01.304.14</t>
  </si>
  <si>
    <t>09.01.000</t>
  </si>
  <si>
    <t>ENSAIOS E TESTES</t>
  </si>
  <si>
    <t>09.01.101</t>
  </si>
  <si>
    <t>SUBTOTAL (09.01.000)</t>
  </si>
  <si>
    <t>Execução de pavimento em piso intertravado, espessura 8 cm</t>
  </si>
  <si>
    <t>Execução de estacionamento com bloco pisograma, espessura 8 cm</t>
  </si>
  <si>
    <t>Bloco Intertravado a Construir</t>
  </si>
  <si>
    <t>Bloco concregram a construir</t>
  </si>
  <si>
    <t>Siga em Frente</t>
  </si>
  <si>
    <t>Vire a Direita</t>
  </si>
  <si>
    <t>Dê a preferência</t>
  </si>
  <si>
    <t>Siga em Frente/esquerda</t>
  </si>
  <si>
    <t>Calçada</t>
  </si>
  <si>
    <t>Passeio a construir</t>
  </si>
  <si>
    <t>Eletrodutos enterrados</t>
  </si>
  <si>
    <t>Caixas de passagem 40x40x40</t>
  </si>
  <si>
    <t>Custo Total</t>
  </si>
  <si>
    <t>BDI Total</t>
  </si>
  <si>
    <t>Transporte com caminhão basculante de 6m3 em via urbana pavimentada, DMT até 30 km (estimado em 20 km)</t>
  </si>
  <si>
    <t>mês</t>
  </si>
  <si>
    <t>Engenheiro civil de obra júnior com encargos complementares</t>
  </si>
  <si>
    <t>h</t>
  </si>
  <si>
    <t>10.01.201.01</t>
  </si>
  <si>
    <t>10.01.201.02</t>
  </si>
  <si>
    <t>10.01.201.03</t>
  </si>
  <si>
    <t>10.01.205</t>
  </si>
  <si>
    <t>10.01.111</t>
  </si>
  <si>
    <t>Mestre de obras com encargos complementares</t>
  </si>
  <si>
    <t>Vigia noturno com encargos complementares</t>
  </si>
  <si>
    <t>Do tamanho de um módulo do brise</t>
  </si>
  <si>
    <t>meses</t>
  </si>
  <si>
    <t>Estaca hélice contínua, diâmetro de 50cm, comprimento total até 15m, perfuratriz com torque de 170 kNm (exclusive mobilização e desmob.)</t>
  </si>
  <si>
    <t>Arrasamento mecânico de estaca de concreto armado, diâmetro de 41cm a 60cm</t>
  </si>
  <si>
    <t>90810 MOD 2</t>
  </si>
  <si>
    <t>03.01.425.04</t>
  </si>
  <si>
    <t>Estaca hélice contínua, diâmetro de 45 cm, comprimento total até 15m, perfuratriz com torque de 170 kNm (exclusive mobilização e desmob.)</t>
  </si>
  <si>
    <t>Mobilização e desmobilização de equipamentos para execução de estaca tipo hélice contínua em solo</t>
  </si>
  <si>
    <t>INFOBUSINESS</t>
  </si>
  <si>
    <t>Não quis fornecer</t>
  </si>
  <si>
    <t>APC LOJA</t>
  </si>
  <si>
    <t>16.724.349/0001-06</t>
  </si>
  <si>
    <t>(61) 3375-5618</t>
  </si>
  <si>
    <t>dualclima@me.com</t>
  </si>
  <si>
    <t>DUAL CLIMA</t>
  </si>
  <si>
    <t>NOVA EXAUSTORES</t>
  </si>
  <si>
    <t>08.022.764/0001-90</t>
  </si>
  <si>
    <t>(11) 2943-4499</t>
  </si>
  <si>
    <t>www.novaexaustores.com.br</t>
  </si>
  <si>
    <t>tauan.martinez@novaexaustores.com.br</t>
  </si>
  <si>
    <t>SUDECAP</t>
  </si>
  <si>
    <t>04.06.01</t>
  </si>
  <si>
    <t>TAXA DE MOBILIZAÇÃO E DESMOBILIZAÇÃO DE EQUIPAMENTOS PARA EXECUÇÃO DE ESTACA HÉLICE CONTÍNUA</t>
  </si>
  <si>
    <t>89.21.01</t>
  </si>
  <si>
    <t>MAPA DE COTAÇÕES</t>
  </si>
  <si>
    <t>AR-CONDICIONADO</t>
  </si>
  <si>
    <t>07.02.001</t>
  </si>
  <si>
    <t>07.02.002</t>
  </si>
  <si>
    <t>07.02.003</t>
  </si>
  <si>
    <t>07.02.004</t>
  </si>
  <si>
    <t>07.02.005</t>
  </si>
  <si>
    <t>07.02.006</t>
  </si>
  <si>
    <t>07.02.007</t>
  </si>
  <si>
    <t>07.02.008</t>
  </si>
  <si>
    <t>07.02.009</t>
  </si>
  <si>
    <t>07.02.010</t>
  </si>
  <si>
    <t>07.02.011</t>
  </si>
  <si>
    <t>07.02.012</t>
  </si>
  <si>
    <t>07.02.013</t>
  </si>
  <si>
    <t>07.02.014</t>
  </si>
  <si>
    <t>07.02.015</t>
  </si>
  <si>
    <t>07.02.016</t>
  </si>
  <si>
    <t>07.02.017</t>
  </si>
  <si>
    <t>07.02.018</t>
  </si>
  <si>
    <t>Unidade condensadora tipo "VRV" capacidade= 100kW (36HP) Mod./Marca p/ referência: RAS36FSNM3 HI – HITACHI ou equivalente (apenas FORNECIMENTO)</t>
  </si>
  <si>
    <t>Unidade condensadora tipo "VRV" capacidade= 90kW (32HP) Mod./Marca p/ referência: RAS32FSNM3 HI – HITACHI ou equivalente (apenas FORNECIMENTO)</t>
  </si>
  <si>
    <t>Unidade condensadora tipo "VRV" capacidade= 73kW (26HP) Mod./Marca p/ referência: RAS26FSNM3 HI – HITACHI  ou equivalente (apenas FORNECIMENTO)</t>
  </si>
  <si>
    <t>Unidade condensadora tipo "VRV" capacidade= 50kW (18HP) Mod./Marca p/ referência: RAS18FSNM3 HI - HITACHI ou equivalente (apenas FORNECIMENTO)</t>
  </si>
  <si>
    <t>Pesquisa de Mercado</t>
  </si>
  <si>
    <t>43.08.004 MOD</t>
  </si>
  <si>
    <t>Instalação de unidades evaporadoras tipo "VRV", HiWall</t>
  </si>
  <si>
    <t>Instalação de unidades evaporadoras tipo "VRV", cassete</t>
  </si>
  <si>
    <t>43.08.030 MOD</t>
  </si>
  <si>
    <t>43.08.040</t>
  </si>
  <si>
    <t>61.14.040 MOD 1</t>
  </si>
  <si>
    <t>61.14.040 MOD 2</t>
  </si>
  <si>
    <t>61.14.040 MOD 3</t>
  </si>
  <si>
    <t>GABINETE DE VENTILAÇÃO COM FILTRAGEM G4/F7 VAZÃO 9.198 M3/H X 60MMCA</t>
  </si>
  <si>
    <t>GABINETE DE VENTILAÇÃO COM FILTRAGEM G4/F7 VAZÃO 5970 M3/H X 60MMCA</t>
  </si>
  <si>
    <t>GABINETE DE EXAUSTÃO VAZÃO 5100 M3/H X 60MMCA</t>
  </si>
  <si>
    <t>06.01.315.01</t>
  </si>
  <si>
    <t>06.01.315.02</t>
  </si>
  <si>
    <t>NoBreak 40kVA, trifásico, 380/220V-380/220V, autonomia a plena carga de 20 min, com todos os acessórios inclusos, APENAS FORNECIMENTO</t>
  </si>
  <si>
    <t>NoBreak 40kVA, trifásico, 380/220V-380/220V, autonomia a plena carga de 20 min, com todos os acessórios inclusos, APENAS INSTALAÇÃO</t>
  </si>
  <si>
    <t>06.01.314.01</t>
  </si>
  <si>
    <t>06.01.314.02</t>
  </si>
  <si>
    <t>Estabilizador 60kVA, trifásico, 380/220V-220/127V, com todos os acessórios inclusos, APENAS FORNECIMENTO</t>
  </si>
  <si>
    <t>Estabilizador 60kVA, trifásico, 380/220V-220/127V, com todos os acessórios inclusos, APENAS INSTALAÇÃO</t>
  </si>
  <si>
    <t>06.07.101.01</t>
  </si>
  <si>
    <t>RESULTADO BDI DIFERENCIADO</t>
  </si>
  <si>
    <t>PV01 - PV04</t>
  </si>
  <si>
    <t>BC01 - PV01</t>
  </si>
  <si>
    <t>BC04 - PV02</t>
  </si>
  <si>
    <t>BC07 - PV03</t>
  </si>
  <si>
    <t>BC09 - PV04</t>
  </si>
  <si>
    <t>Tubo de concreto para redes coletoras de águas pluviais, diâmetro de 400 mm, junta rígida, instalado em local com baixo nível de interferências - fornecimento e assentamento (inclui escavação)</t>
  </si>
  <si>
    <t>Tubo de concreto para redes coletoras de águas pluviais, diâmetro de 600 mm, junta rígida, instalado em local com baixo nível de interferências - fornecimento e assentamento (inclui escavação)</t>
  </si>
  <si>
    <t>Caixas de Passagem</t>
  </si>
  <si>
    <t>05.06.300</t>
  </si>
  <si>
    <t>05.06.401.01</t>
  </si>
  <si>
    <t>05.06.401.02</t>
  </si>
  <si>
    <t>Bocas-de-lobo</t>
  </si>
  <si>
    <t>05.06.501.01</t>
  </si>
  <si>
    <t>05.06.501.02</t>
  </si>
  <si>
    <t>05.06.501.03</t>
  </si>
  <si>
    <t>PV04 - PV12</t>
  </si>
  <si>
    <t>PV05 - BC-10</t>
  </si>
  <si>
    <t>PV06 - BC11</t>
  </si>
  <si>
    <t>PV07 - BC12</t>
  </si>
  <si>
    <t>PV08 - BC13</t>
  </si>
  <si>
    <t>PV09 - BC14</t>
  </si>
  <si>
    <t>PV10 - BC15</t>
  </si>
  <si>
    <t>BC15 - BC16</t>
  </si>
  <si>
    <t>BC16 - BC17</t>
  </si>
  <si>
    <t>PV01</t>
  </si>
  <si>
    <t>PV02</t>
  </si>
  <si>
    <t>PV03</t>
  </si>
  <si>
    <t>PV04</t>
  </si>
  <si>
    <t>PV05</t>
  </si>
  <si>
    <t>PV06</t>
  </si>
  <si>
    <t>PV07</t>
  </si>
  <si>
    <t>PV08</t>
  </si>
  <si>
    <t>PV09</t>
  </si>
  <si>
    <t>PV10</t>
  </si>
  <si>
    <t>PV11</t>
  </si>
  <si>
    <t>PV12</t>
  </si>
  <si>
    <t>98415 MOD</t>
  </si>
  <si>
    <t>98416 MOD</t>
  </si>
  <si>
    <t>Tampa circular para esgoto e drenagem em ferro fundido</t>
  </si>
  <si>
    <t>05.06.401.03</t>
  </si>
  <si>
    <t>OBS: a composição usada como base, 98415, dizia respeito ao poço de visita para esgoto. Seguindo a recomendação do caderno de especificações do próprio SINAPI, foi efetuada a troca do insumo de argamassa para deixar a composição compatível com o sistema de drenagem</t>
  </si>
  <si>
    <t>OBS: a composição usada como base, 98416, dizia respeito ao poço de visita para esgoto. Seguindo a recomendação do caderno de especificações do próprio SINAPI, foi efetuada a troca do insumo de argamassa para deixar a composição compatível com o sistema de drenagem</t>
  </si>
  <si>
    <t>Bloco Intertravado a construir</t>
  </si>
  <si>
    <t>Bloco concregrama a construir</t>
  </si>
  <si>
    <t>04.05.104.01</t>
  </si>
  <si>
    <t>04.05.104.02</t>
  </si>
  <si>
    <t>Execução de sarjeta de concreto usinado, moldada in loco, em trecho reto, 40 cm base x 8 cm altura</t>
  </si>
  <si>
    <t>Grama a construir</t>
  </si>
  <si>
    <t>Bloco intertravado a construir</t>
  </si>
  <si>
    <t>Placa de obra em chapa de aço galvanizado (3 placas de 3,00x1,85m + 1 placa 2,00x1,00m - IBRAM)</t>
  </si>
  <si>
    <t>REAPROVEITAMENTO DA TERRA DA CAMADA VEGETAL DE LIMPEZA DO TERRENO</t>
  </si>
  <si>
    <t>04.04.304.02</t>
  </si>
  <si>
    <t>04.04.304.01</t>
  </si>
  <si>
    <t>98503 MOD</t>
  </si>
  <si>
    <t>04.05.103.01</t>
  </si>
  <si>
    <t>04.05.103.02</t>
  </si>
  <si>
    <t>Assentamento de guia (meio-fio) em trecho reto, confeccionada em concreto pré-fabricado, dimensões 100x15x13x30 cm (comprimento x base inferior x base superior x altura), para urbanização interna de empreendimentos</t>
  </si>
  <si>
    <t>Vagas 1-13</t>
  </si>
  <si>
    <t>Trecho curvo entre vagas 1-13</t>
  </si>
  <si>
    <t>Vagas 14-35</t>
  </si>
  <si>
    <t>Trechos curvos entre vagas 14-35</t>
  </si>
  <si>
    <t>Vagas 36-48</t>
  </si>
  <si>
    <t>Trechos curvos entre vagas 36-48</t>
  </si>
  <si>
    <t>Vagas 49-53</t>
  </si>
  <si>
    <t>Trechos curvos entre vagas 49-53</t>
  </si>
  <si>
    <t>Lastro com preparo de fundo, largura maior ou igual a 1,5 m, com camada de brita, lançamento mecanizado, em local com nível baixo de interferência (esp. 5 cm) - sob passeio a construir</t>
  </si>
  <si>
    <t>Volume proveniente da limpeza</t>
  </si>
  <si>
    <t>Reuso no plantio de grama</t>
  </si>
  <si>
    <t>Reuso no plantio de concregrama</t>
  </si>
  <si>
    <t>04.05.104.03</t>
  </si>
  <si>
    <t>Execução de sarjeta de concreto usinado, moldada in loco, em trecho reto, 60 cm base x 10 cm altura, em trecho reto</t>
  </si>
  <si>
    <t>Execução de sarjeta de concreto usinado, moldada in loco, em trecho reto, 60 cm base x 10 cm altura, em trecho curvo</t>
  </si>
  <si>
    <t>02.02.000</t>
  </si>
  <si>
    <t>DEMOLIÇÃO</t>
  </si>
  <si>
    <t>SUBTOTAL (02.02.000)</t>
  </si>
  <si>
    <t>02.02.181</t>
  </si>
  <si>
    <t>Demolição de pavimentação asfáltica com utilização de martelo perfurador, espessura até 15cm, exclusive carga e transporte</t>
  </si>
  <si>
    <t>Sarjeta ao longo do meio-fio existente (largura de 40)</t>
  </si>
  <si>
    <t>Poço de visita circular para drenagem, em concreto pré-moldado, diâmetro interno = 1m, profundidade até 1,50m, excluindo tampão (inclui escavação)</t>
  </si>
  <si>
    <t>Poço de visita circular para drenagem, em concreto pré-moldado, diâmetro interno = 1m, profundidade 1,50m até 2,00m, excluindo tampão (inclui escavação)</t>
  </si>
  <si>
    <t>BOCA DE LOBO EM CONCRETO PREMOLDADO</t>
  </si>
  <si>
    <t>Boca de lobo em concreto pré-moldado, sem tampa (sem escavação)</t>
  </si>
  <si>
    <t>05.06.102.01</t>
  </si>
  <si>
    <t>Bocas de lobo</t>
  </si>
  <si>
    <t>Tubo de concreto ø400 (largura de escavação = 130cm conforme caderno de especificações)</t>
  </si>
  <si>
    <t>Tubo de concreto ø600 (largura de escavação = 130cm conforme caderno de especificações)</t>
  </si>
  <si>
    <t>Escavação mecanizada de vala com profundidade até 1,5m, com retroescavadeira, largura menor que 0,8m, em solo de 1a categoria, locais com baixo nível de interferência (para bocas-de-lobo)</t>
  </si>
  <si>
    <t>05.06.200</t>
  </si>
  <si>
    <t>Escoramento de vala, tipo pontaleteamento, com profundidade de 0 a 1,5m, largura menor que 1,50m, em local com nível baixo de interferência</t>
  </si>
  <si>
    <t>05.06.102.03</t>
  </si>
  <si>
    <t>05.06.103</t>
  </si>
  <si>
    <t>Reaterro manual de valas com compactação mecanizada</t>
  </si>
  <si>
    <t>Escavação para tubo de concreto ø600 (largura de escavação = 130cm conforme caderno de especificações)</t>
  </si>
  <si>
    <t>Escavação  para tubo de concreto ø400 (largura de escavação = 130cm conforme caderno de especificações)</t>
  </si>
  <si>
    <t>Volume de tubos de ø400</t>
  </si>
  <si>
    <t>Volume de tubos de ø600</t>
  </si>
  <si>
    <t>Lastro de vala com preparo de fundo, largura menor que 1,5m, com camada de brita (10cm), lançamento mecanizado, em local com nível baixo de interferência</t>
  </si>
  <si>
    <t>05.06.202</t>
  </si>
  <si>
    <t>05.06.201.01</t>
  </si>
  <si>
    <t>Lastro de concreto magro, espessura 15 cm, para assentamento de tubos de concreto para drenagem</t>
  </si>
  <si>
    <t>Contralastro de concreto magro, espessura 15cm, sobre assentamento de tubos de concreto para drenagem</t>
  </si>
  <si>
    <t>Contralastro de concreto (15cm)</t>
  </si>
  <si>
    <t>05.06.201.02</t>
  </si>
  <si>
    <t>Tubo PEAD assentado fora dos locais especificados como furo direcional</t>
  </si>
  <si>
    <t>Escavação para tubo de PEAD ø630 (largura de escavação = 130cm conforme caderno de especificações)</t>
  </si>
  <si>
    <t>Volume de tubos de ø630</t>
  </si>
  <si>
    <t>Luminária fechada para iluminação pública, com lâmpadas de 250W, inclusive lâmpada e reator</t>
  </si>
  <si>
    <t>Reuso no plantio das árvores</t>
  </si>
  <si>
    <t>02.02.182</t>
  </si>
  <si>
    <t>Remoção e reposição de meio-fio</t>
  </si>
  <si>
    <t>Trecho a expandir calçada próximo às vagas  71 a 75</t>
  </si>
  <si>
    <t>SUBTOTAL (05.06.000)</t>
  </si>
  <si>
    <t>URBANIZAÇÃO</t>
  </si>
  <si>
    <t>Área de pavimentação asfáltica a demolir</t>
  </si>
  <si>
    <t>05.03.501.03</t>
  </si>
  <si>
    <t>05.03.501.04</t>
  </si>
  <si>
    <t>Junta argamassada entre tubo DN 400mm e poço de visita/caixa de concreto ou alvenaria em redes de drenagem</t>
  </si>
  <si>
    <t>BC1</t>
  </si>
  <si>
    <t>BC2</t>
  </si>
  <si>
    <t>BC3</t>
  </si>
  <si>
    <t>ø400</t>
  </si>
  <si>
    <t>ø600</t>
  </si>
  <si>
    <t>Juntas argamassadas de 400 e 600</t>
  </si>
  <si>
    <t>BC4</t>
  </si>
  <si>
    <t>BC5</t>
  </si>
  <si>
    <t>BC6</t>
  </si>
  <si>
    <t>BC7</t>
  </si>
  <si>
    <t>BC8</t>
  </si>
  <si>
    <t>BC9</t>
  </si>
  <si>
    <t>BC10</t>
  </si>
  <si>
    <t>BC11</t>
  </si>
  <si>
    <t>BC12</t>
  </si>
  <si>
    <t>BC13</t>
  </si>
  <si>
    <t>BC14</t>
  </si>
  <si>
    <t>BC15</t>
  </si>
  <si>
    <t>CAIXA TAMPA CEGA</t>
  </si>
  <si>
    <t>BC16</t>
  </si>
  <si>
    <t>BC17</t>
  </si>
  <si>
    <t>Junta argamassada entre tubo DN 600mm e poço de visita/caixa de concreto ou alvenaria em redes de drenagem</t>
  </si>
  <si>
    <t>Dias úteis (12h - durante a noite)</t>
  </si>
  <si>
    <t>Fins de semana (24h - dia inteiro)</t>
  </si>
  <si>
    <t>Horas/dia</t>
  </si>
  <si>
    <t>Dias/mês</t>
  </si>
  <si>
    <t>Meses</t>
  </si>
  <si>
    <t>Total</t>
  </si>
  <si>
    <t>Horas</t>
  </si>
  <si>
    <t>Tubulações de aço galvanizado</t>
  </si>
  <si>
    <t>Assentamento de tubo de aço carbono para rede de água, DN 600mm (24"), junta soldada, instalado em local com baixo nível de interferência (inclui escavação, não inclui fornecimento)</t>
  </si>
  <si>
    <t>05.03.101.01</t>
  </si>
  <si>
    <t>SEINFRA</t>
  </si>
  <si>
    <t>05.03.101.02</t>
  </si>
  <si>
    <t>Travessia método não destrutivo para tubo de aço DN 600mm (24"), não inclui fornecimento</t>
  </si>
  <si>
    <t>C4613 MOD</t>
  </si>
  <si>
    <t>I6169</t>
  </si>
  <si>
    <t>MÁQUINA PARA CRAVAÇÃO (MÉTODO NÃO DESTRUTIVO)</t>
  </si>
  <si>
    <t>05.03.101.03</t>
  </si>
  <si>
    <t>SEINFRA INSUMO</t>
  </si>
  <si>
    <t>I9157</t>
  </si>
  <si>
    <t>Fornecimento de tubo camisa aço chapa ASTM A36 DN 600mm (24")</t>
  </si>
  <si>
    <t>TUBO CAMISA AÇO CHAPA ASTM A36 5/16" DN  600mm</t>
  </si>
  <si>
    <t>05.06.900</t>
  </si>
  <si>
    <t>Trincheira de infiltração</t>
  </si>
  <si>
    <t>Caixa de inspeção</t>
  </si>
  <si>
    <t>Escavação mecanizada de vala com profundidade maior que 1,5m até 3,0m, com escavadeira hidráulica, larg. 1,5m a 2,0m, em solo de 1a categoria, locais com baixo nível de interferência</t>
  </si>
  <si>
    <t>05.06.901</t>
  </si>
  <si>
    <t>Desconto da escavação da trincheira</t>
  </si>
  <si>
    <t>Lastro com preparo de fundo, largura maior ou igual a 1,5 m, com camada de brita, lançamento mecanizado, em local com nível baixo de interferência (esp. 5 cm) - fundo da caixa de inspeção</t>
  </si>
  <si>
    <t>6171 MOD</t>
  </si>
  <si>
    <t>Tampa de concreto armado para caixa, dimensões 120x50x5cm</t>
  </si>
  <si>
    <t>Tela de aço galvanizado, revestido em PVC, malha 1", em moldura de perfil metálico, 50x300cm</t>
  </si>
  <si>
    <t>TELA DE AÇO GALVANIZADO FIO 14BWG, MALHA 1", LOSANGULAR, COM REVESTIMENTO EM PVC</t>
  </si>
  <si>
    <t>Concretagem da base de concreto, espessura 15cm, no fundo da caixa de inspeção, fck = 30 MPa, lançamento, adensamento e acabamento</t>
  </si>
  <si>
    <t>Chicana em concreto armado, dimensões 5x195x310cm, incluindo formas, concretagem e armação</t>
  </si>
  <si>
    <t>Viga em concreto armado no topo da chicana, dimensões 15x20x330cm, incluindo formas, concretagem e armação</t>
  </si>
  <si>
    <t>05.06.902</t>
  </si>
  <si>
    <t>05.06.903</t>
  </si>
  <si>
    <t>05.06.904</t>
  </si>
  <si>
    <t>05.06.905</t>
  </si>
  <si>
    <t>05.06.906</t>
  </si>
  <si>
    <t>05.06.907</t>
  </si>
  <si>
    <t>05.06.908</t>
  </si>
  <si>
    <t>Alvenaria de blocos de concreto para execução das paredes do reservatório e da trincheira</t>
  </si>
  <si>
    <t>Trincheira</t>
  </si>
  <si>
    <t>Manta geotêxtil não-tecido RT-21, resistência à tração=21kN/m</t>
  </si>
  <si>
    <t>Fundo da trincheira</t>
  </si>
  <si>
    <t>Paredes da trincheira</t>
  </si>
  <si>
    <t>Tubo PEAD corrugado, perfurado, revestido em geotêxtil, ø8"</t>
  </si>
  <si>
    <t>90740 MOD</t>
  </si>
  <si>
    <t>Camada drenante com brita número 3</t>
  </si>
  <si>
    <t>Enrocamento manual com pedra de mão, com arrumação do material</t>
  </si>
  <si>
    <t>05.06.909</t>
  </si>
  <si>
    <t>05.06.910</t>
  </si>
  <si>
    <t>05.06.911</t>
  </si>
  <si>
    <t>05.06.912</t>
  </si>
  <si>
    <t>04.05.601.01</t>
  </si>
  <si>
    <t>04.05.601.02</t>
  </si>
  <si>
    <t>t x km</t>
  </si>
  <si>
    <t>Transporte de material asfáltico com caminhão capacidade 20000L, em rodovia pavimentada, para DMT igual pu menor que 100 km (estimado em 19km até a NOVACAP)</t>
  </si>
  <si>
    <t>Perímetro de calçada da área de estacionamento a intervir</t>
  </si>
  <si>
    <t>Trechos a repor</t>
  </si>
  <si>
    <t>04.05.103.03</t>
  </si>
  <si>
    <t>Caiação em meio-fio</t>
  </si>
  <si>
    <t>Novos meios-fios</t>
  </si>
  <si>
    <t>Meios-fios reaproveitados</t>
  </si>
  <si>
    <t>03.02.442</t>
  </si>
  <si>
    <t>Conversão p/kg: 2,20 kg/m2</t>
  </si>
  <si>
    <t>09.04.100</t>
  </si>
  <si>
    <t>03.03.200</t>
  </si>
  <si>
    <t>Peças principais</t>
  </si>
  <si>
    <t>04.01.811</t>
  </si>
  <si>
    <t>04.01.810</t>
  </si>
  <si>
    <t>04.01.812</t>
  </si>
  <si>
    <t>04.01.813</t>
  </si>
  <si>
    <t>04.01.814</t>
  </si>
  <si>
    <t>04.01.815</t>
  </si>
  <si>
    <t>04.01.816.01</t>
  </si>
  <si>
    <t>04.01.816.02</t>
  </si>
  <si>
    <t>04.01.817.01</t>
  </si>
  <si>
    <t>04.01.817.02</t>
  </si>
  <si>
    <t>73970/1 MOD</t>
  </si>
  <si>
    <t>Viga para apoio da pele de vidro, formada por dois perfis "U" enrijecidos, dimensões 300x100x25mm soldados (19,34 kg/m cada perfil), inclusive transporte vertical</t>
  </si>
  <si>
    <t>Observação: na tabela de referência ORSE, todos os perfis estruturais U enrijecidos tinham o mesmo preço por kg, independente da dimensão. Por isso se atribuiu o valor do perfil de dimensão diferente, já que a diferença é compensada pelo peso</t>
  </si>
  <si>
    <t>PERFIL AÇO, UDC, ENRIJECIDO</t>
  </si>
  <si>
    <t>Brise em alumínio BR01 em telhas perfuradas MBP-25, 16 furos/cm2, esp 0,8 mm, pintura em pó poliéster 50 micra na cor branco aplicado sobre superfície fosfotizada, fixadas em perfis metálicos na cor branca e paineis bricromatizados Ecocel ou equivalente, fornecido e instalado</t>
  </si>
  <si>
    <t>Estrutura metálica para fixação de brises composta por perfis U enrijecidos, soldados, dimensões 75x40x15#2.0 e 125x50x17#2</t>
  </si>
  <si>
    <t>PERFIL AÇO UDC ENRIJECIDO 75X40</t>
  </si>
  <si>
    <t>PERFIL AÇO UDC ENRIJECIDO 125X50</t>
  </si>
  <si>
    <t>01.03.502.01</t>
  </si>
  <si>
    <t>Projeto executivo estrutural, incluindo fundações, concreto armado, acima de 500m2</t>
  </si>
  <si>
    <t>PROJETO ESTRUTURAL INCLUINDO FUNDAÇÕES CONCRETO ARMADO ACIMA DE 500M2</t>
  </si>
  <si>
    <t>03.01.552.08</t>
  </si>
  <si>
    <t>Armação de bloco, viga baldrame ou sapata, utilizando aço CA-60 de 4,2mm</t>
  </si>
  <si>
    <t>96543 MOD</t>
  </si>
  <si>
    <t>04.01.223.06</t>
  </si>
  <si>
    <t>Caixilho fixo de alumínio para vidro, 350 x 100 cm, exclusive vidros (EA-07)</t>
  </si>
  <si>
    <t>Caixilho fixo de alumínio para vidro, 190 x 100 cm, exclusive vidros (EA-08)</t>
  </si>
  <si>
    <t>Caixilho fixo de alumínio para vidro, 375 x 100 cm, exclusive vidros (EA-09)</t>
  </si>
  <si>
    <t>Caixilho fixo de alumínio para tela metálica perfurada de alumínio, furo redondo 1", dimensões 215 x 40 cm (EA-10)</t>
  </si>
  <si>
    <t>H.03.000.026208</t>
  </si>
  <si>
    <t>CHAPA PERFURADA EM AÇO, FUROS REDONDOS DIÂMETRO 25MM</t>
  </si>
  <si>
    <t>06.01.316</t>
  </si>
  <si>
    <t>Alarme banheiro PCD conforme norma 9050, com acionador</t>
  </si>
  <si>
    <t>ALARME BANHEIRO PNE DEFICIENTE FÍSICO CONFORME NBR 9050 COM ACIONADOR</t>
  </si>
  <si>
    <t>Ensaio de resistência à compressão (4 corpos de prova por caminhão de 8m3 de concreto usinado e 4 corpos de prova a cada 8m3 de concreto pré-moldado)</t>
  </si>
  <si>
    <t>10.03.703.01</t>
  </si>
  <si>
    <t>10.03.703.02</t>
  </si>
  <si>
    <t>Área de impermeabilização medida em projeto</t>
  </si>
  <si>
    <t>Cobertura - Fechamento do telhado</t>
  </si>
  <si>
    <t>Engenheiro eletricista com encargos complementares (8h por dia, durante 6 meses)</t>
  </si>
  <si>
    <t>Engenheiro mecânico com encargos complementares (4h por dia, durante 5 meses)</t>
  </si>
  <si>
    <t>INSTALAÇÕES MECÂNICAS</t>
  </si>
  <si>
    <t>RESUMO DO ORÇAMENTO</t>
  </si>
  <si>
    <t>CANTEIRO DE OBRAS E ADMINISTRAÇÃO LOCAL</t>
  </si>
  <si>
    <t>Construção do edifício UEP-FCE</t>
  </si>
  <si>
    <t>MEMÓRIA DE CÁLCULO DE QUANTITATIVOS - CANTEIRO E ADM LOCAL</t>
  </si>
  <si>
    <t>MEMÓRIA DE CÁLCULO DE QUANTITATIVOS - EDIFÍCIO PRINCIPAL</t>
  </si>
  <si>
    <t>MEMÓRIA DE CÁLCULO DE QUANTITATIVOS - RESERVATÓRIO</t>
  </si>
  <si>
    <t>MEMÓRIA DE CÁLCULO DE QUANTITATIVOS - URBANIZAÇÃO</t>
  </si>
  <si>
    <t>MEMÓRIA DE CÁLCULO DE QUANTITATIVOS - ÁGUA FRIA</t>
  </si>
  <si>
    <t>Resumo do Orçamento ...............................................................................................................</t>
  </si>
  <si>
    <t>Orçamento Sintético: Canteiro e Adm. Local ...............................................................................................................</t>
  </si>
  <si>
    <t>Orçamento Sintético: Edifício Principal ...............................................................................................................</t>
  </si>
  <si>
    <t>Orçamento Sintético: Reservatório ...............................................................................................................</t>
  </si>
  <si>
    <t>Orçamento Sintético: Urbanização ...............................................................................................................</t>
  </si>
  <si>
    <t>Composições Analíticas ...............................................................................................................</t>
  </si>
  <si>
    <t>Cronograma Físico-Financeiro ...............................................................................................................</t>
  </si>
  <si>
    <t>Curva ABC de Serviços ...............................................................................................................</t>
  </si>
  <si>
    <t>Mapa de Cotações ...............................................................................................................</t>
  </si>
  <si>
    <t>Composição de BDI ...............................................................................................................</t>
  </si>
  <si>
    <t>Composição de Encargos Sociais ...............................................................................................................</t>
  </si>
  <si>
    <t>Memória de Cálculo de Quantitativos ...............................................................................................................</t>
  </si>
  <si>
    <t>Construção do Edifício UEP-FCE</t>
  </si>
  <si>
    <t>PLANILHA ORÇAMENTÁRIA - EDIFÍCIO PRINCIPAL</t>
  </si>
  <si>
    <t>CRONOGRAMA FÍSICO-FINANCEIRO</t>
  </si>
  <si>
    <t>Perfil enrijecido 75x40x15, 2,25mm, 2,95 kg/m (terças do telhado)</t>
  </si>
  <si>
    <t>PERFIL AÇO, UDC, ENRIJECIDO 75 x 40 x 3,43 (kg/m)</t>
  </si>
  <si>
    <t>13120 INSUMO</t>
  </si>
  <si>
    <t>03.03.201.01</t>
  </si>
  <si>
    <t>Perfil quadrado metalon 40x40, espessura 1,25mm, 1,53 kg/m (pontaletes e tirantes)</t>
  </si>
  <si>
    <t>03.03.201.02</t>
  </si>
  <si>
    <t>03.03.201.03</t>
  </si>
  <si>
    <t>03.03.201.04</t>
  </si>
  <si>
    <t>03.03.300</t>
  </si>
  <si>
    <t>Dispositivos de ligação</t>
  </si>
  <si>
    <t>03.03.301</t>
  </si>
  <si>
    <t>Instalação e transporte vertical de trama de aço composta por terças para telhado</t>
  </si>
  <si>
    <t>92580 MOD</t>
  </si>
  <si>
    <t>CHAPA DE AÇO FINA QUENTE E=3MM, 11MSG, 24KG/M2</t>
  </si>
  <si>
    <t>CHUMBADOR PARABOLT 1/4" X 2"</t>
  </si>
  <si>
    <t>ARRUELA LISA DE AÇO GALVANIZADA DE 1/4</t>
  </si>
  <si>
    <t>PORCA SEXTAVADA 1/4"</t>
  </si>
  <si>
    <t>CORDÃO DE SOLDA ELÉTRICA - ELETRODO 3MM</t>
  </si>
  <si>
    <t>MOD</t>
  </si>
  <si>
    <t>CM</t>
  </si>
  <si>
    <t>Fixação dos pontaletes sobre a laje de cobertura, com 4 parafusos do tipo parabolt 1/4" x 2" e soldas dos pontaletes</t>
  </si>
  <si>
    <t>cm</t>
  </si>
  <si>
    <t>3846 MOD</t>
  </si>
  <si>
    <t>03.03.302</t>
  </si>
  <si>
    <t>Fixação por solda 3mm dos tirantes nos montantes</t>
  </si>
  <si>
    <t>ALADIM METAIS</t>
  </si>
  <si>
    <t>PERFIL QUADRADO METALON 40X40MM, 1,53 KG/M</t>
  </si>
  <si>
    <t>51.225.522/0001-22</t>
  </si>
  <si>
    <t>(11) 5613-5777</t>
  </si>
  <si>
    <t>https://www.aladimmetais.com.br/produto/tubo-quadrado-metalon-40-x-40-1-25-galvanizado-6mts-76669</t>
  </si>
  <si>
    <t>atendimento@aladimmetais.com.br</t>
  </si>
  <si>
    <t xml:space="preserve">Vigas em concreto armado, pré-moldado, fck = 40 MPa </t>
  </si>
  <si>
    <t xml:space="preserve">Pilares em concreto armado, pré-moldado, fck = 35 MPa </t>
  </si>
  <si>
    <t>Laje em painel pré-fabricado protendido alveolar, concreto 40 MPa espessura 20cm, inclusive capeamento de 5 cm com tela soldada</t>
  </si>
  <si>
    <t>E.05.000.026702</t>
  </si>
  <si>
    <t>INSERT MACIÇO COM FURO INFERIOR PARA ANCORAGEM, CARGA DE TRABALHO 3.000 KG, REF TS24 FABRICAÇÃO TEJOR</t>
  </si>
  <si>
    <t>E.05.000.026703</t>
  </si>
  <si>
    <t>IÇADOR, CARGA DE TRABALHO 3.000 KG, REF TP24 FABRICAÇÃO TREJOR</t>
  </si>
  <si>
    <t>E.05.000.026707</t>
  </si>
  <si>
    <t>POSICIONADOR, CARGA DE TRABALHO 3.000 KG, REF TP 24 FABRICAÇÃO TREJOR</t>
  </si>
  <si>
    <t>PREÇO UNITÁRIO</t>
  </si>
  <si>
    <t>13.03.150</t>
  </si>
  <si>
    <t>15.05.290</t>
  </si>
  <si>
    <t>Divisória em granito cinza andorinha, esp = 3cm, assentado com argamassa traço 1:4, arremate em cimento branco, inclusive ferragens</t>
  </si>
  <si>
    <t xml:space="preserve">        PRECOS DE INSUMOS</t>
  </si>
  <si>
    <t>MES DE COLETA: 07/2019</t>
  </si>
  <si>
    <t>ENCARGOS SOCIAIS (%) HORISTA  84,58  MENSALISTA  49,49</t>
  </si>
  <si>
    <t xml:space="preserve">  PRECO MEDIANO R$</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</si>
  <si>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</si>
  <si>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</si>
  <si>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</si>
  <si>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</si>
  <si>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</si>
  <si>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</si>
  <si>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</si>
  <si>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</si>
  <si>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</si>
  <si>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</si>
  <si>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</si>
  <si>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</si>
  <si>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</si>
  <si>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</si>
  <si>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</si>
  <si>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</si>
  <si>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</si>
  <si>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</si>
  <si>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</si>
  <si>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</si>
  <si>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</si>
  <si>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</si>
  <si>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</si>
  <si>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</si>
  <si>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</si>
  <si>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</si>
  <si>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</si>
  <si>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</si>
  <si>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</si>
  <si>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</si>
  <si>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</si>
  <si>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</si>
  <si>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</si>
  <si>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</si>
  <si>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</si>
  <si>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</si>
  <si>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</si>
  <si>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</si>
  <si>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</si>
  <si>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</si>
  <si>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</si>
  <si>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</si>
  <si>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</si>
  <si>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</si>
  <si>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</si>
  <si>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</si>
  <si>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</si>
  <si>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</si>
  <si>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</si>
  <si>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</si>
  <si>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</si>
  <si>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</si>
  <si>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</si>
  <si>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</si>
  <si>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</si>
  <si>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</si>
  <si>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</si>
  <si>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</si>
  <si>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</si>
  <si>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</si>
  <si>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</si>
  <si>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</si>
  <si>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</si>
  <si>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</si>
  <si>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</si>
  <si>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</si>
  <si>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</si>
  <si>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</si>
  <si>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</si>
  <si>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</si>
  <si>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</si>
  <si>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</si>
  <si>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</si>
  <si>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</si>
  <si>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</si>
  <si>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</si>
  <si>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</si>
  <si>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</si>
  <si>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</si>
  <si>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</si>
  <si>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</si>
  <si>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</si>
  <si>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</si>
  <si>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</si>
  <si>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</si>
  <si>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</si>
  <si>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</si>
  <si>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</si>
  <si>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</si>
  <si>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</si>
  <si>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</si>
  <si>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</si>
  <si>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</si>
  <si>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</si>
  <si>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</si>
  <si>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</si>
  <si>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</si>
  <si>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</si>
  <si>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</si>
  <si>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</si>
  <si>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</si>
  <si>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</si>
  <si>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</si>
  <si>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</si>
  <si>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</si>
  <si>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</si>
  <si>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</si>
  <si>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</si>
  <si>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</si>
  <si>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</si>
  <si>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</si>
  <si>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</si>
  <si>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</si>
  <si>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</si>
  <si>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</si>
  <si>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</si>
  <si>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</si>
  <si>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</si>
  <si>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</si>
  <si>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</si>
  <si>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</si>
  <si>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</si>
  <si>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</si>
  <si>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</si>
  <si>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</si>
  <si>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</si>
  <si>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</si>
  <si>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</si>
  <si>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</si>
  <si>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</si>
  <si>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</si>
  <si>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</si>
  <si>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</si>
  <si>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</si>
  <si>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</si>
  <si>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</si>
  <si>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</si>
  <si>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</si>
  <si>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</si>
  <si>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</si>
  <si>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</si>
  <si>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</si>
  <si>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</si>
  <si>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</si>
  <si>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</si>
  <si>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</si>
  <si>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</si>
  <si>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</si>
  <si>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</si>
  <si>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</si>
  <si>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</si>
  <si>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</si>
  <si>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</si>
  <si>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</si>
  <si>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</si>
  <si>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</si>
  <si>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</si>
  <si>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</si>
  <si>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</si>
  <si>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</si>
  <si>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</si>
  <si>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</si>
  <si>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</si>
  <si>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</si>
  <si>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</si>
  <si>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</si>
  <si>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</si>
  <si>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</si>
  <si>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</si>
  <si>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</si>
  <si>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</si>
  <si>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</si>
  <si>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</si>
  <si>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</si>
  <si>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</si>
  <si>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</si>
  <si>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</si>
  <si>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</si>
  <si>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</si>
  <si>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</si>
  <si>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</si>
  <si>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</si>
  <si>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</si>
  <si>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</si>
  <si>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</si>
  <si>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</si>
  <si>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</si>
  <si>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</si>
  <si>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</si>
  <si>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</si>
  <si>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</si>
  <si>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</si>
  <si>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</si>
  <si>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</si>
  <si>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</si>
  <si>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</si>
  <si>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</si>
  <si>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</si>
  <si>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</si>
  <si>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</si>
  <si>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</si>
  <si>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</si>
  <si>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</si>
  <si>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</si>
  <si>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</si>
  <si>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</si>
  <si>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</si>
  <si>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</si>
  <si>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</si>
  <si>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</si>
  <si>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</si>
  <si>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</si>
  <si>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</si>
  <si>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</si>
  <si>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</si>
  <si>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</si>
  <si>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</si>
  <si>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</si>
  <si>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</si>
  <si>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</si>
  <si>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</si>
  <si>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</si>
  <si>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</si>
  <si>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</si>
  <si>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</si>
  <si>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</si>
  <si>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</si>
  <si>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</si>
  <si>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</si>
  <si>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</si>
  <si>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</si>
  <si>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</si>
  <si>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</si>
  <si>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</si>
  <si>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</si>
  <si>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</si>
  <si>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</si>
  <si>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</si>
  <si>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</si>
  <si>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</si>
  <si>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</si>
  <si>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</si>
  <si>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</si>
  <si>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</si>
  <si>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</si>
  <si>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</si>
  <si>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</si>
  <si>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</si>
  <si>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</si>
  <si>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</si>
  <si>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</si>
  <si>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</si>
  <si>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</si>
  <si>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</si>
  <si>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</si>
  <si>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</si>
  <si>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</si>
  <si>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</si>
  <si>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</si>
  <si>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</si>
  <si>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</si>
  <si>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</si>
  <si>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</si>
  <si>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</si>
  <si>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</si>
  <si>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</si>
  <si>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</si>
  <si>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</si>
  <si>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</si>
  <si>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</si>
  <si>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</si>
  <si>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</si>
  <si>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</si>
  <si>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</si>
  <si>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</si>
  <si>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</si>
  <si>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</si>
  <si>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</si>
  <si>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</si>
  <si>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</si>
  <si>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</si>
  <si>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</si>
  <si>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</si>
  <si>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</si>
  <si>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</si>
  <si>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</si>
  <si>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</si>
  <si>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</si>
  <si>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</si>
  <si>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</si>
  <si>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</si>
  <si>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</si>
  <si>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</si>
  <si>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</si>
  <si>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</si>
  <si>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</si>
  <si>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</si>
  <si>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</si>
  <si>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</si>
  <si>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</si>
  <si>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</si>
  <si>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</si>
  <si>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</si>
  <si>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</si>
  <si>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</si>
  <si>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</si>
  <si>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</si>
  <si>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</si>
  <si>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</si>
  <si>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</si>
  <si>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</si>
  <si>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</si>
  <si>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</si>
  <si>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</si>
  <si>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</si>
  <si>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</si>
  <si>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</si>
  <si>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</si>
  <si>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</si>
  <si>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</si>
  <si>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</si>
  <si>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</si>
  <si>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</si>
  <si>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</si>
  <si>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</si>
  <si>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</si>
  <si>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</si>
  <si>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</si>
  <si>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</si>
  <si>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</si>
  <si>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</si>
  <si>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</si>
  <si>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</si>
  <si>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</si>
  <si>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</si>
  <si>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</si>
  <si>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</si>
  <si>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</si>
  <si>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</si>
  <si>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</si>
  <si>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</si>
  <si>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</si>
  <si>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</si>
  <si>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</si>
  <si>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</si>
  <si>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</si>
  <si>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</si>
  <si>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</si>
  <si>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</si>
  <si>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</si>
  <si>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</si>
  <si>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</si>
  <si>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</si>
  <si>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</si>
  <si>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</si>
  <si>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</si>
  <si>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</si>
  <si>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</si>
  <si>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</si>
  <si>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</si>
  <si>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</si>
  <si>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</si>
  <si>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</si>
  <si>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</si>
  <si>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</si>
  <si>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</si>
  <si>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</si>
  <si>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</si>
  <si>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</si>
  <si>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</si>
  <si>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</si>
  <si>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</si>
  <si>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</si>
  <si>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</si>
  <si>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</si>
  <si>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</si>
  <si>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</si>
  <si>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</si>
  <si>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</si>
  <si>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</si>
  <si>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</si>
  <si>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</si>
  <si>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</si>
  <si>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</si>
  <si>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</si>
  <si>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</si>
  <si>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</si>
  <si>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</si>
  <si>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</si>
  <si>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</si>
  <si>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</si>
  <si>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</si>
  <si>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</si>
  <si>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</si>
  <si>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</si>
  <si>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</si>
  <si>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</si>
  <si>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</si>
  <si>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</si>
  <si>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</si>
  <si>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</si>
  <si>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</si>
  <si>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</si>
  <si>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</si>
  <si>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</si>
  <si>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</si>
  <si>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</si>
  <si>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</si>
  <si>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</si>
  <si>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</si>
  <si>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</si>
  <si>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</si>
  <si>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</si>
  <si>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</si>
  <si>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</si>
  <si>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</si>
  <si>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</si>
  <si>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</si>
  <si>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</si>
  <si>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</si>
  <si>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</si>
  <si>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</si>
  <si>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</si>
  <si>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</si>
  <si>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</si>
  <si>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</si>
  <si>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</si>
  <si>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</si>
  <si>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</si>
  <si>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</si>
  <si>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</si>
  <si>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</si>
  <si>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</si>
  <si>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</si>
  <si>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</si>
  <si>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</si>
  <si>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</si>
  <si>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</si>
  <si>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</si>
  <si>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</si>
  <si>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</si>
  <si>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</si>
  <si>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</si>
  <si>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</si>
  <si>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</si>
  <si>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</si>
  <si>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</si>
  <si>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</si>
  <si>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</si>
  <si>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</si>
  <si>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</si>
  <si>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</si>
  <si>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</si>
  <si>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</si>
  <si>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</si>
  <si>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</si>
  <si>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</si>
  <si>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</si>
  <si>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</si>
  <si>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</si>
  <si>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</si>
  <si>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</si>
  <si>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</si>
  <si>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</si>
  <si>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</si>
  <si>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</si>
  <si>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</si>
  <si>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</si>
  <si>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</si>
  <si>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</si>
  <si>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</si>
  <si>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</si>
  <si>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</si>
  <si>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</si>
  <si>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</si>
  <si>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</si>
  <si>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</si>
  <si>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</si>
  <si>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</si>
  <si>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</si>
  <si>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</si>
  <si>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</si>
  <si>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</si>
  <si>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</si>
  <si>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</si>
  <si>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</si>
  <si>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</si>
  <si>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</si>
  <si>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</si>
  <si>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</si>
  <si>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</si>
  <si>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</si>
  <si>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</si>
  <si>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</si>
  <si>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</si>
  <si>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</si>
  <si>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</si>
  <si>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</si>
  <si>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</si>
  <si>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</si>
  <si>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</si>
  <si>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</si>
  <si>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</si>
  <si>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</si>
  <si>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</si>
  <si>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</si>
  <si>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</si>
  <si>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</si>
  <si>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</si>
  <si>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</si>
  <si>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</si>
  <si>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</si>
  <si>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</si>
  <si>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</si>
  <si>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</si>
  <si>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</si>
  <si>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</si>
  <si>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</si>
  <si>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</si>
  <si>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</si>
  <si>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</si>
  <si>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</si>
  <si>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</si>
  <si>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</si>
  <si>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</si>
  <si>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</si>
  <si>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</si>
  <si>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</si>
  <si>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</si>
  <si>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</si>
  <si>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</si>
  <si>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</si>
  <si>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</si>
  <si>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</si>
  <si>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</si>
  <si>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</si>
  <si>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</si>
  <si>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</si>
  <si>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</si>
  <si>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</si>
  <si>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</si>
  <si>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</si>
  <si>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</si>
  <si>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</si>
  <si>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</si>
  <si>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</si>
  <si>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</si>
  <si>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</si>
  <si>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</si>
  <si>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</si>
  <si>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</si>
  <si>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</si>
  <si>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</si>
  <si>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</si>
  <si>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</si>
  <si>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</si>
  <si>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</si>
  <si>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</si>
  <si>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</si>
  <si>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</si>
  <si>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</si>
  <si>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</si>
  <si>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</si>
  <si>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</si>
  <si>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</si>
  <si>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</si>
  <si>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</si>
  <si>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</si>
  <si>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</si>
  <si>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</si>
  <si>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</si>
  <si>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</si>
  <si>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</si>
  <si>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</si>
  <si>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</si>
  <si>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</si>
  <si>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</si>
  <si>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</si>
  <si>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</si>
  <si>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</si>
  <si>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</si>
  <si>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</si>
  <si>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</si>
  <si>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</si>
  <si>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</si>
  <si>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</si>
  <si>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</si>
  <si>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</si>
  <si>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</si>
  <si>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</si>
  <si>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</si>
  <si>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</si>
  <si>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</si>
  <si>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</si>
  <si>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</si>
  <si>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</si>
  <si>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</si>
  <si>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</si>
  <si>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</si>
  <si>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</si>
  <si>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</si>
  <si>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</si>
  <si>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</si>
  <si>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</si>
  <si>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</si>
  <si>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</si>
  <si>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</si>
  <si>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</si>
  <si>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</si>
  <si>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</si>
  <si>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</si>
  <si>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</si>
  <si>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</si>
  <si>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</si>
  <si>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</si>
  <si>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</si>
  <si>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</si>
  <si>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</si>
  <si>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</si>
  <si>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</si>
  <si>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</si>
  <si>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</si>
  <si>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</si>
  <si>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</si>
  <si>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</si>
  <si>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</si>
  <si>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</si>
  <si>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</si>
  <si>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</si>
  <si>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</si>
  <si>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</si>
  <si>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</si>
  <si>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</si>
  <si>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</si>
  <si>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</si>
  <si>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</si>
  <si>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</si>
  <si>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</si>
  <si>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</si>
  <si>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</si>
  <si>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</si>
  <si>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</si>
  <si>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</si>
  <si>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</si>
  <si>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</si>
  <si>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</si>
  <si>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</si>
  <si>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</si>
  <si>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</si>
  <si>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</si>
  <si>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</si>
  <si>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</si>
  <si>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</si>
  <si>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</si>
  <si>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</si>
  <si>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</si>
  <si>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</si>
  <si>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</si>
  <si>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</si>
  <si>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</si>
  <si>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</si>
  <si>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</si>
  <si>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</si>
  <si>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</si>
  <si>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</si>
  <si>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</si>
  <si>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</si>
  <si>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</si>
  <si>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</si>
  <si>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</si>
  <si>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</si>
  <si>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</si>
  <si>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</si>
  <si>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</si>
  <si>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</si>
  <si>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</si>
  <si>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</si>
  <si>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</si>
  <si>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</si>
  <si>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</si>
  <si>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</si>
  <si>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</si>
  <si>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</si>
  <si>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</si>
  <si>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</si>
  <si>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</si>
  <si>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</si>
  <si>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</si>
  <si>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</si>
  <si>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</si>
  <si>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</si>
  <si>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</si>
  <si>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</si>
  <si>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</si>
  <si>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</si>
  <si>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</si>
  <si>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</si>
  <si>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</si>
  <si>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</si>
  <si>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</si>
  <si>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</si>
  <si>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</si>
  <si>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</si>
  <si>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</si>
  <si>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</si>
  <si>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</si>
  <si>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</si>
  <si>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</si>
  <si>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</si>
  <si>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</si>
  <si>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</si>
  <si>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</si>
  <si>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</si>
  <si>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</si>
  <si>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</si>
  <si>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</si>
  <si>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</si>
  <si>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</si>
  <si>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</si>
  <si>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</si>
  <si>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</si>
  <si>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</si>
  <si>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</si>
  <si>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</si>
  <si>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</si>
  <si>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</si>
  <si>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</si>
  <si>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</si>
  <si>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</si>
  <si>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</si>
  <si>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</si>
  <si>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</si>
  <si>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</si>
  <si>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</si>
  <si>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</si>
  <si>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</si>
  <si>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</si>
  <si>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</si>
  <si>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</si>
  <si>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</si>
  <si>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</si>
  <si>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</si>
  <si>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</si>
  <si>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</si>
  <si>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</si>
  <si>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</si>
  <si>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</si>
  <si>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</si>
  <si>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</si>
  <si>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</si>
  <si>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</si>
  <si>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</si>
  <si>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</si>
  <si>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</si>
  <si>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</si>
  <si>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</si>
  <si>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</si>
  <si>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</si>
  <si>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</si>
  <si>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</si>
  <si>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</si>
  <si>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</si>
  <si>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</si>
  <si>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</si>
  <si>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</si>
  <si>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</si>
  <si>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</si>
  <si>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</si>
  <si>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</si>
  <si>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</si>
  <si>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</si>
  <si>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</si>
  <si>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</si>
  <si>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</si>
  <si>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</si>
  <si>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</si>
  <si>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</si>
  <si>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</si>
  <si>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</si>
  <si>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</si>
  <si>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</si>
  <si>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</si>
  <si>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</si>
  <si>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</si>
  <si>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</si>
  <si>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</si>
  <si>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</si>
  <si>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</si>
  <si>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</si>
  <si>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</si>
  <si>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</si>
  <si>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</si>
  <si>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</si>
  <si>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</si>
  <si>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</si>
  <si>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</si>
  <si>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</si>
  <si>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</si>
  <si>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</si>
  <si>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</si>
  <si>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</si>
  <si>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</si>
  <si>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</si>
  <si>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</si>
  <si>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</si>
  <si>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</si>
  <si>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</si>
  <si>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</si>
  <si>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</si>
  <si>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</si>
  <si>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</si>
  <si>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</si>
  <si>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</si>
  <si>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</si>
  <si>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</si>
  <si>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</si>
  <si>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</si>
  <si>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</si>
  <si>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</si>
  <si>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</si>
  <si>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</si>
  <si>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</si>
  <si>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</si>
  <si>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</si>
  <si>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</si>
  <si>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</si>
  <si>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</si>
  <si>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</si>
  <si>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</si>
  <si>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</si>
  <si>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</si>
  <si>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</si>
  <si>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</si>
  <si>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</si>
  <si>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</si>
  <si>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</si>
  <si>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</si>
  <si>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</si>
  <si>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</si>
  <si>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</si>
  <si>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</si>
  <si>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</si>
  <si>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</si>
  <si>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</si>
  <si>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</si>
  <si>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</si>
  <si>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</si>
  <si>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</si>
  <si>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</si>
  <si>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</si>
  <si>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</si>
  <si>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</si>
  <si>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</si>
  <si>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</si>
  <si>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</si>
  <si>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</si>
  <si>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</si>
  <si>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</si>
  <si>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</si>
  <si>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</si>
  <si>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</si>
  <si>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</si>
  <si>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</si>
  <si>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</si>
  <si>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</si>
  <si>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</si>
  <si>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</si>
  <si>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</si>
  <si>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</si>
  <si>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</si>
  <si>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</si>
  <si>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</si>
  <si>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</si>
  <si>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</si>
  <si>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</si>
  <si>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</si>
  <si>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</si>
  <si>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</si>
  <si>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</si>
  <si>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</si>
  <si>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</si>
  <si>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</si>
  <si>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</si>
  <si>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</si>
  <si>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</si>
  <si>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</si>
  <si>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</si>
  <si>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</si>
  <si>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</si>
  <si>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</si>
  <si>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</si>
  <si>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</si>
  <si>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</si>
  <si>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</si>
  <si>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</si>
  <si>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</si>
  <si>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</si>
  <si>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</si>
  <si>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</si>
  <si>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</si>
  <si>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</si>
  <si>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</si>
  <si>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</si>
  <si>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</si>
  <si>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</si>
  <si>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</si>
  <si>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</si>
  <si>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</si>
  <si>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</si>
  <si>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</si>
  <si>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</si>
  <si>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</si>
  <si>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</si>
  <si>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</si>
  <si>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</si>
  <si>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</si>
  <si>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</si>
  <si>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</si>
  <si>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</si>
  <si>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</si>
  <si>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</si>
  <si>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</si>
  <si>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</si>
  <si>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</si>
  <si>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</si>
  <si>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</si>
  <si>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</si>
  <si>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</si>
  <si>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</si>
  <si>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</si>
  <si>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</si>
  <si>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</si>
  <si>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</si>
  <si>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</si>
  <si>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</si>
  <si>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</si>
  <si>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</si>
  <si>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</si>
  <si>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</si>
  <si>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</si>
  <si>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</si>
  <si>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</si>
  <si>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</si>
  <si>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</si>
  <si>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</si>
  <si>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</si>
  <si>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</si>
  <si>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</si>
  <si>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</si>
  <si>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</si>
  <si>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</si>
  <si>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</si>
  <si>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</si>
  <si>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</si>
  <si>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</si>
  <si>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</si>
  <si>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</si>
  <si>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</si>
  <si>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</si>
  <si>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</si>
  <si>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</si>
  <si>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</si>
  <si>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</si>
  <si>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</si>
  <si>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</si>
  <si>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</si>
  <si>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</si>
  <si>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</si>
  <si>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</si>
  <si>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</si>
  <si>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</si>
  <si>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</si>
  <si>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</si>
  <si>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</si>
  <si>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</si>
  <si>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</si>
  <si>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</si>
  <si>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</si>
  <si>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</si>
  <si>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</si>
  <si>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</si>
  <si>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</si>
  <si>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</si>
  <si>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</si>
  <si>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</si>
  <si>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</si>
  <si>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</si>
  <si>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</si>
  <si>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</si>
  <si>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</si>
  <si>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</si>
  <si>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</si>
  <si>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</si>
  <si>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</si>
  <si>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</si>
  <si>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</si>
  <si>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</si>
  <si>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</si>
  <si>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</si>
  <si>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</si>
  <si>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</si>
  <si>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</si>
  <si>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</si>
  <si>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</si>
  <si>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</si>
  <si>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</si>
  <si>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</si>
  <si>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</si>
  <si>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</si>
  <si>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</si>
  <si>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</si>
  <si>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</si>
  <si>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</si>
  <si>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</si>
  <si>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</si>
  <si>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</si>
  <si>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</si>
  <si>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</si>
  <si>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</si>
  <si>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</si>
  <si>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</si>
  <si>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</si>
  <si>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</si>
  <si>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</si>
  <si>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</si>
  <si>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</si>
  <si>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</si>
  <si>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</si>
  <si>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</si>
  <si>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</si>
  <si>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</si>
  <si>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</si>
  <si>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</si>
  <si>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</si>
  <si>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</si>
  <si>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</si>
  <si>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</si>
  <si>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</si>
  <si>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</si>
  <si>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</si>
  <si>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</si>
  <si>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</si>
  <si>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</si>
  <si>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</si>
  <si>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</si>
  <si>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</si>
  <si>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</si>
  <si>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</si>
  <si>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</si>
  <si>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</si>
  <si>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</si>
  <si>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</si>
  <si>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</si>
  <si>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</si>
  <si>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</si>
  <si>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</si>
  <si>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</si>
  <si>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</si>
  <si>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</si>
  <si>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</si>
  <si>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</si>
  <si>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</si>
  <si>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</si>
  <si>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</si>
  <si>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</si>
  <si>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</si>
  <si>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</si>
  <si>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</si>
  <si>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</si>
  <si>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</si>
  <si>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</si>
  <si>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</si>
  <si>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</si>
  <si>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</si>
  <si>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</si>
  <si>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</si>
  <si>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</si>
  <si>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</si>
  <si>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</si>
  <si>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</si>
  <si>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</si>
  <si>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</si>
  <si>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</si>
  <si>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</si>
  <si>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</si>
  <si>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</si>
  <si>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</si>
  <si>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</si>
  <si>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</si>
  <si>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</si>
  <si>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</si>
  <si>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</si>
  <si>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</si>
  <si>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</si>
  <si>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</si>
  <si>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</si>
  <si>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</si>
  <si>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</si>
  <si>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</si>
  <si>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</si>
  <si>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</si>
  <si>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</si>
  <si>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</si>
  <si>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</si>
  <si>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</si>
  <si>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</si>
  <si>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</si>
  <si>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</si>
  <si>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</si>
  <si>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</si>
  <si>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</si>
  <si>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</si>
  <si>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</si>
  <si>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</si>
  <si>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</si>
  <si>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</si>
  <si>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</si>
  <si>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</si>
  <si>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</si>
  <si>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</si>
  <si>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</si>
  <si>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</si>
  <si>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</si>
  <si>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</si>
  <si>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</si>
  <si>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</si>
  <si>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</si>
  <si>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</si>
  <si>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</si>
  <si>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</si>
  <si>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</si>
  <si>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</si>
  <si>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</si>
  <si>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</si>
  <si>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</si>
  <si>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</si>
  <si>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</si>
  <si>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</si>
  <si>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</si>
  <si>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</si>
  <si>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</si>
  <si>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</si>
  <si>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</si>
  <si>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</si>
  <si>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</si>
  <si>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</si>
  <si>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</si>
  <si>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</si>
  <si>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</si>
  <si>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</si>
  <si>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</si>
  <si>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</si>
  <si>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</si>
  <si>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</si>
  <si>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</si>
  <si>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</si>
  <si>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</si>
  <si>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</si>
  <si>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</si>
  <si>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</si>
  <si>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</si>
  <si>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</si>
  <si>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</si>
  <si>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</si>
  <si>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</si>
  <si>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</si>
  <si>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</si>
  <si>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</si>
  <si>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</si>
  <si>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</si>
  <si>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</si>
  <si>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</si>
  <si>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</si>
  <si>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</si>
  <si>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</si>
  <si>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</si>
  <si>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</si>
  <si>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</si>
  <si>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</si>
  <si>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</si>
  <si>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</si>
  <si>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</si>
  <si>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</si>
  <si>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</si>
  <si>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</si>
  <si>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</si>
  <si>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</si>
  <si>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</si>
  <si>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</si>
  <si>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</si>
  <si>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</si>
  <si>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</si>
  <si>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</si>
  <si>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</si>
  <si>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</si>
  <si>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</si>
  <si>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</si>
  <si>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</si>
  <si>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</si>
  <si>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</si>
  <si>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</si>
  <si>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</si>
  <si>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</si>
  <si>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</si>
  <si>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</si>
  <si>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</si>
  <si>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</si>
  <si>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</si>
  <si>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</si>
  <si>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</si>
  <si>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</si>
  <si>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</si>
  <si>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</si>
  <si>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</si>
  <si>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</si>
  <si>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</si>
  <si>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</si>
  <si>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</si>
  <si>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</si>
  <si>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</si>
  <si>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</si>
  <si>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</si>
  <si>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</si>
  <si>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</si>
  <si>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</si>
  <si>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</si>
  <si>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</si>
  <si>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</si>
  <si>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</si>
  <si>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</si>
  <si>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</si>
  <si>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</si>
  <si>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</si>
  <si>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</si>
  <si>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</si>
  <si>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</si>
  <si>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</si>
  <si>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</si>
  <si>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</si>
  <si>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</si>
  <si>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</si>
  <si>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</si>
  <si>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</si>
  <si>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</si>
  <si>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</si>
  <si>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</si>
  <si>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</si>
  <si>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</si>
  <si>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</si>
  <si>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</si>
  <si>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</si>
  <si>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</si>
  <si>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</si>
  <si>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</si>
  <si>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</si>
  <si>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</si>
  <si>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</si>
  <si>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</si>
  <si>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</si>
  <si>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</si>
  <si>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</si>
  <si>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</si>
  <si>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</si>
  <si>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</si>
  <si>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</si>
  <si>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</si>
  <si>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</si>
  <si>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</si>
  <si>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</si>
  <si>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</si>
  <si>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</si>
  <si>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</si>
  <si>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</si>
  <si>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</si>
  <si>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</si>
  <si>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</si>
  <si>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</si>
  <si>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</si>
  <si>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</si>
  <si>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</si>
  <si>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</si>
  <si>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</si>
  <si>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</si>
  <si>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</si>
  <si>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</si>
  <si>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</si>
  <si>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</si>
  <si>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</si>
  <si>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</si>
  <si>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</si>
  <si>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</si>
  <si>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</si>
  <si>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</si>
  <si>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</si>
  <si>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</si>
  <si>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</si>
  <si>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</si>
  <si>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</si>
  <si>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</si>
  <si>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</si>
  <si>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</si>
  <si>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</si>
  <si>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</si>
  <si>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</si>
  <si>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</si>
  <si>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</si>
  <si>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</si>
  <si>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</si>
  <si>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</si>
  <si>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</si>
  <si>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</si>
  <si>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</si>
  <si>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</si>
  <si>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</si>
  <si>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</si>
  <si>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</si>
  <si>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</si>
  <si>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</si>
  <si>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</si>
  <si>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</si>
  <si>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</si>
  <si>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</si>
  <si>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</si>
  <si>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</si>
  <si>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</si>
  <si>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</si>
  <si>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</si>
  <si>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</si>
  <si>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</si>
  <si>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</si>
  <si>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</si>
  <si>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</si>
  <si>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</si>
  <si>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</si>
  <si>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</si>
  <si>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</si>
  <si>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</si>
  <si>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</si>
  <si>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</si>
  <si>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</si>
  <si>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</si>
  <si>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</si>
  <si>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</si>
  <si>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</si>
  <si>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</si>
  <si>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</si>
  <si>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</si>
  <si>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</si>
  <si>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</si>
  <si>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</si>
  <si>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</si>
  <si>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</si>
  <si>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</si>
  <si>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</si>
  <si>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</si>
  <si>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</si>
  <si>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</si>
  <si>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</si>
  <si>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</si>
  <si>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</si>
  <si>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</si>
  <si>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</si>
  <si>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</si>
  <si>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</si>
  <si>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</si>
  <si>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</si>
  <si>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</si>
  <si>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</si>
  <si>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</si>
  <si>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</si>
  <si>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</si>
  <si>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</si>
  <si>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</si>
  <si>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</si>
  <si>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</si>
  <si>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</si>
  <si>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</si>
  <si>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</si>
  <si>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</si>
  <si>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</si>
  <si>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</si>
  <si>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</si>
  <si>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</si>
  <si>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</si>
  <si>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</si>
  <si>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</si>
  <si>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</si>
  <si>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</si>
  <si>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</si>
  <si>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</si>
  <si>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</si>
  <si>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</si>
  <si>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</si>
  <si>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</si>
  <si>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</si>
  <si>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</si>
  <si>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</si>
  <si>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</si>
  <si>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</si>
  <si>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</si>
  <si>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</si>
  <si>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</si>
  <si>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</si>
  <si>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</si>
  <si>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</si>
  <si>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</si>
  <si>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</si>
  <si>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</si>
  <si>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</si>
  <si>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</si>
  <si>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</si>
  <si>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</si>
  <si>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</si>
  <si>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</si>
  <si>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</si>
  <si>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</si>
  <si>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</si>
  <si>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</si>
  <si>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</si>
  <si>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</si>
  <si>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</si>
  <si>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</si>
  <si>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</si>
  <si>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</si>
  <si>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</si>
  <si>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</si>
  <si>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</si>
  <si>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</si>
  <si>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</si>
  <si>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</si>
  <si>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</si>
  <si>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</si>
  <si>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</si>
  <si>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</si>
  <si>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</si>
  <si>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</si>
  <si>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</si>
  <si>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</si>
  <si>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</si>
  <si>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</si>
  <si>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</si>
  <si>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</si>
  <si>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</si>
  <si>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</si>
  <si>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</si>
  <si>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</si>
  <si>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</si>
  <si>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</si>
  <si>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</si>
  <si>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</si>
  <si>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</si>
  <si>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</si>
  <si>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</si>
  <si>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</si>
  <si>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</si>
  <si>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</si>
  <si>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</si>
  <si>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</si>
  <si>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</si>
  <si>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</si>
  <si>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</si>
  <si>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</si>
  <si>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</si>
  <si>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</si>
  <si>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</si>
  <si>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</si>
  <si>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</si>
  <si>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</si>
  <si>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</si>
  <si>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</si>
  <si>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</si>
  <si>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</si>
  <si>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</si>
  <si>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</si>
  <si>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</si>
  <si>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</si>
  <si>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</si>
  <si>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</si>
  <si>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</si>
  <si>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</si>
  <si>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</si>
  <si>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</si>
  <si>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</si>
  <si>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</si>
  <si>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</si>
  <si>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</si>
  <si>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</si>
  <si>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</si>
  <si>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</si>
  <si>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</si>
  <si>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</si>
  <si>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</si>
  <si>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</si>
  <si>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</si>
  <si>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</si>
  <si>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</si>
  <si>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</si>
  <si>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</si>
  <si>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</si>
  <si>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</si>
  <si>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</si>
  <si>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</si>
  <si>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</si>
  <si>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</si>
  <si>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</si>
  <si>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</si>
  <si>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</si>
  <si>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</si>
  <si>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</si>
  <si>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</si>
  <si>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</si>
  <si>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</si>
  <si>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</si>
  <si>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</si>
  <si>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</si>
  <si>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</si>
  <si>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</si>
  <si>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</si>
  <si>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</si>
  <si>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</si>
  <si>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</si>
  <si>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</si>
  <si>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</si>
  <si>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</si>
  <si>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</si>
  <si>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</si>
  <si>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</si>
  <si>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</si>
  <si>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</si>
  <si>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</si>
  <si>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</si>
  <si>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</si>
  <si>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</si>
  <si>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</si>
  <si>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</si>
  <si>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</si>
  <si>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</si>
  <si>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</si>
  <si>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</si>
  <si>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</si>
  <si>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</si>
  <si>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</si>
  <si>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</si>
  <si>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</si>
  <si>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</si>
  <si>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</si>
  <si>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</si>
  <si>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</si>
  <si>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</si>
  <si>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</si>
  <si>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</si>
  <si>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</si>
  <si>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</si>
  <si>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</si>
  <si>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</si>
  <si>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</si>
  <si>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</si>
  <si>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</si>
  <si>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</si>
  <si>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</si>
  <si>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</si>
  <si>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</si>
  <si>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</si>
  <si>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</si>
  <si>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</si>
  <si>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</si>
  <si>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</si>
  <si>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</si>
  <si>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</si>
  <si>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</si>
  <si>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</si>
  <si>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</si>
  <si>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</si>
  <si>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</si>
  <si>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</si>
  <si>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</si>
  <si>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</si>
  <si>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</si>
  <si>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</si>
  <si>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</si>
  <si>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</si>
  <si>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</si>
  <si>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</si>
  <si>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</si>
  <si>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</si>
  <si>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</si>
  <si>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</si>
  <si>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</si>
  <si>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</si>
  <si>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</si>
  <si>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</si>
  <si>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</si>
  <si>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</si>
  <si>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</si>
  <si>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</si>
  <si>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</si>
  <si>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</si>
  <si>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</si>
  <si>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</si>
  <si>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</si>
  <si>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</si>
  <si>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</si>
  <si>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</si>
  <si>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</si>
  <si>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</si>
  <si>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</si>
  <si>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</si>
  <si>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</si>
  <si>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</si>
  <si>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</si>
  <si>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</si>
  <si>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</si>
  <si>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</si>
  <si>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</si>
  <si>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</si>
  <si>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</si>
  <si>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</si>
  <si>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</si>
  <si>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</si>
  <si>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</si>
  <si>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</si>
  <si>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</si>
  <si>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</si>
  <si>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</si>
  <si>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</si>
  <si>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</si>
  <si>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</si>
  <si>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</si>
  <si>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</si>
  <si>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</si>
  <si>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</si>
  <si>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</si>
  <si>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</si>
  <si>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</si>
  <si>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</si>
  <si>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</si>
  <si>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</si>
  <si>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</si>
  <si>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</si>
  <si>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</si>
  <si>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</si>
  <si>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</si>
  <si>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</si>
  <si>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</si>
  <si>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</si>
  <si>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</si>
  <si>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</si>
  <si>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</si>
  <si>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</si>
  <si>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</si>
  <si>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</si>
  <si>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</si>
  <si>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</si>
  <si>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</si>
  <si>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</si>
  <si>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</si>
  <si>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</si>
  <si>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</si>
  <si>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</si>
  <si>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</si>
  <si>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</si>
  <si>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</si>
  <si>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</si>
  <si>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</si>
  <si>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</si>
  <si>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</si>
  <si>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</si>
  <si>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</si>
  <si>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</si>
  <si>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</si>
  <si>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</si>
  <si>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</si>
  <si>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</si>
  <si>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</si>
  <si>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</si>
  <si>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</si>
  <si>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</si>
  <si>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</si>
  <si>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</si>
  <si>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</si>
  <si>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</si>
  <si>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</si>
  <si>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</si>
  <si>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</si>
  <si>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</si>
  <si>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</si>
  <si>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</si>
  <si>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</si>
  <si>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</si>
  <si>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</si>
  <si>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</si>
  <si>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</si>
  <si>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</si>
  <si>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</si>
  <si>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</si>
  <si>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</si>
  <si>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</si>
  <si>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</si>
  <si>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</si>
  <si>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</si>
  <si>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</si>
  <si>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</si>
  <si>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</si>
  <si>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</si>
  <si>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</si>
  <si>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</si>
  <si>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</si>
  <si>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</si>
  <si>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</si>
  <si>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</si>
  <si>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</si>
  <si>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</si>
  <si>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</si>
  <si>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</si>
  <si>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</si>
  <si>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</si>
  <si>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</si>
  <si>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</si>
  <si>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</si>
  <si>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</si>
  <si>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</si>
  <si>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</si>
  <si>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</si>
  <si>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</si>
  <si>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</si>
  <si>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</si>
  <si>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</si>
  <si>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</si>
  <si>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</si>
  <si>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</si>
  <si>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</si>
  <si>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</si>
  <si>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</si>
  <si>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</si>
  <si>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</si>
  <si>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</si>
  <si>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</si>
  <si>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</si>
  <si>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</si>
  <si>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</si>
  <si>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</si>
  <si>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</si>
  <si>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</si>
  <si>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</si>
  <si>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</si>
  <si>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</si>
  <si>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</si>
  <si>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</si>
  <si>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</si>
  <si>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</si>
  <si>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</si>
  <si>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</si>
  <si>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</si>
  <si>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</si>
  <si>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</si>
  <si>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</si>
  <si>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</si>
  <si>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</si>
  <si>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</si>
  <si>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</si>
  <si>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</si>
  <si>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</si>
  <si>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</si>
  <si>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</si>
  <si>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</si>
  <si>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</si>
  <si>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</si>
  <si>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</si>
  <si>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</si>
  <si>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</si>
  <si>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</si>
  <si>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</si>
  <si>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</si>
  <si>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</si>
  <si>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</si>
  <si>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</si>
  <si>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</si>
  <si>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</si>
  <si>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</si>
  <si>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</si>
  <si>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</si>
  <si>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</si>
  <si>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</si>
  <si>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</si>
  <si>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</si>
  <si>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</si>
  <si>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</si>
  <si>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</si>
  <si>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</si>
  <si>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</si>
  <si>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</si>
  <si>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</si>
  <si>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</si>
  <si>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</si>
  <si>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</si>
  <si>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</si>
  <si>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</si>
  <si>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</si>
  <si>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</si>
  <si>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</si>
  <si>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</si>
  <si>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</si>
  <si>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</si>
  <si>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</si>
  <si>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</si>
  <si>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</si>
  <si>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</si>
  <si>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</si>
  <si>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</si>
  <si>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</si>
  <si>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</si>
  <si>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</si>
  <si>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</si>
  <si>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</si>
  <si>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</si>
  <si>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</si>
  <si>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</si>
  <si>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</si>
  <si>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</si>
  <si>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</si>
  <si>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</si>
  <si>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</si>
  <si>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</si>
  <si>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</si>
  <si>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</si>
  <si>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</si>
  <si>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</si>
  <si>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</si>
  <si>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</si>
  <si>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</si>
  <si>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</si>
  <si>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</si>
  <si>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</si>
  <si>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</si>
  <si>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</si>
  <si>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</si>
  <si>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</si>
  <si>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</si>
  <si>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</si>
  <si>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</si>
  <si>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</si>
  <si>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</si>
  <si>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</si>
  <si>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</si>
  <si>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</si>
  <si>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</si>
  <si>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</si>
  <si>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</si>
  <si>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</si>
  <si>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</si>
  <si>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</si>
  <si>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</si>
  <si>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</si>
  <si>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</si>
  <si>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</si>
  <si>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</si>
  <si>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</si>
  <si>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</si>
  <si>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</si>
  <si>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</si>
  <si>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</si>
  <si>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</si>
  <si>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</si>
  <si>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</si>
  <si>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</si>
  <si>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</si>
  <si>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</si>
  <si>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</si>
  <si>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</si>
  <si>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</si>
  <si>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</si>
  <si>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</si>
  <si>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</si>
  <si>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</si>
  <si>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</si>
  <si>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</si>
  <si>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</si>
  <si>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</si>
  <si>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</si>
  <si>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</si>
  <si>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</si>
  <si>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</si>
  <si>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</si>
  <si>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</si>
  <si>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</si>
  <si>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</si>
  <si>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</si>
  <si>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</si>
  <si>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</si>
  <si>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</si>
  <si>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</si>
  <si>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</si>
  <si>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</si>
  <si>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</si>
  <si>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</si>
  <si>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</si>
  <si>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</si>
  <si>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</si>
  <si>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</si>
  <si>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</si>
  <si>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</si>
  <si>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</si>
  <si>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</si>
  <si>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</si>
  <si>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</si>
  <si>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</si>
  <si>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</si>
  <si>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</si>
  <si>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</si>
  <si>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</si>
  <si>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</si>
  <si>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</si>
  <si>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</si>
  <si>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</si>
  <si>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</si>
  <si>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</si>
  <si>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</si>
  <si>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</si>
  <si>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</si>
  <si>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</si>
  <si>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</si>
  <si>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</si>
  <si>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</si>
  <si>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</si>
  <si>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</si>
  <si>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</si>
  <si>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</si>
  <si>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</si>
  <si>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</si>
  <si>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</si>
  <si>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</si>
  <si>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</si>
  <si>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</si>
  <si>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</si>
  <si>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</si>
  <si>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</si>
  <si>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</si>
  <si>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</si>
  <si>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</si>
  <si>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</si>
  <si>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</si>
  <si>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</si>
  <si>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</si>
  <si>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</si>
  <si>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</si>
  <si>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</si>
  <si>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</si>
  <si>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</si>
  <si>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</si>
  <si>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</si>
  <si>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</si>
  <si>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</si>
  <si>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</si>
  <si>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</si>
  <si>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</si>
  <si>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</si>
  <si>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</si>
  <si>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</si>
  <si>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</si>
  <si>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</si>
  <si>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</si>
  <si>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</si>
  <si>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</si>
  <si>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</si>
  <si>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</si>
  <si>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</si>
  <si>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</si>
  <si>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</si>
  <si>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</si>
  <si>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</si>
  <si>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</si>
  <si>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</si>
  <si>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</si>
  <si>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</si>
  <si>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</si>
  <si>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</si>
  <si>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</si>
  <si>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</si>
  <si>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</si>
  <si>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</si>
  <si>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</si>
  <si>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</si>
  <si>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</si>
  <si>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</si>
  <si>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</si>
  <si>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</si>
  <si>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</si>
  <si>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</si>
  <si>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</si>
  <si>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</si>
  <si>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</si>
  <si>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</si>
  <si>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</si>
  <si>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</si>
  <si>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</si>
  <si>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</si>
  <si>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</si>
  <si>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</si>
  <si>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</si>
  <si>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</si>
  <si>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</si>
  <si>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</si>
  <si>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</si>
  <si>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</si>
  <si>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</si>
  <si>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</si>
  <si>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</si>
  <si>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</si>
  <si>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</si>
  <si>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</si>
  <si>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</si>
  <si>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</si>
  <si>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</si>
  <si>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</si>
  <si>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</si>
  <si>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</si>
  <si>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</si>
  <si>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</si>
  <si>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</si>
  <si>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</si>
  <si>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</si>
  <si>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</si>
  <si>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</si>
  <si>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</si>
  <si>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</si>
  <si>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</si>
  <si>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</si>
  <si>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</si>
  <si>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</si>
  <si>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</si>
  <si>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</si>
  <si>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</si>
  <si>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</si>
  <si>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</si>
  <si>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</si>
  <si>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</si>
  <si>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</si>
  <si>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</si>
  <si>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</si>
  <si>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</si>
  <si>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</si>
  <si>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</si>
  <si>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</si>
  <si>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</si>
  <si>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</si>
  <si>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</si>
  <si>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</si>
  <si>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</si>
  <si>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</si>
  <si>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</si>
  <si>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</si>
  <si>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</si>
  <si>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</si>
  <si>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</si>
  <si>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</si>
  <si>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</si>
  <si>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</si>
  <si>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</si>
  <si>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</si>
  <si>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</si>
  <si>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</si>
  <si>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</si>
  <si>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</si>
  <si>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</si>
  <si>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</si>
  <si>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</si>
  <si>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</si>
  <si>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</si>
  <si>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</si>
  <si>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</si>
  <si>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</si>
  <si>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</si>
  <si>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</si>
  <si>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</si>
  <si>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</si>
  <si>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</si>
  <si>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</si>
  <si>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</si>
  <si>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</si>
  <si>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</si>
  <si>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</si>
  <si>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</si>
  <si>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</si>
  <si>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</si>
  <si>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</si>
  <si>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</si>
  <si>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</si>
  <si>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</si>
  <si>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</si>
  <si>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</si>
  <si>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</si>
  <si>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</si>
  <si>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</si>
  <si>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</si>
  <si>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</si>
  <si>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</si>
  <si>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</si>
  <si>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</si>
  <si>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</si>
  <si>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</si>
  <si>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</si>
  <si>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</si>
  <si>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</si>
  <si>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</si>
  <si>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</si>
  <si>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</si>
  <si>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</si>
  <si>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</si>
  <si>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</si>
  <si>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</si>
  <si>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</si>
  <si>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</si>
  <si>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</si>
  <si>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</si>
  <si>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</si>
  <si>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</si>
  <si>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</si>
  <si>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</si>
  <si>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</si>
  <si>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</si>
  <si>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</si>
  <si>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</si>
  <si>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</si>
  <si>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</si>
  <si>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</si>
  <si>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</si>
  <si>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</si>
  <si>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</si>
  <si>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</si>
  <si>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</si>
  <si>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</si>
  <si>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</si>
  <si>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</si>
  <si>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</si>
  <si>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</si>
  <si>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</si>
  <si>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</si>
  <si>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</si>
  <si>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</si>
  <si>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</si>
  <si>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</si>
  <si>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</si>
  <si>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</si>
  <si>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</si>
  <si>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</si>
  <si>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</si>
  <si>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</si>
  <si>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</si>
  <si>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</si>
  <si>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</si>
  <si>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</si>
  <si>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</si>
  <si>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</si>
  <si>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</si>
  <si>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</si>
  <si>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</si>
  <si>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</si>
  <si>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</si>
  <si>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</si>
  <si>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</si>
  <si>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</si>
  <si>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</si>
  <si>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</si>
  <si>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</si>
  <si>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</si>
  <si>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</si>
  <si>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</si>
  <si>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</si>
  <si>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</si>
  <si>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</si>
  <si>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</si>
  <si>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</si>
  <si>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</si>
  <si>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</si>
  <si>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</si>
  <si>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</si>
  <si>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</si>
  <si>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</si>
  <si>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</si>
  <si>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</si>
  <si>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</si>
  <si>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</si>
  <si>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</si>
  <si>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</si>
  <si>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</si>
  <si>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</si>
  <si>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</si>
  <si>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</si>
  <si>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</si>
  <si>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</si>
  <si>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</si>
  <si>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</si>
  <si>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</si>
  <si>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</si>
  <si>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</si>
  <si>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</si>
  <si>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</si>
  <si>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</si>
  <si>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</si>
  <si>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</si>
  <si>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</si>
  <si>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</si>
  <si>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</si>
  <si>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</si>
  <si>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</si>
  <si>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</si>
  <si>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</si>
  <si>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</si>
  <si>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</si>
  <si>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</si>
  <si>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</si>
  <si>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</si>
  <si>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</si>
  <si>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</si>
  <si>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</si>
  <si>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</si>
  <si>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</si>
  <si>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</si>
  <si>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</si>
  <si>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</si>
  <si>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</si>
  <si>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</si>
  <si>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</si>
  <si>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</si>
  <si>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</si>
  <si>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</si>
  <si>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</si>
  <si>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</si>
  <si>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</si>
  <si>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</si>
  <si>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</si>
  <si>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</si>
  <si>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</si>
  <si>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</si>
  <si>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</si>
  <si>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</si>
  <si>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</si>
  <si>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</si>
  <si>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</si>
  <si>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</si>
  <si>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</si>
  <si>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</si>
  <si>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</si>
  <si>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</si>
  <si>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</si>
  <si>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</si>
  <si>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</si>
  <si>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</si>
  <si>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</si>
  <si>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</si>
  <si>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</si>
  <si>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</si>
  <si>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</si>
  <si>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</si>
  <si>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</si>
  <si>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</si>
  <si>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</si>
  <si>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</si>
  <si>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</si>
  <si>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</si>
  <si>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</si>
  <si>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</si>
  <si>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</si>
  <si>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</si>
  <si>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</si>
  <si>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</si>
  <si>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</si>
  <si>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</si>
  <si>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</si>
  <si>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</si>
  <si>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</si>
  <si>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</si>
  <si>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</si>
  <si>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</si>
  <si>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</si>
  <si>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</si>
  <si>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</si>
  <si>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</si>
  <si>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</si>
  <si>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</si>
  <si>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</si>
  <si>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</si>
  <si>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</si>
  <si>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</si>
  <si>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</si>
  <si>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</si>
  <si>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</si>
  <si>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</si>
  <si>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</si>
  <si>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</si>
  <si>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</si>
  <si>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</si>
  <si>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</si>
  <si>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</si>
  <si>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</si>
  <si>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</si>
  <si>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</si>
  <si>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</si>
  <si>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</si>
  <si>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</si>
  <si>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</si>
  <si>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</si>
  <si>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</si>
  <si>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</si>
  <si>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</si>
  <si>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</si>
  <si>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</si>
  <si>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</si>
  <si>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</si>
  <si>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</si>
  <si>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</si>
  <si>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</si>
  <si>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</si>
  <si>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</si>
  <si>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</si>
  <si>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</si>
  <si>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</si>
  <si>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</si>
  <si>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</si>
  <si>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</si>
  <si>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</si>
  <si>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</si>
  <si>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</si>
  <si>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</si>
  <si>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</si>
  <si>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</si>
  <si>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</si>
  <si>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</si>
  <si>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</si>
  <si>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</si>
  <si>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</si>
  <si>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</si>
  <si>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</si>
  <si>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</si>
  <si>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</si>
  <si>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</si>
  <si>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</si>
  <si>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</si>
  <si>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</si>
  <si>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</si>
  <si>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</si>
  <si>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</si>
  <si>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</si>
  <si>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</si>
  <si>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</si>
  <si>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</si>
  <si>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</si>
  <si>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</si>
  <si>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</si>
  <si>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</si>
  <si>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</si>
  <si>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</si>
  <si>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</si>
  <si>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</si>
  <si>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</si>
  <si>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</si>
  <si>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</si>
  <si>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</si>
  <si>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</si>
  <si>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</si>
  <si>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</si>
  <si>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</si>
  <si>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</si>
  <si>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</si>
  <si>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</si>
  <si>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</si>
  <si>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</si>
  <si>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</si>
  <si>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</si>
  <si>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</si>
  <si>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</si>
  <si>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</si>
  <si>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</si>
  <si>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</si>
  <si>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</si>
  <si>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</si>
  <si>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</si>
  <si>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</si>
  <si>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</si>
  <si>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</si>
  <si>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</si>
  <si>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</si>
  <si>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</si>
  <si>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</si>
  <si>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</si>
  <si>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</si>
  <si>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</si>
  <si>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</si>
  <si>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</si>
  <si>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</si>
  <si>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</si>
  <si>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</si>
  <si>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</si>
  <si>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</si>
  <si>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</si>
  <si>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</si>
  <si>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</si>
  <si>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</si>
  <si>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</si>
  <si>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</si>
  <si>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</si>
  <si>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</si>
  <si>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</si>
  <si>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</si>
  <si>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</si>
  <si>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</si>
  <si>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</si>
  <si>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</si>
  <si>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</si>
  <si>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</si>
  <si>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</si>
  <si>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</si>
  <si>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</si>
  <si>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</si>
  <si>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</si>
  <si>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</si>
  <si>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</si>
  <si>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</si>
  <si>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</si>
  <si>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</si>
  <si>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</si>
  <si>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</si>
  <si>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</si>
  <si>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</si>
  <si>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</si>
  <si>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</si>
  <si>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</si>
  <si>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</si>
  <si>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</si>
  <si>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</si>
  <si>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</si>
  <si>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</si>
  <si>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</si>
  <si>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</si>
  <si>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</si>
  <si>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</si>
  <si>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</si>
  <si>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</si>
  <si>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</si>
  <si>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</si>
  <si>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</si>
  <si>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</si>
  <si>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</si>
  <si>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</si>
  <si>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</si>
  <si>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</si>
  <si>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</si>
  <si>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</si>
  <si>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</si>
  <si>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</si>
  <si>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</si>
  <si>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</si>
  <si>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</si>
  <si>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</si>
  <si>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</si>
  <si>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</si>
  <si>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</si>
  <si>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</si>
  <si>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</si>
  <si>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</si>
  <si>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</si>
  <si>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</si>
  <si>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</si>
  <si>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</si>
  <si>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</si>
  <si>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</si>
  <si>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</si>
  <si>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</si>
  <si>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</si>
  <si>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</si>
  <si>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</si>
  <si>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</si>
  <si>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</si>
  <si>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</si>
  <si>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</si>
  <si>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</si>
  <si>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</si>
  <si>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</si>
  <si>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</si>
  <si>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</si>
  <si>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</si>
  <si>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</si>
  <si>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</si>
  <si>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</si>
  <si>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</si>
  <si>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</si>
  <si>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</si>
  <si>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</si>
  <si>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</si>
  <si>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</si>
  <si>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</si>
  <si>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</si>
  <si>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</si>
  <si>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</si>
  <si>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</si>
  <si>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</si>
  <si>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</si>
  <si>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</si>
  <si>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</si>
  <si>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</si>
  <si>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</si>
  <si>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</si>
  <si>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</si>
  <si>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</si>
  <si>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</si>
  <si>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</si>
  <si>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</si>
  <si>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</si>
  <si>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</si>
  <si>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</si>
  <si>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</si>
  <si>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</si>
  <si>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</si>
  <si>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</si>
  <si>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</si>
  <si>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</si>
  <si>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</si>
  <si>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</si>
  <si>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</si>
  <si>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</si>
  <si>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</si>
  <si>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</si>
  <si>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</si>
  <si>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</si>
  <si>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</si>
  <si>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</si>
  <si>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</si>
  <si>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</si>
  <si>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</si>
  <si>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</si>
  <si>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</si>
  <si>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</si>
  <si>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</si>
  <si>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</si>
  <si>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</si>
  <si>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</si>
  <si>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</si>
  <si>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</si>
  <si>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</si>
  <si>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</si>
  <si>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</si>
  <si>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</si>
  <si>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</si>
  <si>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</si>
  <si>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</si>
  <si>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</si>
  <si>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</si>
  <si>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</si>
  <si>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</si>
  <si>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</si>
  <si>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</si>
  <si>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</si>
  <si>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</si>
  <si>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</si>
  <si>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</si>
  <si>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</si>
  <si>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</si>
  <si>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</si>
  <si>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</si>
  <si>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</si>
  <si>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</si>
  <si>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</si>
  <si>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</si>
  <si>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</si>
  <si>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</si>
  <si>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</si>
  <si>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</si>
  <si>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</si>
  <si>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</si>
  <si>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</si>
  <si>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</si>
  <si>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</si>
  <si>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</si>
  <si>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</si>
  <si>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</si>
  <si>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</si>
  <si>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</si>
  <si>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</si>
  <si>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</si>
  <si>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</si>
  <si>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</si>
  <si>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</si>
  <si>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</si>
  <si>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</si>
  <si>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</si>
  <si>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</si>
  <si>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</si>
  <si>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</si>
  <si>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</si>
  <si>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</si>
  <si>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</si>
  <si>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</si>
  <si>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</si>
  <si>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</si>
  <si>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</si>
  <si>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</si>
  <si>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</si>
  <si>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</si>
  <si>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</si>
  <si>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</si>
  <si>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</si>
  <si>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</si>
  <si>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</si>
  <si>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</si>
  <si>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</si>
  <si>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</si>
  <si>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</si>
  <si>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</si>
  <si>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</si>
  <si>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</si>
  <si>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</si>
  <si>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</si>
  <si>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</si>
  <si>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</si>
  <si>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</si>
  <si>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</si>
  <si>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</si>
  <si>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</si>
  <si>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</si>
  <si>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</si>
  <si>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</si>
  <si>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</si>
  <si>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</si>
  <si>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</si>
  <si>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</si>
  <si>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</si>
  <si>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</si>
  <si>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</si>
  <si>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</si>
  <si>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</si>
  <si>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</si>
  <si>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</si>
  <si>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</si>
  <si>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</si>
  <si>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</si>
  <si>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</si>
  <si>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</si>
  <si>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</si>
  <si>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</si>
  <si>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</si>
  <si>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</si>
  <si>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</si>
  <si>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</si>
  <si>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</si>
  <si>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</si>
  <si>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</si>
  <si>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</si>
  <si>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</si>
  <si>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</si>
  <si>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</si>
  <si>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</si>
  <si>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</si>
  <si>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</si>
  <si>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</si>
  <si>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</si>
  <si>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</si>
  <si>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</si>
  <si>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</si>
  <si>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</si>
  <si>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</si>
  <si>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</si>
  <si>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</si>
  <si>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</si>
  <si>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</si>
  <si>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</si>
  <si>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</si>
  <si>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</si>
  <si>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</si>
  <si>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</si>
  <si>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</si>
  <si>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</si>
  <si>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</si>
  <si>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</si>
  <si>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</si>
  <si>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</si>
  <si>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</si>
  <si>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</si>
  <si>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</si>
  <si>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</si>
  <si>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</si>
  <si>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</si>
  <si>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</si>
  <si>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</si>
  <si>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</si>
  <si>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</si>
  <si>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</si>
  <si>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</si>
  <si>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</si>
  <si>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</si>
  <si>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</si>
  <si>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</si>
  <si>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</si>
  <si>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</si>
  <si>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</si>
  <si>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</si>
  <si>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</si>
  <si>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</si>
  <si>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</si>
  <si>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</si>
  <si>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</si>
  <si>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</si>
  <si>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</si>
  <si>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</si>
  <si>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</si>
  <si>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</si>
  <si>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</si>
  <si>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</si>
  <si>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</si>
  <si>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</si>
  <si>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</si>
  <si>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</si>
  <si>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</si>
  <si>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</si>
  <si>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</si>
  <si>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</si>
  <si>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</si>
  <si>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</si>
  <si>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</si>
  <si>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</si>
  <si>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</si>
  <si>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</si>
  <si>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</si>
  <si>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</si>
  <si>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</si>
  <si>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</si>
  <si>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</si>
  <si>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</si>
  <si>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</si>
  <si>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</si>
  <si>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</si>
  <si>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</si>
  <si>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</si>
  <si>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</si>
  <si>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</si>
  <si>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</si>
  <si>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</si>
  <si>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</si>
  <si>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</si>
  <si>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</si>
  <si>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</si>
  <si>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</si>
  <si>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</si>
  <si>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</si>
  <si>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</si>
  <si>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</si>
  <si>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</si>
  <si>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</si>
  <si>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</si>
  <si>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</si>
  <si>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</si>
  <si>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</si>
  <si>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</si>
  <si>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</si>
  <si>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</si>
  <si>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</si>
  <si>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</si>
  <si>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</si>
  <si>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</si>
  <si>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</si>
  <si>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</si>
  <si>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</si>
  <si>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</si>
  <si>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</si>
  <si>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</si>
  <si>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</si>
  <si>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</si>
  <si>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</si>
  <si>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</si>
  <si>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</si>
  <si>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</si>
  <si>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</si>
  <si>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</si>
  <si>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</si>
  <si>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</si>
  <si>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</si>
  <si>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</si>
  <si>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</si>
  <si>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</si>
  <si>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</si>
  <si>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</si>
  <si>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</si>
  <si>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</si>
  <si>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</si>
  <si>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</si>
  <si>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</si>
  <si>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</si>
  <si>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</si>
  <si>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</si>
  <si>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</si>
  <si>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</si>
  <si>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</si>
  <si>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</si>
  <si>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</si>
  <si>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</si>
  <si>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</si>
  <si>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</si>
  <si>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</si>
  <si>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</si>
  <si>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</si>
  <si>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</si>
  <si>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</si>
  <si>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</si>
  <si>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</si>
  <si>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</si>
  <si>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</si>
  <si>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</si>
  <si>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</si>
  <si>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</si>
  <si>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</si>
  <si>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</si>
  <si>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</si>
  <si>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</si>
  <si>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</si>
  <si>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</si>
  <si>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</si>
  <si>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</si>
  <si>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</si>
  <si>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</si>
  <si>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</si>
  <si>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</si>
  <si>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</si>
  <si>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</si>
  <si>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</si>
  <si>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</si>
  <si>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</si>
  <si>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</si>
  <si>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</si>
  <si>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</si>
  <si>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</si>
  <si>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</si>
  <si>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</si>
  <si>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</si>
  <si>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</si>
  <si>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</si>
  <si>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</si>
  <si>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</si>
  <si>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</si>
  <si>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</si>
  <si>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</si>
  <si>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</si>
  <si>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</si>
  <si>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</si>
  <si>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</si>
  <si>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</si>
  <si>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</si>
  <si>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</si>
  <si>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</si>
  <si>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</si>
  <si>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</si>
  <si>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</si>
  <si>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</si>
  <si>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</si>
  <si>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</si>
  <si>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</si>
  <si>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</si>
  <si>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</si>
  <si>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</si>
  <si>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</si>
  <si>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</si>
  <si>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</si>
  <si>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</si>
  <si>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</si>
  <si>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</si>
  <si>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</si>
  <si>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</si>
  <si>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</si>
  <si>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</si>
  <si>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</si>
  <si>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</si>
  <si>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</si>
  <si>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</si>
  <si>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</si>
  <si>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</si>
  <si>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</si>
  <si>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</si>
  <si>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</si>
  <si>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</si>
  <si>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</si>
  <si>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</si>
  <si>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</si>
  <si>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</si>
  <si>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</si>
  <si>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</si>
  <si>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</si>
  <si>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</si>
  <si>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</si>
  <si>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</si>
  <si>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</si>
  <si>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</si>
  <si>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</si>
  <si>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</si>
  <si>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</si>
  <si>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</si>
  <si>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</si>
  <si>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</si>
  <si>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</si>
  <si>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</si>
  <si>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</si>
  <si>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</si>
  <si>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</si>
  <si>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</si>
  <si>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</si>
  <si>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</si>
  <si>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</si>
  <si>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</si>
  <si>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</si>
  <si>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</si>
  <si>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</si>
  <si>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</si>
  <si>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</si>
  <si>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</si>
  <si>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</si>
  <si>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</si>
  <si>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</si>
  <si>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</si>
  <si>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</si>
  <si>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</si>
  <si>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</si>
  <si>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</si>
  <si>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</si>
  <si>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</si>
  <si>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</si>
  <si>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</si>
  <si>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</si>
  <si>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</si>
  <si>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</si>
  <si>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</si>
  <si>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</si>
  <si>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</si>
  <si>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</si>
  <si>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</si>
  <si>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</si>
  <si>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</si>
  <si>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</si>
  <si>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</si>
  <si>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</si>
  <si>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</si>
  <si>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</si>
  <si>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</si>
  <si>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</si>
  <si>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</si>
  <si>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</si>
  <si>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</si>
  <si>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</si>
  <si>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</si>
  <si>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</si>
  <si>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</si>
  <si>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</si>
  <si>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</si>
  <si>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</si>
  <si>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</si>
  <si>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</si>
  <si>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</si>
  <si>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</si>
  <si>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</si>
  <si>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</si>
  <si>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</si>
  <si>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</si>
  <si>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</si>
  <si>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</si>
  <si>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</si>
  <si>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</si>
  <si>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</si>
  <si>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</si>
  <si>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</si>
  <si>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</si>
  <si>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</si>
  <si>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</si>
  <si>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</si>
  <si>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</si>
  <si>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</si>
  <si>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</si>
  <si>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</si>
  <si>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</si>
  <si>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</si>
  <si>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</si>
  <si>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</si>
  <si>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</si>
  <si>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</si>
  <si>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</si>
  <si>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</si>
  <si>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</si>
  <si>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</si>
  <si>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</si>
  <si>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</si>
  <si>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</si>
  <si>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</si>
  <si>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</si>
  <si>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</si>
  <si>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</si>
  <si>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</si>
  <si>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</si>
  <si>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</si>
  <si>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</si>
  <si>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</si>
  <si>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</si>
  <si>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</si>
  <si>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</si>
  <si>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</si>
  <si>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</si>
  <si>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</si>
  <si>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</si>
  <si>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</si>
  <si>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</si>
  <si>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</si>
  <si>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</si>
  <si>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</si>
  <si>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</si>
  <si>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</si>
  <si>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</si>
  <si>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</si>
  <si>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</si>
  <si>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</si>
  <si>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</si>
  <si>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</si>
  <si>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</si>
  <si>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</si>
  <si>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</si>
  <si>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</si>
  <si>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</si>
  <si>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</si>
  <si>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</si>
  <si>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</si>
  <si>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</si>
  <si>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</si>
  <si>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</si>
  <si>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</si>
  <si>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</si>
  <si>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</si>
  <si>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</si>
  <si>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</si>
  <si>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</si>
  <si>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</si>
  <si>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</si>
  <si>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</si>
  <si>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</si>
  <si>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</si>
  <si>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</si>
  <si>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</si>
  <si>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</si>
  <si>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</si>
  <si>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</si>
  <si>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</si>
  <si>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</si>
  <si>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</si>
  <si>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</si>
  <si>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</si>
  <si>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</si>
  <si>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</si>
  <si>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</si>
  <si>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</si>
  <si>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</si>
  <si>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</si>
  <si>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</si>
  <si>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</si>
  <si>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</si>
  <si>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</si>
  <si>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</si>
  <si>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</si>
  <si>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</si>
  <si>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</si>
  <si>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</si>
  <si>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</si>
  <si>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</si>
  <si>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</si>
  <si>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</si>
  <si>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</si>
  <si>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</si>
  <si>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</si>
  <si>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</si>
  <si>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</si>
  <si>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</si>
  <si>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</si>
  <si>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</si>
  <si>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</si>
  <si>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</si>
  <si>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</si>
  <si>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</si>
  <si>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</si>
  <si>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</si>
  <si>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</si>
  <si>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</si>
  <si>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</si>
  <si>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</si>
  <si>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</si>
  <si>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</si>
  <si>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</si>
  <si>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</si>
  <si>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</si>
  <si>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</si>
  <si>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</si>
  <si>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</si>
  <si>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</si>
  <si>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</si>
  <si>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</si>
  <si>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</si>
  <si>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</si>
  <si>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</si>
  <si>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</si>
  <si>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</si>
  <si>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</si>
  <si>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</si>
  <si>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</si>
  <si>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</si>
  <si>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</si>
  <si>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</si>
  <si>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</si>
  <si>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</si>
  <si>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</si>
  <si>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</si>
  <si>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</si>
  <si>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</si>
  <si>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</si>
  <si>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</si>
  <si>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</si>
  <si>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</si>
  <si>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</si>
  <si>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</si>
  <si>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</si>
  <si>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</si>
  <si>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</si>
  <si>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</si>
  <si>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</si>
  <si>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</si>
  <si>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</si>
  <si>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</si>
  <si>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</si>
  <si>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</si>
  <si>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</si>
  <si>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</si>
  <si>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</si>
  <si>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</si>
  <si>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</si>
  <si>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</si>
  <si>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</si>
  <si>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</si>
  <si>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</si>
  <si>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</si>
  <si>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</si>
  <si>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</si>
  <si>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</si>
  <si>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</si>
  <si>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</si>
  <si>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</si>
  <si>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</si>
  <si>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</si>
  <si>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</si>
  <si>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</si>
  <si>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</si>
  <si>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</si>
  <si>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</si>
  <si>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</si>
  <si>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</si>
  <si>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</si>
  <si>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</si>
  <si>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</si>
  <si>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</si>
  <si>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</si>
  <si>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</si>
  <si>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</si>
  <si>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</si>
  <si>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</si>
  <si>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</si>
  <si>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</si>
  <si>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</si>
  <si>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</si>
  <si>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</si>
  <si>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</si>
  <si>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</si>
  <si>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</si>
  <si>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</si>
  <si>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</si>
  <si>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</si>
  <si>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</si>
  <si>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</si>
  <si>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</si>
  <si>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</si>
  <si>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</si>
  <si>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</si>
  <si>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</si>
  <si>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</si>
  <si>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</si>
  <si>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</si>
  <si>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</si>
  <si>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</si>
  <si>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</si>
  <si>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</si>
  <si>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</si>
  <si>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</si>
  <si>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</si>
  <si>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</si>
  <si>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</si>
  <si>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</si>
  <si>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</si>
  <si>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</si>
  <si>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</si>
  <si>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</si>
  <si>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</si>
  <si>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</si>
  <si>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</si>
  <si>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</si>
  <si>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</si>
  <si>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</si>
  <si>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</si>
  <si>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</si>
  <si>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</si>
  <si>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</si>
  <si>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</si>
  <si>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</si>
  <si>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</si>
  <si>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</si>
  <si>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</si>
  <si>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</si>
  <si>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</si>
  <si>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</si>
  <si>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</si>
  <si>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</si>
  <si>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</si>
  <si>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</si>
  <si>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</si>
  <si>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</si>
  <si>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</si>
  <si>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</si>
  <si>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</si>
  <si>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</si>
  <si>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</si>
  <si>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</si>
  <si>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</si>
  <si>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</si>
  <si>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</si>
  <si>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</si>
  <si>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</si>
  <si>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</si>
  <si>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</si>
  <si>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</si>
  <si>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</si>
  <si>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</si>
  <si>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</si>
  <si>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</si>
  <si>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</si>
  <si>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</si>
  <si>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</si>
  <si>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</si>
  <si>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</si>
  <si>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</si>
  <si>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</si>
  <si>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</si>
  <si>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</si>
  <si>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</si>
  <si>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</si>
  <si>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</si>
  <si>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</si>
  <si>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</si>
  <si>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</si>
  <si>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</si>
  <si>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</si>
  <si>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</si>
  <si>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</si>
  <si>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</si>
  <si>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</si>
  <si>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</si>
  <si>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</si>
  <si>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</si>
  <si>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</si>
  <si>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</si>
  <si>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</si>
  <si>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</si>
  <si>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</si>
  <si>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</si>
  <si>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</si>
  <si>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</si>
  <si>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</si>
  <si>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</si>
  <si>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</si>
  <si>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</si>
  <si>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</si>
  <si>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</si>
  <si>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</si>
  <si>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</si>
  <si>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</si>
  <si>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</si>
  <si>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</si>
  <si>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</si>
  <si>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</si>
  <si>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</si>
  <si>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</si>
  <si>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</si>
  <si>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</si>
  <si>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</si>
  <si>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</si>
  <si>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</si>
  <si>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</si>
  <si>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</si>
  <si>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</si>
  <si>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</si>
  <si>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</si>
  <si>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</si>
  <si>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</si>
  <si>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</si>
  <si>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</si>
  <si>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</si>
  <si>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</si>
  <si>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</si>
  <si>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</si>
  <si>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</si>
  <si>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</si>
  <si>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</si>
  <si>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</si>
  <si>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</si>
  <si>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</si>
  <si>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</si>
  <si>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</si>
  <si>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</si>
  <si>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</si>
  <si>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</si>
  <si>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</si>
  <si>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</si>
  <si>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</si>
  <si>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</si>
  <si>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</si>
  <si>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</si>
  <si>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</si>
  <si>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</si>
  <si>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</si>
  <si>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</si>
  <si>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</si>
  <si>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</si>
  <si>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</si>
  <si>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</si>
  <si>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</si>
  <si>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</si>
  <si>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</si>
  <si>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</si>
  <si>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</si>
  <si>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</si>
  <si>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</si>
  <si>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</si>
  <si>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</si>
  <si>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</si>
  <si>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</si>
  <si>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</si>
  <si>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</si>
  <si>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</si>
  <si>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</si>
  <si>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</si>
  <si>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</si>
  <si>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</si>
  <si>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</si>
  <si>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</si>
  <si>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</si>
  <si>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</si>
  <si>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</si>
  <si>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</si>
  <si>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</si>
  <si>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</si>
  <si>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</si>
  <si>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</si>
  <si>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</si>
  <si>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</si>
  <si>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</si>
  <si>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</si>
  <si>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</si>
  <si>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</si>
  <si>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</si>
  <si>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</si>
  <si>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</si>
  <si>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</si>
  <si>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</si>
  <si>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</si>
  <si>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</si>
  <si>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</si>
  <si>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</si>
  <si>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</si>
  <si>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</si>
  <si>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</si>
  <si>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</si>
  <si>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</si>
  <si>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</si>
  <si>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</si>
  <si>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</si>
  <si>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</si>
  <si>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</si>
  <si>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</si>
  <si>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</si>
  <si>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</si>
  <si>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</si>
  <si>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</si>
  <si>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</si>
  <si>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</si>
  <si>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</si>
  <si>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</si>
  <si>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</si>
  <si>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</si>
  <si>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</si>
  <si>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</si>
  <si>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</si>
  <si>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</si>
  <si>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</si>
  <si>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</si>
  <si>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</si>
  <si>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</si>
  <si>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</si>
  <si>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</si>
  <si>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</si>
  <si>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</si>
  <si>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</si>
  <si>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</si>
  <si>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</si>
  <si>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</si>
  <si>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</si>
  <si>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</si>
  <si>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</si>
  <si>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</si>
  <si>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</si>
  <si>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</si>
  <si>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</si>
  <si>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</si>
  <si>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</si>
  <si>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</si>
  <si>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</si>
  <si>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</si>
  <si>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</si>
  <si>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</si>
  <si>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</si>
  <si>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</si>
  <si>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</si>
  <si>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</si>
  <si>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</si>
  <si>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</si>
  <si>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</si>
  <si>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</si>
  <si>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</si>
  <si>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</si>
  <si>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</si>
  <si>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</si>
  <si>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</si>
  <si>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</si>
  <si>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</si>
  <si>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</si>
  <si>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</si>
  <si>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</si>
  <si>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</si>
  <si>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</si>
  <si>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</si>
  <si>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</si>
  <si>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</si>
  <si>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</si>
  <si>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</si>
  <si>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</si>
  <si>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</si>
  <si>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</si>
  <si>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</si>
  <si>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</si>
  <si>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</si>
  <si>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</si>
  <si>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</si>
  <si>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</si>
  <si>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</si>
  <si>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</si>
  <si>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</si>
  <si>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</si>
  <si>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</si>
  <si>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</si>
  <si>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</si>
  <si>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</si>
  <si>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</si>
  <si>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</si>
  <si>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</si>
  <si>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</si>
  <si>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</si>
  <si>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</si>
  <si>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</si>
  <si>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</si>
  <si>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</si>
  <si>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</si>
  <si>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</si>
  <si>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</si>
  <si>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</si>
  <si>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</si>
  <si>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</si>
  <si>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</si>
  <si>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</si>
  <si>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</si>
  <si>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</si>
  <si>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</si>
  <si>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</si>
  <si>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</si>
  <si>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</si>
  <si>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</si>
  <si>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</si>
  <si>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</si>
  <si>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</si>
  <si>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</si>
  <si>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</si>
  <si>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</si>
  <si>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</si>
  <si>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</si>
  <si>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</si>
  <si>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</si>
  <si>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</si>
  <si>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</si>
  <si>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</si>
  <si>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</si>
  <si>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</si>
  <si>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</si>
  <si>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</si>
  <si>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</si>
  <si>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</si>
  <si>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</si>
  <si>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</si>
  <si>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</si>
  <si>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</si>
  <si>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</si>
  <si>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</si>
  <si>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</si>
  <si>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</si>
  <si>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</si>
  <si>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</si>
  <si>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</si>
  <si>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</si>
  <si>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</si>
  <si>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</si>
  <si>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</si>
  <si>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</si>
  <si>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</si>
  <si>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</si>
  <si>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</si>
  <si>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</si>
  <si>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</si>
  <si>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</si>
  <si>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</si>
  <si>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</si>
  <si>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</si>
  <si>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</si>
  <si>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</si>
  <si>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</si>
  <si>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</si>
  <si>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</si>
  <si>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</si>
  <si>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</si>
  <si>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</si>
  <si>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</si>
  <si>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</si>
  <si>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</si>
  <si>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</si>
  <si>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</si>
  <si>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</si>
  <si>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</si>
  <si>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</si>
  <si>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</si>
  <si>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</si>
  <si>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</si>
  <si>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</si>
  <si>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</si>
  <si>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</si>
  <si>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</si>
  <si>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</si>
  <si>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</si>
  <si>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</si>
  <si>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</si>
  <si>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</si>
  <si>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</si>
  <si>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</si>
  <si>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</si>
  <si>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</si>
  <si>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</si>
  <si>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</si>
  <si>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</si>
  <si>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</si>
  <si>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</si>
  <si>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</si>
  <si>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</si>
  <si>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</si>
  <si>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</si>
  <si>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</si>
  <si>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</si>
  <si>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</si>
  <si>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</si>
  <si>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</si>
  <si>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</si>
  <si>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</si>
  <si>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</si>
  <si>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</si>
  <si>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</si>
  <si>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</si>
  <si>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</si>
  <si>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</si>
  <si>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</si>
  <si>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</si>
  <si>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</si>
  <si>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</si>
  <si>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</si>
  <si>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</si>
  <si>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</si>
  <si>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</si>
  <si>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</si>
  <si>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</si>
  <si>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</si>
  <si>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</si>
  <si>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</si>
  <si>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</si>
  <si>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</si>
  <si>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</si>
  <si>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</si>
  <si>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</si>
  <si>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</si>
  <si>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</si>
  <si>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</si>
  <si>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</si>
  <si>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</si>
  <si>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</si>
  <si>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</si>
  <si>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</si>
  <si>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</si>
  <si>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</si>
  <si>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</si>
  <si>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</si>
  <si>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</si>
  <si>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</si>
  <si>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</si>
  <si>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</si>
  <si>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</si>
  <si>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</si>
  <si>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</si>
  <si>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</si>
  <si>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</si>
  <si>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</si>
  <si>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</si>
  <si>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</si>
  <si>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</si>
  <si>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</si>
  <si>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</si>
  <si>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</si>
  <si>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</si>
  <si>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</si>
  <si>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</si>
  <si>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</si>
  <si>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</si>
  <si>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</si>
  <si>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</si>
  <si>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</si>
  <si>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</si>
  <si>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</si>
  <si>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</si>
  <si>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</si>
  <si>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</si>
  <si>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</si>
  <si>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</si>
  <si>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</si>
  <si>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</si>
  <si>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</si>
  <si>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</si>
  <si>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</si>
  <si>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</si>
  <si>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</si>
  <si>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</si>
  <si>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</si>
  <si>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</si>
  <si>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</si>
  <si>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</si>
  <si>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</si>
  <si>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</si>
  <si>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</si>
  <si>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</si>
  <si>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</si>
  <si>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</si>
  <si>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</si>
  <si>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</si>
  <si>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</si>
  <si>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</si>
  <si>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</si>
  <si>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</si>
  <si>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</si>
  <si>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</si>
  <si>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</si>
  <si>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</si>
  <si>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</si>
  <si>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</si>
  <si>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</si>
  <si>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</si>
  <si>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</si>
  <si>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</si>
  <si>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</si>
  <si>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</si>
  <si>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</si>
  <si>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</si>
  <si>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</si>
  <si>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</si>
  <si>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</si>
  <si>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</si>
  <si>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</si>
  <si>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</si>
  <si>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</si>
  <si>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</si>
  <si>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</si>
  <si>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</si>
  <si>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</si>
  <si>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</si>
  <si>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</si>
  <si>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</si>
  <si>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</si>
  <si>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</si>
  <si>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</si>
  <si>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</si>
  <si>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</si>
  <si>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</si>
  <si>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</si>
  <si>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</si>
  <si>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</si>
  <si>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</si>
  <si>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</si>
  <si>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</si>
  <si>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</si>
  <si>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</si>
  <si>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</si>
  <si>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</si>
  <si>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</si>
  <si>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</si>
  <si>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</si>
  <si>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</si>
  <si>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</si>
  <si>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</si>
  <si>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</si>
  <si>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</si>
  <si>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</si>
  <si>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</si>
  <si>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</si>
  <si>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</si>
  <si>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</si>
  <si>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</si>
  <si>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</si>
  <si>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</si>
  <si>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</si>
  <si>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</si>
  <si>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</si>
  <si>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</si>
  <si>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</si>
  <si>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</si>
  <si>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</si>
  <si>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</si>
  <si>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</si>
  <si>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</si>
  <si>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</si>
  <si>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</si>
  <si>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</si>
  <si>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</si>
  <si>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</si>
  <si>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</si>
  <si>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</si>
  <si>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</si>
  <si>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</si>
  <si>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</si>
  <si>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</si>
  <si>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</si>
  <si>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</si>
  <si>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</si>
  <si>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</si>
  <si>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</si>
  <si>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</si>
  <si>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</si>
  <si>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</si>
  <si>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</si>
  <si>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</si>
  <si>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</si>
  <si>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</si>
  <si>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</si>
  <si>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</si>
  <si>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</si>
  <si>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</si>
  <si>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</si>
  <si>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</si>
  <si>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</si>
  <si>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</si>
  <si>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</si>
  <si>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</si>
  <si>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</si>
  <si>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</si>
  <si>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</si>
  <si>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</si>
  <si>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</si>
  <si>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</si>
  <si>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</si>
  <si>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</si>
  <si>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</si>
  <si>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</si>
  <si>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</si>
  <si>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</si>
  <si>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</si>
  <si>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</si>
  <si>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</si>
  <si>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</si>
  <si>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</si>
  <si>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</si>
  <si>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</si>
  <si>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</si>
  <si>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</si>
  <si>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</si>
  <si>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</si>
  <si>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</si>
  <si>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</si>
  <si>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</si>
  <si>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</si>
  <si>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</si>
  <si>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</si>
  <si>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</si>
  <si>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</si>
  <si>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</si>
  <si>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</si>
  <si>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</si>
  <si>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</si>
  <si>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</si>
  <si>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</si>
  <si>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</si>
  <si>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</si>
  <si>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</si>
  <si>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</si>
  <si>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</si>
  <si>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</si>
  <si>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</si>
  <si>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</si>
  <si>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</si>
  <si>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</si>
  <si>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</si>
  <si>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</si>
  <si>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</si>
  <si>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</si>
  <si>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</si>
  <si>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</si>
  <si>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</si>
  <si>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</si>
  <si>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</si>
  <si>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</si>
  <si>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</si>
  <si>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</si>
  <si>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</si>
  <si>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</si>
  <si>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</si>
  <si>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</si>
  <si>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</si>
  <si>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</si>
  <si>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</si>
  <si>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</si>
  <si>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</si>
  <si>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</si>
  <si>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</si>
  <si>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</si>
  <si>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</si>
  <si>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</si>
  <si>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</si>
  <si>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</si>
  <si>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</si>
  <si>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</si>
  <si>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</si>
  <si>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</si>
  <si>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</si>
  <si>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</si>
  <si>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</si>
  <si>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</si>
  <si>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</si>
  <si>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</si>
  <si>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</si>
  <si>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</si>
  <si>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</si>
  <si>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</si>
  <si>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</si>
  <si>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</si>
  <si>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</si>
  <si>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</si>
  <si>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</si>
  <si>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</si>
  <si>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</si>
  <si>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</si>
  <si>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</si>
  <si>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</si>
  <si>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</si>
  <si>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</si>
  <si>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</si>
  <si>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</si>
  <si>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</si>
  <si>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</si>
  <si>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</si>
  <si>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</si>
  <si>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</si>
  <si>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</si>
  <si>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</si>
  <si>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</si>
  <si>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</si>
  <si>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</si>
  <si>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</si>
  <si>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</si>
  <si>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</si>
  <si>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</si>
  <si>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</si>
  <si>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</si>
  <si>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</si>
  <si>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</si>
  <si>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</si>
  <si>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</si>
  <si>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</si>
  <si>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</si>
  <si>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</si>
  <si>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</si>
  <si>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</si>
  <si>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</si>
  <si>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</si>
  <si>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</si>
  <si>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</si>
  <si>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</si>
  <si>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</si>
  <si>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</si>
  <si>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</si>
  <si>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</si>
  <si>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</si>
  <si>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</si>
  <si>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</si>
  <si>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</si>
  <si>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</si>
  <si>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</si>
  <si>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</si>
  <si>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</si>
  <si>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</si>
  <si>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</si>
  <si>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</si>
  <si>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</si>
  <si>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</si>
  <si>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</si>
  <si>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</si>
  <si>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</si>
  <si>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</si>
  <si>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</si>
  <si>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</si>
  <si>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</si>
  <si>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</si>
  <si>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</si>
  <si>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</si>
  <si>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</si>
  <si>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</si>
  <si>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</si>
  <si>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</si>
  <si>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</si>
  <si>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</si>
  <si>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</si>
  <si>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</si>
  <si>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</si>
  <si>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</si>
  <si>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</si>
  <si>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</si>
  <si>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</si>
  <si>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</si>
  <si>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</si>
  <si>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</si>
  <si>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</si>
  <si>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</si>
  <si>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</si>
  <si>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</si>
  <si>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</si>
  <si>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</si>
  <si>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</si>
  <si>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</si>
  <si>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</si>
  <si>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</si>
  <si>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</si>
  <si>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</si>
  <si>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</si>
  <si>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</si>
  <si>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</si>
  <si>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</si>
  <si>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</si>
  <si>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</si>
  <si>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</si>
  <si>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</si>
  <si>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</si>
  <si>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</si>
  <si>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</si>
  <si>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</si>
  <si>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</si>
  <si>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</si>
  <si>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</si>
  <si>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</si>
  <si>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</si>
  <si>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</si>
  <si>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</si>
  <si>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</si>
  <si>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</si>
  <si>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</si>
  <si>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</si>
  <si>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</si>
  <si>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</si>
  <si>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</si>
  <si>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</si>
  <si>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</si>
  <si>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</si>
  <si>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</si>
  <si>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</si>
  <si>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</si>
  <si>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</si>
  <si>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</si>
  <si>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</si>
  <si>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</si>
  <si>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</si>
  <si>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</si>
  <si>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</si>
  <si>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</si>
  <si>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</si>
  <si>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</si>
  <si>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</si>
  <si>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</si>
  <si>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</si>
  <si>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</si>
  <si>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</si>
  <si>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</si>
  <si>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</si>
  <si>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</si>
  <si>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</si>
  <si>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</si>
  <si>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</si>
  <si>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</si>
  <si>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</si>
  <si>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</si>
  <si>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</si>
  <si>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</si>
  <si>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</si>
  <si>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</si>
  <si>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</si>
  <si>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</si>
  <si>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</si>
  <si>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</si>
  <si>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</si>
  <si>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</si>
  <si>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</si>
  <si>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</si>
  <si>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</si>
  <si>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</si>
  <si>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</si>
  <si>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</si>
  <si>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</si>
  <si>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</si>
  <si>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</si>
  <si>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</si>
  <si>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</si>
  <si>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</si>
  <si>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</si>
  <si>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</si>
  <si>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</si>
  <si>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</si>
  <si>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</si>
  <si>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</si>
  <si>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</si>
  <si>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</si>
  <si>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</si>
  <si>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</si>
  <si>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</si>
  <si>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</si>
  <si>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</si>
  <si>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</si>
  <si>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</si>
  <si>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</si>
  <si>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</si>
  <si>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</si>
  <si>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</si>
  <si>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</si>
  <si>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</si>
  <si>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</si>
  <si>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</si>
  <si>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</si>
  <si>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</si>
  <si>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</si>
  <si>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</si>
  <si>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</si>
  <si>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</si>
  <si>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</si>
  <si>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</si>
  <si>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</si>
  <si>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</si>
  <si>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</si>
  <si>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</si>
  <si>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</si>
  <si>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</si>
  <si>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</si>
  <si>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</si>
  <si>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</si>
  <si>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</si>
  <si>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</si>
  <si>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</si>
  <si>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</si>
  <si>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</si>
  <si>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</si>
  <si>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</si>
  <si>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</si>
  <si>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</si>
  <si>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</si>
  <si>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</si>
  <si>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</si>
  <si>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</si>
  <si>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</si>
  <si>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</si>
  <si>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</si>
  <si>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</si>
  <si>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</si>
  <si>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</si>
  <si>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</si>
  <si>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</si>
  <si>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</si>
  <si>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</si>
  <si>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</si>
  <si>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</si>
  <si>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</si>
  <si>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</si>
  <si>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</si>
  <si>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</si>
  <si>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</si>
  <si>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</si>
  <si>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</si>
  <si>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</si>
  <si>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</si>
  <si>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</si>
  <si>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</si>
  <si>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</si>
  <si>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</si>
  <si>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</si>
  <si>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</si>
  <si>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</si>
  <si>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</si>
  <si>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</si>
  <si>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</si>
  <si>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</si>
  <si>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</si>
  <si>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</si>
  <si>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</si>
  <si>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</si>
  <si>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</si>
  <si>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</si>
  <si>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</si>
  <si>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</si>
  <si>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</si>
  <si>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</si>
  <si>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</si>
  <si>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</si>
  <si>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</si>
  <si>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</si>
  <si>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</si>
  <si>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</si>
  <si>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</si>
  <si>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</si>
  <si>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</si>
  <si>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</si>
  <si>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</si>
  <si>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</si>
  <si>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</si>
  <si>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</si>
  <si>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</si>
  <si>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</si>
  <si>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</si>
  <si>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</si>
  <si>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</si>
  <si>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</si>
  <si>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</si>
  <si>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</si>
  <si>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</si>
  <si>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</si>
  <si>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</si>
  <si>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</si>
  <si>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</si>
  <si>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</si>
  <si>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</si>
  <si>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</si>
  <si>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</si>
  <si>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</si>
  <si>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</si>
  <si>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</si>
  <si>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</si>
  <si>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</si>
  <si>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</si>
  <si>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</si>
  <si>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</si>
  <si>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</si>
  <si>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</si>
  <si>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</si>
  <si>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</si>
  <si>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</si>
  <si>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</si>
  <si>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</si>
  <si>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</si>
  <si>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</si>
  <si>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</si>
  <si>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</si>
  <si>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</si>
  <si>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</si>
  <si>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</si>
  <si>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</si>
  <si>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</si>
  <si>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</si>
  <si>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</si>
  <si>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</si>
  <si>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</si>
  <si>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</si>
  <si>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</si>
  <si>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</si>
  <si>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</si>
  <si>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</si>
  <si>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</si>
  <si>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</si>
  <si>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</si>
  <si>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</si>
  <si>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</si>
  <si>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</si>
  <si>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</si>
  <si>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</si>
  <si>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</si>
  <si>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</si>
  <si>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</si>
  <si>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</si>
  <si>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</si>
  <si>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</si>
  <si>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</si>
  <si>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</si>
  <si>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</si>
  <si>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</si>
  <si>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</si>
  <si>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</si>
  <si>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</si>
  <si>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</si>
  <si>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</si>
  <si>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</si>
  <si>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</si>
  <si>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</si>
  <si>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</si>
  <si>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</si>
  <si>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</si>
  <si>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</si>
  <si>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</si>
  <si>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</si>
  <si>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</si>
  <si>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</si>
  <si>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</si>
  <si>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</si>
  <si>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</si>
  <si>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</si>
  <si>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</si>
  <si>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</si>
  <si>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</si>
  <si>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</si>
  <si>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</si>
  <si>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</si>
  <si>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</si>
  <si>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</si>
  <si>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</si>
  <si>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</si>
  <si>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</si>
  <si>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</si>
  <si>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</si>
  <si>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</si>
  <si>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</si>
  <si>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</si>
  <si>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</si>
  <si>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</si>
  <si>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</si>
  <si>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</si>
  <si>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</si>
  <si>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</si>
  <si>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</si>
  <si>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</si>
  <si>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</si>
  <si>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</si>
  <si>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</si>
  <si>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</si>
  <si>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</si>
  <si>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</si>
  <si>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</si>
  <si>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</si>
  <si>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</si>
  <si>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</si>
  <si>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</si>
  <si>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</si>
  <si>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</si>
  <si>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</si>
  <si>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</si>
  <si>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</si>
  <si>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</si>
  <si>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</si>
  <si>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</si>
  <si>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</si>
  <si>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</si>
  <si>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</si>
  <si>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</si>
  <si>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</si>
  <si>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</si>
  <si>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</si>
  <si>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</si>
  <si>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</si>
  <si>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</si>
  <si>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</si>
  <si>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</si>
  <si>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</si>
  <si>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</si>
  <si>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</si>
  <si>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</si>
  <si>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</si>
  <si>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</si>
  <si>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</si>
  <si>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</si>
  <si>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</si>
  <si>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</si>
  <si>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</si>
  <si>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</si>
  <si>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</si>
  <si>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</si>
  <si>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</si>
  <si>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</si>
  <si>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</si>
  <si>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</si>
  <si>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</si>
  <si>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</si>
  <si>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</si>
  <si>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</si>
  <si>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</si>
  <si>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</si>
  <si>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</si>
  <si>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</si>
  <si>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</si>
  <si>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</si>
  <si>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</si>
  <si>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</si>
  <si>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</si>
  <si>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</si>
  <si>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</si>
  <si>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</si>
  <si>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</si>
  <si>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</si>
  <si>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</si>
  <si>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</si>
  <si>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</si>
  <si>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</si>
  <si>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</si>
  <si>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</si>
  <si>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</si>
  <si>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</si>
  <si>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</si>
  <si>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</si>
  <si>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</si>
  <si>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</si>
  <si>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</si>
  <si>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</si>
  <si>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</si>
  <si>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</si>
  <si>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</si>
  <si>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</si>
  <si>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</si>
  <si>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</si>
  <si>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</si>
  <si>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</si>
  <si>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</si>
  <si>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</si>
  <si>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</si>
  <si>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</si>
  <si>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</si>
  <si>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</si>
  <si>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</si>
  <si>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</si>
  <si>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</si>
  <si>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</si>
  <si>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</si>
  <si>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</si>
  <si>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</si>
  <si>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</si>
  <si>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</si>
  <si>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</si>
  <si>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</si>
  <si>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</si>
  <si>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</si>
  <si>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</si>
  <si>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</si>
  <si>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</si>
  <si>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</si>
  <si>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</si>
  <si>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</si>
  <si>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</si>
  <si>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</si>
  <si>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</si>
  <si>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</si>
  <si>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</si>
  <si>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</si>
  <si>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</si>
  <si>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</si>
  <si>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</si>
  <si>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</si>
  <si>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</si>
  <si>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</si>
  <si>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</si>
  <si>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</si>
  <si>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</si>
  <si>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</si>
  <si>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</si>
  <si>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</si>
  <si>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</si>
  <si>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</si>
  <si>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</si>
  <si>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</si>
  <si>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</si>
  <si>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</si>
  <si>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</si>
  <si>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</si>
  <si>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</si>
  <si>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</si>
  <si>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</si>
  <si>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</si>
  <si>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</si>
  <si>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</si>
  <si>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</si>
  <si>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</si>
  <si>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</si>
  <si>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</si>
  <si>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</si>
  <si>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</si>
  <si>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</si>
  <si>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</si>
  <si>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</si>
  <si>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</si>
  <si>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</si>
  <si>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</si>
  <si>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</si>
  <si>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</si>
  <si>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</si>
  <si>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</si>
  <si>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</si>
  <si>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</si>
  <si>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</si>
  <si>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</si>
  <si>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</si>
  <si>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</si>
  <si>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</si>
  <si>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</si>
  <si>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</si>
  <si>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</si>
  <si>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</si>
  <si>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</si>
  <si>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</si>
  <si>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</si>
  <si>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</si>
  <si>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</si>
  <si>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</si>
  <si>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</si>
  <si>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</si>
  <si>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</si>
  <si>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</si>
  <si>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</si>
  <si>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</si>
  <si>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</si>
  <si>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</si>
  <si>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</si>
  <si>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</si>
  <si>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</si>
  <si>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</si>
  <si>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</si>
  <si>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</si>
  <si>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</si>
  <si>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</si>
  <si>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</si>
  <si>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</si>
  <si>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</si>
  <si>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</si>
  <si>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</si>
  <si>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</si>
  <si>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</si>
  <si>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</si>
  <si>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</si>
  <si>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</si>
  <si>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</si>
  <si>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</si>
  <si>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</si>
  <si>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</si>
  <si>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</si>
  <si>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</si>
  <si>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</si>
  <si>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</si>
  <si>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</si>
  <si>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</si>
  <si>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</si>
  <si>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</si>
  <si>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</si>
  <si>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</si>
  <si>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</si>
  <si>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</si>
  <si>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</si>
  <si>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</si>
  <si>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</si>
  <si>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</si>
  <si>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</si>
  <si>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</si>
  <si>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</si>
  <si>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</si>
  <si>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</si>
  <si>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</si>
  <si>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</si>
  <si>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</si>
  <si>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</si>
  <si>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</si>
  <si>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</si>
  <si>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</si>
  <si>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</si>
  <si>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</si>
  <si>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</si>
  <si>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</si>
  <si>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</si>
  <si>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</si>
  <si>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</si>
  <si>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</si>
  <si>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</si>
  <si>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</si>
  <si>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</si>
  <si>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</si>
  <si>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</si>
  <si>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</si>
  <si>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</si>
  <si>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</si>
  <si>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</si>
  <si>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</si>
  <si>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</si>
  <si>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</si>
  <si>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</si>
  <si>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</si>
  <si>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</si>
  <si>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</si>
  <si>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</si>
  <si>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</si>
  <si>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</si>
  <si>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</si>
  <si>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</si>
  <si>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</si>
  <si>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</si>
  <si>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</si>
  <si>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</si>
  <si>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</si>
  <si>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</si>
  <si>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</si>
  <si>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</si>
  <si>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</si>
  <si>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</si>
  <si>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</si>
  <si>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</si>
  <si>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</si>
  <si>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</si>
  <si>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</si>
  <si>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</si>
  <si>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</si>
  <si>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</si>
  <si>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</si>
  <si>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</si>
  <si>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</si>
  <si>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</si>
  <si>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</si>
  <si>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</si>
  <si>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</si>
  <si>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</si>
  <si>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</si>
  <si>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</si>
  <si>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</si>
  <si>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</si>
  <si>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</si>
  <si>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</si>
  <si>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</si>
  <si>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</si>
  <si>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</si>
  <si>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</si>
  <si>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</si>
  <si>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</si>
  <si>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</si>
  <si>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</si>
  <si>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</si>
  <si>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</si>
  <si>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</si>
  <si>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</si>
  <si>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</si>
  <si>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</si>
  <si>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</si>
  <si>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</si>
  <si>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</si>
  <si>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</si>
  <si>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</si>
  <si>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</si>
  <si>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</si>
  <si>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</si>
  <si>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</si>
  <si>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</si>
  <si>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</si>
  <si>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</si>
  <si>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</si>
  <si>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</si>
  <si>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</si>
  <si>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</si>
  <si>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</si>
  <si>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</si>
  <si>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</si>
  <si>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</si>
  <si>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</si>
  <si>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</si>
  <si>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</si>
  <si>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</si>
  <si>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</si>
  <si>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</si>
  <si>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</si>
  <si>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</si>
  <si>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</si>
  <si>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</si>
  <si>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</si>
  <si>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</si>
  <si>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</si>
  <si>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</si>
  <si>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</si>
  <si>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</si>
  <si>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</si>
  <si>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</si>
  <si>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</si>
  <si>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</si>
  <si>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</si>
  <si>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</si>
  <si>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</si>
  <si>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</si>
  <si>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</si>
  <si>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</si>
  <si>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</si>
  <si>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</si>
  <si>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</si>
  <si>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</si>
  <si>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</si>
  <si>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</si>
  <si>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</si>
  <si>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</si>
  <si>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</si>
  <si>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</si>
  <si>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</si>
  <si>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</si>
  <si>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</si>
  <si>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</si>
  <si>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</si>
  <si>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</si>
  <si>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</si>
  <si>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</si>
  <si>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</si>
  <si>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</si>
  <si>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</si>
  <si>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</si>
  <si>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</si>
  <si>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</si>
  <si>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</si>
  <si>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</si>
  <si>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</si>
  <si>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</si>
  <si>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</si>
  <si>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</si>
  <si>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</si>
  <si>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</si>
  <si>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</si>
  <si>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</si>
  <si>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</si>
  <si>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</si>
  <si>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</si>
  <si>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</si>
  <si>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</si>
  <si>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</si>
  <si>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</si>
  <si>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</si>
  <si>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</si>
  <si>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</si>
  <si>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</si>
  <si>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</si>
  <si>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</si>
  <si>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</si>
  <si>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</si>
  <si>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</si>
  <si>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</si>
  <si>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</si>
  <si>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</si>
  <si>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</si>
  <si>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</si>
  <si>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</si>
  <si>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</si>
  <si>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</si>
  <si>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</si>
  <si>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</si>
  <si>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</si>
  <si>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</si>
  <si>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</si>
  <si>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</si>
  <si>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</si>
  <si>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</si>
  <si>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</si>
  <si>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</si>
  <si>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</si>
  <si>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</si>
  <si>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</si>
  <si>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</si>
  <si>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</si>
  <si>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</si>
  <si>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</si>
  <si>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</si>
  <si>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</si>
  <si>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</si>
  <si>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</si>
  <si>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</si>
  <si>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</si>
  <si>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</si>
  <si>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</si>
  <si>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</si>
  <si>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</si>
  <si>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</si>
  <si>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</si>
  <si>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</si>
  <si>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</si>
  <si>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</si>
  <si>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</si>
  <si>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</si>
  <si>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</si>
  <si>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</si>
  <si>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</si>
  <si>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</si>
  <si>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</si>
  <si>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</si>
  <si>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</si>
  <si>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</si>
  <si>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</si>
  <si>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</si>
  <si>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</si>
  <si>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</si>
  <si>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</si>
  <si>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</si>
  <si>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</si>
  <si>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</si>
  <si>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</si>
  <si>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</si>
  <si>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</si>
  <si>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</si>
  <si>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</si>
  <si>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</si>
  <si>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</si>
  <si>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</si>
  <si>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</si>
  <si>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</si>
  <si>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</si>
  <si>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</si>
  <si>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</si>
  <si>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</si>
  <si>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</si>
  <si>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</si>
  <si>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</si>
  <si>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</si>
  <si>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</si>
  <si>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</si>
  <si>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</si>
  <si>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</si>
  <si>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</si>
  <si>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</si>
  <si>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</si>
  <si>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</si>
  <si>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</si>
  <si>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</si>
  <si>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</si>
  <si>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</si>
  <si>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</si>
  <si>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</si>
  <si>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</si>
  <si>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</si>
  <si>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</si>
  <si>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</si>
  <si>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</si>
  <si>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</si>
  <si>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</si>
  <si>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</si>
  <si>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</si>
  <si>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</si>
  <si>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</si>
  <si>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</si>
  <si>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</si>
  <si>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</si>
  <si>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</si>
  <si>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</si>
  <si>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</si>
  <si>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</si>
  <si>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</si>
  <si>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</si>
  <si>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</si>
  <si>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</si>
  <si>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</si>
  <si>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</si>
  <si>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</si>
  <si>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</si>
  <si>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</si>
  <si>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</si>
  <si>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</si>
  <si>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</si>
  <si>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</si>
  <si>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</si>
  <si>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</si>
  <si>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</si>
  <si>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</si>
  <si>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</si>
  <si>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</si>
  <si>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</si>
  <si>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</si>
  <si>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</si>
  <si>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</si>
  <si>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</si>
  <si>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</si>
  <si>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</si>
  <si>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</si>
  <si>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</si>
  <si>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</si>
  <si>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</si>
  <si>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</si>
  <si>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</si>
  <si>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</si>
  <si>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</si>
  <si>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</si>
  <si>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</si>
  <si>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</si>
  <si>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</si>
  <si>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</si>
  <si>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</si>
  <si>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</si>
  <si>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</si>
  <si>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</si>
  <si>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</si>
  <si>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</si>
  <si>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</si>
  <si>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</si>
  <si>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</si>
  <si>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</si>
  <si>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</si>
  <si>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</si>
  <si>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</si>
  <si>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</si>
  <si>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</si>
  <si>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</si>
  <si>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</si>
  <si>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</si>
  <si>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</si>
  <si>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</si>
  <si>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</si>
  <si>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</si>
  <si>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</si>
  <si>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</si>
  <si>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</si>
  <si>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</si>
  <si>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</si>
  <si>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</si>
  <si>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</si>
  <si>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</si>
  <si>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</si>
  <si>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</si>
  <si>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</si>
  <si>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</si>
  <si>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</si>
  <si>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</si>
  <si>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</si>
  <si>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</si>
  <si>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</si>
  <si>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</si>
  <si>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</si>
  <si>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</si>
  <si>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</si>
  <si>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</si>
  <si>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</si>
  <si>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</si>
  <si>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</si>
  <si>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</si>
  <si>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</si>
  <si>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</si>
  <si>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</si>
  <si>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</si>
  <si>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</si>
  <si>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</si>
  <si>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</si>
  <si>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</si>
  <si>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</si>
  <si>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</si>
  <si>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</si>
  <si>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</si>
  <si>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</si>
  <si>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</si>
  <si>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</si>
  <si>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</si>
  <si>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</si>
  <si>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</si>
  <si>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</si>
  <si>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</si>
  <si>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</si>
  <si>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</si>
  <si>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</si>
  <si>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</si>
  <si>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</si>
  <si>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</si>
  <si>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</si>
  <si>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</si>
  <si>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</si>
  <si>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</si>
  <si>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</si>
  <si>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</si>
  <si>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</si>
  <si>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</si>
  <si>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</si>
  <si>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</si>
  <si>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</si>
  <si>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</si>
  <si>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</si>
  <si>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</si>
  <si>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</si>
  <si>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</si>
  <si>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</si>
  <si>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</si>
  <si>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</si>
  <si>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</si>
  <si>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</si>
  <si>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</si>
  <si>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</si>
  <si>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</si>
  <si>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</si>
  <si>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</si>
  <si>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</si>
  <si>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</si>
  <si>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</si>
  <si>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</si>
  <si>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</si>
  <si>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</si>
  <si>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</si>
  <si>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</si>
  <si>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</si>
  <si>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</si>
  <si>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</si>
  <si>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</si>
  <si>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</si>
  <si>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</si>
  <si>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</si>
  <si>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</si>
  <si>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</si>
  <si>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</si>
  <si>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</si>
  <si>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</si>
  <si>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</si>
  <si>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</si>
  <si>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</si>
  <si>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</si>
  <si>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</si>
  <si>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</si>
  <si>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</si>
  <si>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</si>
  <si>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</si>
  <si>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</si>
  <si>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</si>
  <si>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</si>
  <si>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</si>
  <si>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</si>
  <si>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</si>
  <si>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</si>
  <si>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</si>
  <si>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</si>
  <si>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</si>
  <si>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</si>
  <si>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</si>
  <si>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</si>
  <si>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</si>
  <si>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</si>
  <si>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</si>
  <si>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</si>
  <si>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</si>
  <si>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</si>
  <si>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</si>
  <si>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</si>
  <si>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</si>
  <si>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</si>
  <si>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</si>
  <si>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</si>
  <si>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</si>
  <si>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</si>
  <si>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</si>
  <si>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</si>
  <si>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</si>
  <si>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</si>
  <si>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</si>
  <si>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</si>
  <si>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</si>
  <si>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</si>
  <si>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</si>
  <si>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</si>
  <si>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</si>
  <si>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</si>
  <si>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</si>
  <si>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</si>
  <si>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</si>
  <si>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</si>
  <si>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</si>
  <si>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</si>
  <si>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</si>
  <si>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</si>
  <si>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</si>
  <si>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</si>
  <si>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</si>
  <si>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</si>
  <si>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</si>
  <si>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</si>
  <si>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</si>
  <si>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</si>
  <si>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</si>
  <si>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</si>
  <si>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</si>
  <si>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</si>
  <si>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</si>
  <si>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</si>
  <si>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</si>
  <si>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</si>
  <si>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</si>
  <si>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</si>
  <si>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</si>
  <si>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</si>
  <si>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</si>
  <si>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</si>
  <si>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</si>
  <si>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</si>
  <si>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</si>
  <si>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</si>
  <si>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</si>
  <si>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</si>
  <si>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</si>
  <si>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</si>
  <si>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</si>
  <si>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</si>
  <si>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</si>
  <si>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</si>
  <si>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</si>
  <si>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</si>
  <si>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</si>
  <si>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</si>
  <si>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</si>
  <si>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</si>
  <si>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</si>
  <si>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</si>
  <si>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</si>
  <si>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</si>
  <si>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</si>
  <si>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</si>
  <si>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</si>
  <si>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</si>
  <si>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</si>
  <si>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</si>
  <si>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</si>
  <si>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</si>
  <si>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</si>
  <si>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</si>
  <si>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</si>
  <si>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</si>
  <si>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</si>
  <si>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</si>
  <si>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</si>
  <si>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</si>
  <si>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</si>
  <si>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</si>
  <si>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</si>
  <si>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</si>
  <si>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</si>
  <si>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</si>
  <si>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</si>
  <si>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</si>
  <si>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</si>
  <si>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</si>
  <si>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</si>
  <si>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</si>
  <si>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</si>
  <si>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</si>
  <si>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</si>
  <si>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</si>
  <si>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</si>
  <si>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</si>
  <si>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</si>
  <si>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</si>
  <si>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</si>
  <si>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</si>
  <si>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</si>
  <si>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</si>
  <si>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</si>
  <si>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</si>
  <si>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</si>
  <si>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</si>
  <si>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</si>
  <si>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</si>
  <si>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</si>
  <si>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</si>
  <si>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</si>
  <si>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</si>
  <si>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</si>
  <si>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</si>
  <si>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</si>
  <si>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</si>
  <si>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</si>
  <si>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</si>
  <si>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</si>
  <si>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</si>
  <si>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</si>
  <si>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</si>
  <si>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</si>
  <si>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</si>
  <si>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</si>
  <si>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</si>
  <si>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</si>
  <si>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</si>
  <si>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</si>
  <si>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</si>
  <si>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</si>
  <si>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</si>
  <si>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</si>
  <si>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</si>
  <si>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</si>
  <si>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</si>
  <si>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</si>
  <si>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</si>
  <si>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</si>
  <si>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</si>
  <si>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</si>
  <si>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</si>
  <si>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</si>
  <si>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</si>
  <si>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</si>
  <si>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</si>
  <si>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</si>
  <si>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</si>
  <si>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</si>
  <si>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</si>
  <si>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</si>
  <si>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</si>
  <si>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</si>
  <si>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</si>
  <si>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</si>
  <si>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</si>
  <si>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</si>
  <si>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</si>
  <si>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</si>
  <si>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</si>
  <si>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</si>
  <si>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</si>
  <si>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</si>
  <si>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</si>
  <si>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</si>
  <si>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</si>
  <si>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</si>
  <si>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</si>
  <si>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</si>
  <si>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</si>
  <si>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</si>
  <si>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</si>
  <si>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</si>
  <si>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</si>
  <si>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</si>
  <si>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</si>
  <si>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</si>
  <si>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</si>
  <si>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</si>
  <si>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</si>
  <si>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</si>
  <si>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</si>
  <si>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</si>
  <si>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</si>
  <si>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</si>
  <si>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</si>
  <si>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</si>
  <si>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</si>
  <si>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</si>
  <si>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</si>
  <si>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</si>
  <si>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</si>
  <si>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</si>
  <si>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</si>
  <si>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</si>
  <si>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</si>
  <si>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</si>
  <si>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</si>
  <si>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</si>
  <si>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</si>
  <si>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</si>
  <si>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</si>
  <si>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</si>
  <si>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</si>
  <si>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</si>
  <si>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</si>
  <si>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</si>
  <si>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</si>
  <si>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</si>
  <si>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</si>
  <si>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</si>
  <si>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</si>
  <si>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</si>
  <si>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</si>
  <si>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</si>
  <si>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</si>
  <si>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</si>
  <si>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</si>
  <si>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</si>
  <si>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</si>
  <si>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</si>
  <si>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</si>
  <si>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</si>
  <si>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</si>
  <si>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</si>
  <si>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</si>
  <si>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</si>
  <si>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</si>
  <si>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</si>
  <si>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</si>
  <si>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</si>
  <si>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</si>
  <si>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</si>
  <si>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</si>
  <si>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</si>
  <si>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</si>
  <si>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</si>
  <si>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</si>
  <si>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</si>
  <si>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</si>
  <si>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</si>
  <si>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</si>
  <si>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</si>
  <si>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</si>
  <si>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</si>
  <si>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</si>
  <si>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</si>
  <si>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</si>
  <si>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</si>
  <si>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</si>
  <si>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</si>
  <si>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</si>
  <si>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</si>
  <si>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</si>
  <si>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</si>
  <si>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</si>
  <si>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</si>
  <si>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</si>
  <si>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</si>
  <si>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</si>
  <si>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</si>
  <si>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</si>
  <si>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</si>
  <si>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</si>
  <si>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</si>
  <si>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</si>
  <si>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</si>
  <si>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</si>
  <si>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</si>
  <si>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</si>
  <si>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</si>
  <si>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</si>
  <si>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</si>
  <si>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</si>
  <si>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</si>
  <si>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</si>
  <si>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</si>
  <si>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</si>
  <si>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</si>
  <si>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</si>
  <si>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</si>
  <si>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</si>
  <si>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</si>
  <si>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</si>
  <si>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</si>
  <si>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</si>
  <si>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</si>
  <si>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</si>
  <si>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</si>
  <si>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</si>
  <si>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</si>
  <si>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</si>
  <si>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</si>
  <si>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</si>
  <si>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</si>
  <si>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</si>
  <si>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</si>
  <si>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</si>
  <si>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</si>
  <si>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</si>
  <si>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</si>
  <si>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</si>
  <si>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</si>
  <si>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</si>
  <si>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</si>
  <si>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</si>
  <si>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</si>
  <si>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</si>
  <si>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</si>
  <si>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</si>
  <si>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</si>
  <si>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</si>
  <si>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</si>
  <si>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</si>
  <si>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</si>
  <si>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</si>
  <si>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</si>
  <si>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</si>
  <si>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</si>
  <si>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</si>
  <si>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</si>
  <si>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</si>
  <si>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</si>
  <si>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</si>
  <si>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</si>
  <si>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</si>
  <si>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</si>
  <si>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</si>
  <si>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</si>
  <si>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</si>
  <si>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</si>
  <si>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</si>
  <si>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</si>
  <si>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</si>
  <si>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</si>
  <si>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</si>
  <si>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</si>
  <si>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TOTAL DE INSUMOS : 5331</t>
  </si>
  <si>
    <t>PCI.817.01 - CUSTO DE COMPOSIÇÕES - SINTÉTICO                                               DATA DE EMISSÃO: 15/08/2019 23:22:59            DATA DE RT: 10/08/2019</t>
  </si>
  <si>
    <t>ABRANGÊNCIA : NACIONAL                                              LOCALIDADE  : BRASILIA                                                                                                            DATA DE PREÇO   : 07/2019 REFERÊNCIA COLETA : MEDIANO</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</si>
  <si>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</si>
  <si>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</si>
  <si>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</si>
  <si>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</si>
  <si>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</si>
  <si>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</si>
  <si>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</si>
  <si>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</si>
  <si>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</si>
  <si>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</si>
  <si>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</si>
  <si>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</si>
  <si>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</si>
  <si>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</si>
  <si>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</si>
  <si>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</si>
  <si>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</si>
  <si>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</si>
  <si>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</si>
  <si>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</si>
  <si>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</si>
  <si>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</si>
  <si>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</si>
  <si>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</si>
  <si>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</si>
  <si>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</si>
  <si>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</si>
  <si>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</si>
  <si>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</si>
  <si>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</si>
  <si>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</si>
  <si>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</si>
  <si>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</si>
  <si>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</si>
  <si>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</si>
  <si>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</si>
  <si>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</si>
  <si>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</si>
  <si>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</si>
  <si>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</si>
  <si>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</si>
  <si>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</si>
  <si>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</si>
  <si>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</si>
  <si>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</si>
  <si>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</si>
  <si>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</si>
  <si>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</si>
  <si>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</si>
  <si>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</si>
  <si>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</si>
  <si>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</si>
  <si>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</si>
  <si>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</si>
  <si>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</si>
  <si>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</si>
  <si>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</si>
  <si>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</si>
  <si>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</si>
  <si>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</si>
  <si>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</si>
  <si>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</si>
  <si>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</si>
  <si>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</si>
  <si>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</si>
  <si>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</si>
  <si>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</si>
  <si>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</si>
  <si>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</si>
  <si>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</si>
  <si>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</si>
  <si>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</si>
  <si>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</si>
  <si>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</si>
  <si>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</si>
  <si>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</si>
  <si>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</si>
  <si>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</si>
  <si>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</si>
  <si>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</si>
  <si>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</si>
  <si>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</si>
  <si>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</si>
  <si>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</si>
  <si>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</si>
  <si>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</si>
  <si>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</si>
  <si>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</si>
  <si>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</si>
  <si>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</si>
  <si>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</si>
  <si>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</si>
  <si>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</si>
  <si>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</si>
  <si>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</si>
  <si>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</si>
  <si>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</si>
  <si>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</si>
  <si>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</si>
  <si>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</si>
  <si>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</si>
  <si>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</si>
  <si>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</si>
  <si>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</si>
  <si>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</si>
  <si>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</si>
  <si>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</si>
  <si>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</si>
  <si>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</si>
  <si>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</si>
  <si>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</si>
  <si>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</si>
  <si>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</si>
  <si>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</si>
  <si>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</si>
  <si>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</si>
  <si>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</si>
  <si>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</si>
  <si>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</si>
  <si>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</si>
  <si>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</si>
  <si>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</si>
  <si>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</si>
  <si>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</si>
  <si>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</si>
  <si>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</si>
  <si>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</si>
  <si>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</si>
  <si>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</si>
  <si>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</si>
  <si>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</si>
  <si>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</si>
  <si>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</si>
  <si>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</si>
  <si>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</si>
  <si>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</si>
  <si>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</si>
  <si>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</si>
  <si>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</si>
  <si>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</si>
  <si>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</si>
  <si>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</si>
  <si>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</si>
  <si>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</si>
  <si>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</si>
  <si>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</si>
  <si>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</si>
  <si>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</si>
  <si>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</si>
  <si>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</si>
  <si>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</si>
  <si>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</si>
  <si>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</si>
  <si>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</si>
  <si>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</si>
  <si>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</si>
  <si>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</si>
  <si>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</si>
  <si>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</si>
  <si>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</si>
  <si>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</si>
  <si>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</si>
  <si>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</si>
  <si>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</si>
  <si>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</si>
  <si>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</si>
  <si>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</si>
  <si>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</si>
  <si>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</si>
  <si>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</si>
  <si>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</si>
  <si>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</si>
  <si>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</si>
  <si>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</si>
  <si>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</si>
  <si>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</si>
  <si>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</si>
  <si>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</si>
  <si>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</si>
  <si>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</si>
  <si>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</si>
  <si>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</si>
  <si>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</si>
  <si>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</si>
  <si>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</si>
  <si>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</si>
  <si>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</si>
  <si>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</si>
  <si>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</si>
  <si>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</si>
  <si>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</si>
  <si>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</si>
  <si>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</si>
  <si>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</si>
  <si>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</si>
  <si>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</si>
  <si>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</si>
  <si>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</si>
  <si>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</si>
  <si>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</si>
  <si>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</si>
  <si>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</si>
  <si>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</si>
  <si>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</si>
  <si>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</si>
  <si>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</si>
  <si>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</si>
  <si>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</si>
  <si>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</si>
  <si>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</si>
  <si>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</si>
  <si>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</si>
  <si>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</si>
  <si>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</si>
  <si>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</si>
  <si>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</si>
  <si>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</si>
  <si>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</si>
  <si>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</si>
  <si>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</si>
  <si>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</si>
  <si>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</si>
  <si>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</si>
  <si>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</si>
  <si>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</si>
  <si>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</si>
  <si>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</si>
  <si>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</si>
  <si>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</si>
  <si>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</si>
  <si>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</si>
  <si>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</si>
  <si>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</si>
  <si>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</si>
  <si>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</si>
  <si>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</si>
  <si>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</si>
  <si>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</si>
  <si>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</si>
  <si>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FRESAGEM DE PAVIMENTO ASFÁLTICO (PROFUNDIDADE ATÉ 5,0 CM), EM LOCAIS COM NIVEL BAIXO DE INTERFERÊNCIA. AF_03/2017</t>
  </si>
  <si>
    <t>FRESAGEM DE PAVIMENTO ASFÁLTICO (PROFUNDIDADE ATÉ 5,0 CM), EM LOCAIS COM NIVEL ALTO DE INTERFERÊNCIA. AF_03/2017</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</si>
  <si>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</si>
  <si>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</si>
  <si>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</si>
  <si>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</si>
  <si>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</si>
  <si>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</si>
  <si>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</si>
  <si>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</si>
  <si>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</si>
  <si>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</si>
  <si>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</si>
  <si>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</si>
  <si>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</si>
  <si>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</si>
  <si>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</si>
  <si>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</si>
  <si>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</si>
  <si>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</si>
  <si>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</si>
  <si>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</si>
  <si>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</si>
  <si>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</si>
  <si>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</si>
  <si>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</si>
  <si>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</si>
  <si>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</si>
  <si>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</si>
  <si>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</si>
  <si>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</si>
  <si>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</si>
  <si>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</si>
  <si>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</si>
  <si>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</si>
  <si>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</si>
  <si>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</si>
  <si>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</si>
  <si>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</si>
  <si>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</si>
  <si>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</si>
  <si>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</si>
  <si>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</si>
  <si>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</si>
  <si>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</si>
  <si>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</si>
  <si>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</si>
  <si>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</si>
  <si>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</si>
  <si>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</si>
  <si>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</si>
  <si>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</si>
  <si>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</si>
  <si>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</si>
  <si>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</si>
  <si>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</si>
  <si>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</si>
  <si>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</si>
  <si>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</si>
  <si>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</si>
  <si>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</si>
  <si>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</si>
  <si>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</si>
  <si>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</si>
  <si>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</si>
  <si>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</si>
  <si>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</si>
  <si>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</si>
  <si>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</si>
  <si>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</si>
  <si>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</si>
  <si>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</si>
  <si>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</si>
  <si>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</si>
  <si>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</si>
  <si>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</si>
  <si>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</si>
  <si>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</si>
  <si>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</si>
  <si>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</si>
  <si>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</si>
  <si>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</si>
  <si>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</si>
  <si>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</si>
  <si>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</si>
  <si>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</si>
  <si>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</si>
  <si>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</si>
  <si>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</si>
  <si>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</si>
  <si>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</si>
  <si>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</si>
  <si>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</si>
  <si>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</si>
  <si>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</si>
  <si>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</si>
  <si>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</si>
  <si>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</si>
  <si>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</si>
  <si>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</si>
  <si>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</si>
  <si>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</si>
  <si>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</si>
  <si>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</si>
  <si>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</si>
  <si>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</si>
  <si>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</si>
  <si>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</si>
  <si>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</si>
  <si>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</si>
  <si>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</si>
  <si>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</si>
  <si>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</si>
  <si>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</si>
  <si>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</si>
  <si>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</si>
  <si>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</si>
  <si>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</si>
  <si>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</si>
  <si>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</si>
  <si>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</si>
  <si>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</si>
  <si>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</si>
  <si>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</si>
  <si>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</si>
  <si>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</si>
  <si>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</si>
  <si>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</si>
  <si>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</si>
  <si>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</si>
  <si>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</si>
  <si>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</si>
  <si>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</si>
  <si>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</si>
  <si>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</si>
  <si>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</si>
  <si>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</si>
  <si>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</si>
  <si>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</si>
  <si>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</si>
  <si>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</si>
  <si>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INSUMO 4815</t>
  </si>
  <si>
    <t>ENSAIO DE CONSISTÊNCIA DO CONCRETO - SLUMP TEST</t>
  </si>
  <si>
    <t>ENSAIO - RESISTÊNCIA À COMPRESSÃO AXIAL, POR CORPO DE PROVA</t>
  </si>
  <si>
    <t>Projeção do prédio em planta com um offset de 5 metros</t>
  </si>
  <si>
    <t>Placa do IBRAM</t>
  </si>
  <si>
    <t>Lado medido em projeto</t>
  </si>
  <si>
    <t>SETOP</t>
  </si>
  <si>
    <t>REL-TEC-190</t>
  </si>
  <si>
    <t>10.01.102</t>
  </si>
  <si>
    <t>7103 INSUMO</t>
  </si>
  <si>
    <t>Armação para base de concreto das bancadas, em tela de aço CA-60, nervurada, 4,2mm, malha 15x15cm</t>
  </si>
  <si>
    <t>Térreo (conforme prancha PB-CO 02/12)</t>
  </si>
  <si>
    <t>1o Pavimento (conforme prancha PB-CO 03/12)</t>
  </si>
  <si>
    <t>Cobertura (conforme prancha PB-CO 04/12)</t>
  </si>
  <si>
    <t>*as vigas do térreo são moldadas in loco</t>
  </si>
  <si>
    <t>CAIXILHO FIXO DE ALUMÍNIO COM PINTURA ELETROSTÁTICA</t>
  </si>
  <si>
    <t>CAIXILHO FIXO DE ALUMÍNIO VENEZIANA COM PINTURA ELETROSTÁTICA</t>
  </si>
  <si>
    <t>Fixador de porta de pressão para piso</t>
  </si>
  <si>
    <t>Dutra Máquinas</t>
  </si>
  <si>
    <t>50.970.342/0001-02</t>
  </si>
  <si>
    <t>(11) 2795-8844</t>
  </si>
  <si>
    <t>https://www.dutramaquinas.com.br/p/fixador-de-porta-de-pressao-para-piso-32-63-600-000?gclid=CjwKCAjwnrjrBRAMEiwAXsCc49fkQB0jLzOn5zmVPmNLr-6sThlVANC7APD8ePgug-vw_GKpcUnZZBoCvQgQAvD_BwE</t>
  </si>
  <si>
    <t>Pires Martins</t>
  </si>
  <si>
    <t>58.512.658/0001-62</t>
  </si>
  <si>
    <t>(16) 2133-0853</t>
  </si>
  <si>
    <t>https://www.piresmartins.com.br/fixador-porta-p-piso/p?s=5993&amp;gclid=CjwKCAjwnrjrBRAMEiwAXsCc48p_YK9_ZlzeSjO1y8hGaJmueZbY-ugMBP-3ygYxYbz2xwkafGgHxhoCNY0QAvD_BwE</t>
  </si>
  <si>
    <t>29.302.348.0001-15</t>
  </si>
  <si>
    <t>(61) 3246-9989</t>
  </si>
  <si>
    <t>https://www.lojadomecanico.com.br/produto/69535/49/729/Fixador-de-Porta-para-Piso/153/?utm_source=googleshopping&amp;utm_campaign=xmlshopping&amp;utm_medium=cpc&amp;utm_content=69535&amp;gclid=CjwKCAjwnrjrBRAMEiwAXsCc46ZzSGn8EToq5x4yVzDZBJN5NzJBFY-DnGSzqh4-a2QlxmKxB_tj7xoCwGIQAvD_BwE</t>
  </si>
  <si>
    <t>150056 MOD</t>
  </si>
  <si>
    <t>BAGUETE DE NEOPRENE 3/8"</t>
  </si>
  <si>
    <t>Telhamento com telha metálica pré-pintada, espessura 0,65mm, altura 4 cm, com até duas águas, incluso içamento</t>
  </si>
  <si>
    <t>PARAFUSO AUTOATARRACHANTE PARA TELHA, COM PORCA, 2 ARRUELAS CÔNCAVAS</t>
  </si>
  <si>
    <t>01.REVE. FORR.022/ MOD</t>
  </si>
  <si>
    <t>97734 MOD</t>
  </si>
  <si>
    <t>05.01.207.06</t>
  </si>
  <si>
    <t>DISJUNTOR TRIPOLAR 150A, PADRÃO DIN (LINHA BRANCA), CORRENTE DE INTERRUPÇÃO 22kA</t>
  </si>
  <si>
    <t>DISJUNTOR TRIPOLAR 175A, PADRÃO DIN (LINHA BRANCA), CORRENTE DE INTERRUPÇÃO 65kA</t>
  </si>
  <si>
    <t>CURVA DE INVERSÃO 100X100MM PARA ELETROCALHA METÁLICA</t>
  </si>
  <si>
    <t>CURVA HORIZONTAL 200X100MM PARA ELETROCALHA METÁLICA COM ÂNGULO DE 90</t>
  </si>
  <si>
    <t>P.15.000.046175</t>
  </si>
  <si>
    <t>S.04.000.034078</t>
  </si>
  <si>
    <t>66.20.225</t>
  </si>
  <si>
    <t>P.17.000.031490</t>
  </si>
  <si>
    <t>Switch 24 portas 10/100/1000Base-TX, 4 portas SFP fixas, 2 portas de empilhamento, fornecimento e instalação</t>
  </si>
  <si>
    <t>CERTIFICAÇÃO DA REDE DE CABEAMENTO ESTRUTURADO</t>
  </si>
  <si>
    <t>06.09.101.01</t>
  </si>
  <si>
    <t>AR-COTEC</t>
  </si>
  <si>
    <t>62.706.668/0001-06</t>
  </si>
  <si>
    <t>(11) 2935-2680</t>
  </si>
  <si>
    <t>http://www.arcotec.com.br/catalogo-produtos/acessorios-para-dutos-tdc/canto-para-duto-tdc-25mm-18/</t>
  </si>
  <si>
    <t>lojavirtual@arcotec.com.br</t>
  </si>
  <si>
    <t>Perfilado tipo “U” galvanizado 38x19mm, 6 metros de comprimento</t>
  </si>
  <si>
    <t>Recomposição de pavimento com aplicação de concreto betuminoso usinado a quente (CBUQ), camada de rolamento, espessura 5,0cm - exclusive transporte</t>
  </si>
  <si>
    <t>Plantio de grama batatais em placas, com mão de obra, irrigação, adubo e reaproveitamento da terra proveniente da limpeza do terreno</t>
  </si>
  <si>
    <t>Plantio de grama batatais em pavimento pisograma</t>
  </si>
  <si>
    <t>98504 MOD</t>
  </si>
  <si>
    <t>Elaboração de manual de uso e operação</t>
  </si>
  <si>
    <t>SINAPI 07/2019; ORSE 06/2019; CPOS 07/2019; SBC 07/2017; SEINFRA 12/2018</t>
  </si>
  <si>
    <t>Fusão Fibra Óptica</t>
  </si>
  <si>
    <t>Pregão 33/2019</t>
  </si>
  <si>
    <t>Fusão de fibra óptica multímodo ou monomodo.[...]</t>
  </si>
  <si>
    <t>Pregão 7/2019</t>
  </si>
  <si>
    <t>Tanque de Pressão 12L</t>
  </si>
  <si>
    <t>Pregão 19/2019</t>
  </si>
  <si>
    <t>TANQUE DE PRESSÃO CAPACIDADE MÍNIMA 10L</t>
  </si>
  <si>
    <t>PESQUISA NO PAINEL DE PREÇOS</t>
  </si>
  <si>
    <t>83682 MOD</t>
  </si>
  <si>
    <t>Ensaio de compactação proctor normal com reuso de material (6 pontos)</t>
  </si>
  <si>
    <t>ENSAIO DE COMPACTAÇÃO PROCTOR NORMAL COM REUSO DE MATERIAL (6 PONTOS)</t>
  </si>
  <si>
    <t>Elo fusível de distribuição, tipo K, corrente nominal 80 A (elo 80K)</t>
  </si>
  <si>
    <t>Barramento de cobre eletrolítico para 13,8 kV, em formato redondo maciço (vergalhão), 3/8"</t>
  </si>
  <si>
    <t>Transformador trifásico a seco encapsulado em resina epoxi sob vacuo 13,8kV - 380/220V - IP 00 - 500kVA - padrão CEB  com rele de temperatura e laudo técnico</t>
  </si>
  <si>
    <t>Fusível HH, 40A, 15/17,5kV</t>
  </si>
  <si>
    <t>Cabo de cobre EPR XPLE 105º, 15 kV, # 50mm2</t>
  </si>
  <si>
    <t>Eletroduto corrugado flexível em PEAD  4"</t>
  </si>
  <si>
    <t>Curva horizontal 90º, galvanizada, 400x100mm, chapa #18</t>
  </si>
  <si>
    <t>Entrada e medição de energia em MT</t>
  </si>
  <si>
    <t>06.01.301</t>
  </si>
  <si>
    <t>06.01.100</t>
  </si>
  <si>
    <t>06.01.101.01</t>
  </si>
  <si>
    <t>06.01.101.02</t>
  </si>
  <si>
    <t>06.01.104</t>
  </si>
  <si>
    <t>06.01.212</t>
  </si>
  <si>
    <t>06.01.103</t>
  </si>
  <si>
    <t>9521 MOD</t>
  </si>
  <si>
    <t>06.01.309.26</t>
  </si>
  <si>
    <t>CURVA HORIZONTAL 400X100MM PARA ELETROCALHA METÁLICA COM ÂNGULO DE 90</t>
  </si>
  <si>
    <t>06.01.202</t>
  </si>
  <si>
    <t>Entrada e medição de energia em BT</t>
  </si>
  <si>
    <t>06.01.206.01</t>
  </si>
  <si>
    <t>06.01.206.02</t>
  </si>
  <si>
    <t>06.01.213</t>
  </si>
  <si>
    <t>06.01.101.01 e 06.01.305.13</t>
  </si>
  <si>
    <t>06.01.101.02 e 06.01.305.15</t>
  </si>
  <si>
    <t>Caixa de passagem tipo CB-1 da CEB (80x80x80cm), em alvenaria de tijolos maciços, exclusive escavação e reaterro, inclusive tampão T-33 em aço</t>
  </si>
  <si>
    <t>Agosto de 2019</t>
  </si>
  <si>
    <t>39.06.074</t>
  </si>
  <si>
    <t>P.08.000.050187</t>
  </si>
  <si>
    <t>CABO DE COBRE 120MM2 TENSÃO DE ISOLAMENTO 8,7/15KV, ISOLAÇÃO EPR 90</t>
  </si>
  <si>
    <t>Casa dos Fusíveis</t>
  </si>
  <si>
    <t>16.578.453/0001-30</t>
  </si>
  <si>
    <t>(11) 3599-3031</t>
  </si>
  <si>
    <t>http://www.casadosfusiveis.com.br/fusivel-elo/641-teste-de-inclusao-de-produto.html</t>
  </si>
  <si>
    <t>vendas1@casadosfusiveis.com.br</t>
  </si>
  <si>
    <t>ELO FUSÍVEL 80K</t>
  </si>
  <si>
    <t>3769 MOD</t>
  </si>
  <si>
    <t>37.12.120</t>
  </si>
  <si>
    <t>FUSÍVEL HH 15KV DE 2,5A A 50A</t>
  </si>
  <si>
    <t>P.27.000.042310</t>
  </si>
  <si>
    <t>36.09.060</t>
  </si>
  <si>
    <t>P.12.000.041010</t>
  </si>
  <si>
    <t>TRANSFORMADOR DE POTÊNCIA TRIFÁSICO DE 500 KVA, CLASSE 15KV A SECO</t>
  </si>
  <si>
    <t>11850 MOD</t>
  </si>
  <si>
    <t>VERGALHÃO DE COBRE ELETROLÍTICO 3/8"</t>
  </si>
  <si>
    <t>Disjuntor tripolar tipo DIN, corrente nominal 800A - 18kA ou 65kA, em caixa moldada, fornecimento e instalação</t>
  </si>
  <si>
    <t>06.01.308.27</t>
  </si>
  <si>
    <t>DISJUNTOR TRIPOLAR TIPO DIN 800A</t>
  </si>
  <si>
    <t>Disjuntor tripolar tipo DIN, corrente nominal 1200A - 65kA, em caixa moldada, fornecimento e instalação</t>
  </si>
  <si>
    <t>Projeto as-built de arquitetura: edifício principal</t>
  </si>
  <si>
    <t>Projeto as-built de instalações hidrossanitárias: edifício principal</t>
  </si>
  <si>
    <t>Projeto as-built de instalações elétricas: edifício principal</t>
  </si>
  <si>
    <t>Projeto as-built de incêndio: edifício principal</t>
  </si>
  <si>
    <t>Projeto as-built de cabeamento estruturado: edifício principal</t>
  </si>
  <si>
    <t>Projeto as-built de climatização: edifício principal</t>
  </si>
  <si>
    <t>Projeto as-built de SPDA: edifício principal</t>
  </si>
  <si>
    <t>Projeto as-built de CFTV: edifício principal</t>
  </si>
  <si>
    <t>Projeto as-built de estruturas e fundações: edifício principal</t>
  </si>
  <si>
    <t>Almoxarife com encargos complementares (a partir do sexto mês)</t>
  </si>
  <si>
    <t>Participação</t>
  </si>
  <si>
    <t>CURVA ABC DE SERVIÇOS - CANTEIRO</t>
  </si>
  <si>
    <t>CURVA ABC DE SERVIÇOS - EDIFIÍCIO PRINCIPAL</t>
  </si>
  <si>
    <t>CURVA ABC DE SERVIÇOS - RESERVATÓRIO ENTERRADO</t>
  </si>
  <si>
    <t>Aplicação de fundo selador acrílico, uma demão</t>
  </si>
  <si>
    <t>Participação Acumulada</t>
  </si>
  <si>
    <t>Loja do Mecânico</t>
  </si>
  <si>
    <t>Eletrodutos entre subestação e prédio</t>
  </si>
  <si>
    <t>Cabo de cobre flexível, isolado em EPR, 95mm2, baixa emissão de fumaça e gases, 0,6/1,0 kV</t>
  </si>
  <si>
    <t>39.26.110</t>
  </si>
  <si>
    <t>P.08.000.043060</t>
  </si>
  <si>
    <t>CABO COBRE FLEXÍVEL 95MM2, ISOLAMENTO 0,6/1KV, ISOLAÇÃO HEPR 90, TÊMPERA MOLE, CLASSE 5, BAIXA EMISSÃO DE FUMAÇA, REF CABOS AFUMEX PRYSMIAN OU EQUIVALENTE</t>
  </si>
  <si>
    <t>Cabo de cobre flexível, isolado em EPR, 185mm2, baixa emissão de fumaça e gases, 0,6/1,0 kV</t>
  </si>
  <si>
    <t>39.26.140</t>
  </si>
  <si>
    <t>P.08.000.043063</t>
  </si>
  <si>
    <t>CABO COBRE FLEXÍVEL 185MM2, ISOLAMENTO 0,6/1KV, ISOLAÇÃO HEPR 90, TÊMPERA MOLE, CLASSE 5, BAIXA EMISSÃO DE FUMAÇA, REF CABOS AFUMEX PRYSMIAN OU EQUIVALENTE</t>
  </si>
  <si>
    <t>Cabo de cobre flexível, isolado em EPR, 2,5mm2, baixa emissão de fumaça e gases, 0,6/1,0 kV</t>
  </si>
  <si>
    <t>CABO COBRE FLEXÍVEL 2,5MM2, ISOLAMENTO 0,6/1KV, ISOLAÇÃO HEPR 90, TÊMPERA MOLE, CLASSE 5, BAIXA EMISSÃO DE FUMAÇA, REF CABOS AFUMEX PRYSMIAN OU EQUIVALENTE</t>
  </si>
  <si>
    <t>P.08.000.043051</t>
  </si>
  <si>
    <t>Cabo de cobre flexível, isolado em EPR, 4,0mm2, baixa emissão de fumaça e gases, 0,6/1,0 kV</t>
  </si>
  <si>
    <t>P.08.000.043052</t>
  </si>
  <si>
    <t>CABO COBRE FLEXÍVEL 4,0MM2, ISOLAMENTO 0,6/1KV, ISOLAÇÃO HEPR 90, TÊMPERA MOLE, CLASSE 5, BAIXA EMISSÃO DE FUMAÇA, REF CABOS AFUMEX PRYSMIAN OU EQUIVALENTE</t>
  </si>
  <si>
    <t>39.26.020</t>
  </si>
  <si>
    <t>39.26.030</t>
  </si>
  <si>
    <t>39.26.040</t>
  </si>
  <si>
    <t>P.08.000.043053</t>
  </si>
  <si>
    <t>CABO COBRE FLEXÍVEL 6,0MM2, ISOLAMENTO 0,6/1KV, ISOLAÇÃO HEPR 90, TÊMPERA MOLE, CLASSE 5, BAIXA EMISSÃO DE FUMAÇA, REF CABOS AFUMEX PRYSMIAN OU EQUIVALENTE</t>
  </si>
  <si>
    <t>Cabo de cobre flexível, isolado em EPR, 6,0mm2, baixa emissão de fumaça e gases, 0,6/1,0 kV</t>
  </si>
  <si>
    <t>39.16.050</t>
  </si>
  <si>
    <t>Cabo de cobre flexível, isolado em EPR, 10mm2, baixa emissão de fumaça e gases, 0,6/1,0 kV</t>
  </si>
  <si>
    <t>CABO COBRE FLEXÍVEL 10MM2, ISOLAMENTO 0,6/1KV, ISOLAÇÃO HEPR 90, TÊMPERA MOLE, CLASSE 5, BAIXA EMISSÃO DE FUMAÇA, REF CABOS AFUMEX PRYSMIAN OU EQUIVALENTE</t>
  </si>
  <si>
    <t>P.08.000.043054</t>
  </si>
  <si>
    <t>39.16.060</t>
  </si>
  <si>
    <t>P.08.000.043055</t>
  </si>
  <si>
    <t>CABO COBRE FLEXÍVEL 16MM2, ISOLAMENTO 0,6/1KV, ISOLAÇÃO HEPR 90, TÊMPERA MOLE, CLASSE 5, BAIXA EMISSÃO DE FUMAÇA, REF CABOS AFUMEX PRYSMIAN OU EQUIVALENTE</t>
  </si>
  <si>
    <t>Cabo de cobre flexível, isolado em EPR, 16mm2, baixa emissão de fumaça e gases, 0,6/1,0 kV</t>
  </si>
  <si>
    <t>39.26.070</t>
  </si>
  <si>
    <t>P.08.000.043056</t>
  </si>
  <si>
    <t>CABO COBRE FLEXÍVEL 25MM2, ISOLAMENTO 0,6/1KV, ISOLAÇÃO HEPR 90, TÊMPERA MOLE, CLASSE 5, BAIXA EMISSÃO DE FUMAÇA, REF CABOS AFUMEX PRYSMIAN OU EQUIVALENTE</t>
  </si>
  <si>
    <t>Cabo de cobre flexível, isolado em EPR, 25mm2, baixa emissão de fumaça e gases, 0,6/1,0 kV</t>
  </si>
  <si>
    <t>39.26.080</t>
  </si>
  <si>
    <t>Cabo de cobre flexível, isolado em EPR, 35mm2, baixa emissão de fumaça e gases, 0,6/1,0 kV</t>
  </si>
  <si>
    <t>CABO COBRE FLEXÍVEL 35MM2, ISOLAMENTO 0,6/1KV, ISOLAÇÃO HEPR 90, TÊMPERA MOLE, CLASSE 5, BAIXA EMISSÃO DE FUMAÇA, REF CABOS AFUMEX PRYSMIAN OU EQUIVALENTE</t>
  </si>
  <si>
    <t>P.08.000.043057</t>
  </si>
  <si>
    <t>39.26.090</t>
  </si>
  <si>
    <t>Cabo de cobre flexível, isolado em EPR, 50mm2, baixa emissão de fumaça e gases, 0,6/1,0 kV</t>
  </si>
  <si>
    <t>P.08.000.043058</t>
  </si>
  <si>
    <t>CABO COBRE FLEXÍVEL 50MM2, ISOLAMENTO 0,6/1KV, ISOLAÇÃO HEPR 90, TÊMPERA MOLE, CLASSE 5, BAIXA EMISSÃO DE FUMAÇA, REF CABOS AFUMEX PRYSMIAN OU EQUIVALENTE</t>
  </si>
  <si>
    <t>39.26.100</t>
  </si>
  <si>
    <t>Cabo de cobre flexível, isolado em EPR, 70mm2, baixa emissão de fumaça e gases, 0,6/1,0 kV</t>
  </si>
  <si>
    <t>P.08.000.043059</t>
  </si>
  <si>
    <t>CABO COBRE FLEXÍVEL 70MM2, ISOLAMENTO 0,6/1KV, ISOLAÇÃO HEPR 90, TÊMPERA MOLE, CLASSE 5, BAIXA EMISSÃO DE FUMAÇA, REF CABOS AFUMEX PRYSMIAN OU EQUIVALENTE</t>
  </si>
  <si>
    <t>06.01.305.14</t>
  </si>
  <si>
    <t>C.06.000.022057*</t>
  </si>
  <si>
    <t>* A referência é da tabela CPOS de novembro/2018, que foi atualizada pelo INCC, em 3,368%, conforme declaração associada a essa planilha</t>
  </si>
  <si>
    <t>Trecho da Curva</t>
  </si>
  <si>
    <t>conjunto</t>
  </si>
  <si>
    <t>Daikin</t>
  </si>
  <si>
    <t>Proposta por email</t>
  </si>
  <si>
    <t>02.172.568/0001-15</t>
  </si>
  <si>
    <t>danilo.viana@daikin.com.br</t>
  </si>
  <si>
    <t>(11) 3123-2525</t>
  </si>
  <si>
    <t>https://www.daikin.com.br/</t>
  </si>
  <si>
    <t>Conjunto de unidades condensadoras e evaporadoras, conforme projeto de ar-condicionado, apenas fornecimento de máquinas, inclusive controles remotos e paineis das unidades cassete</t>
  </si>
  <si>
    <t>Disjuntor tripolar tipo DIN, corrente nominal 20A, fornecimento e instalação</t>
  </si>
  <si>
    <t>Disj.</t>
  </si>
  <si>
    <t>BDI UNITÁRIO (26,93%)</t>
  </si>
  <si>
    <t>BDI UNITÁRIO DIFERENCIADO (20,93%)</t>
  </si>
  <si>
    <t>Curva PVC longa 45°, série R, água pluvial, DN 100mm, junta elástica, fornecida e instalada</t>
  </si>
  <si>
    <t>BDI (26,93%)</t>
  </si>
  <si>
    <t>Projeção Edifício Principal</t>
  </si>
  <si>
    <t>Área entre edifício e estacionamento</t>
  </si>
  <si>
    <t>928740 MOD</t>
  </si>
  <si>
    <t>VEG 00</t>
  </si>
  <si>
    <t>VEG 73970/1 MOD</t>
  </si>
  <si>
    <t>VEG 023</t>
  </si>
  <si>
    <t>VEG 065</t>
  </si>
  <si>
    <t>VEG 41.14.310</t>
  </si>
  <si>
    <t>VEG 8695</t>
  </si>
  <si>
    <t>VEG 9527 MOD 3</t>
  </si>
  <si>
    <t>VEG 7384</t>
  </si>
  <si>
    <t>VEG INSUMO 4815</t>
  </si>
  <si>
    <t>VEG 11108</t>
  </si>
  <si>
    <t>VEG 96557 MOD</t>
  </si>
  <si>
    <t>VEG 92719 MOD</t>
  </si>
  <si>
    <t>VEG 92392</t>
  </si>
  <si>
    <t>VEG 57202 MOD</t>
  </si>
  <si>
    <t>VEGAA 11814</t>
  </si>
  <si>
    <t>___________________________________________</t>
  </si>
  <si>
    <t>VEGA CONSTRUTORA E INCORPORAÇÕES LTDA</t>
  </si>
  <si>
    <t>CNPJ: 02.342.988/0001-00</t>
  </si>
  <si>
    <t>BÁRBARA GOMES DE SIQUEIRA</t>
  </si>
  <si>
    <t>_________________________________________</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</si>
</sst>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0.00;[Red]#,##0.00"/>
    <numFmt numFmtId="166" formatCode="&quot;R$ &quot;#,##0.00"/>
    <numFmt numFmtId="167" formatCode="&quot;R$&quot;\ #,##0.00"/>
    <numFmt numFmtId="168" formatCode="_(* #,##0.000_);_(* \(#,##0.000\);_(* \-??_);_(@_)"/>
    <numFmt numFmtId="169" formatCode="0.000"/>
    <numFmt numFmtId="170" formatCode="0.000000"/>
    <numFmt numFmtId="171" formatCode="_(&quot;R$ &quot;* #,##0.00_);_(&quot;R$ &quot;* \(#,##0.00\);_(&quot;R$ &quot;* &quot;-&quot;??_);_(@_)"/>
    <numFmt numFmtId="172" formatCode="_(* #,##0.00_);_(* \(#,##0.00\);_(* &quot;-&quot;??_);_(@_)"/>
    <numFmt numFmtId="173" formatCode="_(* #,##0.00_);_(* \(#,##0.00\);_(* \-??_);_(@_)"/>
    <numFmt numFmtId="174" formatCode="_(&quot;R$ &quot;* #,##0.00_);_(&quot;R$ &quot;* \(#,##0.00\);_(&quot;R$ &quot;* \-??_);_(@_)"/>
    <numFmt numFmtId="175" formatCode="\$#,##0\ ;\(\$#,##0\)"/>
    <numFmt numFmtId="176" formatCode="_-* #,##0.00\ &quot;R$&quot;_-;\-* #,##0.00\ &quot;R$&quot;_-;_-* &quot;-&quot;??\ &quot;R$&quot;_-;_-@_-"/>
    <numFmt numFmtId="177" formatCode="_-&quot;R$&quot;* #,##0.00_-;&quot;-R$&quot;* #,##0.00_-;_-&quot;R$&quot;* \-??_-;_-@_-"/>
    <numFmt numFmtId="178" formatCode="#,##0.00\ ;&quot; (&quot;#,##0.00\);&quot; -&quot;#\ ;@\ "/>
    <numFmt numFmtId="179" formatCode="\$#,##0.00\ ;\(\$#,##0.00\)"/>
    <numFmt numFmtId="180" formatCode="0.0000"/>
    <numFmt numFmtId="181" formatCode="0.00000"/>
    <numFmt numFmtId="182" formatCode="_(* #,##0.0000_);_(* \(#,##0.0000\);_(* \-??_);_(@_)"/>
    <numFmt numFmtId="183" formatCode="_-[$R$-416]\ * #,##0.00_-;\-[$R$-416]\ * #,##0.00_-;_-[$R$-416]\ * &quot;-&quot;??_-;_-@_-"/>
  </numFmts>
  <fonts count="13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b/>
      <sz val="15"/>
      <color indexed="62"/>
      <name val="Calibri"/>
      <family val="2"/>
    </font>
    <font>
      <sz val="10"/>
      <name val="Arial"/>
      <family val="2"/>
    </font>
    <font>
      <sz val="11"/>
      <color theme="1"/>
      <name val="Calibri"/>
      <family val="2"/>
      <scheme val="minor"/>
    </font>
    <font>
      <b/>
      <sz val="11"/>
      <color theme="0"/>
      <name val="Calibri"/>
      <family val="2"/>
      <scheme val="minor"/>
    </font>
    <font>
      <sz val="10"/>
      <color theme="1"/>
      <name val="Arial"/>
      <family val="2"/>
    </font>
    <font>
      <sz val="9"/>
      <color rgb="FF000000"/>
      <name val="Arial"/>
      <family val="2"/>
    </font>
    <font>
      <sz val="9"/>
      <color theme="1"/>
      <name val="Arial"/>
      <family val="2"/>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sz val="11"/>
      <color theme="1"/>
      <name val="Verdana"/>
      <family val="2"/>
    </font>
    <font>
      <b/>
      <sz val="11"/>
      <color indexed="9"/>
      <name val="Calibri"/>
      <family val="2"/>
      <scheme val="minor"/>
    </font>
    <font>
      <sz val="12"/>
      <name val="Calibri"/>
      <family val="2"/>
      <scheme val="minor"/>
    </font>
    <font>
      <b/>
      <sz val="12"/>
      <name val="Calibri"/>
      <family val="2"/>
      <scheme val="minor"/>
    </font>
    <font>
      <b/>
      <sz val="24"/>
      <name val="Calibri"/>
      <family val="2"/>
      <scheme val="minor"/>
    </font>
    <font>
      <sz val="16"/>
      <name val="Calibri"/>
      <family val="2"/>
      <scheme val="minor"/>
    </font>
    <font>
      <sz val="14"/>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color indexed="8"/>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2"/>
      <color indexed="24"/>
      <name val="Arial"/>
      <family val="2"/>
    </font>
    <font>
      <sz val="18"/>
      <color indexed="24"/>
      <name val="Arial"/>
      <family val="2"/>
    </font>
    <font>
      <sz val="8"/>
      <color indexed="24"/>
      <name val="Arial"/>
      <family val="2"/>
    </font>
    <font>
      <b/>
      <sz val="11"/>
      <color indexed="10"/>
      <name val="Calibri"/>
      <family val="2"/>
    </font>
    <font>
      <sz val="11"/>
      <color indexed="19"/>
      <name val="Calibri"/>
      <family val="2"/>
    </font>
    <font>
      <b/>
      <sz val="18"/>
      <color indexed="62"/>
      <name val="Cambria"/>
      <family val="2"/>
    </font>
    <font>
      <b/>
      <sz val="13"/>
      <color indexed="62"/>
      <name val="Calibri"/>
      <family val="2"/>
    </font>
    <font>
      <b/>
      <sz val="11"/>
      <color indexed="62"/>
      <name val="Calibri"/>
      <family val="2"/>
    </font>
    <font>
      <u/>
      <sz val="10"/>
      <color indexed="12"/>
      <name val="Arial"/>
      <family val="2"/>
    </font>
    <font>
      <sz val="11"/>
      <color indexed="9"/>
      <name val="Helvetica Neue"/>
    </font>
    <font>
      <sz val="11"/>
      <color indexed="8"/>
      <name val="Helvetica Neue"/>
    </font>
    <font>
      <u/>
      <sz val="11"/>
      <color theme="10"/>
      <name val="Calibri"/>
      <family val="2"/>
      <scheme val="minor"/>
    </font>
    <font>
      <sz val="12"/>
      <color rgb="FF000000"/>
      <name val="Verdana"/>
      <family val="2"/>
    </font>
    <font>
      <sz val="8"/>
      <color rgb="FFFF0000"/>
      <name val="Arial"/>
      <family val="2"/>
    </font>
    <font>
      <sz val="8"/>
      <color theme="1"/>
      <name val="Arial"/>
      <family val="2"/>
    </font>
    <font>
      <sz val="8"/>
      <color theme="0"/>
      <name val="Arial"/>
      <family val="2"/>
    </font>
    <font>
      <sz val="8"/>
      <color rgb="FF006100"/>
      <name val="Arial"/>
      <family val="2"/>
    </font>
    <font>
      <b/>
      <sz val="8"/>
      <color rgb="FFFA7D00"/>
      <name val="Arial"/>
      <family val="2"/>
    </font>
    <font>
      <b/>
      <sz val="8"/>
      <color theme="0"/>
      <name val="Arial"/>
      <family val="2"/>
    </font>
    <font>
      <sz val="8"/>
      <color rgb="FFFA7D00"/>
      <name val="Arial"/>
      <family val="2"/>
    </font>
    <font>
      <sz val="8"/>
      <color rgb="FF3F3F76"/>
      <name val="Arial"/>
      <family val="2"/>
    </font>
    <font>
      <sz val="8"/>
      <color rgb="FF9C0006"/>
      <name val="Arial"/>
      <family val="2"/>
    </font>
    <font>
      <sz val="8"/>
      <color rgb="FF9C6500"/>
      <name val="Arial"/>
      <family val="2"/>
    </font>
    <font>
      <b/>
      <sz val="8"/>
      <color rgb="FF3F3F3F"/>
      <name val="Arial"/>
      <family val="2"/>
    </font>
    <font>
      <i/>
      <sz val="8"/>
      <color rgb="FF7F7F7F"/>
      <name val="Arial"/>
      <family val="2"/>
    </font>
    <font>
      <b/>
      <sz val="15"/>
      <color theme="3"/>
      <name val="Arial"/>
      <family val="2"/>
    </font>
    <font>
      <b/>
      <sz val="13"/>
      <color theme="3"/>
      <name val="Arial"/>
      <family val="2"/>
    </font>
    <font>
      <b/>
      <sz val="11"/>
      <color theme="3"/>
      <name val="Arial"/>
      <family val="2"/>
    </font>
    <font>
      <b/>
      <sz val="8"/>
      <color theme="1"/>
      <name val="Arial"/>
      <family val="2"/>
    </font>
    <font>
      <sz val="10"/>
      <color indexed="8"/>
      <name val="Arial"/>
      <family val="2"/>
    </font>
    <font>
      <sz val="11"/>
      <color rgb="FF000000"/>
      <name val="Calibri"/>
      <family val="2"/>
      <charset val="1"/>
    </font>
    <font>
      <sz val="11"/>
      <color rgb="FF000000"/>
      <name val="Calibri"/>
      <family val="2"/>
      <scheme val="minor"/>
    </font>
    <font>
      <sz val="12"/>
      <name val="Times New Roman"/>
      <family val="1"/>
    </font>
    <font>
      <sz val="10"/>
      <color rgb="FF000000"/>
      <name val="Arial"/>
      <family val="2"/>
    </font>
    <font>
      <sz val="10"/>
      <name val="Lucida Sans Unicode"/>
      <family val="2"/>
    </font>
    <font>
      <sz val="8"/>
      <name val="Times New Roman"/>
      <family val="1"/>
    </font>
    <font>
      <sz val="10"/>
      <name val="MS Sans Serif"/>
      <family val="2"/>
    </font>
    <font>
      <sz val="7.5"/>
      <name val="MS Sans Serif"/>
      <family val="2"/>
    </font>
    <font>
      <sz val="12"/>
      <color rgb="FF9999FF"/>
      <name val="Arial"/>
      <family val="2"/>
    </font>
    <font>
      <sz val="10"/>
      <color indexed="8"/>
      <name val="MS Sans Serif"/>
      <family val="2"/>
    </font>
    <font>
      <sz val="11"/>
      <name val="Calibri"/>
      <family val="2"/>
    </font>
    <font>
      <sz val="10"/>
      <name val="Courier New"/>
      <family val="3"/>
    </font>
    <font>
      <sz val="8"/>
      <name val="Arial"/>
      <family val="2"/>
    </font>
    <font>
      <b/>
      <sz val="9"/>
      <name val="Arial"/>
      <family val="2"/>
    </font>
    <font>
      <b/>
      <sz val="8"/>
      <name val="Arial"/>
      <family val="2"/>
    </font>
    <font>
      <b/>
      <sz val="8"/>
      <color rgb="FF000000"/>
      <name val="Arial"/>
      <family val="2"/>
    </font>
    <font>
      <b/>
      <sz val="8"/>
      <color indexed="24"/>
      <name val="Arial"/>
      <family val="2"/>
    </font>
    <font>
      <sz val="8"/>
      <name val="Calibri"/>
      <family val="2"/>
      <scheme val="minor"/>
    </font>
    <font>
      <b/>
      <sz val="8"/>
      <name val="Calibri"/>
      <family val="2"/>
      <scheme val="minor"/>
    </font>
    <font>
      <b/>
      <sz val="14"/>
      <name val="Calibri"/>
      <family val="2"/>
      <scheme val="minor"/>
    </font>
    <font>
      <b/>
      <sz val="10"/>
      <color theme="0"/>
      <name val="Calibri"/>
      <family val="2"/>
      <scheme val="minor"/>
    </font>
    <font>
      <sz val="10"/>
      <color theme="0"/>
      <name val="Calibri"/>
      <family val="2"/>
      <scheme val="minor"/>
    </font>
    <font>
      <b/>
      <i/>
      <sz val="11"/>
      <name val="Calibri"/>
      <family val="2"/>
      <scheme val="minor"/>
    </font>
    <font>
      <i/>
      <sz val="10"/>
      <name val="Calibri"/>
      <family val="2"/>
      <scheme val="minor"/>
    </font>
    <font>
      <i/>
      <sz val="10"/>
      <color indexed="9"/>
      <name val="Calibri"/>
      <family val="2"/>
      <scheme val="minor"/>
    </font>
    <font>
      <b/>
      <sz val="10"/>
      <color indexed="9"/>
      <name val="Calibri"/>
      <family val="2"/>
      <scheme val="minor"/>
    </font>
  </fonts>
  <fills count="98">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rgb="FFFFFFCC"/>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0" tint="-0.14996795556505021"/>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79998168889431442"/>
        <bgColor indexed="64"/>
      </patternFill>
    </fill>
  </fills>
  <borders count="62">
    <border>
      <left/>
      <right/>
      <top/>
      <bottom/>
      <diagonal/>
    </border>
    <border>
      <left/>
      <right/>
      <top/>
      <bottom style="thick">
        <color indexed="48"/>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double">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s>
  <cellStyleXfs count="53505">
    <xf numFmtId="0" fontId="0" fillId="0" borderId="0"/>
    <xf numFmtId="44" fontId="23" fillId="0" borderId="0" applyFill="0" applyBorder="0" applyAlignment="0" applyProtection="0"/>
    <xf numFmtId="44" fontId="2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0" fillId="0" borderId="0"/>
    <xf numFmtId="0" fontId="26" fillId="0" borderId="0"/>
    <xf numFmtId="0" fontId="24" fillId="0" borderId="0"/>
    <xf numFmtId="0" fontId="24" fillId="0" borderId="0"/>
    <xf numFmtId="0" fontId="31" fillId="0" borderId="0"/>
    <xf numFmtId="0" fontId="23" fillId="0" borderId="0"/>
    <xf numFmtId="0" fontId="24" fillId="0" borderId="0"/>
    <xf numFmtId="0" fontId="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4" borderId="15" applyNumberFormat="0" applyFont="0" applyAlignment="0" applyProtection="0"/>
    <xf numFmtId="9" fontId="29" fillId="0" borderId="0" applyFont="0" applyFill="0" applyBorder="0" applyAlignment="0" applyProtection="0"/>
    <xf numFmtId="0" fontId="25" fillId="0" borderId="1" applyNumberFormat="0" applyFill="0" applyAlignment="0" applyProtection="0"/>
    <xf numFmtId="0" fontId="32" fillId="0" borderId="16" applyNumberFormat="0" applyFill="0" applyAlignment="0" applyProtection="0"/>
    <xf numFmtId="0" fontId="22" fillId="0" borderId="0"/>
    <xf numFmtId="0" fontId="22" fillId="4" borderId="15" applyNumberFormat="0" applyFont="0" applyAlignment="0" applyProtection="0"/>
    <xf numFmtId="0" fontId="21" fillId="0" borderId="0"/>
    <xf numFmtId="0" fontId="21" fillId="4" borderId="15" applyNumberFormat="0" applyFont="0" applyAlignment="0" applyProtection="0"/>
    <xf numFmtId="0" fontId="21" fillId="0" borderId="0"/>
    <xf numFmtId="0" fontId="21" fillId="4" borderId="15" applyNumberFormat="0" applyFont="0" applyAlignment="0" applyProtection="0"/>
    <xf numFmtId="0" fontId="21" fillId="0" borderId="0"/>
    <xf numFmtId="0" fontId="21" fillId="4" borderId="15" applyNumberFormat="0" applyFont="0" applyAlignment="0" applyProtection="0"/>
    <xf numFmtId="44" fontId="26" fillId="0" borderId="0" applyFill="0" applyBorder="0" applyAlignment="0" applyProtection="0"/>
    <xf numFmtId="0" fontId="26" fillId="0" borderId="0"/>
    <xf numFmtId="0" fontId="21" fillId="0" borderId="0"/>
    <xf numFmtId="0" fontId="21" fillId="4" borderId="15" applyNumberFormat="0" applyFont="0" applyAlignment="0" applyProtection="0"/>
    <xf numFmtId="43" fontId="26" fillId="0" borderId="0" applyFill="0" applyBorder="0" applyAlignment="0" applyProtection="0"/>
    <xf numFmtId="0" fontId="21" fillId="0" borderId="0"/>
    <xf numFmtId="0" fontId="21" fillId="4" borderId="15" applyNumberFormat="0" applyFont="0" applyAlignment="0" applyProtection="0"/>
    <xf numFmtId="0" fontId="21" fillId="0" borderId="0"/>
    <xf numFmtId="0" fontId="21"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0" borderId="0"/>
    <xf numFmtId="0" fontId="20" fillId="0" borderId="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4" borderId="15" applyNumberFormat="0" applyFont="0" applyAlignment="0" applyProtection="0"/>
    <xf numFmtId="0" fontId="20" fillId="0" borderId="0"/>
    <xf numFmtId="0" fontId="20" fillId="0" borderId="0"/>
    <xf numFmtId="43" fontId="26" fillId="0" borderId="0" applyFill="0" applyBorder="0" applyAlignment="0" applyProtection="0"/>
    <xf numFmtId="0" fontId="47" fillId="0" borderId="0"/>
    <xf numFmtId="0" fontId="23"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44" fontId="23" fillId="0" borderId="0" applyFill="0" applyBorder="0" applyAlignment="0" applyProtection="0"/>
    <xf numFmtId="0" fontId="23" fillId="0" borderId="0"/>
    <xf numFmtId="0" fontId="19" fillId="0" borderId="0"/>
    <xf numFmtId="0" fontId="19" fillId="4" borderId="15" applyNumberFormat="0" applyFont="0" applyAlignment="0" applyProtection="0"/>
    <xf numFmtId="43" fontId="23" fillId="0" borderId="0" applyFill="0" applyBorder="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43" fontId="23" fillId="0" borderId="0" applyFill="0" applyBorder="0" applyAlignment="0" applyProtection="0"/>
    <xf numFmtId="0" fontId="62" fillId="0" borderId="0"/>
    <xf numFmtId="0" fontId="63" fillId="0" borderId="0"/>
    <xf numFmtId="0" fontId="23" fillId="0" borderId="0"/>
    <xf numFmtId="44" fontId="23" fillId="0" borderId="0" applyFill="0" applyBorder="0" applyAlignment="0" applyProtection="0"/>
    <xf numFmtId="0" fontId="23" fillId="0" borderId="0"/>
    <xf numFmtId="0" fontId="19" fillId="0" borderId="0"/>
    <xf numFmtId="0" fontId="19" fillId="4" borderId="15" applyNumberFormat="0" applyFont="0" applyAlignment="0" applyProtection="0"/>
    <xf numFmtId="43" fontId="23" fillId="0" borderId="0" applyFill="0" applyBorder="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44" fontId="23" fillId="0" borderId="0" applyFill="0" applyBorder="0" applyAlignment="0" applyProtection="0"/>
    <xf numFmtId="0" fontId="23" fillId="0" borderId="0"/>
    <xf numFmtId="0" fontId="19" fillId="0" borderId="0"/>
    <xf numFmtId="0" fontId="19" fillId="4" borderId="15" applyNumberFormat="0" applyFont="0" applyAlignment="0" applyProtection="0"/>
    <xf numFmtId="43" fontId="23" fillId="0" borderId="0" applyFill="0" applyBorder="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43" fontId="23" fillId="0" borderId="0" applyFill="0" applyBorder="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172" fontId="19" fillId="0" borderId="0" applyFont="0" applyFill="0" applyBorder="0" applyAlignment="0" applyProtection="0"/>
    <xf numFmtId="0" fontId="23" fillId="0" borderId="0"/>
    <xf numFmtId="0" fontId="24" fillId="45"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4" borderId="0" applyNumberFormat="0" applyBorder="0" applyAlignment="0" applyProtection="0"/>
    <xf numFmtId="0" fontId="64" fillId="55" borderId="0" applyNumberFormat="0" applyBorder="0" applyAlignment="0" applyProtection="0"/>
    <xf numFmtId="0" fontId="64" fillId="52" borderId="0" applyNumberFormat="0" applyBorder="0" applyAlignment="0" applyProtection="0"/>
    <xf numFmtId="0" fontId="64" fillId="53" borderId="0" applyNumberFormat="0" applyBorder="0" applyAlignment="0" applyProtection="0"/>
    <xf numFmtId="0" fontId="64" fillId="56" borderId="0" applyNumberFormat="0" applyBorder="0" applyAlignment="0" applyProtection="0"/>
    <xf numFmtId="0" fontId="64" fillId="57" borderId="0" applyNumberFormat="0" applyBorder="0" applyAlignment="0" applyProtection="0"/>
    <xf numFmtId="0" fontId="64" fillId="58" borderId="0" applyNumberFormat="0" applyBorder="0" applyAlignment="0" applyProtection="0"/>
    <xf numFmtId="0" fontId="65" fillId="47" borderId="0" applyNumberFormat="0" applyBorder="0" applyAlignment="0" applyProtection="0"/>
    <xf numFmtId="0" fontId="66" fillId="59" borderId="37" applyNumberFormat="0" applyAlignment="0" applyProtection="0"/>
    <xf numFmtId="0" fontId="67" fillId="60" borderId="38" applyNumberFormat="0" applyAlignment="0" applyProtection="0"/>
    <xf numFmtId="0" fontId="68" fillId="0" borderId="39" applyNumberFormat="0" applyFill="0" applyAlignment="0" applyProtection="0"/>
    <xf numFmtId="0" fontId="64" fillId="61" borderId="0" applyNumberFormat="0" applyBorder="0" applyAlignment="0" applyProtection="0"/>
    <xf numFmtId="0" fontId="64" fillId="62" borderId="0" applyNumberFormat="0" applyBorder="0" applyAlignment="0" applyProtection="0"/>
    <xf numFmtId="0" fontId="64" fillId="63" borderId="0" applyNumberFormat="0" applyBorder="0" applyAlignment="0" applyProtection="0"/>
    <xf numFmtId="0" fontId="64" fillId="56" borderId="0" applyNumberFormat="0" applyBorder="0" applyAlignment="0" applyProtection="0"/>
    <xf numFmtId="0" fontId="64" fillId="57" borderId="0" applyNumberFormat="0" applyBorder="0" applyAlignment="0" applyProtection="0"/>
    <xf numFmtId="0" fontId="64" fillId="64" borderId="0" applyNumberFormat="0" applyBorder="0" applyAlignment="0" applyProtection="0"/>
    <xf numFmtId="0" fontId="69" fillId="50" borderId="37" applyNumberFormat="0" applyAlignment="0" applyProtection="0"/>
    <xf numFmtId="173" fontId="23" fillId="0" borderId="0"/>
    <xf numFmtId="0" fontId="23" fillId="0" borderId="0"/>
    <xf numFmtId="0" fontId="70" fillId="46" borderId="0" applyNumberFormat="0" applyBorder="0" applyAlignment="0" applyProtection="0"/>
    <xf numFmtId="171" fontId="23" fillId="0" borderId="0" applyFont="0" applyFill="0" applyBorder="0" applyAlignment="0" applyProtection="0"/>
    <xf numFmtId="174" fontId="23" fillId="0" borderId="0" applyFill="0" applyBorder="0" applyAlignment="0" applyProtection="0"/>
    <xf numFmtId="174" fontId="23" fillId="0" borderId="0" applyFill="0" applyBorder="0" applyAlignment="0" applyProtection="0"/>
    <xf numFmtId="0" fontId="71" fillId="65" borderId="0" applyNumberFormat="0" applyBorder="0" applyAlignment="0" applyProtection="0"/>
    <xf numFmtId="4" fontId="80" fillId="0" borderId="0">
      <alignment vertical="center" wrapText="1"/>
      <protection locked="0"/>
    </xf>
    <xf numFmtId="4" fontId="80" fillId="0" borderId="0">
      <alignment vertical="center" wrapText="1"/>
      <protection locked="0"/>
    </xf>
    <xf numFmtId="0" fontId="23" fillId="66" borderId="40" applyNumberFormat="0" applyAlignment="0" applyProtection="0"/>
    <xf numFmtId="9" fontId="23" fillId="0" borderId="0" applyFont="0" applyFill="0" applyBorder="0" applyAlignment="0" applyProtection="0"/>
    <xf numFmtId="9" fontId="23" fillId="0" borderId="0" applyFill="0" applyBorder="0" applyAlignment="0" applyProtection="0"/>
    <xf numFmtId="0" fontId="72" fillId="59" borderId="41" applyNumberFormat="0" applyAlignment="0" applyProtection="0"/>
    <xf numFmtId="173" fontId="23" fillId="0" borderId="0" applyFill="0" applyBorder="0" applyAlignment="0" applyProtection="0"/>
    <xf numFmtId="173" fontId="23" fillId="0" borderId="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6" fillId="0" borderId="42" applyNumberFormat="0" applyFill="0" applyAlignment="0" applyProtection="0"/>
    <xf numFmtId="0" fontId="75" fillId="0" borderId="0" applyNumberFormat="0" applyFill="0" applyBorder="0" applyAlignment="0" applyProtection="0"/>
    <xf numFmtId="0" fontId="77" fillId="0" borderId="43" applyNumberFormat="0" applyFill="0" applyAlignment="0" applyProtection="0"/>
    <xf numFmtId="0" fontId="78" fillId="0" borderId="44" applyNumberFormat="0" applyFill="0" applyAlignment="0" applyProtection="0"/>
    <xf numFmtId="0" fontId="78" fillId="0" borderId="0" applyNumberFormat="0" applyFill="0" applyBorder="0" applyAlignment="0" applyProtection="0"/>
    <xf numFmtId="0" fontId="79" fillId="0" borderId="45" applyNumberFormat="0" applyFill="0" applyAlignment="0" applyProtection="0"/>
    <xf numFmtId="4" fontId="80" fillId="0" borderId="0">
      <alignment vertical="center" wrapText="1"/>
      <protection locked="0"/>
    </xf>
    <xf numFmtId="0" fontId="81" fillId="0" borderId="0" applyNumberFormat="0" applyFill="0" applyBorder="0" applyAlignment="0" applyProtection="0"/>
    <xf numFmtId="0" fontId="82" fillId="0" borderId="0" applyNumberFormat="0" applyFill="0" applyBorder="0" applyAlignment="0" applyProtection="0"/>
    <xf numFmtId="0" fontId="80" fillId="0" borderId="0" applyFont="0" applyFill="0" applyBorder="0" applyAlignment="0" applyProtection="0"/>
    <xf numFmtId="2" fontId="80" fillId="0" borderId="0" applyFont="0" applyFill="0" applyBorder="0" applyAlignment="0" applyProtection="0"/>
    <xf numFmtId="175" fontId="80" fillId="0" borderId="0" applyFont="0" applyFill="0" applyBorder="0" applyAlignment="0" applyProtection="0"/>
    <xf numFmtId="0" fontId="80" fillId="0" borderId="46" applyNumberFormat="0" applyFont="0" applyFill="0" applyAlignment="0" applyProtection="0"/>
    <xf numFmtId="4" fontId="80" fillId="0" borderId="0" applyFont="0" applyFill="0" applyBorder="0" applyAlignment="0" applyProtection="0"/>
    <xf numFmtId="3" fontId="80" fillId="0" borderId="0" applyFont="0" applyFill="0" applyBorder="0" applyAlignment="0" applyProtection="0"/>
    <xf numFmtId="0" fontId="24" fillId="67" borderId="0" applyNumberFormat="0" applyBorder="0" applyAlignment="0" applyProtection="0"/>
    <xf numFmtId="0" fontId="24" fillId="68" borderId="0" applyNumberFormat="0" applyBorder="0" applyAlignment="0" applyProtection="0"/>
    <xf numFmtId="0" fontId="24" fillId="69" borderId="0" applyNumberFormat="0" applyBorder="0" applyAlignment="0" applyProtection="0"/>
    <xf numFmtId="0" fontId="24" fillId="70" borderId="0" applyNumberFormat="0" applyBorder="0" applyAlignment="0" applyProtection="0"/>
    <xf numFmtId="0" fontId="24" fillId="71" borderId="0" applyNumberFormat="0" applyBorder="0" applyAlignment="0" applyProtection="0"/>
    <xf numFmtId="0" fontId="24" fillId="72" borderId="0" applyNumberFormat="0" applyBorder="0" applyAlignment="0" applyProtection="0"/>
    <xf numFmtId="0" fontId="24" fillId="73" borderId="0" applyNumberFormat="0" applyBorder="0" applyAlignment="0" applyProtection="0"/>
    <xf numFmtId="0" fontId="24" fillId="74" borderId="0" applyNumberFormat="0" applyBorder="0" applyAlignment="0" applyProtection="0"/>
    <xf numFmtId="0" fontId="24" fillId="75" borderId="0" applyNumberFormat="0" applyBorder="0" applyAlignment="0" applyProtection="0"/>
    <xf numFmtId="0" fontId="24" fillId="72" borderId="0" applyNumberFormat="0" applyBorder="0" applyAlignment="0" applyProtection="0"/>
    <xf numFmtId="0" fontId="24" fillId="71" borderId="0" applyNumberFormat="0" applyBorder="0" applyAlignment="0" applyProtection="0"/>
    <xf numFmtId="0" fontId="24" fillId="75" borderId="0" applyNumberFormat="0" applyBorder="0" applyAlignment="0" applyProtection="0"/>
    <xf numFmtId="0" fontId="24" fillId="73" borderId="0" applyNumberFormat="0" applyBorder="0" applyAlignment="0" applyProtection="0"/>
    <xf numFmtId="0" fontId="24" fillId="74" borderId="0" applyNumberFormat="0" applyBorder="0" applyAlignment="0" applyProtection="0"/>
    <xf numFmtId="0" fontId="24" fillId="76" borderId="0" applyNumberFormat="0" applyBorder="0" applyAlignment="0" applyProtection="0"/>
    <xf numFmtId="0" fontId="24" fillId="70" borderId="0" applyNumberFormat="0" applyBorder="0" applyAlignment="0" applyProtection="0"/>
    <xf numFmtId="0" fontId="24" fillId="73" borderId="0" applyNumberFormat="0" applyBorder="0" applyAlignment="0" applyProtection="0"/>
    <xf numFmtId="0" fontId="24" fillId="77" borderId="0" applyNumberFormat="0" applyBorder="0" applyAlignment="0" applyProtection="0"/>
    <xf numFmtId="0" fontId="24" fillId="71" borderId="0" applyNumberFormat="0" applyBorder="0" applyAlignment="0" applyProtection="0"/>
    <xf numFmtId="0" fontId="24" fillId="74" borderId="0" applyNumberFormat="0" applyBorder="0" applyAlignment="0" applyProtection="0"/>
    <xf numFmtId="0" fontId="24" fillId="78" borderId="0" applyNumberFormat="0" applyBorder="0" applyAlignment="0" applyProtection="0"/>
    <xf numFmtId="0" fontId="24" fillId="68" borderId="0" applyNumberFormat="0" applyBorder="0" applyAlignment="0" applyProtection="0"/>
    <xf numFmtId="0" fontId="24" fillId="71" borderId="0" applyNumberFormat="0" applyBorder="0" applyAlignment="0" applyProtection="0"/>
    <xf numFmtId="0" fontId="24" fillId="75" borderId="0" applyNumberFormat="0" applyBorder="0" applyAlignment="0" applyProtection="0"/>
    <xf numFmtId="0" fontId="64" fillId="79" borderId="0" applyNumberFormat="0" applyBorder="0" applyAlignment="0" applyProtection="0"/>
    <xf numFmtId="0" fontId="64" fillId="74" borderId="0" applyNumberFormat="0" applyBorder="0" applyAlignment="0" applyProtection="0"/>
    <xf numFmtId="0" fontId="64" fillId="76" borderId="0" applyNumberFormat="0" applyBorder="0" applyAlignment="0" applyProtection="0"/>
    <xf numFmtId="0" fontId="64" fillId="80" borderId="0" applyNumberFormat="0" applyBorder="0" applyAlignment="0" applyProtection="0"/>
    <xf numFmtId="0" fontId="64" fillId="81" borderId="0" applyNumberFormat="0" applyBorder="0" applyAlignment="0" applyProtection="0"/>
    <xf numFmtId="0" fontId="64" fillId="82" borderId="0" applyNumberFormat="0" applyBorder="0" applyAlignment="0" applyProtection="0"/>
    <xf numFmtId="0" fontId="64" fillId="71" borderId="0" applyNumberFormat="0" applyBorder="0" applyAlignment="0" applyProtection="0"/>
    <xf numFmtId="0" fontId="64" fillId="83" borderId="0" applyNumberFormat="0" applyBorder="0" applyAlignment="0" applyProtection="0"/>
    <xf numFmtId="0" fontId="64" fillId="77" borderId="0" applyNumberFormat="0" applyBorder="0" applyAlignment="0" applyProtection="0"/>
    <xf numFmtId="0" fontId="64" fillId="68" borderId="0" applyNumberFormat="0" applyBorder="0" applyAlignment="0" applyProtection="0"/>
    <xf numFmtId="0" fontId="64" fillId="71" borderId="0" applyNumberFormat="0" applyBorder="0" applyAlignment="0" applyProtection="0"/>
    <xf numFmtId="0" fontId="64" fillId="74" borderId="0" applyNumberFormat="0" applyBorder="0" applyAlignment="0" applyProtection="0"/>
    <xf numFmtId="0" fontId="64" fillId="84" borderId="0" applyNumberFormat="0" applyBorder="0" applyAlignment="0" applyProtection="0"/>
    <xf numFmtId="0" fontId="64" fillId="85" borderId="0" applyNumberFormat="0" applyBorder="0" applyAlignment="0" applyProtection="0"/>
    <xf numFmtId="0" fontId="64" fillId="86" borderId="0" applyNumberFormat="0" applyBorder="0" applyAlignment="0" applyProtection="0"/>
    <xf numFmtId="0" fontId="64" fillId="80" borderId="0" applyNumberFormat="0" applyBorder="0" applyAlignment="0" applyProtection="0"/>
    <xf numFmtId="0" fontId="64" fillId="81" borderId="0" applyNumberFormat="0" applyBorder="0" applyAlignment="0" applyProtection="0"/>
    <xf numFmtId="0" fontId="64" fillId="83" borderId="0" applyNumberFormat="0" applyBorder="0" applyAlignment="0" applyProtection="0"/>
    <xf numFmtId="0" fontId="70" fillId="68" borderId="0" applyNumberFormat="0" applyBorder="0" applyAlignment="0" applyProtection="0"/>
    <xf numFmtId="0" fontId="65" fillId="71" borderId="0" applyNumberFormat="0" applyBorder="0" applyAlignment="0" applyProtection="0"/>
    <xf numFmtId="0" fontId="66" fillId="87" borderId="37" applyNumberFormat="0" applyAlignment="0" applyProtection="0"/>
    <xf numFmtId="0" fontId="83" fillId="88" borderId="37" applyNumberFormat="0" applyAlignment="0" applyProtection="0"/>
    <xf numFmtId="0" fontId="67" fillId="89" borderId="38" applyNumberFormat="0" applyAlignment="0" applyProtection="0"/>
    <xf numFmtId="0" fontId="73" fillId="0" borderId="47" applyNumberFormat="0" applyFill="0" applyAlignment="0" applyProtection="0"/>
    <xf numFmtId="0" fontId="67" fillId="89" borderId="38" applyNumberFormat="0" applyAlignment="0" applyProtection="0"/>
    <xf numFmtId="0" fontId="64" fillId="90" borderId="0" applyNumberFormat="0" applyBorder="0" applyAlignment="0" applyProtection="0"/>
    <xf numFmtId="0" fontId="64" fillId="83" borderId="0" applyNumberFormat="0" applyBorder="0" applyAlignment="0" applyProtection="0"/>
    <xf numFmtId="0" fontId="64" fillId="77" borderId="0" applyNumberFormat="0" applyBorder="0" applyAlignment="0" applyProtection="0"/>
    <xf numFmtId="0" fontId="64" fillId="91" borderId="0" applyNumberFormat="0" applyBorder="0" applyAlignment="0" applyProtection="0"/>
    <xf numFmtId="0" fontId="64" fillId="81" borderId="0" applyNumberFormat="0" applyBorder="0" applyAlignment="0" applyProtection="0"/>
    <xf numFmtId="0" fontId="64" fillId="85" borderId="0" applyNumberFormat="0" applyBorder="0" applyAlignment="0" applyProtection="0"/>
    <xf numFmtId="0" fontId="69" fillId="78" borderId="37" applyNumberFormat="0" applyAlignment="0" applyProtection="0"/>
    <xf numFmtId="0" fontId="74" fillId="0" borderId="0" applyNumberFormat="0" applyFill="0" applyBorder="0" applyAlignment="0" applyProtection="0"/>
    <xf numFmtId="0" fontId="65" fillId="69" borderId="0" applyNumberFormat="0" applyBorder="0" applyAlignment="0" applyProtection="0"/>
    <xf numFmtId="0" fontId="76" fillId="0" borderId="42" applyNumberFormat="0" applyFill="0" applyAlignment="0" applyProtection="0"/>
    <xf numFmtId="0" fontId="77" fillId="0" borderId="43" applyNumberFormat="0" applyFill="0" applyAlignment="0" applyProtection="0"/>
    <xf numFmtId="0" fontId="78" fillId="0" borderId="44" applyNumberFormat="0" applyFill="0" applyAlignment="0" applyProtection="0"/>
    <xf numFmtId="0" fontId="78" fillId="0" borderId="0" applyNumberFormat="0" applyFill="0" applyBorder="0" applyAlignment="0" applyProtection="0"/>
    <xf numFmtId="0" fontId="70" fillId="70" borderId="0" applyNumberFormat="0" applyBorder="0" applyAlignment="0" applyProtection="0"/>
    <xf numFmtId="0" fontId="69" fillId="72" borderId="37" applyNumberFormat="0" applyAlignment="0" applyProtection="0"/>
    <xf numFmtId="0" fontId="68" fillId="0" borderId="39" applyNumberFormat="0" applyFill="0" applyAlignment="0" applyProtection="0"/>
    <xf numFmtId="0" fontId="84" fillId="78" borderId="0" applyNumberFormat="0" applyBorder="0" applyAlignment="0" applyProtection="0"/>
    <xf numFmtId="0" fontId="71" fillId="78" borderId="0" applyNumberFormat="0" applyBorder="0" applyAlignment="0" applyProtection="0"/>
    <xf numFmtId="0" fontId="23" fillId="75" borderId="40" applyNumberFormat="0" applyFont="0" applyAlignment="0" applyProtection="0"/>
    <xf numFmtId="0" fontId="24" fillId="75" borderId="40" applyNumberFormat="0" applyFont="0" applyAlignment="0" applyProtection="0"/>
    <xf numFmtId="0" fontId="72" fillId="87" borderId="41" applyNumberFormat="0" applyAlignment="0" applyProtection="0"/>
    <xf numFmtId="0" fontId="72" fillId="88" borderId="41" applyNumberFormat="0" applyAlignment="0" applyProtection="0"/>
    <xf numFmtId="0" fontId="75" fillId="0" borderId="0" applyNumberFormat="0" applyFill="0" applyBorder="0" applyAlignment="0" applyProtection="0"/>
    <xf numFmtId="0" fontId="85" fillId="0" borderId="0" applyNumberFormat="0" applyFill="0" applyBorder="0" applyAlignment="0" applyProtection="0"/>
    <xf numFmtId="0" fontId="25" fillId="0" borderId="48" applyNumberFormat="0" applyFill="0" applyAlignment="0" applyProtection="0"/>
    <xf numFmtId="0" fontId="86" fillId="0" borderId="49" applyNumberFormat="0" applyFill="0" applyAlignment="0" applyProtection="0"/>
    <xf numFmtId="0" fontId="87" fillId="0" borderId="50" applyNumberFormat="0" applyFill="0" applyAlignment="0" applyProtection="0"/>
    <xf numFmtId="0" fontId="87" fillId="0" borderId="0" applyNumberFormat="0" applyFill="0" applyBorder="0" applyAlignment="0" applyProtection="0"/>
    <xf numFmtId="0" fontId="73" fillId="0" borderId="0" applyNumberFormat="0" applyFill="0" applyBorder="0" applyAlignment="0" applyProtection="0"/>
    <xf numFmtId="0" fontId="24" fillId="73" borderId="0" applyNumberFormat="0" applyBorder="0" applyAlignment="0" applyProtection="0"/>
    <xf numFmtId="0" fontId="24" fillId="74" borderId="0" applyNumberFormat="0" applyBorder="0" applyAlignment="0" applyProtection="0"/>
    <xf numFmtId="0" fontId="24" fillId="75" borderId="0" applyNumberFormat="0" applyBorder="0" applyAlignment="0" applyProtection="0"/>
    <xf numFmtId="0" fontId="24" fillId="72" borderId="0" applyNumberFormat="0" applyBorder="0" applyAlignment="0" applyProtection="0"/>
    <xf numFmtId="0" fontId="24" fillId="71" borderId="0" applyNumberFormat="0" applyBorder="0" applyAlignment="0" applyProtection="0"/>
    <xf numFmtId="0" fontId="24" fillId="75" borderId="0" applyNumberFormat="0" applyBorder="0" applyAlignment="0" applyProtection="0"/>
    <xf numFmtId="0" fontId="24" fillId="71" borderId="0" applyNumberFormat="0" applyBorder="0" applyAlignment="0" applyProtection="0"/>
    <xf numFmtId="0" fontId="24" fillId="74" borderId="0" applyNumberFormat="0" applyBorder="0" applyAlignment="0" applyProtection="0"/>
    <xf numFmtId="0" fontId="24" fillId="78" borderId="0" applyNumberFormat="0" applyBorder="0" applyAlignment="0" applyProtection="0"/>
    <xf numFmtId="0" fontId="24" fillId="68" borderId="0" applyNumberFormat="0" applyBorder="0" applyAlignment="0" applyProtection="0"/>
    <xf numFmtId="0" fontId="24" fillId="71" borderId="0" applyNumberFormat="0" applyBorder="0" applyAlignment="0" applyProtection="0"/>
    <xf numFmtId="0" fontId="24" fillId="75" borderId="0" applyNumberFormat="0" applyBorder="0" applyAlignment="0" applyProtection="0"/>
    <xf numFmtId="0" fontId="64" fillId="71" borderId="0" applyNumberFormat="0" applyBorder="0" applyAlignment="0" applyProtection="0"/>
    <xf numFmtId="0" fontId="64" fillId="83" borderId="0" applyNumberFormat="0" applyBorder="0" applyAlignment="0" applyProtection="0"/>
    <xf numFmtId="0" fontId="64" fillId="77" borderId="0" applyNumberFormat="0" applyBorder="0" applyAlignment="0" applyProtection="0"/>
    <xf numFmtId="0" fontId="64" fillId="68" borderId="0" applyNumberFormat="0" applyBorder="0" applyAlignment="0" applyProtection="0"/>
    <xf numFmtId="0" fontId="64" fillId="71" borderId="0" applyNumberFormat="0" applyBorder="0" applyAlignment="0" applyProtection="0"/>
    <xf numFmtId="0" fontId="64" fillId="74" borderId="0" applyNumberFormat="0" applyBorder="0" applyAlignment="0" applyProtection="0"/>
    <xf numFmtId="0" fontId="65" fillId="71" borderId="0" applyNumberFormat="0" applyBorder="0" applyAlignment="0" applyProtection="0"/>
    <xf numFmtId="0" fontId="66" fillId="87" borderId="37" applyNumberFormat="0" applyAlignment="0" applyProtection="0"/>
    <xf numFmtId="0" fontId="66" fillId="87" borderId="37" applyNumberFormat="0" applyAlignment="0" applyProtection="0"/>
    <xf numFmtId="0" fontId="83" fillId="88" borderId="37" applyNumberFormat="0" applyAlignment="0" applyProtection="0"/>
    <xf numFmtId="0" fontId="83" fillId="88" borderId="37" applyNumberFormat="0" applyAlignment="0" applyProtection="0"/>
    <xf numFmtId="0" fontId="67" fillId="89" borderId="38" applyNumberFormat="0" applyAlignment="0" applyProtection="0"/>
    <xf numFmtId="0" fontId="73" fillId="0" borderId="47" applyNumberFormat="0" applyFill="0" applyAlignment="0" applyProtection="0"/>
    <xf numFmtId="0" fontId="64" fillId="90" borderId="0" applyNumberFormat="0" applyBorder="0" applyAlignment="0" applyProtection="0"/>
    <xf numFmtId="0" fontId="64" fillId="83" borderId="0" applyNumberFormat="0" applyBorder="0" applyAlignment="0" applyProtection="0"/>
    <xf numFmtId="0" fontId="64" fillId="77" borderId="0" applyNumberFormat="0" applyBorder="0" applyAlignment="0" applyProtection="0"/>
    <xf numFmtId="0" fontId="64" fillId="91" borderId="0" applyNumberFormat="0" applyBorder="0" applyAlignment="0" applyProtection="0"/>
    <xf numFmtId="0" fontId="64" fillId="81" borderId="0" applyNumberFormat="0" applyBorder="0" applyAlignment="0" applyProtection="0"/>
    <xf numFmtId="0" fontId="64" fillId="85" borderId="0" applyNumberFormat="0" applyBorder="0" applyAlignment="0" applyProtection="0"/>
    <xf numFmtId="0" fontId="69" fillId="78" borderId="37" applyNumberFormat="0" applyAlignment="0" applyProtection="0"/>
    <xf numFmtId="0" fontId="69" fillId="78" borderId="37" applyNumberFormat="0" applyAlignment="0" applyProtection="0"/>
    <xf numFmtId="0" fontId="91" fillId="0" borderId="0" applyNumberFormat="0" applyFill="0" applyBorder="0" applyAlignment="0" applyProtection="0"/>
    <xf numFmtId="0" fontId="88" fillId="0" borderId="0" applyNumberFormat="0" applyFill="0" applyBorder="0" applyAlignment="0" applyProtection="0">
      <alignment vertical="top"/>
      <protection locked="0"/>
    </xf>
    <xf numFmtId="0" fontId="91" fillId="0" borderId="0" applyNumberFormat="0" applyFill="0" applyBorder="0" applyAlignment="0" applyProtection="0"/>
    <xf numFmtId="0" fontId="70" fillId="70" borderId="0" applyNumberFormat="0" applyBorder="0" applyAlignment="0" applyProtection="0"/>
    <xf numFmtId="0" fontId="69" fillId="72" borderId="37" applyNumberFormat="0" applyAlignment="0" applyProtection="0"/>
    <xf numFmtId="0" fontId="69" fillId="72" borderId="37" applyNumberFormat="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4" fontId="89"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0" fontId="84" fillId="7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0" fillId="0" borderId="0" applyNumberFormat="0" applyFill="0" applyBorder="0" applyProtection="0">
      <alignment vertical="top"/>
    </xf>
    <xf numFmtId="0" fontId="23" fillId="0" borderId="0"/>
    <xf numFmtId="0" fontId="90" fillId="0" borderId="0" applyNumberFormat="0" applyFill="0" applyBorder="0" applyProtection="0">
      <alignment vertical="top"/>
    </xf>
    <xf numFmtId="0" fontId="19" fillId="0" borderId="0"/>
    <xf numFmtId="0" fontId="19" fillId="0" borderId="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72" fillId="87" borderId="41"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72" fillId="88" borderId="41" applyNumberFormat="0" applyAlignment="0" applyProtection="0"/>
    <xf numFmtId="0" fontId="72" fillId="88" borderId="41" applyNumberFormat="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0" fontId="25" fillId="0" borderId="48" applyNumberFormat="0" applyFill="0" applyAlignment="0" applyProtection="0"/>
    <xf numFmtId="0" fontId="86" fillId="0" borderId="49" applyNumberFormat="0" applyFill="0" applyAlignment="0" applyProtection="0"/>
    <xf numFmtId="0" fontId="87" fillId="0" borderId="50" applyNumberFormat="0" applyFill="0" applyAlignment="0" applyProtection="0"/>
    <xf numFmtId="0" fontId="87" fillId="0" borderId="0" applyNumberFormat="0" applyFill="0" applyBorder="0" applyAlignment="0" applyProtection="0"/>
    <xf numFmtId="0" fontId="79" fillId="0" borderId="45" applyNumberFormat="0" applyFill="0" applyAlignment="0" applyProtection="0"/>
    <xf numFmtId="0" fontId="79" fillId="0" borderId="45" applyNumberFormat="0" applyFill="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89"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19"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19" fillId="0" borderId="0" applyFont="0" applyFill="0" applyBorder="0" applyAlignment="0" applyProtection="0"/>
    <xf numFmtId="0" fontId="23" fillId="0" borderId="0"/>
    <xf numFmtId="0" fontId="23" fillId="75" borderId="40" applyNumberFormat="0" applyFont="0" applyAlignment="0" applyProtection="0"/>
    <xf numFmtId="0" fontId="24" fillId="46" borderId="0" applyNumberFormat="0" applyBorder="0" applyAlignment="0" applyProtection="0"/>
    <xf numFmtId="0" fontId="24" fillId="53" borderId="0" applyNumberFormat="0" applyBorder="0" applyAlignment="0" applyProtection="0"/>
    <xf numFmtId="0" fontId="23" fillId="0" borderId="0"/>
    <xf numFmtId="0" fontId="24" fillId="45"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4" borderId="0" applyNumberFormat="0" applyBorder="0" applyAlignment="0" applyProtection="0"/>
    <xf numFmtId="0" fontId="64" fillId="55" borderId="0" applyNumberFormat="0" applyBorder="0" applyAlignment="0" applyProtection="0"/>
    <xf numFmtId="0" fontId="64" fillId="52" borderId="0" applyNumberFormat="0" applyBorder="0" applyAlignment="0" applyProtection="0"/>
    <xf numFmtId="0" fontId="64" fillId="53" borderId="0" applyNumberFormat="0" applyBorder="0" applyAlignment="0" applyProtection="0"/>
    <xf numFmtId="0" fontId="64" fillId="56" borderId="0" applyNumberFormat="0" applyBorder="0" applyAlignment="0" applyProtection="0"/>
    <xf numFmtId="0" fontId="64" fillId="57" borderId="0" applyNumberFormat="0" applyBorder="0" applyAlignment="0" applyProtection="0"/>
    <xf numFmtId="0" fontId="64" fillId="58" borderId="0" applyNumberFormat="0" applyBorder="0" applyAlignment="0" applyProtection="0"/>
    <xf numFmtId="0" fontId="65" fillId="47" borderId="0" applyNumberFormat="0" applyBorder="0" applyAlignment="0" applyProtection="0"/>
    <xf numFmtId="0" fontId="66" fillId="59" borderId="37" applyNumberFormat="0" applyAlignment="0" applyProtection="0"/>
    <xf numFmtId="0" fontId="67" fillId="60" borderId="38" applyNumberFormat="0" applyAlignment="0" applyProtection="0"/>
    <xf numFmtId="0" fontId="68" fillId="0" borderId="39" applyNumberFormat="0" applyFill="0" applyAlignment="0" applyProtection="0"/>
    <xf numFmtId="0" fontId="64" fillId="61" borderId="0" applyNumberFormat="0" applyBorder="0" applyAlignment="0" applyProtection="0"/>
    <xf numFmtId="0" fontId="64" fillId="62" borderId="0" applyNumberFormat="0" applyBorder="0" applyAlignment="0" applyProtection="0"/>
    <xf numFmtId="0" fontId="64" fillId="63" borderId="0" applyNumberFormat="0" applyBorder="0" applyAlignment="0" applyProtection="0"/>
    <xf numFmtId="0" fontId="64" fillId="56" borderId="0" applyNumberFormat="0" applyBorder="0" applyAlignment="0" applyProtection="0"/>
    <xf numFmtId="0" fontId="64" fillId="57" borderId="0" applyNumberFormat="0" applyBorder="0" applyAlignment="0" applyProtection="0"/>
    <xf numFmtId="0" fontId="64" fillId="64" borderId="0" applyNumberFormat="0" applyBorder="0" applyAlignment="0" applyProtection="0"/>
    <xf numFmtId="0" fontId="69" fillId="50" borderId="37" applyNumberFormat="0" applyAlignment="0" applyProtection="0"/>
    <xf numFmtId="0" fontId="70" fillId="46" borderId="0" applyNumberFormat="0" applyBorder="0" applyAlignment="0" applyProtection="0"/>
    <xf numFmtId="171" fontId="23" fillId="0" borderId="0" applyFont="0" applyFill="0" applyBorder="0" applyAlignment="0" applyProtection="0"/>
    <xf numFmtId="174" fontId="23" fillId="0" borderId="0" applyFill="0" applyBorder="0" applyAlignment="0" applyProtection="0"/>
    <xf numFmtId="174" fontId="23" fillId="0" borderId="0" applyFill="0" applyBorder="0" applyAlignment="0" applyProtection="0"/>
    <xf numFmtId="0" fontId="71" fillId="65" borderId="0" applyNumberFormat="0" applyBorder="0" applyAlignment="0" applyProtection="0"/>
    <xf numFmtId="0" fontId="23" fillId="66" borderId="40" applyNumberFormat="0" applyAlignment="0" applyProtection="0"/>
    <xf numFmtId="9" fontId="23" fillId="0" borderId="0" applyFont="0" applyFill="0" applyBorder="0" applyAlignment="0" applyProtection="0"/>
    <xf numFmtId="9" fontId="23" fillId="0" borderId="0" applyFill="0" applyBorder="0" applyAlignment="0" applyProtection="0"/>
    <xf numFmtId="0" fontId="72" fillId="59" borderId="41" applyNumberFormat="0" applyAlignment="0" applyProtection="0"/>
    <xf numFmtId="173" fontId="23" fillId="0" borderId="0" applyFill="0" applyBorder="0" applyAlignment="0" applyProtection="0"/>
    <xf numFmtId="173" fontId="23" fillId="0" borderId="0" applyFill="0" applyBorder="0" applyAlignment="0" applyProtection="0"/>
    <xf numFmtId="0" fontId="75" fillId="0" borderId="0" applyNumberFormat="0" applyFill="0" applyBorder="0" applyAlignment="0" applyProtection="0"/>
    <xf numFmtId="0" fontId="77" fillId="0" borderId="43" applyNumberFormat="0" applyFill="0" applyAlignment="0" applyProtection="0"/>
    <xf numFmtId="0" fontId="78" fillId="0" borderId="44" applyNumberFormat="0" applyFill="0" applyAlignment="0" applyProtection="0"/>
    <xf numFmtId="0" fontId="78" fillId="0" borderId="0" applyNumberFormat="0" applyFill="0" applyBorder="0" applyAlignment="0" applyProtection="0"/>
    <xf numFmtId="4" fontId="80" fillId="0" borderId="0">
      <alignment vertical="center" wrapText="1"/>
      <protection locked="0"/>
    </xf>
    <xf numFmtId="0" fontId="81" fillId="0" borderId="0" applyNumberFormat="0" applyFill="0" applyBorder="0" applyAlignment="0" applyProtection="0"/>
    <xf numFmtId="0" fontId="82" fillId="0" borderId="0" applyNumberFormat="0" applyFill="0" applyBorder="0" applyAlignment="0" applyProtection="0"/>
    <xf numFmtId="0" fontId="80" fillId="0" borderId="0" applyFont="0" applyFill="0" applyBorder="0" applyAlignment="0" applyProtection="0"/>
    <xf numFmtId="2" fontId="80" fillId="0" borderId="0" applyFont="0" applyFill="0" applyBorder="0" applyAlignment="0" applyProtection="0"/>
    <xf numFmtId="175" fontId="80" fillId="0" borderId="0" applyFont="0" applyFill="0" applyBorder="0" applyAlignment="0" applyProtection="0"/>
    <xf numFmtId="0" fontId="80" fillId="0" borderId="46" applyNumberFormat="0" applyFont="0" applyFill="0" applyAlignment="0" applyProtection="0"/>
    <xf numFmtId="4" fontId="80" fillId="0" borderId="0" applyFont="0" applyFill="0" applyBorder="0" applyAlignment="0" applyProtection="0"/>
    <xf numFmtId="3" fontId="80" fillId="0" borderId="0" applyFont="0" applyFill="0" applyBorder="0" applyAlignment="0" applyProtection="0"/>
    <xf numFmtId="0" fontId="23" fillId="75" borderId="40" applyNumberFormat="0" applyFont="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0" fontId="69" fillId="78" borderId="37" applyNumberFormat="0" applyAlignment="0" applyProtection="0"/>
    <xf numFmtId="0" fontId="69" fillId="78" borderId="37" applyNumberFormat="0" applyAlignment="0" applyProtection="0"/>
    <xf numFmtId="0" fontId="69" fillId="78" borderId="37" applyNumberFormat="0" applyAlignment="0" applyProtection="0"/>
    <xf numFmtId="0" fontId="83" fillId="88" borderId="37" applyNumberFormat="0" applyAlignment="0" applyProtection="0"/>
    <xf numFmtId="0" fontId="83" fillId="88" borderId="37" applyNumberFormat="0" applyAlignment="0" applyProtection="0"/>
    <xf numFmtId="0" fontId="83" fillId="88" borderId="37" applyNumberFormat="0" applyAlignment="0" applyProtection="0"/>
    <xf numFmtId="0" fontId="66" fillId="87" borderId="37" applyNumberFormat="0" applyAlignment="0" applyProtection="0"/>
    <xf numFmtId="0" fontId="66" fillId="87" borderId="37" applyNumberFormat="0" applyAlignment="0" applyProtection="0"/>
    <xf numFmtId="0" fontId="66" fillId="87" borderId="37" applyNumberFormat="0" applyAlignment="0" applyProtection="0"/>
    <xf numFmtId="0" fontId="72" fillId="87" borderId="41" applyNumberFormat="0" applyAlignment="0" applyProtection="0"/>
    <xf numFmtId="0" fontId="72" fillId="88" borderId="41" applyNumberFormat="0" applyAlignment="0" applyProtection="0"/>
    <xf numFmtId="0" fontId="79" fillId="0" borderId="45" applyNumberFormat="0" applyFill="0" applyAlignment="0" applyProtection="0"/>
    <xf numFmtId="0" fontId="69" fillId="72" borderId="37" applyNumberFormat="0" applyAlignment="0" applyProtection="0"/>
    <xf numFmtId="0" fontId="69" fillId="72" borderId="37" applyNumberFormat="0" applyAlignment="0" applyProtection="0"/>
    <xf numFmtId="0" fontId="69" fillId="72" borderId="37" applyNumberForma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72" fillId="87" borderId="41" applyNumberFormat="0" applyAlignment="0" applyProtection="0"/>
    <xf numFmtId="0" fontId="72" fillId="88" borderId="41" applyNumberFormat="0" applyAlignment="0" applyProtection="0"/>
    <xf numFmtId="0" fontId="72" fillId="88" borderId="41" applyNumberFormat="0" applyAlignment="0" applyProtection="0"/>
    <xf numFmtId="0" fontId="72" fillId="88" borderId="41" applyNumberFormat="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92" fillId="0" borderId="0"/>
    <xf numFmtId="0" fontId="94" fillId="22" borderId="0" applyNumberFormat="0" applyBorder="0" applyAlignment="0" applyProtection="0"/>
    <xf numFmtId="0" fontId="19" fillId="22" borderId="0" applyNumberFormat="0" applyBorder="0" applyAlignment="0" applyProtection="0"/>
    <xf numFmtId="0" fontId="94" fillId="26" borderId="0" applyNumberFormat="0" applyBorder="0" applyAlignment="0" applyProtection="0"/>
    <xf numFmtId="0" fontId="19" fillId="26" borderId="0" applyNumberFormat="0" applyBorder="0" applyAlignment="0" applyProtection="0"/>
    <xf numFmtId="0" fontId="94" fillId="30" borderId="0" applyNumberFormat="0" applyBorder="0" applyAlignment="0" applyProtection="0"/>
    <xf numFmtId="0" fontId="19" fillId="30" borderId="0" applyNumberFormat="0" applyBorder="0" applyAlignment="0" applyProtection="0"/>
    <xf numFmtId="0" fontId="94" fillId="34" borderId="0" applyNumberFormat="0" applyBorder="0" applyAlignment="0" applyProtection="0"/>
    <xf numFmtId="0" fontId="19" fillId="34" borderId="0" applyNumberFormat="0" applyBorder="0" applyAlignment="0" applyProtection="0"/>
    <xf numFmtId="0" fontId="94" fillId="38" borderId="0" applyNumberFormat="0" applyBorder="0" applyAlignment="0" applyProtection="0"/>
    <xf numFmtId="0" fontId="19" fillId="38" borderId="0" applyNumberFormat="0" applyBorder="0" applyAlignment="0" applyProtection="0"/>
    <xf numFmtId="0" fontId="94" fillId="42" borderId="0" applyNumberFormat="0" applyBorder="0" applyAlignment="0" applyProtection="0"/>
    <xf numFmtId="0" fontId="19" fillId="42" borderId="0" applyNumberFormat="0" applyBorder="0" applyAlignment="0" applyProtection="0"/>
    <xf numFmtId="0" fontId="94" fillId="23" borderId="0" applyNumberFormat="0" applyBorder="0" applyAlignment="0" applyProtection="0"/>
    <xf numFmtId="0" fontId="19" fillId="23" borderId="0" applyNumberFormat="0" applyBorder="0" applyAlignment="0" applyProtection="0"/>
    <xf numFmtId="0" fontId="94" fillId="27" borderId="0" applyNumberFormat="0" applyBorder="0" applyAlignment="0" applyProtection="0"/>
    <xf numFmtId="0" fontId="19" fillId="27" borderId="0" applyNumberFormat="0" applyBorder="0" applyAlignment="0" applyProtection="0"/>
    <xf numFmtId="0" fontId="94" fillId="31" borderId="0" applyNumberFormat="0" applyBorder="0" applyAlignment="0" applyProtection="0"/>
    <xf numFmtId="0" fontId="19" fillId="31" borderId="0" applyNumberFormat="0" applyBorder="0" applyAlignment="0" applyProtection="0"/>
    <xf numFmtId="0" fontId="94" fillId="35" borderId="0" applyNumberFormat="0" applyBorder="0" applyAlignment="0" applyProtection="0"/>
    <xf numFmtId="0" fontId="19" fillId="35" borderId="0" applyNumberFormat="0" applyBorder="0" applyAlignment="0" applyProtection="0"/>
    <xf numFmtId="0" fontId="94" fillId="39" borderId="0" applyNumberFormat="0" applyBorder="0" applyAlignment="0" applyProtection="0"/>
    <xf numFmtId="0" fontId="19" fillId="39" borderId="0" applyNumberFormat="0" applyBorder="0" applyAlignment="0" applyProtection="0"/>
    <xf numFmtId="0" fontId="94" fillId="43" borderId="0" applyNumberFormat="0" applyBorder="0" applyAlignment="0" applyProtection="0"/>
    <xf numFmtId="0" fontId="19" fillId="43" borderId="0" applyNumberFormat="0" applyBorder="0" applyAlignment="0" applyProtection="0"/>
    <xf numFmtId="0" fontId="95" fillId="24" borderId="0" applyNumberFormat="0" applyBorder="0" applyAlignment="0" applyProtection="0"/>
    <xf numFmtId="0" fontId="61" fillId="24" borderId="0" applyNumberFormat="0" applyBorder="0" applyAlignment="0" applyProtection="0"/>
    <xf numFmtId="0" fontId="95" fillId="28" borderId="0" applyNumberFormat="0" applyBorder="0" applyAlignment="0" applyProtection="0"/>
    <xf numFmtId="0" fontId="61" fillId="28" borderId="0" applyNumberFormat="0" applyBorder="0" applyAlignment="0" applyProtection="0"/>
    <xf numFmtId="0" fontId="95" fillId="32" borderId="0" applyNumberFormat="0" applyBorder="0" applyAlignment="0" applyProtection="0"/>
    <xf numFmtId="0" fontId="61" fillId="32" borderId="0" applyNumberFormat="0" applyBorder="0" applyAlignment="0" applyProtection="0"/>
    <xf numFmtId="0" fontId="95" fillId="36" borderId="0" applyNumberFormat="0" applyBorder="0" applyAlignment="0" applyProtection="0"/>
    <xf numFmtId="0" fontId="61" fillId="36" borderId="0" applyNumberFormat="0" applyBorder="0" applyAlignment="0" applyProtection="0"/>
    <xf numFmtId="0" fontId="95" fillId="40" borderId="0" applyNumberFormat="0" applyBorder="0" applyAlignment="0" applyProtection="0"/>
    <xf numFmtId="0" fontId="61" fillId="40" borderId="0" applyNumberFormat="0" applyBorder="0" applyAlignment="0" applyProtection="0"/>
    <xf numFmtId="0" fontId="95" fillId="44" borderId="0" applyNumberFormat="0" applyBorder="0" applyAlignment="0" applyProtection="0"/>
    <xf numFmtId="0" fontId="61" fillId="44" borderId="0" applyNumberFormat="0" applyBorder="0" applyAlignment="0" applyProtection="0"/>
    <xf numFmtId="0" fontId="96" fillId="15" borderId="0" applyNumberFormat="0" applyBorder="0" applyAlignment="0" applyProtection="0"/>
    <xf numFmtId="0" fontId="52" fillId="15" borderId="0" applyNumberFormat="0" applyBorder="0" applyAlignment="0" applyProtection="0"/>
    <xf numFmtId="0" fontId="97" fillId="19" borderId="33" applyNumberFormat="0" applyAlignment="0" applyProtection="0"/>
    <xf numFmtId="0" fontId="57" fillId="19" borderId="33" applyNumberFormat="0" applyAlignment="0" applyProtection="0"/>
    <xf numFmtId="0" fontId="98" fillId="20" borderId="36" applyNumberFormat="0" applyAlignment="0" applyProtection="0"/>
    <xf numFmtId="0" fontId="28" fillId="20" borderId="36" applyNumberFormat="0" applyAlignment="0" applyProtection="0"/>
    <xf numFmtId="0" fontId="99" fillId="0" borderId="35" applyNumberFormat="0" applyFill="0" applyAlignment="0" applyProtection="0"/>
    <xf numFmtId="0" fontId="58" fillId="0" borderId="35" applyNumberFormat="0" applyFill="0" applyAlignment="0" applyProtection="0"/>
    <xf numFmtId="0" fontId="95" fillId="21" borderId="0" applyNumberFormat="0" applyBorder="0" applyAlignment="0" applyProtection="0"/>
    <xf numFmtId="0" fontId="61" fillId="21" borderId="0" applyNumberFormat="0" applyBorder="0" applyAlignment="0" applyProtection="0"/>
    <xf numFmtId="0" fontId="95" fillId="25" borderId="0" applyNumberFormat="0" applyBorder="0" applyAlignment="0" applyProtection="0"/>
    <xf numFmtId="0" fontId="61" fillId="25" borderId="0" applyNumberFormat="0" applyBorder="0" applyAlignment="0" applyProtection="0"/>
    <xf numFmtId="0" fontId="95" fillId="29" borderId="0" applyNumberFormat="0" applyBorder="0" applyAlignment="0" applyProtection="0"/>
    <xf numFmtId="0" fontId="61" fillId="29" borderId="0" applyNumberFormat="0" applyBorder="0" applyAlignment="0" applyProtection="0"/>
    <xf numFmtId="0" fontId="95" fillId="33" borderId="0" applyNumberFormat="0" applyBorder="0" applyAlignment="0" applyProtection="0"/>
    <xf numFmtId="0" fontId="61" fillId="33" borderId="0" applyNumberFormat="0" applyBorder="0" applyAlignment="0" applyProtection="0"/>
    <xf numFmtId="0" fontId="95" fillId="37" borderId="0" applyNumberFormat="0" applyBorder="0" applyAlignment="0" applyProtection="0"/>
    <xf numFmtId="0" fontId="61" fillId="37" borderId="0" applyNumberFormat="0" applyBorder="0" applyAlignment="0" applyProtection="0"/>
    <xf numFmtId="0" fontId="95" fillId="41" borderId="0" applyNumberFormat="0" applyBorder="0" applyAlignment="0" applyProtection="0"/>
    <xf numFmtId="0" fontId="61" fillId="41" borderId="0" applyNumberFormat="0" applyBorder="0" applyAlignment="0" applyProtection="0"/>
    <xf numFmtId="0" fontId="100" fillId="18" borderId="33" applyNumberFormat="0" applyAlignment="0" applyProtection="0"/>
    <xf numFmtId="0" fontId="55" fillId="18" borderId="33" applyNumberFormat="0" applyAlignment="0" applyProtection="0"/>
    <xf numFmtId="0" fontId="94" fillId="92" borderId="3" applyAlignment="0">
      <alignment horizontal="center" vertical="center"/>
    </xf>
    <xf numFmtId="0" fontId="91" fillId="0" borderId="0" applyNumberFormat="0" applyFill="0" applyBorder="0" applyAlignment="0" applyProtection="0"/>
    <xf numFmtId="0" fontId="101" fillId="16" borderId="0" applyNumberFormat="0" applyBorder="0" applyAlignment="0" applyProtection="0"/>
    <xf numFmtId="0" fontId="53" fillId="16" borderId="0" applyNumberFormat="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19" fillId="0" borderId="0" applyFont="0" applyFill="0" applyBorder="0" applyAlignment="0" applyProtection="0"/>
    <xf numFmtId="176"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0" fontId="102" fillId="17" borderId="0" applyNumberFormat="0" applyBorder="0" applyAlignment="0" applyProtection="0"/>
    <xf numFmtId="0" fontId="54" fillId="17" borderId="0" applyNumberFormat="0" applyBorder="0" applyAlignment="0" applyProtection="0"/>
    <xf numFmtId="0" fontId="23" fillId="0" borderId="0"/>
    <xf numFmtId="0" fontId="19" fillId="0" borderId="0"/>
    <xf numFmtId="0" fontId="19" fillId="0" borderId="0"/>
    <xf numFmtId="0" fontId="94" fillId="0" borderId="0"/>
    <xf numFmtId="0" fontId="23" fillId="0" borderId="0"/>
    <xf numFmtId="0" fontId="23" fillId="0" borderId="0"/>
    <xf numFmtId="0" fontId="23" fillId="0" borderId="0"/>
    <xf numFmtId="0" fontId="19" fillId="4" borderId="15" applyNumberFormat="0" applyFont="0" applyAlignment="0" applyProtection="0"/>
    <xf numFmtId="0" fontId="94" fillId="4" borderId="15" applyNumberFormat="0" applyFont="0" applyAlignment="0" applyProtection="0"/>
    <xf numFmtId="9" fontId="23" fillId="0" borderId="0" applyFont="0" applyFill="0" applyBorder="0" applyAlignment="0" applyProtection="0"/>
    <xf numFmtId="9" fontId="94" fillId="0" borderId="0" applyFont="0" applyFill="0" applyBorder="0" applyAlignment="0" applyProtection="0"/>
    <xf numFmtId="0" fontId="103" fillId="19" borderId="34" applyNumberFormat="0" applyAlignment="0" applyProtection="0"/>
    <xf numFmtId="0" fontId="56" fillId="19" borderId="34" applyNumberFormat="0" applyAlignment="0" applyProtection="0"/>
    <xf numFmtId="0" fontId="93" fillId="0" borderId="0" applyNumberFormat="0" applyFill="0" applyBorder="0" applyAlignment="0" applyProtection="0"/>
    <xf numFmtId="0" fontId="59" fillId="0" borderId="0" applyNumberFormat="0" applyFill="0" applyBorder="0" applyAlignment="0" applyProtection="0"/>
    <xf numFmtId="0" fontId="104" fillId="0" borderId="0" applyNumberFormat="0" applyFill="0" applyBorder="0" applyAlignment="0" applyProtection="0"/>
    <xf numFmtId="0" fontId="60" fillId="0" borderId="0" applyNumberFormat="0" applyFill="0" applyBorder="0" applyAlignment="0" applyProtection="0"/>
    <xf numFmtId="0" fontId="105" fillId="0" borderId="30" applyNumberFormat="0" applyFill="0" applyAlignment="0" applyProtection="0"/>
    <xf numFmtId="0" fontId="49" fillId="0" borderId="30" applyNumberFormat="0" applyFill="0" applyAlignment="0" applyProtection="0"/>
    <xf numFmtId="0" fontId="106" fillId="0" borderId="31" applyNumberFormat="0" applyFill="0" applyAlignment="0" applyProtection="0"/>
    <xf numFmtId="0" fontId="50" fillId="0" borderId="31" applyNumberFormat="0" applyFill="0" applyAlignment="0" applyProtection="0"/>
    <xf numFmtId="0" fontId="107" fillId="0" borderId="32" applyNumberFormat="0" applyFill="0" applyAlignment="0" applyProtection="0"/>
    <xf numFmtId="0" fontId="51" fillId="0" borderId="32" applyNumberFormat="0" applyFill="0" applyAlignment="0" applyProtection="0"/>
    <xf numFmtId="0" fontId="107" fillId="0" borderId="0" applyNumberFormat="0" applyFill="0" applyBorder="0" applyAlignment="0" applyProtection="0"/>
    <xf numFmtId="0" fontId="51" fillId="0" borderId="0" applyNumberFormat="0" applyFill="0" applyBorder="0" applyAlignment="0" applyProtection="0"/>
    <xf numFmtId="0" fontId="48" fillId="0" borderId="0" applyNumberFormat="0" applyFill="0" applyBorder="0" applyAlignment="0" applyProtection="0"/>
    <xf numFmtId="0" fontId="108" fillId="0" borderId="16" applyNumberFormat="0" applyFill="0" applyAlignment="0" applyProtection="0"/>
    <xf numFmtId="0" fontId="32" fillId="0" borderId="16" applyNumberFormat="0" applyFill="0" applyAlignment="0" applyProtection="0"/>
    <xf numFmtId="43" fontId="94"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43" fontId="19" fillId="0" borderId="0" applyFont="0" applyFill="0" applyBorder="0" applyAlignment="0" applyProtection="0"/>
    <xf numFmtId="44" fontId="92" fillId="0" borderId="0" applyFont="0" applyFill="0" applyBorder="0" applyAlignment="0" applyProtection="0"/>
    <xf numFmtId="43" fontId="92" fillId="0" borderId="0" applyFont="0" applyFill="0" applyBorder="0" applyAlignment="0" applyProtection="0"/>
    <xf numFmtId="0" fontId="23" fillId="0" borderId="0"/>
    <xf numFmtId="0" fontId="24" fillId="73" borderId="0" applyNumberFormat="0" applyBorder="0" applyAlignment="0" applyProtection="0"/>
    <xf numFmtId="0" fontId="24" fillId="74" borderId="0" applyNumberFormat="0" applyBorder="0" applyAlignment="0" applyProtection="0"/>
    <xf numFmtId="0" fontId="24" fillId="75" borderId="0" applyNumberFormat="0" applyBorder="0" applyAlignment="0" applyProtection="0"/>
    <xf numFmtId="0" fontId="24" fillId="72" borderId="0" applyNumberFormat="0" applyBorder="0" applyAlignment="0" applyProtection="0"/>
    <xf numFmtId="0" fontId="24" fillId="71" borderId="0" applyNumberFormat="0" applyBorder="0" applyAlignment="0" applyProtection="0"/>
    <xf numFmtId="0" fontId="24" fillId="75" borderId="0" applyNumberFormat="0" applyBorder="0" applyAlignment="0" applyProtection="0"/>
    <xf numFmtId="0" fontId="24" fillId="71" borderId="0" applyNumberFormat="0" applyBorder="0" applyAlignment="0" applyProtection="0"/>
    <xf numFmtId="0" fontId="24" fillId="74" borderId="0" applyNumberFormat="0" applyBorder="0" applyAlignment="0" applyProtection="0"/>
    <xf numFmtId="0" fontId="24" fillId="78" borderId="0" applyNumberFormat="0" applyBorder="0" applyAlignment="0" applyProtection="0"/>
    <xf numFmtId="0" fontId="24" fillId="68" borderId="0" applyNumberFormat="0" applyBorder="0" applyAlignment="0" applyProtection="0"/>
    <xf numFmtId="0" fontId="24" fillId="71" borderId="0" applyNumberFormat="0" applyBorder="0" applyAlignment="0" applyProtection="0"/>
    <xf numFmtId="0" fontId="24" fillId="75" borderId="0" applyNumberFormat="0" applyBorder="0" applyAlignment="0" applyProtection="0"/>
    <xf numFmtId="0" fontId="64" fillId="71" borderId="0" applyNumberFormat="0" applyBorder="0" applyAlignment="0" applyProtection="0"/>
    <xf numFmtId="0" fontId="64" fillId="83" borderId="0" applyNumberFormat="0" applyBorder="0" applyAlignment="0" applyProtection="0"/>
    <xf numFmtId="0" fontId="64" fillId="77" borderId="0" applyNumberFormat="0" applyBorder="0" applyAlignment="0" applyProtection="0"/>
    <xf numFmtId="0" fontId="64" fillId="68" borderId="0" applyNumberFormat="0" applyBorder="0" applyAlignment="0" applyProtection="0"/>
    <xf numFmtId="0" fontId="64" fillId="71" borderId="0" applyNumberFormat="0" applyBorder="0" applyAlignment="0" applyProtection="0"/>
    <xf numFmtId="0" fontId="64" fillId="74" borderId="0" applyNumberFormat="0" applyBorder="0" applyAlignment="0" applyProtection="0"/>
    <xf numFmtId="0" fontId="65" fillId="71" borderId="0" applyNumberFormat="0" applyBorder="0" applyAlignment="0" applyProtection="0"/>
    <xf numFmtId="0" fontId="83" fillId="88" borderId="37" applyNumberFormat="0" applyAlignment="0" applyProtection="0"/>
    <xf numFmtId="0" fontId="67" fillId="89" borderId="38" applyNumberFormat="0" applyAlignment="0" applyProtection="0"/>
    <xf numFmtId="0" fontId="73" fillId="0" borderId="47" applyNumberFormat="0" applyFill="0" applyAlignment="0" applyProtection="0"/>
    <xf numFmtId="0" fontId="64" fillId="90" borderId="0" applyNumberFormat="0" applyBorder="0" applyAlignment="0" applyProtection="0"/>
    <xf numFmtId="0" fontId="64" fillId="83" borderId="0" applyNumberFormat="0" applyBorder="0" applyAlignment="0" applyProtection="0"/>
    <xf numFmtId="0" fontId="64" fillId="77" borderId="0" applyNumberFormat="0" applyBorder="0" applyAlignment="0" applyProtection="0"/>
    <xf numFmtId="0" fontId="64" fillId="91" borderId="0" applyNumberFormat="0" applyBorder="0" applyAlignment="0" applyProtection="0"/>
    <xf numFmtId="0" fontId="64" fillId="81" borderId="0" applyNumberFormat="0" applyBorder="0" applyAlignment="0" applyProtection="0"/>
    <xf numFmtId="0" fontId="64" fillId="85" borderId="0" applyNumberFormat="0" applyBorder="0" applyAlignment="0" applyProtection="0"/>
    <xf numFmtId="0" fontId="69" fillId="78" borderId="37" applyNumberFormat="0" applyAlignment="0" applyProtection="0"/>
    <xf numFmtId="0" fontId="70" fillId="70" borderId="0" applyNumberFormat="0" applyBorder="0" applyAlignment="0" applyProtection="0"/>
    <xf numFmtId="0" fontId="84" fillId="78" borderId="0" applyNumberFormat="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85" fillId="0" borderId="0" applyNumberFormat="0" applyFill="0" applyBorder="0" applyAlignment="0" applyProtection="0"/>
    <xf numFmtId="0" fontId="25" fillId="0" borderId="48" applyNumberFormat="0" applyFill="0" applyAlignment="0" applyProtection="0"/>
    <xf numFmtId="0" fontId="86" fillId="0" borderId="49" applyNumberFormat="0" applyFill="0" applyAlignment="0" applyProtection="0"/>
    <xf numFmtId="0" fontId="87" fillId="0" borderId="50" applyNumberFormat="0" applyFill="0" applyAlignment="0" applyProtection="0"/>
    <xf numFmtId="0" fontId="87" fillId="0" borderId="0" applyNumberFormat="0" applyFill="0" applyBorder="0" applyAlignment="0" applyProtection="0"/>
    <xf numFmtId="0" fontId="64" fillId="74" borderId="0" applyNumberFormat="0" applyBorder="0" applyAlignment="0" applyProtection="0"/>
    <xf numFmtId="0" fontId="64" fillId="71" borderId="0" applyNumberFormat="0" applyBorder="0" applyAlignment="0" applyProtection="0"/>
    <xf numFmtId="0" fontId="64" fillId="68" borderId="0" applyNumberFormat="0" applyBorder="0" applyAlignment="0" applyProtection="0"/>
    <xf numFmtId="0" fontId="64" fillId="77" borderId="0" applyNumberFormat="0" applyBorder="0" applyAlignment="0" applyProtection="0"/>
    <xf numFmtId="0" fontId="24" fillId="73" borderId="0" applyNumberFormat="0" applyBorder="0" applyAlignment="0" applyProtection="0"/>
    <xf numFmtId="0" fontId="24" fillId="74" borderId="0" applyNumberFormat="0" applyBorder="0" applyAlignment="0" applyProtection="0"/>
    <xf numFmtId="0" fontId="24" fillId="75" borderId="0" applyNumberFormat="0" applyBorder="0" applyAlignment="0" applyProtection="0"/>
    <xf numFmtId="0" fontId="24" fillId="72" borderId="0" applyNumberFormat="0" applyBorder="0" applyAlignment="0" applyProtection="0"/>
    <xf numFmtId="0" fontId="24" fillId="71" borderId="0" applyNumberFormat="0" applyBorder="0" applyAlignment="0" applyProtection="0"/>
    <xf numFmtId="0" fontId="24" fillId="75" borderId="0" applyNumberFormat="0" applyBorder="0" applyAlignment="0" applyProtection="0"/>
    <xf numFmtId="0" fontId="64" fillId="83" borderId="0" applyNumberFormat="0" applyBorder="0" applyAlignment="0" applyProtection="0"/>
    <xf numFmtId="0" fontId="64" fillId="71" borderId="0" applyNumberFormat="0" applyBorder="0" applyAlignment="0" applyProtection="0"/>
    <xf numFmtId="0" fontId="24" fillId="71" borderId="0" applyNumberFormat="0" applyBorder="0" applyAlignment="0" applyProtection="0"/>
    <xf numFmtId="0" fontId="24" fillId="74" borderId="0" applyNumberFormat="0" applyBorder="0" applyAlignment="0" applyProtection="0"/>
    <xf numFmtId="0" fontId="24" fillId="78" borderId="0" applyNumberFormat="0" applyBorder="0" applyAlignment="0" applyProtection="0"/>
    <xf numFmtId="0" fontId="24" fillId="68" borderId="0" applyNumberFormat="0" applyBorder="0" applyAlignment="0" applyProtection="0"/>
    <xf numFmtId="0" fontId="24" fillId="71" borderId="0" applyNumberFormat="0" applyBorder="0" applyAlignment="0" applyProtection="0"/>
    <xf numFmtId="0" fontId="24" fillId="75" borderId="0" applyNumberFormat="0" applyBorder="0" applyAlignment="0" applyProtection="0"/>
    <xf numFmtId="0" fontId="24" fillId="75" borderId="0" applyNumberFormat="0" applyBorder="0" applyAlignment="0" applyProtection="0"/>
    <xf numFmtId="0" fontId="24" fillId="71" borderId="0" applyNumberFormat="0" applyBorder="0" applyAlignment="0" applyProtection="0"/>
    <xf numFmtId="0" fontId="24" fillId="68" borderId="0" applyNumberFormat="0" applyBorder="0" applyAlignment="0" applyProtection="0"/>
    <xf numFmtId="0" fontId="24" fillId="78" borderId="0" applyNumberFormat="0" applyBorder="0" applyAlignment="0" applyProtection="0"/>
    <xf numFmtId="0" fontId="64" fillId="71" borderId="0" applyNumberFormat="0" applyBorder="0" applyAlignment="0" applyProtection="0"/>
    <xf numFmtId="0" fontId="64" fillId="83" borderId="0" applyNumberFormat="0" applyBorder="0" applyAlignment="0" applyProtection="0"/>
    <xf numFmtId="0" fontId="64" fillId="77" borderId="0" applyNumberFormat="0" applyBorder="0" applyAlignment="0" applyProtection="0"/>
    <xf numFmtId="0" fontId="64" fillId="68" borderId="0" applyNumberFormat="0" applyBorder="0" applyAlignment="0" applyProtection="0"/>
    <xf numFmtId="0" fontId="64" fillId="71" borderId="0" applyNumberFormat="0" applyBorder="0" applyAlignment="0" applyProtection="0"/>
    <xf numFmtId="0" fontId="64" fillId="74" borderId="0" applyNumberFormat="0" applyBorder="0" applyAlignment="0" applyProtection="0"/>
    <xf numFmtId="0" fontId="24" fillId="74" borderId="0" applyNumberFormat="0" applyBorder="0" applyAlignment="0" applyProtection="0"/>
    <xf numFmtId="0" fontId="24" fillId="71" borderId="0" applyNumberFormat="0" applyBorder="0" applyAlignment="0" applyProtection="0"/>
    <xf numFmtId="0" fontId="65" fillId="71" borderId="0" applyNumberFormat="0" applyBorder="0" applyAlignment="0" applyProtection="0"/>
    <xf numFmtId="0" fontId="83" fillId="88" borderId="37" applyNumberFormat="0" applyAlignment="0" applyProtection="0"/>
    <xf numFmtId="0" fontId="67" fillId="89" borderId="38" applyNumberFormat="0" applyAlignment="0" applyProtection="0"/>
    <xf numFmtId="0" fontId="73" fillId="0" borderId="47" applyNumberFormat="0" applyFill="0" applyAlignment="0" applyProtection="0"/>
    <xf numFmtId="0" fontId="24" fillId="75" borderId="0" applyNumberFormat="0" applyBorder="0" applyAlignment="0" applyProtection="0"/>
    <xf numFmtId="0" fontId="64" fillId="90" borderId="0" applyNumberFormat="0" applyBorder="0" applyAlignment="0" applyProtection="0"/>
    <xf numFmtId="0" fontId="64" fillId="83" borderId="0" applyNumberFormat="0" applyBorder="0" applyAlignment="0" applyProtection="0"/>
    <xf numFmtId="0" fontId="64" fillId="77" borderId="0" applyNumberFormat="0" applyBorder="0" applyAlignment="0" applyProtection="0"/>
    <xf numFmtId="0" fontId="64" fillId="91" borderId="0" applyNumberFormat="0" applyBorder="0" applyAlignment="0" applyProtection="0"/>
    <xf numFmtId="0" fontId="64" fillId="81" borderId="0" applyNumberFormat="0" applyBorder="0" applyAlignment="0" applyProtection="0"/>
    <xf numFmtId="0" fontId="64" fillId="85" borderId="0" applyNumberFormat="0" applyBorder="0" applyAlignment="0" applyProtection="0"/>
    <xf numFmtId="0" fontId="69" fillId="78" borderId="37" applyNumberFormat="0" applyAlignment="0" applyProtection="0"/>
    <xf numFmtId="0" fontId="24" fillId="71" borderId="0" applyNumberFormat="0" applyBorder="0" applyAlignment="0" applyProtection="0"/>
    <xf numFmtId="0" fontId="24" fillId="72" borderId="0" applyNumberFormat="0" applyBorder="0" applyAlignment="0" applyProtection="0"/>
    <xf numFmtId="0" fontId="24" fillId="75" borderId="0" applyNumberFormat="0" applyBorder="0" applyAlignment="0" applyProtection="0"/>
    <xf numFmtId="0" fontId="24" fillId="74" borderId="0" applyNumberFormat="0" applyBorder="0" applyAlignment="0" applyProtection="0"/>
    <xf numFmtId="0" fontId="24" fillId="73" borderId="0" applyNumberFormat="0" applyBorder="0" applyAlignment="0" applyProtection="0"/>
    <xf numFmtId="0" fontId="70" fillId="70" borderId="0" applyNumberFormat="0" applyBorder="0" applyAlignment="0" applyProtection="0"/>
    <xf numFmtId="0" fontId="84" fillId="78" borderId="0" applyNumberFormat="0" applyBorder="0" applyAlignment="0" applyProtection="0"/>
    <xf numFmtId="0" fontId="23" fillId="75" borderId="40" applyNumberFormat="0" applyFont="0" applyAlignment="0" applyProtection="0"/>
    <xf numFmtId="0" fontId="72" fillId="88" borderId="41"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85" fillId="0" borderId="0" applyNumberFormat="0" applyFill="0" applyBorder="0" applyAlignment="0" applyProtection="0"/>
    <xf numFmtId="0" fontId="25" fillId="0" borderId="48" applyNumberFormat="0" applyFill="0" applyAlignment="0" applyProtection="0"/>
    <xf numFmtId="0" fontId="86" fillId="0" borderId="49" applyNumberFormat="0" applyFill="0" applyAlignment="0" applyProtection="0"/>
    <xf numFmtId="0" fontId="87" fillId="0" borderId="50" applyNumberFormat="0" applyFill="0" applyAlignment="0" applyProtection="0"/>
    <xf numFmtId="0" fontId="87" fillId="0" borderId="0" applyNumberFormat="0" applyFill="0" applyBorder="0" applyAlignment="0" applyProtection="0"/>
    <xf numFmtId="0" fontId="79" fillId="0" borderId="45" applyNumberFormat="0" applyFill="0" applyAlignment="0" applyProtection="0"/>
    <xf numFmtId="0" fontId="65" fillId="71" borderId="0" applyNumberFormat="0" applyBorder="0" applyAlignment="0" applyProtection="0"/>
    <xf numFmtId="0" fontId="83" fillId="88" borderId="37" applyNumberFormat="0" applyAlignment="0" applyProtection="0"/>
    <xf numFmtId="0" fontId="67" fillId="89" borderId="38" applyNumberFormat="0" applyAlignment="0" applyProtection="0"/>
    <xf numFmtId="0" fontId="73" fillId="0" borderId="47" applyNumberFormat="0" applyFill="0" applyAlignment="0" applyProtection="0"/>
    <xf numFmtId="0" fontId="64" fillId="90" borderId="0" applyNumberFormat="0" applyBorder="0" applyAlignment="0" applyProtection="0"/>
    <xf numFmtId="0" fontId="64" fillId="83" borderId="0" applyNumberFormat="0" applyBorder="0" applyAlignment="0" applyProtection="0"/>
    <xf numFmtId="0" fontId="64" fillId="77" borderId="0" applyNumberFormat="0" applyBorder="0" applyAlignment="0" applyProtection="0"/>
    <xf numFmtId="0" fontId="64" fillId="91" borderId="0" applyNumberFormat="0" applyBorder="0" applyAlignment="0" applyProtection="0"/>
    <xf numFmtId="0" fontId="64" fillId="81" borderId="0" applyNumberFormat="0" applyBorder="0" applyAlignment="0" applyProtection="0"/>
    <xf numFmtId="0" fontId="64" fillId="85" borderId="0" applyNumberFormat="0" applyBorder="0" applyAlignment="0" applyProtection="0"/>
    <xf numFmtId="0" fontId="69" fillId="78" borderId="37" applyNumberFormat="0" applyAlignment="0" applyProtection="0"/>
    <xf numFmtId="0" fontId="70" fillId="70" borderId="0" applyNumberFormat="0" applyBorder="0" applyAlignment="0" applyProtection="0"/>
    <xf numFmtId="0" fontId="84" fillId="78" borderId="0" applyNumberFormat="0" applyBorder="0" applyAlignment="0" applyProtection="0"/>
    <xf numFmtId="0" fontId="23" fillId="75" borderId="40" applyNumberFormat="0" applyFont="0" applyAlignment="0" applyProtection="0"/>
    <xf numFmtId="0" fontId="72" fillId="88" borderId="41"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85" fillId="0" borderId="0" applyNumberFormat="0" applyFill="0" applyBorder="0" applyAlignment="0" applyProtection="0"/>
    <xf numFmtId="0" fontId="25" fillId="0" borderId="48" applyNumberFormat="0" applyFill="0" applyAlignment="0" applyProtection="0"/>
    <xf numFmtId="0" fontId="86" fillId="0" borderId="49" applyNumberFormat="0" applyFill="0" applyAlignment="0" applyProtection="0"/>
    <xf numFmtId="0" fontId="87" fillId="0" borderId="50" applyNumberFormat="0" applyFill="0" applyAlignment="0" applyProtection="0"/>
    <xf numFmtId="0" fontId="87" fillId="0" borderId="0" applyNumberFormat="0" applyFill="0" applyBorder="0" applyAlignment="0" applyProtection="0"/>
    <xf numFmtId="0" fontId="79" fillId="0" borderId="45" applyNumberFormat="0" applyFill="0" applyAlignment="0" applyProtection="0"/>
    <xf numFmtId="0" fontId="19" fillId="0" borderId="0"/>
    <xf numFmtId="0" fontId="23" fillId="0" borderId="0"/>
    <xf numFmtId="0" fontId="19" fillId="0" borderId="0"/>
    <xf numFmtId="9" fontId="92" fillId="0" borderId="0" applyFon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66" fillId="87" borderId="37" applyNumberFormat="0" applyAlignment="0" applyProtection="0"/>
    <xf numFmtId="0" fontId="66" fillId="87" borderId="37" applyNumberFormat="0" applyAlignment="0" applyProtection="0"/>
    <xf numFmtId="0" fontId="66" fillId="87" borderId="37" applyNumberFormat="0" applyAlignment="0" applyProtection="0"/>
    <xf numFmtId="0" fontId="83" fillId="88" borderId="37" applyNumberFormat="0" applyAlignment="0" applyProtection="0"/>
    <xf numFmtId="0" fontId="83" fillId="88" borderId="37" applyNumberFormat="0" applyAlignment="0" applyProtection="0"/>
    <xf numFmtId="0" fontId="83" fillId="88" borderId="37" applyNumberFormat="0" applyAlignment="0" applyProtection="0"/>
    <xf numFmtId="0" fontId="80" fillId="0" borderId="0" applyFont="0" applyFill="0" applyBorder="0" applyAlignment="0" applyProtection="0"/>
    <xf numFmtId="0" fontId="69" fillId="78" borderId="37" applyNumberFormat="0" applyAlignment="0" applyProtection="0"/>
    <xf numFmtId="0" fontId="69" fillId="78" borderId="37" applyNumberFormat="0" applyAlignment="0" applyProtection="0"/>
    <xf numFmtId="0" fontId="69" fillId="78" borderId="37" applyNumberFormat="0" applyAlignment="0" applyProtection="0"/>
    <xf numFmtId="2" fontId="80" fillId="0" borderId="0" applyFont="0" applyFill="0" applyBorder="0" applyAlignment="0" applyProtection="0"/>
    <xf numFmtId="0" fontId="69" fillId="72" borderId="37" applyNumberFormat="0" applyAlignment="0" applyProtection="0"/>
    <xf numFmtId="0" fontId="69" fillId="72" borderId="37" applyNumberFormat="0" applyAlignment="0" applyProtection="0"/>
    <xf numFmtId="0" fontId="69" fillId="72" borderId="37" applyNumberFormat="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6"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5" fontId="8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 fontId="80" fillId="0" borderId="0">
      <alignment vertical="center" wrapText="1"/>
      <protection locked="0"/>
    </xf>
    <xf numFmtId="0" fontId="23" fillId="0" borderId="0"/>
    <xf numFmtId="0" fontId="23" fillId="0" borderId="0"/>
    <xf numFmtId="0" fontId="109" fillId="0" borderId="0"/>
    <xf numFmtId="0" fontId="19" fillId="0" borderId="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94" fillId="4" borderId="15"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72" fillId="88" borderId="41" applyNumberFormat="0" applyAlignment="0" applyProtection="0"/>
    <xf numFmtId="0" fontId="72" fillId="59" borderId="41" applyNumberFormat="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0" fontId="79" fillId="0" borderId="45" applyNumberFormat="0" applyFill="0" applyAlignment="0" applyProtection="0"/>
    <xf numFmtId="0" fontId="80" fillId="0" borderId="46" applyNumberFormat="0" applyFont="0" applyFill="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 fontId="80"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19"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3" fontId="80" fillId="0" borderId="0" applyFont="0" applyFill="0" applyBorder="0" applyAlignment="0" applyProtection="0"/>
    <xf numFmtId="0" fontId="66" fillId="87" borderId="37" applyNumberFormat="0" applyAlignment="0" applyProtection="0"/>
    <xf numFmtId="0" fontId="83" fillId="88" borderId="37" applyNumberFormat="0" applyAlignment="0" applyProtection="0"/>
    <xf numFmtId="0" fontId="69" fillId="78" borderId="37" applyNumberFormat="0" applyAlignment="0" applyProtection="0"/>
    <xf numFmtId="0" fontId="69" fillId="72" borderId="37" applyNumberFormat="0" applyAlignment="0" applyProtection="0"/>
    <xf numFmtId="0" fontId="23" fillId="75" borderId="40" applyNumberFormat="0" applyFont="0" applyAlignment="0" applyProtection="0"/>
    <xf numFmtId="0" fontId="24" fillId="75" borderId="40" applyNumberFormat="0" applyFont="0" applyAlignment="0" applyProtection="0"/>
    <xf numFmtId="0" fontId="72" fillId="87" borderId="41" applyNumberFormat="0" applyAlignment="0" applyProtection="0"/>
    <xf numFmtId="0" fontId="72" fillId="88" borderId="41" applyNumberFormat="0" applyAlignment="0" applyProtection="0"/>
    <xf numFmtId="0" fontId="79" fillId="0" borderId="45" applyNumberFormat="0" applyFill="0" applyAlignment="0" applyProtection="0"/>
    <xf numFmtId="0" fontId="23" fillId="75" borderId="40" applyNumberFormat="0" applyFont="0" applyAlignment="0" applyProtection="0"/>
    <xf numFmtId="0" fontId="66" fillId="87" borderId="37" applyNumberFormat="0" applyAlignment="0" applyProtection="0"/>
    <xf numFmtId="0" fontId="83" fillId="88" borderId="37" applyNumberFormat="0" applyAlignment="0" applyProtection="0"/>
    <xf numFmtId="0" fontId="69" fillId="78" borderId="37" applyNumberFormat="0" applyAlignment="0" applyProtection="0"/>
    <xf numFmtId="0" fontId="69" fillId="72" borderId="37" applyNumberFormat="0" applyAlignment="0" applyProtection="0"/>
    <xf numFmtId="0" fontId="23" fillId="75" borderId="40" applyNumberFormat="0" applyFont="0" applyAlignment="0" applyProtection="0"/>
    <xf numFmtId="0" fontId="24"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66" fillId="59" borderId="37" applyNumberFormat="0" applyAlignment="0" applyProtection="0"/>
    <xf numFmtId="0" fontId="69" fillId="50" borderId="37" applyNumberFormat="0" applyAlignment="0" applyProtection="0"/>
    <xf numFmtId="0" fontId="23" fillId="66" borderId="40" applyNumberFormat="0" applyAlignment="0" applyProtection="0"/>
    <xf numFmtId="0" fontId="23" fillId="75" borderId="40" applyNumberFormat="0" applyFont="0" applyAlignment="0" applyProtection="0"/>
    <xf numFmtId="0" fontId="83" fillId="88" borderId="37" applyNumberFormat="0" applyAlignment="0" applyProtection="0"/>
    <xf numFmtId="0" fontId="69" fillId="78" borderId="37" applyNumberForma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69" fillId="78" borderId="37" applyNumberFormat="0" applyAlignment="0" applyProtection="0"/>
    <xf numFmtId="0" fontId="69" fillId="78" borderId="37" applyNumberFormat="0" applyAlignment="0" applyProtection="0"/>
    <xf numFmtId="0" fontId="69" fillId="78" borderId="37" applyNumberFormat="0" applyAlignment="0" applyProtection="0"/>
    <xf numFmtId="0" fontId="83" fillId="88" borderId="37" applyNumberFormat="0" applyAlignment="0" applyProtection="0"/>
    <xf numFmtId="0" fontId="83" fillId="88" borderId="37" applyNumberFormat="0" applyAlignment="0" applyProtection="0"/>
    <xf numFmtId="0" fontId="83" fillId="88" borderId="37" applyNumberFormat="0" applyAlignment="0" applyProtection="0"/>
    <xf numFmtId="0" fontId="66" fillId="87" borderId="37" applyNumberFormat="0" applyAlignment="0" applyProtection="0"/>
    <xf numFmtId="0" fontId="66" fillId="87" borderId="37" applyNumberFormat="0" applyAlignment="0" applyProtection="0"/>
    <xf numFmtId="0" fontId="66" fillId="87" borderId="37" applyNumberFormat="0" applyAlignment="0" applyProtection="0"/>
    <xf numFmtId="0" fontId="69" fillId="72" borderId="37" applyNumberFormat="0" applyAlignment="0" applyProtection="0"/>
    <xf numFmtId="0" fontId="69" fillId="72" borderId="37" applyNumberFormat="0" applyAlignment="0" applyProtection="0"/>
    <xf numFmtId="0" fontId="69" fillId="72" borderId="37" applyNumberForma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3" fillId="75" borderId="40" applyNumberFormat="0" applyFont="0" applyAlignment="0" applyProtection="0"/>
    <xf numFmtId="0" fontId="83" fillId="88" borderId="37" applyNumberFormat="0" applyAlignment="0" applyProtection="0"/>
    <xf numFmtId="0" fontId="69" fillId="78" borderId="37" applyNumberFormat="0" applyAlignment="0" applyProtection="0"/>
    <xf numFmtId="0" fontId="83" fillId="88" borderId="37" applyNumberFormat="0" applyAlignment="0" applyProtection="0"/>
    <xf numFmtId="0" fontId="69" fillId="78" borderId="37" applyNumberFormat="0" applyAlignment="0" applyProtection="0"/>
    <xf numFmtId="0" fontId="83" fillId="88" borderId="37" applyNumberFormat="0" applyAlignment="0" applyProtection="0"/>
    <xf numFmtId="0" fontId="69" fillId="78" borderId="37" applyNumberForma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72" fillId="87" borderId="41" applyNumberFormat="0" applyAlignment="0" applyProtection="0"/>
    <xf numFmtId="0" fontId="79" fillId="0" borderId="45" applyNumberFormat="0" applyFill="0" applyAlignment="0" applyProtection="0"/>
    <xf numFmtId="0" fontId="72" fillId="88" borderId="41" applyNumberFormat="0" applyAlignment="0" applyProtection="0"/>
    <xf numFmtId="0" fontId="23" fillId="75" borderId="40" applyNumberFormat="0" applyFont="0" applyAlignment="0" applyProtection="0"/>
    <xf numFmtId="0" fontId="72" fillId="88" borderId="41" applyNumberFormat="0" applyAlignment="0" applyProtection="0"/>
    <xf numFmtId="0" fontId="72" fillId="88" borderId="41" applyNumberFormat="0" applyAlignment="0" applyProtection="0"/>
    <xf numFmtId="0" fontId="72" fillId="88" borderId="41" applyNumberFormat="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72" fillId="88" borderId="41" applyNumberFormat="0" applyAlignment="0" applyProtection="0"/>
    <xf numFmtId="0" fontId="72" fillId="88" borderId="41" applyNumberFormat="0" applyAlignment="0" applyProtection="0"/>
    <xf numFmtId="0" fontId="72" fillId="88" borderId="41" applyNumberFormat="0" applyAlignment="0" applyProtection="0"/>
    <xf numFmtId="0" fontId="72" fillId="87" borderId="41" applyNumberFormat="0" applyAlignment="0" applyProtection="0"/>
    <xf numFmtId="0" fontId="79" fillId="0" borderId="45" applyNumberFormat="0" applyFill="0" applyAlignment="0" applyProtection="0"/>
    <xf numFmtId="0" fontId="72" fillId="59" borderId="41" applyNumberFormat="0" applyAlignment="0" applyProtection="0"/>
    <xf numFmtId="0" fontId="79" fillId="0" borderId="45" applyNumberFormat="0" applyFill="0" applyAlignment="0" applyProtection="0"/>
    <xf numFmtId="0" fontId="72" fillId="88" borderId="41" applyNumberFormat="0" applyAlignment="0" applyProtection="0"/>
    <xf numFmtId="0" fontId="72" fillId="87" borderId="41" applyNumberFormat="0" applyAlignment="0" applyProtection="0"/>
    <xf numFmtId="0" fontId="72" fillId="88" borderId="41" applyNumberFormat="0" applyAlignment="0" applyProtection="0"/>
    <xf numFmtId="0" fontId="79" fillId="0" borderId="45" applyNumberFormat="0" applyFill="0" applyAlignment="0" applyProtection="0"/>
    <xf numFmtId="0" fontId="72" fillId="59" borderId="41" applyNumberFormat="0" applyAlignment="0" applyProtection="0"/>
    <xf numFmtId="0" fontId="79" fillId="0" borderId="45" applyNumberFormat="0" applyFill="0" applyAlignment="0" applyProtection="0"/>
    <xf numFmtId="0" fontId="72" fillId="88" borderId="41" applyNumberFormat="0" applyAlignment="0" applyProtection="0"/>
    <xf numFmtId="0" fontId="79" fillId="0" borderId="45" applyNumberFormat="0" applyFill="0" applyAlignment="0" applyProtection="0"/>
    <xf numFmtId="0" fontId="23" fillId="75" borderId="40" applyNumberFormat="0" applyFont="0" applyAlignment="0" applyProtection="0"/>
    <xf numFmtId="0" fontId="66" fillId="59" borderId="37" applyNumberFormat="0" applyAlignment="0" applyProtection="0"/>
    <xf numFmtId="0" fontId="69" fillId="50" borderId="37" applyNumberFormat="0" applyAlignment="0" applyProtection="0"/>
    <xf numFmtId="0" fontId="23" fillId="66" borderId="40" applyNumberFormat="0" applyAlignment="0" applyProtection="0"/>
    <xf numFmtId="0" fontId="23" fillId="75" borderId="40" applyNumberFormat="0" applyFont="0" applyAlignment="0" applyProtection="0"/>
    <xf numFmtId="0" fontId="83" fillId="88" borderId="37" applyNumberFormat="0" applyAlignment="0" applyProtection="0"/>
    <xf numFmtId="0" fontId="69" fillId="78" borderId="37" applyNumberForma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69" fillId="78" borderId="37" applyNumberFormat="0" applyAlignment="0" applyProtection="0"/>
    <xf numFmtId="0" fontId="69" fillId="78" borderId="37" applyNumberFormat="0" applyAlignment="0" applyProtection="0"/>
    <xf numFmtId="0" fontId="69" fillId="78" borderId="37" applyNumberFormat="0" applyAlignment="0" applyProtection="0"/>
    <xf numFmtId="0" fontId="83" fillId="88" borderId="37" applyNumberFormat="0" applyAlignment="0" applyProtection="0"/>
    <xf numFmtId="0" fontId="83" fillId="88" borderId="37" applyNumberFormat="0" applyAlignment="0" applyProtection="0"/>
    <xf numFmtId="0" fontId="83" fillId="88" borderId="37" applyNumberFormat="0" applyAlignment="0" applyProtection="0"/>
    <xf numFmtId="0" fontId="66" fillId="87" borderId="37" applyNumberFormat="0" applyAlignment="0" applyProtection="0"/>
    <xf numFmtId="0" fontId="66" fillId="87" borderId="37" applyNumberFormat="0" applyAlignment="0" applyProtection="0"/>
    <xf numFmtId="0" fontId="66" fillId="87" borderId="37" applyNumberFormat="0" applyAlignment="0" applyProtection="0"/>
    <xf numFmtId="0" fontId="69" fillId="72" borderId="37" applyNumberFormat="0" applyAlignment="0" applyProtection="0"/>
    <xf numFmtId="0" fontId="69" fillId="72" borderId="37" applyNumberFormat="0" applyAlignment="0" applyProtection="0"/>
    <xf numFmtId="0" fontId="69" fillId="72" borderId="37" applyNumberForma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3" fillId="75" borderId="40" applyNumberFormat="0" applyFont="0" applyAlignment="0" applyProtection="0"/>
    <xf numFmtId="0" fontId="83" fillId="88" borderId="37" applyNumberFormat="0" applyAlignment="0" applyProtection="0"/>
    <xf numFmtId="0" fontId="69" fillId="78" borderId="37" applyNumberFormat="0" applyAlignment="0" applyProtection="0"/>
    <xf numFmtId="0" fontId="83" fillId="88" borderId="37" applyNumberFormat="0" applyAlignment="0" applyProtection="0"/>
    <xf numFmtId="0" fontId="69" fillId="78" borderId="37" applyNumberFormat="0" applyAlignment="0" applyProtection="0"/>
    <xf numFmtId="0" fontId="83" fillId="88" borderId="37" applyNumberFormat="0" applyAlignment="0" applyProtection="0"/>
    <xf numFmtId="0" fontId="69" fillId="78" borderId="37" applyNumberForma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0" borderId="0"/>
    <xf numFmtId="0" fontId="23" fillId="75" borderId="40"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10" fillId="0" borderId="0"/>
    <xf numFmtId="177" fontId="110" fillId="0" borderId="0" applyBorder="0" applyProtection="0"/>
    <xf numFmtId="9" fontId="110" fillId="0" borderId="0" applyBorder="0" applyProtection="0"/>
    <xf numFmtId="0" fontId="110" fillId="0" borderId="0"/>
    <xf numFmtId="0" fontId="111"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22" borderId="0" applyNumberFormat="0" applyBorder="0" applyAlignment="0" applyProtection="0"/>
    <xf numFmtId="0" fontId="24" fillId="67" borderId="0" applyNumberFormat="0" applyBorder="0" applyAlignment="0" applyProtection="0"/>
    <xf numFmtId="0" fontId="19" fillId="22" borderId="0" applyNumberFormat="0" applyBorder="0" applyAlignment="0" applyProtection="0"/>
    <xf numFmtId="0" fontId="24" fillId="67" borderId="0" applyNumberFormat="0" applyBorder="0" applyAlignment="0" applyProtection="0"/>
    <xf numFmtId="0" fontId="19" fillId="22" borderId="0" applyNumberFormat="0" applyBorder="0" applyAlignment="0" applyProtection="0"/>
    <xf numFmtId="0" fontId="24" fillId="67" borderId="0" applyNumberFormat="0" applyBorder="0" applyAlignment="0" applyProtection="0"/>
    <xf numFmtId="0" fontId="19" fillId="22"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19" fillId="22" borderId="0" applyNumberFormat="0" applyBorder="0" applyAlignment="0" applyProtection="0"/>
    <xf numFmtId="0" fontId="24" fillId="67" borderId="0" applyNumberFormat="0" applyBorder="0" applyAlignment="0" applyProtection="0"/>
    <xf numFmtId="0" fontId="29" fillId="22" borderId="0" applyNumberFormat="0" applyBorder="0" applyAlignment="0" applyProtection="0"/>
    <xf numFmtId="0" fontId="19" fillId="22" borderId="0" applyNumberFormat="0" applyBorder="0" applyAlignment="0" applyProtection="0"/>
    <xf numFmtId="0" fontId="24" fillId="67" borderId="0" applyNumberFormat="0" applyBorder="0" applyAlignment="0" applyProtection="0"/>
    <xf numFmtId="0" fontId="29" fillId="22" borderId="0" applyNumberFormat="0" applyBorder="0" applyAlignment="0" applyProtection="0"/>
    <xf numFmtId="0" fontId="19" fillId="22" borderId="0" applyNumberFormat="0" applyBorder="0" applyAlignment="0" applyProtection="0"/>
    <xf numFmtId="0" fontId="24" fillId="67" borderId="0" applyNumberFormat="0" applyBorder="0" applyAlignment="0" applyProtection="0"/>
    <xf numFmtId="0" fontId="29" fillId="22" borderId="0" applyNumberFormat="0" applyBorder="0" applyAlignment="0" applyProtection="0"/>
    <xf numFmtId="0" fontId="19" fillId="22" borderId="0" applyNumberFormat="0" applyBorder="0" applyAlignment="0" applyProtection="0"/>
    <xf numFmtId="0" fontId="24" fillId="67" borderId="0" applyNumberFormat="0" applyBorder="0" applyAlignment="0" applyProtection="0"/>
    <xf numFmtId="0" fontId="29" fillId="22" borderId="0" applyNumberFormat="0" applyBorder="0" applyAlignment="0" applyProtection="0"/>
    <xf numFmtId="0" fontId="19" fillId="22" borderId="0" applyNumberFormat="0" applyBorder="0" applyAlignment="0" applyProtection="0"/>
    <xf numFmtId="0" fontId="24" fillId="67" borderId="0" applyNumberFormat="0" applyBorder="0" applyAlignment="0" applyProtection="0"/>
    <xf numFmtId="0" fontId="29" fillId="22" borderId="0" applyNumberFormat="0" applyBorder="0" applyAlignment="0" applyProtection="0"/>
    <xf numFmtId="0" fontId="19" fillId="22" borderId="0" applyNumberFormat="0" applyBorder="0" applyAlignment="0" applyProtection="0"/>
    <xf numFmtId="0" fontId="24" fillId="67"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4" fillId="67" borderId="0" applyNumberFormat="0" applyBorder="0" applyAlignment="0" applyProtection="0"/>
    <xf numFmtId="0" fontId="29" fillId="22" borderId="0" applyNumberFormat="0" applyBorder="0" applyAlignment="0" applyProtection="0"/>
    <xf numFmtId="0" fontId="24" fillId="67" borderId="0" applyNumberFormat="0" applyBorder="0" applyAlignment="0" applyProtection="0"/>
    <xf numFmtId="0" fontId="19" fillId="26" borderId="0" applyNumberFormat="0" applyBorder="0" applyAlignment="0" applyProtection="0"/>
    <xf numFmtId="0" fontId="24" fillId="68" borderId="0" applyNumberFormat="0" applyBorder="0" applyAlignment="0" applyProtection="0"/>
    <xf numFmtId="0" fontId="19" fillId="26" borderId="0" applyNumberFormat="0" applyBorder="0" applyAlignment="0" applyProtection="0"/>
    <xf numFmtId="0" fontId="24" fillId="68" borderId="0" applyNumberFormat="0" applyBorder="0" applyAlignment="0" applyProtection="0"/>
    <xf numFmtId="0" fontId="19" fillId="26" borderId="0" applyNumberFormat="0" applyBorder="0" applyAlignment="0" applyProtection="0"/>
    <xf numFmtId="0" fontId="24" fillId="68" borderId="0" applyNumberFormat="0" applyBorder="0" applyAlignment="0" applyProtection="0"/>
    <xf numFmtId="0" fontId="19" fillId="26"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19" fillId="26" borderId="0" applyNumberFormat="0" applyBorder="0" applyAlignment="0" applyProtection="0"/>
    <xf numFmtId="0" fontId="24" fillId="68" borderId="0" applyNumberFormat="0" applyBorder="0" applyAlignment="0" applyProtection="0"/>
    <xf numFmtId="0" fontId="29" fillId="26" borderId="0" applyNumberFormat="0" applyBorder="0" applyAlignment="0" applyProtection="0"/>
    <xf numFmtId="0" fontId="19" fillId="26" borderId="0" applyNumberFormat="0" applyBorder="0" applyAlignment="0" applyProtection="0"/>
    <xf numFmtId="0" fontId="24" fillId="68" borderId="0" applyNumberFormat="0" applyBorder="0" applyAlignment="0" applyProtection="0"/>
    <xf numFmtId="0" fontId="29" fillId="26" borderId="0" applyNumberFormat="0" applyBorder="0" applyAlignment="0" applyProtection="0"/>
    <xf numFmtId="0" fontId="19" fillId="26" borderId="0" applyNumberFormat="0" applyBorder="0" applyAlignment="0" applyProtection="0"/>
    <xf numFmtId="0" fontId="24" fillId="68" borderId="0" applyNumberFormat="0" applyBorder="0" applyAlignment="0" applyProtection="0"/>
    <xf numFmtId="0" fontId="29" fillId="26" borderId="0" applyNumberFormat="0" applyBorder="0" applyAlignment="0" applyProtection="0"/>
    <xf numFmtId="0" fontId="19" fillId="26" borderId="0" applyNumberFormat="0" applyBorder="0" applyAlignment="0" applyProtection="0"/>
    <xf numFmtId="0" fontId="24" fillId="68" borderId="0" applyNumberFormat="0" applyBorder="0" applyAlignment="0" applyProtection="0"/>
    <xf numFmtId="0" fontId="29" fillId="26" borderId="0" applyNumberFormat="0" applyBorder="0" applyAlignment="0" applyProtection="0"/>
    <xf numFmtId="0" fontId="19" fillId="26" borderId="0" applyNumberFormat="0" applyBorder="0" applyAlignment="0" applyProtection="0"/>
    <xf numFmtId="0" fontId="24" fillId="68" borderId="0" applyNumberFormat="0" applyBorder="0" applyAlignment="0" applyProtection="0"/>
    <xf numFmtId="0" fontId="29" fillId="26" borderId="0" applyNumberFormat="0" applyBorder="0" applyAlignment="0" applyProtection="0"/>
    <xf numFmtId="0" fontId="19" fillId="26" borderId="0" applyNumberFormat="0" applyBorder="0" applyAlignment="0" applyProtection="0"/>
    <xf numFmtId="0" fontId="24" fillId="68"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4" fillId="68" borderId="0" applyNumberFormat="0" applyBorder="0" applyAlignment="0" applyProtection="0"/>
    <xf numFmtId="0" fontId="29" fillId="26" borderId="0" applyNumberFormat="0" applyBorder="0" applyAlignment="0" applyProtection="0"/>
    <xf numFmtId="0" fontId="24" fillId="68" borderId="0" applyNumberFormat="0" applyBorder="0" applyAlignment="0" applyProtection="0"/>
    <xf numFmtId="0" fontId="19" fillId="30" borderId="0" applyNumberFormat="0" applyBorder="0" applyAlignment="0" applyProtection="0"/>
    <xf numFmtId="0" fontId="24" fillId="69" borderId="0" applyNumberFormat="0" applyBorder="0" applyAlignment="0" applyProtection="0"/>
    <xf numFmtId="0" fontId="19" fillId="30" borderId="0" applyNumberFormat="0" applyBorder="0" applyAlignment="0" applyProtection="0"/>
    <xf numFmtId="0" fontId="24" fillId="69" borderId="0" applyNumberFormat="0" applyBorder="0" applyAlignment="0" applyProtection="0"/>
    <xf numFmtId="0" fontId="19" fillId="30" borderId="0" applyNumberFormat="0" applyBorder="0" applyAlignment="0" applyProtection="0"/>
    <xf numFmtId="0" fontId="24" fillId="69" borderId="0" applyNumberFormat="0" applyBorder="0" applyAlignment="0" applyProtection="0"/>
    <xf numFmtId="0" fontId="19" fillId="30"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19" fillId="30" borderId="0" applyNumberFormat="0" applyBorder="0" applyAlignment="0" applyProtection="0"/>
    <xf numFmtId="0" fontId="24" fillId="69" borderId="0" applyNumberFormat="0" applyBorder="0" applyAlignment="0" applyProtection="0"/>
    <xf numFmtId="0" fontId="29" fillId="30" borderId="0" applyNumberFormat="0" applyBorder="0" applyAlignment="0" applyProtection="0"/>
    <xf numFmtId="0" fontId="19" fillId="30" borderId="0" applyNumberFormat="0" applyBorder="0" applyAlignment="0" applyProtection="0"/>
    <xf numFmtId="0" fontId="24" fillId="69" borderId="0" applyNumberFormat="0" applyBorder="0" applyAlignment="0" applyProtection="0"/>
    <xf numFmtId="0" fontId="29" fillId="30" borderId="0" applyNumberFormat="0" applyBorder="0" applyAlignment="0" applyProtection="0"/>
    <xf numFmtId="0" fontId="19" fillId="30" borderId="0" applyNumberFormat="0" applyBorder="0" applyAlignment="0" applyProtection="0"/>
    <xf numFmtId="0" fontId="24" fillId="69" borderId="0" applyNumberFormat="0" applyBorder="0" applyAlignment="0" applyProtection="0"/>
    <xf numFmtId="0" fontId="29" fillId="30" borderId="0" applyNumberFormat="0" applyBorder="0" applyAlignment="0" applyProtection="0"/>
    <xf numFmtId="0" fontId="19" fillId="30" borderId="0" applyNumberFormat="0" applyBorder="0" applyAlignment="0" applyProtection="0"/>
    <xf numFmtId="0" fontId="24" fillId="69" borderId="0" applyNumberFormat="0" applyBorder="0" applyAlignment="0" applyProtection="0"/>
    <xf numFmtId="0" fontId="29" fillId="30" borderId="0" applyNumberFormat="0" applyBorder="0" applyAlignment="0" applyProtection="0"/>
    <xf numFmtId="0" fontId="19" fillId="30" borderId="0" applyNumberFormat="0" applyBorder="0" applyAlignment="0" applyProtection="0"/>
    <xf numFmtId="0" fontId="24" fillId="69" borderId="0" applyNumberFormat="0" applyBorder="0" applyAlignment="0" applyProtection="0"/>
    <xf numFmtId="0" fontId="29" fillId="30" borderId="0" applyNumberFormat="0" applyBorder="0" applyAlignment="0" applyProtection="0"/>
    <xf numFmtId="0" fontId="19" fillId="30" borderId="0" applyNumberFormat="0" applyBorder="0" applyAlignment="0" applyProtection="0"/>
    <xf numFmtId="0" fontId="24" fillId="69"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4" fillId="69" borderId="0" applyNumberFormat="0" applyBorder="0" applyAlignment="0" applyProtection="0"/>
    <xf numFmtId="0" fontId="29" fillId="30" borderId="0" applyNumberFormat="0" applyBorder="0" applyAlignment="0" applyProtection="0"/>
    <xf numFmtId="0" fontId="24" fillId="69" borderId="0" applyNumberFormat="0" applyBorder="0" applyAlignment="0" applyProtection="0"/>
    <xf numFmtId="0" fontId="19" fillId="34" borderId="0" applyNumberFormat="0" applyBorder="0" applyAlignment="0" applyProtection="0"/>
    <xf numFmtId="0" fontId="24" fillId="70" borderId="0" applyNumberFormat="0" applyBorder="0" applyAlignment="0" applyProtection="0"/>
    <xf numFmtId="0" fontId="19" fillId="34" borderId="0" applyNumberFormat="0" applyBorder="0" applyAlignment="0" applyProtection="0"/>
    <xf numFmtId="0" fontId="24" fillId="70" borderId="0" applyNumberFormat="0" applyBorder="0" applyAlignment="0" applyProtection="0"/>
    <xf numFmtId="0" fontId="19" fillId="34" borderId="0" applyNumberFormat="0" applyBorder="0" applyAlignment="0" applyProtection="0"/>
    <xf numFmtId="0" fontId="24" fillId="70" borderId="0" applyNumberFormat="0" applyBorder="0" applyAlignment="0" applyProtection="0"/>
    <xf numFmtId="0" fontId="19" fillId="34"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19" fillId="34" borderId="0" applyNumberFormat="0" applyBorder="0" applyAlignment="0" applyProtection="0"/>
    <xf numFmtId="0" fontId="24" fillId="70" borderId="0" applyNumberFormat="0" applyBorder="0" applyAlignment="0" applyProtection="0"/>
    <xf numFmtId="0" fontId="29" fillId="34" borderId="0" applyNumberFormat="0" applyBorder="0" applyAlignment="0" applyProtection="0"/>
    <xf numFmtId="0" fontId="19" fillId="34" borderId="0" applyNumberFormat="0" applyBorder="0" applyAlignment="0" applyProtection="0"/>
    <xf numFmtId="0" fontId="24" fillId="70" borderId="0" applyNumberFormat="0" applyBorder="0" applyAlignment="0" applyProtection="0"/>
    <xf numFmtId="0" fontId="29" fillId="34" borderId="0" applyNumberFormat="0" applyBorder="0" applyAlignment="0" applyProtection="0"/>
    <xf numFmtId="0" fontId="19" fillId="34" borderId="0" applyNumberFormat="0" applyBorder="0" applyAlignment="0" applyProtection="0"/>
    <xf numFmtId="0" fontId="24" fillId="70" borderId="0" applyNumberFormat="0" applyBorder="0" applyAlignment="0" applyProtection="0"/>
    <xf numFmtId="0" fontId="29" fillId="34" borderId="0" applyNumberFormat="0" applyBorder="0" applyAlignment="0" applyProtection="0"/>
    <xf numFmtId="0" fontId="19" fillId="34" borderId="0" applyNumberFormat="0" applyBorder="0" applyAlignment="0" applyProtection="0"/>
    <xf numFmtId="0" fontId="24" fillId="70" borderId="0" applyNumberFormat="0" applyBorder="0" applyAlignment="0" applyProtection="0"/>
    <xf numFmtId="0" fontId="29" fillId="34" borderId="0" applyNumberFormat="0" applyBorder="0" applyAlignment="0" applyProtection="0"/>
    <xf numFmtId="0" fontId="19" fillId="34" borderId="0" applyNumberFormat="0" applyBorder="0" applyAlignment="0" applyProtection="0"/>
    <xf numFmtId="0" fontId="24" fillId="70" borderId="0" applyNumberFormat="0" applyBorder="0" applyAlignment="0" applyProtection="0"/>
    <xf numFmtId="0" fontId="29" fillId="34" borderId="0" applyNumberFormat="0" applyBorder="0" applyAlignment="0" applyProtection="0"/>
    <xf numFmtId="0" fontId="19" fillId="34" borderId="0" applyNumberFormat="0" applyBorder="0" applyAlignment="0" applyProtection="0"/>
    <xf numFmtId="0" fontId="24" fillId="70"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4" fillId="70" borderId="0" applyNumberFormat="0" applyBorder="0" applyAlignment="0" applyProtection="0"/>
    <xf numFmtId="0" fontId="29" fillId="34" borderId="0" applyNumberFormat="0" applyBorder="0" applyAlignment="0" applyProtection="0"/>
    <xf numFmtId="0" fontId="24" fillId="70" borderId="0" applyNumberFormat="0" applyBorder="0" applyAlignment="0" applyProtection="0"/>
    <xf numFmtId="0" fontId="19" fillId="38" borderId="0" applyNumberFormat="0" applyBorder="0" applyAlignment="0" applyProtection="0"/>
    <xf numFmtId="0" fontId="24" fillId="71" borderId="0" applyNumberFormat="0" applyBorder="0" applyAlignment="0" applyProtection="0"/>
    <xf numFmtId="0" fontId="19" fillId="38" borderId="0" applyNumberFormat="0" applyBorder="0" applyAlignment="0" applyProtection="0"/>
    <xf numFmtId="0" fontId="24" fillId="71" borderId="0" applyNumberFormat="0" applyBorder="0" applyAlignment="0" applyProtection="0"/>
    <xf numFmtId="0" fontId="19" fillId="38" borderId="0" applyNumberFormat="0" applyBorder="0" applyAlignment="0" applyProtection="0"/>
    <xf numFmtId="0" fontId="24" fillId="71" borderId="0" applyNumberFormat="0" applyBorder="0" applyAlignment="0" applyProtection="0"/>
    <xf numFmtId="0" fontId="19" fillId="38"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19" fillId="38" borderId="0" applyNumberFormat="0" applyBorder="0" applyAlignment="0" applyProtection="0"/>
    <xf numFmtId="0" fontId="29" fillId="38" borderId="0" applyNumberFormat="0" applyBorder="0" applyAlignment="0" applyProtection="0"/>
    <xf numFmtId="0" fontId="19" fillId="38" borderId="0" applyNumberFormat="0" applyBorder="0" applyAlignment="0" applyProtection="0"/>
    <xf numFmtId="0" fontId="24" fillId="71" borderId="0" applyNumberFormat="0" applyBorder="0" applyAlignment="0" applyProtection="0"/>
    <xf numFmtId="0" fontId="29" fillId="38" borderId="0" applyNumberFormat="0" applyBorder="0" applyAlignment="0" applyProtection="0"/>
    <xf numFmtId="0" fontId="19" fillId="38" borderId="0" applyNumberFormat="0" applyBorder="0" applyAlignment="0" applyProtection="0"/>
    <xf numFmtId="0" fontId="24" fillId="71" borderId="0" applyNumberFormat="0" applyBorder="0" applyAlignment="0" applyProtection="0"/>
    <xf numFmtId="0" fontId="29" fillId="38" borderId="0" applyNumberFormat="0" applyBorder="0" applyAlignment="0" applyProtection="0"/>
    <xf numFmtId="0" fontId="19" fillId="38" borderId="0" applyNumberFormat="0" applyBorder="0" applyAlignment="0" applyProtection="0"/>
    <xf numFmtId="0" fontId="24" fillId="71" borderId="0" applyNumberFormat="0" applyBorder="0" applyAlignment="0" applyProtection="0"/>
    <xf numFmtId="0" fontId="29" fillId="38" borderId="0" applyNumberFormat="0" applyBorder="0" applyAlignment="0" applyProtection="0"/>
    <xf numFmtId="0" fontId="19" fillId="38" borderId="0" applyNumberFormat="0" applyBorder="0" applyAlignment="0" applyProtection="0"/>
    <xf numFmtId="0" fontId="24" fillId="71" borderId="0" applyNumberFormat="0" applyBorder="0" applyAlignment="0" applyProtection="0"/>
    <xf numFmtId="0" fontId="29" fillId="38" borderId="0" applyNumberFormat="0" applyBorder="0" applyAlignment="0" applyProtection="0"/>
    <xf numFmtId="0" fontId="19" fillId="38" borderId="0" applyNumberFormat="0" applyBorder="0" applyAlignment="0" applyProtection="0"/>
    <xf numFmtId="0" fontId="24" fillId="71"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4" fillId="71" borderId="0" applyNumberFormat="0" applyBorder="0" applyAlignment="0" applyProtection="0"/>
    <xf numFmtId="0" fontId="29" fillId="38" borderId="0" applyNumberFormat="0" applyBorder="0" applyAlignment="0" applyProtection="0"/>
    <xf numFmtId="0" fontId="24" fillId="71" borderId="0" applyNumberFormat="0" applyBorder="0" applyAlignment="0" applyProtection="0"/>
    <xf numFmtId="0" fontId="19" fillId="42" borderId="0" applyNumberFormat="0" applyBorder="0" applyAlignment="0" applyProtection="0"/>
    <xf numFmtId="0" fontId="24" fillId="72" borderId="0" applyNumberFormat="0" applyBorder="0" applyAlignment="0" applyProtection="0"/>
    <xf numFmtId="0" fontId="19" fillId="42" borderId="0" applyNumberFormat="0" applyBorder="0" applyAlignment="0" applyProtection="0"/>
    <xf numFmtId="0" fontId="24" fillId="72" borderId="0" applyNumberFormat="0" applyBorder="0" applyAlignment="0" applyProtection="0"/>
    <xf numFmtId="0" fontId="19" fillId="42" borderId="0" applyNumberFormat="0" applyBorder="0" applyAlignment="0" applyProtection="0"/>
    <xf numFmtId="0" fontId="24" fillId="72" borderId="0" applyNumberFormat="0" applyBorder="0" applyAlignment="0" applyProtection="0"/>
    <xf numFmtId="0" fontId="19" fillId="4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19" fillId="42" borderId="0" applyNumberFormat="0" applyBorder="0" applyAlignment="0" applyProtection="0"/>
    <xf numFmtId="0" fontId="24" fillId="72" borderId="0" applyNumberFormat="0" applyBorder="0" applyAlignment="0" applyProtection="0"/>
    <xf numFmtId="0" fontId="29" fillId="42" borderId="0" applyNumberFormat="0" applyBorder="0" applyAlignment="0" applyProtection="0"/>
    <xf numFmtId="0" fontId="19" fillId="42" borderId="0" applyNumberFormat="0" applyBorder="0" applyAlignment="0" applyProtection="0"/>
    <xf numFmtId="0" fontId="24" fillId="72" borderId="0" applyNumberFormat="0" applyBorder="0" applyAlignment="0" applyProtection="0"/>
    <xf numFmtId="0" fontId="29" fillId="42" borderId="0" applyNumberFormat="0" applyBorder="0" applyAlignment="0" applyProtection="0"/>
    <xf numFmtId="0" fontId="19" fillId="42" borderId="0" applyNumberFormat="0" applyBorder="0" applyAlignment="0" applyProtection="0"/>
    <xf numFmtId="0" fontId="24" fillId="72" borderId="0" applyNumberFormat="0" applyBorder="0" applyAlignment="0" applyProtection="0"/>
    <xf numFmtId="0" fontId="29" fillId="42" borderId="0" applyNumberFormat="0" applyBorder="0" applyAlignment="0" applyProtection="0"/>
    <xf numFmtId="0" fontId="19" fillId="42" borderId="0" applyNumberFormat="0" applyBorder="0" applyAlignment="0" applyProtection="0"/>
    <xf numFmtId="0" fontId="24" fillId="72" borderId="0" applyNumberFormat="0" applyBorder="0" applyAlignment="0" applyProtection="0"/>
    <xf numFmtId="0" fontId="29" fillId="42" borderId="0" applyNumberFormat="0" applyBorder="0" applyAlignment="0" applyProtection="0"/>
    <xf numFmtId="0" fontId="19" fillId="42" borderId="0" applyNumberFormat="0" applyBorder="0" applyAlignment="0" applyProtection="0"/>
    <xf numFmtId="0" fontId="24" fillId="72" borderId="0" applyNumberFormat="0" applyBorder="0" applyAlignment="0" applyProtection="0"/>
    <xf numFmtId="0" fontId="29" fillId="42" borderId="0" applyNumberFormat="0" applyBorder="0" applyAlignment="0" applyProtection="0"/>
    <xf numFmtId="0" fontId="19" fillId="42" borderId="0" applyNumberFormat="0" applyBorder="0" applyAlignment="0" applyProtection="0"/>
    <xf numFmtId="0" fontId="24" fillId="7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4" fillId="72" borderId="0" applyNumberFormat="0" applyBorder="0" applyAlignment="0" applyProtection="0"/>
    <xf numFmtId="0" fontId="29" fillId="42" borderId="0" applyNumberFormat="0" applyBorder="0" applyAlignment="0" applyProtection="0"/>
    <xf numFmtId="0" fontId="24" fillId="72" borderId="0" applyNumberFormat="0" applyBorder="0" applyAlignment="0" applyProtection="0"/>
    <xf numFmtId="0" fontId="19" fillId="23" borderId="0" applyNumberFormat="0" applyBorder="0" applyAlignment="0" applyProtection="0"/>
    <xf numFmtId="0" fontId="24" fillId="73" borderId="0" applyNumberFormat="0" applyBorder="0" applyAlignment="0" applyProtection="0"/>
    <xf numFmtId="0" fontId="19" fillId="23" borderId="0" applyNumberFormat="0" applyBorder="0" applyAlignment="0" applyProtection="0"/>
    <xf numFmtId="0" fontId="24" fillId="73" borderId="0" applyNumberFormat="0" applyBorder="0" applyAlignment="0" applyProtection="0"/>
    <xf numFmtId="0" fontId="19" fillId="23" borderId="0" applyNumberFormat="0" applyBorder="0" applyAlignment="0" applyProtection="0"/>
    <xf numFmtId="0" fontId="24" fillId="73" borderId="0" applyNumberFormat="0" applyBorder="0" applyAlignment="0" applyProtection="0"/>
    <xf numFmtId="0" fontId="19" fillId="2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19" fillId="23" borderId="0" applyNumberFormat="0" applyBorder="0" applyAlignment="0" applyProtection="0"/>
    <xf numFmtId="0" fontId="24" fillId="73" borderId="0" applyNumberFormat="0" applyBorder="0" applyAlignment="0" applyProtection="0"/>
    <xf numFmtId="0" fontId="29" fillId="23" borderId="0" applyNumberFormat="0" applyBorder="0" applyAlignment="0" applyProtection="0"/>
    <xf numFmtId="0" fontId="19" fillId="23" borderId="0" applyNumberFormat="0" applyBorder="0" applyAlignment="0" applyProtection="0"/>
    <xf numFmtId="0" fontId="24" fillId="73" borderId="0" applyNumberFormat="0" applyBorder="0" applyAlignment="0" applyProtection="0"/>
    <xf numFmtId="0" fontId="29" fillId="23" borderId="0" applyNumberFormat="0" applyBorder="0" applyAlignment="0" applyProtection="0"/>
    <xf numFmtId="0" fontId="19" fillId="23" borderId="0" applyNumberFormat="0" applyBorder="0" applyAlignment="0" applyProtection="0"/>
    <xf numFmtId="0" fontId="24" fillId="73" borderId="0" applyNumberFormat="0" applyBorder="0" applyAlignment="0" applyProtection="0"/>
    <xf numFmtId="0" fontId="29" fillId="23" borderId="0" applyNumberFormat="0" applyBorder="0" applyAlignment="0" applyProtection="0"/>
    <xf numFmtId="0" fontId="19" fillId="23" borderId="0" applyNumberFormat="0" applyBorder="0" applyAlignment="0" applyProtection="0"/>
    <xf numFmtId="0" fontId="24" fillId="73" borderId="0" applyNumberFormat="0" applyBorder="0" applyAlignment="0" applyProtection="0"/>
    <xf numFmtId="0" fontId="29" fillId="23" borderId="0" applyNumberFormat="0" applyBorder="0" applyAlignment="0" applyProtection="0"/>
    <xf numFmtId="0" fontId="19" fillId="23" borderId="0" applyNumberFormat="0" applyBorder="0" applyAlignment="0" applyProtection="0"/>
    <xf numFmtId="0" fontId="24" fillId="73" borderId="0" applyNumberFormat="0" applyBorder="0" applyAlignment="0" applyProtection="0"/>
    <xf numFmtId="0" fontId="29" fillId="23" borderId="0" applyNumberFormat="0" applyBorder="0" applyAlignment="0" applyProtection="0"/>
    <xf numFmtId="0" fontId="19" fillId="23" borderId="0" applyNumberFormat="0" applyBorder="0" applyAlignment="0" applyProtection="0"/>
    <xf numFmtId="0" fontId="24" fillId="7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4" fillId="73" borderId="0" applyNumberFormat="0" applyBorder="0" applyAlignment="0" applyProtection="0"/>
    <xf numFmtId="0" fontId="29" fillId="23" borderId="0" applyNumberFormat="0" applyBorder="0" applyAlignment="0" applyProtection="0"/>
    <xf numFmtId="0" fontId="24" fillId="73" borderId="0" applyNumberFormat="0" applyBorder="0" applyAlignment="0" applyProtection="0"/>
    <xf numFmtId="0" fontId="19" fillId="27" borderId="0" applyNumberFormat="0" applyBorder="0" applyAlignment="0" applyProtection="0"/>
    <xf numFmtId="0" fontId="24" fillId="74" borderId="0" applyNumberFormat="0" applyBorder="0" applyAlignment="0" applyProtection="0"/>
    <xf numFmtId="0" fontId="19" fillId="27" borderId="0" applyNumberFormat="0" applyBorder="0" applyAlignment="0" applyProtection="0"/>
    <xf numFmtId="0" fontId="24" fillId="74" borderId="0" applyNumberFormat="0" applyBorder="0" applyAlignment="0" applyProtection="0"/>
    <xf numFmtId="0" fontId="19" fillId="27" borderId="0" applyNumberFormat="0" applyBorder="0" applyAlignment="0" applyProtection="0"/>
    <xf numFmtId="0" fontId="24" fillId="74" borderId="0" applyNumberFormat="0" applyBorder="0" applyAlignment="0" applyProtection="0"/>
    <xf numFmtId="0" fontId="19" fillId="27"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19" fillId="27" borderId="0" applyNumberFormat="0" applyBorder="0" applyAlignment="0" applyProtection="0"/>
    <xf numFmtId="0" fontId="29" fillId="27" borderId="0" applyNumberFormat="0" applyBorder="0" applyAlignment="0" applyProtection="0"/>
    <xf numFmtId="0" fontId="19" fillId="27" borderId="0" applyNumberFormat="0" applyBorder="0" applyAlignment="0" applyProtection="0"/>
    <xf numFmtId="0" fontId="24" fillId="74" borderId="0" applyNumberFormat="0" applyBorder="0" applyAlignment="0" applyProtection="0"/>
    <xf numFmtId="0" fontId="29" fillId="27" borderId="0" applyNumberFormat="0" applyBorder="0" applyAlignment="0" applyProtection="0"/>
    <xf numFmtId="0" fontId="19" fillId="27" borderId="0" applyNumberFormat="0" applyBorder="0" applyAlignment="0" applyProtection="0"/>
    <xf numFmtId="0" fontId="24" fillId="74" borderId="0" applyNumberFormat="0" applyBorder="0" applyAlignment="0" applyProtection="0"/>
    <xf numFmtId="0" fontId="29" fillId="27" borderId="0" applyNumberFormat="0" applyBorder="0" applyAlignment="0" applyProtection="0"/>
    <xf numFmtId="0" fontId="19" fillId="27" borderId="0" applyNumberFormat="0" applyBorder="0" applyAlignment="0" applyProtection="0"/>
    <xf numFmtId="0" fontId="24" fillId="74" borderId="0" applyNumberFormat="0" applyBorder="0" applyAlignment="0" applyProtection="0"/>
    <xf numFmtId="0" fontId="29" fillId="27" borderId="0" applyNumberFormat="0" applyBorder="0" applyAlignment="0" applyProtection="0"/>
    <xf numFmtId="0" fontId="19" fillId="27" borderId="0" applyNumberFormat="0" applyBorder="0" applyAlignment="0" applyProtection="0"/>
    <xf numFmtId="0" fontId="24" fillId="74" borderId="0" applyNumberFormat="0" applyBorder="0" applyAlignment="0" applyProtection="0"/>
    <xf numFmtId="0" fontId="29" fillId="27" borderId="0" applyNumberFormat="0" applyBorder="0" applyAlignment="0" applyProtection="0"/>
    <xf numFmtId="0" fontId="19" fillId="27" borderId="0" applyNumberFormat="0" applyBorder="0" applyAlignment="0" applyProtection="0"/>
    <xf numFmtId="0" fontId="24" fillId="74"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4" fillId="74" borderId="0" applyNumberFormat="0" applyBorder="0" applyAlignment="0" applyProtection="0"/>
    <xf numFmtId="0" fontId="29" fillId="27" borderId="0" applyNumberFormat="0" applyBorder="0" applyAlignment="0" applyProtection="0"/>
    <xf numFmtId="0" fontId="24" fillId="74" borderId="0" applyNumberFormat="0" applyBorder="0" applyAlignment="0" applyProtection="0"/>
    <xf numFmtId="0" fontId="19" fillId="31" borderId="0" applyNumberFormat="0" applyBorder="0" applyAlignment="0" applyProtection="0"/>
    <xf numFmtId="0" fontId="24" fillId="76" borderId="0" applyNumberFormat="0" applyBorder="0" applyAlignment="0" applyProtection="0"/>
    <xf numFmtId="0" fontId="19" fillId="31" borderId="0" applyNumberFormat="0" applyBorder="0" applyAlignment="0" applyProtection="0"/>
    <xf numFmtId="0" fontId="24" fillId="76" borderId="0" applyNumberFormat="0" applyBorder="0" applyAlignment="0" applyProtection="0"/>
    <xf numFmtId="0" fontId="19" fillId="31" borderId="0" applyNumberFormat="0" applyBorder="0" applyAlignment="0" applyProtection="0"/>
    <xf numFmtId="0" fontId="24" fillId="76" borderId="0" applyNumberFormat="0" applyBorder="0" applyAlignment="0" applyProtection="0"/>
    <xf numFmtId="0" fontId="19" fillId="31"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19" fillId="31" borderId="0" applyNumberFormat="0" applyBorder="0" applyAlignment="0" applyProtection="0"/>
    <xf numFmtId="0" fontId="24" fillId="76" borderId="0" applyNumberFormat="0" applyBorder="0" applyAlignment="0" applyProtection="0"/>
    <xf numFmtId="0" fontId="29" fillId="31" borderId="0" applyNumberFormat="0" applyBorder="0" applyAlignment="0" applyProtection="0"/>
    <xf numFmtId="0" fontId="19" fillId="31" borderId="0" applyNumberFormat="0" applyBorder="0" applyAlignment="0" applyProtection="0"/>
    <xf numFmtId="0" fontId="24" fillId="76" borderId="0" applyNumberFormat="0" applyBorder="0" applyAlignment="0" applyProtection="0"/>
    <xf numFmtId="0" fontId="29" fillId="31" borderId="0" applyNumberFormat="0" applyBorder="0" applyAlignment="0" applyProtection="0"/>
    <xf numFmtId="0" fontId="19" fillId="31" borderId="0" applyNumberFormat="0" applyBorder="0" applyAlignment="0" applyProtection="0"/>
    <xf numFmtId="0" fontId="24" fillId="76" borderId="0" applyNumberFormat="0" applyBorder="0" applyAlignment="0" applyProtection="0"/>
    <xf numFmtId="0" fontId="29" fillId="31" borderId="0" applyNumberFormat="0" applyBorder="0" applyAlignment="0" applyProtection="0"/>
    <xf numFmtId="0" fontId="19" fillId="31" borderId="0" applyNumberFormat="0" applyBorder="0" applyAlignment="0" applyProtection="0"/>
    <xf numFmtId="0" fontId="24" fillId="76" borderId="0" applyNumberFormat="0" applyBorder="0" applyAlignment="0" applyProtection="0"/>
    <xf numFmtId="0" fontId="29" fillId="31" borderId="0" applyNumberFormat="0" applyBorder="0" applyAlignment="0" applyProtection="0"/>
    <xf numFmtId="0" fontId="19" fillId="31" borderId="0" applyNumberFormat="0" applyBorder="0" applyAlignment="0" applyProtection="0"/>
    <xf numFmtId="0" fontId="24" fillId="76" borderId="0" applyNumberFormat="0" applyBorder="0" applyAlignment="0" applyProtection="0"/>
    <xf numFmtId="0" fontId="29" fillId="31" borderId="0" applyNumberFormat="0" applyBorder="0" applyAlignment="0" applyProtection="0"/>
    <xf numFmtId="0" fontId="19" fillId="31" borderId="0" applyNumberFormat="0" applyBorder="0" applyAlignment="0" applyProtection="0"/>
    <xf numFmtId="0" fontId="24" fillId="7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4" fillId="76" borderId="0" applyNumberFormat="0" applyBorder="0" applyAlignment="0" applyProtection="0"/>
    <xf numFmtId="0" fontId="29" fillId="31" borderId="0" applyNumberFormat="0" applyBorder="0" applyAlignment="0" applyProtection="0"/>
    <xf numFmtId="0" fontId="24" fillId="76" borderId="0" applyNumberFormat="0" applyBorder="0" applyAlignment="0" applyProtection="0"/>
    <xf numFmtId="0" fontId="19" fillId="35" borderId="0" applyNumberFormat="0" applyBorder="0" applyAlignment="0" applyProtection="0"/>
    <xf numFmtId="0" fontId="24" fillId="70" borderId="0" applyNumberFormat="0" applyBorder="0" applyAlignment="0" applyProtection="0"/>
    <xf numFmtId="0" fontId="19" fillId="35" borderId="0" applyNumberFormat="0" applyBorder="0" applyAlignment="0" applyProtection="0"/>
    <xf numFmtId="0" fontId="24" fillId="70" borderId="0" applyNumberFormat="0" applyBorder="0" applyAlignment="0" applyProtection="0"/>
    <xf numFmtId="0" fontId="19" fillId="35" borderId="0" applyNumberFormat="0" applyBorder="0" applyAlignment="0" applyProtection="0"/>
    <xf numFmtId="0" fontId="24" fillId="70" borderId="0" applyNumberFormat="0" applyBorder="0" applyAlignment="0" applyProtection="0"/>
    <xf numFmtId="0" fontId="19" fillId="35"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19" fillId="35" borderId="0" applyNumberFormat="0" applyBorder="0" applyAlignment="0" applyProtection="0"/>
    <xf numFmtId="0" fontId="24" fillId="70" borderId="0" applyNumberFormat="0" applyBorder="0" applyAlignment="0" applyProtection="0"/>
    <xf numFmtId="0" fontId="29" fillId="35" borderId="0" applyNumberFormat="0" applyBorder="0" applyAlignment="0" applyProtection="0"/>
    <xf numFmtId="0" fontId="19" fillId="35" borderId="0" applyNumberFormat="0" applyBorder="0" applyAlignment="0" applyProtection="0"/>
    <xf numFmtId="0" fontId="24" fillId="70" borderId="0" applyNumberFormat="0" applyBorder="0" applyAlignment="0" applyProtection="0"/>
    <xf numFmtId="0" fontId="29" fillId="35" borderId="0" applyNumberFormat="0" applyBorder="0" applyAlignment="0" applyProtection="0"/>
    <xf numFmtId="0" fontId="19" fillId="35" borderId="0" applyNumberFormat="0" applyBorder="0" applyAlignment="0" applyProtection="0"/>
    <xf numFmtId="0" fontId="24" fillId="70" borderId="0" applyNumberFormat="0" applyBorder="0" applyAlignment="0" applyProtection="0"/>
    <xf numFmtId="0" fontId="29" fillId="35" borderId="0" applyNumberFormat="0" applyBorder="0" applyAlignment="0" applyProtection="0"/>
    <xf numFmtId="0" fontId="19" fillId="35" borderId="0" applyNumberFormat="0" applyBorder="0" applyAlignment="0" applyProtection="0"/>
    <xf numFmtId="0" fontId="24" fillId="70" borderId="0" applyNumberFormat="0" applyBorder="0" applyAlignment="0" applyProtection="0"/>
    <xf numFmtId="0" fontId="29" fillId="35" borderId="0" applyNumberFormat="0" applyBorder="0" applyAlignment="0" applyProtection="0"/>
    <xf numFmtId="0" fontId="19" fillId="35" borderId="0" applyNumberFormat="0" applyBorder="0" applyAlignment="0" applyProtection="0"/>
    <xf numFmtId="0" fontId="24" fillId="70" borderId="0" applyNumberFormat="0" applyBorder="0" applyAlignment="0" applyProtection="0"/>
    <xf numFmtId="0" fontId="29" fillId="35" borderId="0" applyNumberFormat="0" applyBorder="0" applyAlignment="0" applyProtection="0"/>
    <xf numFmtId="0" fontId="19" fillId="35" borderId="0" applyNumberFormat="0" applyBorder="0" applyAlignment="0" applyProtection="0"/>
    <xf numFmtId="0" fontId="24" fillId="70"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4" fillId="70" borderId="0" applyNumberFormat="0" applyBorder="0" applyAlignment="0" applyProtection="0"/>
    <xf numFmtId="0" fontId="29" fillId="35" borderId="0" applyNumberFormat="0" applyBorder="0" applyAlignment="0" applyProtection="0"/>
    <xf numFmtId="0" fontId="24" fillId="70"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29" fillId="39"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29" fillId="39"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29" fillId="39"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29" fillId="39"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29" fillId="39"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4" fillId="73" borderId="0" applyNumberFormat="0" applyBorder="0" applyAlignment="0" applyProtection="0"/>
    <xf numFmtId="0" fontId="29" fillId="39" borderId="0" applyNumberFormat="0" applyBorder="0" applyAlignment="0" applyProtection="0"/>
    <xf numFmtId="0" fontId="24" fillId="73" borderId="0" applyNumberFormat="0" applyBorder="0" applyAlignment="0" applyProtection="0"/>
    <xf numFmtId="0" fontId="19" fillId="43" borderId="0" applyNumberFormat="0" applyBorder="0" applyAlignment="0" applyProtection="0"/>
    <xf numFmtId="0" fontId="24" fillId="77" borderId="0" applyNumberFormat="0" applyBorder="0" applyAlignment="0" applyProtection="0"/>
    <xf numFmtId="0" fontId="19" fillId="43" borderId="0" applyNumberFormat="0" applyBorder="0" applyAlignment="0" applyProtection="0"/>
    <xf numFmtId="0" fontId="24" fillId="77" borderId="0" applyNumberFormat="0" applyBorder="0" applyAlignment="0" applyProtection="0"/>
    <xf numFmtId="0" fontId="19" fillId="43" borderId="0" applyNumberFormat="0" applyBorder="0" applyAlignment="0" applyProtection="0"/>
    <xf numFmtId="0" fontId="24" fillId="77" borderId="0" applyNumberFormat="0" applyBorder="0" applyAlignment="0" applyProtection="0"/>
    <xf numFmtId="0" fontId="19" fillId="43" borderId="0" applyNumberFormat="0" applyBorder="0" applyAlignment="0" applyProtection="0"/>
    <xf numFmtId="0" fontId="24" fillId="77" borderId="0" applyNumberFormat="0" applyBorder="0" applyAlignment="0" applyProtection="0"/>
    <xf numFmtId="0" fontId="24" fillId="77" borderId="0" applyNumberFormat="0" applyBorder="0" applyAlignment="0" applyProtection="0"/>
    <xf numFmtId="0" fontId="24" fillId="77" borderId="0" applyNumberFormat="0" applyBorder="0" applyAlignment="0" applyProtection="0"/>
    <xf numFmtId="0" fontId="24" fillId="77" borderId="0" applyNumberFormat="0" applyBorder="0" applyAlignment="0" applyProtection="0"/>
    <xf numFmtId="0" fontId="24" fillId="77" borderId="0" applyNumberFormat="0" applyBorder="0" applyAlignment="0" applyProtection="0"/>
    <xf numFmtId="0" fontId="19" fillId="43" borderId="0" applyNumberFormat="0" applyBorder="0" applyAlignment="0" applyProtection="0"/>
    <xf numFmtId="0" fontId="24" fillId="77" borderId="0" applyNumberFormat="0" applyBorder="0" applyAlignment="0" applyProtection="0"/>
    <xf numFmtId="0" fontId="29" fillId="43" borderId="0" applyNumberFormat="0" applyBorder="0" applyAlignment="0" applyProtection="0"/>
    <xf numFmtId="0" fontId="19" fillId="43" borderId="0" applyNumberFormat="0" applyBorder="0" applyAlignment="0" applyProtection="0"/>
    <xf numFmtId="0" fontId="24" fillId="77" borderId="0" applyNumberFormat="0" applyBorder="0" applyAlignment="0" applyProtection="0"/>
    <xf numFmtId="0" fontId="29" fillId="43" borderId="0" applyNumberFormat="0" applyBorder="0" applyAlignment="0" applyProtection="0"/>
    <xf numFmtId="0" fontId="19" fillId="43" borderId="0" applyNumberFormat="0" applyBorder="0" applyAlignment="0" applyProtection="0"/>
    <xf numFmtId="0" fontId="24" fillId="77" borderId="0" applyNumberFormat="0" applyBorder="0" applyAlignment="0" applyProtection="0"/>
    <xf numFmtId="0" fontId="29" fillId="43" borderId="0" applyNumberFormat="0" applyBorder="0" applyAlignment="0" applyProtection="0"/>
    <xf numFmtId="0" fontId="19" fillId="43" borderId="0" applyNumberFormat="0" applyBorder="0" applyAlignment="0" applyProtection="0"/>
    <xf numFmtId="0" fontId="24" fillId="77" borderId="0" applyNumberFormat="0" applyBorder="0" applyAlignment="0" applyProtection="0"/>
    <xf numFmtId="0" fontId="29" fillId="43" borderId="0" applyNumberFormat="0" applyBorder="0" applyAlignment="0" applyProtection="0"/>
    <xf numFmtId="0" fontId="19" fillId="43" borderId="0" applyNumberFormat="0" applyBorder="0" applyAlignment="0" applyProtection="0"/>
    <xf numFmtId="0" fontId="24" fillId="77" borderId="0" applyNumberFormat="0" applyBorder="0" applyAlignment="0" applyProtection="0"/>
    <xf numFmtId="0" fontId="29" fillId="43" borderId="0" applyNumberFormat="0" applyBorder="0" applyAlignment="0" applyProtection="0"/>
    <xf numFmtId="0" fontId="19" fillId="43" borderId="0" applyNumberFormat="0" applyBorder="0" applyAlignment="0" applyProtection="0"/>
    <xf numFmtId="0" fontId="24" fillId="77"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4" fillId="77" borderId="0" applyNumberFormat="0" applyBorder="0" applyAlignment="0" applyProtection="0"/>
    <xf numFmtId="0" fontId="29" fillId="43" borderId="0" applyNumberFormat="0" applyBorder="0" applyAlignment="0" applyProtection="0"/>
    <xf numFmtId="0" fontId="24" fillId="77" borderId="0" applyNumberFormat="0" applyBorder="0" applyAlignment="0" applyProtection="0"/>
    <xf numFmtId="0" fontId="64" fillId="79" borderId="0" applyNumberFormat="0" applyBorder="0" applyAlignment="0" applyProtection="0"/>
    <xf numFmtId="0" fontId="64" fillId="79" borderId="0" applyNumberFormat="0" applyBorder="0" applyAlignment="0" applyProtection="0"/>
    <xf numFmtId="0" fontId="64" fillId="79" borderId="0" applyNumberFormat="0" applyBorder="0" applyAlignment="0" applyProtection="0"/>
    <xf numFmtId="0" fontId="64" fillId="79" borderId="0" applyNumberFormat="0" applyBorder="0" applyAlignment="0" applyProtection="0"/>
    <xf numFmtId="0" fontId="64" fillId="79" borderId="0" applyNumberFormat="0" applyBorder="0" applyAlignment="0" applyProtection="0"/>
    <xf numFmtId="0" fontId="64" fillId="79" borderId="0" applyNumberFormat="0" applyBorder="0" applyAlignment="0" applyProtection="0"/>
    <xf numFmtId="0" fontId="64" fillId="79" borderId="0" applyNumberFormat="0" applyBorder="0" applyAlignment="0" applyProtection="0"/>
    <xf numFmtId="0" fontId="64" fillId="79" borderId="0" applyNumberFormat="0" applyBorder="0" applyAlignment="0" applyProtection="0"/>
    <xf numFmtId="0" fontId="61" fillId="24" borderId="0" applyNumberFormat="0" applyBorder="0" applyAlignment="0" applyProtection="0"/>
    <xf numFmtId="0" fontId="64" fillId="79" borderId="0" applyNumberFormat="0" applyBorder="0" applyAlignment="0" applyProtection="0"/>
    <xf numFmtId="0" fontId="64" fillId="79" borderId="0" applyNumberFormat="0" applyBorder="0" applyAlignment="0" applyProtection="0"/>
    <xf numFmtId="0" fontId="61" fillId="24" borderId="0" applyNumberFormat="0" applyBorder="0" applyAlignment="0" applyProtection="0"/>
    <xf numFmtId="0" fontId="64" fillId="79" borderId="0" applyNumberFormat="0" applyBorder="0" applyAlignment="0" applyProtection="0"/>
    <xf numFmtId="0" fontId="61" fillId="24" borderId="0" applyNumberFormat="0" applyBorder="0" applyAlignment="0" applyProtection="0"/>
    <xf numFmtId="0" fontId="64" fillId="79" borderId="0" applyNumberFormat="0" applyBorder="0" applyAlignment="0" applyProtection="0"/>
    <xf numFmtId="0" fontId="64" fillId="79" borderId="0" applyNumberFormat="0" applyBorder="0" applyAlignment="0" applyProtection="0"/>
    <xf numFmtId="0" fontId="64" fillId="79" borderId="0" applyNumberFormat="0" applyBorder="0" applyAlignment="0" applyProtection="0"/>
    <xf numFmtId="0" fontId="64" fillId="79" borderId="0" applyNumberFormat="0" applyBorder="0" applyAlignment="0" applyProtection="0"/>
    <xf numFmtId="0" fontId="64" fillId="79"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1" fillId="28"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1" fillId="28" borderId="0" applyNumberFormat="0" applyBorder="0" applyAlignment="0" applyProtection="0"/>
    <xf numFmtId="0" fontId="64" fillId="74" borderId="0" applyNumberFormat="0" applyBorder="0" applyAlignment="0" applyProtection="0"/>
    <xf numFmtId="0" fontId="61" fillId="28"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6" borderId="0" applyNumberFormat="0" applyBorder="0" applyAlignment="0" applyProtection="0"/>
    <xf numFmtId="0" fontId="64" fillId="76" borderId="0" applyNumberFormat="0" applyBorder="0" applyAlignment="0" applyProtection="0"/>
    <xf numFmtId="0" fontId="64" fillId="76" borderId="0" applyNumberFormat="0" applyBorder="0" applyAlignment="0" applyProtection="0"/>
    <xf numFmtId="0" fontId="64" fillId="76" borderId="0" applyNumberFormat="0" applyBorder="0" applyAlignment="0" applyProtection="0"/>
    <xf numFmtId="0" fontId="64" fillId="76" borderId="0" applyNumberFormat="0" applyBorder="0" applyAlignment="0" applyProtection="0"/>
    <xf numFmtId="0" fontId="64" fillId="76" borderId="0" applyNumberFormat="0" applyBorder="0" applyAlignment="0" applyProtection="0"/>
    <xf numFmtId="0" fontId="64" fillId="76" borderId="0" applyNumberFormat="0" applyBorder="0" applyAlignment="0" applyProtection="0"/>
    <xf numFmtId="0" fontId="64" fillId="76" borderId="0" applyNumberFormat="0" applyBorder="0" applyAlignment="0" applyProtection="0"/>
    <xf numFmtId="0" fontId="61" fillId="32" borderId="0" applyNumberFormat="0" applyBorder="0" applyAlignment="0" applyProtection="0"/>
    <xf numFmtId="0" fontId="64" fillId="76" borderId="0" applyNumberFormat="0" applyBorder="0" applyAlignment="0" applyProtection="0"/>
    <xf numFmtId="0" fontId="64" fillId="76" borderId="0" applyNumberFormat="0" applyBorder="0" applyAlignment="0" applyProtection="0"/>
    <xf numFmtId="0" fontId="61" fillId="32" borderId="0" applyNumberFormat="0" applyBorder="0" applyAlignment="0" applyProtection="0"/>
    <xf numFmtId="0" fontId="64" fillId="76" borderId="0" applyNumberFormat="0" applyBorder="0" applyAlignment="0" applyProtection="0"/>
    <xf numFmtId="0" fontId="61" fillId="32" borderId="0" applyNumberFormat="0" applyBorder="0" applyAlignment="0" applyProtection="0"/>
    <xf numFmtId="0" fontId="64" fillId="76" borderId="0" applyNumberFormat="0" applyBorder="0" applyAlignment="0" applyProtection="0"/>
    <xf numFmtId="0" fontId="64" fillId="76" borderId="0" applyNumberFormat="0" applyBorder="0" applyAlignment="0" applyProtection="0"/>
    <xf numFmtId="0" fontId="64" fillId="76" borderId="0" applyNumberFormat="0" applyBorder="0" applyAlignment="0" applyProtection="0"/>
    <xf numFmtId="0" fontId="64" fillId="76" borderId="0" applyNumberFormat="0" applyBorder="0" applyAlignment="0" applyProtection="0"/>
    <xf numFmtId="0" fontId="64" fillId="76"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1" fillId="36"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1" fillId="36" borderId="0" applyNumberFormat="0" applyBorder="0" applyAlignment="0" applyProtection="0"/>
    <xf numFmtId="0" fontId="64" fillId="80" borderId="0" applyNumberFormat="0" applyBorder="0" applyAlignment="0" applyProtection="0"/>
    <xf numFmtId="0" fontId="61" fillId="36"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1" fillId="40"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1" fillId="40" borderId="0" applyNumberFormat="0" applyBorder="0" applyAlignment="0" applyProtection="0"/>
    <xf numFmtId="0" fontId="64" fillId="81" borderId="0" applyNumberFormat="0" applyBorder="0" applyAlignment="0" applyProtection="0"/>
    <xf numFmtId="0" fontId="61" fillId="40"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2" borderId="0" applyNumberFormat="0" applyBorder="0" applyAlignment="0" applyProtection="0"/>
    <xf numFmtId="0" fontId="64" fillId="82" borderId="0" applyNumberFormat="0" applyBorder="0" applyAlignment="0" applyProtection="0"/>
    <xf numFmtId="0" fontId="64" fillId="82" borderId="0" applyNumberFormat="0" applyBorder="0" applyAlignment="0" applyProtection="0"/>
    <xf numFmtId="0" fontId="64" fillId="82" borderId="0" applyNumberFormat="0" applyBorder="0" applyAlignment="0" applyProtection="0"/>
    <xf numFmtId="0" fontId="64" fillId="82" borderId="0" applyNumberFormat="0" applyBorder="0" applyAlignment="0" applyProtection="0"/>
    <xf numFmtId="0" fontId="64" fillId="82" borderId="0" applyNumberFormat="0" applyBorder="0" applyAlignment="0" applyProtection="0"/>
    <xf numFmtId="0" fontId="64" fillId="82" borderId="0" applyNumberFormat="0" applyBorder="0" applyAlignment="0" applyProtection="0"/>
    <xf numFmtId="0" fontId="64" fillId="82" borderId="0" applyNumberFormat="0" applyBorder="0" applyAlignment="0" applyProtection="0"/>
    <xf numFmtId="0" fontId="61" fillId="44" borderId="0" applyNumberFormat="0" applyBorder="0" applyAlignment="0" applyProtection="0"/>
    <xf numFmtId="0" fontId="64" fillId="82" borderId="0" applyNumberFormat="0" applyBorder="0" applyAlignment="0" applyProtection="0"/>
    <xf numFmtId="0" fontId="64" fillId="82" borderId="0" applyNumberFormat="0" applyBorder="0" applyAlignment="0" applyProtection="0"/>
    <xf numFmtId="0" fontId="61" fillId="44" borderId="0" applyNumberFormat="0" applyBorder="0" applyAlignment="0" applyProtection="0"/>
    <xf numFmtId="0" fontId="64" fillId="82" borderId="0" applyNumberFormat="0" applyBorder="0" applyAlignment="0" applyProtection="0"/>
    <xf numFmtId="0" fontId="61" fillId="44" borderId="0" applyNumberFormat="0" applyBorder="0" applyAlignment="0" applyProtection="0"/>
    <xf numFmtId="0" fontId="64" fillId="82" borderId="0" applyNumberFormat="0" applyBorder="0" applyAlignment="0" applyProtection="0"/>
    <xf numFmtId="0" fontId="64" fillId="82" borderId="0" applyNumberFormat="0" applyBorder="0" applyAlignment="0" applyProtection="0"/>
    <xf numFmtId="0" fontId="64" fillId="82" borderId="0" applyNumberFormat="0" applyBorder="0" applyAlignment="0" applyProtection="0"/>
    <xf numFmtId="0" fontId="64" fillId="82" borderId="0" applyNumberFormat="0" applyBorder="0" applyAlignment="0" applyProtection="0"/>
    <xf numFmtId="0" fontId="64" fillId="82"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52" fillId="15"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52" fillId="15" borderId="0" applyNumberFormat="0" applyBorder="0" applyAlignment="0" applyProtection="0"/>
    <xf numFmtId="0" fontId="65" fillId="69" borderId="0" applyNumberFormat="0" applyBorder="0" applyAlignment="0" applyProtection="0"/>
    <xf numFmtId="0" fontId="52" fillId="15"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6" fillId="87" borderId="37" applyNumberFormat="0" applyAlignment="0" applyProtection="0"/>
    <xf numFmtId="0" fontId="66" fillId="87" borderId="37" applyNumberFormat="0" applyAlignment="0" applyProtection="0"/>
    <xf numFmtId="0" fontId="66" fillId="87" borderId="37" applyNumberFormat="0" applyAlignment="0" applyProtection="0"/>
    <xf numFmtId="0" fontId="66" fillId="87" borderId="37" applyNumberFormat="0" applyAlignment="0" applyProtection="0"/>
    <xf numFmtId="0" fontId="66" fillId="87" borderId="37" applyNumberFormat="0" applyAlignment="0" applyProtection="0"/>
    <xf numFmtId="0" fontId="66" fillId="87" borderId="37" applyNumberFormat="0" applyAlignment="0" applyProtection="0"/>
    <xf numFmtId="0" fontId="66" fillId="87" borderId="37" applyNumberFormat="0" applyAlignment="0" applyProtection="0"/>
    <xf numFmtId="0" fontId="66" fillId="87" borderId="37" applyNumberFormat="0" applyAlignment="0" applyProtection="0"/>
    <xf numFmtId="0" fontId="57" fillId="19" borderId="33" applyNumberFormat="0" applyAlignment="0" applyProtection="0"/>
    <xf numFmtId="0" fontId="66" fillId="87" borderId="37" applyNumberFormat="0" applyAlignment="0" applyProtection="0"/>
    <xf numFmtId="0" fontId="66" fillId="87" borderId="37" applyNumberFormat="0" applyAlignment="0" applyProtection="0"/>
    <xf numFmtId="0" fontId="57" fillId="19" borderId="33" applyNumberFormat="0" applyAlignment="0" applyProtection="0"/>
    <xf numFmtId="0" fontId="66" fillId="87" borderId="37" applyNumberFormat="0" applyAlignment="0" applyProtection="0"/>
    <xf numFmtId="0" fontId="57" fillId="19" borderId="33" applyNumberFormat="0" applyAlignment="0" applyProtection="0"/>
    <xf numFmtId="0" fontId="66" fillId="87" borderId="37" applyNumberFormat="0" applyAlignment="0" applyProtection="0"/>
    <xf numFmtId="0" fontId="66" fillId="87" borderId="37" applyNumberFormat="0" applyAlignment="0" applyProtection="0"/>
    <xf numFmtId="0" fontId="66" fillId="87" borderId="37" applyNumberFormat="0" applyAlignment="0" applyProtection="0"/>
    <xf numFmtId="0" fontId="66" fillId="87" borderId="37" applyNumberFormat="0" applyAlignment="0" applyProtection="0"/>
    <xf numFmtId="0" fontId="66" fillId="87" borderId="37" applyNumberFormat="0" applyAlignment="0" applyProtection="0"/>
    <xf numFmtId="0" fontId="67" fillId="89" borderId="38" applyNumberFormat="0" applyAlignment="0" applyProtection="0"/>
    <xf numFmtId="0" fontId="67" fillId="89" borderId="38" applyNumberFormat="0" applyAlignment="0" applyProtection="0"/>
    <xf numFmtId="0" fontId="67" fillId="89" borderId="38" applyNumberFormat="0" applyAlignment="0" applyProtection="0"/>
    <xf numFmtId="0" fontId="67" fillId="89" borderId="38" applyNumberFormat="0" applyAlignment="0" applyProtection="0"/>
    <xf numFmtId="0" fontId="67" fillId="89" borderId="38" applyNumberFormat="0" applyAlignment="0" applyProtection="0"/>
    <xf numFmtId="0" fontId="67" fillId="89" borderId="38" applyNumberFormat="0" applyAlignment="0" applyProtection="0"/>
    <xf numFmtId="0" fontId="67" fillId="89" borderId="38" applyNumberFormat="0" applyAlignment="0" applyProtection="0"/>
    <xf numFmtId="0" fontId="67" fillId="89" borderId="38" applyNumberFormat="0" applyAlignment="0" applyProtection="0"/>
    <xf numFmtId="0" fontId="28" fillId="20" borderId="36" applyNumberFormat="0" applyAlignment="0" applyProtection="0"/>
    <xf numFmtId="0" fontId="67" fillId="89" borderId="38" applyNumberFormat="0" applyAlignment="0" applyProtection="0"/>
    <xf numFmtId="0" fontId="28" fillId="20" borderId="36" applyNumberFormat="0" applyAlignment="0" applyProtection="0"/>
    <xf numFmtId="0" fontId="67" fillId="89" borderId="38" applyNumberFormat="0" applyAlignment="0" applyProtection="0"/>
    <xf numFmtId="0" fontId="28" fillId="20" borderId="36" applyNumberFormat="0" applyAlignment="0" applyProtection="0"/>
    <xf numFmtId="0" fontId="67" fillId="89" borderId="38" applyNumberFormat="0" applyAlignment="0" applyProtection="0"/>
    <xf numFmtId="0" fontId="67" fillId="89" borderId="38" applyNumberFormat="0" applyAlignment="0" applyProtection="0"/>
    <xf numFmtId="0" fontId="67" fillId="89" borderId="38" applyNumberFormat="0" applyAlignment="0" applyProtection="0"/>
    <xf numFmtId="0" fontId="67" fillId="89" borderId="38" applyNumberFormat="0" applyAlignment="0" applyProtection="0"/>
    <xf numFmtId="0" fontId="67" fillId="89" borderId="38" applyNumberFormat="0" applyAlignment="0" applyProtection="0"/>
    <xf numFmtId="0" fontId="68" fillId="0" borderId="39" applyNumberFormat="0" applyFill="0" applyAlignment="0" applyProtection="0"/>
    <xf numFmtId="0" fontId="68" fillId="0" borderId="39" applyNumberFormat="0" applyFill="0" applyAlignment="0" applyProtection="0"/>
    <xf numFmtId="0" fontId="68" fillId="0" borderId="39" applyNumberFormat="0" applyFill="0" applyAlignment="0" applyProtection="0"/>
    <xf numFmtId="0" fontId="68" fillId="0" borderId="39" applyNumberFormat="0" applyFill="0" applyAlignment="0" applyProtection="0"/>
    <xf numFmtId="0" fontId="68" fillId="0" borderId="39" applyNumberFormat="0" applyFill="0" applyAlignment="0" applyProtection="0"/>
    <xf numFmtId="0" fontId="68" fillId="0" borderId="39" applyNumberFormat="0" applyFill="0" applyAlignment="0" applyProtection="0"/>
    <xf numFmtId="0" fontId="68" fillId="0" borderId="39" applyNumberFormat="0" applyFill="0" applyAlignment="0" applyProtection="0"/>
    <xf numFmtId="0" fontId="68" fillId="0" borderId="39" applyNumberFormat="0" applyFill="0" applyAlignment="0" applyProtection="0"/>
    <xf numFmtId="0" fontId="58" fillId="0" borderId="35" applyNumberFormat="0" applyFill="0" applyAlignment="0" applyProtection="0"/>
    <xf numFmtId="0" fontId="68" fillId="0" borderId="39" applyNumberFormat="0" applyFill="0" applyAlignment="0" applyProtection="0"/>
    <xf numFmtId="0" fontId="68" fillId="0" borderId="39" applyNumberFormat="0" applyFill="0" applyAlignment="0" applyProtection="0"/>
    <xf numFmtId="0" fontId="58" fillId="0" borderId="35" applyNumberFormat="0" applyFill="0" applyAlignment="0" applyProtection="0"/>
    <xf numFmtId="0" fontId="68" fillId="0" borderId="39" applyNumberFormat="0" applyFill="0" applyAlignment="0" applyProtection="0"/>
    <xf numFmtId="0" fontId="58" fillId="0" borderId="35" applyNumberFormat="0" applyFill="0" applyAlignment="0" applyProtection="0"/>
    <xf numFmtId="0" fontId="68" fillId="0" borderId="39" applyNumberFormat="0" applyFill="0" applyAlignment="0" applyProtection="0"/>
    <xf numFmtId="0" fontId="68" fillId="0" borderId="39" applyNumberFormat="0" applyFill="0" applyAlignment="0" applyProtection="0"/>
    <xf numFmtId="0" fontId="68" fillId="0" borderId="39" applyNumberFormat="0" applyFill="0" applyAlignment="0" applyProtection="0"/>
    <xf numFmtId="0" fontId="68" fillId="0" borderId="39" applyNumberFormat="0" applyFill="0" applyAlignment="0" applyProtection="0"/>
    <xf numFmtId="0" fontId="68" fillId="0" borderId="39" applyNumberFormat="0" applyFill="0" applyAlignment="0" applyProtection="0"/>
    <xf numFmtId="172" fontId="23" fillId="0" borderId="0" applyFont="0" applyFill="0" applyBorder="0" applyAlignment="0" applyProtection="0"/>
    <xf numFmtId="4" fontId="112" fillId="0" borderId="0"/>
    <xf numFmtId="0" fontId="64" fillId="84" borderId="0" applyNumberFormat="0" applyBorder="0" applyAlignment="0" applyProtection="0"/>
    <xf numFmtId="0" fontId="64" fillId="84" borderId="0" applyNumberFormat="0" applyBorder="0" applyAlignment="0" applyProtection="0"/>
    <xf numFmtId="0" fontId="64" fillId="84" borderId="0" applyNumberFormat="0" applyBorder="0" applyAlignment="0" applyProtection="0"/>
    <xf numFmtId="0" fontId="64" fillId="84" borderId="0" applyNumberFormat="0" applyBorder="0" applyAlignment="0" applyProtection="0"/>
    <xf numFmtId="0" fontId="64" fillId="84" borderId="0" applyNumberFormat="0" applyBorder="0" applyAlignment="0" applyProtection="0"/>
    <xf numFmtId="0" fontId="64" fillId="84" borderId="0" applyNumberFormat="0" applyBorder="0" applyAlignment="0" applyProtection="0"/>
    <xf numFmtId="0" fontId="64" fillId="84" borderId="0" applyNumberFormat="0" applyBorder="0" applyAlignment="0" applyProtection="0"/>
    <xf numFmtId="0" fontId="64" fillId="84" borderId="0" applyNumberFormat="0" applyBorder="0" applyAlignment="0" applyProtection="0"/>
    <xf numFmtId="0" fontId="61" fillId="21" borderId="0" applyNumberFormat="0" applyBorder="0" applyAlignment="0" applyProtection="0"/>
    <xf numFmtId="0" fontId="64" fillId="84" borderId="0" applyNumberFormat="0" applyBorder="0" applyAlignment="0" applyProtection="0"/>
    <xf numFmtId="0" fontId="64" fillId="84" borderId="0" applyNumberFormat="0" applyBorder="0" applyAlignment="0" applyProtection="0"/>
    <xf numFmtId="0" fontId="61" fillId="21" borderId="0" applyNumberFormat="0" applyBorder="0" applyAlignment="0" applyProtection="0"/>
    <xf numFmtId="0" fontId="64" fillId="84" borderId="0" applyNumberFormat="0" applyBorder="0" applyAlignment="0" applyProtection="0"/>
    <xf numFmtId="0" fontId="61" fillId="21" borderId="0" applyNumberFormat="0" applyBorder="0" applyAlignment="0" applyProtection="0"/>
    <xf numFmtId="0" fontId="64" fillId="84" borderId="0" applyNumberFormat="0" applyBorder="0" applyAlignment="0" applyProtection="0"/>
    <xf numFmtId="0" fontId="64" fillId="84" borderId="0" applyNumberFormat="0" applyBorder="0" applyAlignment="0" applyProtection="0"/>
    <xf numFmtId="0" fontId="64" fillId="84" borderId="0" applyNumberFormat="0" applyBorder="0" applyAlignment="0" applyProtection="0"/>
    <xf numFmtId="0" fontId="64" fillId="84" borderId="0" applyNumberFormat="0" applyBorder="0" applyAlignment="0" applyProtection="0"/>
    <xf numFmtId="0" fontId="64" fillId="84" borderId="0" applyNumberFormat="0" applyBorder="0" applyAlignment="0" applyProtection="0"/>
    <xf numFmtId="0" fontId="64" fillId="85" borderId="0" applyNumberFormat="0" applyBorder="0" applyAlignment="0" applyProtection="0"/>
    <xf numFmtId="0" fontId="64" fillId="85" borderId="0" applyNumberFormat="0" applyBorder="0" applyAlignment="0" applyProtection="0"/>
    <xf numFmtId="0" fontId="64" fillId="85" borderId="0" applyNumberFormat="0" applyBorder="0" applyAlignment="0" applyProtection="0"/>
    <xf numFmtId="0" fontId="64" fillId="85" borderId="0" applyNumberFormat="0" applyBorder="0" applyAlignment="0" applyProtection="0"/>
    <xf numFmtId="0" fontId="64" fillId="85" borderId="0" applyNumberFormat="0" applyBorder="0" applyAlignment="0" applyProtection="0"/>
    <xf numFmtId="0" fontId="64" fillId="85" borderId="0" applyNumberFormat="0" applyBorder="0" applyAlignment="0" applyProtection="0"/>
    <xf numFmtId="0" fontId="64" fillId="85" borderId="0" applyNumberFormat="0" applyBorder="0" applyAlignment="0" applyProtection="0"/>
    <xf numFmtId="0" fontId="64" fillId="85" borderId="0" applyNumberFormat="0" applyBorder="0" applyAlignment="0" applyProtection="0"/>
    <xf numFmtId="0" fontId="61" fillId="25" borderId="0" applyNumberFormat="0" applyBorder="0" applyAlignment="0" applyProtection="0"/>
    <xf numFmtId="0" fontId="64" fillId="85" borderId="0" applyNumberFormat="0" applyBorder="0" applyAlignment="0" applyProtection="0"/>
    <xf numFmtId="0" fontId="64" fillId="85" borderId="0" applyNumberFormat="0" applyBorder="0" applyAlignment="0" applyProtection="0"/>
    <xf numFmtId="0" fontId="61" fillId="25" borderId="0" applyNumberFormat="0" applyBorder="0" applyAlignment="0" applyProtection="0"/>
    <xf numFmtId="0" fontId="64" fillId="85" borderId="0" applyNumberFormat="0" applyBorder="0" applyAlignment="0" applyProtection="0"/>
    <xf numFmtId="0" fontId="61" fillId="25" borderId="0" applyNumberFormat="0" applyBorder="0" applyAlignment="0" applyProtection="0"/>
    <xf numFmtId="0" fontId="64" fillId="85" borderId="0" applyNumberFormat="0" applyBorder="0" applyAlignment="0" applyProtection="0"/>
    <xf numFmtId="0" fontId="64" fillId="85" borderId="0" applyNumberFormat="0" applyBorder="0" applyAlignment="0" applyProtection="0"/>
    <xf numFmtId="0" fontId="64" fillId="85" borderId="0" applyNumberFormat="0" applyBorder="0" applyAlignment="0" applyProtection="0"/>
    <xf numFmtId="0" fontId="64" fillId="85" borderId="0" applyNumberFormat="0" applyBorder="0" applyAlignment="0" applyProtection="0"/>
    <xf numFmtId="0" fontId="64" fillId="85"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1" fillId="29"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1" fillId="29" borderId="0" applyNumberFormat="0" applyBorder="0" applyAlignment="0" applyProtection="0"/>
    <xf numFmtId="0" fontId="64" fillId="86" borderId="0" applyNumberFormat="0" applyBorder="0" applyAlignment="0" applyProtection="0"/>
    <xf numFmtId="0" fontId="61" fillId="29"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4" fillId="86"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1" fillId="33"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1" fillId="33" borderId="0" applyNumberFormat="0" applyBorder="0" applyAlignment="0" applyProtection="0"/>
    <xf numFmtId="0" fontId="64" fillId="80" borderId="0" applyNumberFormat="0" applyBorder="0" applyAlignment="0" applyProtection="0"/>
    <xf numFmtId="0" fontId="61" fillId="33"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0"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1" fillId="37" borderId="0" applyNumberFormat="0" applyBorder="0" applyAlignment="0" applyProtection="0"/>
    <xf numFmtId="0" fontId="64" fillId="81" borderId="0" applyNumberFormat="0" applyBorder="0" applyAlignment="0" applyProtection="0"/>
    <xf numFmtId="0" fontId="61" fillId="37" borderId="0" applyNumberFormat="0" applyBorder="0" applyAlignment="0" applyProtection="0"/>
    <xf numFmtId="0" fontId="64" fillId="81" borderId="0" applyNumberFormat="0" applyBorder="0" applyAlignment="0" applyProtection="0"/>
    <xf numFmtId="0" fontId="61" fillId="37"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1"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1" fillId="41"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1" fillId="41" borderId="0" applyNumberFormat="0" applyBorder="0" applyAlignment="0" applyProtection="0"/>
    <xf numFmtId="0" fontId="64" fillId="83" borderId="0" applyNumberFormat="0" applyBorder="0" applyAlignment="0" applyProtection="0"/>
    <xf numFmtId="0" fontId="61" fillId="41"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4" fillId="83" borderId="0" applyNumberFormat="0" applyBorder="0" applyAlignment="0" applyProtection="0"/>
    <xf numFmtId="0" fontId="69" fillId="72" borderId="37" applyNumberFormat="0" applyAlignment="0" applyProtection="0"/>
    <xf numFmtId="0" fontId="69" fillId="72" borderId="37" applyNumberFormat="0" applyAlignment="0" applyProtection="0"/>
    <xf numFmtId="0" fontId="69" fillId="72" borderId="37" applyNumberFormat="0" applyAlignment="0" applyProtection="0"/>
    <xf numFmtId="0" fontId="69" fillId="72" borderId="37" applyNumberFormat="0" applyAlignment="0" applyProtection="0"/>
    <xf numFmtId="0" fontId="69" fillId="72" borderId="37" applyNumberFormat="0" applyAlignment="0" applyProtection="0"/>
    <xf numFmtId="0" fontId="69" fillId="72" borderId="37" applyNumberFormat="0" applyAlignment="0" applyProtection="0"/>
    <xf numFmtId="0" fontId="69" fillId="72" borderId="37" applyNumberFormat="0" applyAlignment="0" applyProtection="0"/>
    <xf numFmtId="0" fontId="69" fillId="72" borderId="37" applyNumberFormat="0" applyAlignment="0" applyProtection="0"/>
    <xf numFmtId="0" fontId="55" fillId="18" borderId="33" applyNumberFormat="0" applyAlignment="0" applyProtection="0"/>
    <xf numFmtId="0" fontId="69" fillId="72" borderId="37" applyNumberFormat="0" applyAlignment="0" applyProtection="0"/>
    <xf numFmtId="0" fontId="69" fillId="72" borderId="37" applyNumberFormat="0" applyAlignment="0" applyProtection="0"/>
    <xf numFmtId="0" fontId="55" fillId="18" borderId="33" applyNumberFormat="0" applyAlignment="0" applyProtection="0"/>
    <xf numFmtId="0" fontId="69" fillId="72" borderId="37" applyNumberFormat="0" applyAlignment="0" applyProtection="0"/>
    <xf numFmtId="0" fontId="55" fillId="18" borderId="33" applyNumberFormat="0" applyAlignment="0" applyProtection="0"/>
    <xf numFmtId="0" fontId="69" fillId="72" borderId="37" applyNumberFormat="0" applyAlignment="0" applyProtection="0"/>
    <xf numFmtId="0" fontId="69" fillId="72" borderId="37" applyNumberFormat="0" applyAlignment="0" applyProtection="0"/>
    <xf numFmtId="0" fontId="69" fillId="72" borderId="37" applyNumberFormat="0" applyAlignment="0" applyProtection="0"/>
    <xf numFmtId="0" fontId="69" fillId="72" borderId="37" applyNumberFormat="0" applyAlignment="0" applyProtection="0"/>
    <xf numFmtId="0" fontId="69" fillId="72" borderId="37" applyNumberFormat="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53" fillId="16"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53" fillId="16" borderId="0" applyNumberFormat="0" applyBorder="0" applyAlignment="0" applyProtection="0"/>
    <xf numFmtId="0" fontId="70" fillId="68" borderId="0" applyNumberFormat="0" applyBorder="0" applyAlignment="0" applyProtection="0"/>
    <xf numFmtId="0" fontId="53" fillId="16"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171" fontId="23" fillId="0" borderId="0" applyFill="0" applyBorder="0" applyAlignment="0" applyProtection="0"/>
    <xf numFmtId="169" fontId="23" fillId="0" borderId="0" applyFont="0" applyFill="0" applyBorder="0" applyAlignment="0" applyProtection="0"/>
    <xf numFmtId="44" fontId="23" fillId="0" borderId="0" applyFont="0" applyFill="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54" fillId="17"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54" fillId="17" borderId="0" applyNumberFormat="0" applyBorder="0" applyAlignment="0" applyProtection="0"/>
    <xf numFmtId="0" fontId="71" fillId="78" borderId="0" applyNumberFormat="0" applyBorder="0" applyAlignment="0" applyProtection="0"/>
    <xf numFmtId="0" fontId="54" fillId="17"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1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113" fillId="0" borderId="0"/>
    <xf numFmtId="0" fontId="113" fillId="0" borderId="0"/>
    <xf numFmtId="0" fontId="113" fillId="0" borderId="0"/>
    <xf numFmtId="0" fontId="113" fillId="0" borderId="0"/>
    <xf numFmtId="0" fontId="2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114" fillId="0" borderId="0"/>
    <xf numFmtId="0" fontId="114" fillId="0" borderId="0"/>
    <xf numFmtId="0" fontId="114" fillId="0" borderId="0"/>
    <xf numFmtId="0" fontId="114" fillId="0" borderId="0"/>
    <xf numFmtId="0" fontId="114" fillId="0" borderId="0"/>
    <xf numFmtId="0" fontId="24" fillId="0" borderId="0"/>
    <xf numFmtId="0" fontId="24" fillId="0" borderId="0"/>
    <xf numFmtId="0" fontId="24" fillId="0" borderId="0"/>
    <xf numFmtId="0" fontId="24" fillId="0" borderId="0"/>
    <xf numFmtId="0" fontId="1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3" fillId="0" borderId="0"/>
    <xf numFmtId="0" fontId="113" fillId="0" borderId="0"/>
    <xf numFmtId="0" fontId="111" fillId="0" borderId="0"/>
    <xf numFmtId="0" fontId="111" fillId="0" borderId="0"/>
    <xf numFmtId="0" fontId="111" fillId="0" borderId="0"/>
    <xf numFmtId="0" fontId="1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4" borderId="15" applyNumberFormat="0" applyFont="0" applyAlignment="0" applyProtection="0"/>
    <xf numFmtId="0" fontId="23" fillId="75" borderId="40" applyNumberFormat="0" applyFont="0" applyAlignment="0" applyProtection="0"/>
    <xf numFmtId="0" fontId="29" fillId="4" borderId="15" applyNumberFormat="0" applyFont="0" applyAlignment="0" applyProtection="0"/>
    <xf numFmtId="0" fontId="19" fillId="4" borderId="15" applyNumberFormat="0" applyFont="0" applyAlignment="0" applyProtection="0"/>
    <xf numFmtId="0" fontId="23" fillId="75" borderId="40" applyNumberFormat="0" applyFont="0" applyAlignment="0" applyProtection="0"/>
    <xf numFmtId="0" fontId="29" fillId="4" borderId="15" applyNumberFormat="0" applyFont="0" applyAlignment="0" applyProtection="0"/>
    <xf numFmtId="0" fontId="19" fillId="4" borderId="15" applyNumberFormat="0" applyFont="0" applyAlignment="0" applyProtection="0"/>
    <xf numFmtId="0" fontId="23" fillId="75" borderId="40" applyNumberFormat="0" applyFont="0" applyAlignment="0" applyProtection="0"/>
    <xf numFmtId="0" fontId="29" fillId="4" borderId="15" applyNumberFormat="0" applyFont="0" applyAlignment="0" applyProtection="0"/>
    <xf numFmtId="0" fontId="19" fillId="4" borderId="15" applyNumberFormat="0" applyFont="0" applyAlignment="0" applyProtection="0"/>
    <xf numFmtId="0" fontId="23" fillId="75" borderId="40" applyNumberFormat="0" applyFont="0" applyAlignment="0" applyProtection="0"/>
    <xf numFmtId="0" fontId="29" fillId="4" borderId="15" applyNumberFormat="0" applyFont="0" applyAlignment="0" applyProtection="0"/>
    <xf numFmtId="0" fontId="29" fillId="4" borderId="15" applyNumberFormat="0" applyFont="0" applyAlignment="0" applyProtection="0"/>
    <xf numFmtId="0" fontId="23" fillId="75" borderId="40" applyNumberFormat="0" applyFont="0" applyAlignment="0" applyProtection="0"/>
    <xf numFmtId="0" fontId="29" fillId="4" borderId="15" applyNumberFormat="0" applyFont="0" applyAlignment="0" applyProtection="0"/>
    <xf numFmtId="0" fontId="23" fillId="75" borderId="40" applyNumberFormat="0" applyFont="0" applyAlignment="0" applyProtection="0"/>
    <xf numFmtId="0" fontId="29" fillId="4" borderId="15" applyNumberFormat="0" applyFont="0" applyAlignment="0" applyProtection="0"/>
    <xf numFmtId="0" fontId="23" fillId="75" borderId="40" applyNumberFormat="0" applyFont="0" applyAlignment="0" applyProtection="0"/>
    <xf numFmtId="0" fontId="29" fillId="4" borderId="15" applyNumberFormat="0" applyFont="0" applyAlignment="0" applyProtection="0"/>
    <xf numFmtId="0" fontId="23" fillId="75" borderId="40" applyNumberFormat="0" applyFont="0" applyAlignment="0" applyProtection="0"/>
    <xf numFmtId="0" fontId="29" fillId="4" borderId="15" applyNumberFormat="0" applyFont="0" applyAlignment="0" applyProtection="0"/>
    <xf numFmtId="0" fontId="29" fillId="4" borderId="15" applyNumberFormat="0" applyFont="0" applyAlignment="0" applyProtection="0"/>
    <xf numFmtId="0" fontId="19" fillId="4" borderId="15"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3" fillId="75" borderId="40" applyNumberFormat="0" applyFont="0" applyAlignment="0" applyProtection="0"/>
    <xf numFmtId="0" fontId="29" fillId="4" borderId="15"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4" fillId="75" borderId="40" applyNumberFormat="0" applyFont="0" applyAlignment="0" applyProtection="0"/>
    <xf numFmtId="0" fontId="29" fillId="4" borderId="15" applyNumberFormat="0" applyFont="0" applyAlignment="0" applyProtection="0"/>
    <xf numFmtId="0" fontId="29" fillId="4" borderId="15" applyNumberFormat="0" applyFont="0" applyAlignment="0" applyProtection="0"/>
    <xf numFmtId="0" fontId="2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29" fillId="4" borderId="15" applyNumberFormat="0" applyFont="0" applyAlignment="0" applyProtection="0"/>
    <xf numFmtId="0" fontId="19" fillId="4" borderId="15" applyNumberFormat="0" applyFont="0" applyAlignment="0" applyProtection="0"/>
    <xf numFmtId="0" fontId="29" fillId="4" borderId="15" applyNumberFormat="0" applyFont="0" applyAlignment="0" applyProtection="0"/>
    <xf numFmtId="0" fontId="19" fillId="4" borderId="15" applyNumberFormat="0" applyFont="0" applyAlignment="0" applyProtection="0"/>
    <xf numFmtId="0" fontId="29" fillId="4" borderId="15" applyNumberFormat="0" applyFont="0" applyAlignment="0" applyProtection="0"/>
    <xf numFmtId="0" fontId="19" fillId="4" borderId="15" applyNumberFormat="0" applyFont="0" applyAlignment="0" applyProtection="0"/>
    <xf numFmtId="0" fontId="29" fillId="4" borderId="15" applyNumberFormat="0" applyFont="0" applyAlignment="0" applyProtection="0"/>
    <xf numFmtId="0" fontId="19" fillId="4" borderId="15" applyNumberFormat="0" applyFont="0" applyAlignment="0" applyProtection="0"/>
    <xf numFmtId="0" fontId="23" fillId="75" borderId="40" applyNumberFormat="0" applyFont="0" applyAlignment="0" applyProtection="0"/>
    <xf numFmtId="0" fontId="29" fillId="4" borderId="15" applyNumberFormat="0" applyFont="0" applyAlignment="0" applyProtection="0"/>
    <xf numFmtId="0" fontId="19" fillId="4" borderId="15" applyNumberFormat="0" applyFont="0" applyAlignment="0" applyProtection="0"/>
    <xf numFmtId="0" fontId="23" fillId="75" borderId="40" applyNumberFormat="0" applyFont="0" applyAlignment="0" applyProtection="0"/>
    <xf numFmtId="0" fontId="29" fillId="4" borderId="15" applyNumberFormat="0" applyFont="0" applyAlignment="0" applyProtection="0"/>
    <xf numFmtId="0" fontId="19" fillId="4" borderId="15" applyNumberFormat="0" applyFont="0" applyAlignment="0" applyProtection="0"/>
    <xf numFmtId="0" fontId="23" fillId="75" borderId="40" applyNumberFormat="0" applyFont="0" applyAlignment="0" applyProtection="0"/>
    <xf numFmtId="0" fontId="29" fillId="4" borderId="15"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72" fillId="87" borderId="41" applyNumberFormat="0" applyAlignment="0" applyProtection="0"/>
    <xf numFmtId="0" fontId="72" fillId="87" borderId="41" applyNumberFormat="0" applyAlignment="0" applyProtection="0"/>
    <xf numFmtId="0" fontId="72" fillId="87" borderId="41" applyNumberFormat="0" applyAlignment="0" applyProtection="0"/>
    <xf numFmtId="0" fontId="72" fillId="87" borderId="41" applyNumberFormat="0" applyAlignment="0" applyProtection="0"/>
    <xf numFmtId="0" fontId="72" fillId="87" borderId="41" applyNumberFormat="0" applyAlignment="0" applyProtection="0"/>
    <xf numFmtId="0" fontId="72" fillId="87" borderId="41" applyNumberFormat="0" applyAlignment="0" applyProtection="0"/>
    <xf numFmtId="0" fontId="72" fillId="87" borderId="41" applyNumberFormat="0" applyAlignment="0" applyProtection="0"/>
    <xf numFmtId="0" fontId="72" fillId="87" borderId="41" applyNumberFormat="0" applyAlignment="0" applyProtection="0"/>
    <xf numFmtId="0" fontId="56" fillId="19" borderId="34" applyNumberFormat="0" applyAlignment="0" applyProtection="0"/>
    <xf numFmtId="0" fontId="72" fillId="87" borderId="41" applyNumberFormat="0" applyAlignment="0" applyProtection="0"/>
    <xf numFmtId="0" fontId="72" fillId="87" borderId="41" applyNumberFormat="0" applyAlignment="0" applyProtection="0"/>
    <xf numFmtId="0" fontId="56" fillId="19" borderId="34" applyNumberFormat="0" applyAlignment="0" applyProtection="0"/>
    <xf numFmtId="0" fontId="72" fillId="87" borderId="41" applyNumberFormat="0" applyAlignment="0" applyProtection="0"/>
    <xf numFmtId="0" fontId="56" fillId="19" borderId="34" applyNumberFormat="0" applyAlignment="0" applyProtection="0"/>
    <xf numFmtId="0" fontId="72" fillId="87" borderId="41" applyNumberFormat="0" applyAlignment="0" applyProtection="0"/>
    <xf numFmtId="0" fontId="72" fillId="87" borderId="41" applyNumberFormat="0" applyAlignment="0" applyProtection="0"/>
    <xf numFmtId="0" fontId="72" fillId="87" borderId="41" applyNumberFormat="0" applyAlignment="0" applyProtection="0"/>
    <xf numFmtId="0" fontId="72" fillId="87" borderId="41" applyNumberFormat="0" applyAlignment="0" applyProtection="0"/>
    <xf numFmtId="0" fontId="72" fillId="87" borderId="41" applyNumberFormat="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23"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8" fontId="23" fillId="0" borderId="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109"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19"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0" fillId="0" borderId="0" applyNumberFormat="0" applyFill="0" applyBorder="0" applyAlignment="0" applyProtection="0"/>
    <xf numFmtId="0" fontId="74" fillId="0" borderId="0" applyNumberFormat="0" applyFill="0" applyBorder="0" applyAlignment="0" applyProtection="0"/>
    <xf numFmtId="0" fontId="6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49" fillId="0" borderId="30"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49" fillId="0" borderId="30" applyNumberFormat="0" applyFill="0" applyAlignment="0" applyProtection="0"/>
    <xf numFmtId="0" fontId="76" fillId="0" borderId="42" applyNumberFormat="0" applyFill="0" applyAlignment="0" applyProtection="0"/>
    <xf numFmtId="0" fontId="49" fillId="0" borderId="30"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7" fillId="0" borderId="43" applyNumberFormat="0" applyFill="0" applyAlignment="0" applyProtection="0"/>
    <xf numFmtId="0" fontId="77" fillId="0" borderId="43" applyNumberFormat="0" applyFill="0" applyAlignment="0" applyProtection="0"/>
    <xf numFmtId="0" fontId="77" fillId="0" borderId="43" applyNumberFormat="0" applyFill="0" applyAlignment="0" applyProtection="0"/>
    <xf numFmtId="0" fontId="77" fillId="0" borderId="43" applyNumberFormat="0" applyFill="0" applyAlignment="0" applyProtection="0"/>
    <xf numFmtId="0" fontId="77" fillId="0" borderId="43" applyNumberFormat="0" applyFill="0" applyAlignment="0" applyProtection="0"/>
    <xf numFmtId="0" fontId="77" fillId="0" borderId="43" applyNumberFormat="0" applyFill="0" applyAlignment="0" applyProtection="0"/>
    <xf numFmtId="0" fontId="77" fillId="0" borderId="43" applyNumberFormat="0" applyFill="0" applyAlignment="0" applyProtection="0"/>
    <xf numFmtId="0" fontId="77" fillId="0" borderId="43" applyNumberFormat="0" applyFill="0" applyAlignment="0" applyProtection="0"/>
    <xf numFmtId="0" fontId="50" fillId="0" borderId="31" applyNumberFormat="0" applyFill="0" applyAlignment="0" applyProtection="0"/>
    <xf numFmtId="0" fontId="77" fillId="0" borderId="43" applyNumberFormat="0" applyFill="0" applyAlignment="0" applyProtection="0"/>
    <xf numFmtId="0" fontId="77" fillId="0" borderId="43" applyNumberFormat="0" applyFill="0" applyAlignment="0" applyProtection="0"/>
    <xf numFmtId="0" fontId="50" fillId="0" borderId="31" applyNumberFormat="0" applyFill="0" applyAlignment="0" applyProtection="0"/>
    <xf numFmtId="0" fontId="77" fillId="0" borderId="43" applyNumberFormat="0" applyFill="0" applyAlignment="0" applyProtection="0"/>
    <xf numFmtId="0" fontId="50" fillId="0" borderId="31" applyNumberFormat="0" applyFill="0" applyAlignment="0" applyProtection="0"/>
    <xf numFmtId="0" fontId="77" fillId="0" borderId="43" applyNumberFormat="0" applyFill="0" applyAlignment="0" applyProtection="0"/>
    <xf numFmtId="0" fontId="77" fillId="0" borderId="43" applyNumberFormat="0" applyFill="0" applyAlignment="0" applyProtection="0"/>
    <xf numFmtId="0" fontId="77" fillId="0" borderId="43" applyNumberFormat="0" applyFill="0" applyAlignment="0" applyProtection="0"/>
    <xf numFmtId="0" fontId="77" fillId="0" borderId="43" applyNumberFormat="0" applyFill="0" applyAlignment="0" applyProtection="0"/>
    <xf numFmtId="0" fontId="77" fillId="0" borderId="43" applyNumberFormat="0" applyFill="0" applyAlignment="0" applyProtection="0"/>
    <xf numFmtId="0" fontId="75" fillId="0" borderId="0" applyNumberFormat="0" applyFill="0" applyBorder="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51" fillId="0" borderId="32"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51" fillId="0" borderId="32" applyNumberFormat="0" applyFill="0" applyAlignment="0" applyProtection="0"/>
    <xf numFmtId="0" fontId="78" fillId="0" borderId="44" applyNumberFormat="0" applyFill="0" applyAlignment="0" applyProtection="0"/>
    <xf numFmtId="0" fontId="51" fillId="0" borderId="32"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1" fillId="0" borderId="0" applyNumberFormat="0" applyFill="0" applyBorder="0" applyAlignment="0" applyProtection="0"/>
    <xf numFmtId="0" fontId="78" fillId="0" borderId="0" applyNumberFormat="0" applyFill="0" applyBorder="0" applyAlignment="0" applyProtection="0"/>
    <xf numFmtId="0" fontId="5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80" fillId="0" borderId="46" applyNumberFormat="0" applyFont="0" applyFill="0" applyAlignment="0" applyProtection="0"/>
    <xf numFmtId="0" fontId="80" fillId="0" borderId="46" applyNumberFormat="0" applyFont="0" applyFill="0" applyAlignment="0" applyProtection="0"/>
    <xf numFmtId="0" fontId="80" fillId="0" borderId="46" applyNumberFormat="0" applyFont="0" applyFill="0" applyAlignment="0" applyProtection="0"/>
    <xf numFmtId="0" fontId="80" fillId="0" borderId="46" applyNumberFormat="0" applyFont="0" applyFill="0" applyAlignment="0" applyProtection="0"/>
    <xf numFmtId="0" fontId="80" fillId="0" borderId="46" applyNumberFormat="0" applyFont="0" applyFill="0" applyAlignment="0" applyProtection="0"/>
    <xf numFmtId="0" fontId="80" fillId="0" borderId="46" applyNumberFormat="0" applyFont="0" applyFill="0" applyAlignment="0" applyProtection="0"/>
    <xf numFmtId="0" fontId="80" fillId="0" borderId="46" applyNumberFormat="0" applyFont="0" applyFill="0" applyAlignment="0" applyProtection="0"/>
    <xf numFmtId="0" fontId="80" fillId="0" borderId="46" applyNumberFormat="0" applyFont="0" applyFill="0" applyAlignment="0" applyProtection="0"/>
    <xf numFmtId="0" fontId="32" fillId="0" borderId="16"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80" fillId="0" borderId="46" applyNumberFormat="0" applyFont="0" applyFill="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80" fillId="0" borderId="46" applyNumberFormat="0" applyFont="0" applyFill="0" applyAlignment="0" applyProtection="0"/>
    <xf numFmtId="0" fontId="32" fillId="0" borderId="16" applyNumberFormat="0" applyFill="0" applyAlignment="0" applyProtection="0"/>
    <xf numFmtId="0" fontId="80" fillId="0" borderId="46" applyNumberFormat="0" applyFont="0" applyFill="0" applyAlignment="0" applyProtection="0"/>
    <xf numFmtId="0" fontId="32" fillId="0" borderId="16" applyNumberFormat="0" applyFill="0" applyAlignment="0" applyProtection="0"/>
    <xf numFmtId="0" fontId="80" fillId="0" borderId="46" applyNumberFormat="0" applyFont="0" applyFill="0" applyAlignment="0" applyProtection="0"/>
    <xf numFmtId="0" fontId="80" fillId="0" borderId="46" applyNumberFormat="0" applyFont="0" applyFill="0" applyAlignment="0" applyProtection="0"/>
    <xf numFmtId="0" fontId="80" fillId="0" borderId="46" applyNumberFormat="0" applyFont="0" applyFill="0" applyAlignment="0" applyProtection="0"/>
    <xf numFmtId="0" fontId="80" fillId="0" borderId="46" applyNumberFormat="0" applyFont="0" applyFill="0" applyAlignment="0" applyProtection="0"/>
    <xf numFmtId="0" fontId="80" fillId="0" borderId="46" applyNumberFormat="0" applyFont="0" applyFill="0" applyAlignment="0" applyProtection="0"/>
    <xf numFmtId="9" fontId="19" fillId="0" borderId="0" applyFont="0" applyFill="0" applyBorder="0" applyAlignment="0" applyProtection="0"/>
    <xf numFmtId="173" fontId="23" fillId="0" borderId="0" applyFill="0" applyBorder="0" applyAlignment="0" applyProtection="0"/>
    <xf numFmtId="9" fontId="23" fillId="0" borderId="0" applyFill="0" applyBorder="0" applyAlignment="0" applyProtection="0"/>
    <xf numFmtId="0" fontId="23" fillId="0" borderId="0"/>
    <xf numFmtId="172" fontId="23" fillId="0" borderId="0" applyFont="0" applyFill="0" applyBorder="0" applyAlignment="0" applyProtection="0"/>
    <xf numFmtId="43" fontId="111" fillId="0" borderId="0" applyFont="0" applyFill="0" applyBorder="0" applyAlignment="0" applyProtection="0"/>
    <xf numFmtId="4" fontId="80" fillId="0" borderId="0">
      <alignment vertical="center" wrapText="1"/>
      <protection locked="0"/>
    </xf>
    <xf numFmtId="172" fontId="23" fillId="0" borderId="0" applyFont="0" applyFill="0" applyBorder="0" applyAlignment="0" applyProtection="0"/>
    <xf numFmtId="0" fontId="23" fillId="0" borderId="0"/>
    <xf numFmtId="43" fontId="19" fillId="0" borderId="0" applyFont="0" applyFill="0" applyBorder="0" applyAlignment="0" applyProtection="0"/>
    <xf numFmtId="44"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4" fillId="0" borderId="0"/>
    <xf numFmtId="8" fontId="11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4" fontId="80" fillId="0" borderId="0">
      <alignment vertical="center" wrapText="1"/>
      <protection locked="0"/>
    </xf>
    <xf numFmtId="0" fontId="23" fillId="0" borderId="0"/>
    <xf numFmtId="0" fontId="19" fillId="0" borderId="0"/>
    <xf numFmtId="0" fontId="115" fillId="0" borderId="0"/>
    <xf numFmtId="0" fontId="19" fillId="0" borderId="0"/>
    <xf numFmtId="0" fontId="19" fillId="0" borderId="0"/>
    <xf numFmtId="0" fontId="111" fillId="0" borderId="0"/>
    <xf numFmtId="0" fontId="111" fillId="0" borderId="0"/>
    <xf numFmtId="0" fontId="19" fillId="0" borderId="0"/>
    <xf numFmtId="0" fontId="23" fillId="0" borderId="0"/>
    <xf numFmtId="0" fontId="23" fillId="0" borderId="0"/>
    <xf numFmtId="0" fontId="23" fillId="0" borderId="0"/>
    <xf numFmtId="0" fontId="111" fillId="0" borderId="0"/>
    <xf numFmtId="0" fontId="111" fillId="0" borderId="0"/>
    <xf numFmtId="4" fontId="80" fillId="0" borderId="0">
      <alignment vertical="center" wrapText="1"/>
      <protection locked="0"/>
    </xf>
    <xf numFmtId="4" fontId="80" fillId="0" borderId="0">
      <alignment vertical="center" wrapText="1"/>
      <protection locked="0"/>
    </xf>
    <xf numFmtId="4" fontId="80" fillId="0" borderId="0">
      <alignment vertical="center" wrapText="1"/>
      <protection locked="0"/>
    </xf>
    <xf numFmtId="0" fontId="111" fillId="0" borderId="0"/>
    <xf numFmtId="0" fontId="111" fillId="0" borderId="0"/>
    <xf numFmtId="0" fontId="117" fillId="0" borderId="0" applyBorder="0" applyAlignment="0">
      <alignment horizontal="left"/>
    </xf>
    <xf numFmtId="4" fontId="80" fillId="0" borderId="0">
      <alignment vertical="center" wrapText="1"/>
      <protection locked="0"/>
    </xf>
    <xf numFmtId="4" fontId="80" fillId="0" borderId="0">
      <alignment vertical="center" wrapText="1"/>
      <protection locked="0"/>
    </xf>
    <xf numFmtId="0" fontId="19" fillId="0" borderId="0"/>
    <xf numFmtId="0" fontId="111" fillId="0" borderId="0"/>
    <xf numFmtId="4" fontId="80" fillId="0" borderId="0">
      <alignment vertical="center" wrapText="1"/>
      <protection locked="0"/>
    </xf>
    <xf numFmtId="4" fontId="80" fillId="0" borderId="0">
      <alignment vertical="center" wrapText="1"/>
      <protection locked="0"/>
    </xf>
    <xf numFmtId="4" fontId="80" fillId="0" borderId="0">
      <alignment vertical="center" wrapText="1"/>
      <protection locked="0"/>
    </xf>
    <xf numFmtId="4" fontId="80" fillId="0" borderId="0">
      <alignment vertical="center" wrapText="1"/>
      <protection locked="0"/>
    </xf>
    <xf numFmtId="4" fontId="80" fillId="0" borderId="0">
      <alignment vertical="center" wrapText="1"/>
      <protection locked="0"/>
    </xf>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24" fillId="4" borderId="15" applyNumberFormat="0" applyFont="0" applyAlignment="0" applyProtection="0"/>
    <xf numFmtId="0" fontId="24" fillId="4" borderId="15" applyNumberFormat="0" applyFont="0" applyAlignment="0" applyProtection="0"/>
    <xf numFmtId="0" fontId="24" fillId="4" borderId="15" applyNumberFormat="0" applyFont="0" applyAlignment="0" applyProtection="0"/>
    <xf numFmtId="0" fontId="24" fillId="4" borderId="15" applyNumberFormat="0" applyFont="0" applyAlignment="0" applyProtection="0"/>
    <xf numFmtId="0" fontId="24"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0" fontId="109" fillId="4" borderId="15" applyNumberFormat="0" applyFont="0" applyAlignment="0" applyProtection="0"/>
    <xf numFmtId="9" fontId="11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0" fontId="11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2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 fontId="118" fillId="0" borderId="0" applyNumberFormat="0" applyFont="0" applyFill="0" applyBorder="0" applyAlignment="0" applyProtection="0">
      <alignment vertical="center" wrapText="1"/>
      <protection locked="0"/>
    </xf>
    <xf numFmtId="0" fontId="115" fillId="0" borderId="0"/>
    <xf numFmtId="0" fontId="19" fillId="0" borderId="0"/>
    <xf numFmtId="9" fontId="19" fillId="0" borderId="0" applyFont="0" applyFill="0" applyBorder="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23"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23"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44" fontId="23" fillId="0" borderId="0" applyFill="0" applyBorder="0" applyAlignment="0" applyProtection="0"/>
    <xf numFmtId="0" fontId="23" fillId="0" borderId="0"/>
    <xf numFmtId="0" fontId="19" fillId="0" borderId="0"/>
    <xf numFmtId="0" fontId="19" fillId="4" borderId="15" applyNumberFormat="0" applyFont="0" applyAlignment="0" applyProtection="0"/>
    <xf numFmtId="43" fontId="23" fillId="0" borderId="0" applyFill="0" applyBorder="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43" fontId="23" fillId="0" borderId="0" applyFill="0" applyBorder="0" applyAlignment="0" applyProtection="0"/>
    <xf numFmtId="0" fontId="119" fillId="0" borderId="0"/>
    <xf numFmtId="0" fontId="23" fillId="0" borderId="0"/>
    <xf numFmtId="44" fontId="23" fillId="0" borderId="0" applyFill="0" applyBorder="0" applyAlignment="0" applyProtection="0"/>
    <xf numFmtId="0" fontId="19" fillId="0" borderId="0"/>
    <xf numFmtId="0" fontId="19" fillId="4" borderId="15" applyNumberFormat="0" applyFont="0" applyAlignment="0" applyProtection="0"/>
    <xf numFmtId="43" fontId="23" fillId="0" borderId="0" applyFill="0" applyBorder="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44" fontId="23" fillId="0" borderId="0" applyFill="0" applyBorder="0" applyAlignment="0" applyProtection="0"/>
    <xf numFmtId="0" fontId="19" fillId="0" borderId="0"/>
    <xf numFmtId="0" fontId="19" fillId="4" borderId="15" applyNumberFormat="0" applyFont="0" applyAlignment="0" applyProtection="0"/>
    <xf numFmtId="43" fontId="23" fillId="0" borderId="0" applyFill="0" applyBorder="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43" fontId="23" fillId="0" borderId="0" applyFill="0" applyBorder="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62" fillId="0" borderId="0"/>
    <xf numFmtId="0" fontId="63"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4" borderId="15" applyNumberFormat="0" applyFont="0" applyAlignment="0" applyProtection="0"/>
    <xf numFmtId="0" fontId="19" fillId="0" borderId="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0" borderId="0"/>
    <xf numFmtId="172" fontId="19" fillId="0" borderId="0" applyFont="0" applyFill="0" applyBorder="0" applyAlignment="0" applyProtection="0"/>
    <xf numFmtId="0" fontId="23" fillId="0" borderId="0"/>
    <xf numFmtId="173" fontId="23" fillId="0" borderId="0"/>
    <xf numFmtId="0" fontId="23" fillId="0" borderId="0"/>
    <xf numFmtId="174" fontId="23" fillId="0" borderId="0" applyFill="0" applyBorder="0" applyAlignment="0" applyProtection="0"/>
    <xf numFmtId="174" fontId="23" fillId="0" borderId="0" applyFill="0" applyBorder="0" applyAlignment="0" applyProtection="0"/>
    <xf numFmtId="9" fontId="23" fillId="0" borderId="0" applyFont="0" applyFill="0" applyBorder="0" applyAlignment="0" applyProtection="0"/>
    <xf numFmtId="9" fontId="23" fillId="0" borderId="0" applyFill="0" applyBorder="0" applyAlignment="0" applyProtection="0"/>
    <xf numFmtId="173" fontId="23" fillId="0" borderId="0" applyFill="0" applyBorder="0" applyAlignment="0" applyProtection="0"/>
    <xf numFmtId="173" fontId="23" fillId="0" borderId="0" applyFill="0" applyBorder="0" applyAlignment="0" applyProtection="0"/>
    <xf numFmtId="4" fontId="80" fillId="0" borderId="0">
      <alignment vertical="center" wrapText="1"/>
      <protection locked="0"/>
    </xf>
    <xf numFmtId="0" fontId="23" fillId="75" borderId="40" applyNumberFormat="0" applyFont="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19" fillId="0" borderId="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0" fontId="23" fillId="0" borderId="0"/>
    <xf numFmtId="171" fontId="23" fillId="0" borderId="0" applyFont="0" applyFill="0" applyBorder="0" applyAlignment="0" applyProtection="0"/>
    <xf numFmtId="174" fontId="23" fillId="0" borderId="0" applyFill="0" applyBorder="0" applyAlignment="0" applyProtection="0"/>
    <xf numFmtId="174" fontId="23" fillId="0" borderId="0" applyFill="0" applyBorder="0" applyAlignment="0" applyProtection="0"/>
    <xf numFmtId="9" fontId="23" fillId="0" borderId="0" applyFont="0" applyFill="0" applyBorder="0" applyAlignment="0" applyProtection="0"/>
    <xf numFmtId="9" fontId="23" fillId="0" borderId="0" applyFill="0" applyBorder="0" applyAlignment="0" applyProtection="0"/>
    <xf numFmtId="173" fontId="23" fillId="0" borderId="0" applyFill="0" applyBorder="0" applyAlignment="0" applyProtection="0"/>
    <xf numFmtId="173" fontId="23" fillId="0" borderId="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23" fillId="75" borderId="40" applyNumberFormat="0" applyFont="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0" fontId="23" fillId="0" borderId="0"/>
    <xf numFmtId="0" fontId="23" fillId="0" borderId="0"/>
    <xf numFmtId="0" fontId="23" fillId="0" borderId="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42"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19" fillId="0" borderId="0" applyFont="0" applyFill="0" applyBorder="0" applyAlignment="0" applyProtection="0"/>
    <xf numFmtId="176"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0" fontId="23" fillId="0" borderId="0"/>
    <xf numFmtId="0" fontId="19" fillId="0" borderId="0"/>
    <xf numFmtId="0" fontId="19" fillId="0" borderId="0"/>
    <xf numFmtId="0" fontId="23" fillId="0" borderId="0"/>
    <xf numFmtId="0" fontId="23" fillId="0" borderId="0"/>
    <xf numFmtId="0" fontId="23" fillId="0" borderId="0"/>
    <xf numFmtId="9"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43" fontId="19" fillId="0" borderId="0" applyFont="0" applyFill="0" applyBorder="0" applyAlignment="0" applyProtection="0"/>
    <xf numFmtId="0" fontId="23" fillId="0" borderId="0"/>
    <xf numFmtId="0" fontId="23" fillId="75" borderId="40" applyNumberFormat="0" applyFont="0" applyAlignment="0" applyProtection="0"/>
    <xf numFmtId="0" fontId="19" fillId="0" borderId="0"/>
    <xf numFmtId="0" fontId="23" fillId="0" borderId="0"/>
    <xf numFmtId="0" fontId="19" fillId="0" borderId="0"/>
    <xf numFmtId="0" fontId="80" fillId="0" borderId="0" applyFont="0" applyFill="0" applyBorder="0" applyAlignment="0" applyProtection="0"/>
    <xf numFmtId="2" fontId="80"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6"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5" fontId="80" fillId="0" borderId="0" applyFont="0" applyFill="0" applyBorder="0" applyAlignment="0" applyProtection="0"/>
    <xf numFmtId="0" fontId="23" fillId="0" borderId="0"/>
    <xf numFmtId="0" fontId="23" fillId="0" borderId="0"/>
    <xf numFmtId="0" fontId="23" fillId="0" borderId="0"/>
    <xf numFmtId="0" fontId="23" fillId="0" borderId="0"/>
    <xf numFmtId="4" fontId="80" fillId="0" borderId="0">
      <alignment vertical="center" wrapText="1"/>
      <protection locked="0"/>
    </xf>
    <xf numFmtId="0" fontId="23" fillId="0" borderId="0"/>
    <xf numFmtId="0" fontId="19" fillId="0" borderId="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0" fontId="80" fillId="0" borderId="46" applyNumberFormat="0" applyFont="0" applyFill="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 fontId="80"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19"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3" fontId="80" fillId="0" borderId="0" applyFont="0" applyFill="0" applyBorder="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66" borderId="40" applyNumberForma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172" fontId="23" fillId="0" borderId="0" applyFont="0" applyFill="0" applyBorder="0" applyAlignment="0" applyProtection="0"/>
    <xf numFmtId="171" fontId="23" fillId="0" borderId="0" applyFill="0" applyBorder="0" applyAlignment="0" applyProtection="0"/>
    <xf numFmtId="169"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4" borderId="15" applyNumberFormat="0" applyFont="0" applyAlignment="0" applyProtection="0"/>
    <xf numFmtId="0" fontId="23" fillId="75" borderId="40" applyNumberFormat="0" applyFont="0" applyAlignment="0" applyProtection="0"/>
    <xf numFmtId="0" fontId="19" fillId="4" borderId="15" applyNumberFormat="0" applyFont="0" applyAlignment="0" applyProtection="0"/>
    <xf numFmtId="0" fontId="23" fillId="75" borderId="40" applyNumberFormat="0" applyFont="0" applyAlignment="0" applyProtection="0"/>
    <xf numFmtId="0" fontId="19" fillId="4" borderId="15" applyNumberFormat="0" applyFont="0" applyAlignment="0" applyProtection="0"/>
    <xf numFmtId="0" fontId="23" fillId="75" borderId="40" applyNumberFormat="0" applyFont="0" applyAlignment="0" applyProtection="0"/>
    <xf numFmtId="0" fontId="19" fillId="4" borderId="15"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0" fontId="19" fillId="4" borderId="15" applyNumberFormat="0" applyFont="0" applyAlignment="0" applyProtection="0"/>
    <xf numFmtId="0" fontId="23" fillId="75" borderId="40"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23" fillId="75" borderId="40" applyNumberFormat="0" applyFont="0" applyAlignment="0" applyProtection="0"/>
    <xf numFmtId="0" fontId="19" fillId="4" borderId="15" applyNumberFormat="0" applyFont="0" applyAlignment="0" applyProtection="0"/>
    <xf numFmtId="0" fontId="23" fillId="75" borderId="40" applyNumberFormat="0" applyFont="0" applyAlignment="0" applyProtection="0"/>
    <xf numFmtId="0" fontId="19" fillId="4" borderId="15" applyNumberFormat="0" applyFont="0" applyAlignment="0" applyProtection="0"/>
    <xf numFmtId="0" fontId="23" fillId="75" borderId="40"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8" fontId="23" fillId="0" borderId="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19"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9" fontId="19" fillId="0" borderId="0" applyFont="0" applyFill="0" applyBorder="0" applyAlignment="0" applyProtection="0"/>
    <xf numFmtId="173" fontId="23" fillId="0" borderId="0" applyFill="0" applyBorder="0" applyAlignment="0" applyProtection="0"/>
    <xf numFmtId="9" fontId="23" fillId="0" borderId="0" applyFill="0" applyBorder="0" applyAlignment="0" applyProtection="0"/>
    <xf numFmtId="0" fontId="23" fillId="0" borderId="0"/>
    <xf numFmtId="172" fontId="23" fillId="0" borderId="0" applyFont="0" applyFill="0" applyBorder="0" applyAlignment="0" applyProtection="0"/>
    <xf numFmtId="172" fontId="23" fillId="0" borderId="0" applyFont="0" applyFill="0" applyBorder="0" applyAlignment="0" applyProtection="0"/>
    <xf numFmtId="0" fontId="23" fillId="0" borderId="0"/>
    <xf numFmtId="43" fontId="19" fillId="0" borderId="0" applyFont="0" applyFill="0" applyBorder="0" applyAlignment="0" applyProtection="0"/>
    <xf numFmtId="44"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172"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42"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44" fontId="19" fillId="0" borderId="0" applyFont="0" applyFill="0" applyBorder="0" applyAlignment="0" applyProtection="0"/>
    <xf numFmtId="0" fontId="19" fillId="0" borderId="0"/>
    <xf numFmtId="0" fontId="19" fillId="0" borderId="0"/>
    <xf numFmtId="0" fontId="19" fillId="4" borderId="15" applyNumberFormat="0" applyFont="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0" borderId="0"/>
    <xf numFmtId="0" fontId="19" fillId="0" borderId="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4" borderId="15" applyNumberFormat="0" applyFont="0" applyAlignment="0" applyProtection="0"/>
    <xf numFmtId="0" fontId="19" fillId="0" borderId="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0" borderId="0"/>
    <xf numFmtId="172"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42"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44"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0" borderId="0"/>
    <xf numFmtId="0" fontId="19" fillId="0" borderId="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0" fontId="19" fillId="4" borderId="15" applyNumberFormat="0" applyFont="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9" fillId="0" borderId="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4" borderId="15" applyNumberFormat="0" applyFont="0" applyAlignment="0" applyProtection="0"/>
    <xf numFmtId="0" fontId="19" fillId="0" borderId="0"/>
    <xf numFmtId="0" fontId="19" fillId="0" borderId="0"/>
    <xf numFmtId="0" fontId="119" fillId="0" borderId="0"/>
    <xf numFmtId="0" fontId="23"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172"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44" fontId="18" fillId="0" borderId="0" applyFont="0" applyFill="0" applyBorder="0" applyAlignment="0" applyProtection="0"/>
    <xf numFmtId="0" fontId="18" fillId="0" borderId="0"/>
    <xf numFmtId="0" fontId="18" fillId="0" borderId="0"/>
    <xf numFmtId="0" fontId="18" fillId="4" borderId="15" applyNumberFormat="0" applyFont="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0" borderId="0"/>
    <xf numFmtId="0" fontId="18" fillId="0" borderId="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4" borderId="15" applyNumberFormat="0" applyFont="0" applyAlignment="0" applyProtection="0"/>
    <xf numFmtId="0" fontId="18" fillId="0" borderId="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0" borderId="0"/>
    <xf numFmtId="172"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44"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0" borderId="0"/>
    <xf numFmtId="0" fontId="18" fillId="0" borderId="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172"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44" fontId="18" fillId="0" borderId="0" applyFont="0" applyFill="0" applyBorder="0" applyAlignment="0" applyProtection="0"/>
    <xf numFmtId="0" fontId="18" fillId="0" borderId="0"/>
    <xf numFmtId="0" fontId="18" fillId="0" borderId="0"/>
    <xf numFmtId="0" fontId="18" fillId="4" borderId="15" applyNumberFormat="0" applyFont="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0" borderId="0"/>
    <xf numFmtId="0" fontId="18" fillId="0" borderId="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4" borderId="15" applyNumberFormat="0" applyFont="0" applyAlignment="0" applyProtection="0"/>
    <xf numFmtId="0" fontId="18" fillId="0" borderId="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0" borderId="0"/>
    <xf numFmtId="172"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44"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0" borderId="0"/>
    <xf numFmtId="0" fontId="18" fillId="0" borderId="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0" fontId="18" fillId="4" borderId="15"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8" fillId="0" borderId="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4" borderId="15" applyNumberFormat="0" applyFont="0" applyAlignment="0" applyProtection="0"/>
    <xf numFmtId="0" fontId="18" fillId="0" borderId="0"/>
    <xf numFmtId="0" fontId="18"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172"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44" fontId="17" fillId="0" borderId="0" applyFont="0" applyFill="0" applyBorder="0" applyAlignment="0" applyProtection="0"/>
    <xf numFmtId="0" fontId="17" fillId="0" borderId="0"/>
    <xf numFmtId="0" fontId="17" fillId="0" borderId="0"/>
    <xf numFmtId="0" fontId="17" fillId="4" borderId="15" applyNumberFormat="0" applyFont="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0" borderId="0"/>
    <xf numFmtId="0" fontId="17" fillId="0" borderId="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4" borderId="15" applyNumberFormat="0" applyFont="0" applyAlignment="0" applyProtection="0"/>
    <xf numFmtId="0" fontId="17" fillId="0" borderId="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0" borderId="0"/>
    <xf numFmtId="172"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44"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0" borderId="0"/>
    <xf numFmtId="0" fontId="17" fillId="0" borderId="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172"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44" fontId="17" fillId="0" borderId="0" applyFont="0" applyFill="0" applyBorder="0" applyAlignment="0" applyProtection="0"/>
    <xf numFmtId="0" fontId="17" fillId="0" borderId="0"/>
    <xf numFmtId="0" fontId="17" fillId="0" borderId="0"/>
    <xf numFmtId="0" fontId="17" fillId="4" borderId="15" applyNumberFormat="0" applyFont="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0" borderId="0"/>
    <xf numFmtId="0" fontId="17" fillId="0" borderId="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4" borderId="15" applyNumberFormat="0" applyFont="0" applyAlignment="0" applyProtection="0"/>
    <xf numFmtId="0" fontId="17" fillId="0" borderId="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0" borderId="0"/>
    <xf numFmtId="172"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44"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0" borderId="0"/>
    <xf numFmtId="0" fontId="17" fillId="0" borderId="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0" fontId="17" fillId="4" borderId="15"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7" fillId="0" borderId="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4" borderId="15" applyNumberFormat="0" applyFont="0" applyAlignment="0" applyProtection="0"/>
    <xf numFmtId="0" fontId="17" fillId="0" borderId="0"/>
    <xf numFmtId="0" fontId="17"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172"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44" fontId="16" fillId="0" borderId="0" applyFont="0" applyFill="0" applyBorder="0" applyAlignment="0" applyProtection="0"/>
    <xf numFmtId="0" fontId="16" fillId="0" borderId="0"/>
    <xf numFmtId="0" fontId="16" fillId="0" borderId="0"/>
    <xf numFmtId="0" fontId="16" fillId="4" borderId="15" applyNumberFormat="0" applyFont="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4" borderId="15" applyNumberFormat="0" applyFont="0" applyAlignment="0" applyProtection="0"/>
    <xf numFmtId="0" fontId="16" fillId="0" borderId="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0" borderId="0"/>
    <xf numFmtId="172"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172"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44" fontId="16" fillId="0" borderId="0" applyFont="0" applyFill="0" applyBorder="0" applyAlignment="0" applyProtection="0"/>
    <xf numFmtId="0" fontId="16" fillId="0" borderId="0"/>
    <xf numFmtId="0" fontId="16" fillId="0" borderId="0"/>
    <xf numFmtId="0" fontId="16" fillId="4" borderId="15" applyNumberFormat="0" applyFont="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4" borderId="15" applyNumberFormat="0" applyFont="0" applyAlignment="0" applyProtection="0"/>
    <xf numFmtId="0" fontId="16" fillId="0" borderId="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0" borderId="0"/>
    <xf numFmtId="172"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0" fontId="16" fillId="4" borderId="15"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6" fillId="0" borderId="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4" borderId="15" applyNumberFormat="0" applyFont="0" applyAlignment="0" applyProtection="0"/>
    <xf numFmtId="0" fontId="16" fillId="0" borderId="0"/>
    <xf numFmtId="0" fontId="16"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172"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44" fontId="15" fillId="0" borderId="0" applyFont="0" applyFill="0" applyBorder="0" applyAlignment="0" applyProtection="0"/>
    <xf numFmtId="0" fontId="15" fillId="0" borderId="0"/>
    <xf numFmtId="0" fontId="15" fillId="0" borderId="0"/>
    <xf numFmtId="0" fontId="15" fillId="4" borderId="15" applyNumberFormat="0" applyFont="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0" borderId="0"/>
    <xf numFmtId="0" fontId="15" fillId="0" borderId="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4" borderId="15" applyNumberFormat="0" applyFont="0" applyAlignment="0" applyProtection="0"/>
    <xf numFmtId="0" fontId="15" fillId="0" borderId="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0" borderId="0"/>
    <xf numFmtId="172"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0" borderId="0"/>
    <xf numFmtId="0" fontId="15" fillId="0" borderId="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172"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44" fontId="15" fillId="0" borderId="0" applyFont="0" applyFill="0" applyBorder="0" applyAlignment="0" applyProtection="0"/>
    <xf numFmtId="0" fontId="15" fillId="0" borderId="0"/>
    <xf numFmtId="0" fontId="15" fillId="0" borderId="0"/>
    <xf numFmtId="0" fontId="15" fillId="4" borderId="15" applyNumberFormat="0" applyFont="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0" borderId="0"/>
    <xf numFmtId="0" fontId="15" fillId="0" borderId="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4" borderId="15" applyNumberFormat="0" applyFont="0" applyAlignment="0" applyProtection="0"/>
    <xf numFmtId="0" fontId="15" fillId="0" borderId="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0" borderId="0"/>
    <xf numFmtId="172"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0" borderId="0"/>
    <xf numFmtId="0" fontId="15" fillId="0" borderId="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0" fontId="15" fillId="4" borderId="15"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5" fillId="0" borderId="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4" borderId="15" applyNumberFormat="0" applyFont="0" applyAlignment="0" applyProtection="0"/>
    <xf numFmtId="0" fontId="15" fillId="0" borderId="0"/>
    <xf numFmtId="0" fontId="15"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172"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44" fontId="14" fillId="0" borderId="0" applyFont="0" applyFill="0" applyBorder="0" applyAlignment="0" applyProtection="0"/>
    <xf numFmtId="0" fontId="14" fillId="0" borderId="0"/>
    <xf numFmtId="0" fontId="14" fillId="0" borderId="0"/>
    <xf numFmtId="0" fontId="14" fillId="4" borderId="15" applyNumberFormat="0" applyFont="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0" borderId="0"/>
    <xf numFmtId="0" fontId="14" fillId="0" borderId="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4" borderId="15" applyNumberFormat="0" applyFont="0" applyAlignment="0" applyProtection="0"/>
    <xf numFmtId="0" fontId="14" fillId="0" borderId="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0" borderId="0"/>
    <xf numFmtId="172"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0" borderId="0"/>
    <xf numFmtId="0" fontId="14" fillId="0" borderId="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172"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44" fontId="14" fillId="0" borderId="0" applyFont="0" applyFill="0" applyBorder="0" applyAlignment="0" applyProtection="0"/>
    <xf numFmtId="0" fontId="14" fillId="0" borderId="0"/>
    <xf numFmtId="0" fontId="14" fillId="0" borderId="0"/>
    <xf numFmtId="0" fontId="14" fillId="4" borderId="15" applyNumberFormat="0" applyFont="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0" borderId="0"/>
    <xf numFmtId="0" fontId="14" fillId="0" borderId="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4" borderId="15" applyNumberFormat="0" applyFont="0" applyAlignment="0" applyProtection="0"/>
    <xf numFmtId="0" fontId="14" fillId="0" borderId="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0" borderId="0"/>
    <xf numFmtId="172"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0" borderId="0"/>
    <xf numFmtId="0" fontId="14" fillId="0" borderId="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0" fontId="14" fillId="4" borderId="15"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4" fillId="0" borderId="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4" borderId="15" applyNumberFormat="0" applyFont="0" applyAlignment="0" applyProtection="0"/>
    <xf numFmtId="0" fontId="14" fillId="0" borderId="0"/>
    <xf numFmtId="0" fontId="14"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172"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44" fontId="13" fillId="0" borderId="0" applyFont="0" applyFill="0" applyBorder="0" applyAlignment="0" applyProtection="0"/>
    <xf numFmtId="0" fontId="13" fillId="0" borderId="0"/>
    <xf numFmtId="0" fontId="13" fillId="0" borderId="0"/>
    <xf numFmtId="0" fontId="13" fillId="4" borderId="15"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4" borderId="15" applyNumberFormat="0" applyFont="0" applyAlignment="0" applyProtection="0"/>
    <xf numFmtId="0" fontId="13" fillId="0" borderId="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0" borderId="0"/>
    <xf numFmtId="172"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172"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44" fontId="13" fillId="0" borderId="0" applyFont="0" applyFill="0" applyBorder="0" applyAlignment="0" applyProtection="0"/>
    <xf numFmtId="0" fontId="13" fillId="0" borderId="0"/>
    <xf numFmtId="0" fontId="13" fillId="0" borderId="0"/>
    <xf numFmtId="0" fontId="13" fillId="4" borderId="15"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4" borderId="15" applyNumberFormat="0" applyFont="0" applyAlignment="0" applyProtection="0"/>
    <xf numFmtId="0" fontId="13" fillId="0" borderId="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0" borderId="0"/>
    <xf numFmtId="172"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0" fontId="13" fillId="4" borderId="15"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3" fillId="0" borderId="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4" borderId="15" applyNumberFormat="0" applyFont="0" applyAlignment="0" applyProtection="0"/>
    <xf numFmtId="0" fontId="13" fillId="0" borderId="0"/>
    <xf numFmtId="0" fontId="13"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172"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44" fontId="12" fillId="0" borderId="0" applyFont="0" applyFill="0" applyBorder="0" applyAlignment="0" applyProtection="0"/>
    <xf numFmtId="0" fontId="12" fillId="0" borderId="0"/>
    <xf numFmtId="0" fontId="12" fillId="0" borderId="0"/>
    <xf numFmtId="0" fontId="12" fillId="4" borderId="15" applyNumberFormat="0" applyFont="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4" borderId="15" applyNumberFormat="0" applyFont="0" applyAlignment="0" applyProtection="0"/>
    <xf numFmtId="0" fontId="12" fillId="0" borderId="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0" borderId="0"/>
    <xf numFmtId="172"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172"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44" fontId="12" fillId="0" borderId="0" applyFont="0" applyFill="0" applyBorder="0" applyAlignment="0" applyProtection="0"/>
    <xf numFmtId="0" fontId="12" fillId="0" borderId="0"/>
    <xf numFmtId="0" fontId="12" fillId="0" borderId="0"/>
    <xf numFmtId="0" fontId="12" fillId="4" borderId="15" applyNumberFormat="0" applyFont="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4" borderId="15" applyNumberFormat="0" applyFont="0" applyAlignment="0" applyProtection="0"/>
    <xf numFmtId="0" fontId="12" fillId="0" borderId="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0" borderId="0"/>
    <xf numFmtId="172"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0" fontId="12" fillId="4" borderId="15"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2" fillId="0" borderId="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4" borderId="15" applyNumberFormat="0" applyFont="0" applyAlignment="0" applyProtection="0"/>
    <xf numFmtId="0" fontId="12" fillId="0" borderId="0"/>
    <xf numFmtId="0" fontId="12"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172"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44" fontId="11" fillId="0" borderId="0" applyFont="0" applyFill="0" applyBorder="0" applyAlignment="0" applyProtection="0"/>
    <xf numFmtId="0" fontId="11" fillId="0" borderId="0"/>
    <xf numFmtId="0" fontId="11" fillId="0" borderId="0"/>
    <xf numFmtId="0" fontId="11" fillId="4" borderId="15"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0" borderId="0"/>
    <xf numFmtId="0" fontId="11" fillId="0" borderId="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4" borderId="15" applyNumberFormat="0" applyFont="0" applyAlignment="0" applyProtection="0"/>
    <xf numFmtId="0" fontId="11" fillId="0" borderId="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0" borderId="0"/>
    <xf numFmtId="172"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44"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0" borderId="0"/>
    <xf numFmtId="0" fontId="11" fillId="0" borderId="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172"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44" fontId="11" fillId="0" borderId="0" applyFont="0" applyFill="0" applyBorder="0" applyAlignment="0" applyProtection="0"/>
    <xf numFmtId="0" fontId="11" fillId="0" borderId="0"/>
    <xf numFmtId="0" fontId="11" fillId="0" borderId="0"/>
    <xf numFmtId="0" fontId="11" fillId="4" borderId="15"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0" borderId="0"/>
    <xf numFmtId="0" fontId="11" fillId="0" borderId="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4" borderId="15" applyNumberFormat="0" applyFont="0" applyAlignment="0" applyProtection="0"/>
    <xf numFmtId="0" fontId="11" fillId="0" borderId="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0" borderId="0"/>
    <xf numFmtId="172"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44"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0" borderId="0"/>
    <xf numFmtId="0" fontId="11" fillId="0" borderId="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0" fontId="11" fillId="4" borderId="15"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1" fillId="0" borderId="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4" borderId="15" applyNumberFormat="0" applyFont="0" applyAlignment="0" applyProtection="0"/>
    <xf numFmtId="0" fontId="11" fillId="0" borderId="0"/>
    <xf numFmtId="0" fontId="11"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17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4" borderId="15" applyNumberFormat="0" applyFont="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4" borderId="15" applyNumberFormat="0" applyFont="0" applyAlignment="0" applyProtection="0"/>
    <xf numFmtId="0" fontId="10" fillId="0" borderId="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0" borderId="0"/>
    <xf numFmtId="17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17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4" borderId="15" applyNumberFormat="0" applyFont="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4" borderId="15" applyNumberFormat="0" applyFont="0" applyAlignment="0" applyProtection="0"/>
    <xf numFmtId="0" fontId="10" fillId="0" borderId="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0" borderId="0"/>
    <xf numFmtId="17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0" fontId="10" fillId="4" borderId="15"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10" fillId="0" borderId="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4" borderId="15" applyNumberFormat="0" applyFont="0" applyAlignment="0" applyProtection="0"/>
    <xf numFmtId="0" fontId="10" fillId="0" borderId="0"/>
    <xf numFmtId="0" fontId="10"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17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4" borderId="15"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4" borderId="15" applyNumberFormat="0" applyFont="0" applyAlignment="0" applyProtection="0"/>
    <xf numFmtId="0" fontId="9" fillId="0" borderId="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0" borderId="0"/>
    <xf numFmtId="17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17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4" borderId="15"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4" borderId="15" applyNumberFormat="0" applyFont="0" applyAlignment="0" applyProtection="0"/>
    <xf numFmtId="0" fontId="9" fillId="0" borderId="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0" borderId="0"/>
    <xf numFmtId="17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0" fontId="9" fillId="4" borderId="15"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9" fillId="0" borderId="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4" borderId="15" applyNumberFormat="0" applyFont="0" applyAlignment="0" applyProtection="0"/>
    <xf numFmtId="0" fontId="9" fillId="0" borderId="0"/>
    <xf numFmtId="0" fontId="9" fillId="0" borderId="0"/>
    <xf numFmtId="0" fontId="23" fillId="0" borderId="0"/>
    <xf numFmtId="173" fontId="23" fillId="0" borderId="0" applyFill="0" applyBorder="0" applyProtection="0">
      <alignment horizontal="justify" vertical="top"/>
    </xf>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4" fontId="23" fillId="0" borderId="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23" fillId="75" borderId="40" applyNumberFormat="0" applyFont="0" applyAlignment="0" applyProtection="0"/>
    <xf numFmtId="0" fontId="23" fillId="75" borderId="40" applyNumberFormat="0" applyFont="0" applyAlignment="0" applyProtection="0"/>
    <xf numFmtId="0" fontId="23" fillId="75" borderId="40"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3" fontId="23" fillId="0" borderId="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23" fillId="0" borderId="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172"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4" borderId="15" applyNumberFormat="0" applyFont="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63"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4" borderId="15" applyNumberFormat="0" applyFont="0" applyAlignment="0" applyProtection="0"/>
    <xf numFmtId="0" fontId="7" fillId="0" borderId="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0" borderId="0"/>
    <xf numFmtId="172"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172"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4" borderId="15" applyNumberFormat="0" applyFont="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4" borderId="15" applyNumberFormat="0" applyFont="0" applyAlignment="0" applyProtection="0"/>
    <xf numFmtId="0" fontId="7" fillId="0" borderId="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0" borderId="0"/>
    <xf numFmtId="172"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0" fontId="7" fillId="4" borderId="15"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7" fillId="0" borderId="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4" borderId="15" applyNumberFormat="0" applyFont="0" applyAlignment="0" applyProtection="0"/>
    <xf numFmtId="0" fontId="7" fillId="0" borderId="0"/>
    <xf numFmtId="0" fontId="7" fillId="0" borderId="0"/>
    <xf numFmtId="0" fontId="6" fillId="0" borderId="0"/>
    <xf numFmtId="0" fontId="5" fillId="0" borderId="0"/>
    <xf numFmtId="9" fontId="4" fillId="0" borderId="0" applyFont="0" applyFill="0" applyBorder="0" applyAlignment="0" applyProtection="0"/>
    <xf numFmtId="0" fontId="3" fillId="0" borderId="0"/>
    <xf numFmtId="9" fontId="1" fillId="0" borderId="0" applyFont="0" applyFill="0" applyBorder="0" applyAlignment="0" applyProtection="0"/>
    <xf numFmtId="9" fontId="1" fillId="0" borderId="0" applyFont="0" applyFill="0" applyBorder="0" applyAlignment="0" applyProtection="0"/>
  </cellStyleXfs>
  <cellXfs count="760">
    <xf numFmtId="0" fontId="0" fillId="0" borderId="0" xfId="0"/>
    <xf numFmtId="0" fontId="0" fillId="0" borderId="0" xfId="0" applyBorder="1"/>
    <xf numFmtId="167" fontId="33" fillId="0" borderId="0" xfId="0" applyNumberFormat="1" applyFont="1" applyAlignment="1">
      <alignment horizontal="center" vertical="center"/>
    </xf>
    <xf numFmtId="167" fontId="34" fillId="0" borderId="0" xfId="0" applyNumberFormat="1" applyFont="1" applyBorder="1" applyAlignment="1">
      <alignment horizontal="center" vertical="center"/>
    </xf>
    <xf numFmtId="0" fontId="33" fillId="0" borderId="0" xfId="0" applyFont="1" applyBorder="1" applyAlignment="1">
      <alignment vertical="center"/>
    </xf>
    <xf numFmtId="0" fontId="33" fillId="0" borderId="0" xfId="0" applyFont="1" applyBorder="1" applyAlignment="1">
      <alignment horizontal="left" vertical="center" wrapText="1"/>
    </xf>
    <xf numFmtId="0" fontId="33" fillId="0" borderId="0" xfId="0" applyFont="1" applyBorder="1" applyAlignment="1">
      <alignment horizontal="center" vertical="center"/>
    </xf>
    <xf numFmtId="1" fontId="34" fillId="9" borderId="0" xfId="0" applyNumberFormat="1" applyFont="1" applyFill="1" applyBorder="1" applyAlignment="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167" fontId="33" fillId="0" borderId="0" xfId="0" applyNumberFormat="1" applyFont="1" applyAlignment="1">
      <alignment horizontal="right" vertical="center"/>
    </xf>
    <xf numFmtId="167" fontId="35" fillId="0" borderId="4" xfId="0" applyNumberFormat="1" applyFont="1" applyBorder="1" applyAlignment="1">
      <alignment horizontal="center" vertical="center"/>
    </xf>
    <xf numFmtId="167" fontId="36" fillId="9" borderId="4" xfId="0" applyNumberFormat="1" applyFont="1" applyFill="1" applyBorder="1" applyAlignment="1">
      <alignment horizontal="right" vertical="center"/>
    </xf>
    <xf numFmtId="0" fontId="35" fillId="0" borderId="0" xfId="0" applyFont="1" applyFill="1" applyBorder="1" applyAlignment="1">
      <alignment horizontal="center" vertical="center" wrapText="1"/>
    </xf>
    <xf numFmtId="167" fontId="36" fillId="0" borderId="0" xfId="0" applyNumberFormat="1" applyFont="1" applyBorder="1" applyAlignment="1">
      <alignment horizontal="center" vertical="center" wrapText="1"/>
    </xf>
    <xf numFmtId="165" fontId="36" fillId="0" borderId="0" xfId="0" applyNumberFormat="1" applyFont="1" applyFill="1" applyBorder="1" applyAlignment="1">
      <alignment horizontal="center" vertical="center"/>
    </xf>
    <xf numFmtId="0" fontId="36" fillId="9" borderId="4" xfId="0" applyFont="1" applyFill="1" applyBorder="1" applyAlignment="1">
      <alignment horizontal="center" vertical="center" wrapText="1"/>
    </xf>
    <xf numFmtId="44" fontId="34" fillId="0" borderId="0" xfId="0" applyNumberFormat="1" applyFont="1" applyBorder="1" applyAlignment="1">
      <alignment horizontal="center" vertical="center"/>
    </xf>
    <xf numFmtId="44" fontId="34" fillId="0" borderId="0" xfId="0" applyNumberFormat="1" applyFont="1" applyBorder="1" applyAlignment="1">
      <alignment vertical="center"/>
    </xf>
    <xf numFmtId="0" fontId="36" fillId="0" borderId="0" xfId="0" applyFont="1" applyBorder="1" applyAlignment="1">
      <alignment vertical="center"/>
    </xf>
    <xf numFmtId="2" fontId="35" fillId="0" borderId="0" xfId="0" applyNumberFormat="1" applyFont="1" applyFill="1" applyBorder="1" applyAlignment="1">
      <alignment horizontal="center" vertical="center"/>
    </xf>
    <xf numFmtId="10" fontId="35" fillId="0" borderId="0" xfId="0" applyNumberFormat="1" applyFont="1" applyBorder="1" applyAlignment="1">
      <alignment horizontal="left" vertical="center" wrapText="1"/>
    </xf>
    <xf numFmtId="0" fontId="33" fillId="0" borderId="0" xfId="0" applyFont="1" applyBorder="1" applyAlignment="1">
      <alignment horizontal="center" vertical="center" wrapText="1"/>
    </xf>
    <xf numFmtId="0" fontId="36" fillId="11" borderId="3" xfId="0" applyFont="1" applyFill="1" applyBorder="1" applyAlignment="1">
      <alignment horizontal="center" vertical="center" wrapText="1"/>
    </xf>
    <xf numFmtId="2" fontId="36" fillId="11" borderId="3" xfId="0" applyNumberFormat="1" applyFont="1" applyFill="1" applyBorder="1" applyAlignment="1">
      <alignment horizontal="center" vertical="center"/>
    </xf>
    <xf numFmtId="1" fontId="34" fillId="9" borderId="0" xfId="0" applyNumberFormat="1" applyFont="1" applyFill="1" applyBorder="1" applyAlignment="1">
      <alignment horizontal="center" vertical="center"/>
    </xf>
    <xf numFmtId="1" fontId="34" fillId="0" borderId="0" xfId="0" applyNumberFormat="1" applyFont="1" applyBorder="1" applyAlignment="1">
      <alignment horizontal="center" vertical="center"/>
    </xf>
    <xf numFmtId="0" fontId="0" fillId="0" borderId="0" xfId="0"/>
    <xf numFmtId="44" fontId="36" fillId="0" borderId="4" xfId="0" applyNumberFormat="1" applyFont="1" applyBorder="1" applyAlignment="1">
      <alignment horizontal="center" vertical="center"/>
    </xf>
    <xf numFmtId="0" fontId="36" fillId="0" borderId="4" xfId="0" applyFont="1" applyBorder="1" applyAlignment="1">
      <alignment horizontal="right" vertical="center" wrapText="1"/>
    </xf>
    <xf numFmtId="0" fontId="36" fillId="0" borderId="0" xfId="0" applyFont="1" applyBorder="1" applyAlignment="1">
      <alignment horizontal="left" vertical="center"/>
    </xf>
    <xf numFmtId="167" fontId="35" fillId="0" borderId="0" xfId="0" applyNumberFormat="1" applyFont="1" applyBorder="1" applyAlignment="1">
      <alignment horizontal="center" vertical="center"/>
    </xf>
    <xf numFmtId="167" fontId="35" fillId="0" borderId="0" xfId="0" applyNumberFormat="1" applyFont="1" applyBorder="1" applyAlignment="1">
      <alignment horizontal="right" vertical="center"/>
    </xf>
    <xf numFmtId="0" fontId="36" fillId="0" borderId="0" xfId="0" applyFont="1" applyBorder="1" applyAlignment="1">
      <alignment horizontal="center" vertical="center" wrapText="1"/>
    </xf>
    <xf numFmtId="0" fontId="36" fillId="0" borderId="0" xfId="0" applyFont="1" applyBorder="1" applyAlignment="1">
      <alignment horizontal="left" vertical="center" wrapText="1"/>
    </xf>
    <xf numFmtId="167" fontId="36" fillId="0" borderId="0" xfId="0" applyNumberFormat="1" applyFont="1" applyBorder="1" applyAlignment="1">
      <alignment horizontal="right" vertical="center"/>
    </xf>
    <xf numFmtId="0" fontId="35" fillId="0" borderId="0" xfId="0" applyFont="1" applyBorder="1" applyAlignment="1">
      <alignment horizontal="center" vertical="center"/>
    </xf>
    <xf numFmtId="0" fontId="35" fillId="0" borderId="0" xfId="0" applyFont="1" applyBorder="1" applyAlignment="1">
      <alignment horizontal="center" vertical="center" wrapText="1"/>
    </xf>
    <xf numFmtId="0" fontId="37" fillId="0" borderId="0" xfId="0" applyFont="1" applyFill="1" applyBorder="1" applyAlignment="1">
      <alignment horizontal="center" vertical="center" wrapText="1"/>
    </xf>
    <xf numFmtId="0" fontId="36" fillId="0" borderId="0" xfId="0" applyFont="1" applyFill="1" applyBorder="1" applyAlignment="1">
      <alignment horizontal="left" vertical="center" wrapText="1"/>
    </xf>
    <xf numFmtId="165" fontId="37" fillId="0" borderId="0" xfId="0" applyNumberFormat="1" applyFont="1" applyBorder="1" applyAlignment="1">
      <alignment horizontal="center" vertical="center"/>
    </xf>
    <xf numFmtId="167" fontId="36" fillId="0" borderId="0" xfId="0" applyNumberFormat="1" applyFont="1" applyBorder="1" applyAlignment="1">
      <alignment horizontal="center" vertical="center"/>
    </xf>
    <xf numFmtId="165" fontId="36" fillId="0" borderId="0" xfId="0" applyNumberFormat="1" applyFont="1" applyBorder="1" applyAlignment="1">
      <alignment horizontal="center" vertical="center"/>
    </xf>
    <xf numFmtId="0" fontId="36" fillId="0" borderId="0" xfId="0" applyFont="1" applyBorder="1" applyAlignment="1">
      <alignment vertical="center" wrapText="1"/>
    </xf>
    <xf numFmtId="44" fontId="34" fillId="0" borderId="0" xfId="0" applyNumberFormat="1" applyFont="1" applyBorder="1" applyAlignment="1">
      <alignment horizontal="left" vertical="center" wrapText="1"/>
    </xf>
    <xf numFmtId="2" fontId="38" fillId="0" borderId="0" xfId="0" applyNumberFormat="1" applyFont="1" applyFill="1" applyBorder="1" applyAlignment="1">
      <alignment horizontal="center" vertical="center"/>
    </xf>
    <xf numFmtId="2" fontId="36" fillId="0" borderId="0" xfId="0" applyNumberFormat="1" applyFont="1" applyBorder="1" applyAlignment="1">
      <alignment horizontal="center" vertical="center"/>
    </xf>
    <xf numFmtId="2" fontId="35" fillId="0" borderId="0" xfId="0" applyNumberFormat="1" applyFont="1" applyBorder="1" applyAlignment="1">
      <alignment horizontal="center" vertical="center"/>
    </xf>
    <xf numFmtId="0" fontId="0" fillId="0" borderId="0" xfId="0"/>
    <xf numFmtId="2" fontId="0" fillId="0" borderId="0" xfId="0" applyNumberFormat="1"/>
    <xf numFmtId="167" fontId="33" fillId="0" borderId="0" xfId="0" applyNumberFormat="1" applyFont="1" applyBorder="1" applyAlignment="1">
      <alignment horizontal="right" vertical="center"/>
    </xf>
    <xf numFmtId="0" fontId="36" fillId="0" borderId="0" xfId="0" applyFont="1" applyBorder="1" applyAlignment="1">
      <alignment horizontal="center" vertical="center"/>
    </xf>
    <xf numFmtId="0" fontId="35" fillId="0" borderId="0" xfId="0" applyFont="1" applyBorder="1" applyAlignment="1">
      <alignment horizontal="left" vertical="center" wrapText="1"/>
    </xf>
    <xf numFmtId="167" fontId="36" fillId="0" borderId="0" xfId="0" applyNumberFormat="1" applyFont="1" applyFill="1" applyBorder="1" applyAlignment="1">
      <alignment horizontal="right" vertical="center"/>
    </xf>
    <xf numFmtId="0" fontId="36" fillId="0" borderId="0" xfId="0" applyNumberFormat="1" applyFont="1" applyFill="1" applyBorder="1" applyAlignment="1">
      <alignment vertical="center" wrapText="1"/>
    </xf>
    <xf numFmtId="0" fontId="36" fillId="0" borderId="0" xfId="0" applyFont="1" applyFill="1" applyBorder="1" applyAlignment="1">
      <alignment horizontal="left" vertical="center"/>
    </xf>
    <xf numFmtId="0" fontId="35" fillId="0" borderId="0" xfId="0" applyNumberFormat="1" applyFont="1" applyFill="1" applyBorder="1" applyAlignment="1">
      <alignment vertical="center" wrapText="1"/>
    </xf>
    <xf numFmtId="0" fontId="42" fillId="0" borderId="0" xfId="0" applyFont="1" applyBorder="1" applyAlignment="1">
      <alignment horizontal="left"/>
    </xf>
    <xf numFmtId="0" fontId="42" fillId="0" borderId="0" xfId="0" applyFont="1" applyBorder="1"/>
    <xf numFmtId="0" fontId="42" fillId="0" borderId="0" xfId="0" applyFont="1" applyAlignment="1">
      <alignment vertical="center"/>
    </xf>
    <xf numFmtId="44" fontId="43" fillId="0" borderId="0" xfId="0" applyNumberFormat="1" applyFont="1" applyBorder="1" applyAlignment="1">
      <alignment horizontal="left" vertical="center"/>
    </xf>
    <xf numFmtId="44" fontId="43" fillId="0" borderId="0" xfId="0" applyNumberFormat="1" applyFont="1" applyBorder="1" applyAlignment="1">
      <alignment horizontal="center" vertical="center"/>
    </xf>
    <xf numFmtId="44" fontId="43" fillId="0" borderId="0" xfId="0" applyNumberFormat="1" applyFont="1" applyBorder="1" applyAlignment="1">
      <alignment vertical="center"/>
    </xf>
    <xf numFmtId="0" fontId="42" fillId="0" borderId="10" xfId="0" applyFont="1" applyBorder="1"/>
    <xf numFmtId="0" fontId="46" fillId="0" borderId="0" xfId="0" applyFont="1" applyAlignment="1">
      <alignment vertical="center"/>
    </xf>
    <xf numFmtId="167" fontId="42" fillId="0" borderId="0" xfId="0" applyNumberFormat="1" applyFont="1" applyBorder="1" applyAlignment="1">
      <alignment horizontal="left" vertical="center"/>
    </xf>
    <xf numFmtId="167" fontId="42" fillId="0" borderId="0" xfId="0" applyNumberFormat="1" applyFont="1" applyBorder="1" applyAlignment="1">
      <alignment horizontal="center" vertical="center"/>
    </xf>
    <xf numFmtId="1" fontId="42" fillId="0" borderId="0" xfId="0" applyNumberFormat="1" applyFont="1" applyBorder="1" applyAlignment="1">
      <alignment horizontal="center" vertical="center"/>
    </xf>
    <xf numFmtId="1" fontId="42" fillId="0" borderId="0" xfId="0" applyNumberFormat="1" applyFont="1" applyBorder="1" applyAlignment="1">
      <alignment vertical="center"/>
    </xf>
    <xf numFmtId="10" fontId="38" fillId="0" borderId="0" xfId="0" applyNumberFormat="1" applyFont="1" applyFill="1" applyBorder="1" applyAlignment="1">
      <alignment horizontal="center" vertical="center"/>
    </xf>
    <xf numFmtId="10" fontId="36" fillId="0" borderId="0" xfId="0" applyNumberFormat="1" applyFont="1" applyBorder="1" applyAlignment="1">
      <alignment horizontal="center" vertical="center"/>
    </xf>
    <xf numFmtId="0" fontId="35" fillId="0" borderId="0" xfId="0" applyFont="1" applyBorder="1" applyAlignment="1">
      <alignment vertical="center" wrapText="1"/>
    </xf>
    <xf numFmtId="49" fontId="35" fillId="0" borderId="0" xfId="0" applyNumberFormat="1" applyFont="1" applyBorder="1" applyAlignment="1">
      <alignment vertical="center" wrapText="1"/>
    </xf>
    <xf numFmtId="10" fontId="35" fillId="0" borderId="0" xfId="0" applyNumberFormat="1" applyFont="1" applyBorder="1" applyAlignment="1">
      <alignment horizontal="center" vertical="center"/>
    </xf>
    <xf numFmtId="0" fontId="35" fillId="10" borderId="3" xfId="0" applyFont="1" applyFill="1" applyBorder="1" applyAlignment="1">
      <alignment horizontal="center" vertical="center" wrapText="1"/>
    </xf>
    <xf numFmtId="10" fontId="35" fillId="10" borderId="3" xfId="0" applyNumberFormat="1" applyFont="1" applyFill="1" applyBorder="1" applyAlignment="1">
      <alignment horizontal="center" vertical="center" wrapText="1"/>
    </xf>
    <xf numFmtId="0" fontId="35" fillId="0" borderId="3" xfId="0" applyFont="1" applyBorder="1" applyAlignment="1">
      <alignment horizontal="center"/>
    </xf>
    <xf numFmtId="0" fontId="35" fillId="0" borderId="3" xfId="0" applyFont="1" applyBorder="1"/>
    <xf numFmtId="10" fontId="36" fillId="0" borderId="3" xfId="0" applyNumberFormat="1" applyFont="1" applyBorder="1"/>
    <xf numFmtId="0" fontId="35" fillId="0" borderId="19" xfId="0" applyFont="1" applyBorder="1"/>
    <xf numFmtId="10" fontId="36" fillId="0" borderId="19" xfId="0" applyNumberFormat="1" applyFont="1" applyBorder="1"/>
    <xf numFmtId="0" fontId="35" fillId="0" borderId="20" xfId="0" applyFont="1" applyBorder="1"/>
    <xf numFmtId="10" fontId="35" fillId="0" borderId="21" xfId="0" applyNumberFormat="1" applyFont="1" applyBorder="1"/>
    <xf numFmtId="0" fontId="35" fillId="0" borderId="22" xfId="0" applyFont="1" applyBorder="1"/>
    <xf numFmtId="10" fontId="35" fillId="0" borderId="23" xfId="0" applyNumberFormat="1" applyFont="1" applyBorder="1"/>
    <xf numFmtId="0" fontId="36" fillId="0" borderId="24" xfId="0" applyFont="1" applyBorder="1" applyAlignment="1">
      <alignment horizontal="right"/>
    </xf>
    <xf numFmtId="10" fontId="36" fillId="0" borderId="25" xfId="0" applyNumberFormat="1" applyFont="1" applyBorder="1"/>
    <xf numFmtId="0" fontId="35" fillId="0" borderId="26" xfId="0" applyFont="1" applyBorder="1"/>
    <xf numFmtId="10" fontId="36" fillId="0" borderId="26" xfId="0" applyNumberFormat="1" applyFont="1" applyBorder="1"/>
    <xf numFmtId="0" fontId="35" fillId="0" borderId="0" xfId="0" applyFont="1" applyBorder="1"/>
    <xf numFmtId="10" fontId="28" fillId="13" borderId="3" xfId="0" applyNumberFormat="1" applyFont="1" applyFill="1" applyBorder="1"/>
    <xf numFmtId="10" fontId="35" fillId="0" borderId="0" xfId="0" applyNumberFormat="1" applyFont="1" applyBorder="1"/>
    <xf numFmtId="0" fontId="36" fillId="0" borderId="27" xfId="0" applyFont="1" applyBorder="1" applyAlignment="1">
      <alignment horizontal="center" vertical="center"/>
    </xf>
    <xf numFmtId="0" fontId="36" fillId="0" borderId="28" xfId="0" applyFont="1" applyBorder="1" applyAlignment="1">
      <alignment horizontal="center" vertical="center"/>
    </xf>
    <xf numFmtId="10" fontId="36" fillId="0" borderId="28" xfId="0" applyNumberFormat="1" applyFont="1" applyBorder="1" applyAlignment="1">
      <alignment horizontal="center" vertical="center"/>
    </xf>
    <xf numFmtId="10" fontId="36" fillId="0" borderId="29" xfId="0" applyNumberFormat="1" applyFont="1" applyBorder="1" applyAlignment="1">
      <alignment horizontal="center" vertical="center"/>
    </xf>
    <xf numFmtId="0" fontId="35" fillId="0" borderId="0" xfId="0" applyFont="1" applyBorder="1" applyAlignment="1">
      <alignment horizontal="left" vertical="center"/>
    </xf>
    <xf numFmtId="10" fontId="35" fillId="0" borderId="0" xfId="0" applyNumberFormat="1" applyFont="1" applyBorder="1" applyAlignment="1">
      <alignment vertical="center"/>
    </xf>
    <xf numFmtId="10" fontId="35" fillId="0" borderId="0" xfId="0" applyNumberFormat="1" applyFont="1" applyBorder="1" applyAlignment="1">
      <alignment horizontal="right" vertical="center"/>
    </xf>
    <xf numFmtId="0" fontId="28" fillId="13" borderId="3" xfId="0" applyFont="1" applyFill="1" applyBorder="1" applyAlignment="1">
      <alignment horizontal="left" vertical="center"/>
    </xf>
    <xf numFmtId="0" fontId="35" fillId="0" borderId="3" xfId="0" applyFont="1" applyBorder="1" applyAlignment="1">
      <alignment horizontal="left" vertical="center"/>
    </xf>
    <xf numFmtId="10" fontId="35" fillId="0" borderId="3" xfId="0" applyNumberFormat="1" applyFont="1" applyBorder="1" applyAlignment="1">
      <alignment vertical="center"/>
    </xf>
    <xf numFmtId="10" fontId="35" fillId="0" borderId="3" xfId="0" applyNumberFormat="1" applyFont="1" applyBorder="1" applyAlignment="1">
      <alignment horizontal="right" vertical="center"/>
    </xf>
    <xf numFmtId="10" fontId="36" fillId="6" borderId="3" xfId="0" applyNumberFormat="1" applyFont="1" applyFill="1" applyBorder="1" applyAlignment="1">
      <alignment vertical="center"/>
    </xf>
    <xf numFmtId="10" fontId="36" fillId="6" borderId="3" xfId="0" applyNumberFormat="1" applyFont="1" applyFill="1" applyBorder="1" applyAlignment="1">
      <alignment horizontal="right" vertical="center"/>
    </xf>
    <xf numFmtId="10" fontId="36" fillId="0" borderId="0" xfId="0" applyNumberFormat="1" applyFont="1" applyBorder="1" applyAlignment="1">
      <alignment vertical="center"/>
    </xf>
    <xf numFmtId="10" fontId="36" fillId="0" borderId="0" xfId="0" applyNumberFormat="1" applyFont="1" applyBorder="1" applyAlignment="1">
      <alignment horizontal="right" vertical="center"/>
    </xf>
    <xf numFmtId="0" fontId="28" fillId="13" borderId="26" xfId="0" applyFont="1" applyFill="1" applyBorder="1" applyAlignment="1">
      <alignment horizontal="left" vertical="center"/>
    </xf>
    <xf numFmtId="0" fontId="35" fillId="0" borderId="3" xfId="0" applyFont="1" applyBorder="1" applyAlignment="1">
      <alignment horizontal="left" vertical="center" wrapText="1"/>
    </xf>
    <xf numFmtId="0" fontId="28" fillId="13" borderId="26" xfId="0" applyFont="1" applyFill="1" applyBorder="1" applyAlignment="1">
      <alignment horizontal="right" vertical="center"/>
    </xf>
    <xf numFmtId="10" fontId="28" fillId="13" borderId="26" xfId="0" applyNumberFormat="1" applyFont="1" applyFill="1" applyBorder="1" applyAlignment="1">
      <alignment horizontal="right" vertical="center"/>
    </xf>
    <xf numFmtId="0" fontId="47" fillId="0" borderId="0" xfId="103"/>
    <xf numFmtId="2" fontId="47" fillId="0" borderId="0" xfId="103" applyNumberFormat="1" applyAlignment="1">
      <alignment horizontal="right"/>
    </xf>
    <xf numFmtId="1" fontId="47" fillId="0" borderId="0" xfId="103" applyNumberFormat="1"/>
    <xf numFmtId="1" fontId="0" fillId="0" borderId="0" xfId="0" applyNumberFormat="1"/>
    <xf numFmtId="0" fontId="47" fillId="0" borderId="0" xfId="103"/>
    <xf numFmtId="0" fontId="0" fillId="0" borderId="0" xfId="0" applyBorder="1" applyAlignment="1">
      <alignment horizontal="left" vertical="center" wrapText="1"/>
    </xf>
    <xf numFmtId="167" fontId="33" fillId="0" borderId="0" xfId="0" applyNumberFormat="1" applyFont="1" applyBorder="1" applyAlignment="1">
      <alignment horizontal="left" vertical="center" wrapText="1"/>
    </xf>
    <xf numFmtId="167" fontId="34" fillId="9" borderId="0" xfId="0" applyNumberFormat="1" applyFont="1" applyFill="1" applyBorder="1" applyAlignment="1">
      <alignment horizontal="left" vertical="center" wrapText="1"/>
    </xf>
    <xf numFmtId="167" fontId="34" fillId="0" borderId="0" xfId="0" applyNumberFormat="1" applyFont="1" applyBorder="1" applyAlignment="1">
      <alignment horizontal="left" vertical="center" wrapText="1"/>
    </xf>
    <xf numFmtId="0" fontId="35" fillId="0" borderId="0" xfId="0" applyNumberFormat="1" applyFont="1" applyFill="1" applyBorder="1" applyAlignment="1">
      <alignment horizontal="left" vertical="center"/>
    </xf>
    <xf numFmtId="0" fontId="36" fillId="0" borderId="0" xfId="0" applyNumberFormat="1" applyFont="1" applyFill="1" applyBorder="1" applyAlignment="1">
      <alignment horizontal="left" vertical="center" wrapText="1"/>
    </xf>
    <xf numFmtId="0" fontId="35" fillId="0" borderId="0" xfId="0" applyFont="1" applyFill="1" applyBorder="1" applyAlignment="1">
      <alignment horizontal="left" vertical="center"/>
    </xf>
    <xf numFmtId="0" fontId="28" fillId="7" borderId="0" xfId="0" applyNumberFormat="1" applyFont="1" applyFill="1" applyAlignment="1">
      <alignment horizontal="center" vertical="center"/>
    </xf>
    <xf numFmtId="0" fontId="35" fillId="0" borderId="0" xfId="0" applyFont="1" applyFill="1" applyBorder="1" applyAlignment="1">
      <alignment vertical="center"/>
    </xf>
    <xf numFmtId="0" fontId="35" fillId="0" borderId="0" xfId="0" applyNumberFormat="1" applyFont="1" applyAlignment="1">
      <alignment vertical="center" wrapText="1"/>
    </xf>
    <xf numFmtId="166" fontId="35" fillId="0" borderId="0" xfId="0" applyNumberFormat="1" applyFont="1" applyFill="1" applyBorder="1" applyAlignment="1">
      <alignment horizontal="right" vertical="center" wrapText="1"/>
    </xf>
    <xf numFmtId="44" fontId="35" fillId="0" borderId="0" xfId="0" applyNumberFormat="1" applyFont="1" applyFill="1" applyBorder="1" applyAlignment="1">
      <alignment horizontal="center" vertical="center" wrapText="1"/>
    </xf>
    <xf numFmtId="44" fontId="36" fillId="0" borderId="2" xfId="0" applyNumberFormat="1" applyFont="1" applyBorder="1" applyAlignment="1">
      <alignment horizontal="center" vertical="center"/>
    </xf>
    <xf numFmtId="49" fontId="35" fillId="0" borderId="0" xfId="0" applyNumberFormat="1" applyFont="1" applyFill="1" applyBorder="1"/>
    <xf numFmtId="44" fontId="36" fillId="0" borderId="0" xfId="0" applyNumberFormat="1" applyFont="1" applyBorder="1" applyAlignment="1">
      <alignment vertical="center"/>
    </xf>
    <xf numFmtId="0" fontId="35" fillId="0" borderId="0" xfId="0" applyNumberFormat="1" applyFont="1" applyFill="1" applyBorder="1" applyAlignment="1">
      <alignment horizontal="center" vertical="center" wrapText="1"/>
    </xf>
    <xf numFmtId="0" fontId="35" fillId="0" borderId="0" xfId="0" applyNumberFormat="1" applyFont="1" applyFill="1" applyBorder="1" applyAlignment="1">
      <alignment horizontal="justify" vertical="center" wrapText="1"/>
    </xf>
    <xf numFmtId="0" fontId="28" fillId="8" borderId="0" xfId="0" applyNumberFormat="1" applyFont="1" applyFill="1" applyBorder="1" applyAlignment="1">
      <alignment horizontal="justify" vertical="center" wrapText="1"/>
    </xf>
    <xf numFmtId="0" fontId="35" fillId="0" borderId="0" xfId="0" applyNumberFormat="1" applyFont="1" applyAlignment="1">
      <alignment wrapText="1"/>
    </xf>
    <xf numFmtId="0" fontId="35" fillId="0" borderId="0" xfId="0" applyNumberFormat="1" applyFont="1" applyFill="1" applyAlignment="1">
      <alignment vertical="center"/>
    </xf>
    <xf numFmtId="44" fontId="35" fillId="0" borderId="0" xfId="0" applyNumberFormat="1" applyFont="1" applyAlignment="1">
      <alignment vertical="center"/>
    </xf>
    <xf numFmtId="0" fontId="36" fillId="0" borderId="0" xfId="0" applyFont="1" applyFill="1" applyBorder="1" applyAlignment="1">
      <alignment wrapText="1"/>
    </xf>
    <xf numFmtId="44" fontId="35" fillId="0" borderId="0" xfId="1" applyFont="1" applyFill="1" applyBorder="1" applyAlignment="1">
      <alignment horizontal="center" vertical="center" wrapText="1"/>
    </xf>
    <xf numFmtId="0" fontId="35" fillId="0" borderId="0" xfId="0" applyNumberFormat="1" applyFont="1" applyAlignment="1">
      <alignment horizontal="left" vertical="center" wrapText="1"/>
    </xf>
    <xf numFmtId="0" fontId="37" fillId="0" borderId="0" xfId="0" applyFont="1" applyFill="1" applyBorder="1" applyAlignment="1">
      <alignment horizontal="center" vertical="center" wrapText="1"/>
    </xf>
    <xf numFmtId="167" fontId="35" fillId="0" borderId="0" xfId="0" applyNumberFormat="1" applyFont="1" applyBorder="1" applyAlignment="1">
      <alignment horizontal="center" vertical="center"/>
    </xf>
    <xf numFmtId="0" fontId="36" fillId="0" borderId="0" xfId="0" applyFont="1" applyBorder="1" applyAlignment="1">
      <alignment vertical="center"/>
    </xf>
    <xf numFmtId="44" fontId="35" fillId="0" borderId="0" xfId="0" applyNumberFormat="1" applyFont="1" applyBorder="1" applyAlignment="1">
      <alignment horizontal="center" vertical="center"/>
    </xf>
    <xf numFmtId="0" fontId="35" fillId="0" borderId="0" xfId="0" applyFont="1" applyAlignment="1">
      <alignment vertical="center"/>
    </xf>
    <xf numFmtId="0" fontId="36" fillId="0" borderId="0" xfId="0" applyFont="1" applyBorder="1" applyAlignment="1">
      <alignment horizontal="left" vertical="center"/>
    </xf>
    <xf numFmtId="167" fontId="35" fillId="0" borderId="0" xfId="0" applyNumberFormat="1" applyFont="1" applyBorder="1" applyAlignment="1">
      <alignment horizontal="right" vertical="center"/>
    </xf>
    <xf numFmtId="44" fontId="36" fillId="0" borderId="0" xfId="0" applyNumberFormat="1" applyFont="1" applyFill="1" applyBorder="1" applyAlignment="1">
      <alignment horizontal="center" vertical="center"/>
    </xf>
    <xf numFmtId="167" fontId="36" fillId="0" borderId="0" xfId="0" applyNumberFormat="1" applyFont="1" applyFill="1" applyBorder="1" applyAlignment="1">
      <alignment horizontal="center" vertical="center"/>
    </xf>
    <xf numFmtId="10" fontId="35" fillId="0" borderId="0" xfId="0" applyNumberFormat="1" applyFont="1" applyFill="1" applyBorder="1" applyAlignment="1">
      <alignment horizontal="left" vertical="center" wrapText="1"/>
    </xf>
    <xf numFmtId="0" fontId="35" fillId="0" borderId="0" xfId="0" applyFont="1" applyFill="1" applyAlignment="1">
      <alignment vertical="center"/>
    </xf>
    <xf numFmtId="0" fontId="35" fillId="0" borderId="0" xfId="0" applyNumberFormat="1" applyFont="1" applyFill="1" applyBorder="1" applyAlignment="1">
      <alignment horizontal="left" vertical="center" wrapText="1"/>
    </xf>
    <xf numFmtId="0" fontId="35" fillId="0" borderId="0" xfId="0" applyFont="1" applyBorder="1"/>
    <xf numFmtId="0" fontId="37" fillId="0" borderId="0" xfId="0" applyNumberFormat="1" applyFont="1" applyBorder="1" applyAlignment="1">
      <alignment horizontal="center" vertical="center"/>
    </xf>
    <xf numFmtId="0" fontId="36" fillId="0" borderId="0" xfId="0" applyNumberFormat="1" applyFont="1" applyFill="1" applyBorder="1" applyAlignment="1">
      <alignment horizontal="center" vertical="center"/>
    </xf>
    <xf numFmtId="44" fontId="36" fillId="0" borderId="0" xfId="0" applyNumberFormat="1" applyFont="1" applyBorder="1" applyAlignment="1">
      <alignment horizontal="center" vertical="center"/>
    </xf>
    <xf numFmtId="44" fontId="36" fillId="0" borderId="0" xfId="0" applyNumberFormat="1" applyFont="1" applyBorder="1" applyAlignment="1">
      <alignment horizontal="left" vertical="center" wrapText="1"/>
    </xf>
    <xf numFmtId="0" fontId="36" fillId="0" borderId="0" xfId="0" applyFont="1" applyFill="1" applyBorder="1" applyAlignment="1">
      <alignment horizontal="center" vertical="center" wrapText="1"/>
    </xf>
    <xf numFmtId="0" fontId="28" fillId="8" borderId="0" xfId="0" applyNumberFormat="1" applyFont="1" applyFill="1" applyBorder="1" applyAlignment="1">
      <alignment horizontal="center" vertical="center" wrapText="1"/>
    </xf>
    <xf numFmtId="0" fontId="28" fillId="8" borderId="0" xfId="0" applyFont="1" applyFill="1" applyBorder="1" applyAlignment="1">
      <alignment horizontal="center" vertical="center" wrapText="1"/>
    </xf>
    <xf numFmtId="44" fontId="28" fillId="8" borderId="0" xfId="0" applyNumberFormat="1" applyFont="1" applyFill="1" applyBorder="1" applyAlignment="1">
      <alignment horizontal="center" vertical="center" wrapText="1"/>
    </xf>
    <xf numFmtId="44" fontId="28" fillId="8" borderId="0" xfId="1" applyFont="1" applyFill="1" applyBorder="1" applyAlignment="1">
      <alignment horizontal="center" vertical="center" wrapText="1"/>
    </xf>
    <xf numFmtId="0" fontId="36" fillId="0" borderId="0" xfId="0" applyFont="1" applyFill="1" applyBorder="1"/>
    <xf numFmtId="170" fontId="35" fillId="0" borderId="0" xfId="0" applyNumberFormat="1" applyFont="1" applyBorder="1" applyAlignment="1">
      <alignment horizontal="left" vertical="center" wrapText="1"/>
    </xf>
    <xf numFmtId="170" fontId="35" fillId="0" borderId="0" xfId="0" applyNumberFormat="1" applyFont="1" applyAlignment="1">
      <alignment horizontal="center"/>
    </xf>
    <xf numFmtId="170" fontId="35" fillId="0" borderId="0" xfId="0" applyNumberFormat="1" applyFont="1" applyAlignment="1">
      <alignment horizontal="center" vertical="center"/>
    </xf>
    <xf numFmtId="170" fontId="38" fillId="0" borderId="0" xfId="0" applyNumberFormat="1" applyFont="1" applyFill="1" applyBorder="1" applyAlignment="1">
      <alignment horizontal="center" vertical="center"/>
    </xf>
    <xf numFmtId="170" fontId="28" fillId="7" borderId="0" xfId="0" applyNumberFormat="1" applyFont="1" applyFill="1" applyAlignment="1">
      <alignment horizontal="center" vertical="center" wrapText="1"/>
    </xf>
    <xf numFmtId="170" fontId="35" fillId="0" borderId="0" xfId="0" applyNumberFormat="1" applyFont="1" applyFill="1" applyBorder="1" applyAlignment="1">
      <alignment horizontal="center" vertical="center" wrapText="1"/>
    </xf>
    <xf numFmtId="170" fontId="36" fillId="0" borderId="0" xfId="0" applyNumberFormat="1" applyFont="1" applyFill="1" applyBorder="1" applyAlignment="1">
      <alignment horizontal="center" vertical="center"/>
    </xf>
    <xf numFmtId="170" fontId="35" fillId="0" borderId="0" xfId="0" applyNumberFormat="1" applyFont="1" applyFill="1" applyBorder="1" applyAlignment="1">
      <alignment horizontal="left" vertical="center" wrapText="1"/>
    </xf>
    <xf numFmtId="170" fontId="28" fillId="8" borderId="0" xfId="0" applyNumberFormat="1" applyFont="1" applyFill="1" applyBorder="1" applyAlignment="1">
      <alignment horizontal="center" vertical="center" wrapText="1"/>
    </xf>
    <xf numFmtId="170" fontId="35" fillId="0" borderId="0" xfId="0" applyNumberFormat="1" applyFont="1" applyFill="1" applyAlignment="1">
      <alignment vertical="center"/>
    </xf>
    <xf numFmtId="181" fontId="35" fillId="0" borderId="0" xfId="0" applyNumberFormat="1" applyFont="1" applyFill="1" applyAlignment="1">
      <alignment horizontal="center" vertical="center"/>
    </xf>
    <xf numFmtId="44" fontId="35" fillId="0" borderId="0" xfId="0" applyNumberFormat="1" applyFont="1" applyFill="1" applyAlignment="1">
      <alignment horizontal="center" vertical="center"/>
    </xf>
    <xf numFmtId="180" fontId="35" fillId="0" borderId="0" xfId="0" applyNumberFormat="1" applyFont="1" applyFill="1" applyAlignment="1">
      <alignment horizontal="center"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horizontal="center" vertical="center"/>
    </xf>
    <xf numFmtId="2" fontId="0" fillId="0" borderId="0" xfId="0" applyNumberFormat="1" applyFont="1" applyAlignment="1">
      <alignment horizontal="center" vertical="center"/>
    </xf>
    <xf numFmtId="0" fontId="0" fillId="0" borderId="0" xfId="0"/>
    <xf numFmtId="1" fontId="36" fillId="5" borderId="0" xfId="0" applyNumberFormat="1" applyFont="1" applyFill="1" applyBorder="1" applyAlignment="1">
      <alignment vertical="center" wrapText="1"/>
    </xf>
    <xf numFmtId="167" fontId="36" fillId="11" borderId="3" xfId="0" applyNumberFormat="1" applyFont="1" applyFill="1" applyBorder="1" applyAlignment="1">
      <alignment horizontal="center" vertical="center" wrapText="1"/>
    </xf>
    <xf numFmtId="0" fontId="33" fillId="0" borderId="0" xfId="0" applyFont="1" applyAlignment="1">
      <alignment vertical="center"/>
    </xf>
    <xf numFmtId="0" fontId="35" fillId="0" borderId="0" xfId="0" applyFont="1" applyAlignment="1">
      <alignment horizontal="center" vertical="center" wrapText="1"/>
    </xf>
    <xf numFmtId="44" fontId="35" fillId="0" borderId="0" xfId="0" applyNumberFormat="1" applyFont="1" applyAlignment="1">
      <alignment horizontal="left" vertical="center" wrapText="1"/>
    </xf>
    <xf numFmtId="2" fontId="36" fillId="0" borderId="0" xfId="0" applyNumberFormat="1" applyFont="1" applyFill="1" applyBorder="1" applyAlignment="1">
      <alignment horizontal="center" vertical="center"/>
    </xf>
    <xf numFmtId="2" fontId="33" fillId="0" borderId="0" xfId="0" applyNumberFormat="1" applyFont="1" applyFill="1" applyAlignment="1">
      <alignment vertical="center"/>
    </xf>
    <xf numFmtId="2" fontId="35" fillId="0" borderId="0" xfId="0" applyNumberFormat="1" applyFont="1" applyFill="1" applyBorder="1" applyAlignment="1">
      <alignment horizontal="left" vertical="center" wrapText="1"/>
    </xf>
    <xf numFmtId="2" fontId="36" fillId="0" borderId="4" xfId="0" applyNumberFormat="1" applyFont="1" applyFill="1" applyBorder="1" applyAlignment="1">
      <alignment horizontal="right" vertical="center" wrapText="1"/>
    </xf>
    <xf numFmtId="2" fontId="36" fillId="0" borderId="0" xfId="0" applyNumberFormat="1" applyFont="1" applyFill="1" applyBorder="1" applyAlignment="1">
      <alignment horizontal="center" vertical="center" wrapText="1"/>
    </xf>
    <xf numFmtId="2" fontId="33" fillId="0" borderId="0" xfId="0" applyNumberFormat="1" applyFont="1" applyFill="1" applyBorder="1" applyAlignment="1">
      <alignment horizontal="center" vertical="center"/>
    </xf>
    <xf numFmtId="2" fontId="33" fillId="0" borderId="0" xfId="0" applyNumberFormat="1" applyFont="1" applyFill="1" applyAlignment="1">
      <alignment horizontal="center" vertical="center"/>
    </xf>
    <xf numFmtId="2" fontId="36" fillId="10" borderId="3" xfId="0" applyNumberFormat="1" applyFont="1" applyFill="1" applyBorder="1" applyAlignment="1">
      <alignment horizontal="center" vertical="center"/>
    </xf>
    <xf numFmtId="0" fontId="0" fillId="0" borderId="0" xfId="0" applyAlignment="1"/>
    <xf numFmtId="1" fontId="0" fillId="0" borderId="0" xfId="0" applyNumberFormat="1" applyAlignment="1"/>
    <xf numFmtId="2" fontId="0" fillId="0" borderId="0" xfId="0" applyNumberFormat="1" applyAlignment="1"/>
    <xf numFmtId="0" fontId="36" fillId="6" borderId="4" xfId="0" applyFont="1" applyFill="1" applyBorder="1" applyAlignment="1">
      <alignment horizontal="center" vertical="center" wrapText="1"/>
    </xf>
    <xf numFmtId="0" fontId="35" fillId="0" borderId="0" xfId="0" applyFont="1"/>
    <xf numFmtId="0" fontId="36" fillId="0" borderId="0" xfId="0" applyFont="1" applyFill="1" applyBorder="1" applyAlignment="1">
      <alignment vertical="center" wrapText="1"/>
    </xf>
    <xf numFmtId="0" fontId="35" fillId="0" borderId="0" xfId="0" applyFont="1" applyAlignment="1">
      <alignment horizontal="center" vertical="center"/>
    </xf>
    <xf numFmtId="0" fontId="35" fillId="0" borderId="0" xfId="0" applyFont="1" applyFill="1" applyBorder="1"/>
    <xf numFmtId="0" fontId="28" fillId="7" borderId="0" xfId="0" applyNumberFormat="1" applyFont="1" applyFill="1" applyAlignment="1">
      <alignment horizontal="center" vertical="center" wrapText="1"/>
    </xf>
    <xf numFmtId="44" fontId="28" fillId="7" borderId="0" xfId="0" applyNumberFormat="1" applyFont="1" applyFill="1" applyAlignment="1">
      <alignment vertical="center"/>
    </xf>
    <xf numFmtId="44" fontId="28" fillId="7" borderId="0" xfId="1" applyFont="1" applyFill="1" applyAlignment="1">
      <alignment vertical="center"/>
    </xf>
    <xf numFmtId="0" fontId="36" fillId="5" borderId="0" xfId="0" applyNumberFormat="1" applyFont="1" applyFill="1" applyBorder="1" applyAlignment="1">
      <alignment horizontal="left" vertical="center" wrapText="1"/>
    </xf>
    <xf numFmtId="2" fontId="36" fillId="5" borderId="0" xfId="0" applyNumberFormat="1" applyFont="1" applyFill="1" applyBorder="1" applyAlignment="1">
      <alignment horizontal="center" vertical="center" wrapText="1"/>
    </xf>
    <xf numFmtId="44" fontId="36" fillId="5" borderId="0" xfId="0" applyNumberFormat="1" applyFont="1" applyFill="1" applyBorder="1" applyAlignment="1">
      <alignment vertical="center"/>
    </xf>
    <xf numFmtId="0" fontId="36" fillId="0" borderId="0" xfId="0" applyFont="1" applyFill="1" applyBorder="1" applyAlignment="1">
      <alignment vertical="center"/>
    </xf>
    <xf numFmtId="170" fontId="35" fillId="0" borderId="0" xfId="0" applyNumberFormat="1" applyFont="1" applyFill="1" applyAlignment="1">
      <alignment horizontal="center" vertical="center"/>
    </xf>
    <xf numFmtId="44" fontId="35" fillId="0" borderId="0" xfId="0" applyNumberFormat="1" applyFont="1" applyAlignment="1">
      <alignment horizontal="center" vertical="center"/>
    </xf>
    <xf numFmtId="44" fontId="35" fillId="0" borderId="0" xfId="1" applyFont="1" applyAlignment="1">
      <alignment vertical="center"/>
    </xf>
    <xf numFmtId="0" fontId="35" fillId="6" borderId="0" xfId="0" applyFont="1" applyFill="1" applyAlignment="1">
      <alignment horizontal="center" vertical="center"/>
    </xf>
    <xf numFmtId="44" fontId="32" fillId="6" borderId="0" xfId="1" applyFont="1" applyFill="1" applyBorder="1" applyAlignment="1">
      <alignment vertical="center"/>
    </xf>
    <xf numFmtId="0" fontId="35" fillId="0" borderId="0" xfId="0" applyNumberFormat="1" applyFont="1"/>
    <xf numFmtId="44" fontId="35" fillId="0" borderId="0" xfId="0" applyNumberFormat="1" applyFont="1"/>
    <xf numFmtId="1" fontId="36" fillId="5" borderId="0" xfId="0" applyNumberFormat="1" applyFont="1" applyFill="1" applyBorder="1" applyAlignment="1">
      <alignment horizontal="center" vertical="center" wrapText="1"/>
    </xf>
    <xf numFmtId="1" fontId="36" fillId="5" borderId="0" xfId="0" applyNumberFormat="1" applyFont="1" applyFill="1" applyBorder="1" applyAlignment="1">
      <alignment horizontal="left" vertical="center" wrapText="1"/>
    </xf>
    <xf numFmtId="4" fontId="122" fillId="0" borderId="0" xfId="49420" applyNumberFormat="1" applyFont="1" applyFill="1" applyBorder="1" applyAlignment="1" applyProtection="1">
      <alignment horizontal="justify" vertical="center" wrapText="1"/>
      <protection hidden="1"/>
    </xf>
    <xf numFmtId="4" fontId="122" fillId="0" borderId="0" xfId="49420" applyNumberFormat="1" applyFont="1" applyFill="1" applyBorder="1" applyAlignment="1" applyProtection="1">
      <alignment vertical="center" wrapText="1"/>
      <protection hidden="1"/>
    </xf>
    <xf numFmtId="173" fontId="122" fillId="0" borderId="0" xfId="873" applyFont="1" applyFill="1" applyBorder="1" applyAlignment="1" applyProtection="1">
      <alignment horizontal="justify" vertical="center" wrapText="1"/>
      <protection hidden="1"/>
    </xf>
    <xf numFmtId="182" fontId="122" fillId="0" borderId="0" xfId="873" applyNumberFormat="1" applyFont="1" applyFill="1" applyBorder="1" applyAlignment="1" applyProtection="1">
      <alignment horizontal="justify" vertical="center" wrapText="1"/>
      <protection hidden="1"/>
    </xf>
    <xf numFmtId="173" fontId="122" fillId="0" borderId="0" xfId="873" applyFont="1" applyFill="1" applyBorder="1" applyAlignment="1" applyProtection="1">
      <alignment horizontal="center" vertical="center" wrapText="1"/>
      <protection hidden="1"/>
    </xf>
    <xf numFmtId="4" fontId="122" fillId="0" borderId="0" xfId="49420" applyNumberFormat="1" applyFont="1" applyFill="1" applyBorder="1" applyAlignment="1" applyProtection="1">
      <alignment horizontal="center" vertical="center" wrapText="1"/>
      <protection hidden="1"/>
    </xf>
    <xf numFmtId="4" fontId="122" fillId="0" borderId="0" xfId="49420" applyNumberFormat="1" applyFont="1" applyFill="1" applyBorder="1" applyAlignment="1" applyProtection="1">
      <alignment horizontal="center" vertical="center" wrapText="1"/>
      <protection hidden="1"/>
    </xf>
    <xf numFmtId="182" fontId="122" fillId="0" borderId="0" xfId="873" applyNumberFormat="1" applyFont="1" applyFill="1" applyBorder="1" applyAlignment="1" applyProtection="1">
      <alignment horizontal="center" vertical="center" wrapText="1"/>
      <protection hidden="1"/>
    </xf>
    <xf numFmtId="4" fontId="122" fillId="9" borderId="5" xfId="49420" applyNumberFormat="1" applyFont="1" applyFill="1" applyBorder="1" applyAlignment="1" applyProtection="1">
      <alignment horizontal="center" vertical="center" wrapText="1"/>
      <protection hidden="1"/>
    </xf>
    <xf numFmtId="4" fontId="122" fillId="9" borderId="8" xfId="49420" applyNumberFormat="1" applyFont="1" applyFill="1" applyBorder="1" applyAlignment="1" applyProtection="1">
      <alignment horizontal="center" vertical="center" wrapText="1"/>
      <protection hidden="1"/>
    </xf>
    <xf numFmtId="4" fontId="124" fillId="0" borderId="0" xfId="49420" applyNumberFormat="1" applyFont="1" applyFill="1" applyBorder="1" applyAlignment="1" applyProtection="1">
      <alignment horizontal="center" vertical="center" wrapText="1"/>
      <protection hidden="1"/>
    </xf>
    <xf numFmtId="4" fontId="124" fillId="0" borderId="0" xfId="49420" applyNumberFormat="1" applyFont="1" applyFill="1" applyBorder="1" applyAlignment="1" applyProtection="1">
      <alignment horizontal="justify" vertical="center" wrapText="1"/>
      <protection hidden="1"/>
    </xf>
    <xf numFmtId="173" fontId="124" fillId="0" borderId="0" xfId="873" applyFont="1" applyFill="1" applyBorder="1" applyAlignment="1" applyProtection="1">
      <alignment horizontal="justify" vertical="center" wrapText="1"/>
      <protection hidden="1"/>
    </xf>
    <xf numFmtId="173" fontId="122" fillId="0" borderId="0" xfId="873" applyFont="1" applyFill="1" applyBorder="1" applyAlignment="1" applyProtection="1">
      <alignment vertical="center" wrapText="1"/>
      <protection hidden="1"/>
    </xf>
    <xf numFmtId="0" fontId="122" fillId="0" borderId="0" xfId="0" applyFont="1" applyAlignment="1">
      <alignment horizontal="left" vertical="center"/>
    </xf>
    <xf numFmtId="4" fontId="122" fillId="0" borderId="0" xfId="49420" applyNumberFormat="1" applyFont="1" applyFill="1" applyBorder="1" applyAlignment="1" applyProtection="1">
      <alignment horizontal="center" vertical="center" wrapText="1"/>
      <protection hidden="1"/>
    </xf>
    <xf numFmtId="0" fontId="122" fillId="0" borderId="0" xfId="0" applyFont="1" applyBorder="1" applyAlignment="1">
      <alignment vertical="center" wrapText="1"/>
    </xf>
    <xf numFmtId="2" fontId="122" fillId="0" borderId="0" xfId="873" applyNumberFormat="1" applyFont="1" applyFill="1" applyBorder="1" applyAlignment="1" applyProtection="1">
      <alignment horizontal="center" vertical="center" wrapText="1"/>
      <protection hidden="1"/>
    </xf>
    <xf numFmtId="2" fontId="122" fillId="0" borderId="0" xfId="873" applyNumberFormat="1" applyFont="1" applyFill="1" applyBorder="1" applyAlignment="1" applyProtection="1">
      <alignment horizontal="justify" vertical="center" wrapText="1"/>
      <protection hidden="1"/>
    </xf>
    <xf numFmtId="2" fontId="122" fillId="0" borderId="0" xfId="873" applyNumberFormat="1" applyFont="1" applyFill="1" applyBorder="1" applyAlignment="1" applyProtection="1">
      <alignment horizontal="left" vertical="center" wrapText="1"/>
      <protection hidden="1"/>
    </xf>
    <xf numFmtId="4" fontId="122" fillId="0" borderId="0" xfId="49420" applyNumberFormat="1" applyFont="1" applyFill="1" applyBorder="1" applyAlignment="1" applyProtection="1">
      <alignment horizontal="center" vertical="center" wrapText="1"/>
      <protection hidden="1"/>
    </xf>
    <xf numFmtId="2" fontId="122" fillId="0" borderId="0" xfId="873" applyNumberFormat="1" applyFont="1" applyFill="1" applyBorder="1" applyAlignment="1" applyProtection="1">
      <alignment horizontal="right" vertical="center" wrapText="1"/>
      <protection hidden="1"/>
    </xf>
    <xf numFmtId="0" fontId="36" fillId="5" borderId="0" xfId="0" applyNumberFormat="1" applyFont="1" applyFill="1" applyBorder="1" applyAlignment="1">
      <alignment vertical="center" wrapText="1"/>
    </xf>
    <xf numFmtId="4" fontId="122" fillId="0" borderId="0" xfId="49420" applyNumberFormat="1" applyFont="1" applyFill="1" applyBorder="1" applyAlignment="1" applyProtection="1">
      <alignment horizontal="center" vertical="center" wrapText="1"/>
      <protection hidden="1"/>
    </xf>
    <xf numFmtId="49" fontId="124" fillId="6" borderId="3" xfId="419" applyNumberFormat="1" applyFont="1" applyFill="1" applyBorder="1" applyAlignment="1" applyProtection="1">
      <alignment horizontal="center" vertical="center" wrapText="1"/>
    </xf>
    <xf numFmtId="0" fontId="124" fillId="6" borderId="3" xfId="419" applyNumberFormat="1" applyFont="1" applyFill="1" applyBorder="1" applyAlignment="1" applyProtection="1">
      <alignment horizontal="center" vertical="center" wrapText="1"/>
    </xf>
    <xf numFmtId="49" fontId="93" fillId="14" borderId="9" xfId="420" applyNumberFormat="1" applyFont="1" applyFill="1" applyBorder="1" applyAlignment="1" applyProtection="1">
      <alignment horizontal="left" vertical="center" wrapText="1"/>
    </xf>
    <xf numFmtId="2" fontId="124" fillId="14" borderId="9" xfId="419" applyNumberFormat="1" applyFont="1" applyFill="1" applyBorder="1" applyAlignment="1" applyProtection="1">
      <alignment horizontal="center" vertical="center" wrapText="1"/>
    </xf>
    <xf numFmtId="2" fontId="124" fillId="14" borderId="52" xfId="873" applyNumberFormat="1" applyFont="1" applyFill="1" applyBorder="1" applyAlignment="1">
      <alignment horizontal="center" vertical="center" wrapText="1"/>
    </xf>
    <xf numFmtId="49" fontId="124" fillId="0" borderId="51" xfId="419" applyNumberFormat="1" applyFont="1" applyFill="1" applyBorder="1" applyAlignment="1" applyProtection="1">
      <alignment vertical="center" wrapText="1"/>
    </xf>
    <xf numFmtId="0" fontId="124" fillId="0" borderId="9" xfId="419" applyNumberFormat="1" applyFont="1" applyFill="1" applyBorder="1" applyAlignment="1" applyProtection="1">
      <alignment horizontal="left" vertical="center" wrapText="1"/>
    </xf>
    <xf numFmtId="4" fontId="122" fillId="0" borderId="9" xfId="419" applyNumberFormat="1" applyFont="1" applyFill="1" applyBorder="1" applyAlignment="1" applyProtection="1">
      <alignment horizontal="center" vertical="center" wrapText="1"/>
    </xf>
    <xf numFmtId="2" fontId="122" fillId="0" borderId="9" xfId="419" applyNumberFormat="1" applyFont="1" applyFill="1" applyBorder="1" applyAlignment="1" applyProtection="1">
      <alignment horizontal="center" vertical="center" wrapText="1"/>
    </xf>
    <xf numFmtId="49" fontId="124" fillId="0" borderId="2" xfId="419" applyNumberFormat="1" applyFont="1" applyFill="1" applyBorder="1" applyAlignment="1" applyProtection="1">
      <alignment vertical="center" wrapText="1"/>
    </xf>
    <xf numFmtId="0" fontId="124" fillId="0" borderId="0" xfId="419" applyNumberFormat="1" applyFont="1" applyFill="1" applyBorder="1" applyAlignment="1" applyProtection="1">
      <alignment horizontal="left" vertical="center" wrapText="1"/>
    </xf>
    <xf numFmtId="183" fontId="122" fillId="0" borderId="0" xfId="419" applyNumberFormat="1" applyFont="1" applyFill="1" applyBorder="1" applyAlignment="1" applyProtection="1">
      <alignment horizontal="center" vertical="center" wrapText="1"/>
    </xf>
    <xf numFmtId="4" fontId="122" fillId="0" borderId="0" xfId="419" applyNumberFormat="1" applyFont="1" applyFill="1" applyBorder="1" applyAlignment="1" applyProtection="1">
      <alignment horizontal="center" vertical="center" wrapText="1"/>
    </xf>
    <xf numFmtId="4" fontId="122" fillId="0" borderId="0" xfId="419" applyNumberFormat="1" applyFont="1" applyFill="1" applyBorder="1" applyAlignment="1" applyProtection="1">
      <alignment horizontal="center" vertical="center" wrapText="1"/>
      <protection locked="0"/>
    </xf>
    <xf numFmtId="14" fontId="124" fillId="0" borderId="0" xfId="419" applyNumberFormat="1" applyFont="1" applyFill="1" applyBorder="1" applyAlignment="1" applyProtection="1">
      <alignment horizontal="left" vertical="center" wrapText="1"/>
    </xf>
    <xf numFmtId="14" fontId="122" fillId="0" borderId="0" xfId="419" applyNumberFormat="1" applyFont="1" applyFill="1" applyBorder="1" applyAlignment="1" applyProtection="1">
      <alignment horizontal="center" vertical="center" wrapText="1"/>
    </xf>
    <xf numFmtId="49" fontId="124" fillId="0" borderId="18" xfId="419" applyNumberFormat="1" applyFont="1" applyFill="1" applyBorder="1" applyAlignment="1" applyProtection="1">
      <alignment vertical="center" wrapText="1"/>
    </xf>
    <xf numFmtId="14" fontId="124" fillId="0" borderId="10" xfId="419" applyNumberFormat="1" applyFont="1" applyFill="1" applyBorder="1" applyAlignment="1" applyProtection="1">
      <alignment horizontal="left" vertical="center" wrapText="1"/>
    </xf>
    <xf numFmtId="183" fontId="122" fillId="9" borderId="10" xfId="419" applyNumberFormat="1" applyFont="1" applyFill="1" applyBorder="1" applyAlignment="1" applyProtection="1">
      <alignment horizontal="center" vertical="center" wrapText="1"/>
    </xf>
    <xf numFmtId="14" fontId="122" fillId="0" borderId="17" xfId="419" applyNumberFormat="1" applyFont="1" applyFill="1" applyBorder="1" applyAlignment="1" applyProtection="1">
      <alignment horizontal="center" vertical="center" wrapText="1"/>
    </xf>
    <xf numFmtId="0" fontId="124" fillId="0" borderId="10" xfId="419" applyNumberFormat="1" applyFont="1" applyFill="1" applyBorder="1" applyAlignment="1" applyProtection="1">
      <alignment horizontal="right" vertical="center" wrapText="1"/>
    </xf>
    <xf numFmtId="0" fontId="125" fillId="14" borderId="51" xfId="419" applyNumberFormat="1" applyFont="1" applyFill="1" applyBorder="1" applyAlignment="1" applyProtection="1">
      <alignment horizontal="center" vertical="center" wrapText="1"/>
    </xf>
    <xf numFmtId="0" fontId="124" fillId="14" borderId="9" xfId="419" applyNumberFormat="1" applyFont="1" applyFill="1" applyBorder="1" applyAlignment="1" applyProtection="1">
      <alignment horizontal="justify" vertical="center"/>
    </xf>
    <xf numFmtId="0" fontId="124" fillId="14" borderId="9" xfId="419" applyNumberFormat="1" applyFont="1" applyFill="1" applyBorder="1" applyAlignment="1" applyProtection="1">
      <alignment horizontal="center" vertical="center" wrapText="1"/>
    </xf>
    <xf numFmtId="4" fontId="126" fillId="0" borderId="9" xfId="419" applyFont="1" applyFill="1" applyBorder="1" applyAlignment="1">
      <alignment horizontal="justify" vertical="center"/>
      <protection locked="0"/>
    </xf>
    <xf numFmtId="0" fontId="124" fillId="0" borderId="9" xfId="419" applyNumberFormat="1" applyFont="1" applyFill="1" applyBorder="1" applyAlignment="1" applyProtection="1">
      <alignment horizontal="center" vertical="center" wrapText="1"/>
    </xf>
    <xf numFmtId="0" fontId="0" fillId="0" borderId="2" xfId="0" applyBorder="1" applyAlignment="1">
      <alignment vertical="center"/>
    </xf>
    <xf numFmtId="0" fontId="124" fillId="0" borderId="0" xfId="419" applyNumberFormat="1" applyFont="1" applyFill="1" applyBorder="1" applyAlignment="1" applyProtection="1">
      <alignment horizontal="center" vertical="center" wrapText="1"/>
    </xf>
    <xf numFmtId="4" fontId="82" fillId="0" borderId="0" xfId="419" applyFont="1" applyFill="1" applyBorder="1" applyAlignment="1">
      <alignment vertical="center" wrapText="1"/>
      <protection locked="0"/>
    </xf>
    <xf numFmtId="0" fontId="124" fillId="0" borderId="0" xfId="419" applyNumberFormat="1" applyFont="1" applyFill="1" applyBorder="1" applyAlignment="1" applyProtection="1">
      <alignment horizontal="justify" vertical="center"/>
    </xf>
    <xf numFmtId="14" fontId="124" fillId="0" borderId="0" xfId="419" applyNumberFormat="1" applyFont="1" applyFill="1" applyBorder="1" applyAlignment="1" applyProtection="1">
      <alignment horizontal="justify" vertical="center"/>
    </xf>
    <xf numFmtId="14" fontId="124" fillId="0" borderId="0" xfId="419" applyNumberFormat="1" applyFont="1" applyFill="1" applyBorder="1" applyAlignment="1" applyProtection="1">
      <alignment horizontal="center" vertical="center" wrapText="1"/>
    </xf>
    <xf numFmtId="14" fontId="124" fillId="0" borderId="10" xfId="419" applyNumberFormat="1" applyFont="1" applyFill="1" applyBorder="1" applyAlignment="1" applyProtection="1">
      <alignment horizontal="justify" vertical="center"/>
    </xf>
    <xf numFmtId="14" fontId="124" fillId="0" borderId="10" xfId="419" applyNumberFormat="1" applyFont="1" applyFill="1" applyBorder="1" applyAlignment="1" applyProtection="1">
      <alignment horizontal="center" vertical="center" wrapText="1"/>
    </xf>
    <xf numFmtId="0" fontId="122" fillId="0" borderId="0" xfId="0" applyFont="1" applyAlignment="1">
      <alignment vertical="center"/>
    </xf>
    <xf numFmtId="4" fontId="122" fillId="0" borderId="0" xfId="49420" applyNumberFormat="1" applyFont="1" applyFill="1" applyBorder="1" applyAlignment="1" applyProtection="1">
      <alignment horizontal="center" vertical="center" wrapText="1"/>
      <protection hidden="1"/>
    </xf>
    <xf numFmtId="49" fontId="0" fillId="0" borderId="0" xfId="0" applyNumberFormat="1" applyAlignment="1">
      <alignment vertical="center"/>
    </xf>
    <xf numFmtId="49" fontId="0" fillId="0" borderId="0" xfId="0" applyNumberFormat="1" applyBorder="1" applyAlignment="1">
      <alignment vertical="center"/>
    </xf>
    <xf numFmtId="49" fontId="0" fillId="0" borderId="0" xfId="0" applyNumberFormat="1" applyFont="1" applyAlignment="1">
      <alignment vertical="center"/>
    </xf>
    <xf numFmtId="49" fontId="0" fillId="0" borderId="0" xfId="0" applyNumberFormat="1" applyFont="1" applyBorder="1" applyAlignment="1">
      <alignment vertical="center"/>
    </xf>
    <xf numFmtId="0" fontId="122" fillId="0" borderId="0" xfId="0" applyFont="1" applyAlignment="1">
      <alignment horizontal="left" vertical="center" wrapText="1"/>
    </xf>
    <xf numFmtId="4" fontId="122" fillId="0" borderId="0" xfId="49420" applyNumberFormat="1" applyFont="1" applyFill="1" applyBorder="1" applyAlignment="1" applyProtection="1">
      <alignment horizontal="left" vertical="center" wrapText="1"/>
      <protection hidden="1"/>
    </xf>
    <xf numFmtId="4" fontId="122" fillId="0" borderId="0" xfId="49420" applyNumberFormat="1" applyFont="1" applyFill="1" applyBorder="1" applyAlignment="1" applyProtection="1">
      <alignment horizontal="center" vertical="center" wrapText="1"/>
      <protection hidden="1"/>
    </xf>
    <xf numFmtId="4" fontId="122" fillId="9" borderId="4" xfId="49420" applyNumberFormat="1" applyFont="1" applyFill="1" applyBorder="1" applyAlignment="1" applyProtection="1">
      <alignment horizontal="left" vertical="center" wrapText="1"/>
      <protection hidden="1"/>
    </xf>
    <xf numFmtId="0" fontId="0" fillId="0" borderId="0" xfId="0" applyFill="1" applyAlignment="1">
      <alignment vertical="center"/>
    </xf>
    <xf numFmtId="0" fontId="0" fillId="0" borderId="0" xfId="0" applyFill="1" applyBorder="1" applyAlignment="1">
      <alignment vertical="center"/>
    </xf>
    <xf numFmtId="2" fontId="122" fillId="0" borderId="0" xfId="0" applyNumberFormat="1" applyFont="1" applyFill="1" applyBorder="1" applyAlignment="1">
      <alignment horizontal="center" vertical="center"/>
    </xf>
    <xf numFmtId="2" fontId="124" fillId="0" borderId="0" xfId="0" applyNumberFormat="1" applyFont="1" applyFill="1" applyBorder="1" applyAlignment="1">
      <alignment horizontal="center" vertical="center"/>
    </xf>
    <xf numFmtId="0" fontId="122" fillId="0" borderId="0" xfId="0" applyFont="1" applyFill="1" applyBorder="1" applyAlignment="1">
      <alignment vertical="center"/>
    </xf>
    <xf numFmtId="0" fontId="127" fillId="0" borderId="3" xfId="0" applyFont="1" applyFill="1" applyBorder="1" applyAlignment="1">
      <alignment horizontal="left" vertical="center" wrapText="1"/>
    </xf>
    <xf numFmtId="2" fontId="128" fillId="0" borderId="3" xfId="0" applyNumberFormat="1" applyFont="1" applyFill="1" applyBorder="1" applyAlignment="1">
      <alignment horizontal="center" vertical="center"/>
    </xf>
    <xf numFmtId="2" fontId="127" fillId="0" borderId="3" xfId="0" applyNumberFormat="1" applyFont="1" applyFill="1" applyBorder="1" applyAlignment="1">
      <alignment horizontal="center" vertical="center"/>
    </xf>
    <xf numFmtId="0" fontId="127" fillId="0" borderId="3" xfId="0" applyFont="1" applyFill="1" applyBorder="1" applyAlignment="1">
      <alignment vertical="center"/>
    </xf>
    <xf numFmtId="4" fontId="122" fillId="0" borderId="9" xfId="49420" applyNumberFormat="1" applyFont="1" applyFill="1" applyBorder="1" applyAlignment="1" applyProtection="1">
      <alignment horizontal="center" vertical="center" wrapText="1"/>
      <protection hidden="1"/>
    </xf>
    <xf numFmtId="4" fontId="122" fillId="9" borderId="9" xfId="49420" applyNumberFormat="1" applyFont="1" applyFill="1" applyBorder="1" applyAlignment="1" applyProtection="1">
      <alignment horizontal="center" vertical="center" wrapText="1"/>
      <protection hidden="1"/>
    </xf>
    <xf numFmtId="4" fontId="122" fillId="9" borderId="9" xfId="49420" applyNumberFormat="1" applyFont="1" applyFill="1" applyBorder="1" applyAlignment="1" applyProtection="1">
      <alignment horizontal="left" vertical="center" wrapText="1"/>
      <protection hidden="1"/>
    </xf>
    <xf numFmtId="0" fontId="123" fillId="6" borderId="0" xfId="1089" applyFont="1" applyFill="1" applyBorder="1" applyAlignment="1">
      <alignment horizontal="center" vertical="center"/>
    </xf>
    <xf numFmtId="4" fontId="122" fillId="9" borderId="0" xfId="49420" applyNumberFormat="1" applyFont="1" applyFill="1" applyBorder="1" applyAlignment="1" applyProtection="1">
      <alignment horizontal="center" vertical="center" wrapText="1"/>
      <protection hidden="1"/>
    </xf>
    <xf numFmtId="2" fontId="123" fillId="6" borderId="0" xfId="1089" applyNumberFormat="1" applyFont="1" applyFill="1" applyBorder="1" applyAlignment="1">
      <alignment horizontal="center" vertical="center"/>
    </xf>
    <xf numFmtId="2" fontId="122" fillId="0" borderId="0" xfId="49420" applyNumberFormat="1" applyFont="1" applyFill="1" applyBorder="1" applyAlignment="1" applyProtection="1">
      <alignment horizontal="center" vertical="center" wrapText="1"/>
      <protection hidden="1"/>
    </xf>
    <xf numFmtId="2" fontId="122" fillId="9" borderId="8" xfId="49420" applyNumberFormat="1" applyFont="1" applyFill="1" applyBorder="1" applyAlignment="1" applyProtection="1">
      <alignment horizontal="center" vertical="center" wrapText="1"/>
      <protection hidden="1"/>
    </xf>
    <xf numFmtId="2" fontId="122" fillId="9" borderId="5" xfId="49420" applyNumberFormat="1" applyFont="1" applyFill="1" applyBorder="1" applyAlignment="1" applyProtection="1">
      <alignment horizontal="center" vertical="center" wrapText="1"/>
      <protection hidden="1"/>
    </xf>
    <xf numFmtId="2" fontId="122" fillId="9" borderId="4" xfId="49420" applyNumberFormat="1" applyFont="1" applyFill="1" applyBorder="1" applyAlignment="1" applyProtection="1">
      <alignment horizontal="center" vertical="center" wrapText="1"/>
      <protection hidden="1"/>
    </xf>
    <xf numFmtId="2" fontId="122" fillId="9" borderId="9" xfId="49420" applyNumberFormat="1" applyFont="1" applyFill="1" applyBorder="1" applyAlignment="1" applyProtection="1">
      <alignment horizontal="center" vertical="center" wrapText="1"/>
      <protection hidden="1"/>
    </xf>
    <xf numFmtId="2" fontId="122" fillId="0" borderId="9" xfId="49420" applyNumberFormat="1" applyFont="1" applyFill="1" applyBorder="1" applyAlignment="1" applyProtection="1">
      <alignment horizontal="center" vertical="center" wrapText="1"/>
      <protection hidden="1"/>
    </xf>
    <xf numFmtId="2" fontId="122" fillId="0" borderId="18" xfId="49420" applyNumberFormat="1" applyFont="1" applyFill="1" applyBorder="1" applyAlignment="1" applyProtection="1">
      <alignment horizontal="center" vertical="center" wrapText="1"/>
      <protection hidden="1"/>
    </xf>
    <xf numFmtId="2" fontId="122" fillId="0" borderId="10" xfId="49420" applyNumberFormat="1" applyFont="1" applyFill="1" applyBorder="1" applyAlignment="1" applyProtection="1">
      <alignment horizontal="center" vertical="center" wrapText="1"/>
      <protection hidden="1"/>
    </xf>
    <xf numFmtId="2" fontId="122" fillId="0" borderId="17" xfId="49420" applyNumberFormat="1" applyFont="1" applyFill="1" applyBorder="1" applyAlignment="1" applyProtection="1">
      <alignment horizontal="center" vertical="center" wrapText="1"/>
      <protection hidden="1"/>
    </xf>
    <xf numFmtId="2" fontId="0" fillId="0" borderId="0" xfId="0" applyNumberFormat="1" applyAlignment="1">
      <alignment horizontal="center" vertical="center"/>
    </xf>
    <xf numFmtId="4" fontId="122" fillId="0" borderId="19" xfId="49420" applyNumberFormat="1" applyFont="1" applyFill="1" applyBorder="1" applyAlignment="1" applyProtection="1">
      <alignment horizontal="center" vertical="center" wrapText="1"/>
      <protection hidden="1"/>
    </xf>
    <xf numFmtId="4" fontId="122" fillId="0" borderId="51" xfId="49420" applyNumberFormat="1" applyFont="1" applyFill="1" applyBorder="1" applyAlignment="1" applyProtection="1">
      <alignment horizontal="center" vertical="center" wrapText="1"/>
      <protection hidden="1"/>
    </xf>
    <xf numFmtId="4" fontId="122" fillId="0" borderId="19" xfId="49420" applyNumberFormat="1" applyFont="1" applyFill="1" applyBorder="1" applyAlignment="1" applyProtection="1">
      <alignment vertical="center" wrapText="1"/>
      <protection hidden="1"/>
    </xf>
    <xf numFmtId="4" fontId="122" fillId="0" borderId="51" xfId="49420" applyNumberFormat="1" applyFont="1" applyFill="1" applyBorder="1" applyAlignment="1" applyProtection="1">
      <alignment vertical="center" wrapText="1"/>
      <protection hidden="1"/>
    </xf>
    <xf numFmtId="4" fontId="122" fillId="0" borderId="52" xfId="49420" applyNumberFormat="1" applyFont="1" applyFill="1" applyBorder="1" applyAlignment="1" applyProtection="1">
      <alignment vertical="center" wrapText="1"/>
      <protection hidden="1"/>
    </xf>
    <xf numFmtId="4" fontId="122" fillId="0" borderId="52" xfId="49420" applyNumberFormat="1" applyFont="1" applyFill="1" applyBorder="1" applyAlignment="1" applyProtection="1">
      <alignment horizontal="center" vertical="center" wrapText="1"/>
      <protection hidden="1"/>
    </xf>
    <xf numFmtId="4" fontId="122" fillId="0" borderId="0" xfId="49420" applyNumberFormat="1" applyFont="1" applyFill="1" applyBorder="1" applyAlignment="1" applyProtection="1">
      <alignment horizontal="center" vertical="center" wrapText="1"/>
      <protection hidden="1"/>
    </xf>
    <xf numFmtId="44" fontId="36" fillId="5" borderId="0" xfId="0" applyNumberFormat="1" applyFont="1" applyFill="1" applyBorder="1" applyAlignment="1">
      <alignment horizontal="center" vertical="center"/>
    </xf>
    <xf numFmtId="4" fontId="122" fillId="0" borderId="54" xfId="49420" applyNumberFormat="1" applyFont="1" applyFill="1" applyBorder="1" applyAlignment="1" applyProtection="1">
      <alignment horizontal="center" vertical="center" wrapText="1"/>
      <protection hidden="1"/>
    </xf>
    <xf numFmtId="2" fontId="122" fillId="0" borderId="2" xfId="49420" applyNumberFormat="1" applyFont="1" applyFill="1" applyBorder="1" applyAlignment="1" applyProtection="1">
      <alignment horizontal="center" vertical="center" wrapText="1"/>
      <protection hidden="1"/>
    </xf>
    <xf numFmtId="2" fontId="122" fillId="0" borderId="53" xfId="873" applyNumberFormat="1" applyFont="1" applyFill="1" applyBorder="1" applyAlignment="1" applyProtection="1">
      <alignment horizontal="center" vertical="center" wrapText="1"/>
      <protection hidden="1"/>
    </xf>
    <xf numFmtId="2" fontId="122" fillId="0" borderId="2" xfId="873" applyNumberFormat="1" applyFont="1" applyFill="1" applyBorder="1" applyAlignment="1" applyProtection="1">
      <alignment horizontal="center" vertical="center" wrapText="1"/>
      <protection hidden="1"/>
    </xf>
    <xf numFmtId="0" fontId="0" fillId="0" borderId="0" xfId="0" applyFill="1" applyAlignment="1">
      <alignment horizontal="center" vertical="center"/>
    </xf>
    <xf numFmtId="2" fontId="124" fillId="0" borderId="0" xfId="873" applyNumberFormat="1" applyFont="1" applyFill="1" applyBorder="1" applyAlignment="1" applyProtection="1">
      <alignment horizontal="center" vertical="center" wrapText="1"/>
      <protection hidden="1"/>
    </xf>
    <xf numFmtId="2" fontId="122" fillId="0" borderId="0" xfId="873" applyNumberFormat="1" applyFont="1" applyFill="1" applyBorder="1" applyAlignment="1" applyProtection="1">
      <alignment horizontal="left" vertical="center"/>
      <protection hidden="1"/>
    </xf>
    <xf numFmtId="2" fontId="122" fillId="0" borderId="53" xfId="49420" applyNumberFormat="1" applyFont="1" applyFill="1" applyBorder="1" applyAlignment="1" applyProtection="1">
      <alignment horizontal="center" vertical="center" wrapText="1"/>
      <protection hidden="1"/>
    </xf>
    <xf numFmtId="4" fontId="122" fillId="0" borderId="4" xfId="49420" applyNumberFormat="1" applyFont="1" applyFill="1" applyBorder="1" applyAlignment="1" applyProtection="1">
      <alignment horizontal="center" vertical="center" wrapText="1"/>
      <protection hidden="1"/>
    </xf>
    <xf numFmtId="4" fontId="0" fillId="0" borderId="0" xfId="0" applyNumberFormat="1" applyFill="1" applyAlignment="1">
      <alignment horizontal="center" vertical="center"/>
    </xf>
    <xf numFmtId="2" fontId="0" fillId="0" borderId="0" xfId="0" applyNumberFormat="1" applyFill="1" applyAlignment="1">
      <alignment horizontal="center" vertical="center"/>
    </xf>
    <xf numFmtId="4" fontId="122" fillId="0" borderId="0" xfId="49420" applyNumberFormat="1" applyFont="1" applyFill="1" applyBorder="1" applyAlignment="1" applyProtection="1">
      <alignment horizontal="center" vertical="center" wrapText="1"/>
      <protection hidden="1"/>
    </xf>
    <xf numFmtId="0" fontId="36" fillId="6" borderId="4" xfId="0" applyFont="1" applyFill="1" applyBorder="1" applyAlignment="1">
      <alignment horizontal="left" vertical="center"/>
    </xf>
    <xf numFmtId="0" fontId="36" fillId="0" borderId="4" xfId="0" applyFont="1" applyFill="1" applyBorder="1" applyAlignment="1">
      <alignment horizontal="left" vertical="center"/>
    </xf>
    <xf numFmtId="167" fontId="33" fillId="0" borderId="0" xfId="0" applyNumberFormat="1" applyFont="1" applyBorder="1" applyAlignment="1">
      <alignment horizontal="center" vertical="center"/>
    </xf>
    <xf numFmtId="1" fontId="33" fillId="0" borderId="0" xfId="0" applyNumberFormat="1" applyFont="1" applyBorder="1" applyAlignment="1">
      <alignment vertical="center"/>
    </xf>
    <xf numFmtId="0" fontId="33" fillId="0" borderId="0" xfId="0" applyFont="1" applyAlignment="1">
      <alignment horizontal="center" vertical="center"/>
    </xf>
    <xf numFmtId="0" fontId="35" fillId="0" borderId="4" xfId="0" applyFont="1" applyFill="1" applyBorder="1" applyAlignment="1">
      <alignment horizontal="left" vertical="center" wrapText="1"/>
    </xf>
    <xf numFmtId="0" fontId="36" fillId="0" borderId="4" xfId="0" applyFont="1" applyFill="1" applyBorder="1" applyAlignment="1">
      <alignment horizontal="center" vertical="center" wrapText="1"/>
    </xf>
    <xf numFmtId="0" fontId="35" fillId="0" borderId="4" xfId="0" applyFont="1" applyFill="1" applyBorder="1" applyAlignment="1">
      <alignment horizontal="center" vertical="center" wrapText="1"/>
    </xf>
    <xf numFmtId="44" fontId="35" fillId="0" borderId="4" xfId="0" applyNumberFormat="1" applyFont="1" applyFill="1" applyBorder="1" applyAlignment="1">
      <alignment horizontal="center" vertical="center"/>
    </xf>
    <xf numFmtId="1" fontId="33" fillId="0" borderId="0" xfId="0" applyNumberFormat="1" applyFont="1" applyBorder="1" applyAlignment="1">
      <alignment horizontal="center" vertical="center"/>
    </xf>
    <xf numFmtId="2" fontId="35" fillId="0" borderId="4" xfId="0" applyNumberFormat="1" applyFont="1" applyFill="1" applyBorder="1" applyAlignment="1">
      <alignment horizontal="center" vertical="center"/>
    </xf>
    <xf numFmtId="165" fontId="35" fillId="0" borderId="4" xfId="0" applyNumberFormat="1" applyFont="1" applyFill="1" applyBorder="1" applyAlignment="1">
      <alignment horizontal="center" vertical="center"/>
    </xf>
    <xf numFmtId="4" fontId="122" fillId="0" borderId="0" xfId="49420" applyNumberFormat="1" applyFont="1" applyFill="1" applyBorder="1" applyAlignment="1" applyProtection="1">
      <alignment horizontal="center" vertical="center" wrapText="1"/>
      <protection hidden="1"/>
    </xf>
    <xf numFmtId="0" fontId="35" fillId="0" borderId="0" xfId="0" applyFont="1" applyFill="1" applyBorder="1" applyAlignment="1">
      <alignment horizontal="center" vertical="center" wrapText="1"/>
    </xf>
    <xf numFmtId="0" fontId="0" fillId="14" borderId="0" xfId="0" applyFill="1" applyBorder="1" applyAlignment="1">
      <alignment vertical="center"/>
    </xf>
    <xf numFmtId="0" fontId="0" fillId="14" borderId="0" xfId="0" applyFill="1" applyAlignment="1">
      <alignment vertical="center"/>
    </xf>
    <xf numFmtId="164" fontId="35" fillId="0" borderId="0" xfId="0" applyNumberFormat="1" applyFont="1" applyBorder="1" applyAlignment="1">
      <alignment horizontal="center" vertical="center"/>
    </xf>
    <xf numFmtId="164" fontId="36" fillId="0" borderId="0" xfId="0" applyNumberFormat="1" applyFont="1" applyBorder="1" applyAlignment="1">
      <alignment horizontal="center" vertical="center"/>
    </xf>
    <xf numFmtId="164" fontId="33" fillId="0" borderId="0" xfId="0" applyNumberFormat="1" applyFont="1" applyAlignment="1">
      <alignment vertical="center"/>
    </xf>
    <xf numFmtId="164" fontId="35" fillId="0" borderId="0" xfId="0" applyNumberFormat="1" applyFont="1" applyBorder="1" applyAlignment="1">
      <alignment horizontal="left" vertical="center" wrapText="1"/>
    </xf>
    <xf numFmtId="164" fontId="36" fillId="11" borderId="3" xfId="0" applyNumberFormat="1" applyFont="1" applyFill="1" applyBorder="1" applyAlignment="1">
      <alignment horizontal="center" vertical="center" wrapText="1"/>
    </xf>
    <xf numFmtId="164" fontId="35" fillId="0" borderId="4" xfId="0" applyNumberFormat="1" applyFont="1" applyFill="1" applyBorder="1" applyAlignment="1">
      <alignment horizontal="center" vertical="center"/>
    </xf>
    <xf numFmtId="164" fontId="36" fillId="0" borderId="4" xfId="0" applyNumberFormat="1" applyFont="1" applyBorder="1" applyAlignment="1">
      <alignment horizontal="right" vertical="center" wrapText="1"/>
    </xf>
    <xf numFmtId="164" fontId="35" fillId="0" borderId="4" xfId="0" applyNumberFormat="1" applyFont="1" applyBorder="1" applyAlignment="1">
      <alignment horizontal="center" vertical="center"/>
    </xf>
    <xf numFmtId="164" fontId="36" fillId="6" borderId="4" xfId="0" applyNumberFormat="1" applyFont="1" applyFill="1" applyBorder="1" applyAlignment="1">
      <alignment horizontal="left" vertical="center" wrapText="1"/>
    </xf>
    <xf numFmtId="164" fontId="36" fillId="0" borderId="4" xfId="0" applyNumberFormat="1" applyFont="1" applyFill="1" applyBorder="1" applyAlignment="1">
      <alignment horizontal="left" vertical="center" wrapText="1"/>
    </xf>
    <xf numFmtId="164" fontId="36" fillId="0" borderId="0" xfId="0" applyNumberFormat="1" applyFont="1" applyBorder="1" applyAlignment="1">
      <alignment horizontal="center" vertical="center" wrapText="1"/>
    </xf>
    <xf numFmtId="164" fontId="33" fillId="0" borderId="0" xfId="0" applyNumberFormat="1" applyFont="1" applyBorder="1" applyAlignment="1">
      <alignment horizontal="center" vertical="center"/>
    </xf>
    <xf numFmtId="164" fontId="33" fillId="0" borderId="0" xfId="0" applyNumberFormat="1" applyFont="1" applyAlignment="1">
      <alignment horizontal="center" vertical="center"/>
    </xf>
    <xf numFmtId="4" fontId="122" fillId="0" borderId="0" xfId="49420" applyNumberFormat="1" applyFont="1" applyFill="1" applyBorder="1" applyAlignment="1" applyProtection="1">
      <alignment horizontal="center" vertical="center" wrapText="1"/>
      <protection hidden="1"/>
    </xf>
    <xf numFmtId="2" fontId="0" fillId="0" borderId="0" xfId="0" applyNumberFormat="1" applyAlignment="1">
      <alignment horizontal="right"/>
    </xf>
    <xf numFmtId="0" fontId="121" fillId="0" borderId="0" xfId="0" applyFont="1" applyAlignment="1">
      <alignment horizontal="left"/>
    </xf>
    <xf numFmtId="0" fontId="121" fillId="0" borderId="0" xfId="0" applyFont="1" applyAlignment="1">
      <alignment horizontal="right"/>
    </xf>
    <xf numFmtId="1" fontId="121" fillId="0" borderId="0" xfId="0" applyNumberFormat="1" applyFont="1" applyAlignment="1">
      <alignment horizontal="left"/>
    </xf>
    <xf numFmtId="2" fontId="121" fillId="0" borderId="0" xfId="0" applyNumberFormat="1" applyFont="1" applyAlignment="1">
      <alignment horizontal="right"/>
    </xf>
    <xf numFmtId="0" fontId="122" fillId="0" borderId="0" xfId="419" applyNumberFormat="1" applyFont="1" applyFill="1" applyBorder="1" applyAlignment="1" applyProtection="1">
      <alignment horizontal="center" vertical="center" wrapText="1"/>
    </xf>
    <xf numFmtId="0" fontId="124" fillId="0" borderId="0" xfId="419" applyNumberFormat="1" applyFont="1" applyFill="1" applyBorder="1" applyAlignment="1" applyProtection="1">
      <alignment vertical="center" wrapText="1"/>
    </xf>
    <xf numFmtId="0" fontId="122" fillId="0" borderId="0" xfId="419" applyNumberFormat="1" applyFont="1" applyFill="1" applyBorder="1" applyAlignment="1" applyProtection="1">
      <alignment horizontal="center" vertical="center" wrapText="1"/>
      <protection locked="0"/>
    </xf>
    <xf numFmtId="49" fontId="122" fillId="0" borderId="0" xfId="419" applyNumberFormat="1" applyFont="1" applyFill="1" applyBorder="1" applyAlignment="1" applyProtection="1">
      <alignment horizontal="center" vertical="center" wrapText="1"/>
    </xf>
    <xf numFmtId="49" fontId="122" fillId="0" borderId="0" xfId="419" applyNumberFormat="1" applyFont="1" applyFill="1" applyBorder="1" applyAlignment="1" applyProtection="1">
      <alignment horizontal="center" vertical="center" wrapText="1"/>
      <protection locked="0"/>
    </xf>
    <xf numFmtId="167" fontId="33" fillId="0" borderId="0" xfId="0" applyNumberFormat="1" applyFont="1" applyBorder="1" applyAlignment="1">
      <alignment horizontal="center" vertical="center" wrapText="1"/>
    </xf>
    <xf numFmtId="2" fontId="124" fillId="14" borderId="4" xfId="873" applyNumberFormat="1" applyFont="1" applyFill="1" applyBorder="1" applyAlignment="1">
      <alignment horizontal="center" vertical="center" wrapText="1"/>
    </xf>
    <xf numFmtId="2" fontId="124" fillId="14" borderId="4" xfId="419" applyNumberFormat="1" applyFont="1" applyFill="1" applyBorder="1" applyAlignment="1" applyProtection="1">
      <alignment horizontal="center" vertical="center" wrapText="1"/>
    </xf>
    <xf numFmtId="4" fontId="122" fillId="0" borderId="0" xfId="49420" applyNumberFormat="1" applyFont="1" applyFill="1" applyBorder="1" applyAlignment="1" applyProtection="1">
      <alignment horizontal="center" vertical="center" wrapText="1"/>
      <protection hidden="1"/>
    </xf>
    <xf numFmtId="4" fontId="124" fillId="0" borderId="0" xfId="49420" applyNumberFormat="1" applyFont="1" applyFill="1" applyBorder="1" applyAlignment="1" applyProtection="1">
      <alignment horizontal="justify" vertical="center"/>
      <protection hidden="1"/>
    </xf>
    <xf numFmtId="4" fontId="122" fillId="0" borderId="0" xfId="49420" applyNumberFormat="1" applyFont="1" applyFill="1" applyBorder="1" applyAlignment="1" applyProtection="1">
      <alignment horizontal="center" vertical="center" wrapText="1"/>
      <protection hidden="1"/>
    </xf>
    <xf numFmtId="4" fontId="124" fillId="0" borderId="0" xfId="49420" applyNumberFormat="1" applyFont="1" applyFill="1" applyBorder="1" applyAlignment="1" applyProtection="1">
      <alignment horizontal="right" vertical="center" wrapText="1"/>
      <protection hidden="1"/>
    </xf>
    <xf numFmtId="164" fontId="0" fillId="0" borderId="0" xfId="0" applyNumberFormat="1" applyBorder="1"/>
    <xf numFmtId="164" fontId="34" fillId="0" borderId="0" xfId="0" applyNumberFormat="1" applyFont="1" applyBorder="1" applyAlignment="1">
      <alignment vertical="center"/>
    </xf>
    <xf numFmtId="164" fontId="33" fillId="0" borderId="0" xfId="0" applyNumberFormat="1" applyFont="1" applyBorder="1" applyAlignment="1">
      <alignment vertical="center"/>
    </xf>
    <xf numFmtId="164" fontId="33" fillId="0" borderId="0" xfId="0" applyNumberFormat="1" applyFont="1" applyBorder="1" applyAlignment="1">
      <alignment horizontal="right" vertical="center"/>
    </xf>
    <xf numFmtId="0" fontId="0" fillId="0" borderId="0" xfId="0" applyBorder="1" applyAlignment="1">
      <alignment horizontal="center" vertical="center" wrapText="1"/>
    </xf>
    <xf numFmtId="0" fontId="0" fillId="0" borderId="0" xfId="0" applyBorder="1" applyAlignment="1">
      <alignment horizontal="center"/>
    </xf>
    <xf numFmtId="44" fontId="34" fillId="0" borderId="0" xfId="0" applyNumberFormat="1" applyFont="1" applyBorder="1" applyAlignment="1">
      <alignment horizontal="center" vertical="center" wrapText="1"/>
    </xf>
    <xf numFmtId="167" fontId="34" fillId="0" borderId="0" xfId="0" applyNumberFormat="1" applyFont="1" applyBorder="1" applyAlignment="1">
      <alignment horizontal="center" vertical="center" wrapText="1"/>
    </xf>
    <xf numFmtId="4" fontId="122" fillId="0" borderId="0" xfId="49420" applyNumberFormat="1" applyFont="1" applyFill="1" applyBorder="1" applyAlignment="1" applyProtection="1">
      <alignment horizontal="center" vertical="center" wrapText="1"/>
      <protection hidden="1"/>
    </xf>
    <xf numFmtId="0" fontId="129" fillId="0" borderId="0" xfId="0" applyFont="1" applyFill="1" applyBorder="1" applyAlignment="1">
      <alignment vertical="center"/>
    </xf>
    <xf numFmtId="4" fontId="122" fillId="0" borderId="0" xfId="49420" applyNumberFormat="1" applyFont="1" applyFill="1" applyBorder="1" applyAlignment="1" applyProtection="1">
      <alignment horizontal="center" vertical="center" wrapText="1"/>
      <protection hidden="1"/>
    </xf>
    <xf numFmtId="4" fontId="122" fillId="0" borderId="0" xfId="49420" applyNumberFormat="1" applyFont="1" applyFill="1" applyBorder="1" applyAlignment="1" applyProtection="1">
      <alignment horizontal="center" vertical="center" wrapText="1"/>
      <protection hidden="1"/>
    </xf>
    <xf numFmtId="4" fontId="122" fillId="0" borderId="0" xfId="49420" applyNumberFormat="1" applyFont="1" applyFill="1" applyBorder="1" applyAlignment="1" applyProtection="1">
      <alignment horizontal="center" vertical="center" wrapText="1"/>
      <protection hidden="1"/>
    </xf>
    <xf numFmtId="4" fontId="124" fillId="0" borderId="0" xfId="49420" applyNumberFormat="1" applyFont="1" applyFill="1" applyBorder="1" applyAlignment="1" applyProtection="1">
      <alignment horizontal="right" vertical="center" wrapText="1"/>
      <protection hidden="1"/>
    </xf>
    <xf numFmtId="4" fontId="124" fillId="0" borderId="0" xfId="49420" applyNumberFormat="1" applyFont="1" applyFill="1" applyBorder="1" applyAlignment="1" applyProtection="1">
      <alignment vertical="center" wrapText="1"/>
      <protection hidden="1"/>
    </xf>
    <xf numFmtId="4" fontId="124" fillId="0" borderId="0" xfId="49420" applyNumberFormat="1" applyFont="1" applyFill="1" applyBorder="1" applyAlignment="1" applyProtection="1">
      <alignment horizontal="right" vertical="center" wrapText="1"/>
      <protection hidden="1"/>
    </xf>
    <xf numFmtId="4" fontId="122" fillId="0" borderId="0" xfId="49420" applyNumberFormat="1" applyFont="1" applyFill="1" applyBorder="1" applyAlignment="1" applyProtection="1">
      <alignment horizontal="center" vertical="center" wrapText="1"/>
      <protection hidden="1"/>
    </xf>
    <xf numFmtId="173" fontId="122" fillId="0" borderId="0" xfId="873" applyNumberFormat="1" applyFont="1" applyFill="1" applyBorder="1" applyAlignment="1" applyProtection="1">
      <alignment horizontal="center" vertical="center" wrapText="1"/>
      <protection hidden="1"/>
    </xf>
    <xf numFmtId="168" fontId="122" fillId="0" borderId="0" xfId="873" applyNumberFormat="1" applyFont="1" applyFill="1" applyBorder="1" applyAlignment="1" applyProtection="1">
      <alignment horizontal="justify" vertical="center" wrapText="1"/>
      <protection hidden="1"/>
    </xf>
    <xf numFmtId="170" fontId="59" fillId="0" borderId="0" xfId="0" applyNumberFormat="1" applyFont="1" applyFill="1" applyAlignment="1">
      <alignment horizontal="center" vertical="center"/>
    </xf>
    <xf numFmtId="44" fontId="59" fillId="0" borderId="0" xfId="0" applyNumberFormat="1" applyFont="1" applyAlignment="1">
      <alignment horizontal="center" vertical="center"/>
    </xf>
    <xf numFmtId="44" fontId="59" fillId="0" borderId="0" xfId="1" applyFont="1" applyAlignment="1">
      <alignment vertical="center"/>
    </xf>
    <xf numFmtId="0" fontId="59" fillId="0" borderId="0" xfId="0" applyFont="1" applyFill="1" applyBorder="1" applyAlignment="1">
      <alignment vertical="center"/>
    </xf>
    <xf numFmtId="173" fontId="124" fillId="0" borderId="0" xfId="873" applyFont="1" applyFill="1" applyBorder="1" applyAlignment="1" applyProtection="1">
      <alignment horizontal="center" vertical="center" wrapText="1"/>
      <protection hidden="1"/>
    </xf>
    <xf numFmtId="4" fontId="124" fillId="0" borderId="0" xfId="49420" applyNumberFormat="1" applyFont="1" applyFill="1" applyBorder="1" applyAlignment="1" applyProtection="1">
      <alignment horizontal="right" vertical="center" wrapText="1"/>
      <protection hidden="1"/>
    </xf>
    <xf numFmtId="4" fontId="122" fillId="0" borderId="0" xfId="49420" applyNumberFormat="1" applyFont="1" applyFill="1" applyBorder="1" applyAlignment="1" applyProtection="1">
      <alignment horizontal="center" vertical="center" wrapText="1"/>
      <protection hidden="1"/>
    </xf>
    <xf numFmtId="4" fontId="124" fillId="0" borderId="0" xfId="49420" applyNumberFormat="1" applyFont="1" applyFill="1" applyBorder="1" applyAlignment="1" applyProtection="1">
      <alignment horizontal="right" vertical="center" wrapText="1"/>
      <protection hidden="1"/>
    </xf>
    <xf numFmtId="4" fontId="122" fillId="0" borderId="0" xfId="49420" applyNumberFormat="1" applyFont="1" applyFill="1" applyBorder="1" applyAlignment="1" applyProtection="1">
      <alignment horizontal="center" vertical="center" wrapText="1"/>
      <protection hidden="1"/>
    </xf>
    <xf numFmtId="4" fontId="122" fillId="0" borderId="0" xfId="49420" applyNumberFormat="1" applyFont="1" applyFill="1" applyBorder="1" applyAlignment="1" applyProtection="1">
      <alignment horizontal="center" vertical="center" wrapText="1"/>
      <protection hidden="1"/>
    </xf>
    <xf numFmtId="4" fontId="122" fillId="0" borderId="0" xfId="49420" applyNumberFormat="1" applyFont="1" applyFill="1" applyBorder="1" applyAlignment="1" applyProtection="1">
      <alignment horizontal="center" vertical="center" wrapText="1"/>
      <protection hidden="1"/>
    </xf>
    <xf numFmtId="4" fontId="122" fillId="0" borderId="0" xfId="49420" applyNumberFormat="1" applyFont="1" applyFill="1" applyBorder="1" applyAlignment="1" applyProtection="1">
      <alignment horizontal="center" vertical="center" wrapText="1"/>
      <protection hidden="1"/>
    </xf>
    <xf numFmtId="0" fontId="36" fillId="0" borderId="0" xfId="0" applyFont="1" applyBorder="1" applyAlignment="1">
      <alignment horizontal="center" vertical="center"/>
    </xf>
    <xf numFmtId="0" fontId="35" fillId="0" borderId="0" xfId="0" applyFont="1" applyBorder="1" applyAlignment="1">
      <alignment horizontal="left" vertical="center" wrapText="1"/>
    </xf>
    <xf numFmtId="0" fontId="35" fillId="0" borderId="0" xfId="0" applyFont="1" applyBorder="1" applyAlignment="1">
      <alignment horizontal="center" vertical="center" wrapText="1"/>
    </xf>
    <xf numFmtId="0" fontId="0" fillId="0" borderId="0" xfId="0"/>
    <xf numFmtId="0" fontId="36" fillId="9" borderId="4" xfId="0" applyFont="1" applyFill="1" applyBorder="1" applyAlignment="1">
      <alignment vertical="center" wrapText="1"/>
    </xf>
    <xf numFmtId="10" fontId="36" fillId="9" borderId="4" xfId="0" applyNumberFormat="1" applyFont="1" applyFill="1" applyBorder="1" applyAlignment="1">
      <alignment vertical="center" wrapText="1"/>
    </xf>
    <xf numFmtId="0" fontId="28" fillId="13" borderId="4" xfId="0" applyFont="1" applyFill="1" applyBorder="1" applyAlignment="1">
      <alignment horizontal="center" vertical="center" wrapText="1"/>
    </xf>
    <xf numFmtId="0" fontId="28" fillId="13" borderId="4" xfId="0" applyFont="1" applyFill="1" applyBorder="1" applyAlignment="1">
      <alignment vertical="center" wrapText="1"/>
    </xf>
    <xf numFmtId="167" fontId="28" fillId="13" borderId="4" xfId="0" applyNumberFormat="1" applyFont="1" applyFill="1" applyBorder="1" applyAlignment="1">
      <alignment horizontal="right" vertical="center"/>
    </xf>
    <xf numFmtId="164" fontId="36" fillId="9" borderId="4" xfId="0" applyNumberFormat="1" applyFont="1" applyFill="1" applyBorder="1" applyAlignment="1">
      <alignment vertical="center" wrapText="1"/>
    </xf>
    <xf numFmtId="164" fontId="28" fillId="13" borderId="4" xfId="0" applyNumberFormat="1" applyFont="1" applyFill="1" applyBorder="1" applyAlignment="1">
      <alignment vertical="center" wrapText="1"/>
    </xf>
    <xf numFmtId="167" fontId="130" fillId="13" borderId="0" xfId="0" applyNumberFormat="1" applyFont="1" applyFill="1" applyBorder="1" applyAlignment="1">
      <alignment horizontal="left" vertical="center" wrapText="1"/>
    </xf>
    <xf numFmtId="1" fontId="130" fillId="13" borderId="0" xfId="0" applyNumberFormat="1" applyFont="1" applyFill="1" applyBorder="1" applyAlignment="1">
      <alignment horizontal="center" vertical="center"/>
    </xf>
    <xf numFmtId="1" fontId="130" fillId="13" borderId="0" xfId="0" applyNumberFormat="1" applyFont="1" applyFill="1" applyBorder="1" applyAlignment="1">
      <alignment vertical="center"/>
    </xf>
    <xf numFmtId="0" fontId="131" fillId="13" borderId="0" xfId="0" applyFont="1" applyFill="1" applyAlignment="1">
      <alignment vertical="center"/>
    </xf>
    <xf numFmtId="0" fontId="36" fillId="0" borderId="0" xfId="0" applyFont="1" applyBorder="1" applyAlignment="1">
      <alignment horizontal="center" vertical="center"/>
    </xf>
    <xf numFmtId="4" fontId="122" fillId="0" borderId="0" xfId="49420" applyNumberFormat="1" applyFont="1" applyFill="1" applyBorder="1" applyAlignment="1" applyProtection="1">
      <alignment horizontal="center" vertical="center" wrapText="1"/>
      <protection hidden="1"/>
    </xf>
    <xf numFmtId="167" fontId="35" fillId="0" borderId="0" xfId="0" applyNumberFormat="1" applyFont="1" applyFill="1" applyBorder="1" applyAlignment="1">
      <alignment horizontal="center" vertical="center"/>
    </xf>
    <xf numFmtId="164" fontId="36" fillId="9" borderId="4" xfId="0" applyNumberFormat="1" applyFont="1" applyFill="1" applyBorder="1" applyAlignment="1">
      <alignment horizontal="right" vertical="center"/>
    </xf>
    <xf numFmtId="164" fontId="36" fillId="0" borderId="0" xfId="0" applyNumberFormat="1" applyFont="1" applyBorder="1" applyAlignment="1">
      <alignment horizontal="right" vertical="center"/>
    </xf>
    <xf numFmtId="164" fontId="35" fillId="0" borderId="0" xfId="0" applyNumberFormat="1" applyFont="1" applyBorder="1" applyAlignment="1">
      <alignment horizontal="right" vertical="center"/>
    </xf>
    <xf numFmtId="164" fontId="36" fillId="11" borderId="5" xfId="0" applyNumberFormat="1" applyFont="1" applyFill="1" applyBorder="1" applyAlignment="1">
      <alignment horizontal="center" vertical="center" wrapText="1"/>
    </xf>
    <xf numFmtId="164" fontId="35" fillId="0" borderId="4" xfId="0" applyNumberFormat="1" applyFont="1" applyFill="1" applyBorder="1" applyAlignment="1">
      <alignment horizontal="right" vertical="center"/>
    </xf>
    <xf numFmtId="164" fontId="36" fillId="6" borderId="4" xfId="0" applyNumberFormat="1" applyFont="1" applyFill="1" applyBorder="1" applyAlignment="1">
      <alignment horizontal="center" vertical="center"/>
    </xf>
    <xf numFmtId="164" fontId="36" fillId="0" borderId="4" xfId="0" applyNumberFormat="1" applyFont="1" applyBorder="1" applyAlignment="1">
      <alignment horizontal="center" vertical="center"/>
    </xf>
    <xf numFmtId="164" fontId="36" fillId="10" borderId="4" xfId="0" applyNumberFormat="1" applyFont="1" applyFill="1" applyBorder="1" applyAlignment="1">
      <alignment horizontal="center" vertical="center"/>
    </xf>
    <xf numFmtId="164" fontId="35" fillId="0" borderId="4" xfId="0" applyNumberFormat="1" applyFont="1" applyBorder="1" applyAlignment="1">
      <alignment horizontal="right" vertical="center"/>
    </xf>
    <xf numFmtId="164" fontId="33" fillId="0" borderId="0" xfId="0" applyNumberFormat="1" applyFont="1" applyAlignment="1">
      <alignment horizontal="right" vertical="center"/>
    </xf>
    <xf numFmtId="0" fontId="43" fillId="0" borderId="0" xfId="0" applyFont="1" applyBorder="1" applyAlignment="1">
      <alignment vertical="center"/>
    </xf>
    <xf numFmtId="0" fontId="34" fillId="0" borderId="0" xfId="0" applyFont="1" applyBorder="1" applyAlignment="1">
      <alignment vertical="center" wrapText="1"/>
    </xf>
    <xf numFmtId="0" fontId="34" fillId="0" borderId="0" xfId="0" applyFont="1" applyBorder="1" applyAlignment="1">
      <alignment vertical="center"/>
    </xf>
    <xf numFmtId="0" fontId="33" fillId="0" borderId="0" xfId="0" applyFont="1" applyBorder="1" applyAlignment="1">
      <alignment vertical="center" wrapText="1"/>
    </xf>
    <xf numFmtId="0" fontId="132" fillId="0" borderId="0" xfId="0" applyFont="1" applyFill="1" applyBorder="1" applyAlignment="1">
      <alignment horizontal="center" vertical="center" wrapText="1"/>
    </xf>
    <xf numFmtId="2" fontId="128" fillId="0" borderId="3" xfId="0" applyNumberFormat="1" applyFont="1" applyFill="1" applyBorder="1" applyAlignment="1">
      <alignment horizontal="center" vertical="center" wrapText="1"/>
    </xf>
    <xf numFmtId="0" fontId="128" fillId="6" borderId="3" xfId="0" applyFont="1" applyFill="1" applyBorder="1" applyAlignment="1">
      <alignment horizontal="center" vertical="center"/>
    </xf>
    <xf numFmtId="2" fontId="128" fillId="6" borderId="3" xfId="0" applyNumberFormat="1" applyFont="1" applyFill="1" applyBorder="1" applyAlignment="1">
      <alignment horizontal="center" vertical="center"/>
    </xf>
    <xf numFmtId="0" fontId="33" fillId="0" borderId="0" xfId="1089" applyFont="1" applyAlignment="1">
      <alignment vertical="center"/>
    </xf>
    <xf numFmtId="0" fontId="23" fillId="0" borderId="0" xfId="1089"/>
    <xf numFmtId="0" fontId="28" fillId="93" borderId="55" xfId="1089" applyFont="1" applyFill="1" applyBorder="1" applyAlignment="1">
      <alignment vertical="center"/>
    </xf>
    <xf numFmtId="0" fontId="40" fillId="0" borderId="0" xfId="1089" applyFont="1" applyAlignment="1">
      <alignment horizontal="center" vertical="center"/>
    </xf>
    <xf numFmtId="10" fontId="32" fillId="0" borderId="12" xfId="1089" applyNumberFormat="1" applyFont="1" applyBorder="1" applyAlignment="1">
      <alignment horizontal="center" vertical="center"/>
    </xf>
    <xf numFmtId="167" fontId="32" fillId="0" borderId="7" xfId="1089" applyNumberFormat="1" applyFont="1" applyBorder="1" applyAlignment="1">
      <alignment horizontal="center" vertical="center"/>
    </xf>
    <xf numFmtId="10" fontId="32" fillId="0" borderId="6" xfId="1089" applyNumberFormat="1" applyFont="1" applyBorder="1" applyAlignment="1">
      <alignment horizontal="center" vertical="center"/>
    </xf>
    <xf numFmtId="10" fontId="32" fillId="0" borderId="11" xfId="1089" applyNumberFormat="1" applyFont="1" applyBorder="1" applyAlignment="1">
      <alignment horizontal="center" vertical="center"/>
    </xf>
    <xf numFmtId="167" fontId="23" fillId="0" borderId="0" xfId="1089" applyNumberFormat="1"/>
    <xf numFmtId="170" fontId="35" fillId="6" borderId="0" xfId="0" applyNumberFormat="1" applyFont="1" applyFill="1" applyAlignment="1">
      <alignment horizontal="center" vertical="center"/>
    </xf>
    <xf numFmtId="44" fontId="35" fillId="6" borderId="0" xfId="0" applyNumberFormat="1" applyFont="1" applyFill="1" applyAlignment="1">
      <alignment horizontal="center" vertical="center"/>
    </xf>
    <xf numFmtId="44" fontId="35" fillId="6" borderId="0" xfId="1" applyFont="1" applyFill="1" applyAlignment="1">
      <alignment vertical="center"/>
    </xf>
    <xf numFmtId="0" fontId="28" fillId="12" borderId="8" xfId="0" applyFont="1" applyFill="1" applyBorder="1" applyAlignment="1">
      <alignment horizontal="center" vertical="center" wrapText="1"/>
    </xf>
    <xf numFmtId="0" fontId="35" fillId="0" borderId="4" xfId="0" applyFont="1" applyBorder="1" applyAlignment="1">
      <alignment horizontal="center" vertical="center" wrapText="1"/>
    </xf>
    <xf numFmtId="0" fontId="35" fillId="0" borderId="4" xfId="0" applyFont="1" applyBorder="1" applyAlignment="1">
      <alignment horizontal="left" vertical="center" wrapText="1"/>
    </xf>
    <xf numFmtId="3" fontId="35" fillId="0" borderId="4" xfId="0" applyNumberFormat="1" applyFont="1" applyFill="1" applyBorder="1" applyAlignment="1">
      <alignment horizontal="center" vertical="center" wrapText="1"/>
    </xf>
    <xf numFmtId="0" fontId="36" fillId="0" borderId="4" xfId="0" applyFont="1" applyBorder="1" applyAlignment="1">
      <alignment horizontal="center" vertical="center" wrapText="1"/>
    </xf>
    <xf numFmtId="0" fontId="36" fillId="0" borderId="4" xfId="0" applyFont="1" applyBorder="1" applyAlignment="1">
      <alignment horizontal="left" vertical="center" wrapText="1"/>
    </xf>
    <xf numFmtId="2" fontId="36" fillId="0" borderId="4" xfId="0" applyNumberFormat="1" applyFont="1" applyFill="1" applyBorder="1" applyAlignment="1">
      <alignment horizontal="center" vertical="center" wrapText="1"/>
    </xf>
    <xf numFmtId="164" fontId="36" fillId="0" borderId="4" xfId="0" applyNumberFormat="1" applyFont="1" applyBorder="1" applyAlignment="1">
      <alignment horizontal="center" vertical="center" wrapText="1"/>
    </xf>
    <xf numFmtId="167" fontId="36" fillId="0" borderId="4" xfId="0" applyNumberFormat="1" applyFont="1" applyBorder="1" applyAlignment="1">
      <alignment horizontal="center" vertical="center" wrapText="1"/>
    </xf>
    <xf numFmtId="164" fontId="36" fillId="0" borderId="4" xfId="0" applyNumberFormat="1" applyFont="1" applyBorder="1" applyAlignment="1">
      <alignment horizontal="right" vertical="center"/>
    </xf>
    <xf numFmtId="0" fontId="40" fillId="0" borderId="19" xfId="1089" applyFont="1" applyBorder="1" applyAlignment="1">
      <alignment horizontal="center" vertical="center"/>
    </xf>
    <xf numFmtId="167" fontId="32" fillId="10" borderId="56" xfId="1089" applyNumberFormat="1" applyFont="1" applyFill="1" applyBorder="1" applyAlignment="1">
      <alignment horizontal="center" vertical="center"/>
    </xf>
    <xf numFmtId="10" fontId="32" fillId="0" borderId="57" xfId="1089" applyNumberFormat="1" applyFont="1" applyBorder="1" applyAlignment="1">
      <alignment horizontal="center" vertical="center"/>
    </xf>
    <xf numFmtId="10" fontId="32" fillId="0" borderId="58" xfId="1089" applyNumberFormat="1" applyFont="1" applyBorder="1" applyAlignment="1">
      <alignment horizontal="center" vertical="center"/>
    </xf>
    <xf numFmtId="10" fontId="32" fillId="0" borderId="59" xfId="1089" applyNumberFormat="1" applyFont="1" applyBorder="1" applyAlignment="1">
      <alignment horizontal="center" vertical="center"/>
    </xf>
    <xf numFmtId="4" fontId="122" fillId="0" borderId="0" xfId="49420" applyNumberFormat="1" applyFont="1" applyFill="1" applyBorder="1" applyAlignment="1" applyProtection="1">
      <alignment horizontal="center" vertical="center" wrapText="1"/>
      <protection hidden="1"/>
    </xf>
    <xf numFmtId="0" fontId="0" fillId="0" borderId="0" xfId="0"/>
    <xf numFmtId="0" fontId="0" fillId="0" borderId="0" xfId="0"/>
    <xf numFmtId="0" fontId="121" fillId="0" borderId="0" xfId="0" applyFont="1" applyAlignment="1">
      <alignment horizontal="left"/>
    </xf>
    <xf numFmtId="0" fontId="121" fillId="0" borderId="0" xfId="0" applyFont="1" applyAlignment="1">
      <alignment horizontal="right"/>
    </xf>
    <xf numFmtId="0" fontId="35" fillId="0" borderId="0" xfId="0" applyFont="1" applyBorder="1" applyAlignment="1">
      <alignment vertical="center"/>
    </xf>
    <xf numFmtId="0" fontId="35" fillId="0" borderId="0" xfId="0" applyFont="1" applyFill="1" applyBorder="1" applyAlignment="1">
      <alignment vertical="center" wrapText="1"/>
    </xf>
    <xf numFmtId="0" fontId="35" fillId="94" borderId="4" xfId="0" applyFont="1" applyFill="1" applyBorder="1" applyAlignment="1">
      <alignment horizontal="center" vertical="center" wrapText="1"/>
    </xf>
    <xf numFmtId="0" fontId="35" fillId="94" borderId="4" xfId="0" applyFont="1" applyFill="1" applyBorder="1" applyAlignment="1">
      <alignment horizontal="left" vertical="center" wrapText="1"/>
    </xf>
    <xf numFmtId="164" fontId="35" fillId="94" borderId="4" xfId="0" applyNumberFormat="1" applyFont="1" applyFill="1" applyBorder="1" applyAlignment="1">
      <alignment horizontal="center" vertical="center"/>
    </xf>
    <xf numFmtId="44" fontId="35" fillId="94" borderId="4" xfId="0" applyNumberFormat="1" applyFont="1" applyFill="1" applyBorder="1" applyAlignment="1">
      <alignment horizontal="center" vertical="center"/>
    </xf>
    <xf numFmtId="164" fontId="35" fillId="94" borderId="4" xfId="0" applyNumberFormat="1" applyFont="1" applyFill="1" applyBorder="1" applyAlignment="1">
      <alignment horizontal="right" vertical="center"/>
    </xf>
    <xf numFmtId="0" fontId="36" fillId="0" borderId="0" xfId="0" applyFont="1" applyFill="1" applyBorder="1" applyAlignment="1">
      <alignment horizontal="center" vertical="center"/>
    </xf>
    <xf numFmtId="0" fontId="35" fillId="0" borderId="0" xfId="0" applyFont="1" applyFill="1" applyBorder="1" applyAlignment="1">
      <alignment horizontal="center" vertical="center"/>
    </xf>
    <xf numFmtId="4" fontId="122" fillId="95" borderId="0" xfId="49420" applyNumberFormat="1" applyFont="1" applyFill="1" applyBorder="1" applyAlignment="1" applyProtection="1">
      <alignment vertical="center" wrapText="1"/>
      <protection hidden="1"/>
    </xf>
    <xf numFmtId="4" fontId="122" fillId="95" borderId="54" xfId="49420" applyNumberFormat="1" applyFont="1" applyFill="1" applyBorder="1" applyAlignment="1" applyProtection="1">
      <alignment horizontal="center" vertical="center" wrapText="1"/>
      <protection hidden="1"/>
    </xf>
    <xf numFmtId="2" fontId="122" fillId="95" borderId="2" xfId="49420" applyNumberFormat="1" applyFont="1" applyFill="1" applyBorder="1" applyAlignment="1" applyProtection="1">
      <alignment horizontal="center" vertical="center" wrapText="1"/>
      <protection hidden="1"/>
    </xf>
    <xf numFmtId="2" fontId="122" fillId="95" borderId="0" xfId="873" applyNumberFormat="1" applyFont="1" applyFill="1" applyBorder="1" applyAlignment="1" applyProtection="1">
      <alignment horizontal="center" vertical="center" wrapText="1"/>
      <protection hidden="1"/>
    </xf>
    <xf numFmtId="2" fontId="122" fillId="95" borderId="53" xfId="873" applyNumberFormat="1" applyFont="1" applyFill="1" applyBorder="1" applyAlignment="1" applyProtection="1">
      <alignment horizontal="center" vertical="center" wrapText="1"/>
      <protection hidden="1"/>
    </xf>
    <xf numFmtId="2" fontId="122" fillId="95" borderId="2" xfId="873" applyNumberFormat="1" applyFont="1" applyFill="1" applyBorder="1" applyAlignment="1" applyProtection="1">
      <alignment horizontal="center" vertical="center" wrapText="1"/>
      <protection hidden="1"/>
    </xf>
    <xf numFmtId="2" fontId="124" fillId="95" borderId="53" xfId="873" applyNumberFormat="1" applyFont="1" applyFill="1" applyBorder="1" applyAlignment="1" applyProtection="1">
      <alignment horizontal="center" vertical="center" wrapText="1"/>
      <protection hidden="1"/>
    </xf>
    <xf numFmtId="173" fontId="122" fillId="95" borderId="0" xfId="873" applyFont="1" applyFill="1" applyBorder="1" applyAlignment="1" applyProtection="1">
      <alignment horizontal="center" vertical="center" wrapText="1"/>
      <protection hidden="1"/>
    </xf>
    <xf numFmtId="0" fontId="0" fillId="95" borderId="0" xfId="0" applyFill="1" applyAlignment="1">
      <alignment horizontal="center" vertical="center"/>
    </xf>
    <xf numFmtId="0" fontId="0" fillId="95" borderId="0" xfId="0" applyFill="1" applyAlignment="1">
      <alignment vertical="center"/>
    </xf>
    <xf numFmtId="0" fontId="35" fillId="0" borderId="0" xfId="0" applyFont="1" applyBorder="1" applyAlignment="1">
      <alignment horizontal="left" vertical="center" wrapText="1"/>
    </xf>
    <xf numFmtId="0" fontId="36" fillId="11" borderId="8" xfId="0" applyFont="1" applyFill="1" applyBorder="1" applyAlignment="1">
      <alignment horizontal="center" vertical="center" wrapText="1"/>
    </xf>
    <xf numFmtId="0" fontId="33" fillId="0" borderId="0" xfId="0" applyFont="1" applyBorder="1" applyAlignment="1">
      <alignment horizontal="left" vertical="center" wrapText="1"/>
    </xf>
    <xf numFmtId="0" fontId="35" fillId="0" borderId="0" xfId="0" applyFont="1" applyBorder="1" applyAlignment="1">
      <alignment horizontal="center" vertical="center" wrapText="1"/>
    </xf>
    <xf numFmtId="164" fontId="34" fillId="0" borderId="0" xfId="0" applyNumberFormat="1" applyFont="1" applyBorder="1" applyAlignment="1">
      <alignment horizontal="center" vertical="center"/>
    </xf>
    <xf numFmtId="164" fontId="0" fillId="0" borderId="0" xfId="0" applyNumberFormat="1" applyBorder="1" applyAlignment="1">
      <alignment horizontal="center"/>
    </xf>
    <xf numFmtId="164" fontId="34" fillId="0" borderId="0" xfId="0" applyNumberFormat="1" applyFont="1" applyBorder="1" applyAlignment="1">
      <alignment horizontal="center" vertical="center" wrapText="1"/>
    </xf>
    <xf numFmtId="1" fontId="0" fillId="0" borderId="0" xfId="0" applyNumberFormat="1" applyBorder="1" applyAlignment="1">
      <alignment horizontal="center"/>
    </xf>
    <xf numFmtId="164" fontId="33" fillId="0" borderId="0" xfId="0" applyNumberFormat="1" applyFont="1" applyBorder="1" applyAlignment="1">
      <alignment horizontal="left" vertical="center" wrapText="1"/>
    </xf>
    <xf numFmtId="0" fontId="41" fillId="3" borderId="0" xfId="0" applyFont="1" applyFill="1" applyBorder="1" applyAlignment="1">
      <alignment horizontal="center" vertical="center"/>
    </xf>
    <xf numFmtId="164" fontId="34" fillId="2" borderId="0" xfId="0" applyNumberFormat="1" applyFont="1" applyFill="1" applyBorder="1" applyAlignment="1">
      <alignment horizontal="center" vertical="center" wrapText="1"/>
    </xf>
    <xf numFmtId="164" fontId="34" fillId="2" borderId="0" xfId="0" applyNumberFormat="1" applyFont="1" applyFill="1" applyBorder="1" applyAlignment="1">
      <alignment vertical="center" wrapText="1"/>
    </xf>
    <xf numFmtId="167" fontId="36" fillId="11" borderId="0" xfId="0" applyNumberFormat="1" applyFont="1" applyFill="1" applyBorder="1" applyAlignment="1">
      <alignment horizontal="center" vertical="center" wrapText="1"/>
    </xf>
    <xf numFmtId="0" fontId="36" fillId="6" borderId="0" xfId="0" applyFont="1" applyFill="1" applyBorder="1" applyAlignment="1">
      <alignment horizontal="left" vertical="center" wrapText="1"/>
    </xf>
    <xf numFmtId="44" fontId="35" fillId="0" borderId="0" xfId="0" applyNumberFormat="1" applyFont="1" applyFill="1" applyBorder="1" applyAlignment="1">
      <alignment horizontal="right" vertical="center"/>
    </xf>
    <xf numFmtId="164" fontId="33" fillId="0" borderId="0" xfId="0" applyNumberFormat="1" applyFont="1" applyFill="1" applyBorder="1" applyAlignment="1">
      <alignment horizontal="right" vertical="center"/>
    </xf>
    <xf numFmtId="0" fontId="33" fillId="0" borderId="0" xfId="0" applyFont="1" applyFill="1" applyBorder="1" applyAlignment="1">
      <alignment horizontal="center" vertical="center"/>
    </xf>
    <xf numFmtId="44" fontId="36" fillId="6" borderId="0" xfId="0" applyNumberFormat="1" applyFont="1" applyFill="1" applyBorder="1" applyAlignment="1">
      <alignment horizontal="center" vertical="center"/>
    </xf>
    <xf numFmtId="164" fontId="36" fillId="6" borderId="0" xfId="0" applyNumberFormat="1" applyFont="1" applyFill="1" applyBorder="1" applyAlignment="1">
      <alignment horizontal="center" vertical="center"/>
    </xf>
    <xf numFmtId="44" fontId="36" fillId="10" borderId="0" xfId="0" applyNumberFormat="1" applyFont="1" applyFill="1" applyBorder="1" applyAlignment="1">
      <alignment horizontal="center" vertical="center"/>
    </xf>
    <xf numFmtId="164" fontId="36" fillId="10" borderId="0" xfId="0" applyNumberFormat="1" applyFont="1" applyFill="1" applyBorder="1" applyAlignment="1">
      <alignment horizontal="center" vertical="center"/>
    </xf>
    <xf numFmtId="10" fontId="33" fillId="0" borderId="0" xfId="0" applyNumberFormat="1" applyFont="1" applyBorder="1" applyAlignment="1">
      <alignment horizontal="center" vertical="center"/>
    </xf>
    <xf numFmtId="167" fontId="34" fillId="2" borderId="0" xfId="0" applyNumberFormat="1" applyFont="1" applyFill="1" applyBorder="1" applyAlignment="1">
      <alignment horizontal="left" vertical="center" wrapText="1"/>
    </xf>
    <xf numFmtId="164" fontId="33" fillId="0" borderId="0" xfId="0" applyNumberFormat="1" applyFont="1" applyFill="1" applyBorder="1" applyAlignment="1">
      <alignment horizontal="center" vertical="center"/>
    </xf>
    <xf numFmtId="164" fontId="33" fillId="0" borderId="0" xfId="0" applyNumberFormat="1" applyFont="1" applyFill="1" applyBorder="1" applyAlignment="1">
      <alignment vertical="center"/>
    </xf>
    <xf numFmtId="167" fontId="33" fillId="0" borderId="0" xfId="0" applyNumberFormat="1" applyFont="1" applyFill="1" applyBorder="1" applyAlignment="1">
      <alignment horizontal="left" vertical="center" wrapText="1"/>
    </xf>
    <xf numFmtId="167" fontId="36" fillId="9" borderId="0" xfId="0" applyNumberFormat="1" applyFont="1" applyFill="1" applyBorder="1" applyAlignment="1">
      <alignment horizontal="left" vertical="center" wrapText="1"/>
    </xf>
    <xf numFmtId="164" fontId="36" fillId="9" borderId="0" xfId="0" applyNumberFormat="1" applyFont="1" applyFill="1" applyBorder="1" applyAlignment="1">
      <alignment horizontal="right" vertical="center"/>
    </xf>
    <xf numFmtId="164" fontId="34" fillId="9" borderId="0" xfId="0" applyNumberFormat="1" applyFont="1" applyFill="1" applyBorder="1" applyAlignment="1">
      <alignment vertical="center"/>
    </xf>
    <xf numFmtId="164" fontId="34" fillId="9" borderId="0" xfId="0" applyNumberFormat="1" applyFont="1" applyFill="1" applyBorder="1" applyAlignment="1">
      <alignment horizontal="center" vertical="center"/>
    </xf>
    <xf numFmtId="0" fontId="33" fillId="94" borderId="0" xfId="0" applyFont="1" applyFill="1" applyBorder="1" applyAlignment="1">
      <alignment horizontal="center" vertical="center"/>
    </xf>
    <xf numFmtId="167" fontId="36" fillId="9" borderId="0" xfId="0" applyNumberFormat="1" applyFont="1" applyFill="1" applyBorder="1" applyAlignment="1">
      <alignment horizontal="right" vertical="center"/>
    </xf>
    <xf numFmtId="1" fontId="35" fillId="0" borderId="4" xfId="0" applyNumberFormat="1" applyFont="1" applyFill="1" applyBorder="1" applyAlignment="1">
      <alignment horizontal="center" vertical="center" wrapText="1"/>
    </xf>
    <xf numFmtId="164" fontId="35" fillId="0" borderId="0" xfId="0" applyNumberFormat="1" applyFont="1" applyFill="1" applyBorder="1" applyAlignment="1">
      <alignment horizontal="center" vertical="center"/>
    </xf>
    <xf numFmtId="0" fontId="35" fillId="0" borderId="4" xfId="0" applyFont="1" applyFill="1" applyBorder="1" applyAlignment="1">
      <alignment horizontal="center" vertical="center"/>
    </xf>
    <xf numFmtId="165" fontId="35" fillId="0" borderId="4" xfId="0" applyNumberFormat="1" applyFont="1" applyFill="1" applyBorder="1" applyAlignment="1">
      <alignment horizontal="center" vertical="center" wrapText="1"/>
    </xf>
    <xf numFmtId="0" fontId="35" fillId="0" borderId="4" xfId="180" applyFont="1" applyFill="1" applyBorder="1" applyAlignment="1">
      <alignment horizontal="left" vertical="center" wrapText="1"/>
    </xf>
    <xf numFmtId="167" fontId="34" fillId="2" borderId="0" xfId="0" applyNumberFormat="1" applyFont="1" applyFill="1" applyBorder="1" applyAlignment="1">
      <alignment horizontal="center" vertical="center" wrapText="1"/>
    </xf>
    <xf numFmtId="164" fontId="36" fillId="11" borderId="0" xfId="0" applyNumberFormat="1" applyFont="1" applyFill="1" applyBorder="1" applyAlignment="1">
      <alignment horizontal="center" vertical="center" wrapText="1"/>
    </xf>
    <xf numFmtId="167" fontId="34" fillId="9" borderId="0" xfId="0" applyNumberFormat="1" applyFont="1" applyFill="1" applyBorder="1" applyAlignment="1">
      <alignment horizontal="center" vertical="center" wrapText="1"/>
    </xf>
    <xf numFmtId="167" fontId="34" fillId="9" borderId="0" xfId="0" applyNumberFormat="1" applyFont="1" applyFill="1" applyBorder="1" applyAlignment="1">
      <alignment horizontal="center" vertical="center"/>
    </xf>
    <xf numFmtId="167" fontId="33" fillId="0" borderId="0" xfId="0" applyNumberFormat="1" applyFont="1" applyFill="1" applyBorder="1" applyAlignment="1">
      <alignment horizontal="center" vertical="center" wrapText="1"/>
    </xf>
    <xf numFmtId="167" fontId="33" fillId="0" borderId="0" xfId="0" applyNumberFormat="1" applyFont="1" applyFill="1" applyBorder="1" applyAlignment="1">
      <alignment horizontal="center" vertical="center"/>
    </xf>
    <xf numFmtId="0" fontId="33" fillId="0" borderId="0" xfId="0" applyFont="1" applyFill="1" applyBorder="1" applyAlignment="1">
      <alignment vertical="center"/>
    </xf>
    <xf numFmtId="1" fontId="33" fillId="0" borderId="0" xfId="0" applyNumberFormat="1" applyFont="1" applyFill="1" applyBorder="1" applyAlignment="1">
      <alignment horizontal="center" vertical="center"/>
    </xf>
    <xf numFmtId="164" fontId="36" fillId="0" borderId="0" xfId="0" applyNumberFormat="1" applyFont="1" applyFill="1" applyBorder="1" applyAlignment="1">
      <alignment horizontal="center" vertical="center" wrapText="1"/>
    </xf>
    <xf numFmtId="164" fontId="36" fillId="0" borderId="0" xfId="0" applyNumberFormat="1" applyFont="1" applyFill="1" applyBorder="1" applyAlignment="1">
      <alignment horizontal="center" vertical="center"/>
    </xf>
    <xf numFmtId="17" fontId="35" fillId="0" borderId="0" xfId="0" applyNumberFormat="1" applyFont="1" applyFill="1" applyBorder="1" applyAlignment="1">
      <alignment vertical="center" wrapText="1"/>
    </xf>
    <xf numFmtId="10" fontId="36" fillId="11" borderId="5" xfId="0" applyNumberFormat="1" applyFont="1" applyFill="1" applyBorder="1" applyAlignment="1">
      <alignment horizontal="center" vertical="center" wrapText="1"/>
    </xf>
    <xf numFmtId="10" fontId="35" fillId="0" borderId="0" xfId="0" applyNumberFormat="1" applyFont="1" applyBorder="1" applyAlignment="1">
      <alignment horizontal="center" vertical="center" wrapText="1"/>
    </xf>
    <xf numFmtId="10" fontId="35" fillId="0" borderId="0" xfId="0" applyNumberFormat="1" applyFont="1" applyFill="1" applyBorder="1" applyAlignment="1">
      <alignment horizontal="center" vertical="center" wrapText="1"/>
    </xf>
    <xf numFmtId="10" fontId="33" fillId="0" borderId="0" xfId="0" applyNumberFormat="1" applyFont="1" applyAlignment="1">
      <alignment horizontal="center" vertical="center"/>
    </xf>
    <xf numFmtId="4" fontId="122" fillId="0" borderId="0" xfId="49420" applyNumberFormat="1" applyFont="1" applyFill="1" applyBorder="1" applyAlignment="1" applyProtection="1">
      <alignment horizontal="center" vertical="center" wrapText="1"/>
      <protection hidden="1"/>
    </xf>
    <xf numFmtId="10" fontId="35" fillId="94" borderId="4" xfId="0" applyNumberFormat="1" applyFont="1" applyFill="1" applyBorder="1" applyAlignment="1">
      <alignment horizontal="center" vertical="center"/>
    </xf>
    <xf numFmtId="0" fontId="35" fillId="96" borderId="4" xfId="0" applyFont="1" applyFill="1" applyBorder="1" applyAlignment="1">
      <alignment horizontal="center" vertical="center" wrapText="1"/>
    </xf>
    <xf numFmtId="0" fontId="35" fillId="96" borderId="4" xfId="0" applyFont="1" applyFill="1" applyBorder="1" applyAlignment="1">
      <alignment horizontal="left" vertical="center" wrapText="1"/>
    </xf>
    <xf numFmtId="164" fontId="35" fillId="96" borderId="4" xfId="0" applyNumberFormat="1" applyFont="1" applyFill="1" applyBorder="1" applyAlignment="1">
      <alignment horizontal="right" vertical="center"/>
    </xf>
    <xf numFmtId="164" fontId="35" fillId="96" borderId="4" xfId="0" applyNumberFormat="1" applyFont="1" applyFill="1" applyBorder="1" applyAlignment="1">
      <alignment horizontal="center" vertical="center"/>
    </xf>
    <xf numFmtId="44" fontId="35" fillId="96" borderId="4" xfId="0" applyNumberFormat="1" applyFont="1" applyFill="1" applyBorder="1" applyAlignment="1">
      <alignment horizontal="center" vertical="center"/>
    </xf>
    <xf numFmtId="10" fontId="35" fillId="96" borderId="4" xfId="0" applyNumberFormat="1" applyFont="1" applyFill="1" applyBorder="1" applyAlignment="1">
      <alignment horizontal="center" vertical="center"/>
    </xf>
    <xf numFmtId="0" fontId="33" fillId="96" borderId="0" xfId="0" applyFont="1" applyFill="1" applyBorder="1" applyAlignment="1">
      <alignment horizontal="center" vertical="center"/>
    </xf>
    <xf numFmtId="0" fontId="35" fillId="96" borderId="0" xfId="0" applyFont="1" applyFill="1" applyBorder="1" applyAlignment="1">
      <alignment horizontal="center" vertical="center"/>
    </xf>
    <xf numFmtId="0" fontId="35" fillId="96" borderId="4" xfId="180" applyFont="1" applyFill="1" applyBorder="1" applyAlignment="1">
      <alignment horizontal="left" vertical="center" wrapText="1"/>
    </xf>
    <xf numFmtId="0" fontId="35" fillId="94" borderId="4" xfId="180" applyFont="1" applyFill="1" applyBorder="1" applyAlignment="1">
      <alignment horizontal="left" vertical="center" wrapText="1"/>
    </xf>
    <xf numFmtId="0" fontId="35" fillId="94" borderId="0" xfId="0" applyFont="1" applyFill="1" applyBorder="1" applyAlignment="1">
      <alignment horizontal="center" vertical="center"/>
    </xf>
    <xf numFmtId="0" fontId="35" fillId="97" borderId="4" xfId="0" applyFont="1" applyFill="1" applyBorder="1" applyAlignment="1">
      <alignment horizontal="center" vertical="center" wrapText="1"/>
    </xf>
    <xf numFmtId="0" fontId="35" fillId="97" borderId="4" xfId="0" applyFont="1" applyFill="1" applyBorder="1" applyAlignment="1">
      <alignment horizontal="left" vertical="center" wrapText="1"/>
    </xf>
    <xf numFmtId="164" fontId="35" fillId="97" borderId="4" xfId="0" applyNumberFormat="1" applyFont="1" applyFill="1" applyBorder="1" applyAlignment="1">
      <alignment horizontal="center" vertical="center"/>
    </xf>
    <xf numFmtId="44" fontId="35" fillId="97" borderId="4" xfId="0" applyNumberFormat="1" applyFont="1" applyFill="1" applyBorder="1" applyAlignment="1">
      <alignment horizontal="center" vertical="center"/>
    </xf>
    <xf numFmtId="164" fontId="35" fillId="97" borderId="4" xfId="0" applyNumberFormat="1" applyFont="1" applyFill="1" applyBorder="1" applyAlignment="1">
      <alignment horizontal="right" vertical="center"/>
    </xf>
    <xf numFmtId="0" fontId="33" fillId="97" borderId="0" xfId="0" applyFont="1" applyFill="1" applyBorder="1" applyAlignment="1">
      <alignment horizontal="center" vertical="center"/>
    </xf>
    <xf numFmtId="0" fontId="35" fillId="97" borderId="4" xfId="180" applyFont="1" applyFill="1" applyBorder="1" applyAlignment="1">
      <alignment horizontal="left" vertical="center" wrapText="1"/>
    </xf>
    <xf numFmtId="10" fontId="35" fillId="97" borderId="4" xfId="0" applyNumberFormat="1" applyFont="1" applyFill="1" applyBorder="1" applyAlignment="1">
      <alignment horizontal="center" vertical="center"/>
    </xf>
    <xf numFmtId="10" fontId="33" fillId="0" borderId="0" xfId="0" applyNumberFormat="1" applyFont="1" applyFill="1" applyBorder="1" applyAlignment="1">
      <alignment horizontal="center" vertical="center"/>
    </xf>
    <xf numFmtId="164" fontId="33" fillId="0" borderId="0" xfId="1089" applyNumberFormat="1" applyFont="1" applyAlignment="1">
      <alignment vertical="center"/>
    </xf>
    <xf numFmtId="164" fontId="23" fillId="0" borderId="0" xfId="1089" applyNumberFormat="1"/>
    <xf numFmtId="0" fontId="36" fillId="11" borderId="5" xfId="0" applyFont="1" applyFill="1" applyBorder="1" applyAlignment="1">
      <alignment horizontal="center" vertical="center" wrapText="1"/>
    </xf>
    <xf numFmtId="0" fontId="36" fillId="11" borderId="8" xfId="0" applyFont="1" applyFill="1" applyBorder="1" applyAlignment="1">
      <alignment horizontal="center" vertical="center" wrapText="1"/>
    </xf>
    <xf numFmtId="0" fontId="36" fillId="6" borderId="4" xfId="0" applyFont="1" applyFill="1" applyBorder="1" applyAlignment="1">
      <alignment horizontal="left" vertical="center" wrapText="1"/>
    </xf>
    <xf numFmtId="0" fontId="36" fillId="0" borderId="4" xfId="0" applyFont="1" applyFill="1" applyBorder="1" applyAlignment="1">
      <alignment horizontal="left" vertical="center" wrapText="1"/>
    </xf>
    <xf numFmtId="1" fontId="35" fillId="0" borderId="4" xfId="0" applyNumberFormat="1" applyFont="1" applyFill="1" applyBorder="1" applyAlignment="1">
      <alignment horizontal="center" vertical="center" wrapText="1"/>
    </xf>
    <xf numFmtId="0" fontId="35" fillId="0" borderId="0" xfId="0" applyNumberFormat="1" applyFont="1" applyAlignment="1">
      <alignment horizontal="center" vertical="center"/>
    </xf>
    <xf numFmtId="0" fontId="35" fillId="0" borderId="0" xfId="0" applyNumberFormat="1" applyFont="1" applyAlignment="1">
      <alignment horizontal="center" vertical="center" wrapText="1"/>
    </xf>
    <xf numFmtId="0" fontId="35" fillId="6" borderId="0" xfId="0" applyNumberFormat="1" applyFont="1" applyFill="1" applyAlignment="1">
      <alignment horizontal="left" vertical="center" wrapText="1"/>
    </xf>
    <xf numFmtId="0" fontId="59" fillId="0" borderId="0" xfId="0" applyNumberFormat="1" applyFont="1" applyAlignment="1">
      <alignment horizontal="center" vertical="center"/>
    </xf>
    <xf numFmtId="0" fontId="36" fillId="5" borderId="0" xfId="0" applyNumberFormat="1" applyFont="1" applyFill="1" applyBorder="1" applyAlignment="1">
      <alignment horizontal="center" vertical="center" wrapText="1"/>
    </xf>
    <xf numFmtId="0" fontId="35" fillId="6" borderId="0" xfId="0" applyNumberFormat="1" applyFont="1" applyFill="1" applyAlignment="1">
      <alignment horizontal="center" vertical="center"/>
    </xf>
    <xf numFmtId="0" fontId="36" fillId="0" borderId="0" xfId="0" applyFont="1" applyBorder="1" applyAlignment="1">
      <alignment horizontal="center" vertical="center"/>
    </xf>
    <xf numFmtId="0" fontId="36" fillId="0" borderId="0" xfId="0" applyFont="1" applyBorder="1" applyAlignment="1">
      <alignment horizontal="justify" vertical="center" wrapText="1"/>
    </xf>
    <xf numFmtId="0" fontId="39" fillId="0" borderId="0" xfId="0" applyFont="1" applyBorder="1" applyAlignment="1">
      <alignment horizontal="center" vertical="center"/>
    </xf>
    <xf numFmtId="0" fontId="35" fillId="0" borderId="0" xfId="0" applyFont="1" applyBorder="1" applyAlignment="1">
      <alignment horizontal="left" vertical="center" wrapText="1"/>
    </xf>
    <xf numFmtId="0" fontId="35" fillId="0" borderId="0" xfId="0" applyFont="1" applyBorder="1" applyAlignment="1">
      <alignment horizontal="center" vertical="center" wrapText="1"/>
    </xf>
    <xf numFmtId="0" fontId="33" fillId="0" borderId="0" xfId="0" applyFont="1" applyBorder="1" applyAlignment="1">
      <alignment horizontal="left" vertical="center" wrapText="1"/>
    </xf>
    <xf numFmtId="0" fontId="34" fillId="0" borderId="0" xfId="0" applyFont="1" applyBorder="1" applyAlignment="1">
      <alignment horizontal="center" vertical="center"/>
    </xf>
    <xf numFmtId="0" fontId="0" fillId="0" borderId="0" xfId="0"/>
    <xf numFmtId="0" fontId="35" fillId="0" borderId="0" xfId="0" applyFont="1" applyBorder="1" applyAlignment="1">
      <alignment horizontal="left" vertical="center" wrapText="1"/>
    </xf>
    <xf numFmtId="0" fontId="35" fillId="0" borderId="0" xfId="0" applyNumberFormat="1" applyFont="1" applyBorder="1" applyAlignment="1">
      <alignment horizontal="left" vertical="center" wrapText="1"/>
    </xf>
    <xf numFmtId="0" fontId="35" fillId="0" borderId="0" xfId="0" applyFont="1" applyFill="1" applyBorder="1" applyAlignment="1">
      <alignment horizontal="left" vertical="center" wrapText="1"/>
    </xf>
    <xf numFmtId="0" fontId="35" fillId="0" borderId="0" xfId="0" applyFont="1" applyBorder="1" applyAlignment="1">
      <alignment horizontal="center" wrapText="1"/>
    </xf>
    <xf numFmtId="0" fontId="133" fillId="0" borderId="0" xfId="0" applyFont="1" applyFill="1" applyBorder="1" applyAlignment="1">
      <alignment horizontal="center" vertical="center" wrapText="1"/>
    </xf>
    <xf numFmtId="0" fontId="34" fillId="0" borderId="0" xfId="0" applyFont="1" applyFill="1" applyBorder="1" applyAlignment="1">
      <alignment horizontal="left" vertical="center" wrapText="1"/>
    </xf>
    <xf numFmtId="2" fontId="134" fillId="0" borderId="0" xfId="0" applyNumberFormat="1" applyFont="1" applyFill="1" applyBorder="1" applyAlignment="1">
      <alignment horizontal="center" vertical="center"/>
    </xf>
    <xf numFmtId="165" fontId="133" fillId="0" borderId="0" xfId="0" applyNumberFormat="1" applyFont="1" applyBorder="1" applyAlignment="1">
      <alignment horizontal="center" vertical="center"/>
    </xf>
    <xf numFmtId="0" fontId="34" fillId="0" borderId="0" xfId="0" applyFont="1" applyBorder="1" applyAlignment="1">
      <alignment horizontal="center" vertical="center" wrapText="1"/>
    </xf>
    <xf numFmtId="0" fontId="34" fillId="0" borderId="0" xfId="0" applyFont="1" applyBorder="1" applyAlignment="1">
      <alignment horizontal="left" vertical="center" wrapText="1"/>
    </xf>
    <xf numFmtId="2" fontId="34" fillId="0" borderId="0" xfId="0" applyNumberFormat="1" applyFont="1" applyFill="1" applyBorder="1" applyAlignment="1">
      <alignment horizontal="center" vertical="center"/>
    </xf>
    <xf numFmtId="164" fontId="34" fillId="0" borderId="0" xfId="0" applyNumberFormat="1" applyFont="1" applyBorder="1" applyAlignment="1">
      <alignment horizontal="right" vertical="center"/>
    </xf>
    <xf numFmtId="165" fontId="34" fillId="0" borderId="0" xfId="0" applyNumberFormat="1" applyFont="1" applyBorder="1" applyAlignment="1">
      <alignment horizontal="center" vertical="center"/>
    </xf>
    <xf numFmtId="0" fontId="34" fillId="0" borderId="0" xfId="0" applyFont="1" applyBorder="1" applyAlignment="1">
      <alignment horizontal="left" vertical="center"/>
    </xf>
    <xf numFmtId="10" fontId="33" fillId="0" borderId="0" xfId="0" applyNumberFormat="1" applyFont="1" applyBorder="1" applyAlignment="1">
      <alignment horizontal="left" vertical="center" wrapText="1"/>
    </xf>
    <xf numFmtId="2" fontId="33" fillId="0" borderId="0" xfId="0" applyNumberFormat="1" applyFont="1" applyFill="1" applyBorder="1" applyAlignment="1">
      <alignment horizontal="left" vertical="center" wrapText="1"/>
    </xf>
    <xf numFmtId="0" fontId="0" fillId="0" borderId="0" xfId="0" applyFont="1"/>
    <xf numFmtId="165" fontId="34" fillId="0" borderId="0" xfId="0" applyNumberFormat="1" applyFont="1" applyFill="1" applyBorder="1" applyAlignment="1">
      <alignment horizontal="center" vertical="center"/>
    </xf>
    <xf numFmtId="0" fontId="130" fillId="12" borderId="8" xfId="0" applyFont="1" applyFill="1" applyBorder="1" applyAlignment="1">
      <alignment horizontal="center" vertical="center" wrapText="1"/>
    </xf>
    <xf numFmtId="0" fontId="34" fillId="11" borderId="8" xfId="0" applyFont="1" applyFill="1" applyBorder="1" applyAlignment="1">
      <alignment horizontal="center" vertical="center" wrapText="1"/>
    </xf>
    <xf numFmtId="0" fontId="34" fillId="11" borderId="3" xfId="0" applyFont="1" applyFill="1" applyBorder="1" applyAlignment="1">
      <alignment horizontal="center" vertical="center" wrapText="1"/>
    </xf>
    <xf numFmtId="2" fontId="34" fillId="11" borderId="3" xfId="0" applyNumberFormat="1" applyFont="1" applyFill="1" applyBorder="1" applyAlignment="1">
      <alignment horizontal="center" vertical="center"/>
    </xf>
    <xf numFmtId="167" fontId="34" fillId="11" borderId="3" xfId="0" applyNumberFormat="1" applyFont="1" applyFill="1" applyBorder="1" applyAlignment="1">
      <alignment horizontal="center" vertical="center" wrapText="1"/>
    </xf>
    <xf numFmtId="164" fontId="34" fillId="11" borderId="5" xfId="0" applyNumberFormat="1" applyFont="1" applyFill="1" applyBorder="1" applyAlignment="1">
      <alignment horizontal="center" vertical="center" wrapText="1"/>
    </xf>
    <xf numFmtId="0" fontId="34" fillId="6" borderId="4" xfId="0" applyFont="1" applyFill="1" applyBorder="1" applyAlignment="1">
      <alignment horizontal="center" vertical="center" wrapText="1"/>
    </xf>
    <xf numFmtId="0" fontId="33" fillId="0" borderId="4" xfId="0" applyFont="1" applyFill="1" applyBorder="1" applyAlignment="1">
      <alignment horizontal="center" vertical="center" wrapText="1"/>
    </xf>
    <xf numFmtId="1" fontId="33" fillId="0" borderId="4" xfId="0" applyNumberFormat="1" applyFont="1" applyFill="1" applyBorder="1" applyAlignment="1">
      <alignment horizontal="center" vertical="center" wrapText="1"/>
    </xf>
    <xf numFmtId="0" fontId="33" fillId="0" borderId="4" xfId="0" applyFont="1" applyFill="1" applyBorder="1" applyAlignment="1">
      <alignment horizontal="left" vertical="center" wrapText="1"/>
    </xf>
    <xf numFmtId="2" fontId="33" fillId="0" borderId="4" xfId="0" applyNumberFormat="1" applyFont="1" applyFill="1" applyBorder="1" applyAlignment="1">
      <alignment horizontal="center" vertical="center"/>
    </xf>
    <xf numFmtId="165" fontId="33" fillId="0" borderId="4" xfId="0" applyNumberFormat="1" applyFont="1" applyFill="1" applyBorder="1" applyAlignment="1">
      <alignment horizontal="center" vertical="center"/>
    </xf>
    <xf numFmtId="164" fontId="33" fillId="0" borderId="4" xfId="0" applyNumberFormat="1" applyFont="1" applyFill="1" applyBorder="1" applyAlignment="1">
      <alignment horizontal="center" vertical="center"/>
    </xf>
    <xf numFmtId="44" fontId="33" fillId="0" borderId="4" xfId="0" applyNumberFormat="1" applyFont="1" applyFill="1" applyBorder="1" applyAlignment="1">
      <alignment horizontal="center" vertical="center"/>
    </xf>
    <xf numFmtId="164" fontId="33" fillId="0" borderId="4" xfId="0" applyNumberFormat="1" applyFont="1" applyFill="1" applyBorder="1" applyAlignment="1">
      <alignment horizontal="right" vertical="center"/>
    </xf>
    <xf numFmtId="164" fontId="34" fillId="6" borderId="4" xfId="0" applyNumberFormat="1" applyFont="1" applyFill="1" applyBorder="1" applyAlignment="1">
      <alignment horizontal="center" vertical="center"/>
    </xf>
    <xf numFmtId="0" fontId="34" fillId="0" borderId="4" xfId="0" applyFont="1" applyBorder="1" applyAlignment="1">
      <alignment horizontal="right" vertical="center" wrapText="1"/>
    </xf>
    <xf numFmtId="2" fontId="34" fillId="0" borderId="4" xfId="0" applyNumberFormat="1" applyFont="1" applyFill="1" applyBorder="1" applyAlignment="1">
      <alignment horizontal="right" vertical="center" wrapText="1"/>
    </xf>
    <xf numFmtId="44" fontId="34" fillId="0" borderId="4" xfId="0" applyNumberFormat="1" applyFont="1" applyBorder="1" applyAlignment="1">
      <alignment horizontal="center" vertical="center"/>
    </xf>
    <xf numFmtId="164" fontId="34" fillId="0" borderId="4" xfId="0" applyNumberFormat="1" applyFont="1" applyBorder="1" applyAlignment="1">
      <alignment horizontal="center" vertical="center"/>
    </xf>
    <xf numFmtId="164" fontId="34" fillId="10" borderId="4" xfId="0" applyNumberFormat="1" applyFont="1" applyFill="1" applyBorder="1" applyAlignment="1">
      <alignment horizontal="center" vertical="center"/>
    </xf>
    <xf numFmtId="167" fontId="33" fillId="0" borderId="4" xfId="0" applyNumberFormat="1" applyFont="1" applyBorder="1" applyAlignment="1">
      <alignment horizontal="center" vertical="center"/>
    </xf>
    <xf numFmtId="164" fontId="33" fillId="0" borderId="4" xfId="0" applyNumberFormat="1" applyFont="1" applyBorder="1" applyAlignment="1">
      <alignment horizontal="right" vertical="center"/>
    </xf>
    <xf numFmtId="0" fontId="34" fillId="0" borderId="4" xfId="0" applyFont="1" applyFill="1" applyBorder="1" applyAlignment="1">
      <alignment horizontal="center" vertical="center" wrapText="1"/>
    </xf>
    <xf numFmtId="0" fontId="34" fillId="9" borderId="4" xfId="0" applyFont="1" applyFill="1" applyBorder="1" applyAlignment="1">
      <alignment horizontal="center" vertical="center" wrapText="1"/>
    </xf>
    <xf numFmtId="164" fontId="34" fillId="9" borderId="4" xfId="0" applyNumberFormat="1" applyFont="1" applyFill="1" applyBorder="1" applyAlignment="1">
      <alignment horizontal="right" vertical="center"/>
    </xf>
    <xf numFmtId="0" fontId="33" fillId="0" borderId="0" xfId="0" applyFont="1" applyFill="1" applyBorder="1" applyAlignment="1">
      <alignment horizontal="center" vertical="center" wrapText="1"/>
    </xf>
    <xf numFmtId="2" fontId="34" fillId="0" borderId="0" xfId="0" applyNumberFormat="1" applyFont="1" applyFill="1" applyBorder="1" applyAlignment="1">
      <alignment horizontal="center" vertical="center" wrapText="1"/>
    </xf>
    <xf numFmtId="44" fontId="36" fillId="5" borderId="0" xfId="1" applyFont="1" applyFill="1" applyBorder="1" applyAlignment="1">
      <alignment vertical="center"/>
    </xf>
    <xf numFmtId="44" fontId="2" fillId="6" borderId="0" xfId="1" applyFont="1" applyFill="1" applyBorder="1" applyAlignment="1">
      <alignment vertical="center"/>
    </xf>
    <xf numFmtId="2" fontId="2" fillId="6" borderId="0" xfId="1" applyNumberFormat="1" applyFont="1" applyFill="1" applyBorder="1" applyAlignment="1">
      <alignment vertical="center"/>
    </xf>
    <xf numFmtId="44" fontId="36" fillId="5" borderId="0" xfId="1" applyFont="1" applyFill="1" applyBorder="1" applyAlignment="1">
      <alignment horizontal="center" vertical="center"/>
    </xf>
    <xf numFmtId="164" fontId="35" fillId="0" borderId="0" xfId="0" applyNumberFormat="1" applyFont="1" applyFill="1" applyBorder="1"/>
    <xf numFmtId="0" fontId="28" fillId="13" borderId="12" xfId="1089" applyFont="1" applyFill="1" applyBorder="1" applyAlignment="1">
      <alignment horizontal="center" vertical="center"/>
    </xf>
    <xf numFmtId="0" fontId="28" fillId="13" borderId="6" xfId="1089" applyFont="1" applyFill="1" applyBorder="1" applyAlignment="1">
      <alignment horizontal="center" vertical="center"/>
    </xf>
    <xf numFmtId="0" fontId="28" fillId="13" borderId="12" xfId="1089" applyFont="1" applyFill="1" applyBorder="1" applyAlignment="1">
      <alignment horizontal="center" vertical="center" wrapText="1"/>
    </xf>
    <xf numFmtId="0" fontId="28" fillId="13" borderId="6" xfId="1089" applyFont="1" applyFill="1" applyBorder="1" applyAlignment="1">
      <alignment horizontal="center" vertical="center" wrapText="1"/>
    </xf>
    <xf numFmtId="0" fontId="36" fillId="0" borderId="0" xfId="1089" applyFont="1" applyAlignment="1">
      <alignment horizontal="center" vertical="center" wrapText="1"/>
    </xf>
    <xf numFmtId="0" fontId="36" fillId="0" borderId="0" xfId="1089" applyFont="1" applyAlignment="1">
      <alignment horizontal="left" vertical="center" wrapText="1"/>
    </xf>
    <xf numFmtId="2" fontId="36" fillId="0" borderId="0" xfId="1089" applyNumberFormat="1" applyFont="1" applyAlignment="1">
      <alignment horizontal="center" vertical="center"/>
    </xf>
    <xf numFmtId="0" fontId="36" fillId="0" borderId="0" xfId="1089" applyFont="1" applyAlignment="1">
      <alignment horizontal="center" vertical="center"/>
    </xf>
    <xf numFmtId="164" fontId="36" fillId="0" borderId="0" xfId="1089" applyNumberFormat="1" applyFont="1" applyAlignment="1">
      <alignment horizontal="center" vertical="center"/>
    </xf>
    <xf numFmtId="167" fontId="36" fillId="0" borderId="0" xfId="1089" applyNumberFormat="1" applyFont="1" applyAlignment="1">
      <alignment horizontal="center" vertical="center"/>
    </xf>
    <xf numFmtId="164" fontId="36" fillId="0" borderId="0" xfId="1089" applyNumberFormat="1" applyFont="1" applyAlignment="1">
      <alignment horizontal="right" vertical="center"/>
    </xf>
    <xf numFmtId="165" fontId="36" fillId="0" borderId="0" xfId="1089" applyNumberFormat="1" applyFont="1" applyAlignment="1">
      <alignment horizontal="center" vertical="center"/>
    </xf>
    <xf numFmtId="164" fontId="35" fillId="0" borderId="0" xfId="1089" applyNumberFormat="1" applyFont="1" applyAlignment="1">
      <alignment horizontal="center" vertical="center"/>
    </xf>
    <xf numFmtId="167" fontId="35" fillId="0" borderId="0" xfId="1089" applyNumberFormat="1" applyFont="1" applyAlignment="1">
      <alignment horizontal="center" vertical="center"/>
    </xf>
    <xf numFmtId="164" fontId="35" fillId="0" borderId="0" xfId="1089" applyNumberFormat="1" applyFont="1" applyAlignment="1">
      <alignment horizontal="right" vertical="center"/>
    </xf>
    <xf numFmtId="0" fontId="39" fillId="0" borderId="0" xfId="1089" applyFont="1" applyAlignment="1">
      <alignment horizontal="center" vertical="center"/>
    </xf>
    <xf numFmtId="0" fontId="36" fillId="0" borderId="0" xfId="1089" applyFont="1" applyAlignment="1">
      <alignment vertical="center" wrapText="1"/>
    </xf>
    <xf numFmtId="17" fontId="35" fillId="0" borderId="0" xfId="1089" applyNumberFormat="1" applyFont="1" applyAlignment="1">
      <alignment horizontal="left" vertical="center" wrapText="1"/>
    </xf>
    <xf numFmtId="0" fontId="35" fillId="0" borderId="0" xfId="1089" applyFont="1" applyAlignment="1">
      <alignment horizontal="left" vertical="center" wrapText="1"/>
    </xf>
    <xf numFmtId="0" fontId="28" fillId="13" borderId="60" xfId="1089" applyFont="1" applyFill="1" applyBorder="1" applyAlignment="1">
      <alignment horizontal="center" vertical="center" wrapText="1"/>
    </xf>
    <xf numFmtId="0" fontId="32" fillId="0" borderId="19" xfId="1089" applyFont="1" applyBorder="1" applyAlignment="1">
      <alignment horizontal="center" vertical="center" textRotation="90"/>
    </xf>
    <xf numFmtId="0" fontId="28" fillId="13" borderId="61" xfId="1089" applyFont="1" applyFill="1" applyBorder="1" applyAlignment="1">
      <alignment horizontal="center" vertical="center" wrapText="1"/>
    </xf>
    <xf numFmtId="0" fontId="32" fillId="0" borderId="26" xfId="1089" applyFont="1" applyBorder="1" applyAlignment="1">
      <alignment horizontal="center" vertical="center" textRotation="90"/>
    </xf>
    <xf numFmtId="0" fontId="28" fillId="93" borderId="0" xfId="1089" applyFont="1" applyFill="1" applyAlignment="1">
      <alignment vertical="center"/>
    </xf>
    <xf numFmtId="0" fontId="1" fillId="0" borderId="14" xfId="1089" applyFont="1" applyBorder="1" applyAlignment="1">
      <alignment horizontal="center" vertical="center"/>
    </xf>
    <xf numFmtId="0" fontId="1" fillId="0" borderId="14" xfId="1089" applyFont="1" applyBorder="1" applyAlignment="1">
      <alignment horizontal="left" vertical="center" wrapText="1"/>
    </xf>
    <xf numFmtId="10" fontId="1" fillId="0" borderId="12" xfId="1089" applyNumberFormat="1" applyFont="1" applyBorder="1" applyAlignment="1">
      <alignment horizontal="center" vertical="center"/>
    </xf>
    <xf numFmtId="167" fontId="1" fillId="0" borderId="12" xfId="1089" applyNumberFormat="1" applyFont="1" applyBorder="1" applyAlignment="1">
      <alignment horizontal="center" vertical="center"/>
    </xf>
    <xf numFmtId="167" fontId="1" fillId="0" borderId="8" xfId="1089" applyNumberFormat="1" applyFont="1" applyBorder="1" applyAlignment="1">
      <alignment horizontal="center" vertical="center"/>
    </xf>
    <xf numFmtId="0" fontId="1" fillId="0" borderId="13" xfId="1089" applyFont="1" applyBorder="1" applyAlignment="1">
      <alignment horizontal="center" vertical="center"/>
    </xf>
    <xf numFmtId="0" fontId="1" fillId="0" borderId="13" xfId="1089" applyFont="1" applyBorder="1" applyAlignment="1">
      <alignment horizontal="left" vertical="center" wrapText="1"/>
    </xf>
    <xf numFmtId="10" fontId="1" fillId="0" borderId="6" xfId="1089" applyNumberFormat="1" applyFont="1" applyBorder="1" applyAlignment="1">
      <alignment horizontal="center" vertical="center"/>
    </xf>
    <xf numFmtId="167" fontId="1" fillId="0" borderId="6" xfId="1089" applyNumberFormat="1" applyFont="1" applyBorder="1" applyAlignment="1">
      <alignment horizontal="center" vertical="center"/>
    </xf>
    <xf numFmtId="10" fontId="23" fillId="0" borderId="0" xfId="53503" applyNumberFormat="1" applyFont="1" applyAlignment="1">
      <alignment horizontal="center"/>
    </xf>
    <xf numFmtId="10" fontId="1" fillId="0" borderId="8" xfId="1089" applyNumberFormat="1" applyFont="1" applyBorder="1" applyAlignment="1">
      <alignment horizontal="center" vertical="center"/>
    </xf>
    <xf numFmtId="167" fontId="35" fillId="0" borderId="12" xfId="1089" applyNumberFormat="1" applyFont="1" applyBorder="1" applyAlignment="1">
      <alignment horizontal="center" vertical="center"/>
    </xf>
    <xf numFmtId="167" fontId="35" fillId="0" borderId="6" xfId="1089" applyNumberFormat="1" applyFont="1" applyBorder="1" applyAlignment="1">
      <alignment horizontal="center" vertical="center"/>
    </xf>
    <xf numFmtId="10" fontId="1" fillId="0" borderId="3" xfId="1089" applyNumberFormat="1" applyFont="1" applyBorder="1" applyAlignment="1">
      <alignment horizontal="center" vertical="center"/>
    </xf>
    <xf numFmtId="0" fontId="1" fillId="0" borderId="7" xfId="1089" applyFont="1" applyBorder="1" applyAlignment="1">
      <alignment horizontal="center" vertical="center"/>
    </xf>
    <xf numFmtId="0" fontId="1" fillId="0" borderId="12" xfId="1089" applyFont="1" applyBorder="1" applyAlignment="1">
      <alignment horizontal="center" vertical="center"/>
    </xf>
    <xf numFmtId="0" fontId="1" fillId="0" borderId="11" xfId="1089" applyFont="1" applyBorder="1" applyAlignment="1">
      <alignment horizontal="center" vertical="center"/>
    </xf>
    <xf numFmtId="0" fontId="1" fillId="0" borderId="6" xfId="1089" applyFont="1" applyBorder="1" applyAlignment="1">
      <alignment horizontal="center" vertical="center"/>
    </xf>
    <xf numFmtId="10" fontId="23" fillId="0" borderId="0" xfId="53504" applyNumberFormat="1" applyFont="1" applyBorder="1"/>
    <xf numFmtId="0" fontId="36" fillId="0" borderId="0" xfId="0" applyFont="1" applyBorder="1" applyAlignment="1">
      <alignment horizontal="center" vertical="center"/>
    </xf>
    <xf numFmtId="0" fontId="44" fillId="0" borderId="0" xfId="0" applyFont="1" applyBorder="1" applyAlignment="1">
      <alignment horizontal="center"/>
    </xf>
    <xf numFmtId="0" fontId="45" fillId="0" borderId="0" xfId="0" applyFont="1" applyAlignment="1">
      <alignment horizontal="center"/>
    </xf>
    <xf numFmtId="0" fontId="36" fillId="0" borderId="0" xfId="0" applyFont="1" applyBorder="1" applyAlignment="1">
      <alignment horizontal="justify" vertical="center" wrapText="1"/>
    </xf>
    <xf numFmtId="0" fontId="39" fillId="0" borderId="0" xfId="0" applyFont="1" applyBorder="1" applyAlignment="1">
      <alignment horizontal="center" vertical="center"/>
    </xf>
    <xf numFmtId="17" fontId="35" fillId="0" borderId="0" xfId="0" applyNumberFormat="1" applyFont="1" applyBorder="1" applyAlignment="1">
      <alignment horizontal="left" vertical="center" wrapText="1"/>
    </xf>
    <xf numFmtId="0" fontId="35" fillId="0" borderId="0" xfId="0" applyFont="1" applyBorder="1" applyAlignment="1">
      <alignment horizontal="left" vertical="center" wrapText="1"/>
    </xf>
    <xf numFmtId="0" fontId="36" fillId="11" borderId="5" xfId="0" applyFont="1" applyFill="1" applyBorder="1" applyAlignment="1">
      <alignment horizontal="center" vertical="center" wrapText="1"/>
    </xf>
    <xf numFmtId="0" fontId="36" fillId="11" borderId="8" xfId="0" applyFont="1" applyFill="1" applyBorder="1" applyAlignment="1">
      <alignment horizontal="center" vertical="center" wrapText="1"/>
    </xf>
    <xf numFmtId="17" fontId="35" fillId="0" borderId="0" xfId="0" applyNumberFormat="1" applyFont="1" applyFill="1" applyBorder="1" applyAlignment="1">
      <alignment horizontal="left" vertical="center" wrapText="1"/>
    </xf>
    <xf numFmtId="0" fontId="35" fillId="0" borderId="0" xfId="0" applyFont="1" applyFill="1" applyBorder="1" applyAlignment="1">
      <alignment horizontal="left" vertical="center" wrapText="1"/>
    </xf>
    <xf numFmtId="0" fontId="41" fillId="3" borderId="5" xfId="0" applyFont="1" applyFill="1" applyBorder="1" applyAlignment="1">
      <alignment horizontal="center" vertical="center"/>
    </xf>
    <xf numFmtId="0" fontId="41" fillId="3" borderId="4" xfId="0" applyFont="1" applyFill="1" applyBorder="1" applyAlignment="1">
      <alignment horizontal="center" vertical="center"/>
    </xf>
    <xf numFmtId="0" fontId="36" fillId="0" borderId="4" xfId="0" applyFont="1" applyFill="1" applyBorder="1" applyAlignment="1">
      <alignment horizontal="left" vertical="center" wrapText="1"/>
    </xf>
    <xf numFmtId="0" fontId="36" fillId="6" borderId="4" xfId="0" applyFont="1" applyFill="1" applyBorder="1" applyAlignment="1">
      <alignment horizontal="left" vertical="center" wrapText="1"/>
    </xf>
    <xf numFmtId="0" fontId="36" fillId="6" borderId="4" xfId="0" applyFont="1" applyFill="1" applyBorder="1" applyAlignment="1">
      <alignment horizontal="right" vertical="center" wrapText="1"/>
    </xf>
    <xf numFmtId="0" fontId="36" fillId="10" borderId="4" xfId="0" applyFont="1" applyFill="1" applyBorder="1" applyAlignment="1">
      <alignment horizontal="right" vertical="center" wrapText="1"/>
    </xf>
    <xf numFmtId="0" fontId="36" fillId="9" borderId="4" xfId="0" applyFont="1" applyFill="1" applyBorder="1" applyAlignment="1">
      <alignment horizontal="right" vertical="center" wrapText="1"/>
    </xf>
    <xf numFmtId="10" fontId="36" fillId="9" borderId="4" xfId="0" applyNumberFormat="1" applyFont="1" applyFill="1" applyBorder="1" applyAlignment="1">
      <alignment horizontal="right" vertical="center" wrapText="1"/>
    </xf>
    <xf numFmtId="1" fontId="35" fillId="0" borderId="4" xfId="0" applyNumberFormat="1" applyFont="1" applyFill="1" applyBorder="1" applyAlignment="1">
      <alignment horizontal="center" vertical="center" wrapText="1"/>
    </xf>
    <xf numFmtId="0" fontId="33" fillId="0" borderId="0" xfId="0" applyFont="1" applyBorder="1" applyAlignment="1">
      <alignment horizontal="left" vertical="center" wrapText="1"/>
    </xf>
    <xf numFmtId="0" fontId="34" fillId="0" borderId="0" xfId="0" applyFont="1" applyBorder="1" applyAlignment="1">
      <alignment horizontal="center" vertical="center"/>
    </xf>
    <xf numFmtId="0" fontId="34" fillId="6" borderId="4" xfId="0" applyFont="1" applyFill="1" applyBorder="1" applyAlignment="1">
      <alignment horizontal="left" vertical="center" wrapText="1"/>
    </xf>
    <xf numFmtId="0" fontId="34" fillId="0" borderId="0" xfId="0" applyFont="1" applyBorder="1" applyAlignment="1">
      <alignment horizontal="justify" vertical="center" wrapText="1"/>
    </xf>
    <xf numFmtId="0" fontId="135" fillId="3" borderId="5" xfId="0" applyFont="1" applyFill="1" applyBorder="1" applyAlignment="1">
      <alignment horizontal="center" vertical="center"/>
    </xf>
    <xf numFmtId="0" fontId="135" fillId="3" borderId="4" xfId="0" applyFont="1" applyFill="1" applyBorder="1" applyAlignment="1">
      <alignment horizontal="center" vertical="center"/>
    </xf>
    <xf numFmtId="0" fontId="34" fillId="11" borderId="5" xfId="0" applyFont="1" applyFill="1" applyBorder="1" applyAlignment="1">
      <alignment horizontal="center" vertical="center" wrapText="1"/>
    </xf>
    <xf numFmtId="0" fontId="34" fillId="11" borderId="8" xfId="0" applyFont="1" applyFill="1" applyBorder="1" applyAlignment="1">
      <alignment horizontal="center" vertical="center" wrapText="1"/>
    </xf>
    <xf numFmtId="0" fontId="34" fillId="6" borderId="4" xfId="0" applyFont="1" applyFill="1" applyBorder="1" applyAlignment="1">
      <alignment horizontal="right" vertical="center" wrapText="1"/>
    </xf>
    <xf numFmtId="0" fontId="34" fillId="10" borderId="4" xfId="0" applyFont="1" applyFill="1" applyBorder="1" applyAlignment="1">
      <alignment horizontal="right" vertical="center" wrapText="1"/>
    </xf>
    <xf numFmtId="0" fontId="34" fillId="0" borderId="4" xfId="0" applyFont="1" applyFill="1" applyBorder="1" applyAlignment="1">
      <alignment horizontal="left" vertical="center" wrapText="1"/>
    </xf>
    <xf numFmtId="0" fontId="34" fillId="9" borderId="4" xfId="0" applyFont="1" applyFill="1" applyBorder="1" applyAlignment="1">
      <alignment horizontal="right" vertical="center" wrapText="1"/>
    </xf>
    <xf numFmtId="10" fontId="34" fillId="9" borderId="4" xfId="0" applyNumberFormat="1" applyFont="1" applyFill="1" applyBorder="1" applyAlignment="1">
      <alignment horizontal="right" vertical="center" wrapText="1"/>
    </xf>
    <xf numFmtId="4" fontId="32" fillId="6" borderId="0" xfId="0" applyNumberFormat="1" applyFont="1" applyFill="1" applyBorder="1" applyAlignment="1">
      <alignment horizontal="right" wrapText="1"/>
    </xf>
    <xf numFmtId="4" fontId="2" fillId="6" borderId="0" xfId="0" applyNumberFormat="1" applyFont="1" applyFill="1" applyBorder="1" applyAlignment="1">
      <alignment horizontal="right" wrapText="1"/>
    </xf>
    <xf numFmtId="0" fontId="28" fillId="7" borderId="0" xfId="0" applyFont="1" applyFill="1" applyAlignment="1">
      <alignment horizontal="center" vertical="center"/>
    </xf>
    <xf numFmtId="0" fontId="35" fillId="0" borderId="0" xfId="0" applyNumberFormat="1" applyFont="1" applyAlignment="1">
      <alignment horizontal="center" vertical="center"/>
    </xf>
    <xf numFmtId="0" fontId="35" fillId="0" borderId="0" xfId="0" applyNumberFormat="1" applyFont="1" applyAlignment="1">
      <alignment horizontal="center" vertical="center" wrapText="1"/>
    </xf>
    <xf numFmtId="0" fontId="35" fillId="0" borderId="0" xfId="0" applyNumberFormat="1" applyFont="1" applyFill="1" applyAlignment="1">
      <alignment horizontal="center" vertical="center" wrapText="1"/>
    </xf>
    <xf numFmtId="0" fontId="35" fillId="6" borderId="0" xfId="0" applyNumberFormat="1" applyFont="1" applyFill="1" applyAlignment="1">
      <alignment horizontal="left" vertical="center" wrapText="1"/>
    </xf>
    <xf numFmtId="0" fontId="59" fillId="0" borderId="0" xfId="0" applyNumberFormat="1" applyFont="1" applyAlignment="1">
      <alignment horizontal="center" vertical="center"/>
    </xf>
    <xf numFmtId="0" fontId="36" fillId="5" borderId="0" xfId="0" applyNumberFormat="1" applyFont="1" applyFill="1" applyBorder="1" applyAlignment="1">
      <alignment horizontal="center" vertical="center" wrapText="1"/>
    </xf>
    <xf numFmtId="0" fontId="35" fillId="6" borderId="0" xfId="0" applyNumberFormat="1" applyFont="1" applyFill="1" applyAlignment="1">
      <alignment horizontal="center" vertical="center"/>
    </xf>
    <xf numFmtId="0" fontId="129" fillId="0" borderId="0" xfId="0" applyFont="1" applyFill="1" applyBorder="1" applyAlignment="1">
      <alignment horizontal="center" vertical="center"/>
    </xf>
    <xf numFmtId="0" fontId="32" fillId="0" borderId="19" xfId="1089" applyFont="1" applyBorder="1" applyAlignment="1">
      <alignment horizontal="center" vertical="center" textRotation="90"/>
    </xf>
    <xf numFmtId="0" fontId="32" fillId="0" borderId="26" xfId="1089" applyFont="1" applyBorder="1" applyAlignment="1">
      <alignment horizontal="center" vertical="center" textRotation="90"/>
    </xf>
    <xf numFmtId="0" fontId="124" fillId="14" borderId="4" xfId="419" applyNumberFormat="1" applyFont="1" applyFill="1" applyBorder="1" applyAlignment="1" applyProtection="1">
      <alignment horizontal="left" vertical="center" wrapText="1"/>
    </xf>
    <xf numFmtId="0" fontId="124" fillId="14" borderId="4" xfId="419" applyNumberFormat="1" applyFont="1" applyFill="1" applyBorder="1" applyAlignment="1" applyProtection="1">
      <alignment horizontal="left" vertical="center"/>
    </xf>
    <xf numFmtId="0" fontId="124" fillId="14" borderId="4" xfId="419" applyNumberFormat="1" applyFont="1" applyFill="1" applyBorder="1" applyAlignment="1" applyProtection="1">
      <alignment vertical="center" wrapText="1"/>
    </xf>
    <xf numFmtId="0" fontId="124" fillId="6" borderId="5" xfId="419" applyNumberFormat="1" applyFont="1" applyFill="1" applyBorder="1" applyAlignment="1" applyProtection="1">
      <alignment horizontal="center" vertical="center" wrapText="1"/>
    </xf>
    <xf numFmtId="0" fontId="124" fillId="6" borderId="4" xfId="419" applyNumberFormat="1" applyFont="1" applyFill="1" applyBorder="1" applyAlignment="1" applyProtection="1">
      <alignment horizontal="center" vertical="center" wrapText="1"/>
    </xf>
    <xf numFmtId="0" fontId="124" fillId="6" borderId="8" xfId="419" applyNumberFormat="1" applyFont="1" applyFill="1" applyBorder="1" applyAlignment="1" applyProtection="1">
      <alignment horizontal="center" vertical="center" wrapText="1"/>
    </xf>
    <xf numFmtId="0" fontId="35" fillId="0" borderId="5" xfId="0" applyFont="1" applyBorder="1" applyAlignment="1">
      <alignment horizontal="center" vertical="center"/>
    </xf>
    <xf numFmtId="0" fontId="28" fillId="13" borderId="5" xfId="0" applyFont="1" applyFill="1" applyBorder="1" applyAlignment="1">
      <alignment horizontal="right"/>
    </xf>
    <xf numFmtId="0" fontId="28" fillId="13" borderId="8" xfId="0" applyFont="1" applyFill="1" applyBorder="1" applyAlignment="1">
      <alignment horizontal="right"/>
    </xf>
    <xf numFmtId="0" fontId="35" fillId="0" borderId="0" xfId="0" applyNumberFormat="1" applyFont="1" applyBorder="1" applyAlignment="1">
      <alignment horizontal="left" vertical="center" wrapText="1"/>
    </xf>
    <xf numFmtId="0" fontId="28" fillId="13" borderId="3" xfId="0" applyFont="1" applyFill="1" applyBorder="1" applyAlignment="1">
      <alignment horizontal="center" vertical="center" wrapText="1"/>
    </xf>
    <xf numFmtId="0" fontId="36" fillId="6" borderId="5" xfId="0" applyFont="1" applyFill="1" applyBorder="1" applyAlignment="1">
      <alignment horizontal="right" vertical="center"/>
    </xf>
    <xf numFmtId="0" fontId="36" fillId="6" borderId="8" xfId="0" applyFont="1" applyFill="1" applyBorder="1" applyAlignment="1">
      <alignment horizontal="right" vertical="center"/>
    </xf>
    <xf numFmtId="0" fontId="35" fillId="0" borderId="0" xfId="0" applyFont="1" applyBorder="1" applyAlignment="1">
      <alignment horizontal="center" vertical="center" wrapText="1"/>
    </xf>
    <xf numFmtId="4" fontId="122" fillId="0" borderId="0" xfId="49420" applyNumberFormat="1" applyFont="1" applyFill="1" applyBorder="1" applyAlignment="1" applyProtection="1">
      <alignment horizontal="center" vertical="center" wrapText="1"/>
      <protection hidden="1"/>
    </xf>
    <xf numFmtId="4" fontId="122" fillId="0" borderId="0" xfId="49420" applyNumberFormat="1" applyFont="1" applyFill="1" applyBorder="1" applyAlignment="1" applyProtection="1">
      <alignment horizontal="left" vertical="center" wrapText="1"/>
      <protection hidden="1"/>
    </xf>
    <xf numFmtId="4" fontId="124" fillId="0" borderId="0" xfId="49420" applyNumberFormat="1" applyFont="1" applyFill="1" applyBorder="1" applyAlignment="1" applyProtection="1">
      <alignment horizontal="right" vertical="center" wrapText="1"/>
      <protection hidden="1"/>
    </xf>
    <xf numFmtId="4" fontId="122" fillId="9" borderId="4" xfId="49420" applyNumberFormat="1" applyFont="1" applyFill="1" applyBorder="1" applyAlignment="1" applyProtection="1">
      <alignment horizontal="left" vertical="center" wrapText="1"/>
      <protection hidden="1"/>
    </xf>
    <xf numFmtId="0" fontId="43" fillId="0" borderId="0" xfId="0" applyFont="1" applyBorder="1" applyAlignment="1">
      <alignment horizontal="center" vertical="center"/>
    </xf>
    <xf numFmtId="4" fontId="122" fillId="0" borderId="9" xfId="49420" applyNumberFormat="1" applyFont="1" applyFill="1" applyBorder="1" applyAlignment="1" applyProtection="1">
      <alignment horizontal="center" vertical="center" wrapText="1"/>
      <protection hidden="1"/>
    </xf>
    <xf numFmtId="4" fontId="122" fillId="0" borderId="10" xfId="49420" applyNumberFormat="1" applyFont="1" applyFill="1" applyBorder="1" applyAlignment="1" applyProtection="1">
      <alignment horizontal="center" vertical="center" wrapText="1"/>
      <protection hidden="1"/>
    </xf>
    <xf numFmtId="0" fontId="123" fillId="6" borderId="5" xfId="1089" applyFont="1" applyFill="1" applyBorder="1" applyAlignment="1">
      <alignment horizontal="center" vertical="center"/>
    </xf>
    <xf numFmtId="0" fontId="123" fillId="6" borderId="4" xfId="1089" applyFont="1" applyFill="1" applyBorder="1" applyAlignment="1">
      <alignment horizontal="center" vertical="center"/>
    </xf>
    <xf numFmtId="0" fontId="123" fillId="6" borderId="8" xfId="1089" applyFont="1" applyFill="1" applyBorder="1" applyAlignment="1">
      <alignment horizontal="center" vertical="center"/>
    </xf>
    <xf numFmtId="2" fontId="122" fillId="0" borderId="51" xfId="49420" applyNumberFormat="1" applyFont="1" applyFill="1" applyBorder="1" applyAlignment="1" applyProtection="1">
      <alignment horizontal="center" vertical="center" wrapText="1"/>
      <protection hidden="1"/>
    </xf>
    <xf numFmtId="2" fontId="122" fillId="0" borderId="9" xfId="49420" applyNumberFormat="1" applyFont="1" applyFill="1" applyBorder="1" applyAlignment="1" applyProtection="1">
      <alignment horizontal="center" vertical="center" wrapText="1"/>
      <protection hidden="1"/>
    </xf>
    <xf numFmtId="2" fontId="122" fillId="0" borderId="52" xfId="49420" applyNumberFormat="1" applyFont="1" applyFill="1" applyBorder="1" applyAlignment="1" applyProtection="1">
      <alignment horizontal="center" vertical="center" wrapText="1"/>
      <protection hidden="1"/>
    </xf>
    <xf numFmtId="0" fontId="121" fillId="0" borderId="0" xfId="0" applyFont="1" applyAlignment="1">
      <alignment horizontal="left" wrapText="1"/>
    </xf>
    <xf numFmtId="0" fontId="0" fillId="0" borderId="0" xfId="0"/>
  </cellXfs>
  <cellStyles count="53505">
    <cellStyle name="20% - Accent1" xfId="444"/>
    <cellStyle name="20% - Accent2" xfId="445"/>
    <cellStyle name="20% - Accent3" xfId="446"/>
    <cellStyle name="20% - Accent4" xfId="447"/>
    <cellStyle name="20% - Accent5" xfId="448"/>
    <cellStyle name="20% - Accent6" xfId="449"/>
    <cellStyle name="20% - Ênfase1 10" xfId="1765"/>
    <cellStyle name="20% - Ênfase1 10 10" xfId="29689"/>
    <cellStyle name="20% - Ênfase1 10 11" xfId="33721"/>
    <cellStyle name="20% - Ênfase1 10 12" xfId="37753"/>
    <cellStyle name="20% - Ênfase1 10 13" xfId="41785"/>
    <cellStyle name="20% - Ênfase1 10 14" xfId="45817"/>
    <cellStyle name="20% - Ênfase1 10 15" xfId="49895"/>
    <cellStyle name="20% - Ênfase1 10 2" xfId="1766"/>
    <cellStyle name="20% - Ênfase1 10 3" xfId="5436"/>
    <cellStyle name="20% - Ênfase1 10 3 10" xfId="38704"/>
    <cellStyle name="20% - Ênfase1 10 3 11" xfId="42736"/>
    <cellStyle name="20% - Ênfase1 10 3 12" xfId="46768"/>
    <cellStyle name="20% - Ênfase1 10 3 13" xfId="50847"/>
    <cellStyle name="20% - Ênfase1 10 3 2" xfId="8462"/>
    <cellStyle name="20% - Ênfase1 10 3 2 10" xfId="44752"/>
    <cellStyle name="20% - Ênfase1 10 3 2 11" xfId="48784"/>
    <cellStyle name="20% - Ênfase1 10 3 2 12" xfId="52863"/>
    <cellStyle name="20% - Ênfase1 10 3 2 2" xfId="12496"/>
    <cellStyle name="20% - Ênfase1 10 3 2 3" xfId="16528"/>
    <cellStyle name="20% - Ênfase1 10 3 2 4" xfId="20560"/>
    <cellStyle name="20% - Ênfase1 10 3 2 5" xfId="24592"/>
    <cellStyle name="20% - Ênfase1 10 3 2 6" xfId="28624"/>
    <cellStyle name="20% - Ênfase1 10 3 2 7" xfId="32656"/>
    <cellStyle name="20% - Ênfase1 10 3 2 8" xfId="36688"/>
    <cellStyle name="20% - Ênfase1 10 3 2 9" xfId="40720"/>
    <cellStyle name="20% - Ênfase1 10 3 3" xfId="10480"/>
    <cellStyle name="20% - Ênfase1 10 3 4" xfId="14512"/>
    <cellStyle name="20% - Ênfase1 10 3 5" xfId="18544"/>
    <cellStyle name="20% - Ênfase1 10 3 6" xfId="22576"/>
    <cellStyle name="20% - Ênfase1 10 3 7" xfId="26608"/>
    <cellStyle name="20% - Ênfase1 10 3 8" xfId="30640"/>
    <cellStyle name="20% - Ênfase1 10 3 9" xfId="34672"/>
    <cellStyle name="20% - Ênfase1 10 4" xfId="7511"/>
    <cellStyle name="20% - Ênfase1 10 4 10" xfId="43801"/>
    <cellStyle name="20% - Ênfase1 10 4 11" xfId="47833"/>
    <cellStyle name="20% - Ênfase1 10 4 12" xfId="51912"/>
    <cellStyle name="20% - Ênfase1 10 4 2" xfId="11545"/>
    <cellStyle name="20% - Ênfase1 10 4 3" xfId="15577"/>
    <cellStyle name="20% - Ênfase1 10 4 4" xfId="19609"/>
    <cellStyle name="20% - Ênfase1 10 4 5" xfId="23641"/>
    <cellStyle name="20% - Ênfase1 10 4 6" xfId="27673"/>
    <cellStyle name="20% - Ênfase1 10 4 7" xfId="31705"/>
    <cellStyle name="20% - Ênfase1 10 4 8" xfId="35737"/>
    <cellStyle name="20% - Ênfase1 10 4 9" xfId="39769"/>
    <cellStyle name="20% - Ênfase1 10 5" xfId="9529"/>
    <cellStyle name="20% - Ênfase1 10 6" xfId="13561"/>
    <cellStyle name="20% - Ênfase1 10 7" xfId="17593"/>
    <cellStyle name="20% - Ênfase1 10 8" xfId="21625"/>
    <cellStyle name="20% - Ênfase1 10 9" xfId="25657"/>
    <cellStyle name="20% - Ênfase1 11" xfId="1767"/>
    <cellStyle name="20% - Ênfase1 11 10" xfId="29690"/>
    <cellStyle name="20% - Ênfase1 11 11" xfId="33722"/>
    <cellStyle name="20% - Ênfase1 11 12" xfId="37754"/>
    <cellStyle name="20% - Ênfase1 11 13" xfId="41786"/>
    <cellStyle name="20% - Ênfase1 11 14" xfId="45818"/>
    <cellStyle name="20% - Ênfase1 11 15" xfId="49896"/>
    <cellStyle name="20% - Ênfase1 11 2" xfId="1768"/>
    <cellStyle name="20% - Ênfase1 11 3" xfId="5437"/>
    <cellStyle name="20% - Ênfase1 11 3 10" xfId="38705"/>
    <cellStyle name="20% - Ênfase1 11 3 11" xfId="42737"/>
    <cellStyle name="20% - Ênfase1 11 3 12" xfId="46769"/>
    <cellStyle name="20% - Ênfase1 11 3 13" xfId="50848"/>
    <cellStyle name="20% - Ênfase1 11 3 2" xfId="8463"/>
    <cellStyle name="20% - Ênfase1 11 3 2 10" xfId="44753"/>
    <cellStyle name="20% - Ênfase1 11 3 2 11" xfId="48785"/>
    <cellStyle name="20% - Ênfase1 11 3 2 12" xfId="52864"/>
    <cellStyle name="20% - Ênfase1 11 3 2 2" xfId="12497"/>
    <cellStyle name="20% - Ênfase1 11 3 2 3" xfId="16529"/>
    <cellStyle name="20% - Ênfase1 11 3 2 4" xfId="20561"/>
    <cellStyle name="20% - Ênfase1 11 3 2 5" xfId="24593"/>
    <cellStyle name="20% - Ênfase1 11 3 2 6" xfId="28625"/>
    <cellStyle name="20% - Ênfase1 11 3 2 7" xfId="32657"/>
    <cellStyle name="20% - Ênfase1 11 3 2 8" xfId="36689"/>
    <cellStyle name="20% - Ênfase1 11 3 2 9" xfId="40721"/>
    <cellStyle name="20% - Ênfase1 11 3 3" xfId="10481"/>
    <cellStyle name="20% - Ênfase1 11 3 4" xfId="14513"/>
    <cellStyle name="20% - Ênfase1 11 3 5" xfId="18545"/>
    <cellStyle name="20% - Ênfase1 11 3 6" xfId="22577"/>
    <cellStyle name="20% - Ênfase1 11 3 7" xfId="26609"/>
    <cellStyle name="20% - Ênfase1 11 3 8" xfId="30641"/>
    <cellStyle name="20% - Ênfase1 11 3 9" xfId="34673"/>
    <cellStyle name="20% - Ênfase1 11 4" xfId="7512"/>
    <cellStyle name="20% - Ênfase1 11 4 10" xfId="43802"/>
    <cellStyle name="20% - Ênfase1 11 4 11" xfId="47834"/>
    <cellStyle name="20% - Ênfase1 11 4 12" xfId="51913"/>
    <cellStyle name="20% - Ênfase1 11 4 2" xfId="11546"/>
    <cellStyle name="20% - Ênfase1 11 4 3" xfId="15578"/>
    <cellStyle name="20% - Ênfase1 11 4 4" xfId="19610"/>
    <cellStyle name="20% - Ênfase1 11 4 5" xfId="23642"/>
    <cellStyle name="20% - Ênfase1 11 4 6" xfId="27674"/>
    <cellStyle name="20% - Ênfase1 11 4 7" xfId="31706"/>
    <cellStyle name="20% - Ênfase1 11 4 8" xfId="35738"/>
    <cellStyle name="20% - Ênfase1 11 4 9" xfId="39770"/>
    <cellStyle name="20% - Ênfase1 11 5" xfId="9530"/>
    <cellStyle name="20% - Ênfase1 11 6" xfId="13562"/>
    <cellStyle name="20% - Ênfase1 11 7" xfId="17594"/>
    <cellStyle name="20% - Ênfase1 11 8" xfId="21626"/>
    <cellStyle name="20% - Ênfase1 11 9" xfId="25658"/>
    <cellStyle name="20% - Ênfase1 12" xfId="1769"/>
    <cellStyle name="20% - Ênfase1 12 10" xfId="29691"/>
    <cellStyle name="20% - Ênfase1 12 11" xfId="33723"/>
    <cellStyle name="20% - Ênfase1 12 12" xfId="37755"/>
    <cellStyle name="20% - Ênfase1 12 13" xfId="41787"/>
    <cellStyle name="20% - Ênfase1 12 14" xfId="45819"/>
    <cellStyle name="20% - Ênfase1 12 15" xfId="49897"/>
    <cellStyle name="20% - Ênfase1 12 2" xfId="1770"/>
    <cellStyle name="20% - Ênfase1 12 3" xfId="5438"/>
    <cellStyle name="20% - Ênfase1 12 3 10" xfId="38706"/>
    <cellStyle name="20% - Ênfase1 12 3 11" xfId="42738"/>
    <cellStyle name="20% - Ênfase1 12 3 12" xfId="46770"/>
    <cellStyle name="20% - Ênfase1 12 3 13" xfId="50849"/>
    <cellStyle name="20% - Ênfase1 12 3 2" xfId="8464"/>
    <cellStyle name="20% - Ênfase1 12 3 2 10" xfId="44754"/>
    <cellStyle name="20% - Ênfase1 12 3 2 11" xfId="48786"/>
    <cellStyle name="20% - Ênfase1 12 3 2 12" xfId="52865"/>
    <cellStyle name="20% - Ênfase1 12 3 2 2" xfId="12498"/>
    <cellStyle name="20% - Ênfase1 12 3 2 3" xfId="16530"/>
    <cellStyle name="20% - Ênfase1 12 3 2 4" xfId="20562"/>
    <cellStyle name="20% - Ênfase1 12 3 2 5" xfId="24594"/>
    <cellStyle name="20% - Ênfase1 12 3 2 6" xfId="28626"/>
    <cellStyle name="20% - Ênfase1 12 3 2 7" xfId="32658"/>
    <cellStyle name="20% - Ênfase1 12 3 2 8" xfId="36690"/>
    <cellStyle name="20% - Ênfase1 12 3 2 9" xfId="40722"/>
    <cellStyle name="20% - Ênfase1 12 3 3" xfId="10482"/>
    <cellStyle name="20% - Ênfase1 12 3 4" xfId="14514"/>
    <cellStyle name="20% - Ênfase1 12 3 5" xfId="18546"/>
    <cellStyle name="20% - Ênfase1 12 3 6" xfId="22578"/>
    <cellStyle name="20% - Ênfase1 12 3 7" xfId="26610"/>
    <cellStyle name="20% - Ênfase1 12 3 8" xfId="30642"/>
    <cellStyle name="20% - Ênfase1 12 3 9" xfId="34674"/>
    <cellStyle name="20% - Ênfase1 12 4" xfId="7513"/>
    <cellStyle name="20% - Ênfase1 12 4 10" xfId="43803"/>
    <cellStyle name="20% - Ênfase1 12 4 11" xfId="47835"/>
    <cellStyle name="20% - Ênfase1 12 4 12" xfId="51914"/>
    <cellStyle name="20% - Ênfase1 12 4 2" xfId="11547"/>
    <cellStyle name="20% - Ênfase1 12 4 3" xfId="15579"/>
    <cellStyle name="20% - Ênfase1 12 4 4" xfId="19611"/>
    <cellStyle name="20% - Ênfase1 12 4 5" xfId="23643"/>
    <cellStyle name="20% - Ênfase1 12 4 6" xfId="27675"/>
    <cellStyle name="20% - Ênfase1 12 4 7" xfId="31707"/>
    <cellStyle name="20% - Ênfase1 12 4 8" xfId="35739"/>
    <cellStyle name="20% - Ênfase1 12 4 9" xfId="39771"/>
    <cellStyle name="20% - Ênfase1 12 5" xfId="9531"/>
    <cellStyle name="20% - Ênfase1 12 6" xfId="13563"/>
    <cellStyle name="20% - Ênfase1 12 7" xfId="17595"/>
    <cellStyle name="20% - Ênfase1 12 8" xfId="21627"/>
    <cellStyle name="20% - Ênfase1 12 9" xfId="25659"/>
    <cellStyle name="20% - Ênfase1 13" xfId="1771"/>
    <cellStyle name="20% - Ênfase1 13 10" xfId="29692"/>
    <cellStyle name="20% - Ênfase1 13 11" xfId="33724"/>
    <cellStyle name="20% - Ênfase1 13 12" xfId="37756"/>
    <cellStyle name="20% - Ênfase1 13 13" xfId="41788"/>
    <cellStyle name="20% - Ênfase1 13 14" xfId="45820"/>
    <cellStyle name="20% - Ênfase1 13 15" xfId="49898"/>
    <cellStyle name="20% - Ênfase1 13 2" xfId="1772"/>
    <cellStyle name="20% - Ênfase1 13 3" xfId="5439"/>
    <cellStyle name="20% - Ênfase1 13 3 10" xfId="38707"/>
    <cellStyle name="20% - Ênfase1 13 3 11" xfId="42739"/>
    <cellStyle name="20% - Ênfase1 13 3 12" xfId="46771"/>
    <cellStyle name="20% - Ênfase1 13 3 13" xfId="50850"/>
    <cellStyle name="20% - Ênfase1 13 3 2" xfId="8465"/>
    <cellStyle name="20% - Ênfase1 13 3 2 10" xfId="44755"/>
    <cellStyle name="20% - Ênfase1 13 3 2 11" xfId="48787"/>
    <cellStyle name="20% - Ênfase1 13 3 2 12" xfId="52866"/>
    <cellStyle name="20% - Ênfase1 13 3 2 2" xfId="12499"/>
    <cellStyle name="20% - Ênfase1 13 3 2 3" xfId="16531"/>
    <cellStyle name="20% - Ênfase1 13 3 2 4" xfId="20563"/>
    <cellStyle name="20% - Ênfase1 13 3 2 5" xfId="24595"/>
    <cellStyle name="20% - Ênfase1 13 3 2 6" xfId="28627"/>
    <cellStyle name="20% - Ênfase1 13 3 2 7" xfId="32659"/>
    <cellStyle name="20% - Ênfase1 13 3 2 8" xfId="36691"/>
    <cellStyle name="20% - Ênfase1 13 3 2 9" xfId="40723"/>
    <cellStyle name="20% - Ênfase1 13 3 3" xfId="10483"/>
    <cellStyle name="20% - Ênfase1 13 3 4" xfId="14515"/>
    <cellStyle name="20% - Ênfase1 13 3 5" xfId="18547"/>
    <cellStyle name="20% - Ênfase1 13 3 6" xfId="22579"/>
    <cellStyle name="20% - Ênfase1 13 3 7" xfId="26611"/>
    <cellStyle name="20% - Ênfase1 13 3 8" xfId="30643"/>
    <cellStyle name="20% - Ênfase1 13 3 9" xfId="34675"/>
    <cellStyle name="20% - Ênfase1 13 4" xfId="7514"/>
    <cellStyle name="20% - Ênfase1 13 4 10" xfId="43804"/>
    <cellStyle name="20% - Ênfase1 13 4 11" xfId="47836"/>
    <cellStyle name="20% - Ênfase1 13 4 12" xfId="51915"/>
    <cellStyle name="20% - Ênfase1 13 4 2" xfId="11548"/>
    <cellStyle name="20% - Ênfase1 13 4 3" xfId="15580"/>
    <cellStyle name="20% - Ênfase1 13 4 4" xfId="19612"/>
    <cellStyle name="20% - Ênfase1 13 4 5" xfId="23644"/>
    <cellStyle name="20% - Ênfase1 13 4 6" xfId="27676"/>
    <cellStyle name="20% - Ênfase1 13 4 7" xfId="31708"/>
    <cellStyle name="20% - Ênfase1 13 4 8" xfId="35740"/>
    <cellStyle name="20% - Ênfase1 13 4 9" xfId="39772"/>
    <cellStyle name="20% - Ênfase1 13 5" xfId="9532"/>
    <cellStyle name="20% - Ênfase1 13 6" xfId="13564"/>
    <cellStyle name="20% - Ênfase1 13 7" xfId="17596"/>
    <cellStyle name="20% - Ênfase1 13 8" xfId="21628"/>
    <cellStyle name="20% - Ênfase1 13 9" xfId="25660"/>
    <cellStyle name="20% - Ênfase1 14 2" xfId="1773"/>
    <cellStyle name="20% - Ênfase1 15 2" xfId="1774"/>
    <cellStyle name="20% - Ênfase1 16 2" xfId="1775"/>
    <cellStyle name="20% - Ênfase1 17 2" xfId="1776"/>
    <cellStyle name="20% - Ênfase1 2" xfId="383"/>
    <cellStyle name="20% - Ênfase1 2 2" xfId="522"/>
    <cellStyle name="20% - Ênfase1 2 2 2" xfId="1778"/>
    <cellStyle name="20% - Ênfase1 2 3" xfId="837"/>
    <cellStyle name="20% - Ênfase1 2 3 2" xfId="1779"/>
    <cellStyle name="20% - Ênfase1 2 4" xfId="1018"/>
    <cellStyle name="20% - Ênfase1 2 5" xfId="1777"/>
    <cellStyle name="20% - Ênfase1 2 5 10" xfId="33725"/>
    <cellStyle name="20% - Ênfase1 2 5 11" xfId="37757"/>
    <cellStyle name="20% - Ênfase1 2 5 12" xfId="41789"/>
    <cellStyle name="20% - Ênfase1 2 5 13" xfId="45821"/>
    <cellStyle name="20% - Ênfase1 2 5 14" xfId="49899"/>
    <cellStyle name="20% - Ênfase1 2 5 2" xfId="5440"/>
    <cellStyle name="20% - Ênfase1 2 5 2 10" xfId="38708"/>
    <cellStyle name="20% - Ênfase1 2 5 2 11" xfId="42740"/>
    <cellStyle name="20% - Ênfase1 2 5 2 12" xfId="46772"/>
    <cellStyle name="20% - Ênfase1 2 5 2 13" xfId="50851"/>
    <cellStyle name="20% - Ênfase1 2 5 2 2" xfId="8466"/>
    <cellStyle name="20% - Ênfase1 2 5 2 2 10" xfId="44756"/>
    <cellStyle name="20% - Ênfase1 2 5 2 2 11" xfId="48788"/>
    <cellStyle name="20% - Ênfase1 2 5 2 2 12" xfId="52867"/>
    <cellStyle name="20% - Ênfase1 2 5 2 2 2" xfId="12500"/>
    <cellStyle name="20% - Ênfase1 2 5 2 2 3" xfId="16532"/>
    <cellStyle name="20% - Ênfase1 2 5 2 2 4" xfId="20564"/>
    <cellStyle name="20% - Ênfase1 2 5 2 2 5" xfId="24596"/>
    <cellStyle name="20% - Ênfase1 2 5 2 2 6" xfId="28628"/>
    <cellStyle name="20% - Ênfase1 2 5 2 2 7" xfId="32660"/>
    <cellStyle name="20% - Ênfase1 2 5 2 2 8" xfId="36692"/>
    <cellStyle name="20% - Ênfase1 2 5 2 2 9" xfId="40724"/>
    <cellStyle name="20% - Ênfase1 2 5 2 3" xfId="10484"/>
    <cellStyle name="20% - Ênfase1 2 5 2 4" xfId="14516"/>
    <cellStyle name="20% - Ênfase1 2 5 2 5" xfId="18548"/>
    <cellStyle name="20% - Ênfase1 2 5 2 6" xfId="22580"/>
    <cellStyle name="20% - Ênfase1 2 5 2 7" xfId="26612"/>
    <cellStyle name="20% - Ênfase1 2 5 2 8" xfId="30644"/>
    <cellStyle name="20% - Ênfase1 2 5 2 9" xfId="34676"/>
    <cellStyle name="20% - Ênfase1 2 5 3" xfId="7515"/>
    <cellStyle name="20% - Ênfase1 2 5 3 10" xfId="43805"/>
    <cellStyle name="20% - Ênfase1 2 5 3 11" xfId="47837"/>
    <cellStyle name="20% - Ênfase1 2 5 3 12" xfId="51916"/>
    <cellStyle name="20% - Ênfase1 2 5 3 2" xfId="11549"/>
    <cellStyle name="20% - Ênfase1 2 5 3 3" xfId="15581"/>
    <cellStyle name="20% - Ênfase1 2 5 3 4" xfId="19613"/>
    <cellStyle name="20% - Ênfase1 2 5 3 5" xfId="23645"/>
    <cellStyle name="20% - Ênfase1 2 5 3 6" xfId="27677"/>
    <cellStyle name="20% - Ênfase1 2 5 3 7" xfId="31709"/>
    <cellStyle name="20% - Ênfase1 2 5 3 8" xfId="35741"/>
    <cellStyle name="20% - Ênfase1 2 5 3 9" xfId="39773"/>
    <cellStyle name="20% - Ênfase1 2 5 4" xfId="9533"/>
    <cellStyle name="20% - Ênfase1 2 5 5" xfId="13565"/>
    <cellStyle name="20% - Ênfase1 2 5 6" xfId="17597"/>
    <cellStyle name="20% - Ênfase1 2 5 7" xfId="21629"/>
    <cellStyle name="20% - Ênfase1 2 5 8" xfId="25661"/>
    <cellStyle name="20% - Ênfase1 2 5 9" xfId="29693"/>
    <cellStyle name="20% - Ênfase1 3" xfId="450"/>
    <cellStyle name="20% - Ênfase1 3 2" xfId="1019"/>
    <cellStyle name="20% - Ênfase1 3 2 10" xfId="29529"/>
    <cellStyle name="20% - Ênfase1 3 2 11" xfId="33561"/>
    <cellStyle name="20% - Ênfase1 3 2 12" xfId="37593"/>
    <cellStyle name="20% - Ênfase1 3 2 13" xfId="41625"/>
    <cellStyle name="20% - Ênfase1 3 2 14" xfId="45657"/>
    <cellStyle name="20% - Ênfase1 3 2 15" xfId="49735"/>
    <cellStyle name="20% - Ênfase1 3 2 2" xfId="1781"/>
    <cellStyle name="20% - Ênfase1 3 2 3" xfId="5035"/>
    <cellStyle name="20% - Ênfase1 3 2 3 10" xfId="38558"/>
    <cellStyle name="20% - Ênfase1 3 2 3 11" xfId="42590"/>
    <cellStyle name="20% - Ênfase1 3 2 3 12" xfId="46622"/>
    <cellStyle name="20% - Ênfase1 3 2 3 13" xfId="50701"/>
    <cellStyle name="20% - Ênfase1 3 2 3 2" xfId="8316"/>
    <cellStyle name="20% - Ênfase1 3 2 3 2 10" xfId="44606"/>
    <cellStyle name="20% - Ênfase1 3 2 3 2 11" xfId="48638"/>
    <cellStyle name="20% - Ênfase1 3 2 3 2 12" xfId="52717"/>
    <cellStyle name="20% - Ênfase1 3 2 3 2 2" xfId="12350"/>
    <cellStyle name="20% - Ênfase1 3 2 3 2 3" xfId="16382"/>
    <cellStyle name="20% - Ênfase1 3 2 3 2 4" xfId="20414"/>
    <cellStyle name="20% - Ênfase1 3 2 3 2 5" xfId="24446"/>
    <cellStyle name="20% - Ênfase1 3 2 3 2 6" xfId="28478"/>
    <cellStyle name="20% - Ênfase1 3 2 3 2 7" xfId="32510"/>
    <cellStyle name="20% - Ênfase1 3 2 3 2 8" xfId="36542"/>
    <cellStyle name="20% - Ênfase1 3 2 3 2 9" xfId="40574"/>
    <cellStyle name="20% - Ênfase1 3 2 3 3" xfId="10334"/>
    <cellStyle name="20% - Ênfase1 3 2 3 4" xfId="14366"/>
    <cellStyle name="20% - Ênfase1 3 2 3 5" xfId="18398"/>
    <cellStyle name="20% - Ênfase1 3 2 3 6" xfId="22430"/>
    <cellStyle name="20% - Ênfase1 3 2 3 7" xfId="26462"/>
    <cellStyle name="20% - Ênfase1 3 2 3 8" xfId="30494"/>
    <cellStyle name="20% - Ênfase1 3 2 3 9" xfId="34526"/>
    <cellStyle name="20% - Ênfase1 3 2 4" xfId="7351"/>
    <cellStyle name="20% - Ênfase1 3 2 4 10" xfId="43641"/>
    <cellStyle name="20% - Ênfase1 3 2 4 11" xfId="47673"/>
    <cellStyle name="20% - Ênfase1 3 2 4 12" xfId="51752"/>
    <cellStyle name="20% - Ênfase1 3 2 4 2" xfId="11385"/>
    <cellStyle name="20% - Ênfase1 3 2 4 3" xfId="15417"/>
    <cellStyle name="20% - Ênfase1 3 2 4 4" xfId="19449"/>
    <cellStyle name="20% - Ênfase1 3 2 4 5" xfId="23481"/>
    <cellStyle name="20% - Ênfase1 3 2 4 6" xfId="27513"/>
    <cellStyle name="20% - Ênfase1 3 2 4 7" xfId="31545"/>
    <cellStyle name="20% - Ênfase1 3 2 4 8" xfId="35577"/>
    <cellStyle name="20% - Ênfase1 3 2 4 9" xfId="39609"/>
    <cellStyle name="20% - Ênfase1 3 2 5" xfId="9369"/>
    <cellStyle name="20% - Ênfase1 3 2 6" xfId="13401"/>
    <cellStyle name="20% - Ênfase1 3 2 7" xfId="17433"/>
    <cellStyle name="20% - Ênfase1 3 2 8" xfId="21465"/>
    <cellStyle name="20% - Ênfase1 3 2 9" xfId="25497"/>
    <cellStyle name="20% - Ênfase1 3 3" xfId="1782"/>
    <cellStyle name="20% - Ênfase1 3 4" xfId="1780"/>
    <cellStyle name="20% - Ênfase1 3 4 10" xfId="33726"/>
    <cellStyle name="20% - Ênfase1 3 4 11" xfId="37758"/>
    <cellStyle name="20% - Ênfase1 3 4 12" xfId="41790"/>
    <cellStyle name="20% - Ênfase1 3 4 13" xfId="45822"/>
    <cellStyle name="20% - Ênfase1 3 4 14" xfId="49900"/>
    <cellStyle name="20% - Ênfase1 3 4 2" xfId="5441"/>
    <cellStyle name="20% - Ênfase1 3 4 2 10" xfId="38709"/>
    <cellStyle name="20% - Ênfase1 3 4 2 11" xfId="42741"/>
    <cellStyle name="20% - Ênfase1 3 4 2 12" xfId="46773"/>
    <cellStyle name="20% - Ênfase1 3 4 2 13" xfId="50852"/>
    <cellStyle name="20% - Ênfase1 3 4 2 2" xfId="8467"/>
    <cellStyle name="20% - Ênfase1 3 4 2 2 10" xfId="44757"/>
    <cellStyle name="20% - Ênfase1 3 4 2 2 11" xfId="48789"/>
    <cellStyle name="20% - Ênfase1 3 4 2 2 12" xfId="52868"/>
    <cellStyle name="20% - Ênfase1 3 4 2 2 2" xfId="12501"/>
    <cellStyle name="20% - Ênfase1 3 4 2 2 3" xfId="16533"/>
    <cellStyle name="20% - Ênfase1 3 4 2 2 4" xfId="20565"/>
    <cellStyle name="20% - Ênfase1 3 4 2 2 5" xfId="24597"/>
    <cellStyle name="20% - Ênfase1 3 4 2 2 6" xfId="28629"/>
    <cellStyle name="20% - Ênfase1 3 4 2 2 7" xfId="32661"/>
    <cellStyle name="20% - Ênfase1 3 4 2 2 8" xfId="36693"/>
    <cellStyle name="20% - Ênfase1 3 4 2 2 9" xfId="40725"/>
    <cellStyle name="20% - Ênfase1 3 4 2 3" xfId="10485"/>
    <cellStyle name="20% - Ênfase1 3 4 2 4" xfId="14517"/>
    <cellStyle name="20% - Ênfase1 3 4 2 5" xfId="18549"/>
    <cellStyle name="20% - Ênfase1 3 4 2 6" xfId="22581"/>
    <cellStyle name="20% - Ênfase1 3 4 2 7" xfId="26613"/>
    <cellStyle name="20% - Ênfase1 3 4 2 8" xfId="30645"/>
    <cellStyle name="20% - Ênfase1 3 4 2 9" xfId="34677"/>
    <cellStyle name="20% - Ênfase1 3 4 3" xfId="7516"/>
    <cellStyle name="20% - Ênfase1 3 4 3 10" xfId="43806"/>
    <cellStyle name="20% - Ênfase1 3 4 3 11" xfId="47838"/>
    <cellStyle name="20% - Ênfase1 3 4 3 12" xfId="51917"/>
    <cellStyle name="20% - Ênfase1 3 4 3 2" xfId="11550"/>
    <cellStyle name="20% - Ênfase1 3 4 3 3" xfId="15582"/>
    <cellStyle name="20% - Ênfase1 3 4 3 4" xfId="19614"/>
    <cellStyle name="20% - Ênfase1 3 4 3 5" xfId="23646"/>
    <cellStyle name="20% - Ênfase1 3 4 3 6" xfId="27678"/>
    <cellStyle name="20% - Ênfase1 3 4 3 7" xfId="31710"/>
    <cellStyle name="20% - Ênfase1 3 4 3 8" xfId="35742"/>
    <cellStyle name="20% - Ênfase1 3 4 3 9" xfId="39774"/>
    <cellStyle name="20% - Ênfase1 3 4 4" xfId="9534"/>
    <cellStyle name="20% - Ênfase1 3 4 5" xfId="13566"/>
    <cellStyle name="20% - Ênfase1 3 4 6" xfId="17598"/>
    <cellStyle name="20% - Ênfase1 3 4 7" xfId="21630"/>
    <cellStyle name="20% - Ênfase1 3 4 8" xfId="25662"/>
    <cellStyle name="20% - Ênfase1 3 4 9" xfId="29694"/>
    <cellStyle name="20% - Ênfase1 4" xfId="1125"/>
    <cellStyle name="20% - Ênfase1 4 2" xfId="1784"/>
    <cellStyle name="20% - Ênfase1 4 3" xfId="1785"/>
    <cellStyle name="20% - Ênfase1 4 4" xfId="1783"/>
    <cellStyle name="20% - Ênfase1 4 4 10" xfId="33727"/>
    <cellStyle name="20% - Ênfase1 4 4 11" xfId="37759"/>
    <cellStyle name="20% - Ênfase1 4 4 12" xfId="41791"/>
    <cellStyle name="20% - Ênfase1 4 4 13" xfId="45823"/>
    <cellStyle name="20% - Ênfase1 4 4 14" xfId="49901"/>
    <cellStyle name="20% - Ênfase1 4 4 2" xfId="5442"/>
    <cellStyle name="20% - Ênfase1 4 4 2 10" xfId="38710"/>
    <cellStyle name="20% - Ênfase1 4 4 2 11" xfId="42742"/>
    <cellStyle name="20% - Ênfase1 4 4 2 12" xfId="46774"/>
    <cellStyle name="20% - Ênfase1 4 4 2 13" xfId="50853"/>
    <cellStyle name="20% - Ênfase1 4 4 2 2" xfId="8468"/>
    <cellStyle name="20% - Ênfase1 4 4 2 2 10" xfId="44758"/>
    <cellStyle name="20% - Ênfase1 4 4 2 2 11" xfId="48790"/>
    <cellStyle name="20% - Ênfase1 4 4 2 2 12" xfId="52869"/>
    <cellStyle name="20% - Ênfase1 4 4 2 2 2" xfId="12502"/>
    <cellStyle name="20% - Ênfase1 4 4 2 2 3" xfId="16534"/>
    <cellStyle name="20% - Ênfase1 4 4 2 2 4" xfId="20566"/>
    <cellStyle name="20% - Ênfase1 4 4 2 2 5" xfId="24598"/>
    <cellStyle name="20% - Ênfase1 4 4 2 2 6" xfId="28630"/>
    <cellStyle name="20% - Ênfase1 4 4 2 2 7" xfId="32662"/>
    <cellStyle name="20% - Ênfase1 4 4 2 2 8" xfId="36694"/>
    <cellStyle name="20% - Ênfase1 4 4 2 2 9" xfId="40726"/>
    <cellStyle name="20% - Ênfase1 4 4 2 3" xfId="10486"/>
    <cellStyle name="20% - Ênfase1 4 4 2 4" xfId="14518"/>
    <cellStyle name="20% - Ênfase1 4 4 2 5" xfId="18550"/>
    <cellStyle name="20% - Ênfase1 4 4 2 6" xfId="22582"/>
    <cellStyle name="20% - Ênfase1 4 4 2 7" xfId="26614"/>
    <cellStyle name="20% - Ênfase1 4 4 2 8" xfId="30646"/>
    <cellStyle name="20% - Ênfase1 4 4 2 9" xfId="34678"/>
    <cellStyle name="20% - Ênfase1 4 4 3" xfId="7517"/>
    <cellStyle name="20% - Ênfase1 4 4 3 10" xfId="43807"/>
    <cellStyle name="20% - Ênfase1 4 4 3 11" xfId="47839"/>
    <cellStyle name="20% - Ênfase1 4 4 3 12" xfId="51918"/>
    <cellStyle name="20% - Ênfase1 4 4 3 2" xfId="11551"/>
    <cellStyle name="20% - Ênfase1 4 4 3 3" xfId="15583"/>
    <cellStyle name="20% - Ênfase1 4 4 3 4" xfId="19615"/>
    <cellStyle name="20% - Ênfase1 4 4 3 5" xfId="23647"/>
    <cellStyle name="20% - Ênfase1 4 4 3 6" xfId="27679"/>
    <cellStyle name="20% - Ênfase1 4 4 3 7" xfId="31711"/>
    <cellStyle name="20% - Ênfase1 4 4 3 8" xfId="35743"/>
    <cellStyle name="20% - Ênfase1 4 4 3 9" xfId="39775"/>
    <cellStyle name="20% - Ênfase1 4 4 4" xfId="9535"/>
    <cellStyle name="20% - Ênfase1 4 4 5" xfId="13567"/>
    <cellStyle name="20% - Ênfase1 4 4 6" xfId="17599"/>
    <cellStyle name="20% - Ênfase1 4 4 7" xfId="21631"/>
    <cellStyle name="20% - Ênfase1 4 4 8" xfId="25663"/>
    <cellStyle name="20% - Ênfase1 4 4 9" xfId="29695"/>
    <cellStyle name="20% - Ênfase1 5" xfId="1167"/>
    <cellStyle name="20% - Ênfase1 5 2" xfId="1787"/>
    <cellStyle name="20% - Ênfase1 5 3" xfId="1788"/>
    <cellStyle name="20% - Ênfase1 5 4" xfId="1786"/>
    <cellStyle name="20% - Ênfase1 5 4 10" xfId="33728"/>
    <cellStyle name="20% - Ênfase1 5 4 11" xfId="37760"/>
    <cellStyle name="20% - Ênfase1 5 4 12" xfId="41792"/>
    <cellStyle name="20% - Ênfase1 5 4 13" xfId="45824"/>
    <cellStyle name="20% - Ênfase1 5 4 14" xfId="49902"/>
    <cellStyle name="20% - Ênfase1 5 4 2" xfId="5443"/>
    <cellStyle name="20% - Ênfase1 5 4 2 10" xfId="38711"/>
    <cellStyle name="20% - Ênfase1 5 4 2 11" xfId="42743"/>
    <cellStyle name="20% - Ênfase1 5 4 2 12" xfId="46775"/>
    <cellStyle name="20% - Ênfase1 5 4 2 13" xfId="50854"/>
    <cellStyle name="20% - Ênfase1 5 4 2 2" xfId="8469"/>
    <cellStyle name="20% - Ênfase1 5 4 2 2 10" xfId="44759"/>
    <cellStyle name="20% - Ênfase1 5 4 2 2 11" xfId="48791"/>
    <cellStyle name="20% - Ênfase1 5 4 2 2 12" xfId="52870"/>
    <cellStyle name="20% - Ênfase1 5 4 2 2 2" xfId="12503"/>
    <cellStyle name="20% - Ênfase1 5 4 2 2 3" xfId="16535"/>
    <cellStyle name="20% - Ênfase1 5 4 2 2 4" xfId="20567"/>
    <cellStyle name="20% - Ênfase1 5 4 2 2 5" xfId="24599"/>
    <cellStyle name="20% - Ênfase1 5 4 2 2 6" xfId="28631"/>
    <cellStyle name="20% - Ênfase1 5 4 2 2 7" xfId="32663"/>
    <cellStyle name="20% - Ênfase1 5 4 2 2 8" xfId="36695"/>
    <cellStyle name="20% - Ênfase1 5 4 2 2 9" xfId="40727"/>
    <cellStyle name="20% - Ênfase1 5 4 2 3" xfId="10487"/>
    <cellStyle name="20% - Ênfase1 5 4 2 4" xfId="14519"/>
    <cellStyle name="20% - Ênfase1 5 4 2 5" xfId="18551"/>
    <cellStyle name="20% - Ênfase1 5 4 2 6" xfId="22583"/>
    <cellStyle name="20% - Ênfase1 5 4 2 7" xfId="26615"/>
    <cellStyle name="20% - Ênfase1 5 4 2 8" xfId="30647"/>
    <cellStyle name="20% - Ênfase1 5 4 2 9" xfId="34679"/>
    <cellStyle name="20% - Ênfase1 5 4 3" xfId="7518"/>
    <cellStyle name="20% - Ênfase1 5 4 3 10" xfId="43808"/>
    <cellStyle name="20% - Ênfase1 5 4 3 11" xfId="47840"/>
    <cellStyle name="20% - Ênfase1 5 4 3 12" xfId="51919"/>
    <cellStyle name="20% - Ênfase1 5 4 3 2" xfId="11552"/>
    <cellStyle name="20% - Ênfase1 5 4 3 3" xfId="15584"/>
    <cellStyle name="20% - Ênfase1 5 4 3 4" xfId="19616"/>
    <cellStyle name="20% - Ênfase1 5 4 3 5" xfId="23648"/>
    <cellStyle name="20% - Ênfase1 5 4 3 6" xfId="27680"/>
    <cellStyle name="20% - Ênfase1 5 4 3 7" xfId="31712"/>
    <cellStyle name="20% - Ênfase1 5 4 3 8" xfId="35744"/>
    <cellStyle name="20% - Ênfase1 5 4 3 9" xfId="39776"/>
    <cellStyle name="20% - Ênfase1 5 4 4" xfId="9536"/>
    <cellStyle name="20% - Ênfase1 5 4 5" xfId="13568"/>
    <cellStyle name="20% - Ênfase1 5 4 6" xfId="17600"/>
    <cellStyle name="20% - Ênfase1 5 4 7" xfId="21632"/>
    <cellStyle name="20% - Ênfase1 5 4 8" xfId="25664"/>
    <cellStyle name="20% - Ênfase1 5 4 9" xfId="29696"/>
    <cellStyle name="20% - Ênfase1 6" xfId="1209"/>
    <cellStyle name="20% - Ênfase1 6 2" xfId="1790"/>
    <cellStyle name="20% - Ênfase1 6 3" xfId="1791"/>
    <cellStyle name="20% - Ênfase1 6 4" xfId="1789"/>
    <cellStyle name="20% - Ênfase1 6 4 10" xfId="33729"/>
    <cellStyle name="20% - Ênfase1 6 4 11" xfId="37761"/>
    <cellStyle name="20% - Ênfase1 6 4 12" xfId="41793"/>
    <cellStyle name="20% - Ênfase1 6 4 13" xfId="45825"/>
    <cellStyle name="20% - Ênfase1 6 4 14" xfId="49903"/>
    <cellStyle name="20% - Ênfase1 6 4 2" xfId="5444"/>
    <cellStyle name="20% - Ênfase1 6 4 2 10" xfId="38712"/>
    <cellStyle name="20% - Ênfase1 6 4 2 11" xfId="42744"/>
    <cellStyle name="20% - Ênfase1 6 4 2 12" xfId="46776"/>
    <cellStyle name="20% - Ênfase1 6 4 2 13" xfId="50855"/>
    <cellStyle name="20% - Ênfase1 6 4 2 2" xfId="8470"/>
    <cellStyle name="20% - Ênfase1 6 4 2 2 10" xfId="44760"/>
    <cellStyle name="20% - Ênfase1 6 4 2 2 11" xfId="48792"/>
    <cellStyle name="20% - Ênfase1 6 4 2 2 12" xfId="52871"/>
    <cellStyle name="20% - Ênfase1 6 4 2 2 2" xfId="12504"/>
    <cellStyle name="20% - Ênfase1 6 4 2 2 3" xfId="16536"/>
    <cellStyle name="20% - Ênfase1 6 4 2 2 4" xfId="20568"/>
    <cellStyle name="20% - Ênfase1 6 4 2 2 5" xfId="24600"/>
    <cellStyle name="20% - Ênfase1 6 4 2 2 6" xfId="28632"/>
    <cellStyle name="20% - Ênfase1 6 4 2 2 7" xfId="32664"/>
    <cellStyle name="20% - Ênfase1 6 4 2 2 8" xfId="36696"/>
    <cellStyle name="20% - Ênfase1 6 4 2 2 9" xfId="40728"/>
    <cellStyle name="20% - Ênfase1 6 4 2 3" xfId="10488"/>
    <cellStyle name="20% - Ênfase1 6 4 2 4" xfId="14520"/>
    <cellStyle name="20% - Ênfase1 6 4 2 5" xfId="18552"/>
    <cellStyle name="20% - Ênfase1 6 4 2 6" xfId="22584"/>
    <cellStyle name="20% - Ênfase1 6 4 2 7" xfId="26616"/>
    <cellStyle name="20% - Ênfase1 6 4 2 8" xfId="30648"/>
    <cellStyle name="20% - Ênfase1 6 4 2 9" xfId="34680"/>
    <cellStyle name="20% - Ênfase1 6 4 3" xfId="7519"/>
    <cellStyle name="20% - Ênfase1 6 4 3 10" xfId="43809"/>
    <cellStyle name="20% - Ênfase1 6 4 3 11" xfId="47841"/>
    <cellStyle name="20% - Ênfase1 6 4 3 12" xfId="51920"/>
    <cellStyle name="20% - Ênfase1 6 4 3 2" xfId="11553"/>
    <cellStyle name="20% - Ênfase1 6 4 3 3" xfId="15585"/>
    <cellStyle name="20% - Ênfase1 6 4 3 4" xfId="19617"/>
    <cellStyle name="20% - Ênfase1 6 4 3 5" xfId="23649"/>
    <cellStyle name="20% - Ênfase1 6 4 3 6" xfId="27681"/>
    <cellStyle name="20% - Ênfase1 6 4 3 7" xfId="31713"/>
    <cellStyle name="20% - Ênfase1 6 4 3 8" xfId="35745"/>
    <cellStyle name="20% - Ênfase1 6 4 3 9" xfId="39777"/>
    <cellStyle name="20% - Ênfase1 6 4 4" xfId="9537"/>
    <cellStyle name="20% - Ênfase1 6 4 5" xfId="13569"/>
    <cellStyle name="20% - Ênfase1 6 4 6" xfId="17601"/>
    <cellStyle name="20% - Ênfase1 6 4 7" xfId="21633"/>
    <cellStyle name="20% - Ênfase1 6 4 8" xfId="25665"/>
    <cellStyle name="20% - Ênfase1 6 4 9" xfId="29697"/>
    <cellStyle name="20% - Ênfase1 7" xfId="1792"/>
    <cellStyle name="20% - Ênfase1 7 10" xfId="25666"/>
    <cellStyle name="20% - Ênfase1 7 11" xfId="29698"/>
    <cellStyle name="20% - Ênfase1 7 12" xfId="33730"/>
    <cellStyle name="20% - Ênfase1 7 13" xfId="37762"/>
    <cellStyle name="20% - Ênfase1 7 14" xfId="41794"/>
    <cellStyle name="20% - Ênfase1 7 15" xfId="45826"/>
    <cellStyle name="20% - Ênfase1 7 16" xfId="49904"/>
    <cellStyle name="20% - Ênfase1 7 2" xfId="1793"/>
    <cellStyle name="20% - Ênfase1 7 3" xfId="1794"/>
    <cellStyle name="20% - Ênfase1 7 4" xfId="5445"/>
    <cellStyle name="20% - Ênfase1 7 4 10" xfId="38713"/>
    <cellStyle name="20% - Ênfase1 7 4 11" xfId="42745"/>
    <cellStyle name="20% - Ênfase1 7 4 12" xfId="46777"/>
    <cellStyle name="20% - Ênfase1 7 4 13" xfId="50856"/>
    <cellStyle name="20% - Ênfase1 7 4 2" xfId="8471"/>
    <cellStyle name="20% - Ênfase1 7 4 2 10" xfId="44761"/>
    <cellStyle name="20% - Ênfase1 7 4 2 11" xfId="48793"/>
    <cellStyle name="20% - Ênfase1 7 4 2 12" xfId="52872"/>
    <cellStyle name="20% - Ênfase1 7 4 2 2" xfId="12505"/>
    <cellStyle name="20% - Ênfase1 7 4 2 3" xfId="16537"/>
    <cellStyle name="20% - Ênfase1 7 4 2 4" xfId="20569"/>
    <cellStyle name="20% - Ênfase1 7 4 2 5" xfId="24601"/>
    <cellStyle name="20% - Ênfase1 7 4 2 6" xfId="28633"/>
    <cellStyle name="20% - Ênfase1 7 4 2 7" xfId="32665"/>
    <cellStyle name="20% - Ênfase1 7 4 2 8" xfId="36697"/>
    <cellStyle name="20% - Ênfase1 7 4 2 9" xfId="40729"/>
    <cellStyle name="20% - Ênfase1 7 4 3" xfId="10489"/>
    <cellStyle name="20% - Ênfase1 7 4 4" xfId="14521"/>
    <cellStyle name="20% - Ênfase1 7 4 5" xfId="18553"/>
    <cellStyle name="20% - Ênfase1 7 4 6" xfId="22585"/>
    <cellStyle name="20% - Ênfase1 7 4 7" xfId="26617"/>
    <cellStyle name="20% - Ênfase1 7 4 8" xfId="30649"/>
    <cellStyle name="20% - Ênfase1 7 4 9" xfId="34681"/>
    <cellStyle name="20% - Ênfase1 7 5" xfId="7520"/>
    <cellStyle name="20% - Ênfase1 7 5 10" xfId="43810"/>
    <cellStyle name="20% - Ênfase1 7 5 11" xfId="47842"/>
    <cellStyle name="20% - Ênfase1 7 5 12" xfId="51921"/>
    <cellStyle name="20% - Ênfase1 7 5 2" xfId="11554"/>
    <cellStyle name="20% - Ênfase1 7 5 3" xfId="15586"/>
    <cellStyle name="20% - Ênfase1 7 5 4" xfId="19618"/>
    <cellStyle name="20% - Ênfase1 7 5 5" xfId="23650"/>
    <cellStyle name="20% - Ênfase1 7 5 6" xfId="27682"/>
    <cellStyle name="20% - Ênfase1 7 5 7" xfId="31714"/>
    <cellStyle name="20% - Ênfase1 7 5 8" xfId="35746"/>
    <cellStyle name="20% - Ênfase1 7 5 9" xfId="39778"/>
    <cellStyle name="20% - Ênfase1 7 6" xfId="9538"/>
    <cellStyle name="20% - Ênfase1 7 7" xfId="13570"/>
    <cellStyle name="20% - Ênfase1 7 8" xfId="17602"/>
    <cellStyle name="20% - Ênfase1 7 9" xfId="21634"/>
    <cellStyle name="20% - Ênfase1 8" xfId="1795"/>
    <cellStyle name="20% - Ênfase1 8 2" xfId="1796"/>
    <cellStyle name="20% - Ênfase1 9" xfId="1797"/>
    <cellStyle name="20% - Ênfase1 9 2" xfId="1798"/>
    <cellStyle name="20% - Ênfase2 10" xfId="1799"/>
    <cellStyle name="20% - Ênfase2 10 10" xfId="29699"/>
    <cellStyle name="20% - Ênfase2 10 11" xfId="33731"/>
    <cellStyle name="20% - Ênfase2 10 12" xfId="37763"/>
    <cellStyle name="20% - Ênfase2 10 13" xfId="41795"/>
    <cellStyle name="20% - Ênfase2 10 14" xfId="45827"/>
    <cellStyle name="20% - Ênfase2 10 15" xfId="49905"/>
    <cellStyle name="20% - Ênfase2 10 2" xfId="1800"/>
    <cellStyle name="20% - Ênfase2 10 3" xfId="5446"/>
    <cellStyle name="20% - Ênfase2 10 3 10" xfId="38714"/>
    <cellStyle name="20% - Ênfase2 10 3 11" xfId="42746"/>
    <cellStyle name="20% - Ênfase2 10 3 12" xfId="46778"/>
    <cellStyle name="20% - Ênfase2 10 3 13" xfId="50857"/>
    <cellStyle name="20% - Ênfase2 10 3 2" xfId="8472"/>
    <cellStyle name="20% - Ênfase2 10 3 2 10" xfId="44762"/>
    <cellStyle name="20% - Ênfase2 10 3 2 11" xfId="48794"/>
    <cellStyle name="20% - Ênfase2 10 3 2 12" xfId="52873"/>
    <cellStyle name="20% - Ênfase2 10 3 2 2" xfId="12506"/>
    <cellStyle name="20% - Ênfase2 10 3 2 3" xfId="16538"/>
    <cellStyle name="20% - Ênfase2 10 3 2 4" xfId="20570"/>
    <cellStyle name="20% - Ênfase2 10 3 2 5" xfId="24602"/>
    <cellStyle name="20% - Ênfase2 10 3 2 6" xfId="28634"/>
    <cellStyle name="20% - Ênfase2 10 3 2 7" xfId="32666"/>
    <cellStyle name="20% - Ênfase2 10 3 2 8" xfId="36698"/>
    <cellStyle name="20% - Ênfase2 10 3 2 9" xfId="40730"/>
    <cellStyle name="20% - Ênfase2 10 3 3" xfId="10490"/>
    <cellStyle name="20% - Ênfase2 10 3 4" xfId="14522"/>
    <cellStyle name="20% - Ênfase2 10 3 5" xfId="18554"/>
    <cellStyle name="20% - Ênfase2 10 3 6" xfId="22586"/>
    <cellStyle name="20% - Ênfase2 10 3 7" xfId="26618"/>
    <cellStyle name="20% - Ênfase2 10 3 8" xfId="30650"/>
    <cellStyle name="20% - Ênfase2 10 3 9" xfId="34682"/>
    <cellStyle name="20% - Ênfase2 10 4" xfId="7521"/>
    <cellStyle name="20% - Ênfase2 10 4 10" xfId="43811"/>
    <cellStyle name="20% - Ênfase2 10 4 11" xfId="47843"/>
    <cellStyle name="20% - Ênfase2 10 4 12" xfId="51922"/>
    <cellStyle name="20% - Ênfase2 10 4 2" xfId="11555"/>
    <cellStyle name="20% - Ênfase2 10 4 3" xfId="15587"/>
    <cellStyle name="20% - Ênfase2 10 4 4" xfId="19619"/>
    <cellStyle name="20% - Ênfase2 10 4 5" xfId="23651"/>
    <cellStyle name="20% - Ênfase2 10 4 6" xfId="27683"/>
    <cellStyle name="20% - Ênfase2 10 4 7" xfId="31715"/>
    <cellStyle name="20% - Ênfase2 10 4 8" xfId="35747"/>
    <cellStyle name="20% - Ênfase2 10 4 9" xfId="39779"/>
    <cellStyle name="20% - Ênfase2 10 5" xfId="9539"/>
    <cellStyle name="20% - Ênfase2 10 6" xfId="13571"/>
    <cellStyle name="20% - Ênfase2 10 7" xfId="17603"/>
    <cellStyle name="20% - Ênfase2 10 8" xfId="21635"/>
    <cellStyle name="20% - Ênfase2 10 9" xfId="25667"/>
    <cellStyle name="20% - Ênfase2 11" xfId="1801"/>
    <cellStyle name="20% - Ênfase2 11 10" xfId="29700"/>
    <cellStyle name="20% - Ênfase2 11 11" xfId="33732"/>
    <cellStyle name="20% - Ênfase2 11 12" xfId="37764"/>
    <cellStyle name="20% - Ênfase2 11 13" xfId="41796"/>
    <cellStyle name="20% - Ênfase2 11 14" xfId="45828"/>
    <cellStyle name="20% - Ênfase2 11 15" xfId="49906"/>
    <cellStyle name="20% - Ênfase2 11 2" xfId="1802"/>
    <cellStyle name="20% - Ênfase2 11 3" xfId="5447"/>
    <cellStyle name="20% - Ênfase2 11 3 10" xfId="38715"/>
    <cellStyle name="20% - Ênfase2 11 3 11" xfId="42747"/>
    <cellStyle name="20% - Ênfase2 11 3 12" xfId="46779"/>
    <cellStyle name="20% - Ênfase2 11 3 13" xfId="50858"/>
    <cellStyle name="20% - Ênfase2 11 3 2" xfId="8473"/>
    <cellStyle name="20% - Ênfase2 11 3 2 10" xfId="44763"/>
    <cellStyle name="20% - Ênfase2 11 3 2 11" xfId="48795"/>
    <cellStyle name="20% - Ênfase2 11 3 2 12" xfId="52874"/>
    <cellStyle name="20% - Ênfase2 11 3 2 2" xfId="12507"/>
    <cellStyle name="20% - Ênfase2 11 3 2 3" xfId="16539"/>
    <cellStyle name="20% - Ênfase2 11 3 2 4" xfId="20571"/>
    <cellStyle name="20% - Ênfase2 11 3 2 5" xfId="24603"/>
    <cellStyle name="20% - Ênfase2 11 3 2 6" xfId="28635"/>
    <cellStyle name="20% - Ênfase2 11 3 2 7" xfId="32667"/>
    <cellStyle name="20% - Ênfase2 11 3 2 8" xfId="36699"/>
    <cellStyle name="20% - Ênfase2 11 3 2 9" xfId="40731"/>
    <cellStyle name="20% - Ênfase2 11 3 3" xfId="10491"/>
    <cellStyle name="20% - Ênfase2 11 3 4" xfId="14523"/>
    <cellStyle name="20% - Ênfase2 11 3 5" xfId="18555"/>
    <cellStyle name="20% - Ênfase2 11 3 6" xfId="22587"/>
    <cellStyle name="20% - Ênfase2 11 3 7" xfId="26619"/>
    <cellStyle name="20% - Ênfase2 11 3 8" xfId="30651"/>
    <cellStyle name="20% - Ênfase2 11 3 9" xfId="34683"/>
    <cellStyle name="20% - Ênfase2 11 4" xfId="7522"/>
    <cellStyle name="20% - Ênfase2 11 4 10" xfId="43812"/>
    <cellStyle name="20% - Ênfase2 11 4 11" xfId="47844"/>
    <cellStyle name="20% - Ênfase2 11 4 12" xfId="51923"/>
    <cellStyle name="20% - Ênfase2 11 4 2" xfId="11556"/>
    <cellStyle name="20% - Ênfase2 11 4 3" xfId="15588"/>
    <cellStyle name="20% - Ênfase2 11 4 4" xfId="19620"/>
    <cellStyle name="20% - Ênfase2 11 4 5" xfId="23652"/>
    <cellStyle name="20% - Ênfase2 11 4 6" xfId="27684"/>
    <cellStyle name="20% - Ênfase2 11 4 7" xfId="31716"/>
    <cellStyle name="20% - Ênfase2 11 4 8" xfId="35748"/>
    <cellStyle name="20% - Ênfase2 11 4 9" xfId="39780"/>
    <cellStyle name="20% - Ênfase2 11 5" xfId="9540"/>
    <cellStyle name="20% - Ênfase2 11 6" xfId="13572"/>
    <cellStyle name="20% - Ênfase2 11 7" xfId="17604"/>
    <cellStyle name="20% - Ênfase2 11 8" xfId="21636"/>
    <cellStyle name="20% - Ênfase2 11 9" xfId="25668"/>
    <cellStyle name="20% - Ênfase2 12" xfId="1803"/>
    <cellStyle name="20% - Ênfase2 12 10" xfId="29701"/>
    <cellStyle name="20% - Ênfase2 12 11" xfId="33733"/>
    <cellStyle name="20% - Ênfase2 12 12" xfId="37765"/>
    <cellStyle name="20% - Ênfase2 12 13" xfId="41797"/>
    <cellStyle name="20% - Ênfase2 12 14" xfId="45829"/>
    <cellStyle name="20% - Ênfase2 12 15" xfId="49907"/>
    <cellStyle name="20% - Ênfase2 12 2" xfId="1804"/>
    <cellStyle name="20% - Ênfase2 12 3" xfId="5448"/>
    <cellStyle name="20% - Ênfase2 12 3 10" xfId="38716"/>
    <cellStyle name="20% - Ênfase2 12 3 11" xfId="42748"/>
    <cellStyle name="20% - Ênfase2 12 3 12" xfId="46780"/>
    <cellStyle name="20% - Ênfase2 12 3 13" xfId="50859"/>
    <cellStyle name="20% - Ênfase2 12 3 2" xfId="8474"/>
    <cellStyle name="20% - Ênfase2 12 3 2 10" xfId="44764"/>
    <cellStyle name="20% - Ênfase2 12 3 2 11" xfId="48796"/>
    <cellStyle name="20% - Ênfase2 12 3 2 12" xfId="52875"/>
    <cellStyle name="20% - Ênfase2 12 3 2 2" xfId="12508"/>
    <cellStyle name="20% - Ênfase2 12 3 2 3" xfId="16540"/>
    <cellStyle name="20% - Ênfase2 12 3 2 4" xfId="20572"/>
    <cellStyle name="20% - Ênfase2 12 3 2 5" xfId="24604"/>
    <cellStyle name="20% - Ênfase2 12 3 2 6" xfId="28636"/>
    <cellStyle name="20% - Ênfase2 12 3 2 7" xfId="32668"/>
    <cellStyle name="20% - Ênfase2 12 3 2 8" xfId="36700"/>
    <cellStyle name="20% - Ênfase2 12 3 2 9" xfId="40732"/>
    <cellStyle name="20% - Ênfase2 12 3 3" xfId="10492"/>
    <cellStyle name="20% - Ênfase2 12 3 4" xfId="14524"/>
    <cellStyle name="20% - Ênfase2 12 3 5" xfId="18556"/>
    <cellStyle name="20% - Ênfase2 12 3 6" xfId="22588"/>
    <cellStyle name="20% - Ênfase2 12 3 7" xfId="26620"/>
    <cellStyle name="20% - Ênfase2 12 3 8" xfId="30652"/>
    <cellStyle name="20% - Ênfase2 12 3 9" xfId="34684"/>
    <cellStyle name="20% - Ênfase2 12 4" xfId="7523"/>
    <cellStyle name="20% - Ênfase2 12 4 10" xfId="43813"/>
    <cellStyle name="20% - Ênfase2 12 4 11" xfId="47845"/>
    <cellStyle name="20% - Ênfase2 12 4 12" xfId="51924"/>
    <cellStyle name="20% - Ênfase2 12 4 2" xfId="11557"/>
    <cellStyle name="20% - Ênfase2 12 4 3" xfId="15589"/>
    <cellStyle name="20% - Ênfase2 12 4 4" xfId="19621"/>
    <cellStyle name="20% - Ênfase2 12 4 5" xfId="23653"/>
    <cellStyle name="20% - Ênfase2 12 4 6" xfId="27685"/>
    <cellStyle name="20% - Ênfase2 12 4 7" xfId="31717"/>
    <cellStyle name="20% - Ênfase2 12 4 8" xfId="35749"/>
    <cellStyle name="20% - Ênfase2 12 4 9" xfId="39781"/>
    <cellStyle name="20% - Ênfase2 12 5" xfId="9541"/>
    <cellStyle name="20% - Ênfase2 12 6" xfId="13573"/>
    <cellStyle name="20% - Ênfase2 12 7" xfId="17605"/>
    <cellStyle name="20% - Ênfase2 12 8" xfId="21637"/>
    <cellStyle name="20% - Ênfase2 12 9" xfId="25669"/>
    <cellStyle name="20% - Ênfase2 13" xfId="1805"/>
    <cellStyle name="20% - Ênfase2 13 10" xfId="29702"/>
    <cellStyle name="20% - Ênfase2 13 11" xfId="33734"/>
    <cellStyle name="20% - Ênfase2 13 12" xfId="37766"/>
    <cellStyle name="20% - Ênfase2 13 13" xfId="41798"/>
    <cellStyle name="20% - Ênfase2 13 14" xfId="45830"/>
    <cellStyle name="20% - Ênfase2 13 15" xfId="49908"/>
    <cellStyle name="20% - Ênfase2 13 2" xfId="1806"/>
    <cellStyle name="20% - Ênfase2 13 3" xfId="5449"/>
    <cellStyle name="20% - Ênfase2 13 3 10" xfId="38717"/>
    <cellStyle name="20% - Ênfase2 13 3 11" xfId="42749"/>
    <cellStyle name="20% - Ênfase2 13 3 12" xfId="46781"/>
    <cellStyle name="20% - Ênfase2 13 3 13" xfId="50860"/>
    <cellStyle name="20% - Ênfase2 13 3 2" xfId="8475"/>
    <cellStyle name="20% - Ênfase2 13 3 2 10" xfId="44765"/>
    <cellStyle name="20% - Ênfase2 13 3 2 11" xfId="48797"/>
    <cellStyle name="20% - Ênfase2 13 3 2 12" xfId="52876"/>
    <cellStyle name="20% - Ênfase2 13 3 2 2" xfId="12509"/>
    <cellStyle name="20% - Ênfase2 13 3 2 3" xfId="16541"/>
    <cellStyle name="20% - Ênfase2 13 3 2 4" xfId="20573"/>
    <cellStyle name="20% - Ênfase2 13 3 2 5" xfId="24605"/>
    <cellStyle name="20% - Ênfase2 13 3 2 6" xfId="28637"/>
    <cellStyle name="20% - Ênfase2 13 3 2 7" xfId="32669"/>
    <cellStyle name="20% - Ênfase2 13 3 2 8" xfId="36701"/>
    <cellStyle name="20% - Ênfase2 13 3 2 9" xfId="40733"/>
    <cellStyle name="20% - Ênfase2 13 3 3" xfId="10493"/>
    <cellStyle name="20% - Ênfase2 13 3 4" xfId="14525"/>
    <cellStyle name="20% - Ênfase2 13 3 5" xfId="18557"/>
    <cellStyle name="20% - Ênfase2 13 3 6" xfId="22589"/>
    <cellStyle name="20% - Ênfase2 13 3 7" xfId="26621"/>
    <cellStyle name="20% - Ênfase2 13 3 8" xfId="30653"/>
    <cellStyle name="20% - Ênfase2 13 3 9" xfId="34685"/>
    <cellStyle name="20% - Ênfase2 13 4" xfId="7524"/>
    <cellStyle name="20% - Ênfase2 13 4 10" xfId="43814"/>
    <cellStyle name="20% - Ênfase2 13 4 11" xfId="47846"/>
    <cellStyle name="20% - Ênfase2 13 4 12" xfId="51925"/>
    <cellStyle name="20% - Ênfase2 13 4 2" xfId="11558"/>
    <cellStyle name="20% - Ênfase2 13 4 3" xfId="15590"/>
    <cellStyle name="20% - Ênfase2 13 4 4" xfId="19622"/>
    <cellStyle name="20% - Ênfase2 13 4 5" xfId="23654"/>
    <cellStyle name="20% - Ênfase2 13 4 6" xfId="27686"/>
    <cellStyle name="20% - Ênfase2 13 4 7" xfId="31718"/>
    <cellStyle name="20% - Ênfase2 13 4 8" xfId="35750"/>
    <cellStyle name="20% - Ênfase2 13 4 9" xfId="39782"/>
    <cellStyle name="20% - Ênfase2 13 5" xfId="9542"/>
    <cellStyle name="20% - Ênfase2 13 6" xfId="13574"/>
    <cellStyle name="20% - Ênfase2 13 7" xfId="17606"/>
    <cellStyle name="20% - Ênfase2 13 8" xfId="21638"/>
    <cellStyle name="20% - Ênfase2 13 9" xfId="25670"/>
    <cellStyle name="20% - Ênfase2 14 2" xfId="1807"/>
    <cellStyle name="20% - Ênfase2 15 2" xfId="1808"/>
    <cellStyle name="20% - Ênfase2 16 2" xfId="1809"/>
    <cellStyle name="20% - Ênfase2 17 2" xfId="1810"/>
    <cellStyle name="20% - Ênfase2 2" xfId="384"/>
    <cellStyle name="20% - Ênfase2 2 2" xfId="523"/>
    <cellStyle name="20% - Ênfase2 2 2 2" xfId="1812"/>
    <cellStyle name="20% - Ênfase2 2 3" xfId="834"/>
    <cellStyle name="20% - Ênfase2 2 3 2" xfId="1813"/>
    <cellStyle name="20% - Ênfase2 2 4" xfId="1020"/>
    <cellStyle name="20% - Ênfase2 2 5" xfId="1811"/>
    <cellStyle name="20% - Ênfase2 2 5 10" xfId="33735"/>
    <cellStyle name="20% - Ênfase2 2 5 11" xfId="37767"/>
    <cellStyle name="20% - Ênfase2 2 5 12" xfId="41799"/>
    <cellStyle name="20% - Ênfase2 2 5 13" xfId="45831"/>
    <cellStyle name="20% - Ênfase2 2 5 14" xfId="49909"/>
    <cellStyle name="20% - Ênfase2 2 5 2" xfId="5450"/>
    <cellStyle name="20% - Ênfase2 2 5 2 10" xfId="38718"/>
    <cellStyle name="20% - Ênfase2 2 5 2 11" xfId="42750"/>
    <cellStyle name="20% - Ênfase2 2 5 2 12" xfId="46782"/>
    <cellStyle name="20% - Ênfase2 2 5 2 13" xfId="50861"/>
    <cellStyle name="20% - Ênfase2 2 5 2 2" xfId="8476"/>
    <cellStyle name="20% - Ênfase2 2 5 2 2 10" xfId="44766"/>
    <cellStyle name="20% - Ênfase2 2 5 2 2 11" xfId="48798"/>
    <cellStyle name="20% - Ênfase2 2 5 2 2 12" xfId="52877"/>
    <cellStyle name="20% - Ênfase2 2 5 2 2 2" xfId="12510"/>
    <cellStyle name="20% - Ênfase2 2 5 2 2 3" xfId="16542"/>
    <cellStyle name="20% - Ênfase2 2 5 2 2 4" xfId="20574"/>
    <cellStyle name="20% - Ênfase2 2 5 2 2 5" xfId="24606"/>
    <cellStyle name="20% - Ênfase2 2 5 2 2 6" xfId="28638"/>
    <cellStyle name="20% - Ênfase2 2 5 2 2 7" xfId="32670"/>
    <cellStyle name="20% - Ênfase2 2 5 2 2 8" xfId="36702"/>
    <cellStyle name="20% - Ênfase2 2 5 2 2 9" xfId="40734"/>
    <cellStyle name="20% - Ênfase2 2 5 2 3" xfId="10494"/>
    <cellStyle name="20% - Ênfase2 2 5 2 4" xfId="14526"/>
    <cellStyle name="20% - Ênfase2 2 5 2 5" xfId="18558"/>
    <cellStyle name="20% - Ênfase2 2 5 2 6" xfId="22590"/>
    <cellStyle name="20% - Ênfase2 2 5 2 7" xfId="26622"/>
    <cellStyle name="20% - Ênfase2 2 5 2 8" xfId="30654"/>
    <cellStyle name="20% - Ênfase2 2 5 2 9" xfId="34686"/>
    <cellStyle name="20% - Ênfase2 2 5 3" xfId="7525"/>
    <cellStyle name="20% - Ênfase2 2 5 3 10" xfId="43815"/>
    <cellStyle name="20% - Ênfase2 2 5 3 11" xfId="47847"/>
    <cellStyle name="20% - Ênfase2 2 5 3 12" xfId="51926"/>
    <cellStyle name="20% - Ênfase2 2 5 3 2" xfId="11559"/>
    <cellStyle name="20% - Ênfase2 2 5 3 3" xfId="15591"/>
    <cellStyle name="20% - Ênfase2 2 5 3 4" xfId="19623"/>
    <cellStyle name="20% - Ênfase2 2 5 3 5" xfId="23655"/>
    <cellStyle name="20% - Ênfase2 2 5 3 6" xfId="27687"/>
    <cellStyle name="20% - Ênfase2 2 5 3 7" xfId="31719"/>
    <cellStyle name="20% - Ênfase2 2 5 3 8" xfId="35751"/>
    <cellStyle name="20% - Ênfase2 2 5 3 9" xfId="39783"/>
    <cellStyle name="20% - Ênfase2 2 5 4" xfId="9543"/>
    <cellStyle name="20% - Ênfase2 2 5 5" xfId="13575"/>
    <cellStyle name="20% - Ênfase2 2 5 6" xfId="17607"/>
    <cellStyle name="20% - Ênfase2 2 5 7" xfId="21639"/>
    <cellStyle name="20% - Ênfase2 2 5 8" xfId="25671"/>
    <cellStyle name="20% - Ênfase2 2 5 9" xfId="29703"/>
    <cellStyle name="20% - Ênfase2 3" xfId="451"/>
    <cellStyle name="20% - Ênfase2 3 2" xfId="1021"/>
    <cellStyle name="20% - Ênfase2 3 2 10" xfId="29530"/>
    <cellStyle name="20% - Ênfase2 3 2 11" xfId="33562"/>
    <cellStyle name="20% - Ênfase2 3 2 12" xfId="37594"/>
    <cellStyle name="20% - Ênfase2 3 2 13" xfId="41626"/>
    <cellStyle name="20% - Ênfase2 3 2 14" xfId="45658"/>
    <cellStyle name="20% - Ênfase2 3 2 15" xfId="49736"/>
    <cellStyle name="20% - Ênfase2 3 2 2" xfId="1815"/>
    <cellStyle name="20% - Ênfase2 3 2 3" xfId="5036"/>
    <cellStyle name="20% - Ênfase2 3 2 3 10" xfId="38559"/>
    <cellStyle name="20% - Ênfase2 3 2 3 11" xfId="42591"/>
    <cellStyle name="20% - Ênfase2 3 2 3 12" xfId="46623"/>
    <cellStyle name="20% - Ênfase2 3 2 3 13" xfId="50702"/>
    <cellStyle name="20% - Ênfase2 3 2 3 2" xfId="8317"/>
    <cellStyle name="20% - Ênfase2 3 2 3 2 10" xfId="44607"/>
    <cellStyle name="20% - Ênfase2 3 2 3 2 11" xfId="48639"/>
    <cellStyle name="20% - Ênfase2 3 2 3 2 12" xfId="52718"/>
    <cellStyle name="20% - Ênfase2 3 2 3 2 2" xfId="12351"/>
    <cellStyle name="20% - Ênfase2 3 2 3 2 3" xfId="16383"/>
    <cellStyle name="20% - Ênfase2 3 2 3 2 4" xfId="20415"/>
    <cellStyle name="20% - Ênfase2 3 2 3 2 5" xfId="24447"/>
    <cellStyle name="20% - Ênfase2 3 2 3 2 6" xfId="28479"/>
    <cellStyle name="20% - Ênfase2 3 2 3 2 7" xfId="32511"/>
    <cellStyle name="20% - Ênfase2 3 2 3 2 8" xfId="36543"/>
    <cellStyle name="20% - Ênfase2 3 2 3 2 9" xfId="40575"/>
    <cellStyle name="20% - Ênfase2 3 2 3 3" xfId="10335"/>
    <cellStyle name="20% - Ênfase2 3 2 3 4" xfId="14367"/>
    <cellStyle name="20% - Ênfase2 3 2 3 5" xfId="18399"/>
    <cellStyle name="20% - Ênfase2 3 2 3 6" xfId="22431"/>
    <cellStyle name="20% - Ênfase2 3 2 3 7" xfId="26463"/>
    <cellStyle name="20% - Ênfase2 3 2 3 8" xfId="30495"/>
    <cellStyle name="20% - Ênfase2 3 2 3 9" xfId="34527"/>
    <cellStyle name="20% - Ênfase2 3 2 4" xfId="7352"/>
    <cellStyle name="20% - Ênfase2 3 2 4 10" xfId="43642"/>
    <cellStyle name="20% - Ênfase2 3 2 4 11" xfId="47674"/>
    <cellStyle name="20% - Ênfase2 3 2 4 12" xfId="51753"/>
    <cellStyle name="20% - Ênfase2 3 2 4 2" xfId="11386"/>
    <cellStyle name="20% - Ênfase2 3 2 4 3" xfId="15418"/>
    <cellStyle name="20% - Ênfase2 3 2 4 4" xfId="19450"/>
    <cellStyle name="20% - Ênfase2 3 2 4 5" xfId="23482"/>
    <cellStyle name="20% - Ênfase2 3 2 4 6" xfId="27514"/>
    <cellStyle name="20% - Ênfase2 3 2 4 7" xfId="31546"/>
    <cellStyle name="20% - Ênfase2 3 2 4 8" xfId="35578"/>
    <cellStyle name="20% - Ênfase2 3 2 4 9" xfId="39610"/>
    <cellStyle name="20% - Ênfase2 3 2 5" xfId="9370"/>
    <cellStyle name="20% - Ênfase2 3 2 6" xfId="13402"/>
    <cellStyle name="20% - Ênfase2 3 2 7" xfId="17434"/>
    <cellStyle name="20% - Ênfase2 3 2 8" xfId="21466"/>
    <cellStyle name="20% - Ênfase2 3 2 9" xfId="25498"/>
    <cellStyle name="20% - Ênfase2 3 3" xfId="1816"/>
    <cellStyle name="20% - Ênfase2 3 4" xfId="1814"/>
    <cellStyle name="20% - Ênfase2 3 4 10" xfId="33736"/>
    <cellStyle name="20% - Ênfase2 3 4 11" xfId="37768"/>
    <cellStyle name="20% - Ênfase2 3 4 12" xfId="41800"/>
    <cellStyle name="20% - Ênfase2 3 4 13" xfId="45832"/>
    <cellStyle name="20% - Ênfase2 3 4 14" xfId="49910"/>
    <cellStyle name="20% - Ênfase2 3 4 2" xfId="5451"/>
    <cellStyle name="20% - Ênfase2 3 4 2 10" xfId="38719"/>
    <cellStyle name="20% - Ênfase2 3 4 2 11" xfId="42751"/>
    <cellStyle name="20% - Ênfase2 3 4 2 12" xfId="46783"/>
    <cellStyle name="20% - Ênfase2 3 4 2 13" xfId="50862"/>
    <cellStyle name="20% - Ênfase2 3 4 2 2" xfId="8477"/>
    <cellStyle name="20% - Ênfase2 3 4 2 2 10" xfId="44767"/>
    <cellStyle name="20% - Ênfase2 3 4 2 2 11" xfId="48799"/>
    <cellStyle name="20% - Ênfase2 3 4 2 2 12" xfId="52878"/>
    <cellStyle name="20% - Ênfase2 3 4 2 2 2" xfId="12511"/>
    <cellStyle name="20% - Ênfase2 3 4 2 2 3" xfId="16543"/>
    <cellStyle name="20% - Ênfase2 3 4 2 2 4" xfId="20575"/>
    <cellStyle name="20% - Ênfase2 3 4 2 2 5" xfId="24607"/>
    <cellStyle name="20% - Ênfase2 3 4 2 2 6" xfId="28639"/>
    <cellStyle name="20% - Ênfase2 3 4 2 2 7" xfId="32671"/>
    <cellStyle name="20% - Ênfase2 3 4 2 2 8" xfId="36703"/>
    <cellStyle name="20% - Ênfase2 3 4 2 2 9" xfId="40735"/>
    <cellStyle name="20% - Ênfase2 3 4 2 3" xfId="10495"/>
    <cellStyle name="20% - Ênfase2 3 4 2 4" xfId="14527"/>
    <cellStyle name="20% - Ênfase2 3 4 2 5" xfId="18559"/>
    <cellStyle name="20% - Ênfase2 3 4 2 6" xfId="22591"/>
    <cellStyle name="20% - Ênfase2 3 4 2 7" xfId="26623"/>
    <cellStyle name="20% - Ênfase2 3 4 2 8" xfId="30655"/>
    <cellStyle name="20% - Ênfase2 3 4 2 9" xfId="34687"/>
    <cellStyle name="20% - Ênfase2 3 4 3" xfId="7526"/>
    <cellStyle name="20% - Ênfase2 3 4 3 10" xfId="43816"/>
    <cellStyle name="20% - Ênfase2 3 4 3 11" xfId="47848"/>
    <cellStyle name="20% - Ênfase2 3 4 3 12" xfId="51927"/>
    <cellStyle name="20% - Ênfase2 3 4 3 2" xfId="11560"/>
    <cellStyle name="20% - Ênfase2 3 4 3 3" xfId="15592"/>
    <cellStyle name="20% - Ênfase2 3 4 3 4" xfId="19624"/>
    <cellStyle name="20% - Ênfase2 3 4 3 5" xfId="23656"/>
    <cellStyle name="20% - Ênfase2 3 4 3 6" xfId="27688"/>
    <cellStyle name="20% - Ênfase2 3 4 3 7" xfId="31720"/>
    <cellStyle name="20% - Ênfase2 3 4 3 8" xfId="35752"/>
    <cellStyle name="20% - Ênfase2 3 4 3 9" xfId="39784"/>
    <cellStyle name="20% - Ênfase2 3 4 4" xfId="9544"/>
    <cellStyle name="20% - Ênfase2 3 4 5" xfId="13576"/>
    <cellStyle name="20% - Ênfase2 3 4 6" xfId="17608"/>
    <cellStyle name="20% - Ênfase2 3 4 7" xfId="21640"/>
    <cellStyle name="20% - Ênfase2 3 4 8" xfId="25672"/>
    <cellStyle name="20% - Ênfase2 3 4 9" xfId="29704"/>
    <cellStyle name="20% - Ênfase2 4" xfId="1126"/>
    <cellStyle name="20% - Ênfase2 4 2" xfId="1818"/>
    <cellStyle name="20% - Ênfase2 4 3" xfId="1819"/>
    <cellStyle name="20% - Ênfase2 4 4" xfId="1817"/>
    <cellStyle name="20% - Ênfase2 4 4 10" xfId="33737"/>
    <cellStyle name="20% - Ênfase2 4 4 11" xfId="37769"/>
    <cellStyle name="20% - Ênfase2 4 4 12" xfId="41801"/>
    <cellStyle name="20% - Ênfase2 4 4 13" xfId="45833"/>
    <cellStyle name="20% - Ênfase2 4 4 14" xfId="49911"/>
    <cellStyle name="20% - Ênfase2 4 4 2" xfId="5452"/>
    <cellStyle name="20% - Ênfase2 4 4 2 10" xfId="38720"/>
    <cellStyle name="20% - Ênfase2 4 4 2 11" xfId="42752"/>
    <cellStyle name="20% - Ênfase2 4 4 2 12" xfId="46784"/>
    <cellStyle name="20% - Ênfase2 4 4 2 13" xfId="50863"/>
    <cellStyle name="20% - Ênfase2 4 4 2 2" xfId="8478"/>
    <cellStyle name="20% - Ênfase2 4 4 2 2 10" xfId="44768"/>
    <cellStyle name="20% - Ênfase2 4 4 2 2 11" xfId="48800"/>
    <cellStyle name="20% - Ênfase2 4 4 2 2 12" xfId="52879"/>
    <cellStyle name="20% - Ênfase2 4 4 2 2 2" xfId="12512"/>
    <cellStyle name="20% - Ênfase2 4 4 2 2 3" xfId="16544"/>
    <cellStyle name="20% - Ênfase2 4 4 2 2 4" xfId="20576"/>
    <cellStyle name="20% - Ênfase2 4 4 2 2 5" xfId="24608"/>
    <cellStyle name="20% - Ênfase2 4 4 2 2 6" xfId="28640"/>
    <cellStyle name="20% - Ênfase2 4 4 2 2 7" xfId="32672"/>
    <cellStyle name="20% - Ênfase2 4 4 2 2 8" xfId="36704"/>
    <cellStyle name="20% - Ênfase2 4 4 2 2 9" xfId="40736"/>
    <cellStyle name="20% - Ênfase2 4 4 2 3" xfId="10496"/>
    <cellStyle name="20% - Ênfase2 4 4 2 4" xfId="14528"/>
    <cellStyle name="20% - Ênfase2 4 4 2 5" xfId="18560"/>
    <cellStyle name="20% - Ênfase2 4 4 2 6" xfId="22592"/>
    <cellStyle name="20% - Ênfase2 4 4 2 7" xfId="26624"/>
    <cellStyle name="20% - Ênfase2 4 4 2 8" xfId="30656"/>
    <cellStyle name="20% - Ênfase2 4 4 2 9" xfId="34688"/>
    <cellStyle name="20% - Ênfase2 4 4 3" xfId="7527"/>
    <cellStyle name="20% - Ênfase2 4 4 3 10" xfId="43817"/>
    <cellStyle name="20% - Ênfase2 4 4 3 11" xfId="47849"/>
    <cellStyle name="20% - Ênfase2 4 4 3 12" xfId="51928"/>
    <cellStyle name="20% - Ênfase2 4 4 3 2" xfId="11561"/>
    <cellStyle name="20% - Ênfase2 4 4 3 3" xfId="15593"/>
    <cellStyle name="20% - Ênfase2 4 4 3 4" xfId="19625"/>
    <cellStyle name="20% - Ênfase2 4 4 3 5" xfId="23657"/>
    <cellStyle name="20% - Ênfase2 4 4 3 6" xfId="27689"/>
    <cellStyle name="20% - Ênfase2 4 4 3 7" xfId="31721"/>
    <cellStyle name="20% - Ênfase2 4 4 3 8" xfId="35753"/>
    <cellStyle name="20% - Ênfase2 4 4 3 9" xfId="39785"/>
    <cellStyle name="20% - Ênfase2 4 4 4" xfId="9545"/>
    <cellStyle name="20% - Ênfase2 4 4 5" xfId="13577"/>
    <cellStyle name="20% - Ênfase2 4 4 6" xfId="17609"/>
    <cellStyle name="20% - Ênfase2 4 4 7" xfId="21641"/>
    <cellStyle name="20% - Ênfase2 4 4 8" xfId="25673"/>
    <cellStyle name="20% - Ênfase2 4 4 9" xfId="29705"/>
    <cellStyle name="20% - Ênfase2 5" xfId="1168"/>
    <cellStyle name="20% - Ênfase2 5 2" xfId="1821"/>
    <cellStyle name="20% - Ênfase2 5 3" xfId="1822"/>
    <cellStyle name="20% - Ênfase2 5 4" xfId="1820"/>
    <cellStyle name="20% - Ênfase2 5 4 10" xfId="33738"/>
    <cellStyle name="20% - Ênfase2 5 4 11" xfId="37770"/>
    <cellStyle name="20% - Ênfase2 5 4 12" xfId="41802"/>
    <cellStyle name="20% - Ênfase2 5 4 13" xfId="45834"/>
    <cellStyle name="20% - Ênfase2 5 4 14" xfId="49912"/>
    <cellStyle name="20% - Ênfase2 5 4 2" xfId="5453"/>
    <cellStyle name="20% - Ênfase2 5 4 2 10" xfId="38721"/>
    <cellStyle name="20% - Ênfase2 5 4 2 11" xfId="42753"/>
    <cellStyle name="20% - Ênfase2 5 4 2 12" xfId="46785"/>
    <cellStyle name="20% - Ênfase2 5 4 2 13" xfId="50864"/>
    <cellStyle name="20% - Ênfase2 5 4 2 2" xfId="8479"/>
    <cellStyle name="20% - Ênfase2 5 4 2 2 10" xfId="44769"/>
    <cellStyle name="20% - Ênfase2 5 4 2 2 11" xfId="48801"/>
    <cellStyle name="20% - Ênfase2 5 4 2 2 12" xfId="52880"/>
    <cellStyle name="20% - Ênfase2 5 4 2 2 2" xfId="12513"/>
    <cellStyle name="20% - Ênfase2 5 4 2 2 3" xfId="16545"/>
    <cellStyle name="20% - Ênfase2 5 4 2 2 4" xfId="20577"/>
    <cellStyle name="20% - Ênfase2 5 4 2 2 5" xfId="24609"/>
    <cellStyle name="20% - Ênfase2 5 4 2 2 6" xfId="28641"/>
    <cellStyle name="20% - Ênfase2 5 4 2 2 7" xfId="32673"/>
    <cellStyle name="20% - Ênfase2 5 4 2 2 8" xfId="36705"/>
    <cellStyle name="20% - Ênfase2 5 4 2 2 9" xfId="40737"/>
    <cellStyle name="20% - Ênfase2 5 4 2 3" xfId="10497"/>
    <cellStyle name="20% - Ênfase2 5 4 2 4" xfId="14529"/>
    <cellStyle name="20% - Ênfase2 5 4 2 5" xfId="18561"/>
    <cellStyle name="20% - Ênfase2 5 4 2 6" xfId="22593"/>
    <cellStyle name="20% - Ênfase2 5 4 2 7" xfId="26625"/>
    <cellStyle name="20% - Ênfase2 5 4 2 8" xfId="30657"/>
    <cellStyle name="20% - Ênfase2 5 4 2 9" xfId="34689"/>
    <cellStyle name="20% - Ênfase2 5 4 3" xfId="7528"/>
    <cellStyle name="20% - Ênfase2 5 4 3 10" xfId="43818"/>
    <cellStyle name="20% - Ênfase2 5 4 3 11" xfId="47850"/>
    <cellStyle name="20% - Ênfase2 5 4 3 12" xfId="51929"/>
    <cellStyle name="20% - Ênfase2 5 4 3 2" xfId="11562"/>
    <cellStyle name="20% - Ênfase2 5 4 3 3" xfId="15594"/>
    <cellStyle name="20% - Ênfase2 5 4 3 4" xfId="19626"/>
    <cellStyle name="20% - Ênfase2 5 4 3 5" xfId="23658"/>
    <cellStyle name="20% - Ênfase2 5 4 3 6" xfId="27690"/>
    <cellStyle name="20% - Ênfase2 5 4 3 7" xfId="31722"/>
    <cellStyle name="20% - Ênfase2 5 4 3 8" xfId="35754"/>
    <cellStyle name="20% - Ênfase2 5 4 3 9" xfId="39786"/>
    <cellStyle name="20% - Ênfase2 5 4 4" xfId="9546"/>
    <cellStyle name="20% - Ênfase2 5 4 5" xfId="13578"/>
    <cellStyle name="20% - Ênfase2 5 4 6" xfId="17610"/>
    <cellStyle name="20% - Ênfase2 5 4 7" xfId="21642"/>
    <cellStyle name="20% - Ênfase2 5 4 8" xfId="25674"/>
    <cellStyle name="20% - Ênfase2 5 4 9" xfId="29706"/>
    <cellStyle name="20% - Ênfase2 6" xfId="1208"/>
    <cellStyle name="20% - Ênfase2 6 2" xfId="1824"/>
    <cellStyle name="20% - Ênfase2 6 3" xfId="1825"/>
    <cellStyle name="20% - Ênfase2 6 4" xfId="1823"/>
    <cellStyle name="20% - Ênfase2 6 4 10" xfId="33739"/>
    <cellStyle name="20% - Ênfase2 6 4 11" xfId="37771"/>
    <cellStyle name="20% - Ênfase2 6 4 12" xfId="41803"/>
    <cellStyle name="20% - Ênfase2 6 4 13" xfId="45835"/>
    <cellStyle name="20% - Ênfase2 6 4 14" xfId="49913"/>
    <cellStyle name="20% - Ênfase2 6 4 2" xfId="5454"/>
    <cellStyle name="20% - Ênfase2 6 4 2 10" xfId="38722"/>
    <cellStyle name="20% - Ênfase2 6 4 2 11" xfId="42754"/>
    <cellStyle name="20% - Ênfase2 6 4 2 12" xfId="46786"/>
    <cellStyle name="20% - Ênfase2 6 4 2 13" xfId="50865"/>
    <cellStyle name="20% - Ênfase2 6 4 2 2" xfId="8480"/>
    <cellStyle name="20% - Ênfase2 6 4 2 2 10" xfId="44770"/>
    <cellStyle name="20% - Ênfase2 6 4 2 2 11" xfId="48802"/>
    <cellStyle name="20% - Ênfase2 6 4 2 2 12" xfId="52881"/>
    <cellStyle name="20% - Ênfase2 6 4 2 2 2" xfId="12514"/>
    <cellStyle name="20% - Ênfase2 6 4 2 2 3" xfId="16546"/>
    <cellStyle name="20% - Ênfase2 6 4 2 2 4" xfId="20578"/>
    <cellStyle name="20% - Ênfase2 6 4 2 2 5" xfId="24610"/>
    <cellStyle name="20% - Ênfase2 6 4 2 2 6" xfId="28642"/>
    <cellStyle name="20% - Ênfase2 6 4 2 2 7" xfId="32674"/>
    <cellStyle name="20% - Ênfase2 6 4 2 2 8" xfId="36706"/>
    <cellStyle name="20% - Ênfase2 6 4 2 2 9" xfId="40738"/>
    <cellStyle name="20% - Ênfase2 6 4 2 3" xfId="10498"/>
    <cellStyle name="20% - Ênfase2 6 4 2 4" xfId="14530"/>
    <cellStyle name="20% - Ênfase2 6 4 2 5" xfId="18562"/>
    <cellStyle name="20% - Ênfase2 6 4 2 6" xfId="22594"/>
    <cellStyle name="20% - Ênfase2 6 4 2 7" xfId="26626"/>
    <cellStyle name="20% - Ênfase2 6 4 2 8" xfId="30658"/>
    <cellStyle name="20% - Ênfase2 6 4 2 9" xfId="34690"/>
    <cellStyle name="20% - Ênfase2 6 4 3" xfId="7529"/>
    <cellStyle name="20% - Ênfase2 6 4 3 10" xfId="43819"/>
    <cellStyle name="20% - Ênfase2 6 4 3 11" xfId="47851"/>
    <cellStyle name="20% - Ênfase2 6 4 3 12" xfId="51930"/>
    <cellStyle name="20% - Ênfase2 6 4 3 2" xfId="11563"/>
    <cellStyle name="20% - Ênfase2 6 4 3 3" xfId="15595"/>
    <cellStyle name="20% - Ênfase2 6 4 3 4" xfId="19627"/>
    <cellStyle name="20% - Ênfase2 6 4 3 5" xfId="23659"/>
    <cellStyle name="20% - Ênfase2 6 4 3 6" xfId="27691"/>
    <cellStyle name="20% - Ênfase2 6 4 3 7" xfId="31723"/>
    <cellStyle name="20% - Ênfase2 6 4 3 8" xfId="35755"/>
    <cellStyle name="20% - Ênfase2 6 4 3 9" xfId="39787"/>
    <cellStyle name="20% - Ênfase2 6 4 4" xfId="9547"/>
    <cellStyle name="20% - Ênfase2 6 4 5" xfId="13579"/>
    <cellStyle name="20% - Ênfase2 6 4 6" xfId="17611"/>
    <cellStyle name="20% - Ênfase2 6 4 7" xfId="21643"/>
    <cellStyle name="20% - Ênfase2 6 4 8" xfId="25675"/>
    <cellStyle name="20% - Ênfase2 6 4 9" xfId="29707"/>
    <cellStyle name="20% - Ênfase2 7" xfId="1826"/>
    <cellStyle name="20% - Ênfase2 7 10" xfId="25676"/>
    <cellStyle name="20% - Ênfase2 7 11" xfId="29708"/>
    <cellStyle name="20% - Ênfase2 7 12" xfId="33740"/>
    <cellStyle name="20% - Ênfase2 7 13" xfId="37772"/>
    <cellStyle name="20% - Ênfase2 7 14" xfId="41804"/>
    <cellStyle name="20% - Ênfase2 7 15" xfId="45836"/>
    <cellStyle name="20% - Ênfase2 7 16" xfId="49914"/>
    <cellStyle name="20% - Ênfase2 7 2" xfId="1827"/>
    <cellStyle name="20% - Ênfase2 7 3" xfId="1828"/>
    <cellStyle name="20% - Ênfase2 7 4" xfId="5455"/>
    <cellStyle name="20% - Ênfase2 7 4 10" xfId="38723"/>
    <cellStyle name="20% - Ênfase2 7 4 11" xfId="42755"/>
    <cellStyle name="20% - Ênfase2 7 4 12" xfId="46787"/>
    <cellStyle name="20% - Ênfase2 7 4 13" xfId="50866"/>
    <cellStyle name="20% - Ênfase2 7 4 2" xfId="8481"/>
    <cellStyle name="20% - Ênfase2 7 4 2 10" xfId="44771"/>
    <cellStyle name="20% - Ênfase2 7 4 2 11" xfId="48803"/>
    <cellStyle name="20% - Ênfase2 7 4 2 12" xfId="52882"/>
    <cellStyle name="20% - Ênfase2 7 4 2 2" xfId="12515"/>
    <cellStyle name="20% - Ênfase2 7 4 2 3" xfId="16547"/>
    <cellStyle name="20% - Ênfase2 7 4 2 4" xfId="20579"/>
    <cellStyle name="20% - Ênfase2 7 4 2 5" xfId="24611"/>
    <cellStyle name="20% - Ênfase2 7 4 2 6" xfId="28643"/>
    <cellStyle name="20% - Ênfase2 7 4 2 7" xfId="32675"/>
    <cellStyle name="20% - Ênfase2 7 4 2 8" xfId="36707"/>
    <cellStyle name="20% - Ênfase2 7 4 2 9" xfId="40739"/>
    <cellStyle name="20% - Ênfase2 7 4 3" xfId="10499"/>
    <cellStyle name="20% - Ênfase2 7 4 4" xfId="14531"/>
    <cellStyle name="20% - Ênfase2 7 4 5" xfId="18563"/>
    <cellStyle name="20% - Ênfase2 7 4 6" xfId="22595"/>
    <cellStyle name="20% - Ênfase2 7 4 7" xfId="26627"/>
    <cellStyle name="20% - Ênfase2 7 4 8" xfId="30659"/>
    <cellStyle name="20% - Ênfase2 7 4 9" xfId="34691"/>
    <cellStyle name="20% - Ênfase2 7 5" xfId="7530"/>
    <cellStyle name="20% - Ênfase2 7 5 10" xfId="43820"/>
    <cellStyle name="20% - Ênfase2 7 5 11" xfId="47852"/>
    <cellStyle name="20% - Ênfase2 7 5 12" xfId="51931"/>
    <cellStyle name="20% - Ênfase2 7 5 2" xfId="11564"/>
    <cellStyle name="20% - Ênfase2 7 5 3" xfId="15596"/>
    <cellStyle name="20% - Ênfase2 7 5 4" xfId="19628"/>
    <cellStyle name="20% - Ênfase2 7 5 5" xfId="23660"/>
    <cellStyle name="20% - Ênfase2 7 5 6" xfId="27692"/>
    <cellStyle name="20% - Ênfase2 7 5 7" xfId="31724"/>
    <cellStyle name="20% - Ênfase2 7 5 8" xfId="35756"/>
    <cellStyle name="20% - Ênfase2 7 5 9" xfId="39788"/>
    <cellStyle name="20% - Ênfase2 7 6" xfId="9548"/>
    <cellStyle name="20% - Ênfase2 7 7" xfId="13580"/>
    <cellStyle name="20% - Ênfase2 7 8" xfId="17612"/>
    <cellStyle name="20% - Ênfase2 7 9" xfId="21644"/>
    <cellStyle name="20% - Ênfase2 8" xfId="1829"/>
    <cellStyle name="20% - Ênfase2 8 2" xfId="1830"/>
    <cellStyle name="20% - Ênfase2 9" xfId="1831"/>
    <cellStyle name="20% - Ênfase2 9 2" xfId="1832"/>
    <cellStyle name="20% - Ênfase3 10" xfId="1833"/>
    <cellStyle name="20% - Ênfase3 10 10" xfId="29709"/>
    <cellStyle name="20% - Ênfase3 10 11" xfId="33741"/>
    <cellStyle name="20% - Ênfase3 10 12" xfId="37773"/>
    <cellStyle name="20% - Ênfase3 10 13" xfId="41805"/>
    <cellStyle name="20% - Ênfase3 10 14" xfId="45837"/>
    <cellStyle name="20% - Ênfase3 10 15" xfId="49915"/>
    <cellStyle name="20% - Ênfase3 10 2" xfId="1834"/>
    <cellStyle name="20% - Ênfase3 10 3" xfId="5456"/>
    <cellStyle name="20% - Ênfase3 10 3 10" xfId="38724"/>
    <cellStyle name="20% - Ênfase3 10 3 11" xfId="42756"/>
    <cellStyle name="20% - Ênfase3 10 3 12" xfId="46788"/>
    <cellStyle name="20% - Ênfase3 10 3 13" xfId="50867"/>
    <cellStyle name="20% - Ênfase3 10 3 2" xfId="8482"/>
    <cellStyle name="20% - Ênfase3 10 3 2 10" xfId="44772"/>
    <cellStyle name="20% - Ênfase3 10 3 2 11" xfId="48804"/>
    <cellStyle name="20% - Ênfase3 10 3 2 12" xfId="52883"/>
    <cellStyle name="20% - Ênfase3 10 3 2 2" xfId="12516"/>
    <cellStyle name="20% - Ênfase3 10 3 2 3" xfId="16548"/>
    <cellStyle name="20% - Ênfase3 10 3 2 4" xfId="20580"/>
    <cellStyle name="20% - Ênfase3 10 3 2 5" xfId="24612"/>
    <cellStyle name="20% - Ênfase3 10 3 2 6" xfId="28644"/>
    <cellStyle name="20% - Ênfase3 10 3 2 7" xfId="32676"/>
    <cellStyle name="20% - Ênfase3 10 3 2 8" xfId="36708"/>
    <cellStyle name="20% - Ênfase3 10 3 2 9" xfId="40740"/>
    <cellStyle name="20% - Ênfase3 10 3 3" xfId="10500"/>
    <cellStyle name="20% - Ênfase3 10 3 4" xfId="14532"/>
    <cellStyle name="20% - Ênfase3 10 3 5" xfId="18564"/>
    <cellStyle name="20% - Ênfase3 10 3 6" xfId="22596"/>
    <cellStyle name="20% - Ênfase3 10 3 7" xfId="26628"/>
    <cellStyle name="20% - Ênfase3 10 3 8" xfId="30660"/>
    <cellStyle name="20% - Ênfase3 10 3 9" xfId="34692"/>
    <cellStyle name="20% - Ênfase3 10 4" xfId="7531"/>
    <cellStyle name="20% - Ênfase3 10 4 10" xfId="43821"/>
    <cellStyle name="20% - Ênfase3 10 4 11" xfId="47853"/>
    <cellStyle name="20% - Ênfase3 10 4 12" xfId="51932"/>
    <cellStyle name="20% - Ênfase3 10 4 2" xfId="11565"/>
    <cellStyle name="20% - Ênfase3 10 4 3" xfId="15597"/>
    <cellStyle name="20% - Ênfase3 10 4 4" xfId="19629"/>
    <cellStyle name="20% - Ênfase3 10 4 5" xfId="23661"/>
    <cellStyle name="20% - Ênfase3 10 4 6" xfId="27693"/>
    <cellStyle name="20% - Ênfase3 10 4 7" xfId="31725"/>
    <cellStyle name="20% - Ênfase3 10 4 8" xfId="35757"/>
    <cellStyle name="20% - Ênfase3 10 4 9" xfId="39789"/>
    <cellStyle name="20% - Ênfase3 10 5" xfId="9549"/>
    <cellStyle name="20% - Ênfase3 10 6" xfId="13581"/>
    <cellStyle name="20% - Ênfase3 10 7" xfId="17613"/>
    <cellStyle name="20% - Ênfase3 10 8" xfId="21645"/>
    <cellStyle name="20% - Ênfase3 10 9" xfId="25677"/>
    <cellStyle name="20% - Ênfase3 11" xfId="1835"/>
    <cellStyle name="20% - Ênfase3 11 10" xfId="29710"/>
    <cellStyle name="20% - Ênfase3 11 11" xfId="33742"/>
    <cellStyle name="20% - Ênfase3 11 12" xfId="37774"/>
    <cellStyle name="20% - Ênfase3 11 13" xfId="41806"/>
    <cellStyle name="20% - Ênfase3 11 14" xfId="45838"/>
    <cellStyle name="20% - Ênfase3 11 15" xfId="49916"/>
    <cellStyle name="20% - Ênfase3 11 2" xfId="1836"/>
    <cellStyle name="20% - Ênfase3 11 3" xfId="5457"/>
    <cellStyle name="20% - Ênfase3 11 3 10" xfId="38725"/>
    <cellStyle name="20% - Ênfase3 11 3 11" xfId="42757"/>
    <cellStyle name="20% - Ênfase3 11 3 12" xfId="46789"/>
    <cellStyle name="20% - Ênfase3 11 3 13" xfId="50868"/>
    <cellStyle name="20% - Ênfase3 11 3 2" xfId="8483"/>
    <cellStyle name="20% - Ênfase3 11 3 2 10" xfId="44773"/>
    <cellStyle name="20% - Ênfase3 11 3 2 11" xfId="48805"/>
    <cellStyle name="20% - Ênfase3 11 3 2 12" xfId="52884"/>
    <cellStyle name="20% - Ênfase3 11 3 2 2" xfId="12517"/>
    <cellStyle name="20% - Ênfase3 11 3 2 3" xfId="16549"/>
    <cellStyle name="20% - Ênfase3 11 3 2 4" xfId="20581"/>
    <cellStyle name="20% - Ênfase3 11 3 2 5" xfId="24613"/>
    <cellStyle name="20% - Ênfase3 11 3 2 6" xfId="28645"/>
    <cellStyle name="20% - Ênfase3 11 3 2 7" xfId="32677"/>
    <cellStyle name="20% - Ênfase3 11 3 2 8" xfId="36709"/>
    <cellStyle name="20% - Ênfase3 11 3 2 9" xfId="40741"/>
    <cellStyle name="20% - Ênfase3 11 3 3" xfId="10501"/>
    <cellStyle name="20% - Ênfase3 11 3 4" xfId="14533"/>
    <cellStyle name="20% - Ênfase3 11 3 5" xfId="18565"/>
    <cellStyle name="20% - Ênfase3 11 3 6" xfId="22597"/>
    <cellStyle name="20% - Ênfase3 11 3 7" xfId="26629"/>
    <cellStyle name="20% - Ênfase3 11 3 8" xfId="30661"/>
    <cellStyle name="20% - Ênfase3 11 3 9" xfId="34693"/>
    <cellStyle name="20% - Ênfase3 11 4" xfId="7532"/>
    <cellStyle name="20% - Ênfase3 11 4 10" xfId="43822"/>
    <cellStyle name="20% - Ênfase3 11 4 11" xfId="47854"/>
    <cellStyle name="20% - Ênfase3 11 4 12" xfId="51933"/>
    <cellStyle name="20% - Ênfase3 11 4 2" xfId="11566"/>
    <cellStyle name="20% - Ênfase3 11 4 3" xfId="15598"/>
    <cellStyle name="20% - Ênfase3 11 4 4" xfId="19630"/>
    <cellStyle name="20% - Ênfase3 11 4 5" xfId="23662"/>
    <cellStyle name="20% - Ênfase3 11 4 6" xfId="27694"/>
    <cellStyle name="20% - Ênfase3 11 4 7" xfId="31726"/>
    <cellStyle name="20% - Ênfase3 11 4 8" xfId="35758"/>
    <cellStyle name="20% - Ênfase3 11 4 9" xfId="39790"/>
    <cellStyle name="20% - Ênfase3 11 5" xfId="9550"/>
    <cellStyle name="20% - Ênfase3 11 6" xfId="13582"/>
    <cellStyle name="20% - Ênfase3 11 7" xfId="17614"/>
    <cellStyle name="20% - Ênfase3 11 8" xfId="21646"/>
    <cellStyle name="20% - Ênfase3 11 9" xfId="25678"/>
    <cellStyle name="20% - Ênfase3 12" xfId="1837"/>
    <cellStyle name="20% - Ênfase3 12 10" xfId="29711"/>
    <cellStyle name="20% - Ênfase3 12 11" xfId="33743"/>
    <cellStyle name="20% - Ênfase3 12 12" xfId="37775"/>
    <cellStyle name="20% - Ênfase3 12 13" xfId="41807"/>
    <cellStyle name="20% - Ênfase3 12 14" xfId="45839"/>
    <cellStyle name="20% - Ênfase3 12 15" xfId="49917"/>
    <cellStyle name="20% - Ênfase3 12 2" xfId="1838"/>
    <cellStyle name="20% - Ênfase3 12 3" xfId="5458"/>
    <cellStyle name="20% - Ênfase3 12 3 10" xfId="38726"/>
    <cellStyle name="20% - Ênfase3 12 3 11" xfId="42758"/>
    <cellStyle name="20% - Ênfase3 12 3 12" xfId="46790"/>
    <cellStyle name="20% - Ênfase3 12 3 13" xfId="50869"/>
    <cellStyle name="20% - Ênfase3 12 3 2" xfId="8484"/>
    <cellStyle name="20% - Ênfase3 12 3 2 10" xfId="44774"/>
    <cellStyle name="20% - Ênfase3 12 3 2 11" xfId="48806"/>
    <cellStyle name="20% - Ênfase3 12 3 2 12" xfId="52885"/>
    <cellStyle name="20% - Ênfase3 12 3 2 2" xfId="12518"/>
    <cellStyle name="20% - Ênfase3 12 3 2 3" xfId="16550"/>
    <cellStyle name="20% - Ênfase3 12 3 2 4" xfId="20582"/>
    <cellStyle name="20% - Ênfase3 12 3 2 5" xfId="24614"/>
    <cellStyle name="20% - Ênfase3 12 3 2 6" xfId="28646"/>
    <cellStyle name="20% - Ênfase3 12 3 2 7" xfId="32678"/>
    <cellStyle name="20% - Ênfase3 12 3 2 8" xfId="36710"/>
    <cellStyle name="20% - Ênfase3 12 3 2 9" xfId="40742"/>
    <cellStyle name="20% - Ênfase3 12 3 3" xfId="10502"/>
    <cellStyle name="20% - Ênfase3 12 3 4" xfId="14534"/>
    <cellStyle name="20% - Ênfase3 12 3 5" xfId="18566"/>
    <cellStyle name="20% - Ênfase3 12 3 6" xfId="22598"/>
    <cellStyle name="20% - Ênfase3 12 3 7" xfId="26630"/>
    <cellStyle name="20% - Ênfase3 12 3 8" xfId="30662"/>
    <cellStyle name="20% - Ênfase3 12 3 9" xfId="34694"/>
    <cellStyle name="20% - Ênfase3 12 4" xfId="7533"/>
    <cellStyle name="20% - Ênfase3 12 4 10" xfId="43823"/>
    <cellStyle name="20% - Ênfase3 12 4 11" xfId="47855"/>
    <cellStyle name="20% - Ênfase3 12 4 12" xfId="51934"/>
    <cellStyle name="20% - Ênfase3 12 4 2" xfId="11567"/>
    <cellStyle name="20% - Ênfase3 12 4 3" xfId="15599"/>
    <cellStyle name="20% - Ênfase3 12 4 4" xfId="19631"/>
    <cellStyle name="20% - Ênfase3 12 4 5" xfId="23663"/>
    <cellStyle name="20% - Ênfase3 12 4 6" xfId="27695"/>
    <cellStyle name="20% - Ênfase3 12 4 7" xfId="31727"/>
    <cellStyle name="20% - Ênfase3 12 4 8" xfId="35759"/>
    <cellStyle name="20% - Ênfase3 12 4 9" xfId="39791"/>
    <cellStyle name="20% - Ênfase3 12 5" xfId="9551"/>
    <cellStyle name="20% - Ênfase3 12 6" xfId="13583"/>
    <cellStyle name="20% - Ênfase3 12 7" xfId="17615"/>
    <cellStyle name="20% - Ênfase3 12 8" xfId="21647"/>
    <cellStyle name="20% - Ênfase3 12 9" xfId="25679"/>
    <cellStyle name="20% - Ênfase3 13" xfId="1839"/>
    <cellStyle name="20% - Ênfase3 13 10" xfId="29712"/>
    <cellStyle name="20% - Ênfase3 13 11" xfId="33744"/>
    <cellStyle name="20% - Ênfase3 13 12" xfId="37776"/>
    <cellStyle name="20% - Ênfase3 13 13" xfId="41808"/>
    <cellStyle name="20% - Ênfase3 13 14" xfId="45840"/>
    <cellStyle name="20% - Ênfase3 13 15" xfId="49918"/>
    <cellStyle name="20% - Ênfase3 13 2" xfId="1840"/>
    <cellStyle name="20% - Ênfase3 13 3" xfId="5459"/>
    <cellStyle name="20% - Ênfase3 13 3 10" xfId="38727"/>
    <cellStyle name="20% - Ênfase3 13 3 11" xfId="42759"/>
    <cellStyle name="20% - Ênfase3 13 3 12" xfId="46791"/>
    <cellStyle name="20% - Ênfase3 13 3 13" xfId="50870"/>
    <cellStyle name="20% - Ênfase3 13 3 2" xfId="8485"/>
    <cellStyle name="20% - Ênfase3 13 3 2 10" xfId="44775"/>
    <cellStyle name="20% - Ênfase3 13 3 2 11" xfId="48807"/>
    <cellStyle name="20% - Ênfase3 13 3 2 12" xfId="52886"/>
    <cellStyle name="20% - Ênfase3 13 3 2 2" xfId="12519"/>
    <cellStyle name="20% - Ênfase3 13 3 2 3" xfId="16551"/>
    <cellStyle name="20% - Ênfase3 13 3 2 4" xfId="20583"/>
    <cellStyle name="20% - Ênfase3 13 3 2 5" xfId="24615"/>
    <cellStyle name="20% - Ênfase3 13 3 2 6" xfId="28647"/>
    <cellStyle name="20% - Ênfase3 13 3 2 7" xfId="32679"/>
    <cellStyle name="20% - Ênfase3 13 3 2 8" xfId="36711"/>
    <cellStyle name="20% - Ênfase3 13 3 2 9" xfId="40743"/>
    <cellStyle name="20% - Ênfase3 13 3 3" xfId="10503"/>
    <cellStyle name="20% - Ênfase3 13 3 4" xfId="14535"/>
    <cellStyle name="20% - Ênfase3 13 3 5" xfId="18567"/>
    <cellStyle name="20% - Ênfase3 13 3 6" xfId="22599"/>
    <cellStyle name="20% - Ênfase3 13 3 7" xfId="26631"/>
    <cellStyle name="20% - Ênfase3 13 3 8" xfId="30663"/>
    <cellStyle name="20% - Ênfase3 13 3 9" xfId="34695"/>
    <cellStyle name="20% - Ênfase3 13 4" xfId="7534"/>
    <cellStyle name="20% - Ênfase3 13 4 10" xfId="43824"/>
    <cellStyle name="20% - Ênfase3 13 4 11" xfId="47856"/>
    <cellStyle name="20% - Ênfase3 13 4 12" xfId="51935"/>
    <cellStyle name="20% - Ênfase3 13 4 2" xfId="11568"/>
    <cellStyle name="20% - Ênfase3 13 4 3" xfId="15600"/>
    <cellStyle name="20% - Ênfase3 13 4 4" xfId="19632"/>
    <cellStyle name="20% - Ênfase3 13 4 5" xfId="23664"/>
    <cellStyle name="20% - Ênfase3 13 4 6" xfId="27696"/>
    <cellStyle name="20% - Ênfase3 13 4 7" xfId="31728"/>
    <cellStyle name="20% - Ênfase3 13 4 8" xfId="35760"/>
    <cellStyle name="20% - Ênfase3 13 4 9" xfId="39792"/>
    <cellStyle name="20% - Ênfase3 13 5" xfId="9552"/>
    <cellStyle name="20% - Ênfase3 13 6" xfId="13584"/>
    <cellStyle name="20% - Ênfase3 13 7" xfId="17616"/>
    <cellStyle name="20% - Ênfase3 13 8" xfId="21648"/>
    <cellStyle name="20% - Ênfase3 13 9" xfId="25680"/>
    <cellStyle name="20% - Ênfase3 14 2" xfId="1841"/>
    <cellStyle name="20% - Ênfase3 15 2" xfId="1842"/>
    <cellStyle name="20% - Ênfase3 16 2" xfId="1843"/>
    <cellStyle name="20% - Ênfase3 17 2" xfId="1844"/>
    <cellStyle name="20% - Ênfase3 2" xfId="385"/>
    <cellStyle name="20% - Ênfase3 2 2" xfId="524"/>
    <cellStyle name="20% - Ênfase3 2 2 2" xfId="1846"/>
    <cellStyle name="20% - Ênfase3 2 3" xfId="838"/>
    <cellStyle name="20% - Ênfase3 2 3 2" xfId="1847"/>
    <cellStyle name="20% - Ênfase3 2 4" xfId="1022"/>
    <cellStyle name="20% - Ênfase3 2 5" xfId="1845"/>
    <cellStyle name="20% - Ênfase3 2 5 10" xfId="33745"/>
    <cellStyle name="20% - Ênfase3 2 5 11" xfId="37777"/>
    <cellStyle name="20% - Ênfase3 2 5 12" xfId="41809"/>
    <cellStyle name="20% - Ênfase3 2 5 13" xfId="45841"/>
    <cellStyle name="20% - Ênfase3 2 5 14" xfId="49919"/>
    <cellStyle name="20% - Ênfase3 2 5 2" xfId="5460"/>
    <cellStyle name="20% - Ênfase3 2 5 2 10" xfId="38728"/>
    <cellStyle name="20% - Ênfase3 2 5 2 11" xfId="42760"/>
    <cellStyle name="20% - Ênfase3 2 5 2 12" xfId="46792"/>
    <cellStyle name="20% - Ênfase3 2 5 2 13" xfId="50871"/>
    <cellStyle name="20% - Ênfase3 2 5 2 2" xfId="8486"/>
    <cellStyle name="20% - Ênfase3 2 5 2 2 10" xfId="44776"/>
    <cellStyle name="20% - Ênfase3 2 5 2 2 11" xfId="48808"/>
    <cellStyle name="20% - Ênfase3 2 5 2 2 12" xfId="52887"/>
    <cellStyle name="20% - Ênfase3 2 5 2 2 2" xfId="12520"/>
    <cellStyle name="20% - Ênfase3 2 5 2 2 3" xfId="16552"/>
    <cellStyle name="20% - Ênfase3 2 5 2 2 4" xfId="20584"/>
    <cellStyle name="20% - Ênfase3 2 5 2 2 5" xfId="24616"/>
    <cellStyle name="20% - Ênfase3 2 5 2 2 6" xfId="28648"/>
    <cellStyle name="20% - Ênfase3 2 5 2 2 7" xfId="32680"/>
    <cellStyle name="20% - Ênfase3 2 5 2 2 8" xfId="36712"/>
    <cellStyle name="20% - Ênfase3 2 5 2 2 9" xfId="40744"/>
    <cellStyle name="20% - Ênfase3 2 5 2 3" xfId="10504"/>
    <cellStyle name="20% - Ênfase3 2 5 2 4" xfId="14536"/>
    <cellStyle name="20% - Ênfase3 2 5 2 5" xfId="18568"/>
    <cellStyle name="20% - Ênfase3 2 5 2 6" xfId="22600"/>
    <cellStyle name="20% - Ênfase3 2 5 2 7" xfId="26632"/>
    <cellStyle name="20% - Ênfase3 2 5 2 8" xfId="30664"/>
    <cellStyle name="20% - Ênfase3 2 5 2 9" xfId="34696"/>
    <cellStyle name="20% - Ênfase3 2 5 3" xfId="7535"/>
    <cellStyle name="20% - Ênfase3 2 5 3 10" xfId="43825"/>
    <cellStyle name="20% - Ênfase3 2 5 3 11" xfId="47857"/>
    <cellStyle name="20% - Ênfase3 2 5 3 12" xfId="51936"/>
    <cellStyle name="20% - Ênfase3 2 5 3 2" xfId="11569"/>
    <cellStyle name="20% - Ênfase3 2 5 3 3" xfId="15601"/>
    <cellStyle name="20% - Ênfase3 2 5 3 4" xfId="19633"/>
    <cellStyle name="20% - Ênfase3 2 5 3 5" xfId="23665"/>
    <cellStyle name="20% - Ênfase3 2 5 3 6" xfId="27697"/>
    <cellStyle name="20% - Ênfase3 2 5 3 7" xfId="31729"/>
    <cellStyle name="20% - Ênfase3 2 5 3 8" xfId="35761"/>
    <cellStyle name="20% - Ênfase3 2 5 3 9" xfId="39793"/>
    <cellStyle name="20% - Ênfase3 2 5 4" xfId="9553"/>
    <cellStyle name="20% - Ênfase3 2 5 5" xfId="13585"/>
    <cellStyle name="20% - Ênfase3 2 5 6" xfId="17617"/>
    <cellStyle name="20% - Ênfase3 2 5 7" xfId="21649"/>
    <cellStyle name="20% - Ênfase3 2 5 8" xfId="25681"/>
    <cellStyle name="20% - Ênfase3 2 5 9" xfId="29713"/>
    <cellStyle name="20% - Ênfase3 3" xfId="452"/>
    <cellStyle name="20% - Ênfase3 3 2" xfId="1023"/>
    <cellStyle name="20% - Ênfase3 3 2 10" xfId="29531"/>
    <cellStyle name="20% - Ênfase3 3 2 11" xfId="33563"/>
    <cellStyle name="20% - Ênfase3 3 2 12" xfId="37595"/>
    <cellStyle name="20% - Ênfase3 3 2 13" xfId="41627"/>
    <cellStyle name="20% - Ênfase3 3 2 14" xfId="45659"/>
    <cellStyle name="20% - Ênfase3 3 2 15" xfId="49737"/>
    <cellStyle name="20% - Ênfase3 3 2 2" xfId="1849"/>
    <cellStyle name="20% - Ênfase3 3 2 3" xfId="5037"/>
    <cellStyle name="20% - Ênfase3 3 2 3 10" xfId="38560"/>
    <cellStyle name="20% - Ênfase3 3 2 3 11" xfId="42592"/>
    <cellStyle name="20% - Ênfase3 3 2 3 12" xfId="46624"/>
    <cellStyle name="20% - Ênfase3 3 2 3 13" xfId="50703"/>
    <cellStyle name="20% - Ênfase3 3 2 3 2" xfId="8318"/>
    <cellStyle name="20% - Ênfase3 3 2 3 2 10" xfId="44608"/>
    <cellStyle name="20% - Ênfase3 3 2 3 2 11" xfId="48640"/>
    <cellStyle name="20% - Ênfase3 3 2 3 2 12" xfId="52719"/>
    <cellStyle name="20% - Ênfase3 3 2 3 2 2" xfId="12352"/>
    <cellStyle name="20% - Ênfase3 3 2 3 2 3" xfId="16384"/>
    <cellStyle name="20% - Ênfase3 3 2 3 2 4" xfId="20416"/>
    <cellStyle name="20% - Ênfase3 3 2 3 2 5" xfId="24448"/>
    <cellStyle name="20% - Ênfase3 3 2 3 2 6" xfId="28480"/>
    <cellStyle name="20% - Ênfase3 3 2 3 2 7" xfId="32512"/>
    <cellStyle name="20% - Ênfase3 3 2 3 2 8" xfId="36544"/>
    <cellStyle name="20% - Ênfase3 3 2 3 2 9" xfId="40576"/>
    <cellStyle name="20% - Ênfase3 3 2 3 3" xfId="10336"/>
    <cellStyle name="20% - Ênfase3 3 2 3 4" xfId="14368"/>
    <cellStyle name="20% - Ênfase3 3 2 3 5" xfId="18400"/>
    <cellStyle name="20% - Ênfase3 3 2 3 6" xfId="22432"/>
    <cellStyle name="20% - Ênfase3 3 2 3 7" xfId="26464"/>
    <cellStyle name="20% - Ênfase3 3 2 3 8" xfId="30496"/>
    <cellStyle name="20% - Ênfase3 3 2 3 9" xfId="34528"/>
    <cellStyle name="20% - Ênfase3 3 2 4" xfId="7353"/>
    <cellStyle name="20% - Ênfase3 3 2 4 10" xfId="43643"/>
    <cellStyle name="20% - Ênfase3 3 2 4 11" xfId="47675"/>
    <cellStyle name="20% - Ênfase3 3 2 4 12" xfId="51754"/>
    <cellStyle name="20% - Ênfase3 3 2 4 2" xfId="11387"/>
    <cellStyle name="20% - Ênfase3 3 2 4 3" xfId="15419"/>
    <cellStyle name="20% - Ênfase3 3 2 4 4" xfId="19451"/>
    <cellStyle name="20% - Ênfase3 3 2 4 5" xfId="23483"/>
    <cellStyle name="20% - Ênfase3 3 2 4 6" xfId="27515"/>
    <cellStyle name="20% - Ênfase3 3 2 4 7" xfId="31547"/>
    <cellStyle name="20% - Ênfase3 3 2 4 8" xfId="35579"/>
    <cellStyle name="20% - Ênfase3 3 2 4 9" xfId="39611"/>
    <cellStyle name="20% - Ênfase3 3 2 5" xfId="9371"/>
    <cellStyle name="20% - Ênfase3 3 2 6" xfId="13403"/>
    <cellStyle name="20% - Ênfase3 3 2 7" xfId="17435"/>
    <cellStyle name="20% - Ênfase3 3 2 8" xfId="21467"/>
    <cellStyle name="20% - Ênfase3 3 2 9" xfId="25499"/>
    <cellStyle name="20% - Ênfase3 3 3" xfId="1850"/>
    <cellStyle name="20% - Ênfase3 3 4" xfId="1848"/>
    <cellStyle name="20% - Ênfase3 3 4 10" xfId="33746"/>
    <cellStyle name="20% - Ênfase3 3 4 11" xfId="37778"/>
    <cellStyle name="20% - Ênfase3 3 4 12" xfId="41810"/>
    <cellStyle name="20% - Ênfase3 3 4 13" xfId="45842"/>
    <cellStyle name="20% - Ênfase3 3 4 14" xfId="49920"/>
    <cellStyle name="20% - Ênfase3 3 4 2" xfId="5461"/>
    <cellStyle name="20% - Ênfase3 3 4 2 10" xfId="38729"/>
    <cellStyle name="20% - Ênfase3 3 4 2 11" xfId="42761"/>
    <cellStyle name="20% - Ênfase3 3 4 2 12" xfId="46793"/>
    <cellStyle name="20% - Ênfase3 3 4 2 13" xfId="50872"/>
    <cellStyle name="20% - Ênfase3 3 4 2 2" xfId="8487"/>
    <cellStyle name="20% - Ênfase3 3 4 2 2 10" xfId="44777"/>
    <cellStyle name="20% - Ênfase3 3 4 2 2 11" xfId="48809"/>
    <cellStyle name="20% - Ênfase3 3 4 2 2 12" xfId="52888"/>
    <cellStyle name="20% - Ênfase3 3 4 2 2 2" xfId="12521"/>
    <cellStyle name="20% - Ênfase3 3 4 2 2 3" xfId="16553"/>
    <cellStyle name="20% - Ênfase3 3 4 2 2 4" xfId="20585"/>
    <cellStyle name="20% - Ênfase3 3 4 2 2 5" xfId="24617"/>
    <cellStyle name="20% - Ênfase3 3 4 2 2 6" xfId="28649"/>
    <cellStyle name="20% - Ênfase3 3 4 2 2 7" xfId="32681"/>
    <cellStyle name="20% - Ênfase3 3 4 2 2 8" xfId="36713"/>
    <cellStyle name="20% - Ênfase3 3 4 2 2 9" xfId="40745"/>
    <cellStyle name="20% - Ênfase3 3 4 2 3" xfId="10505"/>
    <cellStyle name="20% - Ênfase3 3 4 2 4" xfId="14537"/>
    <cellStyle name="20% - Ênfase3 3 4 2 5" xfId="18569"/>
    <cellStyle name="20% - Ênfase3 3 4 2 6" xfId="22601"/>
    <cellStyle name="20% - Ênfase3 3 4 2 7" xfId="26633"/>
    <cellStyle name="20% - Ênfase3 3 4 2 8" xfId="30665"/>
    <cellStyle name="20% - Ênfase3 3 4 2 9" xfId="34697"/>
    <cellStyle name="20% - Ênfase3 3 4 3" xfId="7536"/>
    <cellStyle name="20% - Ênfase3 3 4 3 10" xfId="43826"/>
    <cellStyle name="20% - Ênfase3 3 4 3 11" xfId="47858"/>
    <cellStyle name="20% - Ênfase3 3 4 3 12" xfId="51937"/>
    <cellStyle name="20% - Ênfase3 3 4 3 2" xfId="11570"/>
    <cellStyle name="20% - Ênfase3 3 4 3 3" xfId="15602"/>
    <cellStyle name="20% - Ênfase3 3 4 3 4" xfId="19634"/>
    <cellStyle name="20% - Ênfase3 3 4 3 5" xfId="23666"/>
    <cellStyle name="20% - Ênfase3 3 4 3 6" xfId="27698"/>
    <cellStyle name="20% - Ênfase3 3 4 3 7" xfId="31730"/>
    <cellStyle name="20% - Ênfase3 3 4 3 8" xfId="35762"/>
    <cellStyle name="20% - Ênfase3 3 4 3 9" xfId="39794"/>
    <cellStyle name="20% - Ênfase3 3 4 4" xfId="9554"/>
    <cellStyle name="20% - Ênfase3 3 4 5" xfId="13586"/>
    <cellStyle name="20% - Ênfase3 3 4 6" xfId="17618"/>
    <cellStyle name="20% - Ênfase3 3 4 7" xfId="21650"/>
    <cellStyle name="20% - Ênfase3 3 4 8" xfId="25682"/>
    <cellStyle name="20% - Ênfase3 3 4 9" xfId="29714"/>
    <cellStyle name="20% - Ênfase3 4" xfId="1127"/>
    <cellStyle name="20% - Ênfase3 4 2" xfId="1852"/>
    <cellStyle name="20% - Ênfase3 4 3" xfId="1853"/>
    <cellStyle name="20% - Ênfase3 4 4" xfId="1851"/>
    <cellStyle name="20% - Ênfase3 4 4 10" xfId="33747"/>
    <cellStyle name="20% - Ênfase3 4 4 11" xfId="37779"/>
    <cellStyle name="20% - Ênfase3 4 4 12" xfId="41811"/>
    <cellStyle name="20% - Ênfase3 4 4 13" xfId="45843"/>
    <cellStyle name="20% - Ênfase3 4 4 14" xfId="49921"/>
    <cellStyle name="20% - Ênfase3 4 4 2" xfId="5462"/>
    <cellStyle name="20% - Ênfase3 4 4 2 10" xfId="38730"/>
    <cellStyle name="20% - Ênfase3 4 4 2 11" xfId="42762"/>
    <cellStyle name="20% - Ênfase3 4 4 2 12" xfId="46794"/>
    <cellStyle name="20% - Ênfase3 4 4 2 13" xfId="50873"/>
    <cellStyle name="20% - Ênfase3 4 4 2 2" xfId="8488"/>
    <cellStyle name="20% - Ênfase3 4 4 2 2 10" xfId="44778"/>
    <cellStyle name="20% - Ênfase3 4 4 2 2 11" xfId="48810"/>
    <cellStyle name="20% - Ênfase3 4 4 2 2 12" xfId="52889"/>
    <cellStyle name="20% - Ênfase3 4 4 2 2 2" xfId="12522"/>
    <cellStyle name="20% - Ênfase3 4 4 2 2 3" xfId="16554"/>
    <cellStyle name="20% - Ênfase3 4 4 2 2 4" xfId="20586"/>
    <cellStyle name="20% - Ênfase3 4 4 2 2 5" xfId="24618"/>
    <cellStyle name="20% - Ênfase3 4 4 2 2 6" xfId="28650"/>
    <cellStyle name="20% - Ênfase3 4 4 2 2 7" xfId="32682"/>
    <cellStyle name="20% - Ênfase3 4 4 2 2 8" xfId="36714"/>
    <cellStyle name="20% - Ênfase3 4 4 2 2 9" xfId="40746"/>
    <cellStyle name="20% - Ênfase3 4 4 2 3" xfId="10506"/>
    <cellStyle name="20% - Ênfase3 4 4 2 4" xfId="14538"/>
    <cellStyle name="20% - Ênfase3 4 4 2 5" xfId="18570"/>
    <cellStyle name="20% - Ênfase3 4 4 2 6" xfId="22602"/>
    <cellStyle name="20% - Ênfase3 4 4 2 7" xfId="26634"/>
    <cellStyle name="20% - Ênfase3 4 4 2 8" xfId="30666"/>
    <cellStyle name="20% - Ênfase3 4 4 2 9" xfId="34698"/>
    <cellStyle name="20% - Ênfase3 4 4 3" xfId="7537"/>
    <cellStyle name="20% - Ênfase3 4 4 3 10" xfId="43827"/>
    <cellStyle name="20% - Ênfase3 4 4 3 11" xfId="47859"/>
    <cellStyle name="20% - Ênfase3 4 4 3 12" xfId="51938"/>
    <cellStyle name="20% - Ênfase3 4 4 3 2" xfId="11571"/>
    <cellStyle name="20% - Ênfase3 4 4 3 3" xfId="15603"/>
    <cellStyle name="20% - Ênfase3 4 4 3 4" xfId="19635"/>
    <cellStyle name="20% - Ênfase3 4 4 3 5" xfId="23667"/>
    <cellStyle name="20% - Ênfase3 4 4 3 6" xfId="27699"/>
    <cellStyle name="20% - Ênfase3 4 4 3 7" xfId="31731"/>
    <cellStyle name="20% - Ênfase3 4 4 3 8" xfId="35763"/>
    <cellStyle name="20% - Ênfase3 4 4 3 9" xfId="39795"/>
    <cellStyle name="20% - Ênfase3 4 4 4" xfId="9555"/>
    <cellStyle name="20% - Ênfase3 4 4 5" xfId="13587"/>
    <cellStyle name="20% - Ênfase3 4 4 6" xfId="17619"/>
    <cellStyle name="20% - Ênfase3 4 4 7" xfId="21651"/>
    <cellStyle name="20% - Ênfase3 4 4 8" xfId="25683"/>
    <cellStyle name="20% - Ênfase3 4 4 9" xfId="29715"/>
    <cellStyle name="20% - Ênfase3 5" xfId="1169"/>
    <cellStyle name="20% - Ênfase3 5 2" xfId="1855"/>
    <cellStyle name="20% - Ênfase3 5 3" xfId="1856"/>
    <cellStyle name="20% - Ênfase3 5 4" xfId="1854"/>
    <cellStyle name="20% - Ênfase3 5 4 10" xfId="33748"/>
    <cellStyle name="20% - Ênfase3 5 4 11" xfId="37780"/>
    <cellStyle name="20% - Ênfase3 5 4 12" xfId="41812"/>
    <cellStyle name="20% - Ênfase3 5 4 13" xfId="45844"/>
    <cellStyle name="20% - Ênfase3 5 4 14" xfId="49922"/>
    <cellStyle name="20% - Ênfase3 5 4 2" xfId="5463"/>
    <cellStyle name="20% - Ênfase3 5 4 2 10" xfId="38731"/>
    <cellStyle name="20% - Ênfase3 5 4 2 11" xfId="42763"/>
    <cellStyle name="20% - Ênfase3 5 4 2 12" xfId="46795"/>
    <cellStyle name="20% - Ênfase3 5 4 2 13" xfId="50874"/>
    <cellStyle name="20% - Ênfase3 5 4 2 2" xfId="8489"/>
    <cellStyle name="20% - Ênfase3 5 4 2 2 10" xfId="44779"/>
    <cellStyle name="20% - Ênfase3 5 4 2 2 11" xfId="48811"/>
    <cellStyle name="20% - Ênfase3 5 4 2 2 12" xfId="52890"/>
    <cellStyle name="20% - Ênfase3 5 4 2 2 2" xfId="12523"/>
    <cellStyle name="20% - Ênfase3 5 4 2 2 3" xfId="16555"/>
    <cellStyle name="20% - Ênfase3 5 4 2 2 4" xfId="20587"/>
    <cellStyle name="20% - Ênfase3 5 4 2 2 5" xfId="24619"/>
    <cellStyle name="20% - Ênfase3 5 4 2 2 6" xfId="28651"/>
    <cellStyle name="20% - Ênfase3 5 4 2 2 7" xfId="32683"/>
    <cellStyle name="20% - Ênfase3 5 4 2 2 8" xfId="36715"/>
    <cellStyle name="20% - Ênfase3 5 4 2 2 9" xfId="40747"/>
    <cellStyle name="20% - Ênfase3 5 4 2 3" xfId="10507"/>
    <cellStyle name="20% - Ênfase3 5 4 2 4" xfId="14539"/>
    <cellStyle name="20% - Ênfase3 5 4 2 5" xfId="18571"/>
    <cellStyle name="20% - Ênfase3 5 4 2 6" xfId="22603"/>
    <cellStyle name="20% - Ênfase3 5 4 2 7" xfId="26635"/>
    <cellStyle name="20% - Ênfase3 5 4 2 8" xfId="30667"/>
    <cellStyle name="20% - Ênfase3 5 4 2 9" xfId="34699"/>
    <cellStyle name="20% - Ênfase3 5 4 3" xfId="7538"/>
    <cellStyle name="20% - Ênfase3 5 4 3 10" xfId="43828"/>
    <cellStyle name="20% - Ênfase3 5 4 3 11" xfId="47860"/>
    <cellStyle name="20% - Ênfase3 5 4 3 12" xfId="51939"/>
    <cellStyle name="20% - Ênfase3 5 4 3 2" xfId="11572"/>
    <cellStyle name="20% - Ênfase3 5 4 3 3" xfId="15604"/>
    <cellStyle name="20% - Ênfase3 5 4 3 4" xfId="19636"/>
    <cellStyle name="20% - Ênfase3 5 4 3 5" xfId="23668"/>
    <cellStyle name="20% - Ênfase3 5 4 3 6" xfId="27700"/>
    <cellStyle name="20% - Ênfase3 5 4 3 7" xfId="31732"/>
    <cellStyle name="20% - Ênfase3 5 4 3 8" xfId="35764"/>
    <cellStyle name="20% - Ênfase3 5 4 3 9" xfId="39796"/>
    <cellStyle name="20% - Ênfase3 5 4 4" xfId="9556"/>
    <cellStyle name="20% - Ênfase3 5 4 5" xfId="13588"/>
    <cellStyle name="20% - Ênfase3 5 4 6" xfId="17620"/>
    <cellStyle name="20% - Ênfase3 5 4 7" xfId="21652"/>
    <cellStyle name="20% - Ênfase3 5 4 8" xfId="25684"/>
    <cellStyle name="20% - Ênfase3 5 4 9" xfId="29716"/>
    <cellStyle name="20% - Ênfase3 6" xfId="1207"/>
    <cellStyle name="20% - Ênfase3 6 2" xfId="1858"/>
    <cellStyle name="20% - Ênfase3 6 3" xfId="1859"/>
    <cellStyle name="20% - Ênfase3 6 4" xfId="1857"/>
    <cellStyle name="20% - Ênfase3 6 4 10" xfId="33749"/>
    <cellStyle name="20% - Ênfase3 6 4 11" xfId="37781"/>
    <cellStyle name="20% - Ênfase3 6 4 12" xfId="41813"/>
    <cellStyle name="20% - Ênfase3 6 4 13" xfId="45845"/>
    <cellStyle name="20% - Ênfase3 6 4 14" xfId="49923"/>
    <cellStyle name="20% - Ênfase3 6 4 2" xfId="5464"/>
    <cellStyle name="20% - Ênfase3 6 4 2 10" xfId="38732"/>
    <cellStyle name="20% - Ênfase3 6 4 2 11" xfId="42764"/>
    <cellStyle name="20% - Ênfase3 6 4 2 12" xfId="46796"/>
    <cellStyle name="20% - Ênfase3 6 4 2 13" xfId="50875"/>
    <cellStyle name="20% - Ênfase3 6 4 2 2" xfId="8490"/>
    <cellStyle name="20% - Ênfase3 6 4 2 2 10" xfId="44780"/>
    <cellStyle name="20% - Ênfase3 6 4 2 2 11" xfId="48812"/>
    <cellStyle name="20% - Ênfase3 6 4 2 2 12" xfId="52891"/>
    <cellStyle name="20% - Ênfase3 6 4 2 2 2" xfId="12524"/>
    <cellStyle name="20% - Ênfase3 6 4 2 2 3" xfId="16556"/>
    <cellStyle name="20% - Ênfase3 6 4 2 2 4" xfId="20588"/>
    <cellStyle name="20% - Ênfase3 6 4 2 2 5" xfId="24620"/>
    <cellStyle name="20% - Ênfase3 6 4 2 2 6" xfId="28652"/>
    <cellStyle name="20% - Ênfase3 6 4 2 2 7" xfId="32684"/>
    <cellStyle name="20% - Ênfase3 6 4 2 2 8" xfId="36716"/>
    <cellStyle name="20% - Ênfase3 6 4 2 2 9" xfId="40748"/>
    <cellStyle name="20% - Ênfase3 6 4 2 3" xfId="10508"/>
    <cellStyle name="20% - Ênfase3 6 4 2 4" xfId="14540"/>
    <cellStyle name="20% - Ênfase3 6 4 2 5" xfId="18572"/>
    <cellStyle name="20% - Ênfase3 6 4 2 6" xfId="22604"/>
    <cellStyle name="20% - Ênfase3 6 4 2 7" xfId="26636"/>
    <cellStyle name="20% - Ênfase3 6 4 2 8" xfId="30668"/>
    <cellStyle name="20% - Ênfase3 6 4 2 9" xfId="34700"/>
    <cellStyle name="20% - Ênfase3 6 4 3" xfId="7539"/>
    <cellStyle name="20% - Ênfase3 6 4 3 10" xfId="43829"/>
    <cellStyle name="20% - Ênfase3 6 4 3 11" xfId="47861"/>
    <cellStyle name="20% - Ênfase3 6 4 3 12" xfId="51940"/>
    <cellStyle name="20% - Ênfase3 6 4 3 2" xfId="11573"/>
    <cellStyle name="20% - Ênfase3 6 4 3 3" xfId="15605"/>
    <cellStyle name="20% - Ênfase3 6 4 3 4" xfId="19637"/>
    <cellStyle name="20% - Ênfase3 6 4 3 5" xfId="23669"/>
    <cellStyle name="20% - Ênfase3 6 4 3 6" xfId="27701"/>
    <cellStyle name="20% - Ênfase3 6 4 3 7" xfId="31733"/>
    <cellStyle name="20% - Ênfase3 6 4 3 8" xfId="35765"/>
    <cellStyle name="20% - Ênfase3 6 4 3 9" xfId="39797"/>
    <cellStyle name="20% - Ênfase3 6 4 4" xfId="9557"/>
    <cellStyle name="20% - Ênfase3 6 4 5" xfId="13589"/>
    <cellStyle name="20% - Ênfase3 6 4 6" xfId="17621"/>
    <cellStyle name="20% - Ênfase3 6 4 7" xfId="21653"/>
    <cellStyle name="20% - Ênfase3 6 4 8" xfId="25685"/>
    <cellStyle name="20% - Ênfase3 6 4 9" xfId="29717"/>
    <cellStyle name="20% - Ênfase3 7" xfId="1860"/>
    <cellStyle name="20% - Ênfase3 7 10" xfId="25686"/>
    <cellStyle name="20% - Ênfase3 7 11" xfId="29718"/>
    <cellStyle name="20% - Ênfase3 7 12" xfId="33750"/>
    <cellStyle name="20% - Ênfase3 7 13" xfId="37782"/>
    <cellStyle name="20% - Ênfase3 7 14" xfId="41814"/>
    <cellStyle name="20% - Ênfase3 7 15" xfId="45846"/>
    <cellStyle name="20% - Ênfase3 7 16" xfId="49924"/>
    <cellStyle name="20% - Ênfase3 7 2" xfId="1861"/>
    <cellStyle name="20% - Ênfase3 7 3" xfId="1862"/>
    <cellStyle name="20% - Ênfase3 7 4" xfId="5465"/>
    <cellStyle name="20% - Ênfase3 7 4 10" xfId="38733"/>
    <cellStyle name="20% - Ênfase3 7 4 11" xfId="42765"/>
    <cellStyle name="20% - Ênfase3 7 4 12" xfId="46797"/>
    <cellStyle name="20% - Ênfase3 7 4 13" xfId="50876"/>
    <cellStyle name="20% - Ênfase3 7 4 2" xfId="8491"/>
    <cellStyle name="20% - Ênfase3 7 4 2 10" xfId="44781"/>
    <cellStyle name="20% - Ênfase3 7 4 2 11" xfId="48813"/>
    <cellStyle name="20% - Ênfase3 7 4 2 12" xfId="52892"/>
    <cellStyle name="20% - Ênfase3 7 4 2 2" xfId="12525"/>
    <cellStyle name="20% - Ênfase3 7 4 2 3" xfId="16557"/>
    <cellStyle name="20% - Ênfase3 7 4 2 4" xfId="20589"/>
    <cellStyle name="20% - Ênfase3 7 4 2 5" xfId="24621"/>
    <cellStyle name="20% - Ênfase3 7 4 2 6" xfId="28653"/>
    <cellStyle name="20% - Ênfase3 7 4 2 7" xfId="32685"/>
    <cellStyle name="20% - Ênfase3 7 4 2 8" xfId="36717"/>
    <cellStyle name="20% - Ênfase3 7 4 2 9" xfId="40749"/>
    <cellStyle name="20% - Ênfase3 7 4 3" xfId="10509"/>
    <cellStyle name="20% - Ênfase3 7 4 4" xfId="14541"/>
    <cellStyle name="20% - Ênfase3 7 4 5" xfId="18573"/>
    <cellStyle name="20% - Ênfase3 7 4 6" xfId="22605"/>
    <cellStyle name="20% - Ênfase3 7 4 7" xfId="26637"/>
    <cellStyle name="20% - Ênfase3 7 4 8" xfId="30669"/>
    <cellStyle name="20% - Ênfase3 7 4 9" xfId="34701"/>
    <cellStyle name="20% - Ênfase3 7 5" xfId="7540"/>
    <cellStyle name="20% - Ênfase3 7 5 10" xfId="43830"/>
    <cellStyle name="20% - Ênfase3 7 5 11" xfId="47862"/>
    <cellStyle name="20% - Ênfase3 7 5 12" xfId="51941"/>
    <cellStyle name="20% - Ênfase3 7 5 2" xfId="11574"/>
    <cellStyle name="20% - Ênfase3 7 5 3" xfId="15606"/>
    <cellStyle name="20% - Ênfase3 7 5 4" xfId="19638"/>
    <cellStyle name="20% - Ênfase3 7 5 5" xfId="23670"/>
    <cellStyle name="20% - Ênfase3 7 5 6" xfId="27702"/>
    <cellStyle name="20% - Ênfase3 7 5 7" xfId="31734"/>
    <cellStyle name="20% - Ênfase3 7 5 8" xfId="35766"/>
    <cellStyle name="20% - Ênfase3 7 5 9" xfId="39798"/>
    <cellStyle name="20% - Ênfase3 7 6" xfId="9558"/>
    <cellStyle name="20% - Ênfase3 7 7" xfId="13590"/>
    <cellStyle name="20% - Ênfase3 7 8" xfId="17622"/>
    <cellStyle name="20% - Ênfase3 7 9" xfId="21654"/>
    <cellStyle name="20% - Ênfase3 8" xfId="1863"/>
    <cellStyle name="20% - Ênfase3 8 2" xfId="1864"/>
    <cellStyle name="20% - Ênfase3 9" xfId="1865"/>
    <cellStyle name="20% - Ênfase3 9 2" xfId="1866"/>
    <cellStyle name="20% - Ênfase4 10" xfId="1867"/>
    <cellStyle name="20% - Ênfase4 10 10" xfId="29719"/>
    <cellStyle name="20% - Ênfase4 10 11" xfId="33751"/>
    <cellStyle name="20% - Ênfase4 10 12" xfId="37783"/>
    <cellStyle name="20% - Ênfase4 10 13" xfId="41815"/>
    <cellStyle name="20% - Ênfase4 10 14" xfId="45847"/>
    <cellStyle name="20% - Ênfase4 10 15" xfId="49925"/>
    <cellStyle name="20% - Ênfase4 10 2" xfId="1868"/>
    <cellStyle name="20% - Ênfase4 10 3" xfId="5466"/>
    <cellStyle name="20% - Ênfase4 10 3 10" xfId="38734"/>
    <cellStyle name="20% - Ênfase4 10 3 11" xfId="42766"/>
    <cellStyle name="20% - Ênfase4 10 3 12" xfId="46798"/>
    <cellStyle name="20% - Ênfase4 10 3 13" xfId="50877"/>
    <cellStyle name="20% - Ênfase4 10 3 2" xfId="8492"/>
    <cellStyle name="20% - Ênfase4 10 3 2 10" xfId="44782"/>
    <cellStyle name="20% - Ênfase4 10 3 2 11" xfId="48814"/>
    <cellStyle name="20% - Ênfase4 10 3 2 12" xfId="52893"/>
    <cellStyle name="20% - Ênfase4 10 3 2 2" xfId="12526"/>
    <cellStyle name="20% - Ênfase4 10 3 2 3" xfId="16558"/>
    <cellStyle name="20% - Ênfase4 10 3 2 4" xfId="20590"/>
    <cellStyle name="20% - Ênfase4 10 3 2 5" xfId="24622"/>
    <cellStyle name="20% - Ênfase4 10 3 2 6" xfId="28654"/>
    <cellStyle name="20% - Ênfase4 10 3 2 7" xfId="32686"/>
    <cellStyle name="20% - Ênfase4 10 3 2 8" xfId="36718"/>
    <cellStyle name="20% - Ênfase4 10 3 2 9" xfId="40750"/>
    <cellStyle name="20% - Ênfase4 10 3 3" xfId="10510"/>
    <cellStyle name="20% - Ênfase4 10 3 4" xfId="14542"/>
    <cellStyle name="20% - Ênfase4 10 3 5" xfId="18574"/>
    <cellStyle name="20% - Ênfase4 10 3 6" xfId="22606"/>
    <cellStyle name="20% - Ênfase4 10 3 7" xfId="26638"/>
    <cellStyle name="20% - Ênfase4 10 3 8" xfId="30670"/>
    <cellStyle name="20% - Ênfase4 10 3 9" xfId="34702"/>
    <cellStyle name="20% - Ênfase4 10 4" xfId="7541"/>
    <cellStyle name="20% - Ênfase4 10 4 10" xfId="43831"/>
    <cellStyle name="20% - Ênfase4 10 4 11" xfId="47863"/>
    <cellStyle name="20% - Ênfase4 10 4 12" xfId="51942"/>
    <cellStyle name="20% - Ênfase4 10 4 2" xfId="11575"/>
    <cellStyle name="20% - Ênfase4 10 4 3" xfId="15607"/>
    <cellStyle name="20% - Ênfase4 10 4 4" xfId="19639"/>
    <cellStyle name="20% - Ênfase4 10 4 5" xfId="23671"/>
    <cellStyle name="20% - Ênfase4 10 4 6" xfId="27703"/>
    <cellStyle name="20% - Ênfase4 10 4 7" xfId="31735"/>
    <cellStyle name="20% - Ênfase4 10 4 8" xfId="35767"/>
    <cellStyle name="20% - Ênfase4 10 4 9" xfId="39799"/>
    <cellStyle name="20% - Ênfase4 10 5" xfId="9559"/>
    <cellStyle name="20% - Ênfase4 10 6" xfId="13591"/>
    <cellStyle name="20% - Ênfase4 10 7" xfId="17623"/>
    <cellStyle name="20% - Ênfase4 10 8" xfId="21655"/>
    <cellStyle name="20% - Ênfase4 10 9" xfId="25687"/>
    <cellStyle name="20% - Ênfase4 11" xfId="1869"/>
    <cellStyle name="20% - Ênfase4 11 10" xfId="29720"/>
    <cellStyle name="20% - Ênfase4 11 11" xfId="33752"/>
    <cellStyle name="20% - Ênfase4 11 12" xfId="37784"/>
    <cellStyle name="20% - Ênfase4 11 13" xfId="41816"/>
    <cellStyle name="20% - Ênfase4 11 14" xfId="45848"/>
    <cellStyle name="20% - Ênfase4 11 15" xfId="49926"/>
    <cellStyle name="20% - Ênfase4 11 2" xfId="1870"/>
    <cellStyle name="20% - Ênfase4 11 3" xfId="5467"/>
    <cellStyle name="20% - Ênfase4 11 3 10" xfId="38735"/>
    <cellStyle name="20% - Ênfase4 11 3 11" xfId="42767"/>
    <cellStyle name="20% - Ênfase4 11 3 12" xfId="46799"/>
    <cellStyle name="20% - Ênfase4 11 3 13" xfId="50878"/>
    <cellStyle name="20% - Ênfase4 11 3 2" xfId="8493"/>
    <cellStyle name="20% - Ênfase4 11 3 2 10" xfId="44783"/>
    <cellStyle name="20% - Ênfase4 11 3 2 11" xfId="48815"/>
    <cellStyle name="20% - Ênfase4 11 3 2 12" xfId="52894"/>
    <cellStyle name="20% - Ênfase4 11 3 2 2" xfId="12527"/>
    <cellStyle name="20% - Ênfase4 11 3 2 3" xfId="16559"/>
    <cellStyle name="20% - Ênfase4 11 3 2 4" xfId="20591"/>
    <cellStyle name="20% - Ênfase4 11 3 2 5" xfId="24623"/>
    <cellStyle name="20% - Ênfase4 11 3 2 6" xfId="28655"/>
    <cellStyle name="20% - Ênfase4 11 3 2 7" xfId="32687"/>
    <cellStyle name="20% - Ênfase4 11 3 2 8" xfId="36719"/>
    <cellStyle name="20% - Ênfase4 11 3 2 9" xfId="40751"/>
    <cellStyle name="20% - Ênfase4 11 3 3" xfId="10511"/>
    <cellStyle name="20% - Ênfase4 11 3 4" xfId="14543"/>
    <cellStyle name="20% - Ênfase4 11 3 5" xfId="18575"/>
    <cellStyle name="20% - Ênfase4 11 3 6" xfId="22607"/>
    <cellStyle name="20% - Ênfase4 11 3 7" xfId="26639"/>
    <cellStyle name="20% - Ênfase4 11 3 8" xfId="30671"/>
    <cellStyle name="20% - Ênfase4 11 3 9" xfId="34703"/>
    <cellStyle name="20% - Ênfase4 11 4" xfId="7542"/>
    <cellStyle name="20% - Ênfase4 11 4 10" xfId="43832"/>
    <cellStyle name="20% - Ênfase4 11 4 11" xfId="47864"/>
    <cellStyle name="20% - Ênfase4 11 4 12" xfId="51943"/>
    <cellStyle name="20% - Ênfase4 11 4 2" xfId="11576"/>
    <cellStyle name="20% - Ênfase4 11 4 3" xfId="15608"/>
    <cellStyle name="20% - Ênfase4 11 4 4" xfId="19640"/>
    <cellStyle name="20% - Ênfase4 11 4 5" xfId="23672"/>
    <cellStyle name="20% - Ênfase4 11 4 6" xfId="27704"/>
    <cellStyle name="20% - Ênfase4 11 4 7" xfId="31736"/>
    <cellStyle name="20% - Ênfase4 11 4 8" xfId="35768"/>
    <cellStyle name="20% - Ênfase4 11 4 9" xfId="39800"/>
    <cellStyle name="20% - Ênfase4 11 5" xfId="9560"/>
    <cellStyle name="20% - Ênfase4 11 6" xfId="13592"/>
    <cellStyle name="20% - Ênfase4 11 7" xfId="17624"/>
    <cellStyle name="20% - Ênfase4 11 8" xfId="21656"/>
    <cellStyle name="20% - Ênfase4 11 9" xfId="25688"/>
    <cellStyle name="20% - Ênfase4 12" xfId="1871"/>
    <cellStyle name="20% - Ênfase4 12 10" xfId="29721"/>
    <cellStyle name="20% - Ênfase4 12 11" xfId="33753"/>
    <cellStyle name="20% - Ênfase4 12 12" xfId="37785"/>
    <cellStyle name="20% - Ênfase4 12 13" xfId="41817"/>
    <cellStyle name="20% - Ênfase4 12 14" xfId="45849"/>
    <cellStyle name="20% - Ênfase4 12 15" xfId="49927"/>
    <cellStyle name="20% - Ênfase4 12 2" xfId="1872"/>
    <cellStyle name="20% - Ênfase4 12 3" xfId="5468"/>
    <cellStyle name="20% - Ênfase4 12 3 10" xfId="38736"/>
    <cellStyle name="20% - Ênfase4 12 3 11" xfId="42768"/>
    <cellStyle name="20% - Ênfase4 12 3 12" xfId="46800"/>
    <cellStyle name="20% - Ênfase4 12 3 13" xfId="50879"/>
    <cellStyle name="20% - Ênfase4 12 3 2" xfId="8494"/>
    <cellStyle name="20% - Ênfase4 12 3 2 10" xfId="44784"/>
    <cellStyle name="20% - Ênfase4 12 3 2 11" xfId="48816"/>
    <cellStyle name="20% - Ênfase4 12 3 2 12" xfId="52895"/>
    <cellStyle name="20% - Ênfase4 12 3 2 2" xfId="12528"/>
    <cellStyle name="20% - Ênfase4 12 3 2 3" xfId="16560"/>
    <cellStyle name="20% - Ênfase4 12 3 2 4" xfId="20592"/>
    <cellStyle name="20% - Ênfase4 12 3 2 5" xfId="24624"/>
    <cellStyle name="20% - Ênfase4 12 3 2 6" xfId="28656"/>
    <cellStyle name="20% - Ênfase4 12 3 2 7" xfId="32688"/>
    <cellStyle name="20% - Ênfase4 12 3 2 8" xfId="36720"/>
    <cellStyle name="20% - Ênfase4 12 3 2 9" xfId="40752"/>
    <cellStyle name="20% - Ênfase4 12 3 3" xfId="10512"/>
    <cellStyle name="20% - Ênfase4 12 3 4" xfId="14544"/>
    <cellStyle name="20% - Ênfase4 12 3 5" xfId="18576"/>
    <cellStyle name="20% - Ênfase4 12 3 6" xfId="22608"/>
    <cellStyle name="20% - Ênfase4 12 3 7" xfId="26640"/>
    <cellStyle name="20% - Ênfase4 12 3 8" xfId="30672"/>
    <cellStyle name="20% - Ênfase4 12 3 9" xfId="34704"/>
    <cellStyle name="20% - Ênfase4 12 4" xfId="7543"/>
    <cellStyle name="20% - Ênfase4 12 4 10" xfId="43833"/>
    <cellStyle name="20% - Ênfase4 12 4 11" xfId="47865"/>
    <cellStyle name="20% - Ênfase4 12 4 12" xfId="51944"/>
    <cellStyle name="20% - Ênfase4 12 4 2" xfId="11577"/>
    <cellStyle name="20% - Ênfase4 12 4 3" xfId="15609"/>
    <cellStyle name="20% - Ênfase4 12 4 4" xfId="19641"/>
    <cellStyle name="20% - Ênfase4 12 4 5" xfId="23673"/>
    <cellStyle name="20% - Ênfase4 12 4 6" xfId="27705"/>
    <cellStyle name="20% - Ênfase4 12 4 7" xfId="31737"/>
    <cellStyle name="20% - Ênfase4 12 4 8" xfId="35769"/>
    <cellStyle name="20% - Ênfase4 12 4 9" xfId="39801"/>
    <cellStyle name="20% - Ênfase4 12 5" xfId="9561"/>
    <cellStyle name="20% - Ênfase4 12 6" xfId="13593"/>
    <cellStyle name="20% - Ênfase4 12 7" xfId="17625"/>
    <cellStyle name="20% - Ênfase4 12 8" xfId="21657"/>
    <cellStyle name="20% - Ênfase4 12 9" xfId="25689"/>
    <cellStyle name="20% - Ênfase4 13" xfId="1873"/>
    <cellStyle name="20% - Ênfase4 13 10" xfId="29722"/>
    <cellStyle name="20% - Ênfase4 13 11" xfId="33754"/>
    <cellStyle name="20% - Ênfase4 13 12" xfId="37786"/>
    <cellStyle name="20% - Ênfase4 13 13" xfId="41818"/>
    <cellStyle name="20% - Ênfase4 13 14" xfId="45850"/>
    <cellStyle name="20% - Ênfase4 13 15" xfId="49928"/>
    <cellStyle name="20% - Ênfase4 13 2" xfId="1874"/>
    <cellStyle name="20% - Ênfase4 13 3" xfId="5469"/>
    <cellStyle name="20% - Ênfase4 13 3 10" xfId="38737"/>
    <cellStyle name="20% - Ênfase4 13 3 11" xfId="42769"/>
    <cellStyle name="20% - Ênfase4 13 3 12" xfId="46801"/>
    <cellStyle name="20% - Ênfase4 13 3 13" xfId="50880"/>
    <cellStyle name="20% - Ênfase4 13 3 2" xfId="8495"/>
    <cellStyle name="20% - Ênfase4 13 3 2 10" xfId="44785"/>
    <cellStyle name="20% - Ênfase4 13 3 2 11" xfId="48817"/>
    <cellStyle name="20% - Ênfase4 13 3 2 12" xfId="52896"/>
    <cellStyle name="20% - Ênfase4 13 3 2 2" xfId="12529"/>
    <cellStyle name="20% - Ênfase4 13 3 2 3" xfId="16561"/>
    <cellStyle name="20% - Ênfase4 13 3 2 4" xfId="20593"/>
    <cellStyle name="20% - Ênfase4 13 3 2 5" xfId="24625"/>
    <cellStyle name="20% - Ênfase4 13 3 2 6" xfId="28657"/>
    <cellStyle name="20% - Ênfase4 13 3 2 7" xfId="32689"/>
    <cellStyle name="20% - Ênfase4 13 3 2 8" xfId="36721"/>
    <cellStyle name="20% - Ênfase4 13 3 2 9" xfId="40753"/>
    <cellStyle name="20% - Ênfase4 13 3 3" xfId="10513"/>
    <cellStyle name="20% - Ênfase4 13 3 4" xfId="14545"/>
    <cellStyle name="20% - Ênfase4 13 3 5" xfId="18577"/>
    <cellStyle name="20% - Ênfase4 13 3 6" xfId="22609"/>
    <cellStyle name="20% - Ênfase4 13 3 7" xfId="26641"/>
    <cellStyle name="20% - Ênfase4 13 3 8" xfId="30673"/>
    <cellStyle name="20% - Ênfase4 13 3 9" xfId="34705"/>
    <cellStyle name="20% - Ênfase4 13 4" xfId="7544"/>
    <cellStyle name="20% - Ênfase4 13 4 10" xfId="43834"/>
    <cellStyle name="20% - Ênfase4 13 4 11" xfId="47866"/>
    <cellStyle name="20% - Ênfase4 13 4 12" xfId="51945"/>
    <cellStyle name="20% - Ênfase4 13 4 2" xfId="11578"/>
    <cellStyle name="20% - Ênfase4 13 4 3" xfId="15610"/>
    <cellStyle name="20% - Ênfase4 13 4 4" xfId="19642"/>
    <cellStyle name="20% - Ênfase4 13 4 5" xfId="23674"/>
    <cellStyle name="20% - Ênfase4 13 4 6" xfId="27706"/>
    <cellStyle name="20% - Ênfase4 13 4 7" xfId="31738"/>
    <cellStyle name="20% - Ênfase4 13 4 8" xfId="35770"/>
    <cellStyle name="20% - Ênfase4 13 4 9" xfId="39802"/>
    <cellStyle name="20% - Ênfase4 13 5" xfId="9562"/>
    <cellStyle name="20% - Ênfase4 13 6" xfId="13594"/>
    <cellStyle name="20% - Ênfase4 13 7" xfId="17626"/>
    <cellStyle name="20% - Ênfase4 13 8" xfId="21658"/>
    <cellStyle name="20% - Ênfase4 13 9" xfId="25690"/>
    <cellStyle name="20% - Ênfase4 14 2" xfId="1875"/>
    <cellStyle name="20% - Ênfase4 15 2" xfId="1876"/>
    <cellStyle name="20% - Ênfase4 16 2" xfId="1877"/>
    <cellStyle name="20% - Ênfase4 17 2" xfId="1878"/>
    <cellStyle name="20% - Ênfase4 2" xfId="386"/>
    <cellStyle name="20% - Ênfase4 2 2" xfId="525"/>
    <cellStyle name="20% - Ênfase4 2 2 2" xfId="1880"/>
    <cellStyle name="20% - Ênfase4 2 3" xfId="839"/>
    <cellStyle name="20% - Ênfase4 2 3 2" xfId="1881"/>
    <cellStyle name="20% - Ênfase4 2 4" xfId="1024"/>
    <cellStyle name="20% - Ênfase4 2 5" xfId="1879"/>
    <cellStyle name="20% - Ênfase4 2 5 10" xfId="33755"/>
    <cellStyle name="20% - Ênfase4 2 5 11" xfId="37787"/>
    <cellStyle name="20% - Ênfase4 2 5 12" xfId="41819"/>
    <cellStyle name="20% - Ênfase4 2 5 13" xfId="45851"/>
    <cellStyle name="20% - Ênfase4 2 5 14" xfId="49929"/>
    <cellStyle name="20% - Ênfase4 2 5 2" xfId="5470"/>
    <cellStyle name="20% - Ênfase4 2 5 2 10" xfId="38738"/>
    <cellStyle name="20% - Ênfase4 2 5 2 11" xfId="42770"/>
    <cellStyle name="20% - Ênfase4 2 5 2 12" xfId="46802"/>
    <cellStyle name="20% - Ênfase4 2 5 2 13" xfId="50881"/>
    <cellStyle name="20% - Ênfase4 2 5 2 2" xfId="8496"/>
    <cellStyle name="20% - Ênfase4 2 5 2 2 10" xfId="44786"/>
    <cellStyle name="20% - Ênfase4 2 5 2 2 11" xfId="48818"/>
    <cellStyle name="20% - Ênfase4 2 5 2 2 12" xfId="52897"/>
    <cellStyle name="20% - Ênfase4 2 5 2 2 2" xfId="12530"/>
    <cellStyle name="20% - Ênfase4 2 5 2 2 3" xfId="16562"/>
    <cellStyle name="20% - Ênfase4 2 5 2 2 4" xfId="20594"/>
    <cellStyle name="20% - Ênfase4 2 5 2 2 5" xfId="24626"/>
    <cellStyle name="20% - Ênfase4 2 5 2 2 6" xfId="28658"/>
    <cellStyle name="20% - Ênfase4 2 5 2 2 7" xfId="32690"/>
    <cellStyle name="20% - Ênfase4 2 5 2 2 8" xfId="36722"/>
    <cellStyle name="20% - Ênfase4 2 5 2 2 9" xfId="40754"/>
    <cellStyle name="20% - Ênfase4 2 5 2 3" xfId="10514"/>
    <cellStyle name="20% - Ênfase4 2 5 2 4" xfId="14546"/>
    <cellStyle name="20% - Ênfase4 2 5 2 5" xfId="18578"/>
    <cellStyle name="20% - Ênfase4 2 5 2 6" xfId="22610"/>
    <cellStyle name="20% - Ênfase4 2 5 2 7" xfId="26642"/>
    <cellStyle name="20% - Ênfase4 2 5 2 8" xfId="30674"/>
    <cellStyle name="20% - Ênfase4 2 5 2 9" xfId="34706"/>
    <cellStyle name="20% - Ênfase4 2 5 3" xfId="7545"/>
    <cellStyle name="20% - Ênfase4 2 5 3 10" xfId="43835"/>
    <cellStyle name="20% - Ênfase4 2 5 3 11" xfId="47867"/>
    <cellStyle name="20% - Ênfase4 2 5 3 12" xfId="51946"/>
    <cellStyle name="20% - Ênfase4 2 5 3 2" xfId="11579"/>
    <cellStyle name="20% - Ênfase4 2 5 3 3" xfId="15611"/>
    <cellStyle name="20% - Ênfase4 2 5 3 4" xfId="19643"/>
    <cellStyle name="20% - Ênfase4 2 5 3 5" xfId="23675"/>
    <cellStyle name="20% - Ênfase4 2 5 3 6" xfId="27707"/>
    <cellStyle name="20% - Ênfase4 2 5 3 7" xfId="31739"/>
    <cellStyle name="20% - Ênfase4 2 5 3 8" xfId="35771"/>
    <cellStyle name="20% - Ênfase4 2 5 3 9" xfId="39803"/>
    <cellStyle name="20% - Ênfase4 2 5 4" xfId="9563"/>
    <cellStyle name="20% - Ênfase4 2 5 5" xfId="13595"/>
    <cellStyle name="20% - Ênfase4 2 5 6" xfId="17627"/>
    <cellStyle name="20% - Ênfase4 2 5 7" xfId="21659"/>
    <cellStyle name="20% - Ênfase4 2 5 8" xfId="25691"/>
    <cellStyle name="20% - Ênfase4 2 5 9" xfId="29723"/>
    <cellStyle name="20% - Ênfase4 3" xfId="453"/>
    <cellStyle name="20% - Ênfase4 3 2" xfId="1025"/>
    <cellStyle name="20% - Ênfase4 3 2 10" xfId="29532"/>
    <cellStyle name="20% - Ênfase4 3 2 11" xfId="33564"/>
    <cellStyle name="20% - Ênfase4 3 2 12" xfId="37596"/>
    <cellStyle name="20% - Ênfase4 3 2 13" xfId="41628"/>
    <cellStyle name="20% - Ênfase4 3 2 14" xfId="45660"/>
    <cellStyle name="20% - Ênfase4 3 2 15" xfId="49738"/>
    <cellStyle name="20% - Ênfase4 3 2 2" xfId="1883"/>
    <cellStyle name="20% - Ênfase4 3 2 3" xfId="5038"/>
    <cellStyle name="20% - Ênfase4 3 2 3 10" xfId="38561"/>
    <cellStyle name="20% - Ênfase4 3 2 3 11" xfId="42593"/>
    <cellStyle name="20% - Ênfase4 3 2 3 12" xfId="46625"/>
    <cellStyle name="20% - Ênfase4 3 2 3 13" xfId="50704"/>
    <cellStyle name="20% - Ênfase4 3 2 3 2" xfId="8319"/>
    <cellStyle name="20% - Ênfase4 3 2 3 2 10" xfId="44609"/>
    <cellStyle name="20% - Ênfase4 3 2 3 2 11" xfId="48641"/>
    <cellStyle name="20% - Ênfase4 3 2 3 2 12" xfId="52720"/>
    <cellStyle name="20% - Ênfase4 3 2 3 2 2" xfId="12353"/>
    <cellStyle name="20% - Ênfase4 3 2 3 2 3" xfId="16385"/>
    <cellStyle name="20% - Ênfase4 3 2 3 2 4" xfId="20417"/>
    <cellStyle name="20% - Ênfase4 3 2 3 2 5" xfId="24449"/>
    <cellStyle name="20% - Ênfase4 3 2 3 2 6" xfId="28481"/>
    <cellStyle name="20% - Ênfase4 3 2 3 2 7" xfId="32513"/>
    <cellStyle name="20% - Ênfase4 3 2 3 2 8" xfId="36545"/>
    <cellStyle name="20% - Ênfase4 3 2 3 2 9" xfId="40577"/>
    <cellStyle name="20% - Ênfase4 3 2 3 3" xfId="10337"/>
    <cellStyle name="20% - Ênfase4 3 2 3 4" xfId="14369"/>
    <cellStyle name="20% - Ênfase4 3 2 3 5" xfId="18401"/>
    <cellStyle name="20% - Ênfase4 3 2 3 6" xfId="22433"/>
    <cellStyle name="20% - Ênfase4 3 2 3 7" xfId="26465"/>
    <cellStyle name="20% - Ênfase4 3 2 3 8" xfId="30497"/>
    <cellStyle name="20% - Ênfase4 3 2 3 9" xfId="34529"/>
    <cellStyle name="20% - Ênfase4 3 2 4" xfId="7354"/>
    <cellStyle name="20% - Ênfase4 3 2 4 10" xfId="43644"/>
    <cellStyle name="20% - Ênfase4 3 2 4 11" xfId="47676"/>
    <cellStyle name="20% - Ênfase4 3 2 4 12" xfId="51755"/>
    <cellStyle name="20% - Ênfase4 3 2 4 2" xfId="11388"/>
    <cellStyle name="20% - Ênfase4 3 2 4 3" xfId="15420"/>
    <cellStyle name="20% - Ênfase4 3 2 4 4" xfId="19452"/>
    <cellStyle name="20% - Ênfase4 3 2 4 5" xfId="23484"/>
    <cellStyle name="20% - Ênfase4 3 2 4 6" xfId="27516"/>
    <cellStyle name="20% - Ênfase4 3 2 4 7" xfId="31548"/>
    <cellStyle name="20% - Ênfase4 3 2 4 8" xfId="35580"/>
    <cellStyle name="20% - Ênfase4 3 2 4 9" xfId="39612"/>
    <cellStyle name="20% - Ênfase4 3 2 5" xfId="9372"/>
    <cellStyle name="20% - Ênfase4 3 2 6" xfId="13404"/>
    <cellStyle name="20% - Ênfase4 3 2 7" xfId="17436"/>
    <cellStyle name="20% - Ênfase4 3 2 8" xfId="21468"/>
    <cellStyle name="20% - Ênfase4 3 2 9" xfId="25500"/>
    <cellStyle name="20% - Ênfase4 3 3" xfId="1884"/>
    <cellStyle name="20% - Ênfase4 3 4" xfId="1882"/>
    <cellStyle name="20% - Ênfase4 3 4 10" xfId="33756"/>
    <cellStyle name="20% - Ênfase4 3 4 11" xfId="37788"/>
    <cellStyle name="20% - Ênfase4 3 4 12" xfId="41820"/>
    <cellStyle name="20% - Ênfase4 3 4 13" xfId="45852"/>
    <cellStyle name="20% - Ênfase4 3 4 14" xfId="49930"/>
    <cellStyle name="20% - Ênfase4 3 4 2" xfId="5471"/>
    <cellStyle name="20% - Ênfase4 3 4 2 10" xfId="38739"/>
    <cellStyle name="20% - Ênfase4 3 4 2 11" xfId="42771"/>
    <cellStyle name="20% - Ênfase4 3 4 2 12" xfId="46803"/>
    <cellStyle name="20% - Ênfase4 3 4 2 13" xfId="50882"/>
    <cellStyle name="20% - Ênfase4 3 4 2 2" xfId="8497"/>
    <cellStyle name="20% - Ênfase4 3 4 2 2 10" xfId="44787"/>
    <cellStyle name="20% - Ênfase4 3 4 2 2 11" xfId="48819"/>
    <cellStyle name="20% - Ênfase4 3 4 2 2 12" xfId="52898"/>
    <cellStyle name="20% - Ênfase4 3 4 2 2 2" xfId="12531"/>
    <cellStyle name="20% - Ênfase4 3 4 2 2 3" xfId="16563"/>
    <cellStyle name="20% - Ênfase4 3 4 2 2 4" xfId="20595"/>
    <cellStyle name="20% - Ênfase4 3 4 2 2 5" xfId="24627"/>
    <cellStyle name="20% - Ênfase4 3 4 2 2 6" xfId="28659"/>
    <cellStyle name="20% - Ênfase4 3 4 2 2 7" xfId="32691"/>
    <cellStyle name="20% - Ênfase4 3 4 2 2 8" xfId="36723"/>
    <cellStyle name="20% - Ênfase4 3 4 2 2 9" xfId="40755"/>
    <cellStyle name="20% - Ênfase4 3 4 2 3" xfId="10515"/>
    <cellStyle name="20% - Ênfase4 3 4 2 4" xfId="14547"/>
    <cellStyle name="20% - Ênfase4 3 4 2 5" xfId="18579"/>
    <cellStyle name="20% - Ênfase4 3 4 2 6" xfId="22611"/>
    <cellStyle name="20% - Ênfase4 3 4 2 7" xfId="26643"/>
    <cellStyle name="20% - Ênfase4 3 4 2 8" xfId="30675"/>
    <cellStyle name="20% - Ênfase4 3 4 2 9" xfId="34707"/>
    <cellStyle name="20% - Ênfase4 3 4 3" xfId="7546"/>
    <cellStyle name="20% - Ênfase4 3 4 3 10" xfId="43836"/>
    <cellStyle name="20% - Ênfase4 3 4 3 11" xfId="47868"/>
    <cellStyle name="20% - Ênfase4 3 4 3 12" xfId="51947"/>
    <cellStyle name="20% - Ênfase4 3 4 3 2" xfId="11580"/>
    <cellStyle name="20% - Ênfase4 3 4 3 3" xfId="15612"/>
    <cellStyle name="20% - Ênfase4 3 4 3 4" xfId="19644"/>
    <cellStyle name="20% - Ênfase4 3 4 3 5" xfId="23676"/>
    <cellStyle name="20% - Ênfase4 3 4 3 6" xfId="27708"/>
    <cellStyle name="20% - Ênfase4 3 4 3 7" xfId="31740"/>
    <cellStyle name="20% - Ênfase4 3 4 3 8" xfId="35772"/>
    <cellStyle name="20% - Ênfase4 3 4 3 9" xfId="39804"/>
    <cellStyle name="20% - Ênfase4 3 4 4" xfId="9564"/>
    <cellStyle name="20% - Ênfase4 3 4 5" xfId="13596"/>
    <cellStyle name="20% - Ênfase4 3 4 6" xfId="17628"/>
    <cellStyle name="20% - Ênfase4 3 4 7" xfId="21660"/>
    <cellStyle name="20% - Ênfase4 3 4 8" xfId="25692"/>
    <cellStyle name="20% - Ênfase4 3 4 9" xfId="29724"/>
    <cellStyle name="20% - Ênfase4 4" xfId="1128"/>
    <cellStyle name="20% - Ênfase4 4 2" xfId="1886"/>
    <cellStyle name="20% - Ênfase4 4 3" xfId="1887"/>
    <cellStyle name="20% - Ênfase4 4 4" xfId="1885"/>
    <cellStyle name="20% - Ênfase4 4 4 10" xfId="33757"/>
    <cellStyle name="20% - Ênfase4 4 4 11" xfId="37789"/>
    <cellStyle name="20% - Ênfase4 4 4 12" xfId="41821"/>
    <cellStyle name="20% - Ênfase4 4 4 13" xfId="45853"/>
    <cellStyle name="20% - Ênfase4 4 4 14" xfId="49931"/>
    <cellStyle name="20% - Ênfase4 4 4 2" xfId="5472"/>
    <cellStyle name="20% - Ênfase4 4 4 2 10" xfId="38740"/>
    <cellStyle name="20% - Ênfase4 4 4 2 11" xfId="42772"/>
    <cellStyle name="20% - Ênfase4 4 4 2 12" xfId="46804"/>
    <cellStyle name="20% - Ênfase4 4 4 2 13" xfId="50883"/>
    <cellStyle name="20% - Ênfase4 4 4 2 2" xfId="8498"/>
    <cellStyle name="20% - Ênfase4 4 4 2 2 10" xfId="44788"/>
    <cellStyle name="20% - Ênfase4 4 4 2 2 11" xfId="48820"/>
    <cellStyle name="20% - Ênfase4 4 4 2 2 12" xfId="52899"/>
    <cellStyle name="20% - Ênfase4 4 4 2 2 2" xfId="12532"/>
    <cellStyle name="20% - Ênfase4 4 4 2 2 3" xfId="16564"/>
    <cellStyle name="20% - Ênfase4 4 4 2 2 4" xfId="20596"/>
    <cellStyle name="20% - Ênfase4 4 4 2 2 5" xfId="24628"/>
    <cellStyle name="20% - Ênfase4 4 4 2 2 6" xfId="28660"/>
    <cellStyle name="20% - Ênfase4 4 4 2 2 7" xfId="32692"/>
    <cellStyle name="20% - Ênfase4 4 4 2 2 8" xfId="36724"/>
    <cellStyle name="20% - Ênfase4 4 4 2 2 9" xfId="40756"/>
    <cellStyle name="20% - Ênfase4 4 4 2 3" xfId="10516"/>
    <cellStyle name="20% - Ênfase4 4 4 2 4" xfId="14548"/>
    <cellStyle name="20% - Ênfase4 4 4 2 5" xfId="18580"/>
    <cellStyle name="20% - Ênfase4 4 4 2 6" xfId="22612"/>
    <cellStyle name="20% - Ênfase4 4 4 2 7" xfId="26644"/>
    <cellStyle name="20% - Ênfase4 4 4 2 8" xfId="30676"/>
    <cellStyle name="20% - Ênfase4 4 4 2 9" xfId="34708"/>
    <cellStyle name="20% - Ênfase4 4 4 3" xfId="7547"/>
    <cellStyle name="20% - Ênfase4 4 4 3 10" xfId="43837"/>
    <cellStyle name="20% - Ênfase4 4 4 3 11" xfId="47869"/>
    <cellStyle name="20% - Ênfase4 4 4 3 12" xfId="51948"/>
    <cellStyle name="20% - Ênfase4 4 4 3 2" xfId="11581"/>
    <cellStyle name="20% - Ênfase4 4 4 3 3" xfId="15613"/>
    <cellStyle name="20% - Ênfase4 4 4 3 4" xfId="19645"/>
    <cellStyle name="20% - Ênfase4 4 4 3 5" xfId="23677"/>
    <cellStyle name="20% - Ênfase4 4 4 3 6" xfId="27709"/>
    <cellStyle name="20% - Ênfase4 4 4 3 7" xfId="31741"/>
    <cellStyle name="20% - Ênfase4 4 4 3 8" xfId="35773"/>
    <cellStyle name="20% - Ênfase4 4 4 3 9" xfId="39805"/>
    <cellStyle name="20% - Ênfase4 4 4 4" xfId="9565"/>
    <cellStyle name="20% - Ênfase4 4 4 5" xfId="13597"/>
    <cellStyle name="20% - Ênfase4 4 4 6" xfId="17629"/>
    <cellStyle name="20% - Ênfase4 4 4 7" xfId="21661"/>
    <cellStyle name="20% - Ênfase4 4 4 8" xfId="25693"/>
    <cellStyle name="20% - Ênfase4 4 4 9" xfId="29725"/>
    <cellStyle name="20% - Ênfase4 5" xfId="1170"/>
    <cellStyle name="20% - Ênfase4 5 2" xfId="1889"/>
    <cellStyle name="20% - Ênfase4 5 3" xfId="1890"/>
    <cellStyle name="20% - Ênfase4 5 4" xfId="1888"/>
    <cellStyle name="20% - Ênfase4 5 4 10" xfId="33758"/>
    <cellStyle name="20% - Ênfase4 5 4 11" xfId="37790"/>
    <cellStyle name="20% - Ênfase4 5 4 12" xfId="41822"/>
    <cellStyle name="20% - Ênfase4 5 4 13" xfId="45854"/>
    <cellStyle name="20% - Ênfase4 5 4 14" xfId="49932"/>
    <cellStyle name="20% - Ênfase4 5 4 2" xfId="5473"/>
    <cellStyle name="20% - Ênfase4 5 4 2 10" xfId="38741"/>
    <cellStyle name="20% - Ênfase4 5 4 2 11" xfId="42773"/>
    <cellStyle name="20% - Ênfase4 5 4 2 12" xfId="46805"/>
    <cellStyle name="20% - Ênfase4 5 4 2 13" xfId="50884"/>
    <cellStyle name="20% - Ênfase4 5 4 2 2" xfId="8499"/>
    <cellStyle name="20% - Ênfase4 5 4 2 2 10" xfId="44789"/>
    <cellStyle name="20% - Ênfase4 5 4 2 2 11" xfId="48821"/>
    <cellStyle name="20% - Ênfase4 5 4 2 2 12" xfId="52900"/>
    <cellStyle name="20% - Ênfase4 5 4 2 2 2" xfId="12533"/>
    <cellStyle name="20% - Ênfase4 5 4 2 2 3" xfId="16565"/>
    <cellStyle name="20% - Ênfase4 5 4 2 2 4" xfId="20597"/>
    <cellStyle name="20% - Ênfase4 5 4 2 2 5" xfId="24629"/>
    <cellStyle name="20% - Ênfase4 5 4 2 2 6" xfId="28661"/>
    <cellStyle name="20% - Ênfase4 5 4 2 2 7" xfId="32693"/>
    <cellStyle name="20% - Ênfase4 5 4 2 2 8" xfId="36725"/>
    <cellStyle name="20% - Ênfase4 5 4 2 2 9" xfId="40757"/>
    <cellStyle name="20% - Ênfase4 5 4 2 3" xfId="10517"/>
    <cellStyle name="20% - Ênfase4 5 4 2 4" xfId="14549"/>
    <cellStyle name="20% - Ênfase4 5 4 2 5" xfId="18581"/>
    <cellStyle name="20% - Ênfase4 5 4 2 6" xfId="22613"/>
    <cellStyle name="20% - Ênfase4 5 4 2 7" xfId="26645"/>
    <cellStyle name="20% - Ênfase4 5 4 2 8" xfId="30677"/>
    <cellStyle name="20% - Ênfase4 5 4 2 9" xfId="34709"/>
    <cellStyle name="20% - Ênfase4 5 4 3" xfId="7548"/>
    <cellStyle name="20% - Ênfase4 5 4 3 10" xfId="43838"/>
    <cellStyle name="20% - Ênfase4 5 4 3 11" xfId="47870"/>
    <cellStyle name="20% - Ênfase4 5 4 3 12" xfId="51949"/>
    <cellStyle name="20% - Ênfase4 5 4 3 2" xfId="11582"/>
    <cellStyle name="20% - Ênfase4 5 4 3 3" xfId="15614"/>
    <cellStyle name="20% - Ênfase4 5 4 3 4" xfId="19646"/>
    <cellStyle name="20% - Ênfase4 5 4 3 5" xfId="23678"/>
    <cellStyle name="20% - Ênfase4 5 4 3 6" xfId="27710"/>
    <cellStyle name="20% - Ênfase4 5 4 3 7" xfId="31742"/>
    <cellStyle name="20% - Ênfase4 5 4 3 8" xfId="35774"/>
    <cellStyle name="20% - Ênfase4 5 4 3 9" xfId="39806"/>
    <cellStyle name="20% - Ênfase4 5 4 4" xfId="9566"/>
    <cellStyle name="20% - Ênfase4 5 4 5" xfId="13598"/>
    <cellStyle name="20% - Ênfase4 5 4 6" xfId="17630"/>
    <cellStyle name="20% - Ênfase4 5 4 7" xfId="21662"/>
    <cellStyle name="20% - Ênfase4 5 4 8" xfId="25694"/>
    <cellStyle name="20% - Ênfase4 5 4 9" xfId="29726"/>
    <cellStyle name="20% - Ênfase4 6" xfId="1206"/>
    <cellStyle name="20% - Ênfase4 6 2" xfId="1892"/>
    <cellStyle name="20% - Ênfase4 6 3" xfId="1893"/>
    <cellStyle name="20% - Ênfase4 6 4" xfId="1891"/>
    <cellStyle name="20% - Ênfase4 6 4 10" xfId="33759"/>
    <cellStyle name="20% - Ênfase4 6 4 11" xfId="37791"/>
    <cellStyle name="20% - Ênfase4 6 4 12" xfId="41823"/>
    <cellStyle name="20% - Ênfase4 6 4 13" xfId="45855"/>
    <cellStyle name="20% - Ênfase4 6 4 14" xfId="49933"/>
    <cellStyle name="20% - Ênfase4 6 4 2" xfId="5474"/>
    <cellStyle name="20% - Ênfase4 6 4 2 10" xfId="38742"/>
    <cellStyle name="20% - Ênfase4 6 4 2 11" xfId="42774"/>
    <cellStyle name="20% - Ênfase4 6 4 2 12" xfId="46806"/>
    <cellStyle name="20% - Ênfase4 6 4 2 13" xfId="50885"/>
    <cellStyle name="20% - Ênfase4 6 4 2 2" xfId="8500"/>
    <cellStyle name="20% - Ênfase4 6 4 2 2 10" xfId="44790"/>
    <cellStyle name="20% - Ênfase4 6 4 2 2 11" xfId="48822"/>
    <cellStyle name="20% - Ênfase4 6 4 2 2 12" xfId="52901"/>
    <cellStyle name="20% - Ênfase4 6 4 2 2 2" xfId="12534"/>
    <cellStyle name="20% - Ênfase4 6 4 2 2 3" xfId="16566"/>
    <cellStyle name="20% - Ênfase4 6 4 2 2 4" xfId="20598"/>
    <cellStyle name="20% - Ênfase4 6 4 2 2 5" xfId="24630"/>
    <cellStyle name="20% - Ênfase4 6 4 2 2 6" xfId="28662"/>
    <cellStyle name="20% - Ênfase4 6 4 2 2 7" xfId="32694"/>
    <cellStyle name="20% - Ênfase4 6 4 2 2 8" xfId="36726"/>
    <cellStyle name="20% - Ênfase4 6 4 2 2 9" xfId="40758"/>
    <cellStyle name="20% - Ênfase4 6 4 2 3" xfId="10518"/>
    <cellStyle name="20% - Ênfase4 6 4 2 4" xfId="14550"/>
    <cellStyle name="20% - Ênfase4 6 4 2 5" xfId="18582"/>
    <cellStyle name="20% - Ênfase4 6 4 2 6" xfId="22614"/>
    <cellStyle name="20% - Ênfase4 6 4 2 7" xfId="26646"/>
    <cellStyle name="20% - Ênfase4 6 4 2 8" xfId="30678"/>
    <cellStyle name="20% - Ênfase4 6 4 2 9" xfId="34710"/>
    <cellStyle name="20% - Ênfase4 6 4 3" xfId="7549"/>
    <cellStyle name="20% - Ênfase4 6 4 3 10" xfId="43839"/>
    <cellStyle name="20% - Ênfase4 6 4 3 11" xfId="47871"/>
    <cellStyle name="20% - Ênfase4 6 4 3 12" xfId="51950"/>
    <cellStyle name="20% - Ênfase4 6 4 3 2" xfId="11583"/>
    <cellStyle name="20% - Ênfase4 6 4 3 3" xfId="15615"/>
    <cellStyle name="20% - Ênfase4 6 4 3 4" xfId="19647"/>
    <cellStyle name="20% - Ênfase4 6 4 3 5" xfId="23679"/>
    <cellStyle name="20% - Ênfase4 6 4 3 6" xfId="27711"/>
    <cellStyle name="20% - Ênfase4 6 4 3 7" xfId="31743"/>
    <cellStyle name="20% - Ênfase4 6 4 3 8" xfId="35775"/>
    <cellStyle name="20% - Ênfase4 6 4 3 9" xfId="39807"/>
    <cellStyle name="20% - Ênfase4 6 4 4" xfId="9567"/>
    <cellStyle name="20% - Ênfase4 6 4 5" xfId="13599"/>
    <cellStyle name="20% - Ênfase4 6 4 6" xfId="17631"/>
    <cellStyle name="20% - Ênfase4 6 4 7" xfId="21663"/>
    <cellStyle name="20% - Ênfase4 6 4 8" xfId="25695"/>
    <cellStyle name="20% - Ênfase4 6 4 9" xfId="29727"/>
    <cellStyle name="20% - Ênfase4 7" xfId="1894"/>
    <cellStyle name="20% - Ênfase4 7 10" xfId="25696"/>
    <cellStyle name="20% - Ênfase4 7 11" xfId="29728"/>
    <cellStyle name="20% - Ênfase4 7 12" xfId="33760"/>
    <cellStyle name="20% - Ênfase4 7 13" xfId="37792"/>
    <cellStyle name="20% - Ênfase4 7 14" xfId="41824"/>
    <cellStyle name="20% - Ênfase4 7 15" xfId="45856"/>
    <cellStyle name="20% - Ênfase4 7 16" xfId="49934"/>
    <cellStyle name="20% - Ênfase4 7 2" xfId="1895"/>
    <cellStyle name="20% - Ênfase4 7 3" xfId="1896"/>
    <cellStyle name="20% - Ênfase4 7 4" xfId="5475"/>
    <cellStyle name="20% - Ênfase4 7 4 10" xfId="38743"/>
    <cellStyle name="20% - Ênfase4 7 4 11" xfId="42775"/>
    <cellStyle name="20% - Ênfase4 7 4 12" xfId="46807"/>
    <cellStyle name="20% - Ênfase4 7 4 13" xfId="50886"/>
    <cellStyle name="20% - Ênfase4 7 4 2" xfId="8501"/>
    <cellStyle name="20% - Ênfase4 7 4 2 10" xfId="44791"/>
    <cellStyle name="20% - Ênfase4 7 4 2 11" xfId="48823"/>
    <cellStyle name="20% - Ênfase4 7 4 2 12" xfId="52902"/>
    <cellStyle name="20% - Ênfase4 7 4 2 2" xfId="12535"/>
    <cellStyle name="20% - Ênfase4 7 4 2 3" xfId="16567"/>
    <cellStyle name="20% - Ênfase4 7 4 2 4" xfId="20599"/>
    <cellStyle name="20% - Ênfase4 7 4 2 5" xfId="24631"/>
    <cellStyle name="20% - Ênfase4 7 4 2 6" xfId="28663"/>
    <cellStyle name="20% - Ênfase4 7 4 2 7" xfId="32695"/>
    <cellStyle name="20% - Ênfase4 7 4 2 8" xfId="36727"/>
    <cellStyle name="20% - Ênfase4 7 4 2 9" xfId="40759"/>
    <cellStyle name="20% - Ênfase4 7 4 3" xfId="10519"/>
    <cellStyle name="20% - Ênfase4 7 4 4" xfId="14551"/>
    <cellStyle name="20% - Ênfase4 7 4 5" xfId="18583"/>
    <cellStyle name="20% - Ênfase4 7 4 6" xfId="22615"/>
    <cellStyle name="20% - Ênfase4 7 4 7" xfId="26647"/>
    <cellStyle name="20% - Ênfase4 7 4 8" xfId="30679"/>
    <cellStyle name="20% - Ênfase4 7 4 9" xfId="34711"/>
    <cellStyle name="20% - Ênfase4 7 5" xfId="7550"/>
    <cellStyle name="20% - Ênfase4 7 5 10" xfId="43840"/>
    <cellStyle name="20% - Ênfase4 7 5 11" xfId="47872"/>
    <cellStyle name="20% - Ênfase4 7 5 12" xfId="51951"/>
    <cellStyle name="20% - Ênfase4 7 5 2" xfId="11584"/>
    <cellStyle name="20% - Ênfase4 7 5 3" xfId="15616"/>
    <cellStyle name="20% - Ênfase4 7 5 4" xfId="19648"/>
    <cellStyle name="20% - Ênfase4 7 5 5" xfId="23680"/>
    <cellStyle name="20% - Ênfase4 7 5 6" xfId="27712"/>
    <cellStyle name="20% - Ênfase4 7 5 7" xfId="31744"/>
    <cellStyle name="20% - Ênfase4 7 5 8" xfId="35776"/>
    <cellStyle name="20% - Ênfase4 7 5 9" xfId="39808"/>
    <cellStyle name="20% - Ênfase4 7 6" xfId="9568"/>
    <cellStyle name="20% - Ênfase4 7 7" xfId="13600"/>
    <cellStyle name="20% - Ênfase4 7 8" xfId="17632"/>
    <cellStyle name="20% - Ênfase4 7 9" xfId="21664"/>
    <cellStyle name="20% - Ênfase4 8" xfId="1897"/>
    <cellStyle name="20% - Ênfase4 8 2" xfId="1898"/>
    <cellStyle name="20% - Ênfase4 9" xfId="1899"/>
    <cellStyle name="20% - Ênfase4 9 2" xfId="1900"/>
    <cellStyle name="20% - Ênfase5 10" xfId="1901"/>
    <cellStyle name="20% - Ênfase5 10 10" xfId="29729"/>
    <cellStyle name="20% - Ênfase5 10 11" xfId="33761"/>
    <cellStyle name="20% - Ênfase5 10 12" xfId="37793"/>
    <cellStyle name="20% - Ênfase5 10 13" xfId="41825"/>
    <cellStyle name="20% - Ênfase5 10 14" xfId="45857"/>
    <cellStyle name="20% - Ênfase5 10 15" xfId="49935"/>
    <cellStyle name="20% - Ênfase5 10 2" xfId="1902"/>
    <cellStyle name="20% - Ênfase5 10 3" xfId="5476"/>
    <cellStyle name="20% - Ênfase5 10 3 10" xfId="38744"/>
    <cellStyle name="20% - Ênfase5 10 3 11" xfId="42776"/>
    <cellStyle name="20% - Ênfase5 10 3 12" xfId="46808"/>
    <cellStyle name="20% - Ênfase5 10 3 13" xfId="50887"/>
    <cellStyle name="20% - Ênfase5 10 3 2" xfId="8502"/>
    <cellStyle name="20% - Ênfase5 10 3 2 10" xfId="44792"/>
    <cellStyle name="20% - Ênfase5 10 3 2 11" xfId="48824"/>
    <cellStyle name="20% - Ênfase5 10 3 2 12" xfId="52903"/>
    <cellStyle name="20% - Ênfase5 10 3 2 2" xfId="12536"/>
    <cellStyle name="20% - Ênfase5 10 3 2 3" xfId="16568"/>
    <cellStyle name="20% - Ênfase5 10 3 2 4" xfId="20600"/>
    <cellStyle name="20% - Ênfase5 10 3 2 5" xfId="24632"/>
    <cellStyle name="20% - Ênfase5 10 3 2 6" xfId="28664"/>
    <cellStyle name="20% - Ênfase5 10 3 2 7" xfId="32696"/>
    <cellStyle name="20% - Ênfase5 10 3 2 8" xfId="36728"/>
    <cellStyle name="20% - Ênfase5 10 3 2 9" xfId="40760"/>
    <cellStyle name="20% - Ênfase5 10 3 3" xfId="10520"/>
    <cellStyle name="20% - Ênfase5 10 3 4" xfId="14552"/>
    <cellStyle name="20% - Ênfase5 10 3 5" xfId="18584"/>
    <cellStyle name="20% - Ênfase5 10 3 6" xfId="22616"/>
    <cellStyle name="20% - Ênfase5 10 3 7" xfId="26648"/>
    <cellStyle name="20% - Ênfase5 10 3 8" xfId="30680"/>
    <cellStyle name="20% - Ênfase5 10 3 9" xfId="34712"/>
    <cellStyle name="20% - Ênfase5 10 4" xfId="7551"/>
    <cellStyle name="20% - Ênfase5 10 4 10" xfId="43841"/>
    <cellStyle name="20% - Ênfase5 10 4 11" xfId="47873"/>
    <cellStyle name="20% - Ênfase5 10 4 12" xfId="51952"/>
    <cellStyle name="20% - Ênfase5 10 4 2" xfId="11585"/>
    <cellStyle name="20% - Ênfase5 10 4 3" xfId="15617"/>
    <cellStyle name="20% - Ênfase5 10 4 4" xfId="19649"/>
    <cellStyle name="20% - Ênfase5 10 4 5" xfId="23681"/>
    <cellStyle name="20% - Ênfase5 10 4 6" xfId="27713"/>
    <cellStyle name="20% - Ênfase5 10 4 7" xfId="31745"/>
    <cellStyle name="20% - Ênfase5 10 4 8" xfId="35777"/>
    <cellStyle name="20% - Ênfase5 10 4 9" xfId="39809"/>
    <cellStyle name="20% - Ênfase5 10 5" xfId="9569"/>
    <cellStyle name="20% - Ênfase5 10 6" xfId="13601"/>
    <cellStyle name="20% - Ênfase5 10 7" xfId="17633"/>
    <cellStyle name="20% - Ênfase5 10 8" xfId="21665"/>
    <cellStyle name="20% - Ênfase5 10 9" xfId="25697"/>
    <cellStyle name="20% - Ênfase5 11" xfId="1903"/>
    <cellStyle name="20% - Ênfase5 11 10" xfId="29730"/>
    <cellStyle name="20% - Ênfase5 11 11" xfId="33762"/>
    <cellStyle name="20% - Ênfase5 11 12" xfId="37794"/>
    <cellStyle name="20% - Ênfase5 11 13" xfId="41826"/>
    <cellStyle name="20% - Ênfase5 11 14" xfId="45858"/>
    <cellStyle name="20% - Ênfase5 11 15" xfId="49936"/>
    <cellStyle name="20% - Ênfase5 11 2" xfId="1904"/>
    <cellStyle name="20% - Ênfase5 11 3" xfId="5477"/>
    <cellStyle name="20% - Ênfase5 11 3 10" xfId="38745"/>
    <cellStyle name="20% - Ênfase5 11 3 11" xfId="42777"/>
    <cellStyle name="20% - Ênfase5 11 3 12" xfId="46809"/>
    <cellStyle name="20% - Ênfase5 11 3 13" xfId="50888"/>
    <cellStyle name="20% - Ênfase5 11 3 2" xfId="8503"/>
    <cellStyle name="20% - Ênfase5 11 3 2 10" xfId="44793"/>
    <cellStyle name="20% - Ênfase5 11 3 2 11" xfId="48825"/>
    <cellStyle name="20% - Ênfase5 11 3 2 12" xfId="52904"/>
    <cellStyle name="20% - Ênfase5 11 3 2 2" xfId="12537"/>
    <cellStyle name="20% - Ênfase5 11 3 2 3" xfId="16569"/>
    <cellStyle name="20% - Ênfase5 11 3 2 4" xfId="20601"/>
    <cellStyle name="20% - Ênfase5 11 3 2 5" xfId="24633"/>
    <cellStyle name="20% - Ênfase5 11 3 2 6" xfId="28665"/>
    <cellStyle name="20% - Ênfase5 11 3 2 7" xfId="32697"/>
    <cellStyle name="20% - Ênfase5 11 3 2 8" xfId="36729"/>
    <cellStyle name="20% - Ênfase5 11 3 2 9" xfId="40761"/>
    <cellStyle name="20% - Ênfase5 11 3 3" xfId="10521"/>
    <cellStyle name="20% - Ênfase5 11 3 4" xfId="14553"/>
    <cellStyle name="20% - Ênfase5 11 3 5" xfId="18585"/>
    <cellStyle name="20% - Ênfase5 11 3 6" xfId="22617"/>
    <cellStyle name="20% - Ênfase5 11 3 7" xfId="26649"/>
    <cellStyle name="20% - Ênfase5 11 3 8" xfId="30681"/>
    <cellStyle name="20% - Ênfase5 11 3 9" xfId="34713"/>
    <cellStyle name="20% - Ênfase5 11 4" xfId="7552"/>
    <cellStyle name="20% - Ênfase5 11 4 10" xfId="43842"/>
    <cellStyle name="20% - Ênfase5 11 4 11" xfId="47874"/>
    <cellStyle name="20% - Ênfase5 11 4 12" xfId="51953"/>
    <cellStyle name="20% - Ênfase5 11 4 2" xfId="11586"/>
    <cellStyle name="20% - Ênfase5 11 4 3" xfId="15618"/>
    <cellStyle name="20% - Ênfase5 11 4 4" xfId="19650"/>
    <cellStyle name="20% - Ênfase5 11 4 5" xfId="23682"/>
    <cellStyle name="20% - Ênfase5 11 4 6" xfId="27714"/>
    <cellStyle name="20% - Ênfase5 11 4 7" xfId="31746"/>
    <cellStyle name="20% - Ênfase5 11 4 8" xfId="35778"/>
    <cellStyle name="20% - Ênfase5 11 4 9" xfId="39810"/>
    <cellStyle name="20% - Ênfase5 11 5" xfId="9570"/>
    <cellStyle name="20% - Ênfase5 11 6" xfId="13602"/>
    <cellStyle name="20% - Ênfase5 11 7" xfId="17634"/>
    <cellStyle name="20% - Ênfase5 11 8" xfId="21666"/>
    <cellStyle name="20% - Ênfase5 11 9" xfId="25698"/>
    <cellStyle name="20% - Ênfase5 12" xfId="1905"/>
    <cellStyle name="20% - Ênfase5 12 10" xfId="29731"/>
    <cellStyle name="20% - Ênfase5 12 11" xfId="33763"/>
    <cellStyle name="20% - Ênfase5 12 12" xfId="37795"/>
    <cellStyle name="20% - Ênfase5 12 13" xfId="41827"/>
    <cellStyle name="20% - Ênfase5 12 14" xfId="45859"/>
    <cellStyle name="20% - Ênfase5 12 15" xfId="49937"/>
    <cellStyle name="20% - Ênfase5 12 2" xfId="1906"/>
    <cellStyle name="20% - Ênfase5 12 3" xfId="5478"/>
    <cellStyle name="20% - Ênfase5 12 3 10" xfId="38746"/>
    <cellStyle name="20% - Ênfase5 12 3 11" xfId="42778"/>
    <cellStyle name="20% - Ênfase5 12 3 12" xfId="46810"/>
    <cellStyle name="20% - Ênfase5 12 3 13" xfId="50889"/>
    <cellStyle name="20% - Ênfase5 12 3 2" xfId="8504"/>
    <cellStyle name="20% - Ênfase5 12 3 2 10" xfId="44794"/>
    <cellStyle name="20% - Ênfase5 12 3 2 11" xfId="48826"/>
    <cellStyle name="20% - Ênfase5 12 3 2 12" xfId="52905"/>
    <cellStyle name="20% - Ênfase5 12 3 2 2" xfId="12538"/>
    <cellStyle name="20% - Ênfase5 12 3 2 3" xfId="16570"/>
    <cellStyle name="20% - Ênfase5 12 3 2 4" xfId="20602"/>
    <cellStyle name="20% - Ênfase5 12 3 2 5" xfId="24634"/>
    <cellStyle name="20% - Ênfase5 12 3 2 6" xfId="28666"/>
    <cellStyle name="20% - Ênfase5 12 3 2 7" xfId="32698"/>
    <cellStyle name="20% - Ênfase5 12 3 2 8" xfId="36730"/>
    <cellStyle name="20% - Ênfase5 12 3 2 9" xfId="40762"/>
    <cellStyle name="20% - Ênfase5 12 3 3" xfId="10522"/>
    <cellStyle name="20% - Ênfase5 12 3 4" xfId="14554"/>
    <cellStyle name="20% - Ênfase5 12 3 5" xfId="18586"/>
    <cellStyle name="20% - Ênfase5 12 3 6" xfId="22618"/>
    <cellStyle name="20% - Ênfase5 12 3 7" xfId="26650"/>
    <cellStyle name="20% - Ênfase5 12 3 8" xfId="30682"/>
    <cellStyle name="20% - Ênfase5 12 3 9" xfId="34714"/>
    <cellStyle name="20% - Ênfase5 12 4" xfId="7553"/>
    <cellStyle name="20% - Ênfase5 12 4 10" xfId="43843"/>
    <cellStyle name="20% - Ênfase5 12 4 11" xfId="47875"/>
    <cellStyle name="20% - Ênfase5 12 4 12" xfId="51954"/>
    <cellStyle name="20% - Ênfase5 12 4 2" xfId="11587"/>
    <cellStyle name="20% - Ênfase5 12 4 3" xfId="15619"/>
    <cellStyle name="20% - Ênfase5 12 4 4" xfId="19651"/>
    <cellStyle name="20% - Ênfase5 12 4 5" xfId="23683"/>
    <cellStyle name="20% - Ênfase5 12 4 6" xfId="27715"/>
    <cellStyle name="20% - Ênfase5 12 4 7" xfId="31747"/>
    <cellStyle name="20% - Ênfase5 12 4 8" xfId="35779"/>
    <cellStyle name="20% - Ênfase5 12 4 9" xfId="39811"/>
    <cellStyle name="20% - Ênfase5 12 5" xfId="9571"/>
    <cellStyle name="20% - Ênfase5 12 6" xfId="13603"/>
    <cellStyle name="20% - Ênfase5 12 7" xfId="17635"/>
    <cellStyle name="20% - Ênfase5 12 8" xfId="21667"/>
    <cellStyle name="20% - Ênfase5 12 9" xfId="25699"/>
    <cellStyle name="20% - Ênfase5 13" xfId="1907"/>
    <cellStyle name="20% - Ênfase5 13 10" xfId="29732"/>
    <cellStyle name="20% - Ênfase5 13 11" xfId="33764"/>
    <cellStyle name="20% - Ênfase5 13 12" xfId="37796"/>
    <cellStyle name="20% - Ênfase5 13 13" xfId="41828"/>
    <cellStyle name="20% - Ênfase5 13 14" xfId="45860"/>
    <cellStyle name="20% - Ênfase5 13 15" xfId="49938"/>
    <cellStyle name="20% - Ênfase5 13 2" xfId="1908"/>
    <cellStyle name="20% - Ênfase5 13 3" xfId="5479"/>
    <cellStyle name="20% - Ênfase5 13 3 10" xfId="38747"/>
    <cellStyle name="20% - Ênfase5 13 3 11" xfId="42779"/>
    <cellStyle name="20% - Ênfase5 13 3 12" xfId="46811"/>
    <cellStyle name="20% - Ênfase5 13 3 13" xfId="50890"/>
    <cellStyle name="20% - Ênfase5 13 3 2" xfId="8505"/>
    <cellStyle name="20% - Ênfase5 13 3 2 10" xfId="44795"/>
    <cellStyle name="20% - Ênfase5 13 3 2 11" xfId="48827"/>
    <cellStyle name="20% - Ênfase5 13 3 2 12" xfId="52906"/>
    <cellStyle name="20% - Ênfase5 13 3 2 2" xfId="12539"/>
    <cellStyle name="20% - Ênfase5 13 3 2 3" xfId="16571"/>
    <cellStyle name="20% - Ênfase5 13 3 2 4" xfId="20603"/>
    <cellStyle name="20% - Ênfase5 13 3 2 5" xfId="24635"/>
    <cellStyle name="20% - Ênfase5 13 3 2 6" xfId="28667"/>
    <cellStyle name="20% - Ênfase5 13 3 2 7" xfId="32699"/>
    <cellStyle name="20% - Ênfase5 13 3 2 8" xfId="36731"/>
    <cellStyle name="20% - Ênfase5 13 3 2 9" xfId="40763"/>
    <cellStyle name="20% - Ênfase5 13 3 3" xfId="10523"/>
    <cellStyle name="20% - Ênfase5 13 3 4" xfId="14555"/>
    <cellStyle name="20% - Ênfase5 13 3 5" xfId="18587"/>
    <cellStyle name="20% - Ênfase5 13 3 6" xfId="22619"/>
    <cellStyle name="20% - Ênfase5 13 3 7" xfId="26651"/>
    <cellStyle name="20% - Ênfase5 13 3 8" xfId="30683"/>
    <cellStyle name="20% - Ênfase5 13 3 9" xfId="34715"/>
    <cellStyle name="20% - Ênfase5 13 4" xfId="7554"/>
    <cellStyle name="20% - Ênfase5 13 4 10" xfId="43844"/>
    <cellStyle name="20% - Ênfase5 13 4 11" xfId="47876"/>
    <cellStyle name="20% - Ênfase5 13 4 12" xfId="51955"/>
    <cellStyle name="20% - Ênfase5 13 4 2" xfId="11588"/>
    <cellStyle name="20% - Ênfase5 13 4 3" xfId="15620"/>
    <cellStyle name="20% - Ênfase5 13 4 4" xfId="19652"/>
    <cellStyle name="20% - Ênfase5 13 4 5" xfId="23684"/>
    <cellStyle name="20% - Ênfase5 13 4 6" xfId="27716"/>
    <cellStyle name="20% - Ênfase5 13 4 7" xfId="31748"/>
    <cellStyle name="20% - Ênfase5 13 4 8" xfId="35780"/>
    <cellStyle name="20% - Ênfase5 13 4 9" xfId="39812"/>
    <cellStyle name="20% - Ênfase5 13 5" xfId="9572"/>
    <cellStyle name="20% - Ênfase5 13 6" xfId="13604"/>
    <cellStyle name="20% - Ênfase5 13 7" xfId="17636"/>
    <cellStyle name="20% - Ênfase5 13 8" xfId="21668"/>
    <cellStyle name="20% - Ênfase5 13 9" xfId="25700"/>
    <cellStyle name="20% - Ênfase5 14 2" xfId="1909"/>
    <cellStyle name="20% - Ênfase5 15 2" xfId="1910"/>
    <cellStyle name="20% - Ênfase5 16 2" xfId="1911"/>
    <cellStyle name="20% - Ênfase5 17 2" xfId="1912"/>
    <cellStyle name="20% - Ênfase5 2" xfId="387"/>
    <cellStyle name="20% - Ênfase5 2 2" xfId="526"/>
    <cellStyle name="20% - Ênfase5 2 3" xfId="840"/>
    <cellStyle name="20% - Ênfase5 2 3 2" xfId="1914"/>
    <cellStyle name="20% - Ênfase5 2 4" xfId="1026"/>
    <cellStyle name="20% - Ênfase5 2 5" xfId="1913"/>
    <cellStyle name="20% - Ênfase5 2 5 10" xfId="33765"/>
    <cellStyle name="20% - Ênfase5 2 5 11" xfId="37797"/>
    <cellStyle name="20% - Ênfase5 2 5 12" xfId="41829"/>
    <cellStyle name="20% - Ênfase5 2 5 13" xfId="45861"/>
    <cellStyle name="20% - Ênfase5 2 5 14" xfId="49939"/>
    <cellStyle name="20% - Ênfase5 2 5 2" xfId="5480"/>
    <cellStyle name="20% - Ênfase5 2 5 2 10" xfId="38748"/>
    <cellStyle name="20% - Ênfase5 2 5 2 11" xfId="42780"/>
    <cellStyle name="20% - Ênfase5 2 5 2 12" xfId="46812"/>
    <cellStyle name="20% - Ênfase5 2 5 2 13" xfId="50891"/>
    <cellStyle name="20% - Ênfase5 2 5 2 2" xfId="8506"/>
    <cellStyle name="20% - Ênfase5 2 5 2 2 10" xfId="44796"/>
    <cellStyle name="20% - Ênfase5 2 5 2 2 11" xfId="48828"/>
    <cellStyle name="20% - Ênfase5 2 5 2 2 12" xfId="52907"/>
    <cellStyle name="20% - Ênfase5 2 5 2 2 2" xfId="12540"/>
    <cellStyle name="20% - Ênfase5 2 5 2 2 3" xfId="16572"/>
    <cellStyle name="20% - Ênfase5 2 5 2 2 4" xfId="20604"/>
    <cellStyle name="20% - Ênfase5 2 5 2 2 5" xfId="24636"/>
    <cellStyle name="20% - Ênfase5 2 5 2 2 6" xfId="28668"/>
    <cellStyle name="20% - Ênfase5 2 5 2 2 7" xfId="32700"/>
    <cellStyle name="20% - Ênfase5 2 5 2 2 8" xfId="36732"/>
    <cellStyle name="20% - Ênfase5 2 5 2 2 9" xfId="40764"/>
    <cellStyle name="20% - Ênfase5 2 5 2 3" xfId="10524"/>
    <cellStyle name="20% - Ênfase5 2 5 2 4" xfId="14556"/>
    <cellStyle name="20% - Ênfase5 2 5 2 5" xfId="18588"/>
    <cellStyle name="20% - Ênfase5 2 5 2 6" xfId="22620"/>
    <cellStyle name="20% - Ênfase5 2 5 2 7" xfId="26652"/>
    <cellStyle name="20% - Ênfase5 2 5 2 8" xfId="30684"/>
    <cellStyle name="20% - Ênfase5 2 5 2 9" xfId="34716"/>
    <cellStyle name="20% - Ênfase5 2 5 3" xfId="7555"/>
    <cellStyle name="20% - Ênfase5 2 5 3 10" xfId="43845"/>
    <cellStyle name="20% - Ênfase5 2 5 3 11" xfId="47877"/>
    <cellStyle name="20% - Ênfase5 2 5 3 12" xfId="51956"/>
    <cellStyle name="20% - Ênfase5 2 5 3 2" xfId="11589"/>
    <cellStyle name="20% - Ênfase5 2 5 3 3" xfId="15621"/>
    <cellStyle name="20% - Ênfase5 2 5 3 4" xfId="19653"/>
    <cellStyle name="20% - Ênfase5 2 5 3 5" xfId="23685"/>
    <cellStyle name="20% - Ênfase5 2 5 3 6" xfId="27717"/>
    <cellStyle name="20% - Ênfase5 2 5 3 7" xfId="31749"/>
    <cellStyle name="20% - Ênfase5 2 5 3 8" xfId="35781"/>
    <cellStyle name="20% - Ênfase5 2 5 3 9" xfId="39813"/>
    <cellStyle name="20% - Ênfase5 2 5 4" xfId="9573"/>
    <cellStyle name="20% - Ênfase5 2 5 5" xfId="13605"/>
    <cellStyle name="20% - Ênfase5 2 5 6" xfId="17637"/>
    <cellStyle name="20% - Ênfase5 2 5 7" xfId="21669"/>
    <cellStyle name="20% - Ênfase5 2 5 8" xfId="25701"/>
    <cellStyle name="20% - Ênfase5 2 5 9" xfId="29733"/>
    <cellStyle name="20% - Ênfase5 3" xfId="454"/>
    <cellStyle name="20% - Ênfase5 3 2" xfId="1027"/>
    <cellStyle name="20% - Ênfase5 3 2 10" xfId="29533"/>
    <cellStyle name="20% - Ênfase5 3 2 11" xfId="33565"/>
    <cellStyle name="20% - Ênfase5 3 2 12" xfId="37597"/>
    <cellStyle name="20% - Ênfase5 3 2 13" xfId="41629"/>
    <cellStyle name="20% - Ênfase5 3 2 14" xfId="45661"/>
    <cellStyle name="20% - Ênfase5 3 2 15" xfId="49739"/>
    <cellStyle name="20% - Ênfase5 3 2 2" xfId="1916"/>
    <cellStyle name="20% - Ênfase5 3 2 3" xfId="5039"/>
    <cellStyle name="20% - Ênfase5 3 2 3 10" xfId="38562"/>
    <cellStyle name="20% - Ênfase5 3 2 3 11" xfId="42594"/>
    <cellStyle name="20% - Ênfase5 3 2 3 12" xfId="46626"/>
    <cellStyle name="20% - Ênfase5 3 2 3 13" xfId="50705"/>
    <cellStyle name="20% - Ênfase5 3 2 3 2" xfId="8320"/>
    <cellStyle name="20% - Ênfase5 3 2 3 2 10" xfId="44610"/>
    <cellStyle name="20% - Ênfase5 3 2 3 2 11" xfId="48642"/>
    <cellStyle name="20% - Ênfase5 3 2 3 2 12" xfId="52721"/>
    <cellStyle name="20% - Ênfase5 3 2 3 2 2" xfId="12354"/>
    <cellStyle name="20% - Ênfase5 3 2 3 2 3" xfId="16386"/>
    <cellStyle name="20% - Ênfase5 3 2 3 2 4" xfId="20418"/>
    <cellStyle name="20% - Ênfase5 3 2 3 2 5" xfId="24450"/>
    <cellStyle name="20% - Ênfase5 3 2 3 2 6" xfId="28482"/>
    <cellStyle name="20% - Ênfase5 3 2 3 2 7" xfId="32514"/>
    <cellStyle name="20% - Ênfase5 3 2 3 2 8" xfId="36546"/>
    <cellStyle name="20% - Ênfase5 3 2 3 2 9" xfId="40578"/>
    <cellStyle name="20% - Ênfase5 3 2 3 3" xfId="10338"/>
    <cellStyle name="20% - Ênfase5 3 2 3 4" xfId="14370"/>
    <cellStyle name="20% - Ênfase5 3 2 3 5" xfId="18402"/>
    <cellStyle name="20% - Ênfase5 3 2 3 6" xfId="22434"/>
    <cellStyle name="20% - Ênfase5 3 2 3 7" xfId="26466"/>
    <cellStyle name="20% - Ênfase5 3 2 3 8" xfId="30498"/>
    <cellStyle name="20% - Ênfase5 3 2 3 9" xfId="34530"/>
    <cellStyle name="20% - Ênfase5 3 2 4" xfId="7355"/>
    <cellStyle name="20% - Ênfase5 3 2 4 10" xfId="43645"/>
    <cellStyle name="20% - Ênfase5 3 2 4 11" xfId="47677"/>
    <cellStyle name="20% - Ênfase5 3 2 4 12" xfId="51756"/>
    <cellStyle name="20% - Ênfase5 3 2 4 2" xfId="11389"/>
    <cellStyle name="20% - Ênfase5 3 2 4 3" xfId="15421"/>
    <cellStyle name="20% - Ênfase5 3 2 4 4" xfId="19453"/>
    <cellStyle name="20% - Ênfase5 3 2 4 5" xfId="23485"/>
    <cellStyle name="20% - Ênfase5 3 2 4 6" xfId="27517"/>
    <cellStyle name="20% - Ênfase5 3 2 4 7" xfId="31549"/>
    <cellStyle name="20% - Ênfase5 3 2 4 8" xfId="35581"/>
    <cellStyle name="20% - Ênfase5 3 2 4 9" xfId="39613"/>
    <cellStyle name="20% - Ênfase5 3 2 5" xfId="9373"/>
    <cellStyle name="20% - Ênfase5 3 2 6" xfId="13405"/>
    <cellStyle name="20% - Ênfase5 3 2 7" xfId="17437"/>
    <cellStyle name="20% - Ênfase5 3 2 8" xfId="21469"/>
    <cellStyle name="20% - Ênfase5 3 2 9" xfId="25501"/>
    <cellStyle name="20% - Ênfase5 3 3" xfId="1917"/>
    <cellStyle name="20% - Ênfase5 3 4" xfId="1915"/>
    <cellStyle name="20% - Ênfase5 3 4 10" xfId="33766"/>
    <cellStyle name="20% - Ênfase5 3 4 11" xfId="37798"/>
    <cellStyle name="20% - Ênfase5 3 4 12" xfId="41830"/>
    <cellStyle name="20% - Ênfase5 3 4 13" xfId="45862"/>
    <cellStyle name="20% - Ênfase5 3 4 14" xfId="49940"/>
    <cellStyle name="20% - Ênfase5 3 4 2" xfId="5481"/>
    <cellStyle name="20% - Ênfase5 3 4 2 10" xfId="38749"/>
    <cellStyle name="20% - Ênfase5 3 4 2 11" xfId="42781"/>
    <cellStyle name="20% - Ênfase5 3 4 2 12" xfId="46813"/>
    <cellStyle name="20% - Ênfase5 3 4 2 13" xfId="50892"/>
    <cellStyle name="20% - Ênfase5 3 4 2 2" xfId="8507"/>
    <cellStyle name="20% - Ênfase5 3 4 2 2 10" xfId="44797"/>
    <cellStyle name="20% - Ênfase5 3 4 2 2 11" xfId="48829"/>
    <cellStyle name="20% - Ênfase5 3 4 2 2 12" xfId="52908"/>
    <cellStyle name="20% - Ênfase5 3 4 2 2 2" xfId="12541"/>
    <cellStyle name="20% - Ênfase5 3 4 2 2 3" xfId="16573"/>
    <cellStyle name="20% - Ênfase5 3 4 2 2 4" xfId="20605"/>
    <cellStyle name="20% - Ênfase5 3 4 2 2 5" xfId="24637"/>
    <cellStyle name="20% - Ênfase5 3 4 2 2 6" xfId="28669"/>
    <cellStyle name="20% - Ênfase5 3 4 2 2 7" xfId="32701"/>
    <cellStyle name="20% - Ênfase5 3 4 2 2 8" xfId="36733"/>
    <cellStyle name="20% - Ênfase5 3 4 2 2 9" xfId="40765"/>
    <cellStyle name="20% - Ênfase5 3 4 2 3" xfId="10525"/>
    <cellStyle name="20% - Ênfase5 3 4 2 4" xfId="14557"/>
    <cellStyle name="20% - Ênfase5 3 4 2 5" xfId="18589"/>
    <cellStyle name="20% - Ênfase5 3 4 2 6" xfId="22621"/>
    <cellStyle name="20% - Ênfase5 3 4 2 7" xfId="26653"/>
    <cellStyle name="20% - Ênfase5 3 4 2 8" xfId="30685"/>
    <cellStyle name="20% - Ênfase5 3 4 2 9" xfId="34717"/>
    <cellStyle name="20% - Ênfase5 3 4 3" xfId="7556"/>
    <cellStyle name="20% - Ênfase5 3 4 3 10" xfId="43846"/>
    <cellStyle name="20% - Ênfase5 3 4 3 11" xfId="47878"/>
    <cellStyle name="20% - Ênfase5 3 4 3 12" xfId="51957"/>
    <cellStyle name="20% - Ênfase5 3 4 3 2" xfId="11590"/>
    <cellStyle name="20% - Ênfase5 3 4 3 3" xfId="15622"/>
    <cellStyle name="20% - Ênfase5 3 4 3 4" xfId="19654"/>
    <cellStyle name="20% - Ênfase5 3 4 3 5" xfId="23686"/>
    <cellStyle name="20% - Ênfase5 3 4 3 6" xfId="27718"/>
    <cellStyle name="20% - Ênfase5 3 4 3 7" xfId="31750"/>
    <cellStyle name="20% - Ênfase5 3 4 3 8" xfId="35782"/>
    <cellStyle name="20% - Ênfase5 3 4 3 9" xfId="39814"/>
    <cellStyle name="20% - Ênfase5 3 4 4" xfId="9574"/>
    <cellStyle name="20% - Ênfase5 3 4 5" xfId="13606"/>
    <cellStyle name="20% - Ênfase5 3 4 6" xfId="17638"/>
    <cellStyle name="20% - Ênfase5 3 4 7" xfId="21670"/>
    <cellStyle name="20% - Ênfase5 3 4 8" xfId="25702"/>
    <cellStyle name="20% - Ênfase5 3 4 9" xfId="29734"/>
    <cellStyle name="20% - Ênfase5 4" xfId="1129"/>
    <cellStyle name="20% - Ênfase5 4 2" xfId="1919"/>
    <cellStyle name="20% - Ênfase5 4 3" xfId="1920"/>
    <cellStyle name="20% - Ênfase5 4 4" xfId="1918"/>
    <cellStyle name="20% - Ênfase5 4 4 10" xfId="33767"/>
    <cellStyle name="20% - Ênfase5 4 4 11" xfId="37799"/>
    <cellStyle name="20% - Ênfase5 4 4 12" xfId="41831"/>
    <cellStyle name="20% - Ênfase5 4 4 13" xfId="45863"/>
    <cellStyle name="20% - Ênfase5 4 4 14" xfId="49941"/>
    <cellStyle name="20% - Ênfase5 4 4 2" xfId="5482"/>
    <cellStyle name="20% - Ênfase5 4 4 2 10" xfId="38750"/>
    <cellStyle name="20% - Ênfase5 4 4 2 11" xfId="42782"/>
    <cellStyle name="20% - Ênfase5 4 4 2 12" xfId="46814"/>
    <cellStyle name="20% - Ênfase5 4 4 2 13" xfId="50893"/>
    <cellStyle name="20% - Ênfase5 4 4 2 2" xfId="8508"/>
    <cellStyle name="20% - Ênfase5 4 4 2 2 10" xfId="44798"/>
    <cellStyle name="20% - Ênfase5 4 4 2 2 11" xfId="48830"/>
    <cellStyle name="20% - Ênfase5 4 4 2 2 12" xfId="52909"/>
    <cellStyle name="20% - Ênfase5 4 4 2 2 2" xfId="12542"/>
    <cellStyle name="20% - Ênfase5 4 4 2 2 3" xfId="16574"/>
    <cellStyle name="20% - Ênfase5 4 4 2 2 4" xfId="20606"/>
    <cellStyle name="20% - Ênfase5 4 4 2 2 5" xfId="24638"/>
    <cellStyle name="20% - Ênfase5 4 4 2 2 6" xfId="28670"/>
    <cellStyle name="20% - Ênfase5 4 4 2 2 7" xfId="32702"/>
    <cellStyle name="20% - Ênfase5 4 4 2 2 8" xfId="36734"/>
    <cellStyle name="20% - Ênfase5 4 4 2 2 9" xfId="40766"/>
    <cellStyle name="20% - Ênfase5 4 4 2 3" xfId="10526"/>
    <cellStyle name="20% - Ênfase5 4 4 2 4" xfId="14558"/>
    <cellStyle name="20% - Ênfase5 4 4 2 5" xfId="18590"/>
    <cellStyle name="20% - Ênfase5 4 4 2 6" xfId="22622"/>
    <cellStyle name="20% - Ênfase5 4 4 2 7" xfId="26654"/>
    <cellStyle name="20% - Ênfase5 4 4 2 8" xfId="30686"/>
    <cellStyle name="20% - Ênfase5 4 4 2 9" xfId="34718"/>
    <cellStyle name="20% - Ênfase5 4 4 3" xfId="7557"/>
    <cellStyle name="20% - Ênfase5 4 4 3 10" xfId="43847"/>
    <cellStyle name="20% - Ênfase5 4 4 3 11" xfId="47879"/>
    <cellStyle name="20% - Ênfase5 4 4 3 12" xfId="51958"/>
    <cellStyle name="20% - Ênfase5 4 4 3 2" xfId="11591"/>
    <cellStyle name="20% - Ênfase5 4 4 3 3" xfId="15623"/>
    <cellStyle name="20% - Ênfase5 4 4 3 4" xfId="19655"/>
    <cellStyle name="20% - Ênfase5 4 4 3 5" xfId="23687"/>
    <cellStyle name="20% - Ênfase5 4 4 3 6" xfId="27719"/>
    <cellStyle name="20% - Ênfase5 4 4 3 7" xfId="31751"/>
    <cellStyle name="20% - Ênfase5 4 4 3 8" xfId="35783"/>
    <cellStyle name="20% - Ênfase5 4 4 3 9" xfId="39815"/>
    <cellStyle name="20% - Ênfase5 4 4 4" xfId="9575"/>
    <cellStyle name="20% - Ênfase5 4 4 5" xfId="13607"/>
    <cellStyle name="20% - Ênfase5 4 4 6" xfId="17639"/>
    <cellStyle name="20% - Ênfase5 4 4 7" xfId="21671"/>
    <cellStyle name="20% - Ênfase5 4 4 8" xfId="25703"/>
    <cellStyle name="20% - Ênfase5 4 4 9" xfId="29735"/>
    <cellStyle name="20% - Ênfase5 5" xfId="1171"/>
    <cellStyle name="20% - Ênfase5 5 2" xfId="1922"/>
    <cellStyle name="20% - Ênfase5 5 3" xfId="1923"/>
    <cellStyle name="20% - Ênfase5 5 4" xfId="1921"/>
    <cellStyle name="20% - Ênfase5 5 4 10" xfId="33768"/>
    <cellStyle name="20% - Ênfase5 5 4 11" xfId="37800"/>
    <cellStyle name="20% - Ênfase5 5 4 12" xfId="41832"/>
    <cellStyle name="20% - Ênfase5 5 4 13" xfId="45864"/>
    <cellStyle name="20% - Ênfase5 5 4 14" xfId="49942"/>
    <cellStyle name="20% - Ênfase5 5 4 2" xfId="5483"/>
    <cellStyle name="20% - Ênfase5 5 4 2 10" xfId="38751"/>
    <cellStyle name="20% - Ênfase5 5 4 2 11" xfId="42783"/>
    <cellStyle name="20% - Ênfase5 5 4 2 12" xfId="46815"/>
    <cellStyle name="20% - Ênfase5 5 4 2 13" xfId="50894"/>
    <cellStyle name="20% - Ênfase5 5 4 2 2" xfId="8509"/>
    <cellStyle name="20% - Ênfase5 5 4 2 2 10" xfId="44799"/>
    <cellStyle name="20% - Ênfase5 5 4 2 2 11" xfId="48831"/>
    <cellStyle name="20% - Ênfase5 5 4 2 2 12" xfId="52910"/>
    <cellStyle name="20% - Ênfase5 5 4 2 2 2" xfId="12543"/>
    <cellStyle name="20% - Ênfase5 5 4 2 2 3" xfId="16575"/>
    <cellStyle name="20% - Ênfase5 5 4 2 2 4" xfId="20607"/>
    <cellStyle name="20% - Ênfase5 5 4 2 2 5" xfId="24639"/>
    <cellStyle name="20% - Ênfase5 5 4 2 2 6" xfId="28671"/>
    <cellStyle name="20% - Ênfase5 5 4 2 2 7" xfId="32703"/>
    <cellStyle name="20% - Ênfase5 5 4 2 2 8" xfId="36735"/>
    <cellStyle name="20% - Ênfase5 5 4 2 2 9" xfId="40767"/>
    <cellStyle name="20% - Ênfase5 5 4 2 3" xfId="10527"/>
    <cellStyle name="20% - Ênfase5 5 4 2 4" xfId="14559"/>
    <cellStyle name="20% - Ênfase5 5 4 2 5" xfId="18591"/>
    <cellStyle name="20% - Ênfase5 5 4 2 6" xfId="22623"/>
    <cellStyle name="20% - Ênfase5 5 4 2 7" xfId="26655"/>
    <cellStyle name="20% - Ênfase5 5 4 2 8" xfId="30687"/>
    <cellStyle name="20% - Ênfase5 5 4 2 9" xfId="34719"/>
    <cellStyle name="20% - Ênfase5 5 4 3" xfId="7558"/>
    <cellStyle name="20% - Ênfase5 5 4 3 10" xfId="43848"/>
    <cellStyle name="20% - Ênfase5 5 4 3 11" xfId="47880"/>
    <cellStyle name="20% - Ênfase5 5 4 3 12" xfId="51959"/>
    <cellStyle name="20% - Ênfase5 5 4 3 2" xfId="11592"/>
    <cellStyle name="20% - Ênfase5 5 4 3 3" xfId="15624"/>
    <cellStyle name="20% - Ênfase5 5 4 3 4" xfId="19656"/>
    <cellStyle name="20% - Ênfase5 5 4 3 5" xfId="23688"/>
    <cellStyle name="20% - Ênfase5 5 4 3 6" xfId="27720"/>
    <cellStyle name="20% - Ênfase5 5 4 3 7" xfId="31752"/>
    <cellStyle name="20% - Ênfase5 5 4 3 8" xfId="35784"/>
    <cellStyle name="20% - Ênfase5 5 4 3 9" xfId="39816"/>
    <cellStyle name="20% - Ênfase5 5 4 4" xfId="9576"/>
    <cellStyle name="20% - Ênfase5 5 4 5" xfId="13608"/>
    <cellStyle name="20% - Ênfase5 5 4 6" xfId="17640"/>
    <cellStyle name="20% - Ênfase5 5 4 7" xfId="21672"/>
    <cellStyle name="20% - Ênfase5 5 4 8" xfId="25704"/>
    <cellStyle name="20% - Ênfase5 5 4 9" xfId="29736"/>
    <cellStyle name="20% - Ênfase5 6" xfId="1205"/>
    <cellStyle name="20% - Ênfase5 6 2" xfId="1925"/>
    <cellStyle name="20% - Ênfase5 6 3" xfId="1926"/>
    <cellStyle name="20% - Ênfase5 6 4" xfId="1924"/>
    <cellStyle name="20% - Ênfase5 6 4 10" xfId="33769"/>
    <cellStyle name="20% - Ênfase5 6 4 11" xfId="37801"/>
    <cellStyle name="20% - Ênfase5 6 4 12" xfId="41833"/>
    <cellStyle name="20% - Ênfase5 6 4 13" xfId="45865"/>
    <cellStyle name="20% - Ênfase5 6 4 14" xfId="49943"/>
    <cellStyle name="20% - Ênfase5 6 4 2" xfId="5484"/>
    <cellStyle name="20% - Ênfase5 6 4 2 10" xfId="38752"/>
    <cellStyle name="20% - Ênfase5 6 4 2 11" xfId="42784"/>
    <cellStyle name="20% - Ênfase5 6 4 2 12" xfId="46816"/>
    <cellStyle name="20% - Ênfase5 6 4 2 13" xfId="50895"/>
    <cellStyle name="20% - Ênfase5 6 4 2 2" xfId="8510"/>
    <cellStyle name="20% - Ênfase5 6 4 2 2 10" xfId="44800"/>
    <cellStyle name="20% - Ênfase5 6 4 2 2 11" xfId="48832"/>
    <cellStyle name="20% - Ênfase5 6 4 2 2 12" xfId="52911"/>
    <cellStyle name="20% - Ênfase5 6 4 2 2 2" xfId="12544"/>
    <cellStyle name="20% - Ênfase5 6 4 2 2 3" xfId="16576"/>
    <cellStyle name="20% - Ênfase5 6 4 2 2 4" xfId="20608"/>
    <cellStyle name="20% - Ênfase5 6 4 2 2 5" xfId="24640"/>
    <cellStyle name="20% - Ênfase5 6 4 2 2 6" xfId="28672"/>
    <cellStyle name="20% - Ênfase5 6 4 2 2 7" xfId="32704"/>
    <cellStyle name="20% - Ênfase5 6 4 2 2 8" xfId="36736"/>
    <cellStyle name="20% - Ênfase5 6 4 2 2 9" xfId="40768"/>
    <cellStyle name="20% - Ênfase5 6 4 2 3" xfId="10528"/>
    <cellStyle name="20% - Ênfase5 6 4 2 4" xfId="14560"/>
    <cellStyle name="20% - Ênfase5 6 4 2 5" xfId="18592"/>
    <cellStyle name="20% - Ênfase5 6 4 2 6" xfId="22624"/>
    <cellStyle name="20% - Ênfase5 6 4 2 7" xfId="26656"/>
    <cellStyle name="20% - Ênfase5 6 4 2 8" xfId="30688"/>
    <cellStyle name="20% - Ênfase5 6 4 2 9" xfId="34720"/>
    <cellStyle name="20% - Ênfase5 6 4 3" xfId="7559"/>
    <cellStyle name="20% - Ênfase5 6 4 3 10" xfId="43849"/>
    <cellStyle name="20% - Ênfase5 6 4 3 11" xfId="47881"/>
    <cellStyle name="20% - Ênfase5 6 4 3 12" xfId="51960"/>
    <cellStyle name="20% - Ênfase5 6 4 3 2" xfId="11593"/>
    <cellStyle name="20% - Ênfase5 6 4 3 3" xfId="15625"/>
    <cellStyle name="20% - Ênfase5 6 4 3 4" xfId="19657"/>
    <cellStyle name="20% - Ênfase5 6 4 3 5" xfId="23689"/>
    <cellStyle name="20% - Ênfase5 6 4 3 6" xfId="27721"/>
    <cellStyle name="20% - Ênfase5 6 4 3 7" xfId="31753"/>
    <cellStyle name="20% - Ênfase5 6 4 3 8" xfId="35785"/>
    <cellStyle name="20% - Ênfase5 6 4 3 9" xfId="39817"/>
    <cellStyle name="20% - Ênfase5 6 4 4" xfId="9577"/>
    <cellStyle name="20% - Ênfase5 6 4 5" xfId="13609"/>
    <cellStyle name="20% - Ênfase5 6 4 6" xfId="17641"/>
    <cellStyle name="20% - Ênfase5 6 4 7" xfId="21673"/>
    <cellStyle name="20% - Ênfase5 6 4 8" xfId="25705"/>
    <cellStyle name="20% - Ênfase5 6 4 9" xfId="29737"/>
    <cellStyle name="20% - Ênfase5 7" xfId="1927"/>
    <cellStyle name="20% - Ênfase5 7 10" xfId="25706"/>
    <cellStyle name="20% - Ênfase5 7 11" xfId="29738"/>
    <cellStyle name="20% - Ênfase5 7 12" xfId="33770"/>
    <cellStyle name="20% - Ênfase5 7 13" xfId="37802"/>
    <cellStyle name="20% - Ênfase5 7 14" xfId="41834"/>
    <cellStyle name="20% - Ênfase5 7 15" xfId="45866"/>
    <cellStyle name="20% - Ênfase5 7 16" xfId="49944"/>
    <cellStyle name="20% - Ênfase5 7 2" xfId="1928"/>
    <cellStyle name="20% - Ênfase5 7 3" xfId="1929"/>
    <cellStyle name="20% - Ênfase5 7 4" xfId="5485"/>
    <cellStyle name="20% - Ênfase5 7 4 10" xfId="38753"/>
    <cellStyle name="20% - Ênfase5 7 4 11" xfId="42785"/>
    <cellStyle name="20% - Ênfase5 7 4 12" xfId="46817"/>
    <cellStyle name="20% - Ênfase5 7 4 13" xfId="50896"/>
    <cellStyle name="20% - Ênfase5 7 4 2" xfId="8511"/>
    <cellStyle name="20% - Ênfase5 7 4 2 10" xfId="44801"/>
    <cellStyle name="20% - Ênfase5 7 4 2 11" xfId="48833"/>
    <cellStyle name="20% - Ênfase5 7 4 2 12" xfId="52912"/>
    <cellStyle name="20% - Ênfase5 7 4 2 2" xfId="12545"/>
    <cellStyle name="20% - Ênfase5 7 4 2 3" xfId="16577"/>
    <cellStyle name="20% - Ênfase5 7 4 2 4" xfId="20609"/>
    <cellStyle name="20% - Ênfase5 7 4 2 5" xfId="24641"/>
    <cellStyle name="20% - Ênfase5 7 4 2 6" xfId="28673"/>
    <cellStyle name="20% - Ênfase5 7 4 2 7" xfId="32705"/>
    <cellStyle name="20% - Ênfase5 7 4 2 8" xfId="36737"/>
    <cellStyle name="20% - Ênfase5 7 4 2 9" xfId="40769"/>
    <cellStyle name="20% - Ênfase5 7 4 3" xfId="10529"/>
    <cellStyle name="20% - Ênfase5 7 4 4" xfId="14561"/>
    <cellStyle name="20% - Ênfase5 7 4 5" xfId="18593"/>
    <cellStyle name="20% - Ênfase5 7 4 6" xfId="22625"/>
    <cellStyle name="20% - Ênfase5 7 4 7" xfId="26657"/>
    <cellStyle name="20% - Ênfase5 7 4 8" xfId="30689"/>
    <cellStyle name="20% - Ênfase5 7 4 9" xfId="34721"/>
    <cellStyle name="20% - Ênfase5 7 5" xfId="7560"/>
    <cellStyle name="20% - Ênfase5 7 5 10" xfId="43850"/>
    <cellStyle name="20% - Ênfase5 7 5 11" xfId="47882"/>
    <cellStyle name="20% - Ênfase5 7 5 12" xfId="51961"/>
    <cellStyle name="20% - Ênfase5 7 5 2" xfId="11594"/>
    <cellStyle name="20% - Ênfase5 7 5 3" xfId="15626"/>
    <cellStyle name="20% - Ênfase5 7 5 4" xfId="19658"/>
    <cellStyle name="20% - Ênfase5 7 5 5" xfId="23690"/>
    <cellStyle name="20% - Ênfase5 7 5 6" xfId="27722"/>
    <cellStyle name="20% - Ênfase5 7 5 7" xfId="31754"/>
    <cellStyle name="20% - Ênfase5 7 5 8" xfId="35786"/>
    <cellStyle name="20% - Ênfase5 7 5 9" xfId="39818"/>
    <cellStyle name="20% - Ênfase5 7 6" xfId="9578"/>
    <cellStyle name="20% - Ênfase5 7 7" xfId="13610"/>
    <cellStyle name="20% - Ênfase5 7 8" xfId="17642"/>
    <cellStyle name="20% - Ênfase5 7 9" xfId="21674"/>
    <cellStyle name="20% - Ênfase5 8" xfId="1930"/>
    <cellStyle name="20% - Ênfase5 8 2" xfId="1931"/>
    <cellStyle name="20% - Ênfase5 9" xfId="1932"/>
    <cellStyle name="20% - Ênfase5 9 2" xfId="1933"/>
    <cellStyle name="20% - Ênfase6 10" xfId="1934"/>
    <cellStyle name="20% - Ênfase6 10 10" xfId="29739"/>
    <cellStyle name="20% - Ênfase6 10 11" xfId="33771"/>
    <cellStyle name="20% - Ênfase6 10 12" xfId="37803"/>
    <cellStyle name="20% - Ênfase6 10 13" xfId="41835"/>
    <cellStyle name="20% - Ênfase6 10 14" xfId="45867"/>
    <cellStyle name="20% - Ênfase6 10 15" xfId="49945"/>
    <cellStyle name="20% - Ênfase6 10 2" xfId="1935"/>
    <cellStyle name="20% - Ênfase6 10 3" xfId="5486"/>
    <cellStyle name="20% - Ênfase6 10 3 10" xfId="38754"/>
    <cellStyle name="20% - Ênfase6 10 3 11" xfId="42786"/>
    <cellStyle name="20% - Ênfase6 10 3 12" xfId="46818"/>
    <cellStyle name="20% - Ênfase6 10 3 13" xfId="50897"/>
    <cellStyle name="20% - Ênfase6 10 3 2" xfId="8512"/>
    <cellStyle name="20% - Ênfase6 10 3 2 10" xfId="44802"/>
    <cellStyle name="20% - Ênfase6 10 3 2 11" xfId="48834"/>
    <cellStyle name="20% - Ênfase6 10 3 2 12" xfId="52913"/>
    <cellStyle name="20% - Ênfase6 10 3 2 2" xfId="12546"/>
    <cellStyle name="20% - Ênfase6 10 3 2 3" xfId="16578"/>
    <cellStyle name="20% - Ênfase6 10 3 2 4" xfId="20610"/>
    <cellStyle name="20% - Ênfase6 10 3 2 5" xfId="24642"/>
    <cellStyle name="20% - Ênfase6 10 3 2 6" xfId="28674"/>
    <cellStyle name="20% - Ênfase6 10 3 2 7" xfId="32706"/>
    <cellStyle name="20% - Ênfase6 10 3 2 8" xfId="36738"/>
    <cellStyle name="20% - Ênfase6 10 3 2 9" xfId="40770"/>
    <cellStyle name="20% - Ênfase6 10 3 3" xfId="10530"/>
    <cellStyle name="20% - Ênfase6 10 3 4" xfId="14562"/>
    <cellStyle name="20% - Ênfase6 10 3 5" xfId="18594"/>
    <cellStyle name="20% - Ênfase6 10 3 6" xfId="22626"/>
    <cellStyle name="20% - Ênfase6 10 3 7" xfId="26658"/>
    <cellStyle name="20% - Ênfase6 10 3 8" xfId="30690"/>
    <cellStyle name="20% - Ênfase6 10 3 9" xfId="34722"/>
    <cellStyle name="20% - Ênfase6 10 4" xfId="7561"/>
    <cellStyle name="20% - Ênfase6 10 4 10" xfId="43851"/>
    <cellStyle name="20% - Ênfase6 10 4 11" xfId="47883"/>
    <cellStyle name="20% - Ênfase6 10 4 12" xfId="51962"/>
    <cellStyle name="20% - Ênfase6 10 4 2" xfId="11595"/>
    <cellStyle name="20% - Ênfase6 10 4 3" xfId="15627"/>
    <cellStyle name="20% - Ênfase6 10 4 4" xfId="19659"/>
    <cellStyle name="20% - Ênfase6 10 4 5" xfId="23691"/>
    <cellStyle name="20% - Ênfase6 10 4 6" xfId="27723"/>
    <cellStyle name="20% - Ênfase6 10 4 7" xfId="31755"/>
    <cellStyle name="20% - Ênfase6 10 4 8" xfId="35787"/>
    <cellStyle name="20% - Ênfase6 10 4 9" xfId="39819"/>
    <cellStyle name="20% - Ênfase6 10 5" xfId="9579"/>
    <cellStyle name="20% - Ênfase6 10 6" xfId="13611"/>
    <cellStyle name="20% - Ênfase6 10 7" xfId="17643"/>
    <cellStyle name="20% - Ênfase6 10 8" xfId="21675"/>
    <cellStyle name="20% - Ênfase6 10 9" xfId="25707"/>
    <cellStyle name="20% - Ênfase6 11" xfId="1936"/>
    <cellStyle name="20% - Ênfase6 11 10" xfId="29740"/>
    <cellStyle name="20% - Ênfase6 11 11" xfId="33772"/>
    <cellStyle name="20% - Ênfase6 11 12" xfId="37804"/>
    <cellStyle name="20% - Ênfase6 11 13" xfId="41836"/>
    <cellStyle name="20% - Ênfase6 11 14" xfId="45868"/>
    <cellStyle name="20% - Ênfase6 11 15" xfId="49946"/>
    <cellStyle name="20% - Ênfase6 11 2" xfId="1937"/>
    <cellStyle name="20% - Ênfase6 11 3" xfId="5487"/>
    <cellStyle name="20% - Ênfase6 11 3 10" xfId="38755"/>
    <cellStyle name="20% - Ênfase6 11 3 11" xfId="42787"/>
    <cellStyle name="20% - Ênfase6 11 3 12" xfId="46819"/>
    <cellStyle name="20% - Ênfase6 11 3 13" xfId="50898"/>
    <cellStyle name="20% - Ênfase6 11 3 2" xfId="8513"/>
    <cellStyle name="20% - Ênfase6 11 3 2 10" xfId="44803"/>
    <cellStyle name="20% - Ênfase6 11 3 2 11" xfId="48835"/>
    <cellStyle name="20% - Ênfase6 11 3 2 12" xfId="52914"/>
    <cellStyle name="20% - Ênfase6 11 3 2 2" xfId="12547"/>
    <cellStyle name="20% - Ênfase6 11 3 2 3" xfId="16579"/>
    <cellStyle name="20% - Ênfase6 11 3 2 4" xfId="20611"/>
    <cellStyle name="20% - Ênfase6 11 3 2 5" xfId="24643"/>
    <cellStyle name="20% - Ênfase6 11 3 2 6" xfId="28675"/>
    <cellStyle name="20% - Ênfase6 11 3 2 7" xfId="32707"/>
    <cellStyle name="20% - Ênfase6 11 3 2 8" xfId="36739"/>
    <cellStyle name="20% - Ênfase6 11 3 2 9" xfId="40771"/>
    <cellStyle name="20% - Ênfase6 11 3 3" xfId="10531"/>
    <cellStyle name="20% - Ênfase6 11 3 4" xfId="14563"/>
    <cellStyle name="20% - Ênfase6 11 3 5" xfId="18595"/>
    <cellStyle name="20% - Ênfase6 11 3 6" xfId="22627"/>
    <cellStyle name="20% - Ênfase6 11 3 7" xfId="26659"/>
    <cellStyle name="20% - Ênfase6 11 3 8" xfId="30691"/>
    <cellStyle name="20% - Ênfase6 11 3 9" xfId="34723"/>
    <cellStyle name="20% - Ênfase6 11 4" xfId="7562"/>
    <cellStyle name="20% - Ênfase6 11 4 10" xfId="43852"/>
    <cellStyle name="20% - Ênfase6 11 4 11" xfId="47884"/>
    <cellStyle name="20% - Ênfase6 11 4 12" xfId="51963"/>
    <cellStyle name="20% - Ênfase6 11 4 2" xfId="11596"/>
    <cellStyle name="20% - Ênfase6 11 4 3" xfId="15628"/>
    <cellStyle name="20% - Ênfase6 11 4 4" xfId="19660"/>
    <cellStyle name="20% - Ênfase6 11 4 5" xfId="23692"/>
    <cellStyle name="20% - Ênfase6 11 4 6" xfId="27724"/>
    <cellStyle name="20% - Ênfase6 11 4 7" xfId="31756"/>
    <cellStyle name="20% - Ênfase6 11 4 8" xfId="35788"/>
    <cellStyle name="20% - Ênfase6 11 4 9" xfId="39820"/>
    <cellStyle name="20% - Ênfase6 11 5" xfId="9580"/>
    <cellStyle name="20% - Ênfase6 11 6" xfId="13612"/>
    <cellStyle name="20% - Ênfase6 11 7" xfId="17644"/>
    <cellStyle name="20% - Ênfase6 11 8" xfId="21676"/>
    <cellStyle name="20% - Ênfase6 11 9" xfId="25708"/>
    <cellStyle name="20% - Ênfase6 12" xfId="1938"/>
    <cellStyle name="20% - Ênfase6 12 10" xfId="29741"/>
    <cellStyle name="20% - Ênfase6 12 11" xfId="33773"/>
    <cellStyle name="20% - Ênfase6 12 12" xfId="37805"/>
    <cellStyle name="20% - Ênfase6 12 13" xfId="41837"/>
    <cellStyle name="20% - Ênfase6 12 14" xfId="45869"/>
    <cellStyle name="20% - Ênfase6 12 15" xfId="49947"/>
    <cellStyle name="20% - Ênfase6 12 2" xfId="1939"/>
    <cellStyle name="20% - Ênfase6 12 3" xfId="5488"/>
    <cellStyle name="20% - Ênfase6 12 3 10" xfId="38756"/>
    <cellStyle name="20% - Ênfase6 12 3 11" xfId="42788"/>
    <cellStyle name="20% - Ênfase6 12 3 12" xfId="46820"/>
    <cellStyle name="20% - Ênfase6 12 3 13" xfId="50899"/>
    <cellStyle name="20% - Ênfase6 12 3 2" xfId="8514"/>
    <cellStyle name="20% - Ênfase6 12 3 2 10" xfId="44804"/>
    <cellStyle name="20% - Ênfase6 12 3 2 11" xfId="48836"/>
    <cellStyle name="20% - Ênfase6 12 3 2 12" xfId="52915"/>
    <cellStyle name="20% - Ênfase6 12 3 2 2" xfId="12548"/>
    <cellStyle name="20% - Ênfase6 12 3 2 3" xfId="16580"/>
    <cellStyle name="20% - Ênfase6 12 3 2 4" xfId="20612"/>
    <cellStyle name="20% - Ênfase6 12 3 2 5" xfId="24644"/>
    <cellStyle name="20% - Ênfase6 12 3 2 6" xfId="28676"/>
    <cellStyle name="20% - Ênfase6 12 3 2 7" xfId="32708"/>
    <cellStyle name="20% - Ênfase6 12 3 2 8" xfId="36740"/>
    <cellStyle name="20% - Ênfase6 12 3 2 9" xfId="40772"/>
    <cellStyle name="20% - Ênfase6 12 3 3" xfId="10532"/>
    <cellStyle name="20% - Ênfase6 12 3 4" xfId="14564"/>
    <cellStyle name="20% - Ênfase6 12 3 5" xfId="18596"/>
    <cellStyle name="20% - Ênfase6 12 3 6" xfId="22628"/>
    <cellStyle name="20% - Ênfase6 12 3 7" xfId="26660"/>
    <cellStyle name="20% - Ênfase6 12 3 8" xfId="30692"/>
    <cellStyle name="20% - Ênfase6 12 3 9" xfId="34724"/>
    <cellStyle name="20% - Ênfase6 12 4" xfId="7563"/>
    <cellStyle name="20% - Ênfase6 12 4 10" xfId="43853"/>
    <cellStyle name="20% - Ênfase6 12 4 11" xfId="47885"/>
    <cellStyle name="20% - Ênfase6 12 4 12" xfId="51964"/>
    <cellStyle name="20% - Ênfase6 12 4 2" xfId="11597"/>
    <cellStyle name="20% - Ênfase6 12 4 3" xfId="15629"/>
    <cellStyle name="20% - Ênfase6 12 4 4" xfId="19661"/>
    <cellStyle name="20% - Ênfase6 12 4 5" xfId="23693"/>
    <cellStyle name="20% - Ênfase6 12 4 6" xfId="27725"/>
    <cellStyle name="20% - Ênfase6 12 4 7" xfId="31757"/>
    <cellStyle name="20% - Ênfase6 12 4 8" xfId="35789"/>
    <cellStyle name="20% - Ênfase6 12 4 9" xfId="39821"/>
    <cellStyle name="20% - Ênfase6 12 5" xfId="9581"/>
    <cellStyle name="20% - Ênfase6 12 6" xfId="13613"/>
    <cellStyle name="20% - Ênfase6 12 7" xfId="17645"/>
    <cellStyle name="20% - Ênfase6 12 8" xfId="21677"/>
    <cellStyle name="20% - Ênfase6 12 9" xfId="25709"/>
    <cellStyle name="20% - Ênfase6 13" xfId="1940"/>
    <cellStyle name="20% - Ênfase6 13 10" xfId="29742"/>
    <cellStyle name="20% - Ênfase6 13 11" xfId="33774"/>
    <cellStyle name="20% - Ênfase6 13 12" xfId="37806"/>
    <cellStyle name="20% - Ênfase6 13 13" xfId="41838"/>
    <cellStyle name="20% - Ênfase6 13 14" xfId="45870"/>
    <cellStyle name="20% - Ênfase6 13 15" xfId="49948"/>
    <cellStyle name="20% - Ênfase6 13 2" xfId="1941"/>
    <cellStyle name="20% - Ênfase6 13 3" xfId="5489"/>
    <cellStyle name="20% - Ênfase6 13 3 10" xfId="38757"/>
    <cellStyle name="20% - Ênfase6 13 3 11" xfId="42789"/>
    <cellStyle name="20% - Ênfase6 13 3 12" xfId="46821"/>
    <cellStyle name="20% - Ênfase6 13 3 13" xfId="50900"/>
    <cellStyle name="20% - Ênfase6 13 3 2" xfId="8515"/>
    <cellStyle name="20% - Ênfase6 13 3 2 10" xfId="44805"/>
    <cellStyle name="20% - Ênfase6 13 3 2 11" xfId="48837"/>
    <cellStyle name="20% - Ênfase6 13 3 2 12" xfId="52916"/>
    <cellStyle name="20% - Ênfase6 13 3 2 2" xfId="12549"/>
    <cellStyle name="20% - Ênfase6 13 3 2 3" xfId="16581"/>
    <cellStyle name="20% - Ênfase6 13 3 2 4" xfId="20613"/>
    <cellStyle name="20% - Ênfase6 13 3 2 5" xfId="24645"/>
    <cellStyle name="20% - Ênfase6 13 3 2 6" xfId="28677"/>
    <cellStyle name="20% - Ênfase6 13 3 2 7" xfId="32709"/>
    <cellStyle name="20% - Ênfase6 13 3 2 8" xfId="36741"/>
    <cellStyle name="20% - Ênfase6 13 3 2 9" xfId="40773"/>
    <cellStyle name="20% - Ênfase6 13 3 3" xfId="10533"/>
    <cellStyle name="20% - Ênfase6 13 3 4" xfId="14565"/>
    <cellStyle name="20% - Ênfase6 13 3 5" xfId="18597"/>
    <cellStyle name="20% - Ênfase6 13 3 6" xfId="22629"/>
    <cellStyle name="20% - Ênfase6 13 3 7" xfId="26661"/>
    <cellStyle name="20% - Ênfase6 13 3 8" xfId="30693"/>
    <cellStyle name="20% - Ênfase6 13 3 9" xfId="34725"/>
    <cellStyle name="20% - Ênfase6 13 4" xfId="7564"/>
    <cellStyle name="20% - Ênfase6 13 4 10" xfId="43854"/>
    <cellStyle name="20% - Ênfase6 13 4 11" xfId="47886"/>
    <cellStyle name="20% - Ênfase6 13 4 12" xfId="51965"/>
    <cellStyle name="20% - Ênfase6 13 4 2" xfId="11598"/>
    <cellStyle name="20% - Ênfase6 13 4 3" xfId="15630"/>
    <cellStyle name="20% - Ênfase6 13 4 4" xfId="19662"/>
    <cellStyle name="20% - Ênfase6 13 4 5" xfId="23694"/>
    <cellStyle name="20% - Ênfase6 13 4 6" xfId="27726"/>
    <cellStyle name="20% - Ênfase6 13 4 7" xfId="31758"/>
    <cellStyle name="20% - Ênfase6 13 4 8" xfId="35790"/>
    <cellStyle name="20% - Ênfase6 13 4 9" xfId="39822"/>
    <cellStyle name="20% - Ênfase6 13 5" xfId="9582"/>
    <cellStyle name="20% - Ênfase6 13 6" xfId="13614"/>
    <cellStyle name="20% - Ênfase6 13 7" xfId="17646"/>
    <cellStyle name="20% - Ênfase6 13 8" xfId="21678"/>
    <cellStyle name="20% - Ênfase6 13 9" xfId="25710"/>
    <cellStyle name="20% - Ênfase6 14 2" xfId="1942"/>
    <cellStyle name="20% - Ênfase6 15 2" xfId="1943"/>
    <cellStyle name="20% - Ênfase6 16 2" xfId="1944"/>
    <cellStyle name="20% - Ênfase6 17 2" xfId="1945"/>
    <cellStyle name="20% - Ênfase6 2" xfId="388"/>
    <cellStyle name="20% - Ênfase6 2 2" xfId="527"/>
    <cellStyle name="20% - Ênfase6 2 2 2" xfId="1947"/>
    <cellStyle name="20% - Ênfase6 2 3" xfId="841"/>
    <cellStyle name="20% - Ênfase6 2 3 2" xfId="1948"/>
    <cellStyle name="20% - Ênfase6 2 4" xfId="1028"/>
    <cellStyle name="20% - Ênfase6 2 5" xfId="1946"/>
    <cellStyle name="20% - Ênfase6 2 5 10" xfId="33775"/>
    <cellStyle name="20% - Ênfase6 2 5 11" xfId="37807"/>
    <cellStyle name="20% - Ênfase6 2 5 12" xfId="41839"/>
    <cellStyle name="20% - Ênfase6 2 5 13" xfId="45871"/>
    <cellStyle name="20% - Ênfase6 2 5 14" xfId="49949"/>
    <cellStyle name="20% - Ênfase6 2 5 2" xfId="5490"/>
    <cellStyle name="20% - Ênfase6 2 5 2 10" xfId="38758"/>
    <cellStyle name="20% - Ênfase6 2 5 2 11" xfId="42790"/>
    <cellStyle name="20% - Ênfase6 2 5 2 12" xfId="46822"/>
    <cellStyle name="20% - Ênfase6 2 5 2 13" xfId="50901"/>
    <cellStyle name="20% - Ênfase6 2 5 2 2" xfId="8516"/>
    <cellStyle name="20% - Ênfase6 2 5 2 2 10" xfId="44806"/>
    <cellStyle name="20% - Ênfase6 2 5 2 2 11" xfId="48838"/>
    <cellStyle name="20% - Ênfase6 2 5 2 2 12" xfId="52917"/>
    <cellStyle name="20% - Ênfase6 2 5 2 2 2" xfId="12550"/>
    <cellStyle name="20% - Ênfase6 2 5 2 2 3" xfId="16582"/>
    <cellStyle name="20% - Ênfase6 2 5 2 2 4" xfId="20614"/>
    <cellStyle name="20% - Ênfase6 2 5 2 2 5" xfId="24646"/>
    <cellStyle name="20% - Ênfase6 2 5 2 2 6" xfId="28678"/>
    <cellStyle name="20% - Ênfase6 2 5 2 2 7" xfId="32710"/>
    <cellStyle name="20% - Ênfase6 2 5 2 2 8" xfId="36742"/>
    <cellStyle name="20% - Ênfase6 2 5 2 2 9" xfId="40774"/>
    <cellStyle name="20% - Ênfase6 2 5 2 3" xfId="10534"/>
    <cellStyle name="20% - Ênfase6 2 5 2 4" xfId="14566"/>
    <cellStyle name="20% - Ênfase6 2 5 2 5" xfId="18598"/>
    <cellStyle name="20% - Ênfase6 2 5 2 6" xfId="22630"/>
    <cellStyle name="20% - Ênfase6 2 5 2 7" xfId="26662"/>
    <cellStyle name="20% - Ênfase6 2 5 2 8" xfId="30694"/>
    <cellStyle name="20% - Ênfase6 2 5 2 9" xfId="34726"/>
    <cellStyle name="20% - Ênfase6 2 5 3" xfId="7565"/>
    <cellStyle name="20% - Ênfase6 2 5 3 10" xfId="43855"/>
    <cellStyle name="20% - Ênfase6 2 5 3 11" xfId="47887"/>
    <cellStyle name="20% - Ênfase6 2 5 3 12" xfId="51966"/>
    <cellStyle name="20% - Ênfase6 2 5 3 2" xfId="11599"/>
    <cellStyle name="20% - Ênfase6 2 5 3 3" xfId="15631"/>
    <cellStyle name="20% - Ênfase6 2 5 3 4" xfId="19663"/>
    <cellStyle name="20% - Ênfase6 2 5 3 5" xfId="23695"/>
    <cellStyle name="20% - Ênfase6 2 5 3 6" xfId="27727"/>
    <cellStyle name="20% - Ênfase6 2 5 3 7" xfId="31759"/>
    <cellStyle name="20% - Ênfase6 2 5 3 8" xfId="35791"/>
    <cellStyle name="20% - Ênfase6 2 5 3 9" xfId="39823"/>
    <cellStyle name="20% - Ênfase6 2 5 4" xfId="9583"/>
    <cellStyle name="20% - Ênfase6 2 5 5" xfId="13615"/>
    <cellStyle name="20% - Ênfase6 2 5 6" xfId="17647"/>
    <cellStyle name="20% - Ênfase6 2 5 7" xfId="21679"/>
    <cellStyle name="20% - Ênfase6 2 5 8" xfId="25711"/>
    <cellStyle name="20% - Ênfase6 2 5 9" xfId="29743"/>
    <cellStyle name="20% - Ênfase6 3" xfId="455"/>
    <cellStyle name="20% - Ênfase6 3 2" xfId="1029"/>
    <cellStyle name="20% - Ênfase6 3 2 10" xfId="29534"/>
    <cellStyle name="20% - Ênfase6 3 2 11" xfId="33566"/>
    <cellStyle name="20% - Ênfase6 3 2 12" xfId="37598"/>
    <cellStyle name="20% - Ênfase6 3 2 13" xfId="41630"/>
    <cellStyle name="20% - Ênfase6 3 2 14" xfId="45662"/>
    <cellStyle name="20% - Ênfase6 3 2 15" xfId="49740"/>
    <cellStyle name="20% - Ênfase6 3 2 2" xfId="1950"/>
    <cellStyle name="20% - Ênfase6 3 2 3" xfId="5040"/>
    <cellStyle name="20% - Ênfase6 3 2 3 10" xfId="38563"/>
    <cellStyle name="20% - Ênfase6 3 2 3 11" xfId="42595"/>
    <cellStyle name="20% - Ênfase6 3 2 3 12" xfId="46627"/>
    <cellStyle name="20% - Ênfase6 3 2 3 13" xfId="50706"/>
    <cellStyle name="20% - Ênfase6 3 2 3 2" xfId="8321"/>
    <cellStyle name="20% - Ênfase6 3 2 3 2 10" xfId="44611"/>
    <cellStyle name="20% - Ênfase6 3 2 3 2 11" xfId="48643"/>
    <cellStyle name="20% - Ênfase6 3 2 3 2 12" xfId="52722"/>
    <cellStyle name="20% - Ênfase6 3 2 3 2 2" xfId="12355"/>
    <cellStyle name="20% - Ênfase6 3 2 3 2 3" xfId="16387"/>
    <cellStyle name="20% - Ênfase6 3 2 3 2 4" xfId="20419"/>
    <cellStyle name="20% - Ênfase6 3 2 3 2 5" xfId="24451"/>
    <cellStyle name="20% - Ênfase6 3 2 3 2 6" xfId="28483"/>
    <cellStyle name="20% - Ênfase6 3 2 3 2 7" xfId="32515"/>
    <cellStyle name="20% - Ênfase6 3 2 3 2 8" xfId="36547"/>
    <cellStyle name="20% - Ênfase6 3 2 3 2 9" xfId="40579"/>
    <cellStyle name="20% - Ênfase6 3 2 3 3" xfId="10339"/>
    <cellStyle name="20% - Ênfase6 3 2 3 4" xfId="14371"/>
    <cellStyle name="20% - Ênfase6 3 2 3 5" xfId="18403"/>
    <cellStyle name="20% - Ênfase6 3 2 3 6" xfId="22435"/>
    <cellStyle name="20% - Ênfase6 3 2 3 7" xfId="26467"/>
    <cellStyle name="20% - Ênfase6 3 2 3 8" xfId="30499"/>
    <cellStyle name="20% - Ênfase6 3 2 3 9" xfId="34531"/>
    <cellStyle name="20% - Ênfase6 3 2 4" xfId="7356"/>
    <cellStyle name="20% - Ênfase6 3 2 4 10" xfId="43646"/>
    <cellStyle name="20% - Ênfase6 3 2 4 11" xfId="47678"/>
    <cellStyle name="20% - Ênfase6 3 2 4 12" xfId="51757"/>
    <cellStyle name="20% - Ênfase6 3 2 4 2" xfId="11390"/>
    <cellStyle name="20% - Ênfase6 3 2 4 3" xfId="15422"/>
    <cellStyle name="20% - Ênfase6 3 2 4 4" xfId="19454"/>
    <cellStyle name="20% - Ênfase6 3 2 4 5" xfId="23486"/>
    <cellStyle name="20% - Ênfase6 3 2 4 6" xfId="27518"/>
    <cellStyle name="20% - Ênfase6 3 2 4 7" xfId="31550"/>
    <cellStyle name="20% - Ênfase6 3 2 4 8" xfId="35582"/>
    <cellStyle name="20% - Ênfase6 3 2 4 9" xfId="39614"/>
    <cellStyle name="20% - Ênfase6 3 2 5" xfId="9374"/>
    <cellStyle name="20% - Ênfase6 3 2 6" xfId="13406"/>
    <cellStyle name="20% - Ênfase6 3 2 7" xfId="17438"/>
    <cellStyle name="20% - Ênfase6 3 2 8" xfId="21470"/>
    <cellStyle name="20% - Ênfase6 3 2 9" xfId="25502"/>
    <cellStyle name="20% - Ênfase6 3 3" xfId="1951"/>
    <cellStyle name="20% - Ênfase6 3 4" xfId="1949"/>
    <cellStyle name="20% - Ênfase6 3 4 10" xfId="33776"/>
    <cellStyle name="20% - Ênfase6 3 4 11" xfId="37808"/>
    <cellStyle name="20% - Ênfase6 3 4 12" xfId="41840"/>
    <cellStyle name="20% - Ênfase6 3 4 13" xfId="45872"/>
    <cellStyle name="20% - Ênfase6 3 4 14" xfId="49950"/>
    <cellStyle name="20% - Ênfase6 3 4 2" xfId="5491"/>
    <cellStyle name="20% - Ênfase6 3 4 2 10" xfId="38759"/>
    <cellStyle name="20% - Ênfase6 3 4 2 11" xfId="42791"/>
    <cellStyle name="20% - Ênfase6 3 4 2 12" xfId="46823"/>
    <cellStyle name="20% - Ênfase6 3 4 2 13" xfId="50902"/>
    <cellStyle name="20% - Ênfase6 3 4 2 2" xfId="8517"/>
    <cellStyle name="20% - Ênfase6 3 4 2 2 10" xfId="44807"/>
    <cellStyle name="20% - Ênfase6 3 4 2 2 11" xfId="48839"/>
    <cellStyle name="20% - Ênfase6 3 4 2 2 12" xfId="52918"/>
    <cellStyle name="20% - Ênfase6 3 4 2 2 2" xfId="12551"/>
    <cellStyle name="20% - Ênfase6 3 4 2 2 3" xfId="16583"/>
    <cellStyle name="20% - Ênfase6 3 4 2 2 4" xfId="20615"/>
    <cellStyle name="20% - Ênfase6 3 4 2 2 5" xfId="24647"/>
    <cellStyle name="20% - Ênfase6 3 4 2 2 6" xfId="28679"/>
    <cellStyle name="20% - Ênfase6 3 4 2 2 7" xfId="32711"/>
    <cellStyle name="20% - Ênfase6 3 4 2 2 8" xfId="36743"/>
    <cellStyle name="20% - Ênfase6 3 4 2 2 9" xfId="40775"/>
    <cellStyle name="20% - Ênfase6 3 4 2 3" xfId="10535"/>
    <cellStyle name="20% - Ênfase6 3 4 2 4" xfId="14567"/>
    <cellStyle name="20% - Ênfase6 3 4 2 5" xfId="18599"/>
    <cellStyle name="20% - Ênfase6 3 4 2 6" xfId="22631"/>
    <cellStyle name="20% - Ênfase6 3 4 2 7" xfId="26663"/>
    <cellStyle name="20% - Ênfase6 3 4 2 8" xfId="30695"/>
    <cellStyle name="20% - Ênfase6 3 4 2 9" xfId="34727"/>
    <cellStyle name="20% - Ênfase6 3 4 3" xfId="7566"/>
    <cellStyle name="20% - Ênfase6 3 4 3 10" xfId="43856"/>
    <cellStyle name="20% - Ênfase6 3 4 3 11" xfId="47888"/>
    <cellStyle name="20% - Ênfase6 3 4 3 12" xfId="51967"/>
    <cellStyle name="20% - Ênfase6 3 4 3 2" xfId="11600"/>
    <cellStyle name="20% - Ênfase6 3 4 3 3" xfId="15632"/>
    <cellStyle name="20% - Ênfase6 3 4 3 4" xfId="19664"/>
    <cellStyle name="20% - Ênfase6 3 4 3 5" xfId="23696"/>
    <cellStyle name="20% - Ênfase6 3 4 3 6" xfId="27728"/>
    <cellStyle name="20% - Ênfase6 3 4 3 7" xfId="31760"/>
    <cellStyle name="20% - Ênfase6 3 4 3 8" xfId="35792"/>
    <cellStyle name="20% - Ênfase6 3 4 3 9" xfId="39824"/>
    <cellStyle name="20% - Ênfase6 3 4 4" xfId="9584"/>
    <cellStyle name="20% - Ênfase6 3 4 5" xfId="13616"/>
    <cellStyle name="20% - Ênfase6 3 4 6" xfId="17648"/>
    <cellStyle name="20% - Ênfase6 3 4 7" xfId="21680"/>
    <cellStyle name="20% - Ênfase6 3 4 8" xfId="25712"/>
    <cellStyle name="20% - Ênfase6 3 4 9" xfId="29744"/>
    <cellStyle name="20% - Ênfase6 4" xfId="1130"/>
    <cellStyle name="20% - Ênfase6 4 2" xfId="1953"/>
    <cellStyle name="20% - Ênfase6 4 3" xfId="1954"/>
    <cellStyle name="20% - Ênfase6 4 4" xfId="1952"/>
    <cellStyle name="20% - Ênfase6 4 4 10" xfId="33777"/>
    <cellStyle name="20% - Ênfase6 4 4 11" xfId="37809"/>
    <cellStyle name="20% - Ênfase6 4 4 12" xfId="41841"/>
    <cellStyle name="20% - Ênfase6 4 4 13" xfId="45873"/>
    <cellStyle name="20% - Ênfase6 4 4 14" xfId="49951"/>
    <cellStyle name="20% - Ênfase6 4 4 2" xfId="5492"/>
    <cellStyle name="20% - Ênfase6 4 4 2 10" xfId="38760"/>
    <cellStyle name="20% - Ênfase6 4 4 2 11" xfId="42792"/>
    <cellStyle name="20% - Ênfase6 4 4 2 12" xfId="46824"/>
    <cellStyle name="20% - Ênfase6 4 4 2 13" xfId="50903"/>
    <cellStyle name="20% - Ênfase6 4 4 2 2" xfId="8518"/>
    <cellStyle name="20% - Ênfase6 4 4 2 2 10" xfId="44808"/>
    <cellStyle name="20% - Ênfase6 4 4 2 2 11" xfId="48840"/>
    <cellStyle name="20% - Ênfase6 4 4 2 2 12" xfId="52919"/>
    <cellStyle name="20% - Ênfase6 4 4 2 2 2" xfId="12552"/>
    <cellStyle name="20% - Ênfase6 4 4 2 2 3" xfId="16584"/>
    <cellStyle name="20% - Ênfase6 4 4 2 2 4" xfId="20616"/>
    <cellStyle name="20% - Ênfase6 4 4 2 2 5" xfId="24648"/>
    <cellStyle name="20% - Ênfase6 4 4 2 2 6" xfId="28680"/>
    <cellStyle name="20% - Ênfase6 4 4 2 2 7" xfId="32712"/>
    <cellStyle name="20% - Ênfase6 4 4 2 2 8" xfId="36744"/>
    <cellStyle name="20% - Ênfase6 4 4 2 2 9" xfId="40776"/>
    <cellStyle name="20% - Ênfase6 4 4 2 3" xfId="10536"/>
    <cellStyle name="20% - Ênfase6 4 4 2 4" xfId="14568"/>
    <cellStyle name="20% - Ênfase6 4 4 2 5" xfId="18600"/>
    <cellStyle name="20% - Ênfase6 4 4 2 6" xfId="22632"/>
    <cellStyle name="20% - Ênfase6 4 4 2 7" xfId="26664"/>
    <cellStyle name="20% - Ênfase6 4 4 2 8" xfId="30696"/>
    <cellStyle name="20% - Ênfase6 4 4 2 9" xfId="34728"/>
    <cellStyle name="20% - Ênfase6 4 4 3" xfId="7567"/>
    <cellStyle name="20% - Ênfase6 4 4 3 10" xfId="43857"/>
    <cellStyle name="20% - Ênfase6 4 4 3 11" xfId="47889"/>
    <cellStyle name="20% - Ênfase6 4 4 3 12" xfId="51968"/>
    <cellStyle name="20% - Ênfase6 4 4 3 2" xfId="11601"/>
    <cellStyle name="20% - Ênfase6 4 4 3 3" xfId="15633"/>
    <cellStyle name="20% - Ênfase6 4 4 3 4" xfId="19665"/>
    <cellStyle name="20% - Ênfase6 4 4 3 5" xfId="23697"/>
    <cellStyle name="20% - Ênfase6 4 4 3 6" xfId="27729"/>
    <cellStyle name="20% - Ênfase6 4 4 3 7" xfId="31761"/>
    <cellStyle name="20% - Ênfase6 4 4 3 8" xfId="35793"/>
    <cellStyle name="20% - Ênfase6 4 4 3 9" xfId="39825"/>
    <cellStyle name="20% - Ênfase6 4 4 4" xfId="9585"/>
    <cellStyle name="20% - Ênfase6 4 4 5" xfId="13617"/>
    <cellStyle name="20% - Ênfase6 4 4 6" xfId="17649"/>
    <cellStyle name="20% - Ênfase6 4 4 7" xfId="21681"/>
    <cellStyle name="20% - Ênfase6 4 4 8" xfId="25713"/>
    <cellStyle name="20% - Ênfase6 4 4 9" xfId="29745"/>
    <cellStyle name="20% - Ênfase6 5" xfId="1172"/>
    <cellStyle name="20% - Ênfase6 5 2" xfId="1956"/>
    <cellStyle name="20% - Ênfase6 5 3" xfId="1957"/>
    <cellStyle name="20% - Ênfase6 5 4" xfId="1955"/>
    <cellStyle name="20% - Ênfase6 5 4 10" xfId="33778"/>
    <cellStyle name="20% - Ênfase6 5 4 11" xfId="37810"/>
    <cellStyle name="20% - Ênfase6 5 4 12" xfId="41842"/>
    <cellStyle name="20% - Ênfase6 5 4 13" xfId="45874"/>
    <cellStyle name="20% - Ênfase6 5 4 14" xfId="49952"/>
    <cellStyle name="20% - Ênfase6 5 4 2" xfId="5493"/>
    <cellStyle name="20% - Ênfase6 5 4 2 10" xfId="38761"/>
    <cellStyle name="20% - Ênfase6 5 4 2 11" xfId="42793"/>
    <cellStyle name="20% - Ênfase6 5 4 2 12" xfId="46825"/>
    <cellStyle name="20% - Ênfase6 5 4 2 13" xfId="50904"/>
    <cellStyle name="20% - Ênfase6 5 4 2 2" xfId="8519"/>
    <cellStyle name="20% - Ênfase6 5 4 2 2 10" xfId="44809"/>
    <cellStyle name="20% - Ênfase6 5 4 2 2 11" xfId="48841"/>
    <cellStyle name="20% - Ênfase6 5 4 2 2 12" xfId="52920"/>
    <cellStyle name="20% - Ênfase6 5 4 2 2 2" xfId="12553"/>
    <cellStyle name="20% - Ênfase6 5 4 2 2 3" xfId="16585"/>
    <cellStyle name="20% - Ênfase6 5 4 2 2 4" xfId="20617"/>
    <cellStyle name="20% - Ênfase6 5 4 2 2 5" xfId="24649"/>
    <cellStyle name="20% - Ênfase6 5 4 2 2 6" xfId="28681"/>
    <cellStyle name="20% - Ênfase6 5 4 2 2 7" xfId="32713"/>
    <cellStyle name="20% - Ênfase6 5 4 2 2 8" xfId="36745"/>
    <cellStyle name="20% - Ênfase6 5 4 2 2 9" xfId="40777"/>
    <cellStyle name="20% - Ênfase6 5 4 2 3" xfId="10537"/>
    <cellStyle name="20% - Ênfase6 5 4 2 4" xfId="14569"/>
    <cellStyle name="20% - Ênfase6 5 4 2 5" xfId="18601"/>
    <cellStyle name="20% - Ênfase6 5 4 2 6" xfId="22633"/>
    <cellStyle name="20% - Ênfase6 5 4 2 7" xfId="26665"/>
    <cellStyle name="20% - Ênfase6 5 4 2 8" xfId="30697"/>
    <cellStyle name="20% - Ênfase6 5 4 2 9" xfId="34729"/>
    <cellStyle name="20% - Ênfase6 5 4 3" xfId="7568"/>
    <cellStyle name="20% - Ênfase6 5 4 3 10" xfId="43858"/>
    <cellStyle name="20% - Ênfase6 5 4 3 11" xfId="47890"/>
    <cellStyle name="20% - Ênfase6 5 4 3 12" xfId="51969"/>
    <cellStyle name="20% - Ênfase6 5 4 3 2" xfId="11602"/>
    <cellStyle name="20% - Ênfase6 5 4 3 3" xfId="15634"/>
    <cellStyle name="20% - Ênfase6 5 4 3 4" xfId="19666"/>
    <cellStyle name="20% - Ênfase6 5 4 3 5" xfId="23698"/>
    <cellStyle name="20% - Ênfase6 5 4 3 6" xfId="27730"/>
    <cellStyle name="20% - Ênfase6 5 4 3 7" xfId="31762"/>
    <cellStyle name="20% - Ênfase6 5 4 3 8" xfId="35794"/>
    <cellStyle name="20% - Ênfase6 5 4 3 9" xfId="39826"/>
    <cellStyle name="20% - Ênfase6 5 4 4" xfId="9586"/>
    <cellStyle name="20% - Ênfase6 5 4 5" xfId="13618"/>
    <cellStyle name="20% - Ênfase6 5 4 6" xfId="17650"/>
    <cellStyle name="20% - Ênfase6 5 4 7" xfId="21682"/>
    <cellStyle name="20% - Ênfase6 5 4 8" xfId="25714"/>
    <cellStyle name="20% - Ênfase6 5 4 9" xfId="29746"/>
    <cellStyle name="20% - Ênfase6 6" xfId="1197"/>
    <cellStyle name="20% - Ênfase6 6 2" xfId="1959"/>
    <cellStyle name="20% - Ênfase6 6 3" xfId="1960"/>
    <cellStyle name="20% - Ênfase6 6 4" xfId="1958"/>
    <cellStyle name="20% - Ênfase6 6 4 10" xfId="33779"/>
    <cellStyle name="20% - Ênfase6 6 4 11" xfId="37811"/>
    <cellStyle name="20% - Ênfase6 6 4 12" xfId="41843"/>
    <cellStyle name="20% - Ênfase6 6 4 13" xfId="45875"/>
    <cellStyle name="20% - Ênfase6 6 4 14" xfId="49953"/>
    <cellStyle name="20% - Ênfase6 6 4 2" xfId="5494"/>
    <cellStyle name="20% - Ênfase6 6 4 2 10" xfId="38762"/>
    <cellStyle name="20% - Ênfase6 6 4 2 11" xfId="42794"/>
    <cellStyle name="20% - Ênfase6 6 4 2 12" xfId="46826"/>
    <cellStyle name="20% - Ênfase6 6 4 2 13" xfId="50905"/>
    <cellStyle name="20% - Ênfase6 6 4 2 2" xfId="8520"/>
    <cellStyle name="20% - Ênfase6 6 4 2 2 10" xfId="44810"/>
    <cellStyle name="20% - Ênfase6 6 4 2 2 11" xfId="48842"/>
    <cellStyle name="20% - Ênfase6 6 4 2 2 12" xfId="52921"/>
    <cellStyle name="20% - Ênfase6 6 4 2 2 2" xfId="12554"/>
    <cellStyle name="20% - Ênfase6 6 4 2 2 3" xfId="16586"/>
    <cellStyle name="20% - Ênfase6 6 4 2 2 4" xfId="20618"/>
    <cellStyle name="20% - Ênfase6 6 4 2 2 5" xfId="24650"/>
    <cellStyle name="20% - Ênfase6 6 4 2 2 6" xfId="28682"/>
    <cellStyle name="20% - Ênfase6 6 4 2 2 7" xfId="32714"/>
    <cellStyle name="20% - Ênfase6 6 4 2 2 8" xfId="36746"/>
    <cellStyle name="20% - Ênfase6 6 4 2 2 9" xfId="40778"/>
    <cellStyle name="20% - Ênfase6 6 4 2 3" xfId="10538"/>
    <cellStyle name="20% - Ênfase6 6 4 2 4" xfId="14570"/>
    <cellStyle name="20% - Ênfase6 6 4 2 5" xfId="18602"/>
    <cellStyle name="20% - Ênfase6 6 4 2 6" xfId="22634"/>
    <cellStyle name="20% - Ênfase6 6 4 2 7" xfId="26666"/>
    <cellStyle name="20% - Ênfase6 6 4 2 8" xfId="30698"/>
    <cellStyle name="20% - Ênfase6 6 4 2 9" xfId="34730"/>
    <cellStyle name="20% - Ênfase6 6 4 3" xfId="7569"/>
    <cellStyle name="20% - Ênfase6 6 4 3 10" xfId="43859"/>
    <cellStyle name="20% - Ênfase6 6 4 3 11" xfId="47891"/>
    <cellStyle name="20% - Ênfase6 6 4 3 12" xfId="51970"/>
    <cellStyle name="20% - Ênfase6 6 4 3 2" xfId="11603"/>
    <cellStyle name="20% - Ênfase6 6 4 3 3" xfId="15635"/>
    <cellStyle name="20% - Ênfase6 6 4 3 4" xfId="19667"/>
    <cellStyle name="20% - Ênfase6 6 4 3 5" xfId="23699"/>
    <cellStyle name="20% - Ênfase6 6 4 3 6" xfId="27731"/>
    <cellStyle name="20% - Ênfase6 6 4 3 7" xfId="31763"/>
    <cellStyle name="20% - Ênfase6 6 4 3 8" xfId="35795"/>
    <cellStyle name="20% - Ênfase6 6 4 3 9" xfId="39827"/>
    <cellStyle name="20% - Ênfase6 6 4 4" xfId="9587"/>
    <cellStyle name="20% - Ênfase6 6 4 5" xfId="13619"/>
    <cellStyle name="20% - Ênfase6 6 4 6" xfId="17651"/>
    <cellStyle name="20% - Ênfase6 6 4 7" xfId="21683"/>
    <cellStyle name="20% - Ênfase6 6 4 8" xfId="25715"/>
    <cellStyle name="20% - Ênfase6 6 4 9" xfId="29747"/>
    <cellStyle name="20% - Ênfase6 7" xfId="1961"/>
    <cellStyle name="20% - Ênfase6 7 10" xfId="25716"/>
    <cellStyle name="20% - Ênfase6 7 11" xfId="29748"/>
    <cellStyle name="20% - Ênfase6 7 12" xfId="33780"/>
    <cellStyle name="20% - Ênfase6 7 13" xfId="37812"/>
    <cellStyle name="20% - Ênfase6 7 14" xfId="41844"/>
    <cellStyle name="20% - Ênfase6 7 15" xfId="45876"/>
    <cellStyle name="20% - Ênfase6 7 16" xfId="49954"/>
    <cellStyle name="20% - Ênfase6 7 2" xfId="1962"/>
    <cellStyle name="20% - Ênfase6 7 3" xfId="1963"/>
    <cellStyle name="20% - Ênfase6 7 4" xfId="5495"/>
    <cellStyle name="20% - Ênfase6 7 4 10" xfId="38763"/>
    <cellStyle name="20% - Ênfase6 7 4 11" xfId="42795"/>
    <cellStyle name="20% - Ênfase6 7 4 12" xfId="46827"/>
    <cellStyle name="20% - Ênfase6 7 4 13" xfId="50906"/>
    <cellStyle name="20% - Ênfase6 7 4 2" xfId="8521"/>
    <cellStyle name="20% - Ênfase6 7 4 2 10" xfId="44811"/>
    <cellStyle name="20% - Ênfase6 7 4 2 11" xfId="48843"/>
    <cellStyle name="20% - Ênfase6 7 4 2 12" xfId="52922"/>
    <cellStyle name="20% - Ênfase6 7 4 2 2" xfId="12555"/>
    <cellStyle name="20% - Ênfase6 7 4 2 3" xfId="16587"/>
    <cellStyle name="20% - Ênfase6 7 4 2 4" xfId="20619"/>
    <cellStyle name="20% - Ênfase6 7 4 2 5" xfId="24651"/>
    <cellStyle name="20% - Ênfase6 7 4 2 6" xfId="28683"/>
    <cellStyle name="20% - Ênfase6 7 4 2 7" xfId="32715"/>
    <cellStyle name="20% - Ênfase6 7 4 2 8" xfId="36747"/>
    <cellStyle name="20% - Ênfase6 7 4 2 9" xfId="40779"/>
    <cellStyle name="20% - Ênfase6 7 4 3" xfId="10539"/>
    <cellStyle name="20% - Ênfase6 7 4 4" xfId="14571"/>
    <cellStyle name="20% - Ênfase6 7 4 5" xfId="18603"/>
    <cellStyle name="20% - Ênfase6 7 4 6" xfId="22635"/>
    <cellStyle name="20% - Ênfase6 7 4 7" xfId="26667"/>
    <cellStyle name="20% - Ênfase6 7 4 8" xfId="30699"/>
    <cellStyle name="20% - Ênfase6 7 4 9" xfId="34731"/>
    <cellStyle name="20% - Ênfase6 7 5" xfId="7570"/>
    <cellStyle name="20% - Ênfase6 7 5 10" xfId="43860"/>
    <cellStyle name="20% - Ênfase6 7 5 11" xfId="47892"/>
    <cellStyle name="20% - Ênfase6 7 5 12" xfId="51971"/>
    <cellStyle name="20% - Ênfase6 7 5 2" xfId="11604"/>
    <cellStyle name="20% - Ênfase6 7 5 3" xfId="15636"/>
    <cellStyle name="20% - Ênfase6 7 5 4" xfId="19668"/>
    <cellStyle name="20% - Ênfase6 7 5 5" xfId="23700"/>
    <cellStyle name="20% - Ênfase6 7 5 6" xfId="27732"/>
    <cellStyle name="20% - Ênfase6 7 5 7" xfId="31764"/>
    <cellStyle name="20% - Ênfase6 7 5 8" xfId="35796"/>
    <cellStyle name="20% - Ênfase6 7 5 9" xfId="39828"/>
    <cellStyle name="20% - Ênfase6 7 6" xfId="9588"/>
    <cellStyle name="20% - Ênfase6 7 7" xfId="13620"/>
    <cellStyle name="20% - Ênfase6 7 8" xfId="17652"/>
    <cellStyle name="20% - Ênfase6 7 9" xfId="21684"/>
    <cellStyle name="20% - Ênfase6 8" xfId="1964"/>
    <cellStyle name="20% - Ênfase6 8 2" xfId="1965"/>
    <cellStyle name="20% - Ênfase6 9" xfId="1966"/>
    <cellStyle name="20% - Ênfase6 9 2" xfId="1967"/>
    <cellStyle name="40% - Accent1" xfId="456"/>
    <cellStyle name="40% - Accent2" xfId="457"/>
    <cellStyle name="40% - Accent3" xfId="458"/>
    <cellStyle name="40% - Accent4" xfId="459"/>
    <cellStyle name="40% - Accent5" xfId="460"/>
    <cellStyle name="40% - Accent6" xfId="461"/>
    <cellStyle name="40% - Ênfase1 10" xfId="1968"/>
    <cellStyle name="40% - Ênfase1 10 10" xfId="29749"/>
    <cellStyle name="40% - Ênfase1 10 11" xfId="33781"/>
    <cellStyle name="40% - Ênfase1 10 12" xfId="37813"/>
    <cellStyle name="40% - Ênfase1 10 13" xfId="41845"/>
    <cellStyle name="40% - Ênfase1 10 14" xfId="45877"/>
    <cellStyle name="40% - Ênfase1 10 15" xfId="49955"/>
    <cellStyle name="40% - Ênfase1 10 2" xfId="1969"/>
    <cellStyle name="40% - Ênfase1 10 3" xfId="5496"/>
    <cellStyle name="40% - Ênfase1 10 3 10" xfId="38764"/>
    <cellStyle name="40% - Ênfase1 10 3 11" xfId="42796"/>
    <cellStyle name="40% - Ênfase1 10 3 12" xfId="46828"/>
    <cellStyle name="40% - Ênfase1 10 3 13" xfId="50907"/>
    <cellStyle name="40% - Ênfase1 10 3 2" xfId="8522"/>
    <cellStyle name="40% - Ênfase1 10 3 2 10" xfId="44812"/>
    <cellStyle name="40% - Ênfase1 10 3 2 11" xfId="48844"/>
    <cellStyle name="40% - Ênfase1 10 3 2 12" xfId="52923"/>
    <cellStyle name="40% - Ênfase1 10 3 2 2" xfId="12556"/>
    <cellStyle name="40% - Ênfase1 10 3 2 3" xfId="16588"/>
    <cellStyle name="40% - Ênfase1 10 3 2 4" xfId="20620"/>
    <cellStyle name="40% - Ênfase1 10 3 2 5" xfId="24652"/>
    <cellStyle name="40% - Ênfase1 10 3 2 6" xfId="28684"/>
    <cellStyle name="40% - Ênfase1 10 3 2 7" xfId="32716"/>
    <cellStyle name="40% - Ênfase1 10 3 2 8" xfId="36748"/>
    <cellStyle name="40% - Ênfase1 10 3 2 9" xfId="40780"/>
    <cellStyle name="40% - Ênfase1 10 3 3" xfId="10540"/>
    <cellStyle name="40% - Ênfase1 10 3 4" xfId="14572"/>
    <cellStyle name="40% - Ênfase1 10 3 5" xfId="18604"/>
    <cellStyle name="40% - Ênfase1 10 3 6" xfId="22636"/>
    <cellStyle name="40% - Ênfase1 10 3 7" xfId="26668"/>
    <cellStyle name="40% - Ênfase1 10 3 8" xfId="30700"/>
    <cellStyle name="40% - Ênfase1 10 3 9" xfId="34732"/>
    <cellStyle name="40% - Ênfase1 10 4" xfId="7571"/>
    <cellStyle name="40% - Ênfase1 10 4 10" xfId="43861"/>
    <cellStyle name="40% - Ênfase1 10 4 11" xfId="47893"/>
    <cellStyle name="40% - Ênfase1 10 4 12" xfId="51972"/>
    <cellStyle name="40% - Ênfase1 10 4 2" xfId="11605"/>
    <cellStyle name="40% - Ênfase1 10 4 3" xfId="15637"/>
    <cellStyle name="40% - Ênfase1 10 4 4" xfId="19669"/>
    <cellStyle name="40% - Ênfase1 10 4 5" xfId="23701"/>
    <cellStyle name="40% - Ênfase1 10 4 6" xfId="27733"/>
    <cellStyle name="40% - Ênfase1 10 4 7" xfId="31765"/>
    <cellStyle name="40% - Ênfase1 10 4 8" xfId="35797"/>
    <cellStyle name="40% - Ênfase1 10 4 9" xfId="39829"/>
    <cellStyle name="40% - Ênfase1 10 5" xfId="9589"/>
    <cellStyle name="40% - Ênfase1 10 6" xfId="13621"/>
    <cellStyle name="40% - Ênfase1 10 7" xfId="17653"/>
    <cellStyle name="40% - Ênfase1 10 8" xfId="21685"/>
    <cellStyle name="40% - Ênfase1 10 9" xfId="25717"/>
    <cellStyle name="40% - Ênfase1 11" xfId="1970"/>
    <cellStyle name="40% - Ênfase1 11 10" xfId="29750"/>
    <cellStyle name="40% - Ênfase1 11 11" xfId="33782"/>
    <cellStyle name="40% - Ênfase1 11 12" xfId="37814"/>
    <cellStyle name="40% - Ênfase1 11 13" xfId="41846"/>
    <cellStyle name="40% - Ênfase1 11 14" xfId="45878"/>
    <cellStyle name="40% - Ênfase1 11 15" xfId="49956"/>
    <cellStyle name="40% - Ênfase1 11 2" xfId="1971"/>
    <cellStyle name="40% - Ênfase1 11 3" xfId="5497"/>
    <cellStyle name="40% - Ênfase1 11 3 10" xfId="38765"/>
    <cellStyle name="40% - Ênfase1 11 3 11" xfId="42797"/>
    <cellStyle name="40% - Ênfase1 11 3 12" xfId="46829"/>
    <cellStyle name="40% - Ênfase1 11 3 13" xfId="50908"/>
    <cellStyle name="40% - Ênfase1 11 3 2" xfId="8523"/>
    <cellStyle name="40% - Ênfase1 11 3 2 10" xfId="44813"/>
    <cellStyle name="40% - Ênfase1 11 3 2 11" xfId="48845"/>
    <cellStyle name="40% - Ênfase1 11 3 2 12" xfId="52924"/>
    <cellStyle name="40% - Ênfase1 11 3 2 2" xfId="12557"/>
    <cellStyle name="40% - Ênfase1 11 3 2 3" xfId="16589"/>
    <cellStyle name="40% - Ênfase1 11 3 2 4" xfId="20621"/>
    <cellStyle name="40% - Ênfase1 11 3 2 5" xfId="24653"/>
    <cellStyle name="40% - Ênfase1 11 3 2 6" xfId="28685"/>
    <cellStyle name="40% - Ênfase1 11 3 2 7" xfId="32717"/>
    <cellStyle name="40% - Ênfase1 11 3 2 8" xfId="36749"/>
    <cellStyle name="40% - Ênfase1 11 3 2 9" xfId="40781"/>
    <cellStyle name="40% - Ênfase1 11 3 3" xfId="10541"/>
    <cellStyle name="40% - Ênfase1 11 3 4" xfId="14573"/>
    <cellStyle name="40% - Ênfase1 11 3 5" xfId="18605"/>
    <cellStyle name="40% - Ênfase1 11 3 6" xfId="22637"/>
    <cellStyle name="40% - Ênfase1 11 3 7" xfId="26669"/>
    <cellStyle name="40% - Ênfase1 11 3 8" xfId="30701"/>
    <cellStyle name="40% - Ênfase1 11 3 9" xfId="34733"/>
    <cellStyle name="40% - Ênfase1 11 4" xfId="7572"/>
    <cellStyle name="40% - Ênfase1 11 4 10" xfId="43862"/>
    <cellStyle name="40% - Ênfase1 11 4 11" xfId="47894"/>
    <cellStyle name="40% - Ênfase1 11 4 12" xfId="51973"/>
    <cellStyle name="40% - Ênfase1 11 4 2" xfId="11606"/>
    <cellStyle name="40% - Ênfase1 11 4 3" xfId="15638"/>
    <cellStyle name="40% - Ênfase1 11 4 4" xfId="19670"/>
    <cellStyle name="40% - Ênfase1 11 4 5" xfId="23702"/>
    <cellStyle name="40% - Ênfase1 11 4 6" xfId="27734"/>
    <cellStyle name="40% - Ênfase1 11 4 7" xfId="31766"/>
    <cellStyle name="40% - Ênfase1 11 4 8" xfId="35798"/>
    <cellStyle name="40% - Ênfase1 11 4 9" xfId="39830"/>
    <cellStyle name="40% - Ênfase1 11 5" xfId="9590"/>
    <cellStyle name="40% - Ênfase1 11 6" xfId="13622"/>
    <cellStyle name="40% - Ênfase1 11 7" xfId="17654"/>
    <cellStyle name="40% - Ênfase1 11 8" xfId="21686"/>
    <cellStyle name="40% - Ênfase1 11 9" xfId="25718"/>
    <cellStyle name="40% - Ênfase1 12" xfId="1972"/>
    <cellStyle name="40% - Ênfase1 12 10" xfId="29751"/>
    <cellStyle name="40% - Ênfase1 12 11" xfId="33783"/>
    <cellStyle name="40% - Ênfase1 12 12" xfId="37815"/>
    <cellStyle name="40% - Ênfase1 12 13" xfId="41847"/>
    <cellStyle name="40% - Ênfase1 12 14" xfId="45879"/>
    <cellStyle name="40% - Ênfase1 12 15" xfId="49957"/>
    <cellStyle name="40% - Ênfase1 12 2" xfId="1973"/>
    <cellStyle name="40% - Ênfase1 12 3" xfId="5498"/>
    <cellStyle name="40% - Ênfase1 12 3 10" xfId="38766"/>
    <cellStyle name="40% - Ênfase1 12 3 11" xfId="42798"/>
    <cellStyle name="40% - Ênfase1 12 3 12" xfId="46830"/>
    <cellStyle name="40% - Ênfase1 12 3 13" xfId="50909"/>
    <cellStyle name="40% - Ênfase1 12 3 2" xfId="8524"/>
    <cellStyle name="40% - Ênfase1 12 3 2 10" xfId="44814"/>
    <cellStyle name="40% - Ênfase1 12 3 2 11" xfId="48846"/>
    <cellStyle name="40% - Ênfase1 12 3 2 12" xfId="52925"/>
    <cellStyle name="40% - Ênfase1 12 3 2 2" xfId="12558"/>
    <cellStyle name="40% - Ênfase1 12 3 2 3" xfId="16590"/>
    <cellStyle name="40% - Ênfase1 12 3 2 4" xfId="20622"/>
    <cellStyle name="40% - Ênfase1 12 3 2 5" xfId="24654"/>
    <cellStyle name="40% - Ênfase1 12 3 2 6" xfId="28686"/>
    <cellStyle name="40% - Ênfase1 12 3 2 7" xfId="32718"/>
    <cellStyle name="40% - Ênfase1 12 3 2 8" xfId="36750"/>
    <cellStyle name="40% - Ênfase1 12 3 2 9" xfId="40782"/>
    <cellStyle name="40% - Ênfase1 12 3 3" xfId="10542"/>
    <cellStyle name="40% - Ênfase1 12 3 4" xfId="14574"/>
    <cellStyle name="40% - Ênfase1 12 3 5" xfId="18606"/>
    <cellStyle name="40% - Ênfase1 12 3 6" xfId="22638"/>
    <cellStyle name="40% - Ênfase1 12 3 7" xfId="26670"/>
    <cellStyle name="40% - Ênfase1 12 3 8" xfId="30702"/>
    <cellStyle name="40% - Ênfase1 12 3 9" xfId="34734"/>
    <cellStyle name="40% - Ênfase1 12 4" xfId="7573"/>
    <cellStyle name="40% - Ênfase1 12 4 10" xfId="43863"/>
    <cellStyle name="40% - Ênfase1 12 4 11" xfId="47895"/>
    <cellStyle name="40% - Ênfase1 12 4 12" xfId="51974"/>
    <cellStyle name="40% - Ênfase1 12 4 2" xfId="11607"/>
    <cellStyle name="40% - Ênfase1 12 4 3" xfId="15639"/>
    <cellStyle name="40% - Ênfase1 12 4 4" xfId="19671"/>
    <cellStyle name="40% - Ênfase1 12 4 5" xfId="23703"/>
    <cellStyle name="40% - Ênfase1 12 4 6" xfId="27735"/>
    <cellStyle name="40% - Ênfase1 12 4 7" xfId="31767"/>
    <cellStyle name="40% - Ênfase1 12 4 8" xfId="35799"/>
    <cellStyle name="40% - Ênfase1 12 4 9" xfId="39831"/>
    <cellStyle name="40% - Ênfase1 12 5" xfId="9591"/>
    <cellStyle name="40% - Ênfase1 12 6" xfId="13623"/>
    <cellStyle name="40% - Ênfase1 12 7" xfId="17655"/>
    <cellStyle name="40% - Ênfase1 12 8" xfId="21687"/>
    <cellStyle name="40% - Ênfase1 12 9" xfId="25719"/>
    <cellStyle name="40% - Ênfase1 13" xfId="1974"/>
    <cellStyle name="40% - Ênfase1 13 10" xfId="29752"/>
    <cellStyle name="40% - Ênfase1 13 11" xfId="33784"/>
    <cellStyle name="40% - Ênfase1 13 12" xfId="37816"/>
    <cellStyle name="40% - Ênfase1 13 13" xfId="41848"/>
    <cellStyle name="40% - Ênfase1 13 14" xfId="45880"/>
    <cellStyle name="40% - Ênfase1 13 15" xfId="49958"/>
    <cellStyle name="40% - Ênfase1 13 2" xfId="1975"/>
    <cellStyle name="40% - Ênfase1 13 3" xfId="5499"/>
    <cellStyle name="40% - Ênfase1 13 3 10" xfId="38767"/>
    <cellStyle name="40% - Ênfase1 13 3 11" xfId="42799"/>
    <cellStyle name="40% - Ênfase1 13 3 12" xfId="46831"/>
    <cellStyle name="40% - Ênfase1 13 3 13" xfId="50910"/>
    <cellStyle name="40% - Ênfase1 13 3 2" xfId="8525"/>
    <cellStyle name="40% - Ênfase1 13 3 2 10" xfId="44815"/>
    <cellStyle name="40% - Ênfase1 13 3 2 11" xfId="48847"/>
    <cellStyle name="40% - Ênfase1 13 3 2 12" xfId="52926"/>
    <cellStyle name="40% - Ênfase1 13 3 2 2" xfId="12559"/>
    <cellStyle name="40% - Ênfase1 13 3 2 3" xfId="16591"/>
    <cellStyle name="40% - Ênfase1 13 3 2 4" xfId="20623"/>
    <cellStyle name="40% - Ênfase1 13 3 2 5" xfId="24655"/>
    <cellStyle name="40% - Ênfase1 13 3 2 6" xfId="28687"/>
    <cellStyle name="40% - Ênfase1 13 3 2 7" xfId="32719"/>
    <cellStyle name="40% - Ênfase1 13 3 2 8" xfId="36751"/>
    <cellStyle name="40% - Ênfase1 13 3 2 9" xfId="40783"/>
    <cellStyle name="40% - Ênfase1 13 3 3" xfId="10543"/>
    <cellStyle name="40% - Ênfase1 13 3 4" xfId="14575"/>
    <cellStyle name="40% - Ênfase1 13 3 5" xfId="18607"/>
    <cellStyle name="40% - Ênfase1 13 3 6" xfId="22639"/>
    <cellStyle name="40% - Ênfase1 13 3 7" xfId="26671"/>
    <cellStyle name="40% - Ênfase1 13 3 8" xfId="30703"/>
    <cellStyle name="40% - Ênfase1 13 3 9" xfId="34735"/>
    <cellStyle name="40% - Ênfase1 13 4" xfId="7574"/>
    <cellStyle name="40% - Ênfase1 13 4 10" xfId="43864"/>
    <cellStyle name="40% - Ênfase1 13 4 11" xfId="47896"/>
    <cellStyle name="40% - Ênfase1 13 4 12" xfId="51975"/>
    <cellStyle name="40% - Ênfase1 13 4 2" xfId="11608"/>
    <cellStyle name="40% - Ênfase1 13 4 3" xfId="15640"/>
    <cellStyle name="40% - Ênfase1 13 4 4" xfId="19672"/>
    <cellStyle name="40% - Ênfase1 13 4 5" xfId="23704"/>
    <cellStyle name="40% - Ênfase1 13 4 6" xfId="27736"/>
    <cellStyle name="40% - Ênfase1 13 4 7" xfId="31768"/>
    <cellStyle name="40% - Ênfase1 13 4 8" xfId="35800"/>
    <cellStyle name="40% - Ênfase1 13 4 9" xfId="39832"/>
    <cellStyle name="40% - Ênfase1 13 5" xfId="9592"/>
    <cellStyle name="40% - Ênfase1 13 6" xfId="13624"/>
    <cellStyle name="40% - Ênfase1 13 7" xfId="17656"/>
    <cellStyle name="40% - Ênfase1 13 8" xfId="21688"/>
    <cellStyle name="40% - Ênfase1 13 9" xfId="25720"/>
    <cellStyle name="40% - Ênfase1 14 2" xfId="1976"/>
    <cellStyle name="40% - Ênfase1 15 2" xfId="1977"/>
    <cellStyle name="40% - Ênfase1 16 2" xfId="1978"/>
    <cellStyle name="40% - Ênfase1 17 2" xfId="1979"/>
    <cellStyle name="40% - Ênfase1 2" xfId="389"/>
    <cellStyle name="40% - Ênfase1 2 2" xfId="528"/>
    <cellStyle name="40% - Ênfase1 2 2 2" xfId="1981"/>
    <cellStyle name="40% - Ênfase1 2 3" xfId="842"/>
    <cellStyle name="40% - Ênfase1 2 3 2" xfId="1982"/>
    <cellStyle name="40% - Ênfase1 2 4" xfId="1030"/>
    <cellStyle name="40% - Ênfase1 2 5" xfId="1980"/>
    <cellStyle name="40% - Ênfase1 2 5 10" xfId="33785"/>
    <cellStyle name="40% - Ênfase1 2 5 11" xfId="37817"/>
    <cellStyle name="40% - Ênfase1 2 5 12" xfId="41849"/>
    <cellStyle name="40% - Ênfase1 2 5 13" xfId="45881"/>
    <cellStyle name="40% - Ênfase1 2 5 14" xfId="49959"/>
    <cellStyle name="40% - Ênfase1 2 5 2" xfId="5500"/>
    <cellStyle name="40% - Ênfase1 2 5 2 10" xfId="38768"/>
    <cellStyle name="40% - Ênfase1 2 5 2 11" xfId="42800"/>
    <cellStyle name="40% - Ênfase1 2 5 2 12" xfId="46832"/>
    <cellStyle name="40% - Ênfase1 2 5 2 13" xfId="50911"/>
    <cellStyle name="40% - Ênfase1 2 5 2 2" xfId="8526"/>
    <cellStyle name="40% - Ênfase1 2 5 2 2 10" xfId="44816"/>
    <cellStyle name="40% - Ênfase1 2 5 2 2 11" xfId="48848"/>
    <cellStyle name="40% - Ênfase1 2 5 2 2 12" xfId="52927"/>
    <cellStyle name="40% - Ênfase1 2 5 2 2 2" xfId="12560"/>
    <cellStyle name="40% - Ênfase1 2 5 2 2 3" xfId="16592"/>
    <cellStyle name="40% - Ênfase1 2 5 2 2 4" xfId="20624"/>
    <cellStyle name="40% - Ênfase1 2 5 2 2 5" xfId="24656"/>
    <cellStyle name="40% - Ênfase1 2 5 2 2 6" xfId="28688"/>
    <cellStyle name="40% - Ênfase1 2 5 2 2 7" xfId="32720"/>
    <cellStyle name="40% - Ênfase1 2 5 2 2 8" xfId="36752"/>
    <cellStyle name="40% - Ênfase1 2 5 2 2 9" xfId="40784"/>
    <cellStyle name="40% - Ênfase1 2 5 2 3" xfId="10544"/>
    <cellStyle name="40% - Ênfase1 2 5 2 4" xfId="14576"/>
    <cellStyle name="40% - Ênfase1 2 5 2 5" xfId="18608"/>
    <cellStyle name="40% - Ênfase1 2 5 2 6" xfId="22640"/>
    <cellStyle name="40% - Ênfase1 2 5 2 7" xfId="26672"/>
    <cellStyle name="40% - Ênfase1 2 5 2 8" xfId="30704"/>
    <cellStyle name="40% - Ênfase1 2 5 2 9" xfId="34736"/>
    <cellStyle name="40% - Ênfase1 2 5 3" xfId="7575"/>
    <cellStyle name="40% - Ênfase1 2 5 3 10" xfId="43865"/>
    <cellStyle name="40% - Ênfase1 2 5 3 11" xfId="47897"/>
    <cellStyle name="40% - Ênfase1 2 5 3 12" xfId="51976"/>
    <cellStyle name="40% - Ênfase1 2 5 3 2" xfId="11609"/>
    <cellStyle name="40% - Ênfase1 2 5 3 3" xfId="15641"/>
    <cellStyle name="40% - Ênfase1 2 5 3 4" xfId="19673"/>
    <cellStyle name="40% - Ênfase1 2 5 3 5" xfId="23705"/>
    <cellStyle name="40% - Ênfase1 2 5 3 6" xfId="27737"/>
    <cellStyle name="40% - Ênfase1 2 5 3 7" xfId="31769"/>
    <cellStyle name="40% - Ênfase1 2 5 3 8" xfId="35801"/>
    <cellStyle name="40% - Ênfase1 2 5 3 9" xfId="39833"/>
    <cellStyle name="40% - Ênfase1 2 5 4" xfId="9593"/>
    <cellStyle name="40% - Ênfase1 2 5 5" xfId="13625"/>
    <cellStyle name="40% - Ênfase1 2 5 6" xfId="17657"/>
    <cellStyle name="40% - Ênfase1 2 5 7" xfId="21689"/>
    <cellStyle name="40% - Ênfase1 2 5 8" xfId="25721"/>
    <cellStyle name="40% - Ênfase1 2 5 9" xfId="29753"/>
    <cellStyle name="40% - Ênfase1 3" xfId="462"/>
    <cellStyle name="40% - Ênfase1 3 2" xfId="1031"/>
    <cellStyle name="40% - Ênfase1 3 2 10" xfId="29535"/>
    <cellStyle name="40% - Ênfase1 3 2 11" xfId="33567"/>
    <cellStyle name="40% - Ênfase1 3 2 12" xfId="37599"/>
    <cellStyle name="40% - Ênfase1 3 2 13" xfId="41631"/>
    <cellStyle name="40% - Ênfase1 3 2 14" xfId="45663"/>
    <cellStyle name="40% - Ênfase1 3 2 15" xfId="49741"/>
    <cellStyle name="40% - Ênfase1 3 2 2" xfId="1984"/>
    <cellStyle name="40% - Ênfase1 3 2 3" xfId="5041"/>
    <cellStyle name="40% - Ênfase1 3 2 3 10" xfId="38564"/>
    <cellStyle name="40% - Ênfase1 3 2 3 11" xfId="42596"/>
    <cellStyle name="40% - Ênfase1 3 2 3 12" xfId="46628"/>
    <cellStyle name="40% - Ênfase1 3 2 3 13" xfId="50707"/>
    <cellStyle name="40% - Ênfase1 3 2 3 2" xfId="8322"/>
    <cellStyle name="40% - Ênfase1 3 2 3 2 10" xfId="44612"/>
    <cellStyle name="40% - Ênfase1 3 2 3 2 11" xfId="48644"/>
    <cellStyle name="40% - Ênfase1 3 2 3 2 12" xfId="52723"/>
    <cellStyle name="40% - Ênfase1 3 2 3 2 2" xfId="12356"/>
    <cellStyle name="40% - Ênfase1 3 2 3 2 3" xfId="16388"/>
    <cellStyle name="40% - Ênfase1 3 2 3 2 4" xfId="20420"/>
    <cellStyle name="40% - Ênfase1 3 2 3 2 5" xfId="24452"/>
    <cellStyle name="40% - Ênfase1 3 2 3 2 6" xfId="28484"/>
    <cellStyle name="40% - Ênfase1 3 2 3 2 7" xfId="32516"/>
    <cellStyle name="40% - Ênfase1 3 2 3 2 8" xfId="36548"/>
    <cellStyle name="40% - Ênfase1 3 2 3 2 9" xfId="40580"/>
    <cellStyle name="40% - Ênfase1 3 2 3 3" xfId="10340"/>
    <cellStyle name="40% - Ênfase1 3 2 3 4" xfId="14372"/>
    <cellStyle name="40% - Ênfase1 3 2 3 5" xfId="18404"/>
    <cellStyle name="40% - Ênfase1 3 2 3 6" xfId="22436"/>
    <cellStyle name="40% - Ênfase1 3 2 3 7" xfId="26468"/>
    <cellStyle name="40% - Ênfase1 3 2 3 8" xfId="30500"/>
    <cellStyle name="40% - Ênfase1 3 2 3 9" xfId="34532"/>
    <cellStyle name="40% - Ênfase1 3 2 4" xfId="7357"/>
    <cellStyle name="40% - Ênfase1 3 2 4 10" xfId="43647"/>
    <cellStyle name="40% - Ênfase1 3 2 4 11" xfId="47679"/>
    <cellStyle name="40% - Ênfase1 3 2 4 12" xfId="51758"/>
    <cellStyle name="40% - Ênfase1 3 2 4 2" xfId="11391"/>
    <cellStyle name="40% - Ênfase1 3 2 4 3" xfId="15423"/>
    <cellStyle name="40% - Ênfase1 3 2 4 4" xfId="19455"/>
    <cellStyle name="40% - Ênfase1 3 2 4 5" xfId="23487"/>
    <cellStyle name="40% - Ênfase1 3 2 4 6" xfId="27519"/>
    <cellStyle name="40% - Ênfase1 3 2 4 7" xfId="31551"/>
    <cellStyle name="40% - Ênfase1 3 2 4 8" xfId="35583"/>
    <cellStyle name="40% - Ênfase1 3 2 4 9" xfId="39615"/>
    <cellStyle name="40% - Ênfase1 3 2 5" xfId="9375"/>
    <cellStyle name="40% - Ênfase1 3 2 6" xfId="13407"/>
    <cellStyle name="40% - Ênfase1 3 2 7" xfId="17439"/>
    <cellStyle name="40% - Ênfase1 3 2 8" xfId="21471"/>
    <cellStyle name="40% - Ênfase1 3 2 9" xfId="25503"/>
    <cellStyle name="40% - Ênfase1 3 3" xfId="1985"/>
    <cellStyle name="40% - Ênfase1 3 4" xfId="1983"/>
    <cellStyle name="40% - Ênfase1 3 4 10" xfId="33786"/>
    <cellStyle name="40% - Ênfase1 3 4 11" xfId="37818"/>
    <cellStyle name="40% - Ênfase1 3 4 12" xfId="41850"/>
    <cellStyle name="40% - Ênfase1 3 4 13" xfId="45882"/>
    <cellStyle name="40% - Ênfase1 3 4 14" xfId="49960"/>
    <cellStyle name="40% - Ênfase1 3 4 2" xfId="5501"/>
    <cellStyle name="40% - Ênfase1 3 4 2 10" xfId="38769"/>
    <cellStyle name="40% - Ênfase1 3 4 2 11" xfId="42801"/>
    <cellStyle name="40% - Ênfase1 3 4 2 12" xfId="46833"/>
    <cellStyle name="40% - Ênfase1 3 4 2 13" xfId="50912"/>
    <cellStyle name="40% - Ênfase1 3 4 2 2" xfId="8527"/>
    <cellStyle name="40% - Ênfase1 3 4 2 2 10" xfId="44817"/>
    <cellStyle name="40% - Ênfase1 3 4 2 2 11" xfId="48849"/>
    <cellStyle name="40% - Ênfase1 3 4 2 2 12" xfId="52928"/>
    <cellStyle name="40% - Ênfase1 3 4 2 2 2" xfId="12561"/>
    <cellStyle name="40% - Ênfase1 3 4 2 2 3" xfId="16593"/>
    <cellStyle name="40% - Ênfase1 3 4 2 2 4" xfId="20625"/>
    <cellStyle name="40% - Ênfase1 3 4 2 2 5" xfId="24657"/>
    <cellStyle name="40% - Ênfase1 3 4 2 2 6" xfId="28689"/>
    <cellStyle name="40% - Ênfase1 3 4 2 2 7" xfId="32721"/>
    <cellStyle name="40% - Ênfase1 3 4 2 2 8" xfId="36753"/>
    <cellStyle name="40% - Ênfase1 3 4 2 2 9" xfId="40785"/>
    <cellStyle name="40% - Ênfase1 3 4 2 3" xfId="10545"/>
    <cellStyle name="40% - Ênfase1 3 4 2 4" xfId="14577"/>
    <cellStyle name="40% - Ênfase1 3 4 2 5" xfId="18609"/>
    <cellStyle name="40% - Ênfase1 3 4 2 6" xfId="22641"/>
    <cellStyle name="40% - Ênfase1 3 4 2 7" xfId="26673"/>
    <cellStyle name="40% - Ênfase1 3 4 2 8" xfId="30705"/>
    <cellStyle name="40% - Ênfase1 3 4 2 9" xfId="34737"/>
    <cellStyle name="40% - Ênfase1 3 4 3" xfId="7576"/>
    <cellStyle name="40% - Ênfase1 3 4 3 10" xfId="43866"/>
    <cellStyle name="40% - Ênfase1 3 4 3 11" xfId="47898"/>
    <cellStyle name="40% - Ênfase1 3 4 3 12" xfId="51977"/>
    <cellStyle name="40% - Ênfase1 3 4 3 2" xfId="11610"/>
    <cellStyle name="40% - Ênfase1 3 4 3 3" xfId="15642"/>
    <cellStyle name="40% - Ênfase1 3 4 3 4" xfId="19674"/>
    <cellStyle name="40% - Ênfase1 3 4 3 5" xfId="23706"/>
    <cellStyle name="40% - Ênfase1 3 4 3 6" xfId="27738"/>
    <cellStyle name="40% - Ênfase1 3 4 3 7" xfId="31770"/>
    <cellStyle name="40% - Ênfase1 3 4 3 8" xfId="35802"/>
    <cellStyle name="40% - Ênfase1 3 4 3 9" xfId="39834"/>
    <cellStyle name="40% - Ênfase1 3 4 4" xfId="9594"/>
    <cellStyle name="40% - Ênfase1 3 4 5" xfId="13626"/>
    <cellStyle name="40% - Ênfase1 3 4 6" xfId="17658"/>
    <cellStyle name="40% - Ênfase1 3 4 7" xfId="21690"/>
    <cellStyle name="40% - Ênfase1 3 4 8" xfId="25722"/>
    <cellStyle name="40% - Ênfase1 3 4 9" xfId="29754"/>
    <cellStyle name="40% - Ênfase1 4" xfId="1131"/>
    <cellStyle name="40% - Ênfase1 4 2" xfId="1987"/>
    <cellStyle name="40% - Ênfase1 4 3" xfId="1988"/>
    <cellStyle name="40% - Ênfase1 4 4" xfId="1986"/>
    <cellStyle name="40% - Ênfase1 4 4 10" xfId="33787"/>
    <cellStyle name="40% - Ênfase1 4 4 11" xfId="37819"/>
    <cellStyle name="40% - Ênfase1 4 4 12" xfId="41851"/>
    <cellStyle name="40% - Ênfase1 4 4 13" xfId="45883"/>
    <cellStyle name="40% - Ênfase1 4 4 14" xfId="49961"/>
    <cellStyle name="40% - Ênfase1 4 4 2" xfId="5502"/>
    <cellStyle name="40% - Ênfase1 4 4 2 10" xfId="38770"/>
    <cellStyle name="40% - Ênfase1 4 4 2 11" xfId="42802"/>
    <cellStyle name="40% - Ênfase1 4 4 2 12" xfId="46834"/>
    <cellStyle name="40% - Ênfase1 4 4 2 13" xfId="50913"/>
    <cellStyle name="40% - Ênfase1 4 4 2 2" xfId="8528"/>
    <cellStyle name="40% - Ênfase1 4 4 2 2 10" xfId="44818"/>
    <cellStyle name="40% - Ênfase1 4 4 2 2 11" xfId="48850"/>
    <cellStyle name="40% - Ênfase1 4 4 2 2 12" xfId="52929"/>
    <cellStyle name="40% - Ênfase1 4 4 2 2 2" xfId="12562"/>
    <cellStyle name="40% - Ênfase1 4 4 2 2 3" xfId="16594"/>
    <cellStyle name="40% - Ênfase1 4 4 2 2 4" xfId="20626"/>
    <cellStyle name="40% - Ênfase1 4 4 2 2 5" xfId="24658"/>
    <cellStyle name="40% - Ênfase1 4 4 2 2 6" xfId="28690"/>
    <cellStyle name="40% - Ênfase1 4 4 2 2 7" xfId="32722"/>
    <cellStyle name="40% - Ênfase1 4 4 2 2 8" xfId="36754"/>
    <cellStyle name="40% - Ênfase1 4 4 2 2 9" xfId="40786"/>
    <cellStyle name="40% - Ênfase1 4 4 2 3" xfId="10546"/>
    <cellStyle name="40% - Ênfase1 4 4 2 4" xfId="14578"/>
    <cellStyle name="40% - Ênfase1 4 4 2 5" xfId="18610"/>
    <cellStyle name="40% - Ênfase1 4 4 2 6" xfId="22642"/>
    <cellStyle name="40% - Ênfase1 4 4 2 7" xfId="26674"/>
    <cellStyle name="40% - Ênfase1 4 4 2 8" xfId="30706"/>
    <cellStyle name="40% - Ênfase1 4 4 2 9" xfId="34738"/>
    <cellStyle name="40% - Ênfase1 4 4 3" xfId="7577"/>
    <cellStyle name="40% - Ênfase1 4 4 3 10" xfId="43867"/>
    <cellStyle name="40% - Ênfase1 4 4 3 11" xfId="47899"/>
    <cellStyle name="40% - Ênfase1 4 4 3 12" xfId="51978"/>
    <cellStyle name="40% - Ênfase1 4 4 3 2" xfId="11611"/>
    <cellStyle name="40% - Ênfase1 4 4 3 3" xfId="15643"/>
    <cellStyle name="40% - Ênfase1 4 4 3 4" xfId="19675"/>
    <cellStyle name="40% - Ênfase1 4 4 3 5" xfId="23707"/>
    <cellStyle name="40% - Ênfase1 4 4 3 6" xfId="27739"/>
    <cellStyle name="40% - Ênfase1 4 4 3 7" xfId="31771"/>
    <cellStyle name="40% - Ênfase1 4 4 3 8" xfId="35803"/>
    <cellStyle name="40% - Ênfase1 4 4 3 9" xfId="39835"/>
    <cellStyle name="40% - Ênfase1 4 4 4" xfId="9595"/>
    <cellStyle name="40% - Ênfase1 4 4 5" xfId="13627"/>
    <cellStyle name="40% - Ênfase1 4 4 6" xfId="17659"/>
    <cellStyle name="40% - Ênfase1 4 4 7" xfId="21691"/>
    <cellStyle name="40% - Ênfase1 4 4 8" xfId="25723"/>
    <cellStyle name="40% - Ênfase1 4 4 9" xfId="29755"/>
    <cellStyle name="40% - Ênfase1 5" xfId="1175"/>
    <cellStyle name="40% - Ênfase1 5 2" xfId="1990"/>
    <cellStyle name="40% - Ênfase1 5 3" xfId="1991"/>
    <cellStyle name="40% - Ênfase1 5 4" xfId="1989"/>
    <cellStyle name="40% - Ênfase1 5 4 10" xfId="33788"/>
    <cellStyle name="40% - Ênfase1 5 4 11" xfId="37820"/>
    <cellStyle name="40% - Ênfase1 5 4 12" xfId="41852"/>
    <cellStyle name="40% - Ênfase1 5 4 13" xfId="45884"/>
    <cellStyle name="40% - Ênfase1 5 4 14" xfId="49962"/>
    <cellStyle name="40% - Ênfase1 5 4 2" xfId="5503"/>
    <cellStyle name="40% - Ênfase1 5 4 2 10" xfId="38771"/>
    <cellStyle name="40% - Ênfase1 5 4 2 11" xfId="42803"/>
    <cellStyle name="40% - Ênfase1 5 4 2 12" xfId="46835"/>
    <cellStyle name="40% - Ênfase1 5 4 2 13" xfId="50914"/>
    <cellStyle name="40% - Ênfase1 5 4 2 2" xfId="8529"/>
    <cellStyle name="40% - Ênfase1 5 4 2 2 10" xfId="44819"/>
    <cellStyle name="40% - Ênfase1 5 4 2 2 11" xfId="48851"/>
    <cellStyle name="40% - Ênfase1 5 4 2 2 12" xfId="52930"/>
    <cellStyle name="40% - Ênfase1 5 4 2 2 2" xfId="12563"/>
    <cellStyle name="40% - Ênfase1 5 4 2 2 3" xfId="16595"/>
    <cellStyle name="40% - Ênfase1 5 4 2 2 4" xfId="20627"/>
    <cellStyle name="40% - Ênfase1 5 4 2 2 5" xfId="24659"/>
    <cellStyle name="40% - Ênfase1 5 4 2 2 6" xfId="28691"/>
    <cellStyle name="40% - Ênfase1 5 4 2 2 7" xfId="32723"/>
    <cellStyle name="40% - Ênfase1 5 4 2 2 8" xfId="36755"/>
    <cellStyle name="40% - Ênfase1 5 4 2 2 9" xfId="40787"/>
    <cellStyle name="40% - Ênfase1 5 4 2 3" xfId="10547"/>
    <cellStyle name="40% - Ênfase1 5 4 2 4" xfId="14579"/>
    <cellStyle name="40% - Ênfase1 5 4 2 5" xfId="18611"/>
    <cellStyle name="40% - Ênfase1 5 4 2 6" xfId="22643"/>
    <cellStyle name="40% - Ênfase1 5 4 2 7" xfId="26675"/>
    <cellStyle name="40% - Ênfase1 5 4 2 8" xfId="30707"/>
    <cellStyle name="40% - Ênfase1 5 4 2 9" xfId="34739"/>
    <cellStyle name="40% - Ênfase1 5 4 3" xfId="7578"/>
    <cellStyle name="40% - Ênfase1 5 4 3 10" xfId="43868"/>
    <cellStyle name="40% - Ênfase1 5 4 3 11" xfId="47900"/>
    <cellStyle name="40% - Ênfase1 5 4 3 12" xfId="51979"/>
    <cellStyle name="40% - Ênfase1 5 4 3 2" xfId="11612"/>
    <cellStyle name="40% - Ênfase1 5 4 3 3" xfId="15644"/>
    <cellStyle name="40% - Ênfase1 5 4 3 4" xfId="19676"/>
    <cellStyle name="40% - Ênfase1 5 4 3 5" xfId="23708"/>
    <cellStyle name="40% - Ênfase1 5 4 3 6" xfId="27740"/>
    <cellStyle name="40% - Ênfase1 5 4 3 7" xfId="31772"/>
    <cellStyle name="40% - Ênfase1 5 4 3 8" xfId="35804"/>
    <cellStyle name="40% - Ênfase1 5 4 3 9" xfId="39836"/>
    <cellStyle name="40% - Ênfase1 5 4 4" xfId="9596"/>
    <cellStyle name="40% - Ênfase1 5 4 5" xfId="13628"/>
    <cellStyle name="40% - Ênfase1 5 4 6" xfId="17660"/>
    <cellStyle name="40% - Ênfase1 5 4 7" xfId="21692"/>
    <cellStyle name="40% - Ênfase1 5 4 8" xfId="25724"/>
    <cellStyle name="40% - Ênfase1 5 4 9" xfId="29756"/>
    <cellStyle name="40% - Ênfase1 6" xfId="1192"/>
    <cellStyle name="40% - Ênfase1 6 2" xfId="1993"/>
    <cellStyle name="40% - Ênfase1 6 3" xfId="1994"/>
    <cellStyle name="40% - Ênfase1 6 4" xfId="1992"/>
    <cellStyle name="40% - Ênfase1 6 4 10" xfId="33789"/>
    <cellStyle name="40% - Ênfase1 6 4 11" xfId="37821"/>
    <cellStyle name="40% - Ênfase1 6 4 12" xfId="41853"/>
    <cellStyle name="40% - Ênfase1 6 4 13" xfId="45885"/>
    <cellStyle name="40% - Ênfase1 6 4 14" xfId="49963"/>
    <cellStyle name="40% - Ênfase1 6 4 2" xfId="5504"/>
    <cellStyle name="40% - Ênfase1 6 4 2 10" xfId="38772"/>
    <cellStyle name="40% - Ênfase1 6 4 2 11" xfId="42804"/>
    <cellStyle name="40% - Ênfase1 6 4 2 12" xfId="46836"/>
    <cellStyle name="40% - Ênfase1 6 4 2 13" xfId="50915"/>
    <cellStyle name="40% - Ênfase1 6 4 2 2" xfId="8530"/>
    <cellStyle name="40% - Ênfase1 6 4 2 2 10" xfId="44820"/>
    <cellStyle name="40% - Ênfase1 6 4 2 2 11" xfId="48852"/>
    <cellStyle name="40% - Ênfase1 6 4 2 2 12" xfId="52931"/>
    <cellStyle name="40% - Ênfase1 6 4 2 2 2" xfId="12564"/>
    <cellStyle name="40% - Ênfase1 6 4 2 2 3" xfId="16596"/>
    <cellStyle name="40% - Ênfase1 6 4 2 2 4" xfId="20628"/>
    <cellStyle name="40% - Ênfase1 6 4 2 2 5" xfId="24660"/>
    <cellStyle name="40% - Ênfase1 6 4 2 2 6" xfId="28692"/>
    <cellStyle name="40% - Ênfase1 6 4 2 2 7" xfId="32724"/>
    <cellStyle name="40% - Ênfase1 6 4 2 2 8" xfId="36756"/>
    <cellStyle name="40% - Ênfase1 6 4 2 2 9" xfId="40788"/>
    <cellStyle name="40% - Ênfase1 6 4 2 3" xfId="10548"/>
    <cellStyle name="40% - Ênfase1 6 4 2 4" xfId="14580"/>
    <cellStyle name="40% - Ênfase1 6 4 2 5" xfId="18612"/>
    <cellStyle name="40% - Ênfase1 6 4 2 6" xfId="22644"/>
    <cellStyle name="40% - Ênfase1 6 4 2 7" xfId="26676"/>
    <cellStyle name="40% - Ênfase1 6 4 2 8" xfId="30708"/>
    <cellStyle name="40% - Ênfase1 6 4 2 9" xfId="34740"/>
    <cellStyle name="40% - Ênfase1 6 4 3" xfId="7579"/>
    <cellStyle name="40% - Ênfase1 6 4 3 10" xfId="43869"/>
    <cellStyle name="40% - Ênfase1 6 4 3 11" xfId="47901"/>
    <cellStyle name="40% - Ênfase1 6 4 3 12" xfId="51980"/>
    <cellStyle name="40% - Ênfase1 6 4 3 2" xfId="11613"/>
    <cellStyle name="40% - Ênfase1 6 4 3 3" xfId="15645"/>
    <cellStyle name="40% - Ênfase1 6 4 3 4" xfId="19677"/>
    <cellStyle name="40% - Ênfase1 6 4 3 5" xfId="23709"/>
    <cellStyle name="40% - Ênfase1 6 4 3 6" xfId="27741"/>
    <cellStyle name="40% - Ênfase1 6 4 3 7" xfId="31773"/>
    <cellStyle name="40% - Ênfase1 6 4 3 8" xfId="35805"/>
    <cellStyle name="40% - Ênfase1 6 4 3 9" xfId="39837"/>
    <cellStyle name="40% - Ênfase1 6 4 4" xfId="9597"/>
    <cellStyle name="40% - Ênfase1 6 4 5" xfId="13629"/>
    <cellStyle name="40% - Ênfase1 6 4 6" xfId="17661"/>
    <cellStyle name="40% - Ênfase1 6 4 7" xfId="21693"/>
    <cellStyle name="40% - Ênfase1 6 4 8" xfId="25725"/>
    <cellStyle name="40% - Ênfase1 6 4 9" xfId="29757"/>
    <cellStyle name="40% - Ênfase1 7" xfId="1995"/>
    <cellStyle name="40% - Ênfase1 7 10" xfId="25726"/>
    <cellStyle name="40% - Ênfase1 7 11" xfId="29758"/>
    <cellStyle name="40% - Ênfase1 7 12" xfId="33790"/>
    <cellStyle name="40% - Ênfase1 7 13" xfId="37822"/>
    <cellStyle name="40% - Ênfase1 7 14" xfId="41854"/>
    <cellStyle name="40% - Ênfase1 7 15" xfId="45886"/>
    <cellStyle name="40% - Ênfase1 7 16" xfId="49964"/>
    <cellStyle name="40% - Ênfase1 7 2" xfId="1996"/>
    <cellStyle name="40% - Ênfase1 7 3" xfId="1997"/>
    <cellStyle name="40% - Ênfase1 7 4" xfId="5505"/>
    <cellStyle name="40% - Ênfase1 7 4 10" xfId="38773"/>
    <cellStyle name="40% - Ênfase1 7 4 11" xfId="42805"/>
    <cellStyle name="40% - Ênfase1 7 4 12" xfId="46837"/>
    <cellStyle name="40% - Ênfase1 7 4 13" xfId="50916"/>
    <cellStyle name="40% - Ênfase1 7 4 2" xfId="8531"/>
    <cellStyle name="40% - Ênfase1 7 4 2 10" xfId="44821"/>
    <cellStyle name="40% - Ênfase1 7 4 2 11" xfId="48853"/>
    <cellStyle name="40% - Ênfase1 7 4 2 12" xfId="52932"/>
    <cellStyle name="40% - Ênfase1 7 4 2 2" xfId="12565"/>
    <cellStyle name="40% - Ênfase1 7 4 2 3" xfId="16597"/>
    <cellStyle name="40% - Ênfase1 7 4 2 4" xfId="20629"/>
    <cellStyle name="40% - Ênfase1 7 4 2 5" xfId="24661"/>
    <cellStyle name="40% - Ênfase1 7 4 2 6" xfId="28693"/>
    <cellStyle name="40% - Ênfase1 7 4 2 7" xfId="32725"/>
    <cellStyle name="40% - Ênfase1 7 4 2 8" xfId="36757"/>
    <cellStyle name="40% - Ênfase1 7 4 2 9" xfId="40789"/>
    <cellStyle name="40% - Ênfase1 7 4 3" xfId="10549"/>
    <cellStyle name="40% - Ênfase1 7 4 4" xfId="14581"/>
    <cellStyle name="40% - Ênfase1 7 4 5" xfId="18613"/>
    <cellStyle name="40% - Ênfase1 7 4 6" xfId="22645"/>
    <cellStyle name="40% - Ênfase1 7 4 7" xfId="26677"/>
    <cellStyle name="40% - Ênfase1 7 4 8" xfId="30709"/>
    <cellStyle name="40% - Ênfase1 7 4 9" xfId="34741"/>
    <cellStyle name="40% - Ênfase1 7 5" xfId="7580"/>
    <cellStyle name="40% - Ênfase1 7 5 10" xfId="43870"/>
    <cellStyle name="40% - Ênfase1 7 5 11" xfId="47902"/>
    <cellStyle name="40% - Ênfase1 7 5 12" xfId="51981"/>
    <cellStyle name="40% - Ênfase1 7 5 2" xfId="11614"/>
    <cellStyle name="40% - Ênfase1 7 5 3" xfId="15646"/>
    <cellStyle name="40% - Ênfase1 7 5 4" xfId="19678"/>
    <cellStyle name="40% - Ênfase1 7 5 5" xfId="23710"/>
    <cellStyle name="40% - Ênfase1 7 5 6" xfId="27742"/>
    <cellStyle name="40% - Ênfase1 7 5 7" xfId="31774"/>
    <cellStyle name="40% - Ênfase1 7 5 8" xfId="35806"/>
    <cellStyle name="40% - Ênfase1 7 5 9" xfId="39838"/>
    <cellStyle name="40% - Ênfase1 7 6" xfId="9598"/>
    <cellStyle name="40% - Ênfase1 7 7" xfId="13630"/>
    <cellStyle name="40% - Ênfase1 7 8" xfId="17662"/>
    <cellStyle name="40% - Ênfase1 7 9" xfId="21694"/>
    <cellStyle name="40% - Ênfase1 8" xfId="1998"/>
    <cellStyle name="40% - Ênfase1 8 2" xfId="1999"/>
    <cellStyle name="40% - Ênfase1 9" xfId="2000"/>
    <cellStyle name="40% - Ênfase1 9 2" xfId="2001"/>
    <cellStyle name="40% - Ênfase2 10" xfId="2002"/>
    <cellStyle name="40% - Ênfase2 10 10" xfId="29759"/>
    <cellStyle name="40% - Ênfase2 10 11" xfId="33791"/>
    <cellStyle name="40% - Ênfase2 10 12" xfId="37823"/>
    <cellStyle name="40% - Ênfase2 10 13" xfId="41855"/>
    <cellStyle name="40% - Ênfase2 10 14" xfId="45887"/>
    <cellStyle name="40% - Ênfase2 10 15" xfId="49965"/>
    <cellStyle name="40% - Ênfase2 10 2" xfId="2003"/>
    <cellStyle name="40% - Ênfase2 10 3" xfId="5506"/>
    <cellStyle name="40% - Ênfase2 10 3 10" xfId="38774"/>
    <cellStyle name="40% - Ênfase2 10 3 11" xfId="42806"/>
    <cellStyle name="40% - Ênfase2 10 3 12" xfId="46838"/>
    <cellStyle name="40% - Ênfase2 10 3 13" xfId="50917"/>
    <cellStyle name="40% - Ênfase2 10 3 2" xfId="8532"/>
    <cellStyle name="40% - Ênfase2 10 3 2 10" xfId="44822"/>
    <cellStyle name="40% - Ênfase2 10 3 2 11" xfId="48854"/>
    <cellStyle name="40% - Ênfase2 10 3 2 12" xfId="52933"/>
    <cellStyle name="40% - Ênfase2 10 3 2 2" xfId="12566"/>
    <cellStyle name="40% - Ênfase2 10 3 2 3" xfId="16598"/>
    <cellStyle name="40% - Ênfase2 10 3 2 4" xfId="20630"/>
    <cellStyle name="40% - Ênfase2 10 3 2 5" xfId="24662"/>
    <cellStyle name="40% - Ênfase2 10 3 2 6" xfId="28694"/>
    <cellStyle name="40% - Ênfase2 10 3 2 7" xfId="32726"/>
    <cellStyle name="40% - Ênfase2 10 3 2 8" xfId="36758"/>
    <cellStyle name="40% - Ênfase2 10 3 2 9" xfId="40790"/>
    <cellStyle name="40% - Ênfase2 10 3 3" xfId="10550"/>
    <cellStyle name="40% - Ênfase2 10 3 4" xfId="14582"/>
    <cellStyle name="40% - Ênfase2 10 3 5" xfId="18614"/>
    <cellStyle name="40% - Ênfase2 10 3 6" xfId="22646"/>
    <cellStyle name="40% - Ênfase2 10 3 7" xfId="26678"/>
    <cellStyle name="40% - Ênfase2 10 3 8" xfId="30710"/>
    <cellStyle name="40% - Ênfase2 10 3 9" xfId="34742"/>
    <cellStyle name="40% - Ênfase2 10 4" xfId="7581"/>
    <cellStyle name="40% - Ênfase2 10 4 10" xfId="43871"/>
    <cellStyle name="40% - Ênfase2 10 4 11" xfId="47903"/>
    <cellStyle name="40% - Ênfase2 10 4 12" xfId="51982"/>
    <cellStyle name="40% - Ênfase2 10 4 2" xfId="11615"/>
    <cellStyle name="40% - Ênfase2 10 4 3" xfId="15647"/>
    <cellStyle name="40% - Ênfase2 10 4 4" xfId="19679"/>
    <cellStyle name="40% - Ênfase2 10 4 5" xfId="23711"/>
    <cellStyle name="40% - Ênfase2 10 4 6" xfId="27743"/>
    <cellStyle name="40% - Ênfase2 10 4 7" xfId="31775"/>
    <cellStyle name="40% - Ênfase2 10 4 8" xfId="35807"/>
    <cellStyle name="40% - Ênfase2 10 4 9" xfId="39839"/>
    <cellStyle name="40% - Ênfase2 10 5" xfId="9599"/>
    <cellStyle name="40% - Ênfase2 10 6" xfId="13631"/>
    <cellStyle name="40% - Ênfase2 10 7" xfId="17663"/>
    <cellStyle name="40% - Ênfase2 10 8" xfId="21695"/>
    <cellStyle name="40% - Ênfase2 10 9" xfId="25727"/>
    <cellStyle name="40% - Ênfase2 11" xfId="2004"/>
    <cellStyle name="40% - Ênfase2 11 10" xfId="29760"/>
    <cellStyle name="40% - Ênfase2 11 11" xfId="33792"/>
    <cellStyle name="40% - Ênfase2 11 12" xfId="37824"/>
    <cellStyle name="40% - Ênfase2 11 13" xfId="41856"/>
    <cellStyle name="40% - Ênfase2 11 14" xfId="45888"/>
    <cellStyle name="40% - Ênfase2 11 15" xfId="49966"/>
    <cellStyle name="40% - Ênfase2 11 2" xfId="2005"/>
    <cellStyle name="40% - Ênfase2 11 3" xfId="5507"/>
    <cellStyle name="40% - Ênfase2 11 3 10" xfId="38775"/>
    <cellStyle name="40% - Ênfase2 11 3 11" xfId="42807"/>
    <cellStyle name="40% - Ênfase2 11 3 12" xfId="46839"/>
    <cellStyle name="40% - Ênfase2 11 3 13" xfId="50918"/>
    <cellStyle name="40% - Ênfase2 11 3 2" xfId="8533"/>
    <cellStyle name="40% - Ênfase2 11 3 2 10" xfId="44823"/>
    <cellStyle name="40% - Ênfase2 11 3 2 11" xfId="48855"/>
    <cellStyle name="40% - Ênfase2 11 3 2 12" xfId="52934"/>
    <cellStyle name="40% - Ênfase2 11 3 2 2" xfId="12567"/>
    <cellStyle name="40% - Ênfase2 11 3 2 3" xfId="16599"/>
    <cellStyle name="40% - Ênfase2 11 3 2 4" xfId="20631"/>
    <cellStyle name="40% - Ênfase2 11 3 2 5" xfId="24663"/>
    <cellStyle name="40% - Ênfase2 11 3 2 6" xfId="28695"/>
    <cellStyle name="40% - Ênfase2 11 3 2 7" xfId="32727"/>
    <cellStyle name="40% - Ênfase2 11 3 2 8" xfId="36759"/>
    <cellStyle name="40% - Ênfase2 11 3 2 9" xfId="40791"/>
    <cellStyle name="40% - Ênfase2 11 3 3" xfId="10551"/>
    <cellStyle name="40% - Ênfase2 11 3 4" xfId="14583"/>
    <cellStyle name="40% - Ênfase2 11 3 5" xfId="18615"/>
    <cellStyle name="40% - Ênfase2 11 3 6" xfId="22647"/>
    <cellStyle name="40% - Ênfase2 11 3 7" xfId="26679"/>
    <cellStyle name="40% - Ênfase2 11 3 8" xfId="30711"/>
    <cellStyle name="40% - Ênfase2 11 3 9" xfId="34743"/>
    <cellStyle name="40% - Ênfase2 11 4" xfId="7582"/>
    <cellStyle name="40% - Ênfase2 11 4 10" xfId="43872"/>
    <cellStyle name="40% - Ênfase2 11 4 11" xfId="47904"/>
    <cellStyle name="40% - Ênfase2 11 4 12" xfId="51983"/>
    <cellStyle name="40% - Ênfase2 11 4 2" xfId="11616"/>
    <cellStyle name="40% - Ênfase2 11 4 3" xfId="15648"/>
    <cellStyle name="40% - Ênfase2 11 4 4" xfId="19680"/>
    <cellStyle name="40% - Ênfase2 11 4 5" xfId="23712"/>
    <cellStyle name="40% - Ênfase2 11 4 6" xfId="27744"/>
    <cellStyle name="40% - Ênfase2 11 4 7" xfId="31776"/>
    <cellStyle name="40% - Ênfase2 11 4 8" xfId="35808"/>
    <cellStyle name="40% - Ênfase2 11 4 9" xfId="39840"/>
    <cellStyle name="40% - Ênfase2 11 5" xfId="9600"/>
    <cellStyle name="40% - Ênfase2 11 6" xfId="13632"/>
    <cellStyle name="40% - Ênfase2 11 7" xfId="17664"/>
    <cellStyle name="40% - Ênfase2 11 8" xfId="21696"/>
    <cellStyle name="40% - Ênfase2 11 9" xfId="25728"/>
    <cellStyle name="40% - Ênfase2 12" xfId="2006"/>
    <cellStyle name="40% - Ênfase2 12 10" xfId="29761"/>
    <cellStyle name="40% - Ênfase2 12 11" xfId="33793"/>
    <cellStyle name="40% - Ênfase2 12 12" xfId="37825"/>
    <cellStyle name="40% - Ênfase2 12 13" xfId="41857"/>
    <cellStyle name="40% - Ênfase2 12 14" xfId="45889"/>
    <cellStyle name="40% - Ênfase2 12 15" xfId="49967"/>
    <cellStyle name="40% - Ênfase2 12 2" xfId="2007"/>
    <cellStyle name="40% - Ênfase2 12 3" xfId="5508"/>
    <cellStyle name="40% - Ênfase2 12 3 10" xfId="38776"/>
    <cellStyle name="40% - Ênfase2 12 3 11" xfId="42808"/>
    <cellStyle name="40% - Ênfase2 12 3 12" xfId="46840"/>
    <cellStyle name="40% - Ênfase2 12 3 13" xfId="50919"/>
    <cellStyle name="40% - Ênfase2 12 3 2" xfId="8534"/>
    <cellStyle name="40% - Ênfase2 12 3 2 10" xfId="44824"/>
    <cellStyle name="40% - Ênfase2 12 3 2 11" xfId="48856"/>
    <cellStyle name="40% - Ênfase2 12 3 2 12" xfId="52935"/>
    <cellStyle name="40% - Ênfase2 12 3 2 2" xfId="12568"/>
    <cellStyle name="40% - Ênfase2 12 3 2 3" xfId="16600"/>
    <cellStyle name="40% - Ênfase2 12 3 2 4" xfId="20632"/>
    <cellStyle name="40% - Ênfase2 12 3 2 5" xfId="24664"/>
    <cellStyle name="40% - Ênfase2 12 3 2 6" xfId="28696"/>
    <cellStyle name="40% - Ênfase2 12 3 2 7" xfId="32728"/>
    <cellStyle name="40% - Ênfase2 12 3 2 8" xfId="36760"/>
    <cellStyle name="40% - Ênfase2 12 3 2 9" xfId="40792"/>
    <cellStyle name="40% - Ênfase2 12 3 3" xfId="10552"/>
    <cellStyle name="40% - Ênfase2 12 3 4" xfId="14584"/>
    <cellStyle name="40% - Ênfase2 12 3 5" xfId="18616"/>
    <cellStyle name="40% - Ênfase2 12 3 6" xfId="22648"/>
    <cellStyle name="40% - Ênfase2 12 3 7" xfId="26680"/>
    <cellStyle name="40% - Ênfase2 12 3 8" xfId="30712"/>
    <cellStyle name="40% - Ênfase2 12 3 9" xfId="34744"/>
    <cellStyle name="40% - Ênfase2 12 4" xfId="7583"/>
    <cellStyle name="40% - Ênfase2 12 4 10" xfId="43873"/>
    <cellStyle name="40% - Ênfase2 12 4 11" xfId="47905"/>
    <cellStyle name="40% - Ênfase2 12 4 12" xfId="51984"/>
    <cellStyle name="40% - Ênfase2 12 4 2" xfId="11617"/>
    <cellStyle name="40% - Ênfase2 12 4 3" xfId="15649"/>
    <cellStyle name="40% - Ênfase2 12 4 4" xfId="19681"/>
    <cellStyle name="40% - Ênfase2 12 4 5" xfId="23713"/>
    <cellStyle name="40% - Ênfase2 12 4 6" xfId="27745"/>
    <cellStyle name="40% - Ênfase2 12 4 7" xfId="31777"/>
    <cellStyle name="40% - Ênfase2 12 4 8" xfId="35809"/>
    <cellStyle name="40% - Ênfase2 12 4 9" xfId="39841"/>
    <cellStyle name="40% - Ênfase2 12 5" xfId="9601"/>
    <cellStyle name="40% - Ênfase2 12 6" xfId="13633"/>
    <cellStyle name="40% - Ênfase2 12 7" xfId="17665"/>
    <cellStyle name="40% - Ênfase2 12 8" xfId="21697"/>
    <cellStyle name="40% - Ênfase2 12 9" xfId="25729"/>
    <cellStyle name="40% - Ênfase2 13" xfId="2008"/>
    <cellStyle name="40% - Ênfase2 13 10" xfId="29762"/>
    <cellStyle name="40% - Ênfase2 13 11" xfId="33794"/>
    <cellStyle name="40% - Ênfase2 13 12" xfId="37826"/>
    <cellStyle name="40% - Ênfase2 13 13" xfId="41858"/>
    <cellStyle name="40% - Ênfase2 13 14" xfId="45890"/>
    <cellStyle name="40% - Ênfase2 13 15" xfId="49968"/>
    <cellStyle name="40% - Ênfase2 13 2" xfId="2009"/>
    <cellStyle name="40% - Ênfase2 13 3" xfId="5509"/>
    <cellStyle name="40% - Ênfase2 13 3 10" xfId="38777"/>
    <cellStyle name="40% - Ênfase2 13 3 11" xfId="42809"/>
    <cellStyle name="40% - Ênfase2 13 3 12" xfId="46841"/>
    <cellStyle name="40% - Ênfase2 13 3 13" xfId="50920"/>
    <cellStyle name="40% - Ênfase2 13 3 2" xfId="8535"/>
    <cellStyle name="40% - Ênfase2 13 3 2 10" xfId="44825"/>
    <cellStyle name="40% - Ênfase2 13 3 2 11" xfId="48857"/>
    <cellStyle name="40% - Ênfase2 13 3 2 12" xfId="52936"/>
    <cellStyle name="40% - Ênfase2 13 3 2 2" xfId="12569"/>
    <cellStyle name="40% - Ênfase2 13 3 2 3" xfId="16601"/>
    <cellStyle name="40% - Ênfase2 13 3 2 4" xfId="20633"/>
    <cellStyle name="40% - Ênfase2 13 3 2 5" xfId="24665"/>
    <cellStyle name="40% - Ênfase2 13 3 2 6" xfId="28697"/>
    <cellStyle name="40% - Ênfase2 13 3 2 7" xfId="32729"/>
    <cellStyle name="40% - Ênfase2 13 3 2 8" xfId="36761"/>
    <cellStyle name="40% - Ênfase2 13 3 2 9" xfId="40793"/>
    <cellStyle name="40% - Ênfase2 13 3 3" xfId="10553"/>
    <cellStyle name="40% - Ênfase2 13 3 4" xfId="14585"/>
    <cellStyle name="40% - Ênfase2 13 3 5" xfId="18617"/>
    <cellStyle name="40% - Ênfase2 13 3 6" xfId="22649"/>
    <cellStyle name="40% - Ênfase2 13 3 7" xfId="26681"/>
    <cellStyle name="40% - Ênfase2 13 3 8" xfId="30713"/>
    <cellStyle name="40% - Ênfase2 13 3 9" xfId="34745"/>
    <cellStyle name="40% - Ênfase2 13 4" xfId="7584"/>
    <cellStyle name="40% - Ênfase2 13 4 10" xfId="43874"/>
    <cellStyle name="40% - Ênfase2 13 4 11" xfId="47906"/>
    <cellStyle name="40% - Ênfase2 13 4 12" xfId="51985"/>
    <cellStyle name="40% - Ênfase2 13 4 2" xfId="11618"/>
    <cellStyle name="40% - Ênfase2 13 4 3" xfId="15650"/>
    <cellStyle name="40% - Ênfase2 13 4 4" xfId="19682"/>
    <cellStyle name="40% - Ênfase2 13 4 5" xfId="23714"/>
    <cellStyle name="40% - Ênfase2 13 4 6" xfId="27746"/>
    <cellStyle name="40% - Ênfase2 13 4 7" xfId="31778"/>
    <cellStyle name="40% - Ênfase2 13 4 8" xfId="35810"/>
    <cellStyle name="40% - Ênfase2 13 4 9" xfId="39842"/>
    <cellStyle name="40% - Ênfase2 13 5" xfId="9602"/>
    <cellStyle name="40% - Ênfase2 13 6" xfId="13634"/>
    <cellStyle name="40% - Ênfase2 13 7" xfId="17666"/>
    <cellStyle name="40% - Ênfase2 13 8" xfId="21698"/>
    <cellStyle name="40% - Ênfase2 13 9" xfId="25730"/>
    <cellStyle name="40% - Ênfase2 14 2" xfId="2010"/>
    <cellStyle name="40% - Ênfase2 15 2" xfId="2011"/>
    <cellStyle name="40% - Ênfase2 16 2" xfId="2012"/>
    <cellStyle name="40% - Ênfase2 17 2" xfId="2013"/>
    <cellStyle name="40% - Ênfase2 2" xfId="390"/>
    <cellStyle name="40% - Ênfase2 2 2" xfId="529"/>
    <cellStyle name="40% - Ênfase2 2 3" xfId="843"/>
    <cellStyle name="40% - Ênfase2 2 3 2" xfId="2015"/>
    <cellStyle name="40% - Ênfase2 2 4" xfId="1032"/>
    <cellStyle name="40% - Ênfase2 2 5" xfId="2014"/>
    <cellStyle name="40% - Ênfase2 2 5 10" xfId="33795"/>
    <cellStyle name="40% - Ênfase2 2 5 11" xfId="37827"/>
    <cellStyle name="40% - Ênfase2 2 5 12" xfId="41859"/>
    <cellStyle name="40% - Ênfase2 2 5 13" xfId="45891"/>
    <cellStyle name="40% - Ênfase2 2 5 14" xfId="49969"/>
    <cellStyle name="40% - Ênfase2 2 5 2" xfId="5510"/>
    <cellStyle name="40% - Ênfase2 2 5 2 10" xfId="38778"/>
    <cellStyle name="40% - Ênfase2 2 5 2 11" xfId="42810"/>
    <cellStyle name="40% - Ênfase2 2 5 2 12" xfId="46842"/>
    <cellStyle name="40% - Ênfase2 2 5 2 13" xfId="50921"/>
    <cellStyle name="40% - Ênfase2 2 5 2 2" xfId="8536"/>
    <cellStyle name="40% - Ênfase2 2 5 2 2 10" xfId="44826"/>
    <cellStyle name="40% - Ênfase2 2 5 2 2 11" xfId="48858"/>
    <cellStyle name="40% - Ênfase2 2 5 2 2 12" xfId="52937"/>
    <cellStyle name="40% - Ênfase2 2 5 2 2 2" xfId="12570"/>
    <cellStyle name="40% - Ênfase2 2 5 2 2 3" xfId="16602"/>
    <cellStyle name="40% - Ênfase2 2 5 2 2 4" xfId="20634"/>
    <cellStyle name="40% - Ênfase2 2 5 2 2 5" xfId="24666"/>
    <cellStyle name="40% - Ênfase2 2 5 2 2 6" xfId="28698"/>
    <cellStyle name="40% - Ênfase2 2 5 2 2 7" xfId="32730"/>
    <cellStyle name="40% - Ênfase2 2 5 2 2 8" xfId="36762"/>
    <cellStyle name="40% - Ênfase2 2 5 2 2 9" xfId="40794"/>
    <cellStyle name="40% - Ênfase2 2 5 2 3" xfId="10554"/>
    <cellStyle name="40% - Ênfase2 2 5 2 4" xfId="14586"/>
    <cellStyle name="40% - Ênfase2 2 5 2 5" xfId="18618"/>
    <cellStyle name="40% - Ênfase2 2 5 2 6" xfId="22650"/>
    <cellStyle name="40% - Ênfase2 2 5 2 7" xfId="26682"/>
    <cellStyle name="40% - Ênfase2 2 5 2 8" xfId="30714"/>
    <cellStyle name="40% - Ênfase2 2 5 2 9" xfId="34746"/>
    <cellStyle name="40% - Ênfase2 2 5 3" xfId="7585"/>
    <cellStyle name="40% - Ênfase2 2 5 3 10" xfId="43875"/>
    <cellStyle name="40% - Ênfase2 2 5 3 11" xfId="47907"/>
    <cellStyle name="40% - Ênfase2 2 5 3 12" xfId="51986"/>
    <cellStyle name="40% - Ênfase2 2 5 3 2" xfId="11619"/>
    <cellStyle name="40% - Ênfase2 2 5 3 3" xfId="15651"/>
    <cellStyle name="40% - Ênfase2 2 5 3 4" xfId="19683"/>
    <cellStyle name="40% - Ênfase2 2 5 3 5" xfId="23715"/>
    <cellStyle name="40% - Ênfase2 2 5 3 6" xfId="27747"/>
    <cellStyle name="40% - Ênfase2 2 5 3 7" xfId="31779"/>
    <cellStyle name="40% - Ênfase2 2 5 3 8" xfId="35811"/>
    <cellStyle name="40% - Ênfase2 2 5 3 9" xfId="39843"/>
    <cellStyle name="40% - Ênfase2 2 5 4" xfId="9603"/>
    <cellStyle name="40% - Ênfase2 2 5 5" xfId="13635"/>
    <cellStyle name="40% - Ênfase2 2 5 6" xfId="17667"/>
    <cellStyle name="40% - Ênfase2 2 5 7" xfId="21699"/>
    <cellStyle name="40% - Ênfase2 2 5 8" xfId="25731"/>
    <cellStyle name="40% - Ênfase2 2 5 9" xfId="29763"/>
    <cellStyle name="40% - Ênfase2 3" xfId="463"/>
    <cellStyle name="40% - Ênfase2 3 2" xfId="1033"/>
    <cellStyle name="40% - Ênfase2 3 2 10" xfId="29536"/>
    <cellStyle name="40% - Ênfase2 3 2 11" xfId="33568"/>
    <cellStyle name="40% - Ênfase2 3 2 12" xfId="37600"/>
    <cellStyle name="40% - Ênfase2 3 2 13" xfId="41632"/>
    <cellStyle name="40% - Ênfase2 3 2 14" xfId="45664"/>
    <cellStyle name="40% - Ênfase2 3 2 15" xfId="49742"/>
    <cellStyle name="40% - Ênfase2 3 2 2" xfId="2017"/>
    <cellStyle name="40% - Ênfase2 3 2 3" xfId="5042"/>
    <cellStyle name="40% - Ênfase2 3 2 3 10" xfId="38565"/>
    <cellStyle name="40% - Ênfase2 3 2 3 11" xfId="42597"/>
    <cellStyle name="40% - Ênfase2 3 2 3 12" xfId="46629"/>
    <cellStyle name="40% - Ênfase2 3 2 3 13" xfId="50708"/>
    <cellStyle name="40% - Ênfase2 3 2 3 2" xfId="8323"/>
    <cellStyle name="40% - Ênfase2 3 2 3 2 10" xfId="44613"/>
    <cellStyle name="40% - Ênfase2 3 2 3 2 11" xfId="48645"/>
    <cellStyle name="40% - Ênfase2 3 2 3 2 12" xfId="52724"/>
    <cellStyle name="40% - Ênfase2 3 2 3 2 2" xfId="12357"/>
    <cellStyle name="40% - Ênfase2 3 2 3 2 3" xfId="16389"/>
    <cellStyle name="40% - Ênfase2 3 2 3 2 4" xfId="20421"/>
    <cellStyle name="40% - Ênfase2 3 2 3 2 5" xfId="24453"/>
    <cellStyle name="40% - Ênfase2 3 2 3 2 6" xfId="28485"/>
    <cellStyle name="40% - Ênfase2 3 2 3 2 7" xfId="32517"/>
    <cellStyle name="40% - Ênfase2 3 2 3 2 8" xfId="36549"/>
    <cellStyle name="40% - Ênfase2 3 2 3 2 9" xfId="40581"/>
    <cellStyle name="40% - Ênfase2 3 2 3 3" xfId="10341"/>
    <cellStyle name="40% - Ênfase2 3 2 3 4" xfId="14373"/>
    <cellStyle name="40% - Ênfase2 3 2 3 5" xfId="18405"/>
    <cellStyle name="40% - Ênfase2 3 2 3 6" xfId="22437"/>
    <cellStyle name="40% - Ênfase2 3 2 3 7" xfId="26469"/>
    <cellStyle name="40% - Ênfase2 3 2 3 8" xfId="30501"/>
    <cellStyle name="40% - Ênfase2 3 2 3 9" xfId="34533"/>
    <cellStyle name="40% - Ênfase2 3 2 4" xfId="7358"/>
    <cellStyle name="40% - Ênfase2 3 2 4 10" xfId="43648"/>
    <cellStyle name="40% - Ênfase2 3 2 4 11" xfId="47680"/>
    <cellStyle name="40% - Ênfase2 3 2 4 12" xfId="51759"/>
    <cellStyle name="40% - Ênfase2 3 2 4 2" xfId="11392"/>
    <cellStyle name="40% - Ênfase2 3 2 4 3" xfId="15424"/>
    <cellStyle name="40% - Ênfase2 3 2 4 4" xfId="19456"/>
    <cellStyle name="40% - Ênfase2 3 2 4 5" xfId="23488"/>
    <cellStyle name="40% - Ênfase2 3 2 4 6" xfId="27520"/>
    <cellStyle name="40% - Ênfase2 3 2 4 7" xfId="31552"/>
    <cellStyle name="40% - Ênfase2 3 2 4 8" xfId="35584"/>
    <cellStyle name="40% - Ênfase2 3 2 4 9" xfId="39616"/>
    <cellStyle name="40% - Ênfase2 3 2 5" xfId="9376"/>
    <cellStyle name="40% - Ênfase2 3 2 6" xfId="13408"/>
    <cellStyle name="40% - Ênfase2 3 2 7" xfId="17440"/>
    <cellStyle name="40% - Ênfase2 3 2 8" xfId="21472"/>
    <cellStyle name="40% - Ênfase2 3 2 9" xfId="25504"/>
    <cellStyle name="40% - Ênfase2 3 3" xfId="2018"/>
    <cellStyle name="40% - Ênfase2 3 4" xfId="2016"/>
    <cellStyle name="40% - Ênfase2 3 4 10" xfId="33796"/>
    <cellStyle name="40% - Ênfase2 3 4 11" xfId="37828"/>
    <cellStyle name="40% - Ênfase2 3 4 12" xfId="41860"/>
    <cellStyle name="40% - Ênfase2 3 4 13" xfId="45892"/>
    <cellStyle name="40% - Ênfase2 3 4 14" xfId="49970"/>
    <cellStyle name="40% - Ênfase2 3 4 2" xfId="5511"/>
    <cellStyle name="40% - Ênfase2 3 4 2 10" xfId="38779"/>
    <cellStyle name="40% - Ênfase2 3 4 2 11" xfId="42811"/>
    <cellStyle name="40% - Ênfase2 3 4 2 12" xfId="46843"/>
    <cellStyle name="40% - Ênfase2 3 4 2 13" xfId="50922"/>
    <cellStyle name="40% - Ênfase2 3 4 2 2" xfId="8537"/>
    <cellStyle name="40% - Ênfase2 3 4 2 2 10" xfId="44827"/>
    <cellStyle name="40% - Ênfase2 3 4 2 2 11" xfId="48859"/>
    <cellStyle name="40% - Ênfase2 3 4 2 2 12" xfId="52938"/>
    <cellStyle name="40% - Ênfase2 3 4 2 2 2" xfId="12571"/>
    <cellStyle name="40% - Ênfase2 3 4 2 2 3" xfId="16603"/>
    <cellStyle name="40% - Ênfase2 3 4 2 2 4" xfId="20635"/>
    <cellStyle name="40% - Ênfase2 3 4 2 2 5" xfId="24667"/>
    <cellStyle name="40% - Ênfase2 3 4 2 2 6" xfId="28699"/>
    <cellStyle name="40% - Ênfase2 3 4 2 2 7" xfId="32731"/>
    <cellStyle name="40% - Ênfase2 3 4 2 2 8" xfId="36763"/>
    <cellStyle name="40% - Ênfase2 3 4 2 2 9" xfId="40795"/>
    <cellStyle name="40% - Ênfase2 3 4 2 3" xfId="10555"/>
    <cellStyle name="40% - Ênfase2 3 4 2 4" xfId="14587"/>
    <cellStyle name="40% - Ênfase2 3 4 2 5" xfId="18619"/>
    <cellStyle name="40% - Ênfase2 3 4 2 6" xfId="22651"/>
    <cellStyle name="40% - Ênfase2 3 4 2 7" xfId="26683"/>
    <cellStyle name="40% - Ênfase2 3 4 2 8" xfId="30715"/>
    <cellStyle name="40% - Ênfase2 3 4 2 9" xfId="34747"/>
    <cellStyle name="40% - Ênfase2 3 4 3" xfId="7586"/>
    <cellStyle name="40% - Ênfase2 3 4 3 10" xfId="43876"/>
    <cellStyle name="40% - Ênfase2 3 4 3 11" xfId="47908"/>
    <cellStyle name="40% - Ênfase2 3 4 3 12" xfId="51987"/>
    <cellStyle name="40% - Ênfase2 3 4 3 2" xfId="11620"/>
    <cellStyle name="40% - Ênfase2 3 4 3 3" xfId="15652"/>
    <cellStyle name="40% - Ênfase2 3 4 3 4" xfId="19684"/>
    <cellStyle name="40% - Ênfase2 3 4 3 5" xfId="23716"/>
    <cellStyle name="40% - Ênfase2 3 4 3 6" xfId="27748"/>
    <cellStyle name="40% - Ênfase2 3 4 3 7" xfId="31780"/>
    <cellStyle name="40% - Ênfase2 3 4 3 8" xfId="35812"/>
    <cellStyle name="40% - Ênfase2 3 4 3 9" xfId="39844"/>
    <cellStyle name="40% - Ênfase2 3 4 4" xfId="9604"/>
    <cellStyle name="40% - Ênfase2 3 4 5" xfId="13636"/>
    <cellStyle name="40% - Ênfase2 3 4 6" xfId="17668"/>
    <cellStyle name="40% - Ênfase2 3 4 7" xfId="21700"/>
    <cellStyle name="40% - Ênfase2 3 4 8" xfId="25732"/>
    <cellStyle name="40% - Ênfase2 3 4 9" xfId="29764"/>
    <cellStyle name="40% - Ênfase2 4" xfId="1132"/>
    <cellStyle name="40% - Ênfase2 4 2" xfId="2020"/>
    <cellStyle name="40% - Ênfase2 4 3" xfId="2021"/>
    <cellStyle name="40% - Ênfase2 4 4" xfId="2019"/>
    <cellStyle name="40% - Ênfase2 4 4 10" xfId="33797"/>
    <cellStyle name="40% - Ênfase2 4 4 11" xfId="37829"/>
    <cellStyle name="40% - Ênfase2 4 4 12" xfId="41861"/>
    <cellStyle name="40% - Ênfase2 4 4 13" xfId="45893"/>
    <cellStyle name="40% - Ênfase2 4 4 14" xfId="49971"/>
    <cellStyle name="40% - Ênfase2 4 4 2" xfId="5512"/>
    <cellStyle name="40% - Ênfase2 4 4 2 10" xfId="38780"/>
    <cellStyle name="40% - Ênfase2 4 4 2 11" xfId="42812"/>
    <cellStyle name="40% - Ênfase2 4 4 2 12" xfId="46844"/>
    <cellStyle name="40% - Ênfase2 4 4 2 13" xfId="50923"/>
    <cellStyle name="40% - Ênfase2 4 4 2 2" xfId="8538"/>
    <cellStyle name="40% - Ênfase2 4 4 2 2 10" xfId="44828"/>
    <cellStyle name="40% - Ênfase2 4 4 2 2 11" xfId="48860"/>
    <cellStyle name="40% - Ênfase2 4 4 2 2 12" xfId="52939"/>
    <cellStyle name="40% - Ênfase2 4 4 2 2 2" xfId="12572"/>
    <cellStyle name="40% - Ênfase2 4 4 2 2 3" xfId="16604"/>
    <cellStyle name="40% - Ênfase2 4 4 2 2 4" xfId="20636"/>
    <cellStyle name="40% - Ênfase2 4 4 2 2 5" xfId="24668"/>
    <cellStyle name="40% - Ênfase2 4 4 2 2 6" xfId="28700"/>
    <cellStyle name="40% - Ênfase2 4 4 2 2 7" xfId="32732"/>
    <cellStyle name="40% - Ênfase2 4 4 2 2 8" xfId="36764"/>
    <cellStyle name="40% - Ênfase2 4 4 2 2 9" xfId="40796"/>
    <cellStyle name="40% - Ênfase2 4 4 2 3" xfId="10556"/>
    <cellStyle name="40% - Ênfase2 4 4 2 4" xfId="14588"/>
    <cellStyle name="40% - Ênfase2 4 4 2 5" xfId="18620"/>
    <cellStyle name="40% - Ênfase2 4 4 2 6" xfId="22652"/>
    <cellStyle name="40% - Ênfase2 4 4 2 7" xfId="26684"/>
    <cellStyle name="40% - Ênfase2 4 4 2 8" xfId="30716"/>
    <cellStyle name="40% - Ênfase2 4 4 2 9" xfId="34748"/>
    <cellStyle name="40% - Ênfase2 4 4 3" xfId="7587"/>
    <cellStyle name="40% - Ênfase2 4 4 3 10" xfId="43877"/>
    <cellStyle name="40% - Ênfase2 4 4 3 11" xfId="47909"/>
    <cellStyle name="40% - Ênfase2 4 4 3 12" xfId="51988"/>
    <cellStyle name="40% - Ênfase2 4 4 3 2" xfId="11621"/>
    <cellStyle name="40% - Ênfase2 4 4 3 3" xfId="15653"/>
    <cellStyle name="40% - Ênfase2 4 4 3 4" xfId="19685"/>
    <cellStyle name="40% - Ênfase2 4 4 3 5" xfId="23717"/>
    <cellStyle name="40% - Ênfase2 4 4 3 6" xfId="27749"/>
    <cellStyle name="40% - Ênfase2 4 4 3 7" xfId="31781"/>
    <cellStyle name="40% - Ênfase2 4 4 3 8" xfId="35813"/>
    <cellStyle name="40% - Ênfase2 4 4 3 9" xfId="39845"/>
    <cellStyle name="40% - Ênfase2 4 4 4" xfId="9605"/>
    <cellStyle name="40% - Ênfase2 4 4 5" xfId="13637"/>
    <cellStyle name="40% - Ênfase2 4 4 6" xfId="17669"/>
    <cellStyle name="40% - Ênfase2 4 4 7" xfId="21701"/>
    <cellStyle name="40% - Ênfase2 4 4 8" xfId="25733"/>
    <cellStyle name="40% - Ênfase2 4 4 9" xfId="29765"/>
    <cellStyle name="40% - Ênfase2 5" xfId="1176"/>
    <cellStyle name="40% - Ênfase2 5 2" xfId="2023"/>
    <cellStyle name="40% - Ênfase2 5 3" xfId="2024"/>
    <cellStyle name="40% - Ênfase2 5 4" xfId="2022"/>
    <cellStyle name="40% - Ênfase2 5 4 10" xfId="33798"/>
    <cellStyle name="40% - Ênfase2 5 4 11" xfId="37830"/>
    <cellStyle name="40% - Ênfase2 5 4 12" xfId="41862"/>
    <cellStyle name="40% - Ênfase2 5 4 13" xfId="45894"/>
    <cellStyle name="40% - Ênfase2 5 4 14" xfId="49972"/>
    <cellStyle name="40% - Ênfase2 5 4 2" xfId="5513"/>
    <cellStyle name="40% - Ênfase2 5 4 2 10" xfId="38781"/>
    <cellStyle name="40% - Ênfase2 5 4 2 11" xfId="42813"/>
    <cellStyle name="40% - Ênfase2 5 4 2 12" xfId="46845"/>
    <cellStyle name="40% - Ênfase2 5 4 2 13" xfId="50924"/>
    <cellStyle name="40% - Ênfase2 5 4 2 2" xfId="8539"/>
    <cellStyle name="40% - Ênfase2 5 4 2 2 10" xfId="44829"/>
    <cellStyle name="40% - Ênfase2 5 4 2 2 11" xfId="48861"/>
    <cellStyle name="40% - Ênfase2 5 4 2 2 12" xfId="52940"/>
    <cellStyle name="40% - Ênfase2 5 4 2 2 2" xfId="12573"/>
    <cellStyle name="40% - Ênfase2 5 4 2 2 3" xfId="16605"/>
    <cellStyle name="40% - Ênfase2 5 4 2 2 4" xfId="20637"/>
    <cellStyle name="40% - Ênfase2 5 4 2 2 5" xfId="24669"/>
    <cellStyle name="40% - Ênfase2 5 4 2 2 6" xfId="28701"/>
    <cellStyle name="40% - Ênfase2 5 4 2 2 7" xfId="32733"/>
    <cellStyle name="40% - Ênfase2 5 4 2 2 8" xfId="36765"/>
    <cellStyle name="40% - Ênfase2 5 4 2 2 9" xfId="40797"/>
    <cellStyle name="40% - Ênfase2 5 4 2 3" xfId="10557"/>
    <cellStyle name="40% - Ênfase2 5 4 2 4" xfId="14589"/>
    <cellStyle name="40% - Ênfase2 5 4 2 5" xfId="18621"/>
    <cellStyle name="40% - Ênfase2 5 4 2 6" xfId="22653"/>
    <cellStyle name="40% - Ênfase2 5 4 2 7" xfId="26685"/>
    <cellStyle name="40% - Ênfase2 5 4 2 8" xfId="30717"/>
    <cellStyle name="40% - Ênfase2 5 4 2 9" xfId="34749"/>
    <cellStyle name="40% - Ênfase2 5 4 3" xfId="7588"/>
    <cellStyle name="40% - Ênfase2 5 4 3 10" xfId="43878"/>
    <cellStyle name="40% - Ênfase2 5 4 3 11" xfId="47910"/>
    <cellStyle name="40% - Ênfase2 5 4 3 12" xfId="51989"/>
    <cellStyle name="40% - Ênfase2 5 4 3 2" xfId="11622"/>
    <cellStyle name="40% - Ênfase2 5 4 3 3" xfId="15654"/>
    <cellStyle name="40% - Ênfase2 5 4 3 4" xfId="19686"/>
    <cellStyle name="40% - Ênfase2 5 4 3 5" xfId="23718"/>
    <cellStyle name="40% - Ênfase2 5 4 3 6" xfId="27750"/>
    <cellStyle name="40% - Ênfase2 5 4 3 7" xfId="31782"/>
    <cellStyle name="40% - Ênfase2 5 4 3 8" xfId="35814"/>
    <cellStyle name="40% - Ênfase2 5 4 3 9" xfId="39846"/>
    <cellStyle name="40% - Ênfase2 5 4 4" xfId="9606"/>
    <cellStyle name="40% - Ênfase2 5 4 5" xfId="13638"/>
    <cellStyle name="40% - Ênfase2 5 4 6" xfId="17670"/>
    <cellStyle name="40% - Ênfase2 5 4 7" xfId="21702"/>
    <cellStyle name="40% - Ênfase2 5 4 8" xfId="25734"/>
    <cellStyle name="40% - Ênfase2 5 4 9" xfId="29766"/>
    <cellStyle name="40% - Ênfase2 6" xfId="1191"/>
    <cellStyle name="40% - Ênfase2 6 2" xfId="2026"/>
    <cellStyle name="40% - Ênfase2 6 3" xfId="2027"/>
    <cellStyle name="40% - Ênfase2 6 4" xfId="2025"/>
    <cellStyle name="40% - Ênfase2 6 4 10" xfId="33799"/>
    <cellStyle name="40% - Ênfase2 6 4 11" xfId="37831"/>
    <cellStyle name="40% - Ênfase2 6 4 12" xfId="41863"/>
    <cellStyle name="40% - Ênfase2 6 4 13" xfId="45895"/>
    <cellStyle name="40% - Ênfase2 6 4 14" xfId="49973"/>
    <cellStyle name="40% - Ênfase2 6 4 2" xfId="5514"/>
    <cellStyle name="40% - Ênfase2 6 4 2 10" xfId="38782"/>
    <cellStyle name="40% - Ênfase2 6 4 2 11" xfId="42814"/>
    <cellStyle name="40% - Ênfase2 6 4 2 12" xfId="46846"/>
    <cellStyle name="40% - Ênfase2 6 4 2 13" xfId="50925"/>
    <cellStyle name="40% - Ênfase2 6 4 2 2" xfId="8540"/>
    <cellStyle name="40% - Ênfase2 6 4 2 2 10" xfId="44830"/>
    <cellStyle name="40% - Ênfase2 6 4 2 2 11" xfId="48862"/>
    <cellStyle name="40% - Ênfase2 6 4 2 2 12" xfId="52941"/>
    <cellStyle name="40% - Ênfase2 6 4 2 2 2" xfId="12574"/>
    <cellStyle name="40% - Ênfase2 6 4 2 2 3" xfId="16606"/>
    <cellStyle name="40% - Ênfase2 6 4 2 2 4" xfId="20638"/>
    <cellStyle name="40% - Ênfase2 6 4 2 2 5" xfId="24670"/>
    <cellStyle name="40% - Ênfase2 6 4 2 2 6" xfId="28702"/>
    <cellStyle name="40% - Ênfase2 6 4 2 2 7" xfId="32734"/>
    <cellStyle name="40% - Ênfase2 6 4 2 2 8" xfId="36766"/>
    <cellStyle name="40% - Ênfase2 6 4 2 2 9" xfId="40798"/>
    <cellStyle name="40% - Ênfase2 6 4 2 3" xfId="10558"/>
    <cellStyle name="40% - Ênfase2 6 4 2 4" xfId="14590"/>
    <cellStyle name="40% - Ênfase2 6 4 2 5" xfId="18622"/>
    <cellStyle name="40% - Ênfase2 6 4 2 6" xfId="22654"/>
    <cellStyle name="40% - Ênfase2 6 4 2 7" xfId="26686"/>
    <cellStyle name="40% - Ênfase2 6 4 2 8" xfId="30718"/>
    <cellStyle name="40% - Ênfase2 6 4 2 9" xfId="34750"/>
    <cellStyle name="40% - Ênfase2 6 4 3" xfId="7589"/>
    <cellStyle name="40% - Ênfase2 6 4 3 10" xfId="43879"/>
    <cellStyle name="40% - Ênfase2 6 4 3 11" xfId="47911"/>
    <cellStyle name="40% - Ênfase2 6 4 3 12" xfId="51990"/>
    <cellStyle name="40% - Ênfase2 6 4 3 2" xfId="11623"/>
    <cellStyle name="40% - Ênfase2 6 4 3 3" xfId="15655"/>
    <cellStyle name="40% - Ênfase2 6 4 3 4" xfId="19687"/>
    <cellStyle name="40% - Ênfase2 6 4 3 5" xfId="23719"/>
    <cellStyle name="40% - Ênfase2 6 4 3 6" xfId="27751"/>
    <cellStyle name="40% - Ênfase2 6 4 3 7" xfId="31783"/>
    <cellStyle name="40% - Ênfase2 6 4 3 8" xfId="35815"/>
    <cellStyle name="40% - Ênfase2 6 4 3 9" xfId="39847"/>
    <cellStyle name="40% - Ênfase2 6 4 4" xfId="9607"/>
    <cellStyle name="40% - Ênfase2 6 4 5" xfId="13639"/>
    <cellStyle name="40% - Ênfase2 6 4 6" xfId="17671"/>
    <cellStyle name="40% - Ênfase2 6 4 7" xfId="21703"/>
    <cellStyle name="40% - Ênfase2 6 4 8" xfId="25735"/>
    <cellStyle name="40% - Ênfase2 6 4 9" xfId="29767"/>
    <cellStyle name="40% - Ênfase2 7" xfId="2028"/>
    <cellStyle name="40% - Ênfase2 7 10" xfId="25736"/>
    <cellStyle name="40% - Ênfase2 7 11" xfId="29768"/>
    <cellStyle name="40% - Ênfase2 7 12" xfId="33800"/>
    <cellStyle name="40% - Ênfase2 7 13" xfId="37832"/>
    <cellStyle name="40% - Ênfase2 7 14" xfId="41864"/>
    <cellStyle name="40% - Ênfase2 7 15" xfId="45896"/>
    <cellStyle name="40% - Ênfase2 7 16" xfId="49974"/>
    <cellStyle name="40% - Ênfase2 7 2" xfId="2029"/>
    <cellStyle name="40% - Ênfase2 7 3" xfId="2030"/>
    <cellStyle name="40% - Ênfase2 7 4" xfId="5515"/>
    <cellStyle name="40% - Ênfase2 7 4 10" xfId="38783"/>
    <cellStyle name="40% - Ênfase2 7 4 11" xfId="42815"/>
    <cellStyle name="40% - Ênfase2 7 4 12" xfId="46847"/>
    <cellStyle name="40% - Ênfase2 7 4 13" xfId="50926"/>
    <cellStyle name="40% - Ênfase2 7 4 2" xfId="8541"/>
    <cellStyle name="40% - Ênfase2 7 4 2 10" xfId="44831"/>
    <cellStyle name="40% - Ênfase2 7 4 2 11" xfId="48863"/>
    <cellStyle name="40% - Ênfase2 7 4 2 12" xfId="52942"/>
    <cellStyle name="40% - Ênfase2 7 4 2 2" xfId="12575"/>
    <cellStyle name="40% - Ênfase2 7 4 2 3" xfId="16607"/>
    <cellStyle name="40% - Ênfase2 7 4 2 4" xfId="20639"/>
    <cellStyle name="40% - Ênfase2 7 4 2 5" xfId="24671"/>
    <cellStyle name="40% - Ênfase2 7 4 2 6" xfId="28703"/>
    <cellStyle name="40% - Ênfase2 7 4 2 7" xfId="32735"/>
    <cellStyle name="40% - Ênfase2 7 4 2 8" xfId="36767"/>
    <cellStyle name="40% - Ênfase2 7 4 2 9" xfId="40799"/>
    <cellStyle name="40% - Ênfase2 7 4 3" xfId="10559"/>
    <cellStyle name="40% - Ênfase2 7 4 4" xfId="14591"/>
    <cellStyle name="40% - Ênfase2 7 4 5" xfId="18623"/>
    <cellStyle name="40% - Ênfase2 7 4 6" xfId="22655"/>
    <cellStyle name="40% - Ênfase2 7 4 7" xfId="26687"/>
    <cellStyle name="40% - Ênfase2 7 4 8" xfId="30719"/>
    <cellStyle name="40% - Ênfase2 7 4 9" xfId="34751"/>
    <cellStyle name="40% - Ênfase2 7 5" xfId="7590"/>
    <cellStyle name="40% - Ênfase2 7 5 10" xfId="43880"/>
    <cellStyle name="40% - Ênfase2 7 5 11" xfId="47912"/>
    <cellStyle name="40% - Ênfase2 7 5 12" xfId="51991"/>
    <cellStyle name="40% - Ênfase2 7 5 2" xfId="11624"/>
    <cellStyle name="40% - Ênfase2 7 5 3" xfId="15656"/>
    <cellStyle name="40% - Ênfase2 7 5 4" xfId="19688"/>
    <cellStyle name="40% - Ênfase2 7 5 5" xfId="23720"/>
    <cellStyle name="40% - Ênfase2 7 5 6" xfId="27752"/>
    <cellStyle name="40% - Ênfase2 7 5 7" xfId="31784"/>
    <cellStyle name="40% - Ênfase2 7 5 8" xfId="35816"/>
    <cellStyle name="40% - Ênfase2 7 5 9" xfId="39848"/>
    <cellStyle name="40% - Ênfase2 7 6" xfId="9608"/>
    <cellStyle name="40% - Ênfase2 7 7" xfId="13640"/>
    <cellStyle name="40% - Ênfase2 7 8" xfId="17672"/>
    <cellStyle name="40% - Ênfase2 7 9" xfId="21704"/>
    <cellStyle name="40% - Ênfase2 8" xfId="2031"/>
    <cellStyle name="40% - Ênfase2 8 2" xfId="2032"/>
    <cellStyle name="40% - Ênfase2 9" xfId="2033"/>
    <cellStyle name="40% - Ênfase2 9 2" xfId="2034"/>
    <cellStyle name="40% - Ênfase3 10" xfId="2035"/>
    <cellStyle name="40% - Ênfase3 10 10" xfId="29769"/>
    <cellStyle name="40% - Ênfase3 10 11" xfId="33801"/>
    <cellStyle name="40% - Ênfase3 10 12" xfId="37833"/>
    <cellStyle name="40% - Ênfase3 10 13" xfId="41865"/>
    <cellStyle name="40% - Ênfase3 10 14" xfId="45897"/>
    <cellStyle name="40% - Ênfase3 10 15" xfId="49975"/>
    <cellStyle name="40% - Ênfase3 10 2" xfId="2036"/>
    <cellStyle name="40% - Ênfase3 10 3" xfId="5516"/>
    <cellStyle name="40% - Ênfase3 10 3 10" xfId="38784"/>
    <cellStyle name="40% - Ênfase3 10 3 11" xfId="42816"/>
    <cellStyle name="40% - Ênfase3 10 3 12" xfId="46848"/>
    <cellStyle name="40% - Ênfase3 10 3 13" xfId="50927"/>
    <cellStyle name="40% - Ênfase3 10 3 2" xfId="8542"/>
    <cellStyle name="40% - Ênfase3 10 3 2 10" xfId="44832"/>
    <cellStyle name="40% - Ênfase3 10 3 2 11" xfId="48864"/>
    <cellStyle name="40% - Ênfase3 10 3 2 12" xfId="52943"/>
    <cellStyle name="40% - Ênfase3 10 3 2 2" xfId="12576"/>
    <cellStyle name="40% - Ênfase3 10 3 2 3" xfId="16608"/>
    <cellStyle name="40% - Ênfase3 10 3 2 4" xfId="20640"/>
    <cellStyle name="40% - Ênfase3 10 3 2 5" xfId="24672"/>
    <cellStyle name="40% - Ênfase3 10 3 2 6" xfId="28704"/>
    <cellStyle name="40% - Ênfase3 10 3 2 7" xfId="32736"/>
    <cellStyle name="40% - Ênfase3 10 3 2 8" xfId="36768"/>
    <cellStyle name="40% - Ênfase3 10 3 2 9" xfId="40800"/>
    <cellStyle name="40% - Ênfase3 10 3 3" xfId="10560"/>
    <cellStyle name="40% - Ênfase3 10 3 4" xfId="14592"/>
    <cellStyle name="40% - Ênfase3 10 3 5" xfId="18624"/>
    <cellStyle name="40% - Ênfase3 10 3 6" xfId="22656"/>
    <cellStyle name="40% - Ênfase3 10 3 7" xfId="26688"/>
    <cellStyle name="40% - Ênfase3 10 3 8" xfId="30720"/>
    <cellStyle name="40% - Ênfase3 10 3 9" xfId="34752"/>
    <cellStyle name="40% - Ênfase3 10 4" xfId="7591"/>
    <cellStyle name="40% - Ênfase3 10 4 10" xfId="43881"/>
    <cellStyle name="40% - Ênfase3 10 4 11" xfId="47913"/>
    <cellStyle name="40% - Ênfase3 10 4 12" xfId="51992"/>
    <cellStyle name="40% - Ênfase3 10 4 2" xfId="11625"/>
    <cellStyle name="40% - Ênfase3 10 4 3" xfId="15657"/>
    <cellStyle name="40% - Ênfase3 10 4 4" xfId="19689"/>
    <cellStyle name="40% - Ênfase3 10 4 5" xfId="23721"/>
    <cellStyle name="40% - Ênfase3 10 4 6" xfId="27753"/>
    <cellStyle name="40% - Ênfase3 10 4 7" xfId="31785"/>
    <cellStyle name="40% - Ênfase3 10 4 8" xfId="35817"/>
    <cellStyle name="40% - Ênfase3 10 4 9" xfId="39849"/>
    <cellStyle name="40% - Ênfase3 10 5" xfId="9609"/>
    <cellStyle name="40% - Ênfase3 10 6" xfId="13641"/>
    <cellStyle name="40% - Ênfase3 10 7" xfId="17673"/>
    <cellStyle name="40% - Ênfase3 10 8" xfId="21705"/>
    <cellStyle name="40% - Ênfase3 10 9" xfId="25737"/>
    <cellStyle name="40% - Ênfase3 11" xfId="2037"/>
    <cellStyle name="40% - Ênfase3 11 10" xfId="29770"/>
    <cellStyle name="40% - Ênfase3 11 11" xfId="33802"/>
    <cellStyle name="40% - Ênfase3 11 12" xfId="37834"/>
    <cellStyle name="40% - Ênfase3 11 13" xfId="41866"/>
    <cellStyle name="40% - Ênfase3 11 14" xfId="45898"/>
    <cellStyle name="40% - Ênfase3 11 15" xfId="49976"/>
    <cellStyle name="40% - Ênfase3 11 2" xfId="2038"/>
    <cellStyle name="40% - Ênfase3 11 3" xfId="5517"/>
    <cellStyle name="40% - Ênfase3 11 3 10" xfId="38785"/>
    <cellStyle name="40% - Ênfase3 11 3 11" xfId="42817"/>
    <cellStyle name="40% - Ênfase3 11 3 12" xfId="46849"/>
    <cellStyle name="40% - Ênfase3 11 3 13" xfId="50928"/>
    <cellStyle name="40% - Ênfase3 11 3 2" xfId="8543"/>
    <cellStyle name="40% - Ênfase3 11 3 2 10" xfId="44833"/>
    <cellStyle name="40% - Ênfase3 11 3 2 11" xfId="48865"/>
    <cellStyle name="40% - Ênfase3 11 3 2 12" xfId="52944"/>
    <cellStyle name="40% - Ênfase3 11 3 2 2" xfId="12577"/>
    <cellStyle name="40% - Ênfase3 11 3 2 3" xfId="16609"/>
    <cellStyle name="40% - Ênfase3 11 3 2 4" xfId="20641"/>
    <cellStyle name="40% - Ênfase3 11 3 2 5" xfId="24673"/>
    <cellStyle name="40% - Ênfase3 11 3 2 6" xfId="28705"/>
    <cellStyle name="40% - Ênfase3 11 3 2 7" xfId="32737"/>
    <cellStyle name="40% - Ênfase3 11 3 2 8" xfId="36769"/>
    <cellStyle name="40% - Ênfase3 11 3 2 9" xfId="40801"/>
    <cellStyle name="40% - Ênfase3 11 3 3" xfId="10561"/>
    <cellStyle name="40% - Ênfase3 11 3 4" xfId="14593"/>
    <cellStyle name="40% - Ênfase3 11 3 5" xfId="18625"/>
    <cellStyle name="40% - Ênfase3 11 3 6" xfId="22657"/>
    <cellStyle name="40% - Ênfase3 11 3 7" xfId="26689"/>
    <cellStyle name="40% - Ênfase3 11 3 8" xfId="30721"/>
    <cellStyle name="40% - Ênfase3 11 3 9" xfId="34753"/>
    <cellStyle name="40% - Ênfase3 11 4" xfId="7592"/>
    <cellStyle name="40% - Ênfase3 11 4 10" xfId="43882"/>
    <cellStyle name="40% - Ênfase3 11 4 11" xfId="47914"/>
    <cellStyle name="40% - Ênfase3 11 4 12" xfId="51993"/>
    <cellStyle name="40% - Ênfase3 11 4 2" xfId="11626"/>
    <cellStyle name="40% - Ênfase3 11 4 3" xfId="15658"/>
    <cellStyle name="40% - Ênfase3 11 4 4" xfId="19690"/>
    <cellStyle name="40% - Ênfase3 11 4 5" xfId="23722"/>
    <cellStyle name="40% - Ênfase3 11 4 6" xfId="27754"/>
    <cellStyle name="40% - Ênfase3 11 4 7" xfId="31786"/>
    <cellStyle name="40% - Ênfase3 11 4 8" xfId="35818"/>
    <cellStyle name="40% - Ênfase3 11 4 9" xfId="39850"/>
    <cellStyle name="40% - Ênfase3 11 5" xfId="9610"/>
    <cellStyle name="40% - Ênfase3 11 6" xfId="13642"/>
    <cellStyle name="40% - Ênfase3 11 7" xfId="17674"/>
    <cellStyle name="40% - Ênfase3 11 8" xfId="21706"/>
    <cellStyle name="40% - Ênfase3 11 9" xfId="25738"/>
    <cellStyle name="40% - Ênfase3 12" xfId="2039"/>
    <cellStyle name="40% - Ênfase3 12 10" xfId="29771"/>
    <cellStyle name="40% - Ênfase3 12 11" xfId="33803"/>
    <cellStyle name="40% - Ênfase3 12 12" xfId="37835"/>
    <cellStyle name="40% - Ênfase3 12 13" xfId="41867"/>
    <cellStyle name="40% - Ênfase3 12 14" xfId="45899"/>
    <cellStyle name="40% - Ênfase3 12 15" xfId="49977"/>
    <cellStyle name="40% - Ênfase3 12 2" xfId="2040"/>
    <cellStyle name="40% - Ênfase3 12 3" xfId="5518"/>
    <cellStyle name="40% - Ênfase3 12 3 10" xfId="38786"/>
    <cellStyle name="40% - Ênfase3 12 3 11" xfId="42818"/>
    <cellStyle name="40% - Ênfase3 12 3 12" xfId="46850"/>
    <cellStyle name="40% - Ênfase3 12 3 13" xfId="50929"/>
    <cellStyle name="40% - Ênfase3 12 3 2" xfId="8544"/>
    <cellStyle name="40% - Ênfase3 12 3 2 10" xfId="44834"/>
    <cellStyle name="40% - Ênfase3 12 3 2 11" xfId="48866"/>
    <cellStyle name="40% - Ênfase3 12 3 2 12" xfId="52945"/>
    <cellStyle name="40% - Ênfase3 12 3 2 2" xfId="12578"/>
    <cellStyle name="40% - Ênfase3 12 3 2 3" xfId="16610"/>
    <cellStyle name="40% - Ênfase3 12 3 2 4" xfId="20642"/>
    <cellStyle name="40% - Ênfase3 12 3 2 5" xfId="24674"/>
    <cellStyle name="40% - Ênfase3 12 3 2 6" xfId="28706"/>
    <cellStyle name="40% - Ênfase3 12 3 2 7" xfId="32738"/>
    <cellStyle name="40% - Ênfase3 12 3 2 8" xfId="36770"/>
    <cellStyle name="40% - Ênfase3 12 3 2 9" xfId="40802"/>
    <cellStyle name="40% - Ênfase3 12 3 3" xfId="10562"/>
    <cellStyle name="40% - Ênfase3 12 3 4" xfId="14594"/>
    <cellStyle name="40% - Ênfase3 12 3 5" xfId="18626"/>
    <cellStyle name="40% - Ênfase3 12 3 6" xfId="22658"/>
    <cellStyle name="40% - Ênfase3 12 3 7" xfId="26690"/>
    <cellStyle name="40% - Ênfase3 12 3 8" xfId="30722"/>
    <cellStyle name="40% - Ênfase3 12 3 9" xfId="34754"/>
    <cellStyle name="40% - Ênfase3 12 4" xfId="7593"/>
    <cellStyle name="40% - Ênfase3 12 4 10" xfId="43883"/>
    <cellStyle name="40% - Ênfase3 12 4 11" xfId="47915"/>
    <cellStyle name="40% - Ênfase3 12 4 12" xfId="51994"/>
    <cellStyle name="40% - Ênfase3 12 4 2" xfId="11627"/>
    <cellStyle name="40% - Ênfase3 12 4 3" xfId="15659"/>
    <cellStyle name="40% - Ênfase3 12 4 4" xfId="19691"/>
    <cellStyle name="40% - Ênfase3 12 4 5" xfId="23723"/>
    <cellStyle name="40% - Ênfase3 12 4 6" xfId="27755"/>
    <cellStyle name="40% - Ênfase3 12 4 7" xfId="31787"/>
    <cellStyle name="40% - Ênfase3 12 4 8" xfId="35819"/>
    <cellStyle name="40% - Ênfase3 12 4 9" xfId="39851"/>
    <cellStyle name="40% - Ênfase3 12 5" xfId="9611"/>
    <cellStyle name="40% - Ênfase3 12 6" xfId="13643"/>
    <cellStyle name="40% - Ênfase3 12 7" xfId="17675"/>
    <cellStyle name="40% - Ênfase3 12 8" xfId="21707"/>
    <cellStyle name="40% - Ênfase3 12 9" xfId="25739"/>
    <cellStyle name="40% - Ênfase3 13" xfId="2041"/>
    <cellStyle name="40% - Ênfase3 13 10" xfId="29772"/>
    <cellStyle name="40% - Ênfase3 13 11" xfId="33804"/>
    <cellStyle name="40% - Ênfase3 13 12" xfId="37836"/>
    <cellStyle name="40% - Ênfase3 13 13" xfId="41868"/>
    <cellStyle name="40% - Ênfase3 13 14" xfId="45900"/>
    <cellStyle name="40% - Ênfase3 13 15" xfId="49978"/>
    <cellStyle name="40% - Ênfase3 13 2" xfId="2042"/>
    <cellStyle name="40% - Ênfase3 13 3" xfId="5519"/>
    <cellStyle name="40% - Ênfase3 13 3 10" xfId="38787"/>
    <cellStyle name="40% - Ênfase3 13 3 11" xfId="42819"/>
    <cellStyle name="40% - Ênfase3 13 3 12" xfId="46851"/>
    <cellStyle name="40% - Ênfase3 13 3 13" xfId="50930"/>
    <cellStyle name="40% - Ênfase3 13 3 2" xfId="8545"/>
    <cellStyle name="40% - Ênfase3 13 3 2 10" xfId="44835"/>
    <cellStyle name="40% - Ênfase3 13 3 2 11" xfId="48867"/>
    <cellStyle name="40% - Ênfase3 13 3 2 12" xfId="52946"/>
    <cellStyle name="40% - Ênfase3 13 3 2 2" xfId="12579"/>
    <cellStyle name="40% - Ênfase3 13 3 2 3" xfId="16611"/>
    <cellStyle name="40% - Ênfase3 13 3 2 4" xfId="20643"/>
    <cellStyle name="40% - Ênfase3 13 3 2 5" xfId="24675"/>
    <cellStyle name="40% - Ênfase3 13 3 2 6" xfId="28707"/>
    <cellStyle name="40% - Ênfase3 13 3 2 7" xfId="32739"/>
    <cellStyle name="40% - Ênfase3 13 3 2 8" xfId="36771"/>
    <cellStyle name="40% - Ênfase3 13 3 2 9" xfId="40803"/>
    <cellStyle name="40% - Ênfase3 13 3 3" xfId="10563"/>
    <cellStyle name="40% - Ênfase3 13 3 4" xfId="14595"/>
    <cellStyle name="40% - Ênfase3 13 3 5" xfId="18627"/>
    <cellStyle name="40% - Ênfase3 13 3 6" xfId="22659"/>
    <cellStyle name="40% - Ênfase3 13 3 7" xfId="26691"/>
    <cellStyle name="40% - Ênfase3 13 3 8" xfId="30723"/>
    <cellStyle name="40% - Ênfase3 13 3 9" xfId="34755"/>
    <cellStyle name="40% - Ênfase3 13 4" xfId="7594"/>
    <cellStyle name="40% - Ênfase3 13 4 10" xfId="43884"/>
    <cellStyle name="40% - Ênfase3 13 4 11" xfId="47916"/>
    <cellStyle name="40% - Ênfase3 13 4 12" xfId="51995"/>
    <cellStyle name="40% - Ênfase3 13 4 2" xfId="11628"/>
    <cellStyle name="40% - Ênfase3 13 4 3" xfId="15660"/>
    <cellStyle name="40% - Ênfase3 13 4 4" xfId="19692"/>
    <cellStyle name="40% - Ênfase3 13 4 5" xfId="23724"/>
    <cellStyle name="40% - Ênfase3 13 4 6" xfId="27756"/>
    <cellStyle name="40% - Ênfase3 13 4 7" xfId="31788"/>
    <cellStyle name="40% - Ênfase3 13 4 8" xfId="35820"/>
    <cellStyle name="40% - Ênfase3 13 4 9" xfId="39852"/>
    <cellStyle name="40% - Ênfase3 13 5" xfId="9612"/>
    <cellStyle name="40% - Ênfase3 13 6" xfId="13644"/>
    <cellStyle name="40% - Ênfase3 13 7" xfId="17676"/>
    <cellStyle name="40% - Ênfase3 13 8" xfId="21708"/>
    <cellStyle name="40% - Ênfase3 13 9" xfId="25740"/>
    <cellStyle name="40% - Ênfase3 14 2" xfId="2043"/>
    <cellStyle name="40% - Ênfase3 15 2" xfId="2044"/>
    <cellStyle name="40% - Ênfase3 16 2" xfId="2045"/>
    <cellStyle name="40% - Ênfase3 17 2" xfId="2046"/>
    <cellStyle name="40% - Ênfase3 2" xfId="391"/>
    <cellStyle name="40% - Ênfase3 2 2" xfId="530"/>
    <cellStyle name="40% - Ênfase3 2 2 2" xfId="2048"/>
    <cellStyle name="40% - Ênfase3 2 3" xfId="835"/>
    <cellStyle name="40% - Ênfase3 2 3 2" xfId="2049"/>
    <cellStyle name="40% - Ênfase3 2 4" xfId="1034"/>
    <cellStyle name="40% - Ênfase3 2 5" xfId="2047"/>
    <cellStyle name="40% - Ênfase3 2 5 10" xfId="33805"/>
    <cellStyle name="40% - Ênfase3 2 5 11" xfId="37837"/>
    <cellStyle name="40% - Ênfase3 2 5 12" xfId="41869"/>
    <cellStyle name="40% - Ênfase3 2 5 13" xfId="45901"/>
    <cellStyle name="40% - Ênfase3 2 5 14" xfId="49979"/>
    <cellStyle name="40% - Ênfase3 2 5 2" xfId="5520"/>
    <cellStyle name="40% - Ênfase3 2 5 2 10" xfId="38788"/>
    <cellStyle name="40% - Ênfase3 2 5 2 11" xfId="42820"/>
    <cellStyle name="40% - Ênfase3 2 5 2 12" xfId="46852"/>
    <cellStyle name="40% - Ênfase3 2 5 2 13" xfId="50931"/>
    <cellStyle name="40% - Ênfase3 2 5 2 2" xfId="8546"/>
    <cellStyle name="40% - Ênfase3 2 5 2 2 10" xfId="44836"/>
    <cellStyle name="40% - Ênfase3 2 5 2 2 11" xfId="48868"/>
    <cellStyle name="40% - Ênfase3 2 5 2 2 12" xfId="52947"/>
    <cellStyle name="40% - Ênfase3 2 5 2 2 2" xfId="12580"/>
    <cellStyle name="40% - Ênfase3 2 5 2 2 3" xfId="16612"/>
    <cellStyle name="40% - Ênfase3 2 5 2 2 4" xfId="20644"/>
    <cellStyle name="40% - Ênfase3 2 5 2 2 5" xfId="24676"/>
    <cellStyle name="40% - Ênfase3 2 5 2 2 6" xfId="28708"/>
    <cellStyle name="40% - Ênfase3 2 5 2 2 7" xfId="32740"/>
    <cellStyle name="40% - Ênfase3 2 5 2 2 8" xfId="36772"/>
    <cellStyle name="40% - Ênfase3 2 5 2 2 9" xfId="40804"/>
    <cellStyle name="40% - Ênfase3 2 5 2 3" xfId="10564"/>
    <cellStyle name="40% - Ênfase3 2 5 2 4" xfId="14596"/>
    <cellStyle name="40% - Ênfase3 2 5 2 5" xfId="18628"/>
    <cellStyle name="40% - Ênfase3 2 5 2 6" xfId="22660"/>
    <cellStyle name="40% - Ênfase3 2 5 2 7" xfId="26692"/>
    <cellStyle name="40% - Ênfase3 2 5 2 8" xfId="30724"/>
    <cellStyle name="40% - Ênfase3 2 5 2 9" xfId="34756"/>
    <cellStyle name="40% - Ênfase3 2 5 3" xfId="7595"/>
    <cellStyle name="40% - Ênfase3 2 5 3 10" xfId="43885"/>
    <cellStyle name="40% - Ênfase3 2 5 3 11" xfId="47917"/>
    <cellStyle name="40% - Ênfase3 2 5 3 12" xfId="51996"/>
    <cellStyle name="40% - Ênfase3 2 5 3 2" xfId="11629"/>
    <cellStyle name="40% - Ênfase3 2 5 3 3" xfId="15661"/>
    <cellStyle name="40% - Ênfase3 2 5 3 4" xfId="19693"/>
    <cellStyle name="40% - Ênfase3 2 5 3 5" xfId="23725"/>
    <cellStyle name="40% - Ênfase3 2 5 3 6" xfId="27757"/>
    <cellStyle name="40% - Ênfase3 2 5 3 7" xfId="31789"/>
    <cellStyle name="40% - Ênfase3 2 5 3 8" xfId="35821"/>
    <cellStyle name="40% - Ênfase3 2 5 3 9" xfId="39853"/>
    <cellStyle name="40% - Ênfase3 2 5 4" xfId="9613"/>
    <cellStyle name="40% - Ênfase3 2 5 5" xfId="13645"/>
    <cellStyle name="40% - Ênfase3 2 5 6" xfId="17677"/>
    <cellStyle name="40% - Ênfase3 2 5 7" xfId="21709"/>
    <cellStyle name="40% - Ênfase3 2 5 8" xfId="25741"/>
    <cellStyle name="40% - Ênfase3 2 5 9" xfId="29773"/>
    <cellStyle name="40% - Ênfase3 3" xfId="464"/>
    <cellStyle name="40% - Ênfase3 3 2" xfId="1035"/>
    <cellStyle name="40% - Ênfase3 3 2 10" xfId="29537"/>
    <cellStyle name="40% - Ênfase3 3 2 11" xfId="33569"/>
    <cellStyle name="40% - Ênfase3 3 2 12" xfId="37601"/>
    <cellStyle name="40% - Ênfase3 3 2 13" xfId="41633"/>
    <cellStyle name="40% - Ênfase3 3 2 14" xfId="45665"/>
    <cellStyle name="40% - Ênfase3 3 2 15" xfId="49743"/>
    <cellStyle name="40% - Ênfase3 3 2 2" xfId="2051"/>
    <cellStyle name="40% - Ênfase3 3 2 3" xfId="5043"/>
    <cellStyle name="40% - Ênfase3 3 2 3 10" xfId="38566"/>
    <cellStyle name="40% - Ênfase3 3 2 3 11" xfId="42598"/>
    <cellStyle name="40% - Ênfase3 3 2 3 12" xfId="46630"/>
    <cellStyle name="40% - Ênfase3 3 2 3 13" xfId="50709"/>
    <cellStyle name="40% - Ênfase3 3 2 3 2" xfId="8324"/>
    <cellStyle name="40% - Ênfase3 3 2 3 2 10" xfId="44614"/>
    <cellStyle name="40% - Ênfase3 3 2 3 2 11" xfId="48646"/>
    <cellStyle name="40% - Ênfase3 3 2 3 2 12" xfId="52725"/>
    <cellStyle name="40% - Ênfase3 3 2 3 2 2" xfId="12358"/>
    <cellStyle name="40% - Ênfase3 3 2 3 2 3" xfId="16390"/>
    <cellStyle name="40% - Ênfase3 3 2 3 2 4" xfId="20422"/>
    <cellStyle name="40% - Ênfase3 3 2 3 2 5" xfId="24454"/>
    <cellStyle name="40% - Ênfase3 3 2 3 2 6" xfId="28486"/>
    <cellStyle name="40% - Ênfase3 3 2 3 2 7" xfId="32518"/>
    <cellStyle name="40% - Ênfase3 3 2 3 2 8" xfId="36550"/>
    <cellStyle name="40% - Ênfase3 3 2 3 2 9" xfId="40582"/>
    <cellStyle name="40% - Ênfase3 3 2 3 3" xfId="10342"/>
    <cellStyle name="40% - Ênfase3 3 2 3 4" xfId="14374"/>
    <cellStyle name="40% - Ênfase3 3 2 3 5" xfId="18406"/>
    <cellStyle name="40% - Ênfase3 3 2 3 6" xfId="22438"/>
    <cellStyle name="40% - Ênfase3 3 2 3 7" xfId="26470"/>
    <cellStyle name="40% - Ênfase3 3 2 3 8" xfId="30502"/>
    <cellStyle name="40% - Ênfase3 3 2 3 9" xfId="34534"/>
    <cellStyle name="40% - Ênfase3 3 2 4" xfId="7359"/>
    <cellStyle name="40% - Ênfase3 3 2 4 10" xfId="43649"/>
    <cellStyle name="40% - Ênfase3 3 2 4 11" xfId="47681"/>
    <cellStyle name="40% - Ênfase3 3 2 4 12" xfId="51760"/>
    <cellStyle name="40% - Ênfase3 3 2 4 2" xfId="11393"/>
    <cellStyle name="40% - Ênfase3 3 2 4 3" xfId="15425"/>
    <cellStyle name="40% - Ênfase3 3 2 4 4" xfId="19457"/>
    <cellStyle name="40% - Ênfase3 3 2 4 5" xfId="23489"/>
    <cellStyle name="40% - Ênfase3 3 2 4 6" xfId="27521"/>
    <cellStyle name="40% - Ênfase3 3 2 4 7" xfId="31553"/>
    <cellStyle name="40% - Ênfase3 3 2 4 8" xfId="35585"/>
    <cellStyle name="40% - Ênfase3 3 2 4 9" xfId="39617"/>
    <cellStyle name="40% - Ênfase3 3 2 5" xfId="9377"/>
    <cellStyle name="40% - Ênfase3 3 2 6" xfId="13409"/>
    <cellStyle name="40% - Ênfase3 3 2 7" xfId="17441"/>
    <cellStyle name="40% - Ênfase3 3 2 8" xfId="21473"/>
    <cellStyle name="40% - Ênfase3 3 2 9" xfId="25505"/>
    <cellStyle name="40% - Ênfase3 3 3" xfId="2052"/>
    <cellStyle name="40% - Ênfase3 3 4" xfId="2050"/>
    <cellStyle name="40% - Ênfase3 3 4 10" xfId="33806"/>
    <cellStyle name="40% - Ênfase3 3 4 11" xfId="37838"/>
    <cellStyle name="40% - Ênfase3 3 4 12" xfId="41870"/>
    <cellStyle name="40% - Ênfase3 3 4 13" xfId="45902"/>
    <cellStyle name="40% - Ênfase3 3 4 14" xfId="49980"/>
    <cellStyle name="40% - Ênfase3 3 4 2" xfId="5521"/>
    <cellStyle name="40% - Ênfase3 3 4 2 10" xfId="38789"/>
    <cellStyle name="40% - Ênfase3 3 4 2 11" xfId="42821"/>
    <cellStyle name="40% - Ênfase3 3 4 2 12" xfId="46853"/>
    <cellStyle name="40% - Ênfase3 3 4 2 13" xfId="50932"/>
    <cellStyle name="40% - Ênfase3 3 4 2 2" xfId="8547"/>
    <cellStyle name="40% - Ênfase3 3 4 2 2 10" xfId="44837"/>
    <cellStyle name="40% - Ênfase3 3 4 2 2 11" xfId="48869"/>
    <cellStyle name="40% - Ênfase3 3 4 2 2 12" xfId="52948"/>
    <cellStyle name="40% - Ênfase3 3 4 2 2 2" xfId="12581"/>
    <cellStyle name="40% - Ênfase3 3 4 2 2 3" xfId="16613"/>
    <cellStyle name="40% - Ênfase3 3 4 2 2 4" xfId="20645"/>
    <cellStyle name="40% - Ênfase3 3 4 2 2 5" xfId="24677"/>
    <cellStyle name="40% - Ênfase3 3 4 2 2 6" xfId="28709"/>
    <cellStyle name="40% - Ênfase3 3 4 2 2 7" xfId="32741"/>
    <cellStyle name="40% - Ênfase3 3 4 2 2 8" xfId="36773"/>
    <cellStyle name="40% - Ênfase3 3 4 2 2 9" xfId="40805"/>
    <cellStyle name="40% - Ênfase3 3 4 2 3" xfId="10565"/>
    <cellStyle name="40% - Ênfase3 3 4 2 4" xfId="14597"/>
    <cellStyle name="40% - Ênfase3 3 4 2 5" xfId="18629"/>
    <cellStyle name="40% - Ênfase3 3 4 2 6" xfId="22661"/>
    <cellStyle name="40% - Ênfase3 3 4 2 7" xfId="26693"/>
    <cellStyle name="40% - Ênfase3 3 4 2 8" xfId="30725"/>
    <cellStyle name="40% - Ênfase3 3 4 2 9" xfId="34757"/>
    <cellStyle name="40% - Ênfase3 3 4 3" xfId="7596"/>
    <cellStyle name="40% - Ênfase3 3 4 3 10" xfId="43886"/>
    <cellStyle name="40% - Ênfase3 3 4 3 11" xfId="47918"/>
    <cellStyle name="40% - Ênfase3 3 4 3 12" xfId="51997"/>
    <cellStyle name="40% - Ênfase3 3 4 3 2" xfId="11630"/>
    <cellStyle name="40% - Ênfase3 3 4 3 3" xfId="15662"/>
    <cellStyle name="40% - Ênfase3 3 4 3 4" xfId="19694"/>
    <cellStyle name="40% - Ênfase3 3 4 3 5" xfId="23726"/>
    <cellStyle name="40% - Ênfase3 3 4 3 6" xfId="27758"/>
    <cellStyle name="40% - Ênfase3 3 4 3 7" xfId="31790"/>
    <cellStyle name="40% - Ênfase3 3 4 3 8" xfId="35822"/>
    <cellStyle name="40% - Ênfase3 3 4 3 9" xfId="39854"/>
    <cellStyle name="40% - Ênfase3 3 4 4" xfId="9614"/>
    <cellStyle name="40% - Ênfase3 3 4 5" xfId="13646"/>
    <cellStyle name="40% - Ênfase3 3 4 6" xfId="17678"/>
    <cellStyle name="40% - Ênfase3 3 4 7" xfId="21710"/>
    <cellStyle name="40% - Ênfase3 3 4 8" xfId="25742"/>
    <cellStyle name="40% - Ênfase3 3 4 9" xfId="29774"/>
    <cellStyle name="40% - Ênfase3 4" xfId="1133"/>
    <cellStyle name="40% - Ênfase3 4 2" xfId="2054"/>
    <cellStyle name="40% - Ênfase3 4 3" xfId="2055"/>
    <cellStyle name="40% - Ênfase3 4 4" xfId="2053"/>
    <cellStyle name="40% - Ênfase3 4 4 10" xfId="33807"/>
    <cellStyle name="40% - Ênfase3 4 4 11" xfId="37839"/>
    <cellStyle name="40% - Ênfase3 4 4 12" xfId="41871"/>
    <cellStyle name="40% - Ênfase3 4 4 13" xfId="45903"/>
    <cellStyle name="40% - Ênfase3 4 4 14" xfId="49981"/>
    <cellStyle name="40% - Ênfase3 4 4 2" xfId="5522"/>
    <cellStyle name="40% - Ênfase3 4 4 2 10" xfId="38790"/>
    <cellStyle name="40% - Ênfase3 4 4 2 11" xfId="42822"/>
    <cellStyle name="40% - Ênfase3 4 4 2 12" xfId="46854"/>
    <cellStyle name="40% - Ênfase3 4 4 2 13" xfId="50933"/>
    <cellStyle name="40% - Ênfase3 4 4 2 2" xfId="8548"/>
    <cellStyle name="40% - Ênfase3 4 4 2 2 10" xfId="44838"/>
    <cellStyle name="40% - Ênfase3 4 4 2 2 11" xfId="48870"/>
    <cellStyle name="40% - Ênfase3 4 4 2 2 12" xfId="52949"/>
    <cellStyle name="40% - Ênfase3 4 4 2 2 2" xfId="12582"/>
    <cellStyle name="40% - Ênfase3 4 4 2 2 3" xfId="16614"/>
    <cellStyle name="40% - Ênfase3 4 4 2 2 4" xfId="20646"/>
    <cellStyle name="40% - Ênfase3 4 4 2 2 5" xfId="24678"/>
    <cellStyle name="40% - Ênfase3 4 4 2 2 6" xfId="28710"/>
    <cellStyle name="40% - Ênfase3 4 4 2 2 7" xfId="32742"/>
    <cellStyle name="40% - Ênfase3 4 4 2 2 8" xfId="36774"/>
    <cellStyle name="40% - Ênfase3 4 4 2 2 9" xfId="40806"/>
    <cellStyle name="40% - Ênfase3 4 4 2 3" xfId="10566"/>
    <cellStyle name="40% - Ênfase3 4 4 2 4" xfId="14598"/>
    <cellStyle name="40% - Ênfase3 4 4 2 5" xfId="18630"/>
    <cellStyle name="40% - Ênfase3 4 4 2 6" xfId="22662"/>
    <cellStyle name="40% - Ênfase3 4 4 2 7" xfId="26694"/>
    <cellStyle name="40% - Ênfase3 4 4 2 8" xfId="30726"/>
    <cellStyle name="40% - Ênfase3 4 4 2 9" xfId="34758"/>
    <cellStyle name="40% - Ênfase3 4 4 3" xfId="7597"/>
    <cellStyle name="40% - Ênfase3 4 4 3 10" xfId="43887"/>
    <cellStyle name="40% - Ênfase3 4 4 3 11" xfId="47919"/>
    <cellStyle name="40% - Ênfase3 4 4 3 12" xfId="51998"/>
    <cellStyle name="40% - Ênfase3 4 4 3 2" xfId="11631"/>
    <cellStyle name="40% - Ênfase3 4 4 3 3" xfId="15663"/>
    <cellStyle name="40% - Ênfase3 4 4 3 4" xfId="19695"/>
    <cellStyle name="40% - Ênfase3 4 4 3 5" xfId="23727"/>
    <cellStyle name="40% - Ênfase3 4 4 3 6" xfId="27759"/>
    <cellStyle name="40% - Ênfase3 4 4 3 7" xfId="31791"/>
    <cellStyle name="40% - Ênfase3 4 4 3 8" xfId="35823"/>
    <cellStyle name="40% - Ênfase3 4 4 3 9" xfId="39855"/>
    <cellStyle name="40% - Ênfase3 4 4 4" xfId="9615"/>
    <cellStyle name="40% - Ênfase3 4 4 5" xfId="13647"/>
    <cellStyle name="40% - Ênfase3 4 4 6" xfId="17679"/>
    <cellStyle name="40% - Ênfase3 4 4 7" xfId="21711"/>
    <cellStyle name="40% - Ênfase3 4 4 8" xfId="25743"/>
    <cellStyle name="40% - Ênfase3 4 4 9" xfId="29775"/>
    <cellStyle name="40% - Ênfase3 5" xfId="1177"/>
    <cellStyle name="40% - Ênfase3 5 2" xfId="2057"/>
    <cellStyle name="40% - Ênfase3 5 3" xfId="2058"/>
    <cellStyle name="40% - Ênfase3 5 4" xfId="2056"/>
    <cellStyle name="40% - Ênfase3 5 4 10" xfId="33808"/>
    <cellStyle name="40% - Ênfase3 5 4 11" xfId="37840"/>
    <cellStyle name="40% - Ênfase3 5 4 12" xfId="41872"/>
    <cellStyle name="40% - Ênfase3 5 4 13" xfId="45904"/>
    <cellStyle name="40% - Ênfase3 5 4 14" xfId="49982"/>
    <cellStyle name="40% - Ênfase3 5 4 2" xfId="5523"/>
    <cellStyle name="40% - Ênfase3 5 4 2 10" xfId="38791"/>
    <cellStyle name="40% - Ênfase3 5 4 2 11" xfId="42823"/>
    <cellStyle name="40% - Ênfase3 5 4 2 12" xfId="46855"/>
    <cellStyle name="40% - Ênfase3 5 4 2 13" xfId="50934"/>
    <cellStyle name="40% - Ênfase3 5 4 2 2" xfId="8549"/>
    <cellStyle name="40% - Ênfase3 5 4 2 2 10" xfId="44839"/>
    <cellStyle name="40% - Ênfase3 5 4 2 2 11" xfId="48871"/>
    <cellStyle name="40% - Ênfase3 5 4 2 2 12" xfId="52950"/>
    <cellStyle name="40% - Ênfase3 5 4 2 2 2" xfId="12583"/>
    <cellStyle name="40% - Ênfase3 5 4 2 2 3" xfId="16615"/>
    <cellStyle name="40% - Ênfase3 5 4 2 2 4" xfId="20647"/>
    <cellStyle name="40% - Ênfase3 5 4 2 2 5" xfId="24679"/>
    <cellStyle name="40% - Ênfase3 5 4 2 2 6" xfId="28711"/>
    <cellStyle name="40% - Ênfase3 5 4 2 2 7" xfId="32743"/>
    <cellStyle name="40% - Ênfase3 5 4 2 2 8" xfId="36775"/>
    <cellStyle name="40% - Ênfase3 5 4 2 2 9" xfId="40807"/>
    <cellStyle name="40% - Ênfase3 5 4 2 3" xfId="10567"/>
    <cellStyle name="40% - Ênfase3 5 4 2 4" xfId="14599"/>
    <cellStyle name="40% - Ênfase3 5 4 2 5" xfId="18631"/>
    <cellStyle name="40% - Ênfase3 5 4 2 6" xfId="22663"/>
    <cellStyle name="40% - Ênfase3 5 4 2 7" xfId="26695"/>
    <cellStyle name="40% - Ênfase3 5 4 2 8" xfId="30727"/>
    <cellStyle name="40% - Ênfase3 5 4 2 9" xfId="34759"/>
    <cellStyle name="40% - Ênfase3 5 4 3" xfId="7598"/>
    <cellStyle name="40% - Ênfase3 5 4 3 10" xfId="43888"/>
    <cellStyle name="40% - Ênfase3 5 4 3 11" xfId="47920"/>
    <cellStyle name="40% - Ênfase3 5 4 3 12" xfId="51999"/>
    <cellStyle name="40% - Ênfase3 5 4 3 2" xfId="11632"/>
    <cellStyle name="40% - Ênfase3 5 4 3 3" xfId="15664"/>
    <cellStyle name="40% - Ênfase3 5 4 3 4" xfId="19696"/>
    <cellStyle name="40% - Ênfase3 5 4 3 5" xfId="23728"/>
    <cellStyle name="40% - Ênfase3 5 4 3 6" xfId="27760"/>
    <cellStyle name="40% - Ênfase3 5 4 3 7" xfId="31792"/>
    <cellStyle name="40% - Ênfase3 5 4 3 8" xfId="35824"/>
    <cellStyle name="40% - Ênfase3 5 4 3 9" xfId="39856"/>
    <cellStyle name="40% - Ênfase3 5 4 4" xfId="9616"/>
    <cellStyle name="40% - Ênfase3 5 4 5" xfId="13648"/>
    <cellStyle name="40% - Ênfase3 5 4 6" xfId="17680"/>
    <cellStyle name="40% - Ênfase3 5 4 7" xfId="21712"/>
    <cellStyle name="40% - Ênfase3 5 4 8" xfId="25744"/>
    <cellStyle name="40% - Ênfase3 5 4 9" xfId="29776"/>
    <cellStyle name="40% - Ênfase3 6" xfId="1184"/>
    <cellStyle name="40% - Ênfase3 6 2" xfId="2060"/>
    <cellStyle name="40% - Ênfase3 6 3" xfId="2061"/>
    <cellStyle name="40% - Ênfase3 6 4" xfId="2059"/>
    <cellStyle name="40% - Ênfase3 6 4 10" xfId="33809"/>
    <cellStyle name="40% - Ênfase3 6 4 11" xfId="37841"/>
    <cellStyle name="40% - Ênfase3 6 4 12" xfId="41873"/>
    <cellStyle name="40% - Ênfase3 6 4 13" xfId="45905"/>
    <cellStyle name="40% - Ênfase3 6 4 14" xfId="49983"/>
    <cellStyle name="40% - Ênfase3 6 4 2" xfId="5524"/>
    <cellStyle name="40% - Ênfase3 6 4 2 10" xfId="38792"/>
    <cellStyle name="40% - Ênfase3 6 4 2 11" xfId="42824"/>
    <cellStyle name="40% - Ênfase3 6 4 2 12" xfId="46856"/>
    <cellStyle name="40% - Ênfase3 6 4 2 13" xfId="50935"/>
    <cellStyle name="40% - Ênfase3 6 4 2 2" xfId="8550"/>
    <cellStyle name="40% - Ênfase3 6 4 2 2 10" xfId="44840"/>
    <cellStyle name="40% - Ênfase3 6 4 2 2 11" xfId="48872"/>
    <cellStyle name="40% - Ênfase3 6 4 2 2 12" xfId="52951"/>
    <cellStyle name="40% - Ênfase3 6 4 2 2 2" xfId="12584"/>
    <cellStyle name="40% - Ênfase3 6 4 2 2 3" xfId="16616"/>
    <cellStyle name="40% - Ênfase3 6 4 2 2 4" xfId="20648"/>
    <cellStyle name="40% - Ênfase3 6 4 2 2 5" xfId="24680"/>
    <cellStyle name="40% - Ênfase3 6 4 2 2 6" xfId="28712"/>
    <cellStyle name="40% - Ênfase3 6 4 2 2 7" xfId="32744"/>
    <cellStyle name="40% - Ênfase3 6 4 2 2 8" xfId="36776"/>
    <cellStyle name="40% - Ênfase3 6 4 2 2 9" xfId="40808"/>
    <cellStyle name="40% - Ênfase3 6 4 2 3" xfId="10568"/>
    <cellStyle name="40% - Ênfase3 6 4 2 4" xfId="14600"/>
    <cellStyle name="40% - Ênfase3 6 4 2 5" xfId="18632"/>
    <cellStyle name="40% - Ênfase3 6 4 2 6" xfId="22664"/>
    <cellStyle name="40% - Ênfase3 6 4 2 7" xfId="26696"/>
    <cellStyle name="40% - Ênfase3 6 4 2 8" xfId="30728"/>
    <cellStyle name="40% - Ênfase3 6 4 2 9" xfId="34760"/>
    <cellStyle name="40% - Ênfase3 6 4 3" xfId="7599"/>
    <cellStyle name="40% - Ênfase3 6 4 3 10" xfId="43889"/>
    <cellStyle name="40% - Ênfase3 6 4 3 11" xfId="47921"/>
    <cellStyle name="40% - Ênfase3 6 4 3 12" xfId="52000"/>
    <cellStyle name="40% - Ênfase3 6 4 3 2" xfId="11633"/>
    <cellStyle name="40% - Ênfase3 6 4 3 3" xfId="15665"/>
    <cellStyle name="40% - Ênfase3 6 4 3 4" xfId="19697"/>
    <cellStyle name="40% - Ênfase3 6 4 3 5" xfId="23729"/>
    <cellStyle name="40% - Ênfase3 6 4 3 6" xfId="27761"/>
    <cellStyle name="40% - Ênfase3 6 4 3 7" xfId="31793"/>
    <cellStyle name="40% - Ênfase3 6 4 3 8" xfId="35825"/>
    <cellStyle name="40% - Ênfase3 6 4 3 9" xfId="39857"/>
    <cellStyle name="40% - Ênfase3 6 4 4" xfId="9617"/>
    <cellStyle name="40% - Ênfase3 6 4 5" xfId="13649"/>
    <cellStyle name="40% - Ênfase3 6 4 6" xfId="17681"/>
    <cellStyle name="40% - Ênfase3 6 4 7" xfId="21713"/>
    <cellStyle name="40% - Ênfase3 6 4 8" xfId="25745"/>
    <cellStyle name="40% - Ênfase3 6 4 9" xfId="29777"/>
    <cellStyle name="40% - Ênfase3 7" xfId="2062"/>
    <cellStyle name="40% - Ênfase3 7 10" xfId="25746"/>
    <cellStyle name="40% - Ênfase3 7 11" xfId="29778"/>
    <cellStyle name="40% - Ênfase3 7 12" xfId="33810"/>
    <cellStyle name="40% - Ênfase3 7 13" xfId="37842"/>
    <cellStyle name="40% - Ênfase3 7 14" xfId="41874"/>
    <cellStyle name="40% - Ênfase3 7 15" xfId="45906"/>
    <cellStyle name="40% - Ênfase3 7 16" xfId="49984"/>
    <cellStyle name="40% - Ênfase3 7 2" xfId="2063"/>
    <cellStyle name="40% - Ênfase3 7 3" xfId="2064"/>
    <cellStyle name="40% - Ênfase3 7 4" xfId="5525"/>
    <cellStyle name="40% - Ênfase3 7 4 10" xfId="38793"/>
    <cellStyle name="40% - Ênfase3 7 4 11" xfId="42825"/>
    <cellStyle name="40% - Ênfase3 7 4 12" xfId="46857"/>
    <cellStyle name="40% - Ênfase3 7 4 13" xfId="50936"/>
    <cellStyle name="40% - Ênfase3 7 4 2" xfId="8551"/>
    <cellStyle name="40% - Ênfase3 7 4 2 10" xfId="44841"/>
    <cellStyle name="40% - Ênfase3 7 4 2 11" xfId="48873"/>
    <cellStyle name="40% - Ênfase3 7 4 2 12" xfId="52952"/>
    <cellStyle name="40% - Ênfase3 7 4 2 2" xfId="12585"/>
    <cellStyle name="40% - Ênfase3 7 4 2 3" xfId="16617"/>
    <cellStyle name="40% - Ênfase3 7 4 2 4" xfId="20649"/>
    <cellStyle name="40% - Ênfase3 7 4 2 5" xfId="24681"/>
    <cellStyle name="40% - Ênfase3 7 4 2 6" xfId="28713"/>
    <cellStyle name="40% - Ênfase3 7 4 2 7" xfId="32745"/>
    <cellStyle name="40% - Ênfase3 7 4 2 8" xfId="36777"/>
    <cellStyle name="40% - Ênfase3 7 4 2 9" xfId="40809"/>
    <cellStyle name="40% - Ênfase3 7 4 3" xfId="10569"/>
    <cellStyle name="40% - Ênfase3 7 4 4" xfId="14601"/>
    <cellStyle name="40% - Ênfase3 7 4 5" xfId="18633"/>
    <cellStyle name="40% - Ênfase3 7 4 6" xfId="22665"/>
    <cellStyle name="40% - Ênfase3 7 4 7" xfId="26697"/>
    <cellStyle name="40% - Ênfase3 7 4 8" xfId="30729"/>
    <cellStyle name="40% - Ênfase3 7 4 9" xfId="34761"/>
    <cellStyle name="40% - Ênfase3 7 5" xfId="7600"/>
    <cellStyle name="40% - Ênfase3 7 5 10" xfId="43890"/>
    <cellStyle name="40% - Ênfase3 7 5 11" xfId="47922"/>
    <cellStyle name="40% - Ênfase3 7 5 12" xfId="52001"/>
    <cellStyle name="40% - Ênfase3 7 5 2" xfId="11634"/>
    <cellStyle name="40% - Ênfase3 7 5 3" xfId="15666"/>
    <cellStyle name="40% - Ênfase3 7 5 4" xfId="19698"/>
    <cellStyle name="40% - Ênfase3 7 5 5" xfId="23730"/>
    <cellStyle name="40% - Ênfase3 7 5 6" xfId="27762"/>
    <cellStyle name="40% - Ênfase3 7 5 7" xfId="31794"/>
    <cellStyle name="40% - Ênfase3 7 5 8" xfId="35826"/>
    <cellStyle name="40% - Ênfase3 7 5 9" xfId="39858"/>
    <cellStyle name="40% - Ênfase3 7 6" xfId="9618"/>
    <cellStyle name="40% - Ênfase3 7 7" xfId="13650"/>
    <cellStyle name="40% - Ênfase3 7 8" xfId="17682"/>
    <cellStyle name="40% - Ênfase3 7 9" xfId="21714"/>
    <cellStyle name="40% - Ênfase3 8" xfId="2065"/>
    <cellStyle name="40% - Ênfase3 8 2" xfId="2066"/>
    <cellStyle name="40% - Ênfase3 9" xfId="2067"/>
    <cellStyle name="40% - Ênfase3 9 2" xfId="2068"/>
    <cellStyle name="40% - Ênfase4 10" xfId="2069"/>
    <cellStyle name="40% - Ênfase4 10 10" xfId="29779"/>
    <cellStyle name="40% - Ênfase4 10 11" xfId="33811"/>
    <cellStyle name="40% - Ênfase4 10 12" xfId="37843"/>
    <cellStyle name="40% - Ênfase4 10 13" xfId="41875"/>
    <cellStyle name="40% - Ênfase4 10 14" xfId="45907"/>
    <cellStyle name="40% - Ênfase4 10 15" xfId="49985"/>
    <cellStyle name="40% - Ênfase4 10 2" xfId="2070"/>
    <cellStyle name="40% - Ênfase4 10 3" xfId="5526"/>
    <cellStyle name="40% - Ênfase4 10 3 10" xfId="38794"/>
    <cellStyle name="40% - Ênfase4 10 3 11" xfId="42826"/>
    <cellStyle name="40% - Ênfase4 10 3 12" xfId="46858"/>
    <cellStyle name="40% - Ênfase4 10 3 13" xfId="50937"/>
    <cellStyle name="40% - Ênfase4 10 3 2" xfId="8552"/>
    <cellStyle name="40% - Ênfase4 10 3 2 10" xfId="44842"/>
    <cellStyle name="40% - Ênfase4 10 3 2 11" xfId="48874"/>
    <cellStyle name="40% - Ênfase4 10 3 2 12" xfId="52953"/>
    <cellStyle name="40% - Ênfase4 10 3 2 2" xfId="12586"/>
    <cellStyle name="40% - Ênfase4 10 3 2 3" xfId="16618"/>
    <cellStyle name="40% - Ênfase4 10 3 2 4" xfId="20650"/>
    <cellStyle name="40% - Ênfase4 10 3 2 5" xfId="24682"/>
    <cellStyle name="40% - Ênfase4 10 3 2 6" xfId="28714"/>
    <cellStyle name="40% - Ênfase4 10 3 2 7" xfId="32746"/>
    <cellStyle name="40% - Ênfase4 10 3 2 8" xfId="36778"/>
    <cellStyle name="40% - Ênfase4 10 3 2 9" xfId="40810"/>
    <cellStyle name="40% - Ênfase4 10 3 3" xfId="10570"/>
    <cellStyle name="40% - Ênfase4 10 3 4" xfId="14602"/>
    <cellStyle name="40% - Ênfase4 10 3 5" xfId="18634"/>
    <cellStyle name="40% - Ênfase4 10 3 6" xfId="22666"/>
    <cellStyle name="40% - Ênfase4 10 3 7" xfId="26698"/>
    <cellStyle name="40% - Ênfase4 10 3 8" xfId="30730"/>
    <cellStyle name="40% - Ênfase4 10 3 9" xfId="34762"/>
    <cellStyle name="40% - Ênfase4 10 4" xfId="7601"/>
    <cellStyle name="40% - Ênfase4 10 4 10" xfId="43891"/>
    <cellStyle name="40% - Ênfase4 10 4 11" xfId="47923"/>
    <cellStyle name="40% - Ênfase4 10 4 12" xfId="52002"/>
    <cellStyle name="40% - Ênfase4 10 4 2" xfId="11635"/>
    <cellStyle name="40% - Ênfase4 10 4 3" xfId="15667"/>
    <cellStyle name="40% - Ênfase4 10 4 4" xfId="19699"/>
    <cellStyle name="40% - Ênfase4 10 4 5" xfId="23731"/>
    <cellStyle name="40% - Ênfase4 10 4 6" xfId="27763"/>
    <cellStyle name="40% - Ênfase4 10 4 7" xfId="31795"/>
    <cellStyle name="40% - Ênfase4 10 4 8" xfId="35827"/>
    <cellStyle name="40% - Ênfase4 10 4 9" xfId="39859"/>
    <cellStyle name="40% - Ênfase4 10 5" xfId="9619"/>
    <cellStyle name="40% - Ênfase4 10 6" xfId="13651"/>
    <cellStyle name="40% - Ênfase4 10 7" xfId="17683"/>
    <cellStyle name="40% - Ênfase4 10 8" xfId="21715"/>
    <cellStyle name="40% - Ênfase4 10 9" xfId="25747"/>
    <cellStyle name="40% - Ênfase4 11" xfId="2071"/>
    <cellStyle name="40% - Ênfase4 11 10" xfId="29780"/>
    <cellStyle name="40% - Ênfase4 11 11" xfId="33812"/>
    <cellStyle name="40% - Ênfase4 11 12" xfId="37844"/>
    <cellStyle name="40% - Ênfase4 11 13" xfId="41876"/>
    <cellStyle name="40% - Ênfase4 11 14" xfId="45908"/>
    <cellStyle name="40% - Ênfase4 11 15" xfId="49986"/>
    <cellStyle name="40% - Ênfase4 11 2" xfId="2072"/>
    <cellStyle name="40% - Ênfase4 11 3" xfId="5527"/>
    <cellStyle name="40% - Ênfase4 11 3 10" xfId="38795"/>
    <cellStyle name="40% - Ênfase4 11 3 11" xfId="42827"/>
    <cellStyle name="40% - Ênfase4 11 3 12" xfId="46859"/>
    <cellStyle name="40% - Ênfase4 11 3 13" xfId="50938"/>
    <cellStyle name="40% - Ênfase4 11 3 2" xfId="8553"/>
    <cellStyle name="40% - Ênfase4 11 3 2 10" xfId="44843"/>
    <cellStyle name="40% - Ênfase4 11 3 2 11" xfId="48875"/>
    <cellStyle name="40% - Ênfase4 11 3 2 12" xfId="52954"/>
    <cellStyle name="40% - Ênfase4 11 3 2 2" xfId="12587"/>
    <cellStyle name="40% - Ênfase4 11 3 2 3" xfId="16619"/>
    <cellStyle name="40% - Ênfase4 11 3 2 4" xfId="20651"/>
    <cellStyle name="40% - Ênfase4 11 3 2 5" xfId="24683"/>
    <cellStyle name="40% - Ênfase4 11 3 2 6" xfId="28715"/>
    <cellStyle name="40% - Ênfase4 11 3 2 7" xfId="32747"/>
    <cellStyle name="40% - Ênfase4 11 3 2 8" xfId="36779"/>
    <cellStyle name="40% - Ênfase4 11 3 2 9" xfId="40811"/>
    <cellStyle name="40% - Ênfase4 11 3 3" xfId="10571"/>
    <cellStyle name="40% - Ênfase4 11 3 4" xfId="14603"/>
    <cellStyle name="40% - Ênfase4 11 3 5" xfId="18635"/>
    <cellStyle name="40% - Ênfase4 11 3 6" xfId="22667"/>
    <cellStyle name="40% - Ênfase4 11 3 7" xfId="26699"/>
    <cellStyle name="40% - Ênfase4 11 3 8" xfId="30731"/>
    <cellStyle name="40% - Ênfase4 11 3 9" xfId="34763"/>
    <cellStyle name="40% - Ênfase4 11 4" xfId="7602"/>
    <cellStyle name="40% - Ênfase4 11 4 10" xfId="43892"/>
    <cellStyle name="40% - Ênfase4 11 4 11" xfId="47924"/>
    <cellStyle name="40% - Ênfase4 11 4 12" xfId="52003"/>
    <cellStyle name="40% - Ênfase4 11 4 2" xfId="11636"/>
    <cellStyle name="40% - Ênfase4 11 4 3" xfId="15668"/>
    <cellStyle name="40% - Ênfase4 11 4 4" xfId="19700"/>
    <cellStyle name="40% - Ênfase4 11 4 5" xfId="23732"/>
    <cellStyle name="40% - Ênfase4 11 4 6" xfId="27764"/>
    <cellStyle name="40% - Ênfase4 11 4 7" xfId="31796"/>
    <cellStyle name="40% - Ênfase4 11 4 8" xfId="35828"/>
    <cellStyle name="40% - Ênfase4 11 4 9" xfId="39860"/>
    <cellStyle name="40% - Ênfase4 11 5" xfId="9620"/>
    <cellStyle name="40% - Ênfase4 11 6" xfId="13652"/>
    <cellStyle name="40% - Ênfase4 11 7" xfId="17684"/>
    <cellStyle name="40% - Ênfase4 11 8" xfId="21716"/>
    <cellStyle name="40% - Ênfase4 11 9" xfId="25748"/>
    <cellStyle name="40% - Ênfase4 12" xfId="2073"/>
    <cellStyle name="40% - Ênfase4 12 10" xfId="29781"/>
    <cellStyle name="40% - Ênfase4 12 11" xfId="33813"/>
    <cellStyle name="40% - Ênfase4 12 12" xfId="37845"/>
    <cellStyle name="40% - Ênfase4 12 13" xfId="41877"/>
    <cellStyle name="40% - Ênfase4 12 14" xfId="45909"/>
    <cellStyle name="40% - Ênfase4 12 15" xfId="49987"/>
    <cellStyle name="40% - Ênfase4 12 2" xfId="2074"/>
    <cellStyle name="40% - Ênfase4 12 3" xfId="5528"/>
    <cellStyle name="40% - Ênfase4 12 3 10" xfId="38796"/>
    <cellStyle name="40% - Ênfase4 12 3 11" xfId="42828"/>
    <cellStyle name="40% - Ênfase4 12 3 12" xfId="46860"/>
    <cellStyle name="40% - Ênfase4 12 3 13" xfId="50939"/>
    <cellStyle name="40% - Ênfase4 12 3 2" xfId="8554"/>
    <cellStyle name="40% - Ênfase4 12 3 2 10" xfId="44844"/>
    <cellStyle name="40% - Ênfase4 12 3 2 11" xfId="48876"/>
    <cellStyle name="40% - Ênfase4 12 3 2 12" xfId="52955"/>
    <cellStyle name="40% - Ênfase4 12 3 2 2" xfId="12588"/>
    <cellStyle name="40% - Ênfase4 12 3 2 3" xfId="16620"/>
    <cellStyle name="40% - Ênfase4 12 3 2 4" xfId="20652"/>
    <cellStyle name="40% - Ênfase4 12 3 2 5" xfId="24684"/>
    <cellStyle name="40% - Ênfase4 12 3 2 6" xfId="28716"/>
    <cellStyle name="40% - Ênfase4 12 3 2 7" xfId="32748"/>
    <cellStyle name="40% - Ênfase4 12 3 2 8" xfId="36780"/>
    <cellStyle name="40% - Ênfase4 12 3 2 9" xfId="40812"/>
    <cellStyle name="40% - Ênfase4 12 3 3" xfId="10572"/>
    <cellStyle name="40% - Ênfase4 12 3 4" xfId="14604"/>
    <cellStyle name="40% - Ênfase4 12 3 5" xfId="18636"/>
    <cellStyle name="40% - Ênfase4 12 3 6" xfId="22668"/>
    <cellStyle name="40% - Ênfase4 12 3 7" xfId="26700"/>
    <cellStyle name="40% - Ênfase4 12 3 8" xfId="30732"/>
    <cellStyle name="40% - Ênfase4 12 3 9" xfId="34764"/>
    <cellStyle name="40% - Ênfase4 12 4" xfId="7603"/>
    <cellStyle name="40% - Ênfase4 12 4 10" xfId="43893"/>
    <cellStyle name="40% - Ênfase4 12 4 11" xfId="47925"/>
    <cellStyle name="40% - Ênfase4 12 4 12" xfId="52004"/>
    <cellStyle name="40% - Ênfase4 12 4 2" xfId="11637"/>
    <cellStyle name="40% - Ênfase4 12 4 3" xfId="15669"/>
    <cellStyle name="40% - Ênfase4 12 4 4" xfId="19701"/>
    <cellStyle name="40% - Ênfase4 12 4 5" xfId="23733"/>
    <cellStyle name="40% - Ênfase4 12 4 6" xfId="27765"/>
    <cellStyle name="40% - Ênfase4 12 4 7" xfId="31797"/>
    <cellStyle name="40% - Ênfase4 12 4 8" xfId="35829"/>
    <cellStyle name="40% - Ênfase4 12 4 9" xfId="39861"/>
    <cellStyle name="40% - Ênfase4 12 5" xfId="9621"/>
    <cellStyle name="40% - Ênfase4 12 6" xfId="13653"/>
    <cellStyle name="40% - Ênfase4 12 7" xfId="17685"/>
    <cellStyle name="40% - Ênfase4 12 8" xfId="21717"/>
    <cellStyle name="40% - Ênfase4 12 9" xfId="25749"/>
    <cellStyle name="40% - Ênfase4 13" xfId="2075"/>
    <cellStyle name="40% - Ênfase4 13 10" xfId="29782"/>
    <cellStyle name="40% - Ênfase4 13 11" xfId="33814"/>
    <cellStyle name="40% - Ênfase4 13 12" xfId="37846"/>
    <cellStyle name="40% - Ênfase4 13 13" xfId="41878"/>
    <cellStyle name="40% - Ênfase4 13 14" xfId="45910"/>
    <cellStyle name="40% - Ênfase4 13 15" xfId="49988"/>
    <cellStyle name="40% - Ênfase4 13 2" xfId="2076"/>
    <cellStyle name="40% - Ênfase4 13 3" xfId="5529"/>
    <cellStyle name="40% - Ênfase4 13 3 10" xfId="38797"/>
    <cellStyle name="40% - Ênfase4 13 3 11" xfId="42829"/>
    <cellStyle name="40% - Ênfase4 13 3 12" xfId="46861"/>
    <cellStyle name="40% - Ênfase4 13 3 13" xfId="50940"/>
    <cellStyle name="40% - Ênfase4 13 3 2" xfId="8555"/>
    <cellStyle name="40% - Ênfase4 13 3 2 10" xfId="44845"/>
    <cellStyle name="40% - Ênfase4 13 3 2 11" xfId="48877"/>
    <cellStyle name="40% - Ênfase4 13 3 2 12" xfId="52956"/>
    <cellStyle name="40% - Ênfase4 13 3 2 2" xfId="12589"/>
    <cellStyle name="40% - Ênfase4 13 3 2 3" xfId="16621"/>
    <cellStyle name="40% - Ênfase4 13 3 2 4" xfId="20653"/>
    <cellStyle name="40% - Ênfase4 13 3 2 5" xfId="24685"/>
    <cellStyle name="40% - Ênfase4 13 3 2 6" xfId="28717"/>
    <cellStyle name="40% - Ênfase4 13 3 2 7" xfId="32749"/>
    <cellStyle name="40% - Ênfase4 13 3 2 8" xfId="36781"/>
    <cellStyle name="40% - Ênfase4 13 3 2 9" xfId="40813"/>
    <cellStyle name="40% - Ênfase4 13 3 3" xfId="10573"/>
    <cellStyle name="40% - Ênfase4 13 3 4" xfId="14605"/>
    <cellStyle name="40% - Ênfase4 13 3 5" xfId="18637"/>
    <cellStyle name="40% - Ênfase4 13 3 6" xfId="22669"/>
    <cellStyle name="40% - Ênfase4 13 3 7" xfId="26701"/>
    <cellStyle name="40% - Ênfase4 13 3 8" xfId="30733"/>
    <cellStyle name="40% - Ênfase4 13 3 9" xfId="34765"/>
    <cellStyle name="40% - Ênfase4 13 4" xfId="7604"/>
    <cellStyle name="40% - Ênfase4 13 4 10" xfId="43894"/>
    <cellStyle name="40% - Ênfase4 13 4 11" xfId="47926"/>
    <cellStyle name="40% - Ênfase4 13 4 12" xfId="52005"/>
    <cellStyle name="40% - Ênfase4 13 4 2" xfId="11638"/>
    <cellStyle name="40% - Ênfase4 13 4 3" xfId="15670"/>
    <cellStyle name="40% - Ênfase4 13 4 4" xfId="19702"/>
    <cellStyle name="40% - Ênfase4 13 4 5" xfId="23734"/>
    <cellStyle name="40% - Ênfase4 13 4 6" xfId="27766"/>
    <cellStyle name="40% - Ênfase4 13 4 7" xfId="31798"/>
    <cellStyle name="40% - Ênfase4 13 4 8" xfId="35830"/>
    <cellStyle name="40% - Ênfase4 13 4 9" xfId="39862"/>
    <cellStyle name="40% - Ênfase4 13 5" xfId="9622"/>
    <cellStyle name="40% - Ênfase4 13 6" xfId="13654"/>
    <cellStyle name="40% - Ênfase4 13 7" xfId="17686"/>
    <cellStyle name="40% - Ênfase4 13 8" xfId="21718"/>
    <cellStyle name="40% - Ênfase4 13 9" xfId="25750"/>
    <cellStyle name="40% - Ênfase4 14 2" xfId="2077"/>
    <cellStyle name="40% - Ênfase4 15 2" xfId="2078"/>
    <cellStyle name="40% - Ênfase4 16 2" xfId="2079"/>
    <cellStyle name="40% - Ênfase4 17 2" xfId="2080"/>
    <cellStyle name="40% - Ênfase4 2" xfId="392"/>
    <cellStyle name="40% - Ênfase4 2 2" xfId="531"/>
    <cellStyle name="40% - Ênfase4 2 2 2" xfId="2082"/>
    <cellStyle name="40% - Ênfase4 2 3" xfId="844"/>
    <cellStyle name="40% - Ênfase4 2 3 2" xfId="2083"/>
    <cellStyle name="40% - Ênfase4 2 4" xfId="1036"/>
    <cellStyle name="40% - Ênfase4 2 5" xfId="2081"/>
    <cellStyle name="40% - Ênfase4 2 5 10" xfId="33815"/>
    <cellStyle name="40% - Ênfase4 2 5 11" xfId="37847"/>
    <cellStyle name="40% - Ênfase4 2 5 12" xfId="41879"/>
    <cellStyle name="40% - Ênfase4 2 5 13" xfId="45911"/>
    <cellStyle name="40% - Ênfase4 2 5 14" xfId="49989"/>
    <cellStyle name="40% - Ênfase4 2 5 2" xfId="5530"/>
    <cellStyle name="40% - Ênfase4 2 5 2 10" xfId="38798"/>
    <cellStyle name="40% - Ênfase4 2 5 2 11" xfId="42830"/>
    <cellStyle name="40% - Ênfase4 2 5 2 12" xfId="46862"/>
    <cellStyle name="40% - Ênfase4 2 5 2 13" xfId="50941"/>
    <cellStyle name="40% - Ênfase4 2 5 2 2" xfId="8556"/>
    <cellStyle name="40% - Ênfase4 2 5 2 2 10" xfId="44846"/>
    <cellStyle name="40% - Ênfase4 2 5 2 2 11" xfId="48878"/>
    <cellStyle name="40% - Ênfase4 2 5 2 2 12" xfId="52957"/>
    <cellStyle name="40% - Ênfase4 2 5 2 2 2" xfId="12590"/>
    <cellStyle name="40% - Ênfase4 2 5 2 2 3" xfId="16622"/>
    <cellStyle name="40% - Ênfase4 2 5 2 2 4" xfId="20654"/>
    <cellStyle name="40% - Ênfase4 2 5 2 2 5" xfId="24686"/>
    <cellStyle name="40% - Ênfase4 2 5 2 2 6" xfId="28718"/>
    <cellStyle name="40% - Ênfase4 2 5 2 2 7" xfId="32750"/>
    <cellStyle name="40% - Ênfase4 2 5 2 2 8" xfId="36782"/>
    <cellStyle name="40% - Ênfase4 2 5 2 2 9" xfId="40814"/>
    <cellStyle name="40% - Ênfase4 2 5 2 3" xfId="10574"/>
    <cellStyle name="40% - Ênfase4 2 5 2 4" xfId="14606"/>
    <cellStyle name="40% - Ênfase4 2 5 2 5" xfId="18638"/>
    <cellStyle name="40% - Ênfase4 2 5 2 6" xfId="22670"/>
    <cellStyle name="40% - Ênfase4 2 5 2 7" xfId="26702"/>
    <cellStyle name="40% - Ênfase4 2 5 2 8" xfId="30734"/>
    <cellStyle name="40% - Ênfase4 2 5 2 9" xfId="34766"/>
    <cellStyle name="40% - Ênfase4 2 5 3" xfId="7605"/>
    <cellStyle name="40% - Ênfase4 2 5 3 10" xfId="43895"/>
    <cellStyle name="40% - Ênfase4 2 5 3 11" xfId="47927"/>
    <cellStyle name="40% - Ênfase4 2 5 3 12" xfId="52006"/>
    <cellStyle name="40% - Ênfase4 2 5 3 2" xfId="11639"/>
    <cellStyle name="40% - Ênfase4 2 5 3 3" xfId="15671"/>
    <cellStyle name="40% - Ênfase4 2 5 3 4" xfId="19703"/>
    <cellStyle name="40% - Ênfase4 2 5 3 5" xfId="23735"/>
    <cellStyle name="40% - Ênfase4 2 5 3 6" xfId="27767"/>
    <cellStyle name="40% - Ênfase4 2 5 3 7" xfId="31799"/>
    <cellStyle name="40% - Ênfase4 2 5 3 8" xfId="35831"/>
    <cellStyle name="40% - Ênfase4 2 5 3 9" xfId="39863"/>
    <cellStyle name="40% - Ênfase4 2 5 4" xfId="9623"/>
    <cellStyle name="40% - Ênfase4 2 5 5" xfId="13655"/>
    <cellStyle name="40% - Ênfase4 2 5 6" xfId="17687"/>
    <cellStyle name="40% - Ênfase4 2 5 7" xfId="21719"/>
    <cellStyle name="40% - Ênfase4 2 5 8" xfId="25751"/>
    <cellStyle name="40% - Ênfase4 2 5 9" xfId="29783"/>
    <cellStyle name="40% - Ênfase4 3" xfId="465"/>
    <cellStyle name="40% - Ênfase4 3 2" xfId="1037"/>
    <cellStyle name="40% - Ênfase4 3 2 10" xfId="29538"/>
    <cellStyle name="40% - Ênfase4 3 2 11" xfId="33570"/>
    <cellStyle name="40% - Ênfase4 3 2 12" xfId="37602"/>
    <cellStyle name="40% - Ênfase4 3 2 13" xfId="41634"/>
    <cellStyle name="40% - Ênfase4 3 2 14" xfId="45666"/>
    <cellStyle name="40% - Ênfase4 3 2 15" xfId="49744"/>
    <cellStyle name="40% - Ênfase4 3 2 2" xfId="2085"/>
    <cellStyle name="40% - Ênfase4 3 2 3" xfId="5044"/>
    <cellStyle name="40% - Ênfase4 3 2 3 10" xfId="38567"/>
    <cellStyle name="40% - Ênfase4 3 2 3 11" xfId="42599"/>
    <cellStyle name="40% - Ênfase4 3 2 3 12" xfId="46631"/>
    <cellStyle name="40% - Ênfase4 3 2 3 13" xfId="50710"/>
    <cellStyle name="40% - Ênfase4 3 2 3 2" xfId="8325"/>
    <cellStyle name="40% - Ênfase4 3 2 3 2 10" xfId="44615"/>
    <cellStyle name="40% - Ênfase4 3 2 3 2 11" xfId="48647"/>
    <cellStyle name="40% - Ênfase4 3 2 3 2 12" xfId="52726"/>
    <cellStyle name="40% - Ênfase4 3 2 3 2 2" xfId="12359"/>
    <cellStyle name="40% - Ênfase4 3 2 3 2 3" xfId="16391"/>
    <cellStyle name="40% - Ênfase4 3 2 3 2 4" xfId="20423"/>
    <cellStyle name="40% - Ênfase4 3 2 3 2 5" xfId="24455"/>
    <cellStyle name="40% - Ênfase4 3 2 3 2 6" xfId="28487"/>
    <cellStyle name="40% - Ênfase4 3 2 3 2 7" xfId="32519"/>
    <cellStyle name="40% - Ênfase4 3 2 3 2 8" xfId="36551"/>
    <cellStyle name="40% - Ênfase4 3 2 3 2 9" xfId="40583"/>
    <cellStyle name="40% - Ênfase4 3 2 3 3" xfId="10343"/>
    <cellStyle name="40% - Ênfase4 3 2 3 4" xfId="14375"/>
    <cellStyle name="40% - Ênfase4 3 2 3 5" xfId="18407"/>
    <cellStyle name="40% - Ênfase4 3 2 3 6" xfId="22439"/>
    <cellStyle name="40% - Ênfase4 3 2 3 7" xfId="26471"/>
    <cellStyle name="40% - Ênfase4 3 2 3 8" xfId="30503"/>
    <cellStyle name="40% - Ênfase4 3 2 3 9" xfId="34535"/>
    <cellStyle name="40% - Ênfase4 3 2 4" xfId="7360"/>
    <cellStyle name="40% - Ênfase4 3 2 4 10" xfId="43650"/>
    <cellStyle name="40% - Ênfase4 3 2 4 11" xfId="47682"/>
    <cellStyle name="40% - Ênfase4 3 2 4 12" xfId="51761"/>
    <cellStyle name="40% - Ênfase4 3 2 4 2" xfId="11394"/>
    <cellStyle name="40% - Ênfase4 3 2 4 3" xfId="15426"/>
    <cellStyle name="40% - Ênfase4 3 2 4 4" xfId="19458"/>
    <cellStyle name="40% - Ênfase4 3 2 4 5" xfId="23490"/>
    <cellStyle name="40% - Ênfase4 3 2 4 6" xfId="27522"/>
    <cellStyle name="40% - Ênfase4 3 2 4 7" xfId="31554"/>
    <cellStyle name="40% - Ênfase4 3 2 4 8" xfId="35586"/>
    <cellStyle name="40% - Ênfase4 3 2 4 9" xfId="39618"/>
    <cellStyle name="40% - Ênfase4 3 2 5" xfId="9378"/>
    <cellStyle name="40% - Ênfase4 3 2 6" xfId="13410"/>
    <cellStyle name="40% - Ênfase4 3 2 7" xfId="17442"/>
    <cellStyle name="40% - Ênfase4 3 2 8" xfId="21474"/>
    <cellStyle name="40% - Ênfase4 3 2 9" xfId="25506"/>
    <cellStyle name="40% - Ênfase4 3 3" xfId="2086"/>
    <cellStyle name="40% - Ênfase4 3 4" xfId="2084"/>
    <cellStyle name="40% - Ênfase4 3 4 10" xfId="33816"/>
    <cellStyle name="40% - Ênfase4 3 4 11" xfId="37848"/>
    <cellStyle name="40% - Ênfase4 3 4 12" xfId="41880"/>
    <cellStyle name="40% - Ênfase4 3 4 13" xfId="45912"/>
    <cellStyle name="40% - Ênfase4 3 4 14" xfId="49990"/>
    <cellStyle name="40% - Ênfase4 3 4 2" xfId="5531"/>
    <cellStyle name="40% - Ênfase4 3 4 2 10" xfId="38799"/>
    <cellStyle name="40% - Ênfase4 3 4 2 11" xfId="42831"/>
    <cellStyle name="40% - Ênfase4 3 4 2 12" xfId="46863"/>
    <cellStyle name="40% - Ênfase4 3 4 2 13" xfId="50942"/>
    <cellStyle name="40% - Ênfase4 3 4 2 2" xfId="8557"/>
    <cellStyle name="40% - Ênfase4 3 4 2 2 10" xfId="44847"/>
    <cellStyle name="40% - Ênfase4 3 4 2 2 11" xfId="48879"/>
    <cellStyle name="40% - Ênfase4 3 4 2 2 12" xfId="52958"/>
    <cellStyle name="40% - Ênfase4 3 4 2 2 2" xfId="12591"/>
    <cellStyle name="40% - Ênfase4 3 4 2 2 3" xfId="16623"/>
    <cellStyle name="40% - Ênfase4 3 4 2 2 4" xfId="20655"/>
    <cellStyle name="40% - Ênfase4 3 4 2 2 5" xfId="24687"/>
    <cellStyle name="40% - Ênfase4 3 4 2 2 6" xfId="28719"/>
    <cellStyle name="40% - Ênfase4 3 4 2 2 7" xfId="32751"/>
    <cellStyle name="40% - Ênfase4 3 4 2 2 8" xfId="36783"/>
    <cellStyle name="40% - Ênfase4 3 4 2 2 9" xfId="40815"/>
    <cellStyle name="40% - Ênfase4 3 4 2 3" xfId="10575"/>
    <cellStyle name="40% - Ênfase4 3 4 2 4" xfId="14607"/>
    <cellStyle name="40% - Ênfase4 3 4 2 5" xfId="18639"/>
    <cellStyle name="40% - Ênfase4 3 4 2 6" xfId="22671"/>
    <cellStyle name="40% - Ênfase4 3 4 2 7" xfId="26703"/>
    <cellStyle name="40% - Ênfase4 3 4 2 8" xfId="30735"/>
    <cellStyle name="40% - Ênfase4 3 4 2 9" xfId="34767"/>
    <cellStyle name="40% - Ênfase4 3 4 3" xfId="7606"/>
    <cellStyle name="40% - Ênfase4 3 4 3 10" xfId="43896"/>
    <cellStyle name="40% - Ênfase4 3 4 3 11" xfId="47928"/>
    <cellStyle name="40% - Ênfase4 3 4 3 12" xfId="52007"/>
    <cellStyle name="40% - Ênfase4 3 4 3 2" xfId="11640"/>
    <cellStyle name="40% - Ênfase4 3 4 3 3" xfId="15672"/>
    <cellStyle name="40% - Ênfase4 3 4 3 4" xfId="19704"/>
    <cellStyle name="40% - Ênfase4 3 4 3 5" xfId="23736"/>
    <cellStyle name="40% - Ênfase4 3 4 3 6" xfId="27768"/>
    <cellStyle name="40% - Ênfase4 3 4 3 7" xfId="31800"/>
    <cellStyle name="40% - Ênfase4 3 4 3 8" xfId="35832"/>
    <cellStyle name="40% - Ênfase4 3 4 3 9" xfId="39864"/>
    <cellStyle name="40% - Ênfase4 3 4 4" xfId="9624"/>
    <cellStyle name="40% - Ênfase4 3 4 5" xfId="13656"/>
    <cellStyle name="40% - Ênfase4 3 4 6" xfId="17688"/>
    <cellStyle name="40% - Ênfase4 3 4 7" xfId="21720"/>
    <cellStyle name="40% - Ênfase4 3 4 8" xfId="25752"/>
    <cellStyle name="40% - Ênfase4 3 4 9" xfId="29784"/>
    <cellStyle name="40% - Ênfase4 4" xfId="1134"/>
    <cellStyle name="40% - Ênfase4 4 2" xfId="2088"/>
    <cellStyle name="40% - Ênfase4 4 3" xfId="2089"/>
    <cellStyle name="40% - Ênfase4 4 4" xfId="2087"/>
    <cellStyle name="40% - Ênfase4 4 4 10" xfId="33817"/>
    <cellStyle name="40% - Ênfase4 4 4 11" xfId="37849"/>
    <cellStyle name="40% - Ênfase4 4 4 12" xfId="41881"/>
    <cellStyle name="40% - Ênfase4 4 4 13" xfId="45913"/>
    <cellStyle name="40% - Ênfase4 4 4 14" xfId="49991"/>
    <cellStyle name="40% - Ênfase4 4 4 2" xfId="5532"/>
    <cellStyle name="40% - Ênfase4 4 4 2 10" xfId="38800"/>
    <cellStyle name="40% - Ênfase4 4 4 2 11" xfId="42832"/>
    <cellStyle name="40% - Ênfase4 4 4 2 12" xfId="46864"/>
    <cellStyle name="40% - Ênfase4 4 4 2 13" xfId="50943"/>
    <cellStyle name="40% - Ênfase4 4 4 2 2" xfId="8558"/>
    <cellStyle name="40% - Ênfase4 4 4 2 2 10" xfId="44848"/>
    <cellStyle name="40% - Ênfase4 4 4 2 2 11" xfId="48880"/>
    <cellStyle name="40% - Ênfase4 4 4 2 2 12" xfId="52959"/>
    <cellStyle name="40% - Ênfase4 4 4 2 2 2" xfId="12592"/>
    <cellStyle name="40% - Ênfase4 4 4 2 2 3" xfId="16624"/>
    <cellStyle name="40% - Ênfase4 4 4 2 2 4" xfId="20656"/>
    <cellStyle name="40% - Ênfase4 4 4 2 2 5" xfId="24688"/>
    <cellStyle name="40% - Ênfase4 4 4 2 2 6" xfId="28720"/>
    <cellStyle name="40% - Ênfase4 4 4 2 2 7" xfId="32752"/>
    <cellStyle name="40% - Ênfase4 4 4 2 2 8" xfId="36784"/>
    <cellStyle name="40% - Ênfase4 4 4 2 2 9" xfId="40816"/>
    <cellStyle name="40% - Ênfase4 4 4 2 3" xfId="10576"/>
    <cellStyle name="40% - Ênfase4 4 4 2 4" xfId="14608"/>
    <cellStyle name="40% - Ênfase4 4 4 2 5" xfId="18640"/>
    <cellStyle name="40% - Ênfase4 4 4 2 6" xfId="22672"/>
    <cellStyle name="40% - Ênfase4 4 4 2 7" xfId="26704"/>
    <cellStyle name="40% - Ênfase4 4 4 2 8" xfId="30736"/>
    <cellStyle name="40% - Ênfase4 4 4 2 9" xfId="34768"/>
    <cellStyle name="40% - Ênfase4 4 4 3" xfId="7607"/>
    <cellStyle name="40% - Ênfase4 4 4 3 10" xfId="43897"/>
    <cellStyle name="40% - Ênfase4 4 4 3 11" xfId="47929"/>
    <cellStyle name="40% - Ênfase4 4 4 3 12" xfId="52008"/>
    <cellStyle name="40% - Ênfase4 4 4 3 2" xfId="11641"/>
    <cellStyle name="40% - Ênfase4 4 4 3 3" xfId="15673"/>
    <cellStyle name="40% - Ênfase4 4 4 3 4" xfId="19705"/>
    <cellStyle name="40% - Ênfase4 4 4 3 5" xfId="23737"/>
    <cellStyle name="40% - Ênfase4 4 4 3 6" xfId="27769"/>
    <cellStyle name="40% - Ênfase4 4 4 3 7" xfId="31801"/>
    <cellStyle name="40% - Ênfase4 4 4 3 8" xfId="35833"/>
    <cellStyle name="40% - Ênfase4 4 4 3 9" xfId="39865"/>
    <cellStyle name="40% - Ênfase4 4 4 4" xfId="9625"/>
    <cellStyle name="40% - Ênfase4 4 4 5" xfId="13657"/>
    <cellStyle name="40% - Ênfase4 4 4 6" xfId="17689"/>
    <cellStyle name="40% - Ênfase4 4 4 7" xfId="21721"/>
    <cellStyle name="40% - Ênfase4 4 4 8" xfId="25753"/>
    <cellStyle name="40% - Ênfase4 4 4 9" xfId="29785"/>
    <cellStyle name="40% - Ênfase4 5" xfId="1178"/>
    <cellStyle name="40% - Ênfase4 5 2" xfId="2091"/>
    <cellStyle name="40% - Ênfase4 5 3" xfId="2092"/>
    <cellStyle name="40% - Ênfase4 5 4" xfId="2090"/>
    <cellStyle name="40% - Ênfase4 5 4 10" xfId="33818"/>
    <cellStyle name="40% - Ênfase4 5 4 11" xfId="37850"/>
    <cellStyle name="40% - Ênfase4 5 4 12" xfId="41882"/>
    <cellStyle name="40% - Ênfase4 5 4 13" xfId="45914"/>
    <cellStyle name="40% - Ênfase4 5 4 14" xfId="49992"/>
    <cellStyle name="40% - Ênfase4 5 4 2" xfId="5533"/>
    <cellStyle name="40% - Ênfase4 5 4 2 10" xfId="38801"/>
    <cellStyle name="40% - Ênfase4 5 4 2 11" xfId="42833"/>
    <cellStyle name="40% - Ênfase4 5 4 2 12" xfId="46865"/>
    <cellStyle name="40% - Ênfase4 5 4 2 13" xfId="50944"/>
    <cellStyle name="40% - Ênfase4 5 4 2 2" xfId="8559"/>
    <cellStyle name="40% - Ênfase4 5 4 2 2 10" xfId="44849"/>
    <cellStyle name="40% - Ênfase4 5 4 2 2 11" xfId="48881"/>
    <cellStyle name="40% - Ênfase4 5 4 2 2 12" xfId="52960"/>
    <cellStyle name="40% - Ênfase4 5 4 2 2 2" xfId="12593"/>
    <cellStyle name="40% - Ênfase4 5 4 2 2 3" xfId="16625"/>
    <cellStyle name="40% - Ênfase4 5 4 2 2 4" xfId="20657"/>
    <cellStyle name="40% - Ênfase4 5 4 2 2 5" xfId="24689"/>
    <cellStyle name="40% - Ênfase4 5 4 2 2 6" xfId="28721"/>
    <cellStyle name="40% - Ênfase4 5 4 2 2 7" xfId="32753"/>
    <cellStyle name="40% - Ênfase4 5 4 2 2 8" xfId="36785"/>
    <cellStyle name="40% - Ênfase4 5 4 2 2 9" xfId="40817"/>
    <cellStyle name="40% - Ênfase4 5 4 2 3" xfId="10577"/>
    <cellStyle name="40% - Ênfase4 5 4 2 4" xfId="14609"/>
    <cellStyle name="40% - Ênfase4 5 4 2 5" xfId="18641"/>
    <cellStyle name="40% - Ênfase4 5 4 2 6" xfId="22673"/>
    <cellStyle name="40% - Ênfase4 5 4 2 7" xfId="26705"/>
    <cellStyle name="40% - Ênfase4 5 4 2 8" xfId="30737"/>
    <cellStyle name="40% - Ênfase4 5 4 2 9" xfId="34769"/>
    <cellStyle name="40% - Ênfase4 5 4 3" xfId="7608"/>
    <cellStyle name="40% - Ênfase4 5 4 3 10" xfId="43898"/>
    <cellStyle name="40% - Ênfase4 5 4 3 11" xfId="47930"/>
    <cellStyle name="40% - Ênfase4 5 4 3 12" xfId="52009"/>
    <cellStyle name="40% - Ênfase4 5 4 3 2" xfId="11642"/>
    <cellStyle name="40% - Ênfase4 5 4 3 3" xfId="15674"/>
    <cellStyle name="40% - Ênfase4 5 4 3 4" xfId="19706"/>
    <cellStyle name="40% - Ênfase4 5 4 3 5" xfId="23738"/>
    <cellStyle name="40% - Ênfase4 5 4 3 6" xfId="27770"/>
    <cellStyle name="40% - Ênfase4 5 4 3 7" xfId="31802"/>
    <cellStyle name="40% - Ênfase4 5 4 3 8" xfId="35834"/>
    <cellStyle name="40% - Ênfase4 5 4 3 9" xfId="39866"/>
    <cellStyle name="40% - Ênfase4 5 4 4" xfId="9626"/>
    <cellStyle name="40% - Ênfase4 5 4 5" xfId="13658"/>
    <cellStyle name="40% - Ênfase4 5 4 6" xfId="17690"/>
    <cellStyle name="40% - Ênfase4 5 4 7" xfId="21722"/>
    <cellStyle name="40% - Ênfase4 5 4 8" xfId="25754"/>
    <cellStyle name="40% - Ênfase4 5 4 9" xfId="29786"/>
    <cellStyle name="40% - Ênfase4 6" xfId="1183"/>
    <cellStyle name="40% - Ênfase4 6 2" xfId="2094"/>
    <cellStyle name="40% - Ênfase4 6 3" xfId="2095"/>
    <cellStyle name="40% - Ênfase4 6 4" xfId="2093"/>
    <cellStyle name="40% - Ênfase4 6 4 10" xfId="33819"/>
    <cellStyle name="40% - Ênfase4 6 4 11" xfId="37851"/>
    <cellStyle name="40% - Ênfase4 6 4 12" xfId="41883"/>
    <cellStyle name="40% - Ênfase4 6 4 13" xfId="45915"/>
    <cellStyle name="40% - Ênfase4 6 4 14" xfId="49993"/>
    <cellStyle name="40% - Ênfase4 6 4 2" xfId="5534"/>
    <cellStyle name="40% - Ênfase4 6 4 2 10" xfId="38802"/>
    <cellStyle name="40% - Ênfase4 6 4 2 11" xfId="42834"/>
    <cellStyle name="40% - Ênfase4 6 4 2 12" xfId="46866"/>
    <cellStyle name="40% - Ênfase4 6 4 2 13" xfId="50945"/>
    <cellStyle name="40% - Ênfase4 6 4 2 2" xfId="8560"/>
    <cellStyle name="40% - Ênfase4 6 4 2 2 10" xfId="44850"/>
    <cellStyle name="40% - Ênfase4 6 4 2 2 11" xfId="48882"/>
    <cellStyle name="40% - Ênfase4 6 4 2 2 12" xfId="52961"/>
    <cellStyle name="40% - Ênfase4 6 4 2 2 2" xfId="12594"/>
    <cellStyle name="40% - Ênfase4 6 4 2 2 3" xfId="16626"/>
    <cellStyle name="40% - Ênfase4 6 4 2 2 4" xfId="20658"/>
    <cellStyle name="40% - Ênfase4 6 4 2 2 5" xfId="24690"/>
    <cellStyle name="40% - Ênfase4 6 4 2 2 6" xfId="28722"/>
    <cellStyle name="40% - Ênfase4 6 4 2 2 7" xfId="32754"/>
    <cellStyle name="40% - Ênfase4 6 4 2 2 8" xfId="36786"/>
    <cellStyle name="40% - Ênfase4 6 4 2 2 9" xfId="40818"/>
    <cellStyle name="40% - Ênfase4 6 4 2 3" xfId="10578"/>
    <cellStyle name="40% - Ênfase4 6 4 2 4" xfId="14610"/>
    <cellStyle name="40% - Ênfase4 6 4 2 5" xfId="18642"/>
    <cellStyle name="40% - Ênfase4 6 4 2 6" xfId="22674"/>
    <cellStyle name="40% - Ênfase4 6 4 2 7" xfId="26706"/>
    <cellStyle name="40% - Ênfase4 6 4 2 8" xfId="30738"/>
    <cellStyle name="40% - Ênfase4 6 4 2 9" xfId="34770"/>
    <cellStyle name="40% - Ênfase4 6 4 3" xfId="7609"/>
    <cellStyle name="40% - Ênfase4 6 4 3 10" xfId="43899"/>
    <cellStyle name="40% - Ênfase4 6 4 3 11" xfId="47931"/>
    <cellStyle name="40% - Ênfase4 6 4 3 12" xfId="52010"/>
    <cellStyle name="40% - Ênfase4 6 4 3 2" xfId="11643"/>
    <cellStyle name="40% - Ênfase4 6 4 3 3" xfId="15675"/>
    <cellStyle name="40% - Ênfase4 6 4 3 4" xfId="19707"/>
    <cellStyle name="40% - Ênfase4 6 4 3 5" xfId="23739"/>
    <cellStyle name="40% - Ênfase4 6 4 3 6" xfId="27771"/>
    <cellStyle name="40% - Ênfase4 6 4 3 7" xfId="31803"/>
    <cellStyle name="40% - Ênfase4 6 4 3 8" xfId="35835"/>
    <cellStyle name="40% - Ênfase4 6 4 3 9" xfId="39867"/>
    <cellStyle name="40% - Ênfase4 6 4 4" xfId="9627"/>
    <cellStyle name="40% - Ênfase4 6 4 5" xfId="13659"/>
    <cellStyle name="40% - Ênfase4 6 4 6" xfId="17691"/>
    <cellStyle name="40% - Ênfase4 6 4 7" xfId="21723"/>
    <cellStyle name="40% - Ênfase4 6 4 8" xfId="25755"/>
    <cellStyle name="40% - Ênfase4 6 4 9" xfId="29787"/>
    <cellStyle name="40% - Ênfase4 7" xfId="2096"/>
    <cellStyle name="40% - Ênfase4 7 10" xfId="25756"/>
    <cellStyle name="40% - Ênfase4 7 11" xfId="29788"/>
    <cellStyle name="40% - Ênfase4 7 12" xfId="33820"/>
    <cellStyle name="40% - Ênfase4 7 13" xfId="37852"/>
    <cellStyle name="40% - Ênfase4 7 14" xfId="41884"/>
    <cellStyle name="40% - Ênfase4 7 15" xfId="45916"/>
    <cellStyle name="40% - Ênfase4 7 16" xfId="49994"/>
    <cellStyle name="40% - Ênfase4 7 2" xfId="2097"/>
    <cellStyle name="40% - Ênfase4 7 3" xfId="2098"/>
    <cellStyle name="40% - Ênfase4 7 4" xfId="5535"/>
    <cellStyle name="40% - Ênfase4 7 4 10" xfId="38803"/>
    <cellStyle name="40% - Ênfase4 7 4 11" xfId="42835"/>
    <cellStyle name="40% - Ênfase4 7 4 12" xfId="46867"/>
    <cellStyle name="40% - Ênfase4 7 4 13" xfId="50946"/>
    <cellStyle name="40% - Ênfase4 7 4 2" xfId="8561"/>
    <cellStyle name="40% - Ênfase4 7 4 2 10" xfId="44851"/>
    <cellStyle name="40% - Ênfase4 7 4 2 11" xfId="48883"/>
    <cellStyle name="40% - Ênfase4 7 4 2 12" xfId="52962"/>
    <cellStyle name="40% - Ênfase4 7 4 2 2" xfId="12595"/>
    <cellStyle name="40% - Ênfase4 7 4 2 3" xfId="16627"/>
    <cellStyle name="40% - Ênfase4 7 4 2 4" xfId="20659"/>
    <cellStyle name="40% - Ênfase4 7 4 2 5" xfId="24691"/>
    <cellStyle name="40% - Ênfase4 7 4 2 6" xfId="28723"/>
    <cellStyle name="40% - Ênfase4 7 4 2 7" xfId="32755"/>
    <cellStyle name="40% - Ênfase4 7 4 2 8" xfId="36787"/>
    <cellStyle name="40% - Ênfase4 7 4 2 9" xfId="40819"/>
    <cellStyle name="40% - Ênfase4 7 4 3" xfId="10579"/>
    <cellStyle name="40% - Ênfase4 7 4 4" xfId="14611"/>
    <cellStyle name="40% - Ênfase4 7 4 5" xfId="18643"/>
    <cellStyle name="40% - Ênfase4 7 4 6" xfId="22675"/>
    <cellStyle name="40% - Ênfase4 7 4 7" xfId="26707"/>
    <cellStyle name="40% - Ênfase4 7 4 8" xfId="30739"/>
    <cellStyle name="40% - Ênfase4 7 4 9" xfId="34771"/>
    <cellStyle name="40% - Ênfase4 7 5" xfId="7610"/>
    <cellStyle name="40% - Ênfase4 7 5 10" xfId="43900"/>
    <cellStyle name="40% - Ênfase4 7 5 11" xfId="47932"/>
    <cellStyle name="40% - Ênfase4 7 5 12" xfId="52011"/>
    <cellStyle name="40% - Ênfase4 7 5 2" xfId="11644"/>
    <cellStyle name="40% - Ênfase4 7 5 3" xfId="15676"/>
    <cellStyle name="40% - Ênfase4 7 5 4" xfId="19708"/>
    <cellStyle name="40% - Ênfase4 7 5 5" xfId="23740"/>
    <cellStyle name="40% - Ênfase4 7 5 6" xfId="27772"/>
    <cellStyle name="40% - Ênfase4 7 5 7" xfId="31804"/>
    <cellStyle name="40% - Ênfase4 7 5 8" xfId="35836"/>
    <cellStyle name="40% - Ênfase4 7 5 9" xfId="39868"/>
    <cellStyle name="40% - Ênfase4 7 6" xfId="9628"/>
    <cellStyle name="40% - Ênfase4 7 7" xfId="13660"/>
    <cellStyle name="40% - Ênfase4 7 8" xfId="17692"/>
    <cellStyle name="40% - Ênfase4 7 9" xfId="21724"/>
    <cellStyle name="40% - Ênfase4 8" xfId="2099"/>
    <cellStyle name="40% - Ênfase4 8 2" xfId="2100"/>
    <cellStyle name="40% - Ênfase4 9" xfId="2101"/>
    <cellStyle name="40% - Ênfase4 9 2" xfId="2102"/>
    <cellStyle name="40% - Ênfase5 10" xfId="2103"/>
    <cellStyle name="40% - Ênfase5 10 10" xfId="29789"/>
    <cellStyle name="40% - Ênfase5 10 11" xfId="33821"/>
    <cellStyle name="40% - Ênfase5 10 12" xfId="37853"/>
    <cellStyle name="40% - Ênfase5 10 13" xfId="41885"/>
    <cellStyle name="40% - Ênfase5 10 14" xfId="45917"/>
    <cellStyle name="40% - Ênfase5 10 15" xfId="49995"/>
    <cellStyle name="40% - Ênfase5 10 2" xfId="2104"/>
    <cellStyle name="40% - Ênfase5 10 3" xfId="5536"/>
    <cellStyle name="40% - Ênfase5 10 3 10" xfId="38804"/>
    <cellStyle name="40% - Ênfase5 10 3 11" xfId="42836"/>
    <cellStyle name="40% - Ênfase5 10 3 12" xfId="46868"/>
    <cellStyle name="40% - Ênfase5 10 3 13" xfId="50947"/>
    <cellStyle name="40% - Ênfase5 10 3 2" xfId="8562"/>
    <cellStyle name="40% - Ênfase5 10 3 2 10" xfId="44852"/>
    <cellStyle name="40% - Ênfase5 10 3 2 11" xfId="48884"/>
    <cellStyle name="40% - Ênfase5 10 3 2 12" xfId="52963"/>
    <cellStyle name="40% - Ênfase5 10 3 2 2" xfId="12596"/>
    <cellStyle name="40% - Ênfase5 10 3 2 3" xfId="16628"/>
    <cellStyle name="40% - Ênfase5 10 3 2 4" xfId="20660"/>
    <cellStyle name="40% - Ênfase5 10 3 2 5" xfId="24692"/>
    <cellStyle name="40% - Ênfase5 10 3 2 6" xfId="28724"/>
    <cellStyle name="40% - Ênfase5 10 3 2 7" xfId="32756"/>
    <cellStyle name="40% - Ênfase5 10 3 2 8" xfId="36788"/>
    <cellStyle name="40% - Ênfase5 10 3 2 9" xfId="40820"/>
    <cellStyle name="40% - Ênfase5 10 3 3" xfId="10580"/>
    <cellStyle name="40% - Ênfase5 10 3 4" xfId="14612"/>
    <cellStyle name="40% - Ênfase5 10 3 5" xfId="18644"/>
    <cellStyle name="40% - Ênfase5 10 3 6" xfId="22676"/>
    <cellStyle name="40% - Ênfase5 10 3 7" xfId="26708"/>
    <cellStyle name="40% - Ênfase5 10 3 8" xfId="30740"/>
    <cellStyle name="40% - Ênfase5 10 3 9" xfId="34772"/>
    <cellStyle name="40% - Ênfase5 10 4" xfId="7611"/>
    <cellStyle name="40% - Ênfase5 10 4 10" xfId="43901"/>
    <cellStyle name="40% - Ênfase5 10 4 11" xfId="47933"/>
    <cellStyle name="40% - Ênfase5 10 4 12" xfId="52012"/>
    <cellStyle name="40% - Ênfase5 10 4 2" xfId="11645"/>
    <cellStyle name="40% - Ênfase5 10 4 3" xfId="15677"/>
    <cellStyle name="40% - Ênfase5 10 4 4" xfId="19709"/>
    <cellStyle name="40% - Ênfase5 10 4 5" xfId="23741"/>
    <cellStyle name="40% - Ênfase5 10 4 6" xfId="27773"/>
    <cellStyle name="40% - Ênfase5 10 4 7" xfId="31805"/>
    <cellStyle name="40% - Ênfase5 10 4 8" xfId="35837"/>
    <cellStyle name="40% - Ênfase5 10 4 9" xfId="39869"/>
    <cellStyle name="40% - Ênfase5 10 5" xfId="9629"/>
    <cellStyle name="40% - Ênfase5 10 6" xfId="13661"/>
    <cellStyle name="40% - Ênfase5 10 7" xfId="17693"/>
    <cellStyle name="40% - Ênfase5 10 8" xfId="21725"/>
    <cellStyle name="40% - Ênfase5 10 9" xfId="25757"/>
    <cellStyle name="40% - Ênfase5 11" xfId="2105"/>
    <cellStyle name="40% - Ênfase5 11 10" xfId="29790"/>
    <cellStyle name="40% - Ênfase5 11 11" xfId="33822"/>
    <cellStyle name="40% - Ênfase5 11 12" xfId="37854"/>
    <cellStyle name="40% - Ênfase5 11 13" xfId="41886"/>
    <cellStyle name="40% - Ênfase5 11 14" xfId="45918"/>
    <cellStyle name="40% - Ênfase5 11 15" xfId="49996"/>
    <cellStyle name="40% - Ênfase5 11 2" xfId="2106"/>
    <cellStyle name="40% - Ênfase5 11 3" xfId="5537"/>
    <cellStyle name="40% - Ênfase5 11 3 10" xfId="38805"/>
    <cellStyle name="40% - Ênfase5 11 3 11" xfId="42837"/>
    <cellStyle name="40% - Ênfase5 11 3 12" xfId="46869"/>
    <cellStyle name="40% - Ênfase5 11 3 13" xfId="50948"/>
    <cellStyle name="40% - Ênfase5 11 3 2" xfId="8563"/>
    <cellStyle name="40% - Ênfase5 11 3 2 10" xfId="44853"/>
    <cellStyle name="40% - Ênfase5 11 3 2 11" xfId="48885"/>
    <cellStyle name="40% - Ênfase5 11 3 2 12" xfId="52964"/>
    <cellStyle name="40% - Ênfase5 11 3 2 2" xfId="12597"/>
    <cellStyle name="40% - Ênfase5 11 3 2 3" xfId="16629"/>
    <cellStyle name="40% - Ênfase5 11 3 2 4" xfId="20661"/>
    <cellStyle name="40% - Ênfase5 11 3 2 5" xfId="24693"/>
    <cellStyle name="40% - Ênfase5 11 3 2 6" xfId="28725"/>
    <cellStyle name="40% - Ênfase5 11 3 2 7" xfId="32757"/>
    <cellStyle name="40% - Ênfase5 11 3 2 8" xfId="36789"/>
    <cellStyle name="40% - Ênfase5 11 3 2 9" xfId="40821"/>
    <cellStyle name="40% - Ênfase5 11 3 3" xfId="10581"/>
    <cellStyle name="40% - Ênfase5 11 3 4" xfId="14613"/>
    <cellStyle name="40% - Ênfase5 11 3 5" xfId="18645"/>
    <cellStyle name="40% - Ênfase5 11 3 6" xfId="22677"/>
    <cellStyle name="40% - Ênfase5 11 3 7" xfId="26709"/>
    <cellStyle name="40% - Ênfase5 11 3 8" xfId="30741"/>
    <cellStyle name="40% - Ênfase5 11 3 9" xfId="34773"/>
    <cellStyle name="40% - Ênfase5 11 4" xfId="7612"/>
    <cellStyle name="40% - Ênfase5 11 4 10" xfId="43902"/>
    <cellStyle name="40% - Ênfase5 11 4 11" xfId="47934"/>
    <cellStyle name="40% - Ênfase5 11 4 12" xfId="52013"/>
    <cellStyle name="40% - Ênfase5 11 4 2" xfId="11646"/>
    <cellStyle name="40% - Ênfase5 11 4 3" xfId="15678"/>
    <cellStyle name="40% - Ênfase5 11 4 4" xfId="19710"/>
    <cellStyle name="40% - Ênfase5 11 4 5" xfId="23742"/>
    <cellStyle name="40% - Ênfase5 11 4 6" xfId="27774"/>
    <cellStyle name="40% - Ênfase5 11 4 7" xfId="31806"/>
    <cellStyle name="40% - Ênfase5 11 4 8" xfId="35838"/>
    <cellStyle name="40% - Ênfase5 11 4 9" xfId="39870"/>
    <cellStyle name="40% - Ênfase5 11 5" xfId="9630"/>
    <cellStyle name="40% - Ênfase5 11 6" xfId="13662"/>
    <cellStyle name="40% - Ênfase5 11 7" xfId="17694"/>
    <cellStyle name="40% - Ênfase5 11 8" xfId="21726"/>
    <cellStyle name="40% - Ênfase5 11 9" xfId="25758"/>
    <cellStyle name="40% - Ênfase5 12" xfId="2107"/>
    <cellStyle name="40% - Ênfase5 12 10" xfId="29791"/>
    <cellStyle name="40% - Ênfase5 12 11" xfId="33823"/>
    <cellStyle name="40% - Ênfase5 12 12" xfId="37855"/>
    <cellStyle name="40% - Ênfase5 12 13" xfId="41887"/>
    <cellStyle name="40% - Ênfase5 12 14" xfId="45919"/>
    <cellStyle name="40% - Ênfase5 12 15" xfId="49997"/>
    <cellStyle name="40% - Ênfase5 12 2" xfId="2108"/>
    <cellStyle name="40% - Ênfase5 12 3" xfId="5538"/>
    <cellStyle name="40% - Ênfase5 12 3 10" xfId="38806"/>
    <cellStyle name="40% - Ênfase5 12 3 11" xfId="42838"/>
    <cellStyle name="40% - Ênfase5 12 3 12" xfId="46870"/>
    <cellStyle name="40% - Ênfase5 12 3 13" xfId="50949"/>
    <cellStyle name="40% - Ênfase5 12 3 2" xfId="8564"/>
    <cellStyle name="40% - Ênfase5 12 3 2 10" xfId="44854"/>
    <cellStyle name="40% - Ênfase5 12 3 2 11" xfId="48886"/>
    <cellStyle name="40% - Ênfase5 12 3 2 12" xfId="52965"/>
    <cellStyle name="40% - Ênfase5 12 3 2 2" xfId="12598"/>
    <cellStyle name="40% - Ênfase5 12 3 2 3" xfId="16630"/>
    <cellStyle name="40% - Ênfase5 12 3 2 4" xfId="20662"/>
    <cellStyle name="40% - Ênfase5 12 3 2 5" xfId="24694"/>
    <cellStyle name="40% - Ênfase5 12 3 2 6" xfId="28726"/>
    <cellStyle name="40% - Ênfase5 12 3 2 7" xfId="32758"/>
    <cellStyle name="40% - Ênfase5 12 3 2 8" xfId="36790"/>
    <cellStyle name="40% - Ênfase5 12 3 2 9" xfId="40822"/>
    <cellStyle name="40% - Ênfase5 12 3 3" xfId="10582"/>
    <cellStyle name="40% - Ênfase5 12 3 4" xfId="14614"/>
    <cellStyle name="40% - Ênfase5 12 3 5" xfId="18646"/>
    <cellStyle name="40% - Ênfase5 12 3 6" xfId="22678"/>
    <cellStyle name="40% - Ênfase5 12 3 7" xfId="26710"/>
    <cellStyle name="40% - Ênfase5 12 3 8" xfId="30742"/>
    <cellStyle name="40% - Ênfase5 12 3 9" xfId="34774"/>
    <cellStyle name="40% - Ênfase5 12 4" xfId="7613"/>
    <cellStyle name="40% - Ênfase5 12 4 10" xfId="43903"/>
    <cellStyle name="40% - Ênfase5 12 4 11" xfId="47935"/>
    <cellStyle name="40% - Ênfase5 12 4 12" xfId="52014"/>
    <cellStyle name="40% - Ênfase5 12 4 2" xfId="11647"/>
    <cellStyle name="40% - Ênfase5 12 4 3" xfId="15679"/>
    <cellStyle name="40% - Ênfase5 12 4 4" xfId="19711"/>
    <cellStyle name="40% - Ênfase5 12 4 5" xfId="23743"/>
    <cellStyle name="40% - Ênfase5 12 4 6" xfId="27775"/>
    <cellStyle name="40% - Ênfase5 12 4 7" xfId="31807"/>
    <cellStyle name="40% - Ênfase5 12 4 8" xfId="35839"/>
    <cellStyle name="40% - Ênfase5 12 4 9" xfId="39871"/>
    <cellStyle name="40% - Ênfase5 12 5" xfId="9631"/>
    <cellStyle name="40% - Ênfase5 12 6" xfId="13663"/>
    <cellStyle name="40% - Ênfase5 12 7" xfId="17695"/>
    <cellStyle name="40% - Ênfase5 12 8" xfId="21727"/>
    <cellStyle name="40% - Ênfase5 12 9" xfId="25759"/>
    <cellStyle name="40% - Ênfase5 13" xfId="2109"/>
    <cellStyle name="40% - Ênfase5 13 10" xfId="29792"/>
    <cellStyle name="40% - Ênfase5 13 11" xfId="33824"/>
    <cellStyle name="40% - Ênfase5 13 12" xfId="37856"/>
    <cellStyle name="40% - Ênfase5 13 13" xfId="41888"/>
    <cellStyle name="40% - Ênfase5 13 14" xfId="45920"/>
    <cellStyle name="40% - Ênfase5 13 15" xfId="49998"/>
    <cellStyle name="40% - Ênfase5 13 2" xfId="2110"/>
    <cellStyle name="40% - Ênfase5 13 3" xfId="5539"/>
    <cellStyle name="40% - Ênfase5 13 3 10" xfId="38807"/>
    <cellStyle name="40% - Ênfase5 13 3 11" xfId="42839"/>
    <cellStyle name="40% - Ênfase5 13 3 12" xfId="46871"/>
    <cellStyle name="40% - Ênfase5 13 3 13" xfId="50950"/>
    <cellStyle name="40% - Ênfase5 13 3 2" xfId="8565"/>
    <cellStyle name="40% - Ênfase5 13 3 2 10" xfId="44855"/>
    <cellStyle name="40% - Ênfase5 13 3 2 11" xfId="48887"/>
    <cellStyle name="40% - Ênfase5 13 3 2 12" xfId="52966"/>
    <cellStyle name="40% - Ênfase5 13 3 2 2" xfId="12599"/>
    <cellStyle name="40% - Ênfase5 13 3 2 3" xfId="16631"/>
    <cellStyle name="40% - Ênfase5 13 3 2 4" xfId="20663"/>
    <cellStyle name="40% - Ênfase5 13 3 2 5" xfId="24695"/>
    <cellStyle name="40% - Ênfase5 13 3 2 6" xfId="28727"/>
    <cellStyle name="40% - Ênfase5 13 3 2 7" xfId="32759"/>
    <cellStyle name="40% - Ênfase5 13 3 2 8" xfId="36791"/>
    <cellStyle name="40% - Ênfase5 13 3 2 9" xfId="40823"/>
    <cellStyle name="40% - Ênfase5 13 3 3" xfId="10583"/>
    <cellStyle name="40% - Ênfase5 13 3 4" xfId="14615"/>
    <cellStyle name="40% - Ênfase5 13 3 5" xfId="18647"/>
    <cellStyle name="40% - Ênfase5 13 3 6" xfId="22679"/>
    <cellStyle name="40% - Ênfase5 13 3 7" xfId="26711"/>
    <cellStyle name="40% - Ênfase5 13 3 8" xfId="30743"/>
    <cellStyle name="40% - Ênfase5 13 3 9" xfId="34775"/>
    <cellStyle name="40% - Ênfase5 13 4" xfId="7614"/>
    <cellStyle name="40% - Ênfase5 13 4 10" xfId="43904"/>
    <cellStyle name="40% - Ênfase5 13 4 11" xfId="47936"/>
    <cellStyle name="40% - Ênfase5 13 4 12" xfId="52015"/>
    <cellStyle name="40% - Ênfase5 13 4 2" xfId="11648"/>
    <cellStyle name="40% - Ênfase5 13 4 3" xfId="15680"/>
    <cellStyle name="40% - Ênfase5 13 4 4" xfId="19712"/>
    <cellStyle name="40% - Ênfase5 13 4 5" xfId="23744"/>
    <cellStyle name="40% - Ênfase5 13 4 6" xfId="27776"/>
    <cellStyle name="40% - Ênfase5 13 4 7" xfId="31808"/>
    <cellStyle name="40% - Ênfase5 13 4 8" xfId="35840"/>
    <cellStyle name="40% - Ênfase5 13 4 9" xfId="39872"/>
    <cellStyle name="40% - Ênfase5 13 5" xfId="9632"/>
    <cellStyle name="40% - Ênfase5 13 6" xfId="13664"/>
    <cellStyle name="40% - Ênfase5 13 7" xfId="17696"/>
    <cellStyle name="40% - Ênfase5 13 8" xfId="21728"/>
    <cellStyle name="40% - Ênfase5 13 9" xfId="25760"/>
    <cellStyle name="40% - Ênfase5 14 2" xfId="2111"/>
    <cellStyle name="40% - Ênfase5 15 2" xfId="2112"/>
    <cellStyle name="40% - Ênfase5 16 2" xfId="2113"/>
    <cellStyle name="40% - Ênfase5 17 2" xfId="2114"/>
    <cellStyle name="40% - Ênfase5 2" xfId="393"/>
    <cellStyle name="40% - Ênfase5 2 2" xfId="532"/>
    <cellStyle name="40% - Ênfase5 2 2 2" xfId="2116"/>
    <cellStyle name="40% - Ênfase5 2 3" xfId="845"/>
    <cellStyle name="40% - Ênfase5 2 3 2" xfId="2117"/>
    <cellStyle name="40% - Ênfase5 2 4" xfId="1038"/>
    <cellStyle name="40% - Ênfase5 2 5" xfId="2115"/>
    <cellStyle name="40% - Ênfase5 2 5 10" xfId="33825"/>
    <cellStyle name="40% - Ênfase5 2 5 11" xfId="37857"/>
    <cellStyle name="40% - Ênfase5 2 5 12" xfId="41889"/>
    <cellStyle name="40% - Ênfase5 2 5 13" xfId="45921"/>
    <cellStyle name="40% - Ênfase5 2 5 14" xfId="49999"/>
    <cellStyle name="40% - Ênfase5 2 5 2" xfId="5540"/>
    <cellStyle name="40% - Ênfase5 2 5 2 10" xfId="38808"/>
    <cellStyle name="40% - Ênfase5 2 5 2 11" xfId="42840"/>
    <cellStyle name="40% - Ênfase5 2 5 2 12" xfId="46872"/>
    <cellStyle name="40% - Ênfase5 2 5 2 13" xfId="50951"/>
    <cellStyle name="40% - Ênfase5 2 5 2 2" xfId="8566"/>
    <cellStyle name="40% - Ênfase5 2 5 2 2 10" xfId="44856"/>
    <cellStyle name="40% - Ênfase5 2 5 2 2 11" xfId="48888"/>
    <cellStyle name="40% - Ênfase5 2 5 2 2 12" xfId="52967"/>
    <cellStyle name="40% - Ênfase5 2 5 2 2 2" xfId="12600"/>
    <cellStyle name="40% - Ênfase5 2 5 2 2 3" xfId="16632"/>
    <cellStyle name="40% - Ênfase5 2 5 2 2 4" xfId="20664"/>
    <cellStyle name="40% - Ênfase5 2 5 2 2 5" xfId="24696"/>
    <cellStyle name="40% - Ênfase5 2 5 2 2 6" xfId="28728"/>
    <cellStyle name="40% - Ênfase5 2 5 2 2 7" xfId="32760"/>
    <cellStyle name="40% - Ênfase5 2 5 2 2 8" xfId="36792"/>
    <cellStyle name="40% - Ênfase5 2 5 2 2 9" xfId="40824"/>
    <cellStyle name="40% - Ênfase5 2 5 2 3" xfId="10584"/>
    <cellStyle name="40% - Ênfase5 2 5 2 4" xfId="14616"/>
    <cellStyle name="40% - Ênfase5 2 5 2 5" xfId="18648"/>
    <cellStyle name="40% - Ênfase5 2 5 2 6" xfId="22680"/>
    <cellStyle name="40% - Ênfase5 2 5 2 7" xfId="26712"/>
    <cellStyle name="40% - Ênfase5 2 5 2 8" xfId="30744"/>
    <cellStyle name="40% - Ênfase5 2 5 2 9" xfId="34776"/>
    <cellStyle name="40% - Ênfase5 2 5 3" xfId="7615"/>
    <cellStyle name="40% - Ênfase5 2 5 3 10" xfId="43905"/>
    <cellStyle name="40% - Ênfase5 2 5 3 11" xfId="47937"/>
    <cellStyle name="40% - Ênfase5 2 5 3 12" xfId="52016"/>
    <cellStyle name="40% - Ênfase5 2 5 3 2" xfId="11649"/>
    <cellStyle name="40% - Ênfase5 2 5 3 3" xfId="15681"/>
    <cellStyle name="40% - Ênfase5 2 5 3 4" xfId="19713"/>
    <cellStyle name="40% - Ênfase5 2 5 3 5" xfId="23745"/>
    <cellStyle name="40% - Ênfase5 2 5 3 6" xfId="27777"/>
    <cellStyle name="40% - Ênfase5 2 5 3 7" xfId="31809"/>
    <cellStyle name="40% - Ênfase5 2 5 3 8" xfId="35841"/>
    <cellStyle name="40% - Ênfase5 2 5 3 9" xfId="39873"/>
    <cellStyle name="40% - Ênfase5 2 5 4" xfId="9633"/>
    <cellStyle name="40% - Ênfase5 2 5 5" xfId="13665"/>
    <cellStyle name="40% - Ênfase5 2 5 6" xfId="17697"/>
    <cellStyle name="40% - Ênfase5 2 5 7" xfId="21729"/>
    <cellStyle name="40% - Ênfase5 2 5 8" xfId="25761"/>
    <cellStyle name="40% - Ênfase5 2 5 9" xfId="29793"/>
    <cellStyle name="40% - Ênfase5 3" xfId="466"/>
    <cellStyle name="40% - Ênfase5 3 2" xfId="1039"/>
    <cellStyle name="40% - Ênfase5 3 2 10" xfId="29539"/>
    <cellStyle name="40% - Ênfase5 3 2 11" xfId="33571"/>
    <cellStyle name="40% - Ênfase5 3 2 12" xfId="37603"/>
    <cellStyle name="40% - Ênfase5 3 2 13" xfId="41635"/>
    <cellStyle name="40% - Ênfase5 3 2 14" xfId="45667"/>
    <cellStyle name="40% - Ênfase5 3 2 15" xfId="49745"/>
    <cellStyle name="40% - Ênfase5 3 2 2" xfId="2119"/>
    <cellStyle name="40% - Ênfase5 3 2 3" xfId="5045"/>
    <cellStyle name="40% - Ênfase5 3 2 3 10" xfId="38568"/>
    <cellStyle name="40% - Ênfase5 3 2 3 11" xfId="42600"/>
    <cellStyle name="40% - Ênfase5 3 2 3 12" xfId="46632"/>
    <cellStyle name="40% - Ênfase5 3 2 3 13" xfId="50711"/>
    <cellStyle name="40% - Ênfase5 3 2 3 2" xfId="8326"/>
    <cellStyle name="40% - Ênfase5 3 2 3 2 10" xfId="44616"/>
    <cellStyle name="40% - Ênfase5 3 2 3 2 11" xfId="48648"/>
    <cellStyle name="40% - Ênfase5 3 2 3 2 12" xfId="52727"/>
    <cellStyle name="40% - Ênfase5 3 2 3 2 2" xfId="12360"/>
    <cellStyle name="40% - Ênfase5 3 2 3 2 3" xfId="16392"/>
    <cellStyle name="40% - Ênfase5 3 2 3 2 4" xfId="20424"/>
    <cellStyle name="40% - Ênfase5 3 2 3 2 5" xfId="24456"/>
    <cellStyle name="40% - Ênfase5 3 2 3 2 6" xfId="28488"/>
    <cellStyle name="40% - Ênfase5 3 2 3 2 7" xfId="32520"/>
    <cellStyle name="40% - Ênfase5 3 2 3 2 8" xfId="36552"/>
    <cellStyle name="40% - Ênfase5 3 2 3 2 9" xfId="40584"/>
    <cellStyle name="40% - Ênfase5 3 2 3 3" xfId="10344"/>
    <cellStyle name="40% - Ênfase5 3 2 3 4" xfId="14376"/>
    <cellStyle name="40% - Ênfase5 3 2 3 5" xfId="18408"/>
    <cellStyle name="40% - Ênfase5 3 2 3 6" xfId="22440"/>
    <cellStyle name="40% - Ênfase5 3 2 3 7" xfId="26472"/>
    <cellStyle name="40% - Ênfase5 3 2 3 8" xfId="30504"/>
    <cellStyle name="40% - Ênfase5 3 2 3 9" xfId="34536"/>
    <cellStyle name="40% - Ênfase5 3 2 4" xfId="7361"/>
    <cellStyle name="40% - Ênfase5 3 2 4 10" xfId="43651"/>
    <cellStyle name="40% - Ênfase5 3 2 4 11" xfId="47683"/>
    <cellStyle name="40% - Ênfase5 3 2 4 12" xfId="51762"/>
    <cellStyle name="40% - Ênfase5 3 2 4 2" xfId="11395"/>
    <cellStyle name="40% - Ênfase5 3 2 4 3" xfId="15427"/>
    <cellStyle name="40% - Ênfase5 3 2 4 4" xfId="19459"/>
    <cellStyle name="40% - Ênfase5 3 2 4 5" xfId="23491"/>
    <cellStyle name="40% - Ênfase5 3 2 4 6" xfId="27523"/>
    <cellStyle name="40% - Ênfase5 3 2 4 7" xfId="31555"/>
    <cellStyle name="40% - Ênfase5 3 2 4 8" xfId="35587"/>
    <cellStyle name="40% - Ênfase5 3 2 4 9" xfId="39619"/>
    <cellStyle name="40% - Ênfase5 3 2 5" xfId="9379"/>
    <cellStyle name="40% - Ênfase5 3 2 6" xfId="13411"/>
    <cellStyle name="40% - Ênfase5 3 2 7" xfId="17443"/>
    <cellStyle name="40% - Ênfase5 3 2 8" xfId="21475"/>
    <cellStyle name="40% - Ênfase5 3 2 9" xfId="25507"/>
    <cellStyle name="40% - Ênfase5 3 3" xfId="2120"/>
    <cellStyle name="40% - Ênfase5 3 4" xfId="2118"/>
    <cellStyle name="40% - Ênfase5 3 4 10" xfId="33826"/>
    <cellStyle name="40% - Ênfase5 3 4 11" xfId="37858"/>
    <cellStyle name="40% - Ênfase5 3 4 12" xfId="41890"/>
    <cellStyle name="40% - Ênfase5 3 4 13" xfId="45922"/>
    <cellStyle name="40% - Ênfase5 3 4 14" xfId="50000"/>
    <cellStyle name="40% - Ênfase5 3 4 2" xfId="5541"/>
    <cellStyle name="40% - Ênfase5 3 4 2 10" xfId="38809"/>
    <cellStyle name="40% - Ênfase5 3 4 2 11" xfId="42841"/>
    <cellStyle name="40% - Ênfase5 3 4 2 12" xfId="46873"/>
    <cellStyle name="40% - Ênfase5 3 4 2 13" xfId="50952"/>
    <cellStyle name="40% - Ênfase5 3 4 2 2" xfId="8567"/>
    <cellStyle name="40% - Ênfase5 3 4 2 2 10" xfId="44857"/>
    <cellStyle name="40% - Ênfase5 3 4 2 2 11" xfId="48889"/>
    <cellStyle name="40% - Ênfase5 3 4 2 2 12" xfId="52968"/>
    <cellStyle name="40% - Ênfase5 3 4 2 2 2" xfId="12601"/>
    <cellStyle name="40% - Ênfase5 3 4 2 2 3" xfId="16633"/>
    <cellStyle name="40% - Ênfase5 3 4 2 2 4" xfId="20665"/>
    <cellStyle name="40% - Ênfase5 3 4 2 2 5" xfId="24697"/>
    <cellStyle name="40% - Ênfase5 3 4 2 2 6" xfId="28729"/>
    <cellStyle name="40% - Ênfase5 3 4 2 2 7" xfId="32761"/>
    <cellStyle name="40% - Ênfase5 3 4 2 2 8" xfId="36793"/>
    <cellStyle name="40% - Ênfase5 3 4 2 2 9" xfId="40825"/>
    <cellStyle name="40% - Ênfase5 3 4 2 3" xfId="10585"/>
    <cellStyle name="40% - Ênfase5 3 4 2 4" xfId="14617"/>
    <cellStyle name="40% - Ênfase5 3 4 2 5" xfId="18649"/>
    <cellStyle name="40% - Ênfase5 3 4 2 6" xfId="22681"/>
    <cellStyle name="40% - Ênfase5 3 4 2 7" xfId="26713"/>
    <cellStyle name="40% - Ênfase5 3 4 2 8" xfId="30745"/>
    <cellStyle name="40% - Ênfase5 3 4 2 9" xfId="34777"/>
    <cellStyle name="40% - Ênfase5 3 4 3" xfId="7616"/>
    <cellStyle name="40% - Ênfase5 3 4 3 10" xfId="43906"/>
    <cellStyle name="40% - Ênfase5 3 4 3 11" xfId="47938"/>
    <cellStyle name="40% - Ênfase5 3 4 3 12" xfId="52017"/>
    <cellStyle name="40% - Ênfase5 3 4 3 2" xfId="11650"/>
    <cellStyle name="40% - Ênfase5 3 4 3 3" xfId="15682"/>
    <cellStyle name="40% - Ênfase5 3 4 3 4" xfId="19714"/>
    <cellStyle name="40% - Ênfase5 3 4 3 5" xfId="23746"/>
    <cellStyle name="40% - Ênfase5 3 4 3 6" xfId="27778"/>
    <cellStyle name="40% - Ênfase5 3 4 3 7" xfId="31810"/>
    <cellStyle name="40% - Ênfase5 3 4 3 8" xfId="35842"/>
    <cellStyle name="40% - Ênfase5 3 4 3 9" xfId="39874"/>
    <cellStyle name="40% - Ênfase5 3 4 4" xfId="9634"/>
    <cellStyle name="40% - Ênfase5 3 4 5" xfId="13666"/>
    <cellStyle name="40% - Ênfase5 3 4 6" xfId="17698"/>
    <cellStyle name="40% - Ênfase5 3 4 7" xfId="21730"/>
    <cellStyle name="40% - Ênfase5 3 4 8" xfId="25762"/>
    <cellStyle name="40% - Ênfase5 3 4 9" xfId="29794"/>
    <cellStyle name="40% - Ênfase5 4" xfId="1135"/>
    <cellStyle name="40% - Ênfase5 4 2" xfId="2122"/>
    <cellStyle name="40% - Ênfase5 4 3" xfId="2123"/>
    <cellStyle name="40% - Ênfase5 4 4" xfId="2121"/>
    <cellStyle name="40% - Ênfase5 4 4 10" xfId="33827"/>
    <cellStyle name="40% - Ênfase5 4 4 11" xfId="37859"/>
    <cellStyle name="40% - Ênfase5 4 4 12" xfId="41891"/>
    <cellStyle name="40% - Ênfase5 4 4 13" xfId="45923"/>
    <cellStyle name="40% - Ênfase5 4 4 14" xfId="50001"/>
    <cellStyle name="40% - Ênfase5 4 4 2" xfId="5542"/>
    <cellStyle name="40% - Ênfase5 4 4 2 10" xfId="38810"/>
    <cellStyle name="40% - Ênfase5 4 4 2 11" xfId="42842"/>
    <cellStyle name="40% - Ênfase5 4 4 2 12" xfId="46874"/>
    <cellStyle name="40% - Ênfase5 4 4 2 13" xfId="50953"/>
    <cellStyle name="40% - Ênfase5 4 4 2 2" xfId="8568"/>
    <cellStyle name="40% - Ênfase5 4 4 2 2 10" xfId="44858"/>
    <cellStyle name="40% - Ênfase5 4 4 2 2 11" xfId="48890"/>
    <cellStyle name="40% - Ênfase5 4 4 2 2 12" xfId="52969"/>
    <cellStyle name="40% - Ênfase5 4 4 2 2 2" xfId="12602"/>
    <cellStyle name="40% - Ênfase5 4 4 2 2 3" xfId="16634"/>
    <cellStyle name="40% - Ênfase5 4 4 2 2 4" xfId="20666"/>
    <cellStyle name="40% - Ênfase5 4 4 2 2 5" xfId="24698"/>
    <cellStyle name="40% - Ênfase5 4 4 2 2 6" xfId="28730"/>
    <cellStyle name="40% - Ênfase5 4 4 2 2 7" xfId="32762"/>
    <cellStyle name="40% - Ênfase5 4 4 2 2 8" xfId="36794"/>
    <cellStyle name="40% - Ênfase5 4 4 2 2 9" xfId="40826"/>
    <cellStyle name="40% - Ênfase5 4 4 2 3" xfId="10586"/>
    <cellStyle name="40% - Ênfase5 4 4 2 4" xfId="14618"/>
    <cellStyle name="40% - Ênfase5 4 4 2 5" xfId="18650"/>
    <cellStyle name="40% - Ênfase5 4 4 2 6" xfId="22682"/>
    <cellStyle name="40% - Ênfase5 4 4 2 7" xfId="26714"/>
    <cellStyle name="40% - Ênfase5 4 4 2 8" xfId="30746"/>
    <cellStyle name="40% - Ênfase5 4 4 2 9" xfId="34778"/>
    <cellStyle name="40% - Ênfase5 4 4 3" xfId="7617"/>
    <cellStyle name="40% - Ênfase5 4 4 3 10" xfId="43907"/>
    <cellStyle name="40% - Ênfase5 4 4 3 11" xfId="47939"/>
    <cellStyle name="40% - Ênfase5 4 4 3 12" xfId="52018"/>
    <cellStyle name="40% - Ênfase5 4 4 3 2" xfId="11651"/>
    <cellStyle name="40% - Ênfase5 4 4 3 3" xfId="15683"/>
    <cellStyle name="40% - Ênfase5 4 4 3 4" xfId="19715"/>
    <cellStyle name="40% - Ênfase5 4 4 3 5" xfId="23747"/>
    <cellStyle name="40% - Ênfase5 4 4 3 6" xfId="27779"/>
    <cellStyle name="40% - Ênfase5 4 4 3 7" xfId="31811"/>
    <cellStyle name="40% - Ênfase5 4 4 3 8" xfId="35843"/>
    <cellStyle name="40% - Ênfase5 4 4 3 9" xfId="39875"/>
    <cellStyle name="40% - Ênfase5 4 4 4" xfId="9635"/>
    <cellStyle name="40% - Ênfase5 4 4 5" xfId="13667"/>
    <cellStyle name="40% - Ênfase5 4 4 6" xfId="17699"/>
    <cellStyle name="40% - Ênfase5 4 4 7" xfId="21731"/>
    <cellStyle name="40% - Ênfase5 4 4 8" xfId="25763"/>
    <cellStyle name="40% - Ênfase5 4 4 9" xfId="29795"/>
    <cellStyle name="40% - Ênfase5 5" xfId="1179"/>
    <cellStyle name="40% - Ênfase5 5 2" xfId="2125"/>
    <cellStyle name="40% - Ênfase5 5 3" xfId="2126"/>
    <cellStyle name="40% - Ênfase5 5 4" xfId="2124"/>
    <cellStyle name="40% - Ênfase5 5 4 10" xfId="33828"/>
    <cellStyle name="40% - Ênfase5 5 4 11" xfId="37860"/>
    <cellStyle name="40% - Ênfase5 5 4 12" xfId="41892"/>
    <cellStyle name="40% - Ênfase5 5 4 13" xfId="45924"/>
    <cellStyle name="40% - Ênfase5 5 4 14" xfId="50002"/>
    <cellStyle name="40% - Ênfase5 5 4 2" xfId="5543"/>
    <cellStyle name="40% - Ênfase5 5 4 2 10" xfId="38811"/>
    <cellStyle name="40% - Ênfase5 5 4 2 11" xfId="42843"/>
    <cellStyle name="40% - Ênfase5 5 4 2 12" xfId="46875"/>
    <cellStyle name="40% - Ênfase5 5 4 2 13" xfId="50954"/>
    <cellStyle name="40% - Ênfase5 5 4 2 2" xfId="8569"/>
    <cellStyle name="40% - Ênfase5 5 4 2 2 10" xfId="44859"/>
    <cellStyle name="40% - Ênfase5 5 4 2 2 11" xfId="48891"/>
    <cellStyle name="40% - Ênfase5 5 4 2 2 12" xfId="52970"/>
    <cellStyle name="40% - Ênfase5 5 4 2 2 2" xfId="12603"/>
    <cellStyle name="40% - Ênfase5 5 4 2 2 3" xfId="16635"/>
    <cellStyle name="40% - Ênfase5 5 4 2 2 4" xfId="20667"/>
    <cellStyle name="40% - Ênfase5 5 4 2 2 5" xfId="24699"/>
    <cellStyle name="40% - Ênfase5 5 4 2 2 6" xfId="28731"/>
    <cellStyle name="40% - Ênfase5 5 4 2 2 7" xfId="32763"/>
    <cellStyle name="40% - Ênfase5 5 4 2 2 8" xfId="36795"/>
    <cellStyle name="40% - Ênfase5 5 4 2 2 9" xfId="40827"/>
    <cellStyle name="40% - Ênfase5 5 4 2 3" xfId="10587"/>
    <cellStyle name="40% - Ênfase5 5 4 2 4" xfId="14619"/>
    <cellStyle name="40% - Ênfase5 5 4 2 5" xfId="18651"/>
    <cellStyle name="40% - Ênfase5 5 4 2 6" xfId="22683"/>
    <cellStyle name="40% - Ênfase5 5 4 2 7" xfId="26715"/>
    <cellStyle name="40% - Ênfase5 5 4 2 8" xfId="30747"/>
    <cellStyle name="40% - Ênfase5 5 4 2 9" xfId="34779"/>
    <cellStyle name="40% - Ênfase5 5 4 3" xfId="7618"/>
    <cellStyle name="40% - Ênfase5 5 4 3 10" xfId="43908"/>
    <cellStyle name="40% - Ênfase5 5 4 3 11" xfId="47940"/>
    <cellStyle name="40% - Ênfase5 5 4 3 12" xfId="52019"/>
    <cellStyle name="40% - Ênfase5 5 4 3 2" xfId="11652"/>
    <cellStyle name="40% - Ênfase5 5 4 3 3" xfId="15684"/>
    <cellStyle name="40% - Ênfase5 5 4 3 4" xfId="19716"/>
    <cellStyle name="40% - Ênfase5 5 4 3 5" xfId="23748"/>
    <cellStyle name="40% - Ênfase5 5 4 3 6" xfId="27780"/>
    <cellStyle name="40% - Ênfase5 5 4 3 7" xfId="31812"/>
    <cellStyle name="40% - Ênfase5 5 4 3 8" xfId="35844"/>
    <cellStyle name="40% - Ênfase5 5 4 3 9" xfId="39876"/>
    <cellStyle name="40% - Ênfase5 5 4 4" xfId="9636"/>
    <cellStyle name="40% - Ênfase5 5 4 5" xfId="13668"/>
    <cellStyle name="40% - Ênfase5 5 4 6" xfId="17700"/>
    <cellStyle name="40% - Ênfase5 5 4 7" xfId="21732"/>
    <cellStyle name="40% - Ênfase5 5 4 8" xfId="25764"/>
    <cellStyle name="40% - Ênfase5 5 4 9" xfId="29796"/>
    <cellStyle name="40% - Ênfase5 6" xfId="1182"/>
    <cellStyle name="40% - Ênfase5 6 2" xfId="2128"/>
    <cellStyle name="40% - Ênfase5 6 3" xfId="2129"/>
    <cellStyle name="40% - Ênfase5 6 4" xfId="2127"/>
    <cellStyle name="40% - Ênfase5 6 4 10" xfId="33829"/>
    <cellStyle name="40% - Ênfase5 6 4 11" xfId="37861"/>
    <cellStyle name="40% - Ênfase5 6 4 12" xfId="41893"/>
    <cellStyle name="40% - Ênfase5 6 4 13" xfId="45925"/>
    <cellStyle name="40% - Ênfase5 6 4 14" xfId="50003"/>
    <cellStyle name="40% - Ênfase5 6 4 2" xfId="5544"/>
    <cellStyle name="40% - Ênfase5 6 4 2 10" xfId="38812"/>
    <cellStyle name="40% - Ênfase5 6 4 2 11" xfId="42844"/>
    <cellStyle name="40% - Ênfase5 6 4 2 12" xfId="46876"/>
    <cellStyle name="40% - Ênfase5 6 4 2 13" xfId="50955"/>
    <cellStyle name="40% - Ênfase5 6 4 2 2" xfId="8570"/>
    <cellStyle name="40% - Ênfase5 6 4 2 2 10" xfId="44860"/>
    <cellStyle name="40% - Ênfase5 6 4 2 2 11" xfId="48892"/>
    <cellStyle name="40% - Ênfase5 6 4 2 2 12" xfId="52971"/>
    <cellStyle name="40% - Ênfase5 6 4 2 2 2" xfId="12604"/>
    <cellStyle name="40% - Ênfase5 6 4 2 2 3" xfId="16636"/>
    <cellStyle name="40% - Ênfase5 6 4 2 2 4" xfId="20668"/>
    <cellStyle name="40% - Ênfase5 6 4 2 2 5" xfId="24700"/>
    <cellStyle name="40% - Ênfase5 6 4 2 2 6" xfId="28732"/>
    <cellStyle name="40% - Ênfase5 6 4 2 2 7" xfId="32764"/>
    <cellStyle name="40% - Ênfase5 6 4 2 2 8" xfId="36796"/>
    <cellStyle name="40% - Ênfase5 6 4 2 2 9" xfId="40828"/>
    <cellStyle name="40% - Ênfase5 6 4 2 3" xfId="10588"/>
    <cellStyle name="40% - Ênfase5 6 4 2 4" xfId="14620"/>
    <cellStyle name="40% - Ênfase5 6 4 2 5" xfId="18652"/>
    <cellStyle name="40% - Ênfase5 6 4 2 6" xfId="22684"/>
    <cellStyle name="40% - Ênfase5 6 4 2 7" xfId="26716"/>
    <cellStyle name="40% - Ênfase5 6 4 2 8" xfId="30748"/>
    <cellStyle name="40% - Ênfase5 6 4 2 9" xfId="34780"/>
    <cellStyle name="40% - Ênfase5 6 4 3" xfId="7619"/>
    <cellStyle name="40% - Ênfase5 6 4 3 10" xfId="43909"/>
    <cellStyle name="40% - Ênfase5 6 4 3 11" xfId="47941"/>
    <cellStyle name="40% - Ênfase5 6 4 3 12" xfId="52020"/>
    <cellStyle name="40% - Ênfase5 6 4 3 2" xfId="11653"/>
    <cellStyle name="40% - Ênfase5 6 4 3 3" xfId="15685"/>
    <cellStyle name="40% - Ênfase5 6 4 3 4" xfId="19717"/>
    <cellStyle name="40% - Ênfase5 6 4 3 5" xfId="23749"/>
    <cellStyle name="40% - Ênfase5 6 4 3 6" xfId="27781"/>
    <cellStyle name="40% - Ênfase5 6 4 3 7" xfId="31813"/>
    <cellStyle name="40% - Ênfase5 6 4 3 8" xfId="35845"/>
    <cellStyle name="40% - Ênfase5 6 4 3 9" xfId="39877"/>
    <cellStyle name="40% - Ênfase5 6 4 4" xfId="9637"/>
    <cellStyle name="40% - Ênfase5 6 4 5" xfId="13669"/>
    <cellStyle name="40% - Ênfase5 6 4 6" xfId="17701"/>
    <cellStyle name="40% - Ênfase5 6 4 7" xfId="21733"/>
    <cellStyle name="40% - Ênfase5 6 4 8" xfId="25765"/>
    <cellStyle name="40% - Ênfase5 6 4 9" xfId="29797"/>
    <cellStyle name="40% - Ênfase5 7" xfId="2130"/>
    <cellStyle name="40% - Ênfase5 7 10" xfId="25766"/>
    <cellStyle name="40% - Ênfase5 7 11" xfId="29798"/>
    <cellStyle name="40% - Ênfase5 7 12" xfId="33830"/>
    <cellStyle name="40% - Ênfase5 7 13" xfId="37862"/>
    <cellStyle name="40% - Ênfase5 7 14" xfId="41894"/>
    <cellStyle name="40% - Ênfase5 7 15" xfId="45926"/>
    <cellStyle name="40% - Ênfase5 7 16" xfId="50004"/>
    <cellStyle name="40% - Ênfase5 7 2" xfId="2131"/>
    <cellStyle name="40% - Ênfase5 7 3" xfId="2132"/>
    <cellStyle name="40% - Ênfase5 7 4" xfId="5545"/>
    <cellStyle name="40% - Ênfase5 7 4 10" xfId="38813"/>
    <cellStyle name="40% - Ênfase5 7 4 11" xfId="42845"/>
    <cellStyle name="40% - Ênfase5 7 4 12" xfId="46877"/>
    <cellStyle name="40% - Ênfase5 7 4 13" xfId="50956"/>
    <cellStyle name="40% - Ênfase5 7 4 2" xfId="8571"/>
    <cellStyle name="40% - Ênfase5 7 4 2 10" xfId="44861"/>
    <cellStyle name="40% - Ênfase5 7 4 2 11" xfId="48893"/>
    <cellStyle name="40% - Ênfase5 7 4 2 12" xfId="52972"/>
    <cellStyle name="40% - Ênfase5 7 4 2 2" xfId="12605"/>
    <cellStyle name="40% - Ênfase5 7 4 2 3" xfId="16637"/>
    <cellStyle name="40% - Ênfase5 7 4 2 4" xfId="20669"/>
    <cellStyle name="40% - Ênfase5 7 4 2 5" xfId="24701"/>
    <cellStyle name="40% - Ênfase5 7 4 2 6" xfId="28733"/>
    <cellStyle name="40% - Ênfase5 7 4 2 7" xfId="32765"/>
    <cellStyle name="40% - Ênfase5 7 4 2 8" xfId="36797"/>
    <cellStyle name="40% - Ênfase5 7 4 2 9" xfId="40829"/>
    <cellStyle name="40% - Ênfase5 7 4 3" xfId="10589"/>
    <cellStyle name="40% - Ênfase5 7 4 4" xfId="14621"/>
    <cellStyle name="40% - Ênfase5 7 4 5" xfId="18653"/>
    <cellStyle name="40% - Ênfase5 7 4 6" xfId="22685"/>
    <cellStyle name="40% - Ênfase5 7 4 7" xfId="26717"/>
    <cellStyle name="40% - Ênfase5 7 4 8" xfId="30749"/>
    <cellStyle name="40% - Ênfase5 7 4 9" xfId="34781"/>
    <cellStyle name="40% - Ênfase5 7 5" xfId="7620"/>
    <cellStyle name="40% - Ênfase5 7 5 10" xfId="43910"/>
    <cellStyle name="40% - Ênfase5 7 5 11" xfId="47942"/>
    <cellStyle name="40% - Ênfase5 7 5 12" xfId="52021"/>
    <cellStyle name="40% - Ênfase5 7 5 2" xfId="11654"/>
    <cellStyle name="40% - Ênfase5 7 5 3" xfId="15686"/>
    <cellStyle name="40% - Ênfase5 7 5 4" xfId="19718"/>
    <cellStyle name="40% - Ênfase5 7 5 5" xfId="23750"/>
    <cellStyle name="40% - Ênfase5 7 5 6" xfId="27782"/>
    <cellStyle name="40% - Ênfase5 7 5 7" xfId="31814"/>
    <cellStyle name="40% - Ênfase5 7 5 8" xfId="35846"/>
    <cellStyle name="40% - Ênfase5 7 5 9" xfId="39878"/>
    <cellStyle name="40% - Ênfase5 7 6" xfId="9638"/>
    <cellStyle name="40% - Ênfase5 7 7" xfId="13670"/>
    <cellStyle name="40% - Ênfase5 7 8" xfId="17702"/>
    <cellStyle name="40% - Ênfase5 7 9" xfId="21734"/>
    <cellStyle name="40% - Ênfase5 8" xfId="2133"/>
    <cellStyle name="40% - Ênfase5 8 2" xfId="2134"/>
    <cellStyle name="40% - Ênfase5 9" xfId="2135"/>
    <cellStyle name="40% - Ênfase5 9 2" xfId="2136"/>
    <cellStyle name="40% - Ênfase6 10" xfId="2137"/>
    <cellStyle name="40% - Ênfase6 10 10" xfId="29799"/>
    <cellStyle name="40% - Ênfase6 10 11" xfId="33831"/>
    <cellStyle name="40% - Ênfase6 10 12" xfId="37863"/>
    <cellStyle name="40% - Ênfase6 10 13" xfId="41895"/>
    <cellStyle name="40% - Ênfase6 10 14" xfId="45927"/>
    <cellStyle name="40% - Ênfase6 10 15" xfId="50005"/>
    <cellStyle name="40% - Ênfase6 10 2" xfId="2138"/>
    <cellStyle name="40% - Ênfase6 10 3" xfId="5546"/>
    <cellStyle name="40% - Ênfase6 10 3 10" xfId="38814"/>
    <cellStyle name="40% - Ênfase6 10 3 11" xfId="42846"/>
    <cellStyle name="40% - Ênfase6 10 3 12" xfId="46878"/>
    <cellStyle name="40% - Ênfase6 10 3 13" xfId="50957"/>
    <cellStyle name="40% - Ênfase6 10 3 2" xfId="8572"/>
    <cellStyle name="40% - Ênfase6 10 3 2 10" xfId="44862"/>
    <cellStyle name="40% - Ênfase6 10 3 2 11" xfId="48894"/>
    <cellStyle name="40% - Ênfase6 10 3 2 12" xfId="52973"/>
    <cellStyle name="40% - Ênfase6 10 3 2 2" xfId="12606"/>
    <cellStyle name="40% - Ênfase6 10 3 2 3" xfId="16638"/>
    <cellStyle name="40% - Ênfase6 10 3 2 4" xfId="20670"/>
    <cellStyle name="40% - Ênfase6 10 3 2 5" xfId="24702"/>
    <cellStyle name="40% - Ênfase6 10 3 2 6" xfId="28734"/>
    <cellStyle name="40% - Ênfase6 10 3 2 7" xfId="32766"/>
    <cellStyle name="40% - Ênfase6 10 3 2 8" xfId="36798"/>
    <cellStyle name="40% - Ênfase6 10 3 2 9" xfId="40830"/>
    <cellStyle name="40% - Ênfase6 10 3 3" xfId="10590"/>
    <cellStyle name="40% - Ênfase6 10 3 4" xfId="14622"/>
    <cellStyle name="40% - Ênfase6 10 3 5" xfId="18654"/>
    <cellStyle name="40% - Ênfase6 10 3 6" xfId="22686"/>
    <cellStyle name="40% - Ênfase6 10 3 7" xfId="26718"/>
    <cellStyle name="40% - Ênfase6 10 3 8" xfId="30750"/>
    <cellStyle name="40% - Ênfase6 10 3 9" xfId="34782"/>
    <cellStyle name="40% - Ênfase6 10 4" xfId="7621"/>
    <cellStyle name="40% - Ênfase6 10 4 10" xfId="43911"/>
    <cellStyle name="40% - Ênfase6 10 4 11" xfId="47943"/>
    <cellStyle name="40% - Ênfase6 10 4 12" xfId="52022"/>
    <cellStyle name="40% - Ênfase6 10 4 2" xfId="11655"/>
    <cellStyle name="40% - Ênfase6 10 4 3" xfId="15687"/>
    <cellStyle name="40% - Ênfase6 10 4 4" xfId="19719"/>
    <cellStyle name="40% - Ênfase6 10 4 5" xfId="23751"/>
    <cellStyle name="40% - Ênfase6 10 4 6" xfId="27783"/>
    <cellStyle name="40% - Ênfase6 10 4 7" xfId="31815"/>
    <cellStyle name="40% - Ênfase6 10 4 8" xfId="35847"/>
    <cellStyle name="40% - Ênfase6 10 4 9" xfId="39879"/>
    <cellStyle name="40% - Ênfase6 10 5" xfId="9639"/>
    <cellStyle name="40% - Ênfase6 10 6" xfId="13671"/>
    <cellStyle name="40% - Ênfase6 10 7" xfId="17703"/>
    <cellStyle name="40% - Ênfase6 10 8" xfId="21735"/>
    <cellStyle name="40% - Ênfase6 10 9" xfId="25767"/>
    <cellStyle name="40% - Ênfase6 11" xfId="2139"/>
    <cellStyle name="40% - Ênfase6 11 10" xfId="29800"/>
    <cellStyle name="40% - Ênfase6 11 11" xfId="33832"/>
    <cellStyle name="40% - Ênfase6 11 12" xfId="37864"/>
    <cellStyle name="40% - Ênfase6 11 13" xfId="41896"/>
    <cellStyle name="40% - Ênfase6 11 14" xfId="45928"/>
    <cellStyle name="40% - Ênfase6 11 15" xfId="50006"/>
    <cellStyle name="40% - Ênfase6 11 2" xfId="2140"/>
    <cellStyle name="40% - Ênfase6 11 3" xfId="5547"/>
    <cellStyle name="40% - Ênfase6 11 3 10" xfId="38815"/>
    <cellStyle name="40% - Ênfase6 11 3 11" xfId="42847"/>
    <cellStyle name="40% - Ênfase6 11 3 12" xfId="46879"/>
    <cellStyle name="40% - Ênfase6 11 3 13" xfId="50958"/>
    <cellStyle name="40% - Ênfase6 11 3 2" xfId="8573"/>
    <cellStyle name="40% - Ênfase6 11 3 2 10" xfId="44863"/>
    <cellStyle name="40% - Ênfase6 11 3 2 11" xfId="48895"/>
    <cellStyle name="40% - Ênfase6 11 3 2 12" xfId="52974"/>
    <cellStyle name="40% - Ênfase6 11 3 2 2" xfId="12607"/>
    <cellStyle name="40% - Ênfase6 11 3 2 3" xfId="16639"/>
    <cellStyle name="40% - Ênfase6 11 3 2 4" xfId="20671"/>
    <cellStyle name="40% - Ênfase6 11 3 2 5" xfId="24703"/>
    <cellStyle name="40% - Ênfase6 11 3 2 6" xfId="28735"/>
    <cellStyle name="40% - Ênfase6 11 3 2 7" xfId="32767"/>
    <cellStyle name="40% - Ênfase6 11 3 2 8" xfId="36799"/>
    <cellStyle name="40% - Ênfase6 11 3 2 9" xfId="40831"/>
    <cellStyle name="40% - Ênfase6 11 3 3" xfId="10591"/>
    <cellStyle name="40% - Ênfase6 11 3 4" xfId="14623"/>
    <cellStyle name="40% - Ênfase6 11 3 5" xfId="18655"/>
    <cellStyle name="40% - Ênfase6 11 3 6" xfId="22687"/>
    <cellStyle name="40% - Ênfase6 11 3 7" xfId="26719"/>
    <cellStyle name="40% - Ênfase6 11 3 8" xfId="30751"/>
    <cellStyle name="40% - Ênfase6 11 3 9" xfId="34783"/>
    <cellStyle name="40% - Ênfase6 11 4" xfId="7622"/>
    <cellStyle name="40% - Ênfase6 11 4 10" xfId="43912"/>
    <cellStyle name="40% - Ênfase6 11 4 11" xfId="47944"/>
    <cellStyle name="40% - Ênfase6 11 4 12" xfId="52023"/>
    <cellStyle name="40% - Ênfase6 11 4 2" xfId="11656"/>
    <cellStyle name="40% - Ênfase6 11 4 3" xfId="15688"/>
    <cellStyle name="40% - Ênfase6 11 4 4" xfId="19720"/>
    <cellStyle name="40% - Ênfase6 11 4 5" xfId="23752"/>
    <cellStyle name="40% - Ênfase6 11 4 6" xfId="27784"/>
    <cellStyle name="40% - Ênfase6 11 4 7" xfId="31816"/>
    <cellStyle name="40% - Ênfase6 11 4 8" xfId="35848"/>
    <cellStyle name="40% - Ênfase6 11 4 9" xfId="39880"/>
    <cellStyle name="40% - Ênfase6 11 5" xfId="9640"/>
    <cellStyle name="40% - Ênfase6 11 6" xfId="13672"/>
    <cellStyle name="40% - Ênfase6 11 7" xfId="17704"/>
    <cellStyle name="40% - Ênfase6 11 8" xfId="21736"/>
    <cellStyle name="40% - Ênfase6 11 9" xfId="25768"/>
    <cellStyle name="40% - Ênfase6 12" xfId="2141"/>
    <cellStyle name="40% - Ênfase6 12 10" xfId="29801"/>
    <cellStyle name="40% - Ênfase6 12 11" xfId="33833"/>
    <cellStyle name="40% - Ênfase6 12 12" xfId="37865"/>
    <cellStyle name="40% - Ênfase6 12 13" xfId="41897"/>
    <cellStyle name="40% - Ênfase6 12 14" xfId="45929"/>
    <cellStyle name="40% - Ênfase6 12 15" xfId="50007"/>
    <cellStyle name="40% - Ênfase6 12 2" xfId="2142"/>
    <cellStyle name="40% - Ênfase6 12 3" xfId="5548"/>
    <cellStyle name="40% - Ênfase6 12 3 10" xfId="38816"/>
    <cellStyle name="40% - Ênfase6 12 3 11" xfId="42848"/>
    <cellStyle name="40% - Ênfase6 12 3 12" xfId="46880"/>
    <cellStyle name="40% - Ênfase6 12 3 13" xfId="50959"/>
    <cellStyle name="40% - Ênfase6 12 3 2" xfId="8574"/>
    <cellStyle name="40% - Ênfase6 12 3 2 10" xfId="44864"/>
    <cellStyle name="40% - Ênfase6 12 3 2 11" xfId="48896"/>
    <cellStyle name="40% - Ênfase6 12 3 2 12" xfId="52975"/>
    <cellStyle name="40% - Ênfase6 12 3 2 2" xfId="12608"/>
    <cellStyle name="40% - Ênfase6 12 3 2 3" xfId="16640"/>
    <cellStyle name="40% - Ênfase6 12 3 2 4" xfId="20672"/>
    <cellStyle name="40% - Ênfase6 12 3 2 5" xfId="24704"/>
    <cellStyle name="40% - Ênfase6 12 3 2 6" xfId="28736"/>
    <cellStyle name="40% - Ênfase6 12 3 2 7" xfId="32768"/>
    <cellStyle name="40% - Ênfase6 12 3 2 8" xfId="36800"/>
    <cellStyle name="40% - Ênfase6 12 3 2 9" xfId="40832"/>
    <cellStyle name="40% - Ênfase6 12 3 3" xfId="10592"/>
    <cellStyle name="40% - Ênfase6 12 3 4" xfId="14624"/>
    <cellStyle name="40% - Ênfase6 12 3 5" xfId="18656"/>
    <cellStyle name="40% - Ênfase6 12 3 6" xfId="22688"/>
    <cellStyle name="40% - Ênfase6 12 3 7" xfId="26720"/>
    <cellStyle name="40% - Ênfase6 12 3 8" xfId="30752"/>
    <cellStyle name="40% - Ênfase6 12 3 9" xfId="34784"/>
    <cellStyle name="40% - Ênfase6 12 4" xfId="7623"/>
    <cellStyle name="40% - Ênfase6 12 4 10" xfId="43913"/>
    <cellStyle name="40% - Ênfase6 12 4 11" xfId="47945"/>
    <cellStyle name="40% - Ênfase6 12 4 12" xfId="52024"/>
    <cellStyle name="40% - Ênfase6 12 4 2" xfId="11657"/>
    <cellStyle name="40% - Ênfase6 12 4 3" xfId="15689"/>
    <cellStyle name="40% - Ênfase6 12 4 4" xfId="19721"/>
    <cellStyle name="40% - Ênfase6 12 4 5" xfId="23753"/>
    <cellStyle name="40% - Ênfase6 12 4 6" xfId="27785"/>
    <cellStyle name="40% - Ênfase6 12 4 7" xfId="31817"/>
    <cellStyle name="40% - Ênfase6 12 4 8" xfId="35849"/>
    <cellStyle name="40% - Ênfase6 12 4 9" xfId="39881"/>
    <cellStyle name="40% - Ênfase6 12 5" xfId="9641"/>
    <cellStyle name="40% - Ênfase6 12 6" xfId="13673"/>
    <cellStyle name="40% - Ênfase6 12 7" xfId="17705"/>
    <cellStyle name="40% - Ênfase6 12 8" xfId="21737"/>
    <cellStyle name="40% - Ênfase6 12 9" xfId="25769"/>
    <cellStyle name="40% - Ênfase6 13" xfId="2143"/>
    <cellStyle name="40% - Ênfase6 13 10" xfId="29802"/>
    <cellStyle name="40% - Ênfase6 13 11" xfId="33834"/>
    <cellStyle name="40% - Ênfase6 13 12" xfId="37866"/>
    <cellStyle name="40% - Ênfase6 13 13" xfId="41898"/>
    <cellStyle name="40% - Ênfase6 13 14" xfId="45930"/>
    <cellStyle name="40% - Ênfase6 13 15" xfId="50008"/>
    <cellStyle name="40% - Ênfase6 13 2" xfId="2144"/>
    <cellStyle name="40% - Ênfase6 13 3" xfId="5549"/>
    <cellStyle name="40% - Ênfase6 13 3 10" xfId="38817"/>
    <cellStyle name="40% - Ênfase6 13 3 11" xfId="42849"/>
    <cellStyle name="40% - Ênfase6 13 3 12" xfId="46881"/>
    <cellStyle name="40% - Ênfase6 13 3 13" xfId="50960"/>
    <cellStyle name="40% - Ênfase6 13 3 2" xfId="8575"/>
    <cellStyle name="40% - Ênfase6 13 3 2 10" xfId="44865"/>
    <cellStyle name="40% - Ênfase6 13 3 2 11" xfId="48897"/>
    <cellStyle name="40% - Ênfase6 13 3 2 12" xfId="52976"/>
    <cellStyle name="40% - Ênfase6 13 3 2 2" xfId="12609"/>
    <cellStyle name="40% - Ênfase6 13 3 2 3" xfId="16641"/>
    <cellStyle name="40% - Ênfase6 13 3 2 4" xfId="20673"/>
    <cellStyle name="40% - Ênfase6 13 3 2 5" xfId="24705"/>
    <cellStyle name="40% - Ênfase6 13 3 2 6" xfId="28737"/>
    <cellStyle name="40% - Ênfase6 13 3 2 7" xfId="32769"/>
    <cellStyle name="40% - Ênfase6 13 3 2 8" xfId="36801"/>
    <cellStyle name="40% - Ênfase6 13 3 2 9" xfId="40833"/>
    <cellStyle name="40% - Ênfase6 13 3 3" xfId="10593"/>
    <cellStyle name="40% - Ênfase6 13 3 4" xfId="14625"/>
    <cellStyle name="40% - Ênfase6 13 3 5" xfId="18657"/>
    <cellStyle name="40% - Ênfase6 13 3 6" xfId="22689"/>
    <cellStyle name="40% - Ênfase6 13 3 7" xfId="26721"/>
    <cellStyle name="40% - Ênfase6 13 3 8" xfId="30753"/>
    <cellStyle name="40% - Ênfase6 13 3 9" xfId="34785"/>
    <cellStyle name="40% - Ênfase6 13 4" xfId="7624"/>
    <cellStyle name="40% - Ênfase6 13 4 10" xfId="43914"/>
    <cellStyle name="40% - Ênfase6 13 4 11" xfId="47946"/>
    <cellStyle name="40% - Ênfase6 13 4 12" xfId="52025"/>
    <cellStyle name="40% - Ênfase6 13 4 2" xfId="11658"/>
    <cellStyle name="40% - Ênfase6 13 4 3" xfId="15690"/>
    <cellStyle name="40% - Ênfase6 13 4 4" xfId="19722"/>
    <cellStyle name="40% - Ênfase6 13 4 5" xfId="23754"/>
    <cellStyle name="40% - Ênfase6 13 4 6" xfId="27786"/>
    <cellStyle name="40% - Ênfase6 13 4 7" xfId="31818"/>
    <cellStyle name="40% - Ênfase6 13 4 8" xfId="35850"/>
    <cellStyle name="40% - Ênfase6 13 4 9" xfId="39882"/>
    <cellStyle name="40% - Ênfase6 13 5" xfId="9642"/>
    <cellStyle name="40% - Ênfase6 13 6" xfId="13674"/>
    <cellStyle name="40% - Ênfase6 13 7" xfId="17706"/>
    <cellStyle name="40% - Ênfase6 13 8" xfId="21738"/>
    <cellStyle name="40% - Ênfase6 13 9" xfId="25770"/>
    <cellStyle name="40% - Ênfase6 14 2" xfId="2145"/>
    <cellStyle name="40% - Ênfase6 15 2" xfId="2146"/>
    <cellStyle name="40% - Ênfase6 16 2" xfId="2147"/>
    <cellStyle name="40% - Ênfase6 17 2" xfId="2148"/>
    <cellStyle name="40% - Ênfase6 2" xfId="394"/>
    <cellStyle name="40% - Ênfase6 2 2" xfId="533"/>
    <cellStyle name="40% - Ênfase6 2 2 2" xfId="2150"/>
    <cellStyle name="40% - Ênfase6 2 3" xfId="846"/>
    <cellStyle name="40% - Ênfase6 2 3 2" xfId="2151"/>
    <cellStyle name="40% - Ênfase6 2 4" xfId="1040"/>
    <cellStyle name="40% - Ênfase6 2 5" xfId="2149"/>
    <cellStyle name="40% - Ênfase6 2 5 10" xfId="33835"/>
    <cellStyle name="40% - Ênfase6 2 5 11" xfId="37867"/>
    <cellStyle name="40% - Ênfase6 2 5 12" xfId="41899"/>
    <cellStyle name="40% - Ênfase6 2 5 13" xfId="45931"/>
    <cellStyle name="40% - Ênfase6 2 5 14" xfId="50009"/>
    <cellStyle name="40% - Ênfase6 2 5 2" xfId="5550"/>
    <cellStyle name="40% - Ênfase6 2 5 2 10" xfId="38818"/>
    <cellStyle name="40% - Ênfase6 2 5 2 11" xfId="42850"/>
    <cellStyle name="40% - Ênfase6 2 5 2 12" xfId="46882"/>
    <cellStyle name="40% - Ênfase6 2 5 2 13" xfId="50961"/>
    <cellStyle name="40% - Ênfase6 2 5 2 2" xfId="8576"/>
    <cellStyle name="40% - Ênfase6 2 5 2 2 10" xfId="44866"/>
    <cellStyle name="40% - Ênfase6 2 5 2 2 11" xfId="48898"/>
    <cellStyle name="40% - Ênfase6 2 5 2 2 12" xfId="52977"/>
    <cellStyle name="40% - Ênfase6 2 5 2 2 2" xfId="12610"/>
    <cellStyle name="40% - Ênfase6 2 5 2 2 3" xfId="16642"/>
    <cellStyle name="40% - Ênfase6 2 5 2 2 4" xfId="20674"/>
    <cellStyle name="40% - Ênfase6 2 5 2 2 5" xfId="24706"/>
    <cellStyle name="40% - Ênfase6 2 5 2 2 6" xfId="28738"/>
    <cellStyle name="40% - Ênfase6 2 5 2 2 7" xfId="32770"/>
    <cellStyle name="40% - Ênfase6 2 5 2 2 8" xfId="36802"/>
    <cellStyle name="40% - Ênfase6 2 5 2 2 9" xfId="40834"/>
    <cellStyle name="40% - Ênfase6 2 5 2 3" xfId="10594"/>
    <cellStyle name="40% - Ênfase6 2 5 2 4" xfId="14626"/>
    <cellStyle name="40% - Ênfase6 2 5 2 5" xfId="18658"/>
    <cellStyle name="40% - Ênfase6 2 5 2 6" xfId="22690"/>
    <cellStyle name="40% - Ênfase6 2 5 2 7" xfId="26722"/>
    <cellStyle name="40% - Ênfase6 2 5 2 8" xfId="30754"/>
    <cellStyle name="40% - Ênfase6 2 5 2 9" xfId="34786"/>
    <cellStyle name="40% - Ênfase6 2 5 3" xfId="7625"/>
    <cellStyle name="40% - Ênfase6 2 5 3 10" xfId="43915"/>
    <cellStyle name="40% - Ênfase6 2 5 3 11" xfId="47947"/>
    <cellStyle name="40% - Ênfase6 2 5 3 12" xfId="52026"/>
    <cellStyle name="40% - Ênfase6 2 5 3 2" xfId="11659"/>
    <cellStyle name="40% - Ênfase6 2 5 3 3" xfId="15691"/>
    <cellStyle name="40% - Ênfase6 2 5 3 4" xfId="19723"/>
    <cellStyle name="40% - Ênfase6 2 5 3 5" xfId="23755"/>
    <cellStyle name="40% - Ênfase6 2 5 3 6" xfId="27787"/>
    <cellStyle name="40% - Ênfase6 2 5 3 7" xfId="31819"/>
    <cellStyle name="40% - Ênfase6 2 5 3 8" xfId="35851"/>
    <cellStyle name="40% - Ênfase6 2 5 3 9" xfId="39883"/>
    <cellStyle name="40% - Ênfase6 2 5 4" xfId="9643"/>
    <cellStyle name="40% - Ênfase6 2 5 5" xfId="13675"/>
    <cellStyle name="40% - Ênfase6 2 5 6" xfId="17707"/>
    <cellStyle name="40% - Ênfase6 2 5 7" xfId="21739"/>
    <cellStyle name="40% - Ênfase6 2 5 8" xfId="25771"/>
    <cellStyle name="40% - Ênfase6 2 5 9" xfId="29803"/>
    <cellStyle name="40% - Ênfase6 3" xfId="467"/>
    <cellStyle name="40% - Ênfase6 3 2" xfId="1041"/>
    <cellStyle name="40% - Ênfase6 3 2 10" xfId="29540"/>
    <cellStyle name="40% - Ênfase6 3 2 11" xfId="33572"/>
    <cellStyle name="40% - Ênfase6 3 2 12" xfId="37604"/>
    <cellStyle name="40% - Ênfase6 3 2 13" xfId="41636"/>
    <cellStyle name="40% - Ênfase6 3 2 14" xfId="45668"/>
    <cellStyle name="40% - Ênfase6 3 2 15" xfId="49746"/>
    <cellStyle name="40% - Ênfase6 3 2 2" xfId="2153"/>
    <cellStyle name="40% - Ênfase6 3 2 3" xfId="5046"/>
    <cellStyle name="40% - Ênfase6 3 2 3 10" xfId="38569"/>
    <cellStyle name="40% - Ênfase6 3 2 3 11" xfId="42601"/>
    <cellStyle name="40% - Ênfase6 3 2 3 12" xfId="46633"/>
    <cellStyle name="40% - Ênfase6 3 2 3 13" xfId="50712"/>
    <cellStyle name="40% - Ênfase6 3 2 3 2" xfId="8327"/>
    <cellStyle name="40% - Ênfase6 3 2 3 2 10" xfId="44617"/>
    <cellStyle name="40% - Ênfase6 3 2 3 2 11" xfId="48649"/>
    <cellStyle name="40% - Ênfase6 3 2 3 2 12" xfId="52728"/>
    <cellStyle name="40% - Ênfase6 3 2 3 2 2" xfId="12361"/>
    <cellStyle name="40% - Ênfase6 3 2 3 2 3" xfId="16393"/>
    <cellStyle name="40% - Ênfase6 3 2 3 2 4" xfId="20425"/>
    <cellStyle name="40% - Ênfase6 3 2 3 2 5" xfId="24457"/>
    <cellStyle name="40% - Ênfase6 3 2 3 2 6" xfId="28489"/>
    <cellStyle name="40% - Ênfase6 3 2 3 2 7" xfId="32521"/>
    <cellStyle name="40% - Ênfase6 3 2 3 2 8" xfId="36553"/>
    <cellStyle name="40% - Ênfase6 3 2 3 2 9" xfId="40585"/>
    <cellStyle name="40% - Ênfase6 3 2 3 3" xfId="10345"/>
    <cellStyle name="40% - Ênfase6 3 2 3 4" xfId="14377"/>
    <cellStyle name="40% - Ênfase6 3 2 3 5" xfId="18409"/>
    <cellStyle name="40% - Ênfase6 3 2 3 6" xfId="22441"/>
    <cellStyle name="40% - Ênfase6 3 2 3 7" xfId="26473"/>
    <cellStyle name="40% - Ênfase6 3 2 3 8" xfId="30505"/>
    <cellStyle name="40% - Ênfase6 3 2 3 9" xfId="34537"/>
    <cellStyle name="40% - Ênfase6 3 2 4" xfId="7362"/>
    <cellStyle name="40% - Ênfase6 3 2 4 10" xfId="43652"/>
    <cellStyle name="40% - Ênfase6 3 2 4 11" xfId="47684"/>
    <cellStyle name="40% - Ênfase6 3 2 4 12" xfId="51763"/>
    <cellStyle name="40% - Ênfase6 3 2 4 2" xfId="11396"/>
    <cellStyle name="40% - Ênfase6 3 2 4 3" xfId="15428"/>
    <cellStyle name="40% - Ênfase6 3 2 4 4" xfId="19460"/>
    <cellStyle name="40% - Ênfase6 3 2 4 5" xfId="23492"/>
    <cellStyle name="40% - Ênfase6 3 2 4 6" xfId="27524"/>
    <cellStyle name="40% - Ênfase6 3 2 4 7" xfId="31556"/>
    <cellStyle name="40% - Ênfase6 3 2 4 8" xfId="35588"/>
    <cellStyle name="40% - Ênfase6 3 2 4 9" xfId="39620"/>
    <cellStyle name="40% - Ênfase6 3 2 5" xfId="9380"/>
    <cellStyle name="40% - Ênfase6 3 2 6" xfId="13412"/>
    <cellStyle name="40% - Ênfase6 3 2 7" xfId="17444"/>
    <cellStyle name="40% - Ênfase6 3 2 8" xfId="21476"/>
    <cellStyle name="40% - Ênfase6 3 2 9" xfId="25508"/>
    <cellStyle name="40% - Ênfase6 3 3" xfId="2154"/>
    <cellStyle name="40% - Ênfase6 3 4" xfId="2152"/>
    <cellStyle name="40% - Ênfase6 3 4 10" xfId="33836"/>
    <cellStyle name="40% - Ênfase6 3 4 11" xfId="37868"/>
    <cellStyle name="40% - Ênfase6 3 4 12" xfId="41900"/>
    <cellStyle name="40% - Ênfase6 3 4 13" xfId="45932"/>
    <cellStyle name="40% - Ênfase6 3 4 14" xfId="50010"/>
    <cellStyle name="40% - Ênfase6 3 4 2" xfId="5551"/>
    <cellStyle name="40% - Ênfase6 3 4 2 10" xfId="38819"/>
    <cellStyle name="40% - Ênfase6 3 4 2 11" xfId="42851"/>
    <cellStyle name="40% - Ênfase6 3 4 2 12" xfId="46883"/>
    <cellStyle name="40% - Ênfase6 3 4 2 13" xfId="50962"/>
    <cellStyle name="40% - Ênfase6 3 4 2 2" xfId="8577"/>
    <cellStyle name="40% - Ênfase6 3 4 2 2 10" xfId="44867"/>
    <cellStyle name="40% - Ênfase6 3 4 2 2 11" xfId="48899"/>
    <cellStyle name="40% - Ênfase6 3 4 2 2 12" xfId="52978"/>
    <cellStyle name="40% - Ênfase6 3 4 2 2 2" xfId="12611"/>
    <cellStyle name="40% - Ênfase6 3 4 2 2 3" xfId="16643"/>
    <cellStyle name="40% - Ênfase6 3 4 2 2 4" xfId="20675"/>
    <cellStyle name="40% - Ênfase6 3 4 2 2 5" xfId="24707"/>
    <cellStyle name="40% - Ênfase6 3 4 2 2 6" xfId="28739"/>
    <cellStyle name="40% - Ênfase6 3 4 2 2 7" xfId="32771"/>
    <cellStyle name="40% - Ênfase6 3 4 2 2 8" xfId="36803"/>
    <cellStyle name="40% - Ênfase6 3 4 2 2 9" xfId="40835"/>
    <cellStyle name="40% - Ênfase6 3 4 2 3" xfId="10595"/>
    <cellStyle name="40% - Ênfase6 3 4 2 4" xfId="14627"/>
    <cellStyle name="40% - Ênfase6 3 4 2 5" xfId="18659"/>
    <cellStyle name="40% - Ênfase6 3 4 2 6" xfId="22691"/>
    <cellStyle name="40% - Ênfase6 3 4 2 7" xfId="26723"/>
    <cellStyle name="40% - Ênfase6 3 4 2 8" xfId="30755"/>
    <cellStyle name="40% - Ênfase6 3 4 2 9" xfId="34787"/>
    <cellStyle name="40% - Ênfase6 3 4 3" xfId="7626"/>
    <cellStyle name="40% - Ênfase6 3 4 3 10" xfId="43916"/>
    <cellStyle name="40% - Ênfase6 3 4 3 11" xfId="47948"/>
    <cellStyle name="40% - Ênfase6 3 4 3 12" xfId="52027"/>
    <cellStyle name="40% - Ênfase6 3 4 3 2" xfId="11660"/>
    <cellStyle name="40% - Ênfase6 3 4 3 3" xfId="15692"/>
    <cellStyle name="40% - Ênfase6 3 4 3 4" xfId="19724"/>
    <cellStyle name="40% - Ênfase6 3 4 3 5" xfId="23756"/>
    <cellStyle name="40% - Ênfase6 3 4 3 6" xfId="27788"/>
    <cellStyle name="40% - Ênfase6 3 4 3 7" xfId="31820"/>
    <cellStyle name="40% - Ênfase6 3 4 3 8" xfId="35852"/>
    <cellStyle name="40% - Ênfase6 3 4 3 9" xfId="39884"/>
    <cellStyle name="40% - Ênfase6 3 4 4" xfId="9644"/>
    <cellStyle name="40% - Ênfase6 3 4 5" xfId="13676"/>
    <cellStyle name="40% - Ênfase6 3 4 6" xfId="17708"/>
    <cellStyle name="40% - Ênfase6 3 4 7" xfId="21740"/>
    <cellStyle name="40% - Ênfase6 3 4 8" xfId="25772"/>
    <cellStyle name="40% - Ênfase6 3 4 9" xfId="29804"/>
    <cellStyle name="40% - Ênfase6 4" xfId="1136"/>
    <cellStyle name="40% - Ênfase6 4 2" xfId="2156"/>
    <cellStyle name="40% - Ênfase6 4 3" xfId="2157"/>
    <cellStyle name="40% - Ênfase6 4 4" xfId="2155"/>
    <cellStyle name="40% - Ênfase6 4 4 10" xfId="33837"/>
    <cellStyle name="40% - Ênfase6 4 4 11" xfId="37869"/>
    <cellStyle name="40% - Ênfase6 4 4 12" xfId="41901"/>
    <cellStyle name="40% - Ênfase6 4 4 13" xfId="45933"/>
    <cellStyle name="40% - Ênfase6 4 4 14" xfId="50011"/>
    <cellStyle name="40% - Ênfase6 4 4 2" xfId="5552"/>
    <cellStyle name="40% - Ênfase6 4 4 2 10" xfId="38820"/>
    <cellStyle name="40% - Ênfase6 4 4 2 11" xfId="42852"/>
    <cellStyle name="40% - Ênfase6 4 4 2 12" xfId="46884"/>
    <cellStyle name="40% - Ênfase6 4 4 2 13" xfId="50963"/>
    <cellStyle name="40% - Ênfase6 4 4 2 2" xfId="8578"/>
    <cellStyle name="40% - Ênfase6 4 4 2 2 10" xfId="44868"/>
    <cellStyle name="40% - Ênfase6 4 4 2 2 11" xfId="48900"/>
    <cellStyle name="40% - Ênfase6 4 4 2 2 12" xfId="52979"/>
    <cellStyle name="40% - Ênfase6 4 4 2 2 2" xfId="12612"/>
    <cellStyle name="40% - Ênfase6 4 4 2 2 3" xfId="16644"/>
    <cellStyle name="40% - Ênfase6 4 4 2 2 4" xfId="20676"/>
    <cellStyle name="40% - Ênfase6 4 4 2 2 5" xfId="24708"/>
    <cellStyle name="40% - Ênfase6 4 4 2 2 6" xfId="28740"/>
    <cellStyle name="40% - Ênfase6 4 4 2 2 7" xfId="32772"/>
    <cellStyle name="40% - Ênfase6 4 4 2 2 8" xfId="36804"/>
    <cellStyle name="40% - Ênfase6 4 4 2 2 9" xfId="40836"/>
    <cellStyle name="40% - Ênfase6 4 4 2 3" xfId="10596"/>
    <cellStyle name="40% - Ênfase6 4 4 2 4" xfId="14628"/>
    <cellStyle name="40% - Ênfase6 4 4 2 5" xfId="18660"/>
    <cellStyle name="40% - Ênfase6 4 4 2 6" xfId="22692"/>
    <cellStyle name="40% - Ênfase6 4 4 2 7" xfId="26724"/>
    <cellStyle name="40% - Ênfase6 4 4 2 8" xfId="30756"/>
    <cellStyle name="40% - Ênfase6 4 4 2 9" xfId="34788"/>
    <cellStyle name="40% - Ênfase6 4 4 3" xfId="7627"/>
    <cellStyle name="40% - Ênfase6 4 4 3 10" xfId="43917"/>
    <cellStyle name="40% - Ênfase6 4 4 3 11" xfId="47949"/>
    <cellStyle name="40% - Ênfase6 4 4 3 12" xfId="52028"/>
    <cellStyle name="40% - Ênfase6 4 4 3 2" xfId="11661"/>
    <cellStyle name="40% - Ênfase6 4 4 3 3" xfId="15693"/>
    <cellStyle name="40% - Ênfase6 4 4 3 4" xfId="19725"/>
    <cellStyle name="40% - Ênfase6 4 4 3 5" xfId="23757"/>
    <cellStyle name="40% - Ênfase6 4 4 3 6" xfId="27789"/>
    <cellStyle name="40% - Ênfase6 4 4 3 7" xfId="31821"/>
    <cellStyle name="40% - Ênfase6 4 4 3 8" xfId="35853"/>
    <cellStyle name="40% - Ênfase6 4 4 3 9" xfId="39885"/>
    <cellStyle name="40% - Ênfase6 4 4 4" xfId="9645"/>
    <cellStyle name="40% - Ênfase6 4 4 5" xfId="13677"/>
    <cellStyle name="40% - Ênfase6 4 4 6" xfId="17709"/>
    <cellStyle name="40% - Ênfase6 4 4 7" xfId="21741"/>
    <cellStyle name="40% - Ênfase6 4 4 8" xfId="25773"/>
    <cellStyle name="40% - Ênfase6 4 4 9" xfId="29805"/>
    <cellStyle name="40% - Ênfase6 5" xfId="1180"/>
    <cellStyle name="40% - Ênfase6 5 2" xfId="2159"/>
    <cellStyle name="40% - Ênfase6 5 3" xfId="2160"/>
    <cellStyle name="40% - Ênfase6 5 4" xfId="2158"/>
    <cellStyle name="40% - Ênfase6 5 4 10" xfId="33838"/>
    <cellStyle name="40% - Ênfase6 5 4 11" xfId="37870"/>
    <cellStyle name="40% - Ênfase6 5 4 12" xfId="41902"/>
    <cellStyle name="40% - Ênfase6 5 4 13" xfId="45934"/>
    <cellStyle name="40% - Ênfase6 5 4 14" xfId="50012"/>
    <cellStyle name="40% - Ênfase6 5 4 2" xfId="5553"/>
    <cellStyle name="40% - Ênfase6 5 4 2 10" xfId="38821"/>
    <cellStyle name="40% - Ênfase6 5 4 2 11" xfId="42853"/>
    <cellStyle name="40% - Ênfase6 5 4 2 12" xfId="46885"/>
    <cellStyle name="40% - Ênfase6 5 4 2 13" xfId="50964"/>
    <cellStyle name="40% - Ênfase6 5 4 2 2" xfId="8579"/>
    <cellStyle name="40% - Ênfase6 5 4 2 2 10" xfId="44869"/>
    <cellStyle name="40% - Ênfase6 5 4 2 2 11" xfId="48901"/>
    <cellStyle name="40% - Ênfase6 5 4 2 2 12" xfId="52980"/>
    <cellStyle name="40% - Ênfase6 5 4 2 2 2" xfId="12613"/>
    <cellStyle name="40% - Ênfase6 5 4 2 2 3" xfId="16645"/>
    <cellStyle name="40% - Ênfase6 5 4 2 2 4" xfId="20677"/>
    <cellStyle name="40% - Ênfase6 5 4 2 2 5" xfId="24709"/>
    <cellStyle name="40% - Ênfase6 5 4 2 2 6" xfId="28741"/>
    <cellStyle name="40% - Ênfase6 5 4 2 2 7" xfId="32773"/>
    <cellStyle name="40% - Ênfase6 5 4 2 2 8" xfId="36805"/>
    <cellStyle name="40% - Ênfase6 5 4 2 2 9" xfId="40837"/>
    <cellStyle name="40% - Ênfase6 5 4 2 3" xfId="10597"/>
    <cellStyle name="40% - Ênfase6 5 4 2 4" xfId="14629"/>
    <cellStyle name="40% - Ênfase6 5 4 2 5" xfId="18661"/>
    <cellStyle name="40% - Ênfase6 5 4 2 6" xfId="22693"/>
    <cellStyle name="40% - Ênfase6 5 4 2 7" xfId="26725"/>
    <cellStyle name="40% - Ênfase6 5 4 2 8" xfId="30757"/>
    <cellStyle name="40% - Ênfase6 5 4 2 9" xfId="34789"/>
    <cellStyle name="40% - Ênfase6 5 4 3" xfId="7628"/>
    <cellStyle name="40% - Ênfase6 5 4 3 10" xfId="43918"/>
    <cellStyle name="40% - Ênfase6 5 4 3 11" xfId="47950"/>
    <cellStyle name="40% - Ênfase6 5 4 3 12" xfId="52029"/>
    <cellStyle name="40% - Ênfase6 5 4 3 2" xfId="11662"/>
    <cellStyle name="40% - Ênfase6 5 4 3 3" xfId="15694"/>
    <cellStyle name="40% - Ênfase6 5 4 3 4" xfId="19726"/>
    <cellStyle name="40% - Ênfase6 5 4 3 5" xfId="23758"/>
    <cellStyle name="40% - Ênfase6 5 4 3 6" xfId="27790"/>
    <cellStyle name="40% - Ênfase6 5 4 3 7" xfId="31822"/>
    <cellStyle name="40% - Ênfase6 5 4 3 8" xfId="35854"/>
    <cellStyle name="40% - Ênfase6 5 4 3 9" xfId="39886"/>
    <cellStyle name="40% - Ênfase6 5 4 4" xfId="9646"/>
    <cellStyle name="40% - Ênfase6 5 4 5" xfId="13678"/>
    <cellStyle name="40% - Ênfase6 5 4 6" xfId="17710"/>
    <cellStyle name="40% - Ênfase6 5 4 7" xfId="21742"/>
    <cellStyle name="40% - Ênfase6 5 4 8" xfId="25774"/>
    <cellStyle name="40% - Ênfase6 5 4 9" xfId="29806"/>
    <cellStyle name="40% - Ênfase6 6" xfId="1181"/>
    <cellStyle name="40% - Ênfase6 6 2" xfId="2162"/>
    <cellStyle name="40% - Ênfase6 6 3" xfId="2163"/>
    <cellStyle name="40% - Ênfase6 6 4" xfId="2161"/>
    <cellStyle name="40% - Ênfase6 6 4 10" xfId="33839"/>
    <cellStyle name="40% - Ênfase6 6 4 11" xfId="37871"/>
    <cellStyle name="40% - Ênfase6 6 4 12" xfId="41903"/>
    <cellStyle name="40% - Ênfase6 6 4 13" xfId="45935"/>
    <cellStyle name="40% - Ênfase6 6 4 14" xfId="50013"/>
    <cellStyle name="40% - Ênfase6 6 4 2" xfId="5554"/>
    <cellStyle name="40% - Ênfase6 6 4 2 10" xfId="38822"/>
    <cellStyle name="40% - Ênfase6 6 4 2 11" xfId="42854"/>
    <cellStyle name="40% - Ênfase6 6 4 2 12" xfId="46886"/>
    <cellStyle name="40% - Ênfase6 6 4 2 13" xfId="50965"/>
    <cellStyle name="40% - Ênfase6 6 4 2 2" xfId="8580"/>
    <cellStyle name="40% - Ênfase6 6 4 2 2 10" xfId="44870"/>
    <cellStyle name="40% - Ênfase6 6 4 2 2 11" xfId="48902"/>
    <cellStyle name="40% - Ênfase6 6 4 2 2 12" xfId="52981"/>
    <cellStyle name="40% - Ênfase6 6 4 2 2 2" xfId="12614"/>
    <cellStyle name="40% - Ênfase6 6 4 2 2 3" xfId="16646"/>
    <cellStyle name="40% - Ênfase6 6 4 2 2 4" xfId="20678"/>
    <cellStyle name="40% - Ênfase6 6 4 2 2 5" xfId="24710"/>
    <cellStyle name="40% - Ênfase6 6 4 2 2 6" xfId="28742"/>
    <cellStyle name="40% - Ênfase6 6 4 2 2 7" xfId="32774"/>
    <cellStyle name="40% - Ênfase6 6 4 2 2 8" xfId="36806"/>
    <cellStyle name="40% - Ênfase6 6 4 2 2 9" xfId="40838"/>
    <cellStyle name="40% - Ênfase6 6 4 2 3" xfId="10598"/>
    <cellStyle name="40% - Ênfase6 6 4 2 4" xfId="14630"/>
    <cellStyle name="40% - Ênfase6 6 4 2 5" xfId="18662"/>
    <cellStyle name="40% - Ênfase6 6 4 2 6" xfId="22694"/>
    <cellStyle name="40% - Ênfase6 6 4 2 7" xfId="26726"/>
    <cellStyle name="40% - Ênfase6 6 4 2 8" xfId="30758"/>
    <cellStyle name="40% - Ênfase6 6 4 2 9" xfId="34790"/>
    <cellStyle name="40% - Ênfase6 6 4 3" xfId="7629"/>
    <cellStyle name="40% - Ênfase6 6 4 3 10" xfId="43919"/>
    <cellStyle name="40% - Ênfase6 6 4 3 11" xfId="47951"/>
    <cellStyle name="40% - Ênfase6 6 4 3 12" xfId="52030"/>
    <cellStyle name="40% - Ênfase6 6 4 3 2" xfId="11663"/>
    <cellStyle name="40% - Ênfase6 6 4 3 3" xfId="15695"/>
    <cellStyle name="40% - Ênfase6 6 4 3 4" xfId="19727"/>
    <cellStyle name="40% - Ênfase6 6 4 3 5" xfId="23759"/>
    <cellStyle name="40% - Ênfase6 6 4 3 6" xfId="27791"/>
    <cellStyle name="40% - Ênfase6 6 4 3 7" xfId="31823"/>
    <cellStyle name="40% - Ênfase6 6 4 3 8" xfId="35855"/>
    <cellStyle name="40% - Ênfase6 6 4 3 9" xfId="39887"/>
    <cellStyle name="40% - Ênfase6 6 4 4" xfId="9647"/>
    <cellStyle name="40% - Ênfase6 6 4 5" xfId="13679"/>
    <cellStyle name="40% - Ênfase6 6 4 6" xfId="17711"/>
    <cellStyle name="40% - Ênfase6 6 4 7" xfId="21743"/>
    <cellStyle name="40% - Ênfase6 6 4 8" xfId="25775"/>
    <cellStyle name="40% - Ênfase6 6 4 9" xfId="29807"/>
    <cellStyle name="40% - Ênfase6 7" xfId="2164"/>
    <cellStyle name="40% - Ênfase6 7 10" xfId="25776"/>
    <cellStyle name="40% - Ênfase6 7 11" xfId="29808"/>
    <cellStyle name="40% - Ênfase6 7 12" xfId="33840"/>
    <cellStyle name="40% - Ênfase6 7 13" xfId="37872"/>
    <cellStyle name="40% - Ênfase6 7 14" xfId="41904"/>
    <cellStyle name="40% - Ênfase6 7 15" xfId="45936"/>
    <cellStyle name="40% - Ênfase6 7 16" xfId="50014"/>
    <cellStyle name="40% - Ênfase6 7 2" xfId="2165"/>
    <cellStyle name="40% - Ênfase6 7 3" xfId="2166"/>
    <cellStyle name="40% - Ênfase6 7 4" xfId="5555"/>
    <cellStyle name="40% - Ênfase6 7 4 10" xfId="38823"/>
    <cellStyle name="40% - Ênfase6 7 4 11" xfId="42855"/>
    <cellStyle name="40% - Ênfase6 7 4 12" xfId="46887"/>
    <cellStyle name="40% - Ênfase6 7 4 13" xfId="50966"/>
    <cellStyle name="40% - Ênfase6 7 4 2" xfId="8581"/>
    <cellStyle name="40% - Ênfase6 7 4 2 10" xfId="44871"/>
    <cellStyle name="40% - Ênfase6 7 4 2 11" xfId="48903"/>
    <cellStyle name="40% - Ênfase6 7 4 2 12" xfId="52982"/>
    <cellStyle name="40% - Ênfase6 7 4 2 2" xfId="12615"/>
    <cellStyle name="40% - Ênfase6 7 4 2 3" xfId="16647"/>
    <cellStyle name="40% - Ênfase6 7 4 2 4" xfId="20679"/>
    <cellStyle name="40% - Ênfase6 7 4 2 5" xfId="24711"/>
    <cellStyle name="40% - Ênfase6 7 4 2 6" xfId="28743"/>
    <cellStyle name="40% - Ênfase6 7 4 2 7" xfId="32775"/>
    <cellStyle name="40% - Ênfase6 7 4 2 8" xfId="36807"/>
    <cellStyle name="40% - Ênfase6 7 4 2 9" xfId="40839"/>
    <cellStyle name="40% - Ênfase6 7 4 3" xfId="10599"/>
    <cellStyle name="40% - Ênfase6 7 4 4" xfId="14631"/>
    <cellStyle name="40% - Ênfase6 7 4 5" xfId="18663"/>
    <cellStyle name="40% - Ênfase6 7 4 6" xfId="22695"/>
    <cellStyle name="40% - Ênfase6 7 4 7" xfId="26727"/>
    <cellStyle name="40% - Ênfase6 7 4 8" xfId="30759"/>
    <cellStyle name="40% - Ênfase6 7 4 9" xfId="34791"/>
    <cellStyle name="40% - Ênfase6 7 5" xfId="7630"/>
    <cellStyle name="40% - Ênfase6 7 5 10" xfId="43920"/>
    <cellStyle name="40% - Ênfase6 7 5 11" xfId="47952"/>
    <cellStyle name="40% - Ênfase6 7 5 12" xfId="52031"/>
    <cellStyle name="40% - Ênfase6 7 5 2" xfId="11664"/>
    <cellStyle name="40% - Ênfase6 7 5 3" xfId="15696"/>
    <cellStyle name="40% - Ênfase6 7 5 4" xfId="19728"/>
    <cellStyle name="40% - Ênfase6 7 5 5" xfId="23760"/>
    <cellStyle name="40% - Ênfase6 7 5 6" xfId="27792"/>
    <cellStyle name="40% - Ênfase6 7 5 7" xfId="31824"/>
    <cellStyle name="40% - Ênfase6 7 5 8" xfId="35856"/>
    <cellStyle name="40% - Ênfase6 7 5 9" xfId="39888"/>
    <cellStyle name="40% - Ênfase6 7 6" xfId="9648"/>
    <cellStyle name="40% - Ênfase6 7 7" xfId="13680"/>
    <cellStyle name="40% - Ênfase6 7 8" xfId="17712"/>
    <cellStyle name="40% - Ênfase6 7 9" xfId="21744"/>
    <cellStyle name="40% - Ênfase6 8" xfId="2167"/>
    <cellStyle name="40% - Ênfase6 8 2" xfId="2168"/>
    <cellStyle name="40% - Ênfase6 9" xfId="2169"/>
    <cellStyle name="40% - Ênfase6 9 2" xfId="2170"/>
    <cellStyle name="60% - Accent1" xfId="468"/>
    <cellStyle name="60% - Accent2" xfId="469"/>
    <cellStyle name="60% - Accent3" xfId="470"/>
    <cellStyle name="60% - Accent4" xfId="471"/>
    <cellStyle name="60% - Accent5" xfId="472"/>
    <cellStyle name="60% - Accent6" xfId="473"/>
    <cellStyle name="60% - Ênfase1 10 2" xfId="2171"/>
    <cellStyle name="60% - Ênfase1 11 2" xfId="2172"/>
    <cellStyle name="60% - Ênfase1 12 2" xfId="2173"/>
    <cellStyle name="60% - Ênfase1 13 2" xfId="2174"/>
    <cellStyle name="60% - Ênfase1 14 2" xfId="2175"/>
    <cellStyle name="60% - Ênfase1 15 2" xfId="2176"/>
    <cellStyle name="60% - Ênfase1 16 2" xfId="2177"/>
    <cellStyle name="60% - Ênfase1 17 2" xfId="2178"/>
    <cellStyle name="60% - Ênfase1 2" xfId="395"/>
    <cellStyle name="60% - Ênfase1 2 2" xfId="534"/>
    <cellStyle name="60% - Ênfase1 2 2 2" xfId="2180"/>
    <cellStyle name="60% - Ênfase1 2 3" xfId="847"/>
    <cellStyle name="60% - Ênfase1 2 4" xfId="1042"/>
    <cellStyle name="60% - Ênfase1 2 5" xfId="2179"/>
    <cellStyle name="60% - Ênfase1 3" xfId="474"/>
    <cellStyle name="60% - Ênfase1 3 2" xfId="1043"/>
    <cellStyle name="60% - Ênfase1 3 2 2" xfId="2181"/>
    <cellStyle name="60% - Ênfase1 4" xfId="1137"/>
    <cellStyle name="60% - Ênfase1 4 2" xfId="2183"/>
    <cellStyle name="60% - Ênfase1 4 3" xfId="2182"/>
    <cellStyle name="60% - Ênfase1 5" xfId="1185"/>
    <cellStyle name="60% - Ênfase1 5 2" xfId="2185"/>
    <cellStyle name="60% - Ênfase1 5 3" xfId="2184"/>
    <cellStyle name="60% - Ênfase1 6" xfId="1174"/>
    <cellStyle name="60% - Ênfase1 6 2" xfId="2186"/>
    <cellStyle name="60% - Ênfase1 7 2" xfId="2187"/>
    <cellStyle name="60% - Ênfase1 8 2" xfId="2188"/>
    <cellStyle name="60% - Ênfase1 9 2" xfId="2189"/>
    <cellStyle name="60% - Ênfase2 10 2" xfId="2190"/>
    <cellStyle name="60% - Ênfase2 11 2" xfId="2191"/>
    <cellStyle name="60% - Ênfase2 12 2" xfId="2192"/>
    <cellStyle name="60% - Ênfase2 13 2" xfId="2193"/>
    <cellStyle name="60% - Ênfase2 14 2" xfId="2194"/>
    <cellStyle name="60% - Ênfase2 15 2" xfId="2195"/>
    <cellStyle name="60% - Ênfase2 16 2" xfId="2196"/>
    <cellStyle name="60% - Ênfase2 17 2" xfId="2197"/>
    <cellStyle name="60% - Ênfase2 2" xfId="396"/>
    <cellStyle name="60% - Ênfase2 2 2" xfId="535"/>
    <cellStyle name="60% - Ênfase2 2 2 2" xfId="2199"/>
    <cellStyle name="60% - Ênfase2 2 3" xfId="848"/>
    <cellStyle name="60% - Ênfase2 2 4" xfId="1044"/>
    <cellStyle name="60% - Ênfase2 2 5" xfId="2198"/>
    <cellStyle name="60% - Ênfase2 3" xfId="475"/>
    <cellStyle name="60% - Ênfase2 3 2" xfId="1045"/>
    <cellStyle name="60% - Ênfase2 3 2 2" xfId="2200"/>
    <cellStyle name="60% - Ênfase2 4" xfId="1138"/>
    <cellStyle name="60% - Ênfase2 4 2" xfId="2202"/>
    <cellStyle name="60% - Ênfase2 4 3" xfId="2201"/>
    <cellStyle name="60% - Ênfase2 5" xfId="1186"/>
    <cellStyle name="60% - Ênfase2 5 2" xfId="2204"/>
    <cellStyle name="60% - Ênfase2 5 3" xfId="2203"/>
    <cellStyle name="60% - Ênfase2 6" xfId="1173"/>
    <cellStyle name="60% - Ênfase2 6 2" xfId="2205"/>
    <cellStyle name="60% - Ênfase2 7 2" xfId="2206"/>
    <cellStyle name="60% - Ênfase2 8 2" xfId="2207"/>
    <cellStyle name="60% - Ênfase2 9 2" xfId="2208"/>
    <cellStyle name="60% - Ênfase3 10 2" xfId="2209"/>
    <cellStyle name="60% - Ênfase3 11 2" xfId="2210"/>
    <cellStyle name="60% - Ênfase3 12 2" xfId="2211"/>
    <cellStyle name="60% - Ênfase3 13 2" xfId="2212"/>
    <cellStyle name="60% - Ênfase3 14 2" xfId="2213"/>
    <cellStyle name="60% - Ênfase3 15 2" xfId="2214"/>
    <cellStyle name="60% - Ênfase3 16 2" xfId="2215"/>
    <cellStyle name="60% - Ênfase3 17 2" xfId="2216"/>
    <cellStyle name="60% - Ênfase3 2" xfId="397"/>
    <cellStyle name="60% - Ênfase3 2 2" xfId="536"/>
    <cellStyle name="60% - Ênfase3 2 2 2" xfId="2218"/>
    <cellStyle name="60% - Ênfase3 2 3" xfId="849"/>
    <cellStyle name="60% - Ênfase3 2 4" xfId="1046"/>
    <cellStyle name="60% - Ênfase3 2 5" xfId="2217"/>
    <cellStyle name="60% - Ênfase3 3" xfId="476"/>
    <cellStyle name="60% - Ênfase3 3 2" xfId="1047"/>
    <cellStyle name="60% - Ênfase3 3 2 2" xfId="2219"/>
    <cellStyle name="60% - Ênfase3 4" xfId="1139"/>
    <cellStyle name="60% - Ênfase3 4 2" xfId="2221"/>
    <cellStyle name="60% - Ênfase3 4 3" xfId="2220"/>
    <cellStyle name="60% - Ênfase3 5" xfId="1187"/>
    <cellStyle name="60% - Ênfase3 5 2" xfId="2223"/>
    <cellStyle name="60% - Ênfase3 5 3" xfId="2222"/>
    <cellStyle name="60% - Ênfase3 6" xfId="1166"/>
    <cellStyle name="60% - Ênfase3 6 2" xfId="2224"/>
    <cellStyle name="60% - Ênfase3 7 2" xfId="2225"/>
    <cellStyle name="60% - Ênfase3 8 2" xfId="2226"/>
    <cellStyle name="60% - Ênfase3 9 2" xfId="2227"/>
    <cellStyle name="60% - Ênfase4 10 2" xfId="2228"/>
    <cellStyle name="60% - Ênfase4 11 2" xfId="2229"/>
    <cellStyle name="60% - Ênfase4 12 2" xfId="2230"/>
    <cellStyle name="60% - Ênfase4 13 2" xfId="2231"/>
    <cellStyle name="60% - Ênfase4 14 2" xfId="2232"/>
    <cellStyle name="60% - Ênfase4 15 2" xfId="2233"/>
    <cellStyle name="60% - Ênfase4 16 2" xfId="2234"/>
    <cellStyle name="60% - Ênfase4 17 2" xfId="2235"/>
    <cellStyle name="60% - Ênfase4 2" xfId="398"/>
    <cellStyle name="60% - Ênfase4 2 2" xfId="537"/>
    <cellStyle name="60% - Ênfase4 2 2 2" xfId="2237"/>
    <cellStyle name="60% - Ênfase4 2 3" xfId="850"/>
    <cellStyle name="60% - Ênfase4 2 4" xfId="1048"/>
    <cellStyle name="60% - Ênfase4 2 5" xfId="2236"/>
    <cellStyle name="60% - Ênfase4 3" xfId="477"/>
    <cellStyle name="60% - Ênfase4 3 2" xfId="1049"/>
    <cellStyle name="60% - Ênfase4 3 2 2" xfId="2238"/>
    <cellStyle name="60% - Ênfase4 4" xfId="1140"/>
    <cellStyle name="60% - Ênfase4 4 2" xfId="2240"/>
    <cellStyle name="60% - Ênfase4 4 3" xfId="2239"/>
    <cellStyle name="60% - Ênfase4 5" xfId="1188"/>
    <cellStyle name="60% - Ênfase4 5 2" xfId="2242"/>
    <cellStyle name="60% - Ênfase4 5 3" xfId="2241"/>
    <cellStyle name="60% - Ênfase4 6" xfId="1165"/>
    <cellStyle name="60% - Ênfase4 6 2" xfId="2243"/>
    <cellStyle name="60% - Ênfase4 7 2" xfId="2244"/>
    <cellStyle name="60% - Ênfase4 8 2" xfId="2245"/>
    <cellStyle name="60% - Ênfase4 9 2" xfId="2246"/>
    <cellStyle name="60% - Ênfase5 10 2" xfId="2247"/>
    <cellStyle name="60% - Ênfase5 11 2" xfId="2248"/>
    <cellStyle name="60% - Ênfase5 12 2" xfId="2249"/>
    <cellStyle name="60% - Ênfase5 13 2" xfId="2250"/>
    <cellStyle name="60% - Ênfase5 14 2" xfId="2251"/>
    <cellStyle name="60% - Ênfase5 15 2" xfId="2252"/>
    <cellStyle name="60% - Ênfase5 16 2" xfId="2253"/>
    <cellStyle name="60% - Ênfase5 17 2" xfId="2254"/>
    <cellStyle name="60% - Ênfase5 2" xfId="399"/>
    <cellStyle name="60% - Ênfase5 2 2" xfId="538"/>
    <cellStyle name="60% - Ênfase5 2 2 2" xfId="2256"/>
    <cellStyle name="60% - Ênfase5 2 3" xfId="851"/>
    <cellStyle name="60% - Ênfase5 2 4" xfId="1050"/>
    <cellStyle name="60% - Ênfase5 2 5" xfId="2255"/>
    <cellStyle name="60% - Ênfase5 3" xfId="478"/>
    <cellStyle name="60% - Ênfase5 3 2" xfId="1051"/>
    <cellStyle name="60% - Ênfase5 3 2 2" xfId="2257"/>
    <cellStyle name="60% - Ênfase5 4" xfId="1141"/>
    <cellStyle name="60% - Ênfase5 4 2" xfId="2259"/>
    <cellStyle name="60% - Ênfase5 4 3" xfId="2258"/>
    <cellStyle name="60% - Ênfase5 5" xfId="1189"/>
    <cellStyle name="60% - Ênfase5 5 2" xfId="2261"/>
    <cellStyle name="60% - Ênfase5 5 3" xfId="2260"/>
    <cellStyle name="60% - Ênfase5 6" xfId="1164"/>
    <cellStyle name="60% - Ênfase5 6 2" xfId="2262"/>
    <cellStyle name="60% - Ênfase5 7 2" xfId="2263"/>
    <cellStyle name="60% - Ênfase5 8 2" xfId="2264"/>
    <cellStyle name="60% - Ênfase5 9 2" xfId="2265"/>
    <cellStyle name="60% - Ênfase6 10 2" xfId="2266"/>
    <cellStyle name="60% - Ênfase6 11 2" xfId="2267"/>
    <cellStyle name="60% - Ênfase6 12 2" xfId="2268"/>
    <cellStyle name="60% - Ênfase6 13 2" xfId="2269"/>
    <cellStyle name="60% - Ênfase6 14 2" xfId="2270"/>
    <cellStyle name="60% - Ênfase6 15 2" xfId="2271"/>
    <cellStyle name="60% - Ênfase6 16 2" xfId="2272"/>
    <cellStyle name="60% - Ênfase6 17 2" xfId="2273"/>
    <cellStyle name="60% - Ênfase6 2" xfId="400"/>
    <cellStyle name="60% - Ênfase6 2 2" xfId="539"/>
    <cellStyle name="60% - Ênfase6 2 2 2" xfId="2275"/>
    <cellStyle name="60% - Ênfase6 2 3" xfId="852"/>
    <cellStyle name="60% - Ênfase6 2 4" xfId="1052"/>
    <cellStyle name="60% - Ênfase6 2 5" xfId="2274"/>
    <cellStyle name="60% - Ênfase6 3" xfId="479"/>
    <cellStyle name="60% - Ênfase6 3 2" xfId="1053"/>
    <cellStyle name="60% - Ênfase6 3 2 2" xfId="2276"/>
    <cellStyle name="60% - Ênfase6 4" xfId="1142"/>
    <cellStyle name="60% - Ênfase6 4 2" xfId="2278"/>
    <cellStyle name="60% - Ênfase6 4 3" xfId="2277"/>
    <cellStyle name="60% - Ênfase6 5" xfId="1190"/>
    <cellStyle name="60% - Ênfase6 5 2" xfId="2280"/>
    <cellStyle name="60% - Ênfase6 5 3" xfId="2279"/>
    <cellStyle name="60% - Ênfase6 6" xfId="1163"/>
    <cellStyle name="60% - Ênfase6 6 2" xfId="2281"/>
    <cellStyle name="60% - Ênfase6 7 2" xfId="2282"/>
    <cellStyle name="60% - Ênfase6 8 2" xfId="2283"/>
    <cellStyle name="60% - Ênfase6 9 2" xfId="2284"/>
    <cellStyle name="Accent1" xfId="480"/>
    <cellStyle name="Accent2" xfId="481"/>
    <cellStyle name="Accent3" xfId="482"/>
    <cellStyle name="Accent4" xfId="483"/>
    <cellStyle name="Accent5" xfId="484"/>
    <cellStyle name="Accent6" xfId="485"/>
    <cellStyle name="Bad" xfId="486"/>
    <cellStyle name="Bom 10 2" xfId="2285"/>
    <cellStyle name="Bom 11 2" xfId="2286"/>
    <cellStyle name="Bom 12 2" xfId="2287"/>
    <cellStyle name="Bom 13 2" xfId="2288"/>
    <cellStyle name="Bom 14 2" xfId="2289"/>
    <cellStyle name="Bom 15 2" xfId="2290"/>
    <cellStyle name="Bom 16 2" xfId="2291"/>
    <cellStyle name="Bom 17 2" xfId="2292"/>
    <cellStyle name="Bom 2" xfId="401"/>
    <cellStyle name="Bom 2 2" xfId="540"/>
    <cellStyle name="Bom 2 2 2" xfId="2294"/>
    <cellStyle name="Bom 2 3" xfId="853"/>
    <cellStyle name="Bom 2 4" xfId="1054"/>
    <cellStyle name="Bom 2 5" xfId="2293"/>
    <cellStyle name="Bom 3" xfId="487"/>
    <cellStyle name="Bom 3 2" xfId="1055"/>
    <cellStyle name="Bom 3 2 2" xfId="2295"/>
    <cellStyle name="Bom 4" xfId="1143"/>
    <cellStyle name="Bom 4 2" xfId="2297"/>
    <cellStyle name="Bom 4 3" xfId="2296"/>
    <cellStyle name="Bom 5" xfId="1193"/>
    <cellStyle name="Bom 5 2" xfId="2299"/>
    <cellStyle name="Bom 5 3" xfId="2298"/>
    <cellStyle name="Bom 6" xfId="1222"/>
    <cellStyle name="Bom 6 2" xfId="2300"/>
    <cellStyle name="Bom 7 2" xfId="2301"/>
    <cellStyle name="Bom 8 2" xfId="2302"/>
    <cellStyle name="Bom 9 2" xfId="2303"/>
    <cellStyle name="Cabeçalho 1" xfId="436"/>
    <cellStyle name="Cabeçalho 1 2" xfId="880"/>
    <cellStyle name="Cabeçalho 1 2 2" xfId="4934"/>
    <cellStyle name="Cabeçalho 1 3" xfId="1249"/>
    <cellStyle name="Cabeçalho 2" xfId="437"/>
    <cellStyle name="Cabeçalho 2 2" xfId="881"/>
    <cellStyle name="Cabeçalho 2 2 2" xfId="4935"/>
    <cellStyle name="Cabeçalho 2 3" xfId="1250"/>
    <cellStyle name="Calculation" xfId="488"/>
    <cellStyle name="Calculation 2" xfId="541"/>
    <cellStyle name="Calculation 2 2" xfId="542"/>
    <cellStyle name="Calculation 2 2 2" xfId="968"/>
    <cellStyle name="Calculation 2 2 2 2" xfId="1251"/>
    <cellStyle name="Calculation 2 2 2 2 2" xfId="1468"/>
    <cellStyle name="Calculation 2 2 2 2 2 2" xfId="1568"/>
    <cellStyle name="Calculation 2 2 3" xfId="1412"/>
    <cellStyle name="Calculation 2 3" xfId="969"/>
    <cellStyle name="Calculation 2 3 2" xfId="1252"/>
    <cellStyle name="Calculation 2 3 2 2" xfId="1469"/>
    <cellStyle name="Calculation 2 3 2 2 2" xfId="1569"/>
    <cellStyle name="Calculation 3" xfId="970"/>
    <cellStyle name="Calculation 3 2" xfId="1253"/>
    <cellStyle name="Calculation 3 2 2" xfId="1470"/>
    <cellStyle name="Calculation 3 2 2 2" xfId="1570"/>
    <cellStyle name="Calculation 4" xfId="1402"/>
    <cellStyle name="Cálculo 10 2" xfId="2304"/>
    <cellStyle name="Cálculo 11 2" xfId="2305"/>
    <cellStyle name="Cálculo 12 2" xfId="2306"/>
    <cellStyle name="Cálculo 13 2" xfId="2307"/>
    <cellStyle name="Cálculo 14 2" xfId="2308"/>
    <cellStyle name="Cálculo 15 2" xfId="2309"/>
    <cellStyle name="Cálculo 16 2" xfId="2310"/>
    <cellStyle name="Cálculo 17 2" xfId="2311"/>
    <cellStyle name="Cálculo 2" xfId="402"/>
    <cellStyle name="Cálculo 2 2" xfId="543"/>
    <cellStyle name="Cálculo 2 2 2" xfId="1431"/>
    <cellStyle name="Cálculo 2 2 2 2" xfId="1549"/>
    <cellStyle name="Cálculo 2 2 3" xfId="2313"/>
    <cellStyle name="Cálculo 2 3" xfId="854"/>
    <cellStyle name="Cálculo 2 3 2" xfId="1427"/>
    <cellStyle name="Cálculo 2 3 2 2" xfId="1545"/>
    <cellStyle name="Cálculo 2 4" xfId="967"/>
    <cellStyle name="Cálculo 2 4 2" xfId="1254"/>
    <cellStyle name="Cálculo 2 4 2 2" xfId="1467"/>
    <cellStyle name="Cálculo 2 4 2 2 2" xfId="1567"/>
    <cellStyle name="Cálculo 2 5" xfId="1056"/>
    <cellStyle name="Cálculo 2 6" xfId="1403"/>
    <cellStyle name="Cálculo 2 7" xfId="2312"/>
    <cellStyle name="Cálculo 3" xfId="489"/>
    <cellStyle name="Cálculo 3 2" xfId="544"/>
    <cellStyle name="Cálculo 3 2 2" xfId="965"/>
    <cellStyle name="Cálculo 3 2 2 2" xfId="1255"/>
    <cellStyle name="Cálculo 3 2 2 2 2" xfId="1465"/>
    <cellStyle name="Cálculo 3 2 2 2 2 2" xfId="1565"/>
    <cellStyle name="Cálculo 3 2 3" xfId="1413"/>
    <cellStyle name="Cálculo 3 2 4" xfId="2314"/>
    <cellStyle name="Cálculo 3 3" xfId="966"/>
    <cellStyle name="Cálculo 3 3 2" xfId="1256"/>
    <cellStyle name="Cálculo 3 3 2 2" xfId="1466"/>
    <cellStyle name="Cálculo 3 3 2 2 2" xfId="1566"/>
    <cellStyle name="Cálculo 3 4" xfId="1057"/>
    <cellStyle name="Cálculo 4" xfId="1144"/>
    <cellStyle name="Cálculo 4 2" xfId="1508"/>
    <cellStyle name="Cálculo 4 2 2" xfId="1608"/>
    <cellStyle name="Cálculo 4 2 3" xfId="2316"/>
    <cellStyle name="Cálculo 4 3" xfId="2315"/>
    <cellStyle name="Cálculo 5" xfId="1194"/>
    <cellStyle name="Cálculo 5 2" xfId="1510"/>
    <cellStyle name="Cálculo 5 2 2" xfId="1610"/>
    <cellStyle name="Cálculo 5 2 3" xfId="2318"/>
    <cellStyle name="Cálculo 5 3" xfId="2317"/>
    <cellStyle name="Cálculo 6" xfId="1223"/>
    <cellStyle name="Cálculo 6 2" xfId="1512"/>
    <cellStyle name="Cálculo 6 2 2" xfId="1612"/>
    <cellStyle name="Cálculo 6 2 3" xfId="2319"/>
    <cellStyle name="Cálculo 7 2" xfId="2320"/>
    <cellStyle name="Cálculo 8 2" xfId="2321"/>
    <cellStyle name="Cálculo 9 2" xfId="2322"/>
    <cellStyle name="Célula de Verificação 10 2" xfId="2323"/>
    <cellStyle name="Célula de Verificação 11 2" xfId="2324"/>
    <cellStyle name="Célula de Verificação 12 2" xfId="2325"/>
    <cellStyle name="Célula de Verificação 13 2" xfId="2326"/>
    <cellStyle name="Célula de Verificação 14 2" xfId="2327"/>
    <cellStyle name="Célula de Verificação 15 2" xfId="2328"/>
    <cellStyle name="Célula de Verificação 16 2" xfId="2329"/>
    <cellStyle name="Célula de Verificação 17 2" xfId="2330"/>
    <cellStyle name="Célula de Verificação 2" xfId="403"/>
    <cellStyle name="Célula de Verificação 2 2" xfId="545"/>
    <cellStyle name="Célula de Verificação 2 3" xfId="855"/>
    <cellStyle name="Célula de Verificação 2 4" xfId="1058"/>
    <cellStyle name="Célula de Verificação 2 5" xfId="2331"/>
    <cellStyle name="Célula de Verificação 3" xfId="490"/>
    <cellStyle name="Célula de Verificação 3 2" xfId="1059"/>
    <cellStyle name="Célula de Verificação 3 2 2" xfId="2332"/>
    <cellStyle name="Célula de Verificação 4" xfId="1145"/>
    <cellStyle name="Célula de Verificação 4 2" xfId="2334"/>
    <cellStyle name="Célula de Verificação 4 3" xfId="2333"/>
    <cellStyle name="Célula de Verificação 5" xfId="1195"/>
    <cellStyle name="Célula de Verificação 5 2" xfId="2336"/>
    <cellStyle name="Célula de Verificação 5 3" xfId="2335"/>
    <cellStyle name="Célula de Verificação 6" xfId="1224"/>
    <cellStyle name="Célula de Verificação 6 2" xfId="2337"/>
    <cellStyle name="Célula de Verificação 7 2" xfId="2338"/>
    <cellStyle name="Célula de Verificação 8 2" xfId="2339"/>
    <cellStyle name="Célula de Verificação 9 2" xfId="2340"/>
    <cellStyle name="Célula Vinculada 10 2" xfId="2341"/>
    <cellStyle name="Célula Vinculada 11 2" xfId="2342"/>
    <cellStyle name="Célula Vinculada 12 2" xfId="2343"/>
    <cellStyle name="Célula Vinculada 13 2" xfId="2344"/>
    <cellStyle name="Célula Vinculada 14 2" xfId="2345"/>
    <cellStyle name="Célula Vinculada 15 2" xfId="2346"/>
    <cellStyle name="Célula Vinculada 16 2" xfId="2347"/>
    <cellStyle name="Célula Vinculada 17 2" xfId="2348"/>
    <cellStyle name="Célula Vinculada 2" xfId="404"/>
    <cellStyle name="Célula Vinculada 2 2" xfId="546"/>
    <cellStyle name="Célula Vinculada 2 2 2" xfId="2350"/>
    <cellStyle name="Célula Vinculada 2 3" xfId="856"/>
    <cellStyle name="Célula Vinculada 2 4" xfId="1060"/>
    <cellStyle name="Célula Vinculada 2 5" xfId="2349"/>
    <cellStyle name="Célula Vinculada 3" xfId="491"/>
    <cellStyle name="Célula Vinculada 3 2" xfId="1061"/>
    <cellStyle name="Célula Vinculada 3 2 2" xfId="2351"/>
    <cellStyle name="Célula Vinculada 4" xfId="1146"/>
    <cellStyle name="Célula Vinculada 4 2" xfId="2353"/>
    <cellStyle name="Célula Vinculada 4 3" xfId="2352"/>
    <cellStyle name="Célula Vinculada 5" xfId="1196"/>
    <cellStyle name="Célula Vinculada 5 2" xfId="2355"/>
    <cellStyle name="Célula Vinculada 5 3" xfId="2354"/>
    <cellStyle name="Célula Vinculada 6" xfId="1225"/>
    <cellStyle name="Célula Vinculada 6 2" xfId="2356"/>
    <cellStyle name="Célula Vinculada 7 2" xfId="2357"/>
    <cellStyle name="Célula Vinculada 8 2" xfId="2358"/>
    <cellStyle name="Célula Vinculada 9 2" xfId="2359"/>
    <cellStyle name="Check Cell" xfId="492"/>
    <cellStyle name="Comma 2" xfId="2360"/>
    <cellStyle name="Comma 2 2" xfId="3397"/>
    <cellStyle name="Comma 2 2 2" xfId="6104"/>
    <cellStyle name="Comma 2 3" xfId="3396"/>
    <cellStyle name="Comma 2 3 2" xfId="6103"/>
    <cellStyle name="Comma 2 4" xfId="5556"/>
    <cellStyle name="Data" xfId="438"/>
    <cellStyle name="Data 2" xfId="882"/>
    <cellStyle name="Data 3" xfId="1257"/>
    <cellStyle name="Data 3 2" xfId="5070"/>
    <cellStyle name="Duasdec" xfId="2361"/>
    <cellStyle name="Ênfase1 10 2" xfId="2362"/>
    <cellStyle name="Ênfase1 11 2" xfId="2363"/>
    <cellStyle name="Ênfase1 12 2" xfId="2364"/>
    <cellStyle name="Ênfase1 13 2" xfId="2365"/>
    <cellStyle name="Ênfase1 14 2" xfId="2366"/>
    <cellStyle name="Ênfase1 15 2" xfId="2367"/>
    <cellStyle name="Ênfase1 16 2" xfId="2368"/>
    <cellStyle name="Ênfase1 17 2" xfId="2369"/>
    <cellStyle name="Ênfase1 2" xfId="405"/>
    <cellStyle name="Ênfase1 2 2" xfId="547"/>
    <cellStyle name="Ênfase1 2 2 2" xfId="2371"/>
    <cellStyle name="Ênfase1 2 3" xfId="857"/>
    <cellStyle name="Ênfase1 2 4" xfId="1062"/>
    <cellStyle name="Ênfase1 2 5" xfId="2370"/>
    <cellStyle name="Ênfase1 3" xfId="493"/>
    <cellStyle name="Ênfase1 3 2" xfId="1063"/>
    <cellStyle name="Ênfase1 3 2 2" xfId="2372"/>
    <cellStyle name="Ênfase1 4" xfId="1147"/>
    <cellStyle name="Ênfase1 4 2" xfId="2374"/>
    <cellStyle name="Ênfase1 4 3" xfId="2373"/>
    <cellStyle name="Ênfase1 5" xfId="1198"/>
    <cellStyle name="Ênfase1 5 2" xfId="2376"/>
    <cellStyle name="Ênfase1 5 3" xfId="2375"/>
    <cellStyle name="Ênfase1 6" xfId="1226"/>
    <cellStyle name="Ênfase1 6 2" xfId="2377"/>
    <cellStyle name="Ênfase1 7 2" xfId="2378"/>
    <cellStyle name="Ênfase1 8 2" xfId="2379"/>
    <cellStyle name="Ênfase1 9 2" xfId="2380"/>
    <cellStyle name="Ênfase2 10 2" xfId="2381"/>
    <cellStyle name="Ênfase2 11 2" xfId="2382"/>
    <cellStyle name="Ênfase2 12 2" xfId="2383"/>
    <cellStyle name="Ênfase2 13 2" xfId="2384"/>
    <cellStyle name="Ênfase2 14 2" xfId="2385"/>
    <cellStyle name="Ênfase2 15 2" xfId="2386"/>
    <cellStyle name="Ênfase2 16 2" xfId="2387"/>
    <cellStyle name="Ênfase2 17 2" xfId="2388"/>
    <cellStyle name="Ênfase2 2" xfId="406"/>
    <cellStyle name="Ênfase2 2 2" xfId="548"/>
    <cellStyle name="Ênfase2 2 2 2" xfId="2390"/>
    <cellStyle name="Ênfase2 2 3" xfId="858"/>
    <cellStyle name="Ênfase2 2 4" xfId="1064"/>
    <cellStyle name="Ênfase2 2 5" xfId="2389"/>
    <cellStyle name="Ênfase2 3" xfId="494"/>
    <cellStyle name="Ênfase2 3 2" xfId="1065"/>
    <cellStyle name="Ênfase2 3 2 2" xfId="2391"/>
    <cellStyle name="Ênfase2 4" xfId="1148"/>
    <cellStyle name="Ênfase2 4 2" xfId="2393"/>
    <cellStyle name="Ênfase2 4 3" xfId="2392"/>
    <cellStyle name="Ênfase2 5" xfId="1199"/>
    <cellStyle name="Ênfase2 5 2" xfId="2395"/>
    <cellStyle name="Ênfase2 5 3" xfId="2394"/>
    <cellStyle name="Ênfase2 6" xfId="1227"/>
    <cellStyle name="Ênfase2 6 2" xfId="2396"/>
    <cellStyle name="Ênfase2 7 2" xfId="2397"/>
    <cellStyle name="Ênfase2 8 2" xfId="2398"/>
    <cellStyle name="Ênfase2 9 2" xfId="2399"/>
    <cellStyle name="Ênfase3 10 2" xfId="2400"/>
    <cellStyle name="Ênfase3 11 2" xfId="2401"/>
    <cellStyle name="Ênfase3 12 2" xfId="2402"/>
    <cellStyle name="Ênfase3 13 2" xfId="2403"/>
    <cellStyle name="Ênfase3 14 2" xfId="2404"/>
    <cellStyle name="Ênfase3 15 2" xfId="2405"/>
    <cellStyle name="Ênfase3 16 2" xfId="2406"/>
    <cellStyle name="Ênfase3 17 2" xfId="2407"/>
    <cellStyle name="Ênfase3 2" xfId="407"/>
    <cellStyle name="Ênfase3 2 2" xfId="549"/>
    <cellStyle name="Ênfase3 2 2 2" xfId="2409"/>
    <cellStyle name="Ênfase3 2 3" xfId="859"/>
    <cellStyle name="Ênfase3 2 4" xfId="1066"/>
    <cellStyle name="Ênfase3 2 5" xfId="2408"/>
    <cellStyle name="Ênfase3 3" xfId="495"/>
    <cellStyle name="Ênfase3 3 2" xfId="1067"/>
    <cellStyle name="Ênfase3 3 2 2" xfId="2410"/>
    <cellStyle name="Ênfase3 4" xfId="1149"/>
    <cellStyle name="Ênfase3 4 2" xfId="2412"/>
    <cellStyle name="Ênfase3 4 3" xfId="2411"/>
    <cellStyle name="Ênfase3 5" xfId="1200"/>
    <cellStyle name="Ênfase3 5 2" xfId="2414"/>
    <cellStyle name="Ênfase3 5 3" xfId="2413"/>
    <cellStyle name="Ênfase3 6" xfId="1228"/>
    <cellStyle name="Ênfase3 6 2" xfId="2415"/>
    <cellStyle name="Ênfase3 7 2" xfId="2416"/>
    <cellStyle name="Ênfase3 8 2" xfId="2417"/>
    <cellStyle name="Ênfase3 9 2" xfId="2418"/>
    <cellStyle name="Ênfase4 10 2" xfId="2419"/>
    <cellStyle name="Ênfase4 11 2" xfId="2420"/>
    <cellStyle name="Ênfase4 12 2" xfId="2421"/>
    <cellStyle name="Ênfase4 13 2" xfId="2422"/>
    <cellStyle name="Ênfase4 14 2" xfId="2423"/>
    <cellStyle name="Ênfase4 15 2" xfId="2424"/>
    <cellStyle name="Ênfase4 16 2" xfId="2425"/>
    <cellStyle name="Ênfase4 17 2" xfId="2426"/>
    <cellStyle name="Ênfase4 2" xfId="408"/>
    <cellStyle name="Ênfase4 2 2" xfId="550"/>
    <cellStyle name="Ênfase4 2 2 2" xfId="2428"/>
    <cellStyle name="Ênfase4 2 3" xfId="860"/>
    <cellStyle name="Ênfase4 2 4" xfId="1068"/>
    <cellStyle name="Ênfase4 2 5" xfId="2427"/>
    <cellStyle name="Ênfase4 3" xfId="496"/>
    <cellStyle name="Ênfase4 3 2" xfId="1069"/>
    <cellStyle name="Ênfase4 3 2 2" xfId="2429"/>
    <cellStyle name="Ênfase4 4" xfId="1150"/>
    <cellStyle name="Ênfase4 4 2" xfId="2431"/>
    <cellStyle name="Ênfase4 4 3" xfId="2430"/>
    <cellStyle name="Ênfase4 5" xfId="1201"/>
    <cellStyle name="Ênfase4 5 2" xfId="2433"/>
    <cellStyle name="Ênfase4 5 3" xfId="2432"/>
    <cellStyle name="Ênfase4 6" xfId="1229"/>
    <cellStyle name="Ênfase4 6 2" xfId="2434"/>
    <cellStyle name="Ênfase4 7 2" xfId="2435"/>
    <cellStyle name="Ênfase4 8 2" xfId="2436"/>
    <cellStyle name="Ênfase4 9 2" xfId="2437"/>
    <cellStyle name="Ênfase5 10 2" xfId="2438"/>
    <cellStyle name="Ênfase5 11 2" xfId="2439"/>
    <cellStyle name="Ênfase5 12 2" xfId="2440"/>
    <cellStyle name="Ênfase5 13 2" xfId="2441"/>
    <cellStyle name="Ênfase5 14 2" xfId="2442"/>
    <cellStyle name="Ênfase5 15 2" xfId="2443"/>
    <cellStyle name="Ênfase5 16 2" xfId="2444"/>
    <cellStyle name="Ênfase5 17 2" xfId="2445"/>
    <cellStyle name="Ênfase5 2" xfId="409"/>
    <cellStyle name="Ênfase5 2 2" xfId="551"/>
    <cellStyle name="Ênfase5 2 3" xfId="861"/>
    <cellStyle name="Ênfase5 2 4" xfId="1070"/>
    <cellStyle name="Ênfase5 2 5" xfId="2446"/>
    <cellStyle name="Ênfase5 3" xfId="497"/>
    <cellStyle name="Ênfase5 3 2" xfId="1071"/>
    <cellStyle name="Ênfase5 3 2 2" xfId="2447"/>
    <cellStyle name="Ênfase5 4" xfId="1151"/>
    <cellStyle name="Ênfase5 4 2" xfId="2449"/>
    <cellStyle name="Ênfase5 4 3" xfId="2448"/>
    <cellStyle name="Ênfase5 5" xfId="1202"/>
    <cellStyle name="Ênfase5 5 2" xfId="2451"/>
    <cellStyle name="Ênfase5 5 3" xfId="2450"/>
    <cellStyle name="Ênfase5 6" xfId="1230"/>
    <cellStyle name="Ênfase5 6 2" xfId="2452"/>
    <cellStyle name="Ênfase5 7 2" xfId="2453"/>
    <cellStyle name="Ênfase5 8 2" xfId="2454"/>
    <cellStyle name="Ênfase5 9 2" xfId="2455"/>
    <cellStyle name="Ênfase6 10 2" xfId="2456"/>
    <cellStyle name="Ênfase6 11 2" xfId="2457"/>
    <cellStyle name="Ênfase6 12 2" xfId="2458"/>
    <cellStyle name="Ênfase6 13 2" xfId="2459"/>
    <cellStyle name="Ênfase6 14 2" xfId="2460"/>
    <cellStyle name="Ênfase6 15 2" xfId="2461"/>
    <cellStyle name="Ênfase6 16 2" xfId="2462"/>
    <cellStyle name="Ênfase6 17 2" xfId="2463"/>
    <cellStyle name="Ênfase6 2" xfId="410"/>
    <cellStyle name="Ênfase6 2 2" xfId="552"/>
    <cellStyle name="Ênfase6 2 2 2" xfId="2465"/>
    <cellStyle name="Ênfase6 2 3" xfId="862"/>
    <cellStyle name="Ênfase6 2 4" xfId="1072"/>
    <cellStyle name="Ênfase6 2 5" xfId="2464"/>
    <cellStyle name="Ênfase6 3" xfId="498"/>
    <cellStyle name="Ênfase6 3 2" xfId="1073"/>
    <cellStyle name="Ênfase6 3 2 2" xfId="2466"/>
    <cellStyle name="Ênfase6 4" xfId="1152"/>
    <cellStyle name="Ênfase6 4 2" xfId="2468"/>
    <cellStyle name="Ênfase6 4 3" xfId="2467"/>
    <cellStyle name="Ênfase6 5" xfId="1203"/>
    <cellStyle name="Ênfase6 5 2" xfId="2470"/>
    <cellStyle name="Ênfase6 5 3" xfId="2469"/>
    <cellStyle name="Ênfase6 6" xfId="1231"/>
    <cellStyle name="Ênfase6 6 2" xfId="2471"/>
    <cellStyle name="Ênfase6 7 2" xfId="2472"/>
    <cellStyle name="Ênfase6 8 2" xfId="2473"/>
    <cellStyle name="Ênfase6 9 2" xfId="2474"/>
    <cellStyle name="Entrada 10 2" xfId="2475"/>
    <cellStyle name="Entrada 11 2" xfId="2476"/>
    <cellStyle name="Entrada 12 2" xfId="2477"/>
    <cellStyle name="Entrada 13 2" xfId="2478"/>
    <cellStyle name="Entrada 14 2" xfId="2479"/>
    <cellStyle name="Entrada 15 2" xfId="2480"/>
    <cellStyle name="Entrada 16 2" xfId="2481"/>
    <cellStyle name="Entrada 17 2" xfId="2482"/>
    <cellStyle name="Entrada 2" xfId="411"/>
    <cellStyle name="Entrada 2 2" xfId="553"/>
    <cellStyle name="Entrada 2 2 2" xfId="1432"/>
    <cellStyle name="Entrada 2 2 2 2" xfId="1550"/>
    <cellStyle name="Entrada 2 2 3" xfId="2484"/>
    <cellStyle name="Entrada 2 3" xfId="863"/>
    <cellStyle name="Entrada 2 3 2" xfId="1428"/>
    <cellStyle name="Entrada 2 3 2 2" xfId="1546"/>
    <cellStyle name="Entrada 2 4" xfId="964"/>
    <cellStyle name="Entrada 2 4 2" xfId="1258"/>
    <cellStyle name="Entrada 2 4 2 2" xfId="1464"/>
    <cellStyle name="Entrada 2 4 2 2 2" xfId="1564"/>
    <cellStyle name="Entrada 2 5" xfId="1074"/>
    <cellStyle name="Entrada 2 6" xfId="1404"/>
    <cellStyle name="Entrada 2 7" xfId="2483"/>
    <cellStyle name="Entrada 3" xfId="499"/>
    <cellStyle name="Entrada 3 2" xfId="554"/>
    <cellStyle name="Entrada 3 2 2" xfId="962"/>
    <cellStyle name="Entrada 3 2 2 2" xfId="1259"/>
    <cellStyle name="Entrada 3 2 2 2 2" xfId="1462"/>
    <cellStyle name="Entrada 3 2 2 2 2 2" xfId="1562"/>
    <cellStyle name="Entrada 3 2 3" xfId="1414"/>
    <cellStyle name="Entrada 3 2 4" xfId="2485"/>
    <cellStyle name="Entrada 3 3" xfId="963"/>
    <cellStyle name="Entrada 3 3 2" xfId="1260"/>
    <cellStyle name="Entrada 3 3 2 2" xfId="1463"/>
    <cellStyle name="Entrada 3 3 2 2 2" xfId="1563"/>
    <cellStyle name="Entrada 3 4" xfId="1075"/>
    <cellStyle name="Entrada 4" xfId="1153"/>
    <cellStyle name="Entrada 4 2" xfId="1509"/>
    <cellStyle name="Entrada 4 2 2" xfId="1609"/>
    <cellStyle name="Entrada 4 2 3" xfId="2487"/>
    <cellStyle name="Entrada 4 3" xfId="2486"/>
    <cellStyle name="Entrada 5" xfId="1204"/>
    <cellStyle name="Entrada 5 2" xfId="1511"/>
    <cellStyle name="Entrada 5 2 2" xfId="1611"/>
    <cellStyle name="Entrada 5 2 3" xfId="2489"/>
    <cellStyle name="Entrada 5 3" xfId="2488"/>
    <cellStyle name="Entrada 6" xfId="1232"/>
    <cellStyle name="Entrada 6 2" xfId="1513"/>
    <cellStyle name="Entrada 6 2 2" xfId="1613"/>
    <cellStyle name="Entrada 6 2 3" xfId="2490"/>
    <cellStyle name="Entrada 7 2" xfId="2491"/>
    <cellStyle name="Entrada 8 2" xfId="2492"/>
    <cellStyle name="Entrada 9 2" xfId="2493"/>
    <cellStyle name="Estilo 1" xfId="1076"/>
    <cellStyle name="Excel Built-in Currency" xfId="412"/>
    <cellStyle name="Excel Built-in Currency 2" xfId="4679"/>
    <cellStyle name="Excel Built-in Normal" xfId="413"/>
    <cellStyle name="Excel Built-in Normal 2" xfId="3398"/>
    <cellStyle name="Excel Built-in Normal 3" xfId="4680"/>
    <cellStyle name="Explanatory Text" xfId="500"/>
    <cellStyle name="Fixo" xfId="439"/>
    <cellStyle name="Fixo 2" xfId="883"/>
    <cellStyle name="Fixo 3" xfId="1261"/>
    <cellStyle name="Fixo 3 2" xfId="5071"/>
    <cellStyle name="Good" xfId="501"/>
    <cellStyle name="Graphics" xfId="4013"/>
    <cellStyle name="Heading 1" xfId="502"/>
    <cellStyle name="Heading 2" xfId="503"/>
    <cellStyle name="Heading 3" xfId="504"/>
    <cellStyle name="Heading 4" xfId="505"/>
    <cellStyle name="Hiperlink 2" xfId="555"/>
    <cellStyle name="Hiperlink 3" xfId="556"/>
    <cellStyle name="Hiperlink 3 2" xfId="1077"/>
    <cellStyle name="Hiperlink 4" xfId="557"/>
    <cellStyle name="Incorreto 10 2" xfId="2494"/>
    <cellStyle name="Incorreto 11 2" xfId="2495"/>
    <cellStyle name="Incorreto 12 2" xfId="2496"/>
    <cellStyle name="Incorreto 13 2" xfId="2497"/>
    <cellStyle name="Incorreto 14 2" xfId="2498"/>
    <cellStyle name="Incorreto 15 2" xfId="2499"/>
    <cellStyle name="Incorreto 16 2" xfId="2500"/>
    <cellStyle name="Incorreto 17 2" xfId="2501"/>
    <cellStyle name="Incorreto 2" xfId="414"/>
    <cellStyle name="Incorreto 2 2" xfId="558"/>
    <cellStyle name="Incorreto 2 2 2" xfId="2503"/>
    <cellStyle name="Incorreto 2 3" xfId="864"/>
    <cellStyle name="Incorreto 2 4" xfId="1078"/>
    <cellStyle name="Incorreto 2 5" xfId="2502"/>
    <cellStyle name="Incorreto 3" xfId="506"/>
    <cellStyle name="Incorreto 3 2" xfId="1079"/>
    <cellStyle name="Incorreto 3 2 2" xfId="2504"/>
    <cellStyle name="Incorreto 4" xfId="1154"/>
    <cellStyle name="Incorreto 4 2" xfId="2506"/>
    <cellStyle name="Incorreto 4 3" xfId="2505"/>
    <cellStyle name="Incorreto 5" xfId="1210"/>
    <cellStyle name="Incorreto 5 2" xfId="2508"/>
    <cellStyle name="Incorreto 5 3" xfId="2507"/>
    <cellStyle name="Incorreto 6" xfId="1233"/>
    <cellStyle name="Incorreto 6 2" xfId="2509"/>
    <cellStyle name="Incorreto 7 2" xfId="2510"/>
    <cellStyle name="Incorreto 8 2" xfId="2511"/>
    <cellStyle name="Incorreto 9 2" xfId="2512"/>
    <cellStyle name="Input" xfId="507"/>
    <cellStyle name="Input 2" xfId="559"/>
    <cellStyle name="Input 2 2" xfId="560"/>
    <cellStyle name="Input 2 2 2" xfId="976"/>
    <cellStyle name="Input 2 2 2 2" xfId="1262"/>
    <cellStyle name="Input 2 2 2 2 2" xfId="1473"/>
    <cellStyle name="Input 2 2 2 2 2 2" xfId="1573"/>
    <cellStyle name="Input 2 2 3" xfId="1415"/>
    <cellStyle name="Input 2 3" xfId="975"/>
    <cellStyle name="Input 2 3 2" xfId="1263"/>
    <cellStyle name="Input 2 3 2 2" xfId="1472"/>
    <cellStyle name="Input 2 3 2 2 2" xfId="1572"/>
    <cellStyle name="Input 3" xfId="974"/>
    <cellStyle name="Input 3 2" xfId="1264"/>
    <cellStyle name="Input 3 2 2" xfId="1471"/>
    <cellStyle name="Input 3 2 2 2" xfId="1571"/>
    <cellStyle name="Input 4" xfId="1405"/>
    <cellStyle name="Linked Cell" xfId="508"/>
    <cellStyle name="Moeda" xfId="1" builtinId="4"/>
    <cellStyle name="Moeda 10" xfId="561"/>
    <cellStyle name="Moeda 10 2" xfId="562"/>
    <cellStyle name="Moeda 10 2 2" xfId="889"/>
    <cellStyle name="Moeda 10 2 2 2" xfId="4937"/>
    <cellStyle name="Moeda 10 2 3" xfId="1265"/>
    <cellStyle name="Moeda 10 2 3 2" xfId="5072"/>
    <cellStyle name="Moeda 10 2 4" xfId="4690"/>
    <cellStyle name="Moeda 10 3" xfId="563"/>
    <cellStyle name="Moeda 10 3 2" xfId="564"/>
    <cellStyle name="Moeda 10 3 2 2" xfId="890"/>
    <cellStyle name="Moeda 10 3 2 2 2" xfId="4938"/>
    <cellStyle name="Moeda 10 3 2 3" xfId="1266"/>
    <cellStyle name="Moeda 10 3 2 3 2" xfId="5073"/>
    <cellStyle name="Moeda 10 3 2 4" xfId="4692"/>
    <cellStyle name="Moeda 10 3 3" xfId="565"/>
    <cellStyle name="Moeda 10 3 3 2" xfId="566"/>
    <cellStyle name="Moeda 10 3 3 2 2" xfId="567"/>
    <cellStyle name="Moeda 10 3 3 2 2 2" xfId="568"/>
    <cellStyle name="Moeda 10 3 3 2 2 2 2" xfId="4696"/>
    <cellStyle name="Moeda 10 3 3 2 2 3" xfId="4695"/>
    <cellStyle name="Moeda 10 3 3 2 3" xfId="569"/>
    <cellStyle name="Moeda 10 3 3 2 3 2" xfId="4697"/>
    <cellStyle name="Moeda 10 3 3 2 3 3" xfId="49422"/>
    <cellStyle name="Moeda 10 3 3 2 4" xfId="4694"/>
    <cellStyle name="Moeda 10 3 3 3" xfId="570"/>
    <cellStyle name="Moeda 10 3 3 3 2" xfId="4698"/>
    <cellStyle name="Moeda 10 3 3 4" xfId="4693"/>
    <cellStyle name="Moeda 10 3 4" xfId="571"/>
    <cellStyle name="Moeda 10 3 4 2" xfId="572"/>
    <cellStyle name="Moeda 10 3 4 2 2" xfId="4700"/>
    <cellStyle name="Moeda 10 3 4 2 3" xfId="49423"/>
    <cellStyle name="Moeda 10 3 4 3" xfId="573"/>
    <cellStyle name="Moeda 10 3 4 3 2" xfId="4701"/>
    <cellStyle name="Moeda 10 3 4 4" xfId="4699"/>
    <cellStyle name="Moeda 10 3 5" xfId="4691"/>
    <cellStyle name="Moeda 10 4" xfId="4689"/>
    <cellStyle name="Moeda 11" xfId="574"/>
    <cellStyle name="Moeda 11 2" xfId="575"/>
    <cellStyle name="Moeda 11 2 2" xfId="891"/>
    <cellStyle name="Moeda 11 2 2 2" xfId="4939"/>
    <cellStyle name="Moeda 11 2 3" xfId="1267"/>
    <cellStyle name="Moeda 11 2 3 2" xfId="5074"/>
    <cellStyle name="Moeda 11 2 4" xfId="4703"/>
    <cellStyle name="Moeda 11 3" xfId="576"/>
    <cellStyle name="Moeda 11 3 2" xfId="577"/>
    <cellStyle name="Moeda 11 3 2 2" xfId="4705"/>
    <cellStyle name="Moeda 11 3 2 3" xfId="49424"/>
    <cellStyle name="Moeda 11 3 3" xfId="578"/>
    <cellStyle name="Moeda 11 3 3 2" xfId="4706"/>
    <cellStyle name="Moeda 11 3 4" xfId="4704"/>
    <cellStyle name="Moeda 11 4" xfId="4702"/>
    <cellStyle name="Moeda 12" xfId="579"/>
    <cellStyle name="Moeda 12 2" xfId="580"/>
    <cellStyle name="Moeda 12 2 2" xfId="892"/>
    <cellStyle name="Moeda 12 2 2 2" xfId="4940"/>
    <cellStyle name="Moeda 12 2 3" xfId="1268"/>
    <cellStyle name="Moeda 12 2 3 2" xfId="5075"/>
    <cellStyle name="Moeda 12 2 4" xfId="4708"/>
    <cellStyle name="Moeda 12 3" xfId="581"/>
    <cellStyle name="Moeda 12 3 2" xfId="582"/>
    <cellStyle name="Moeda 12 3 2 2" xfId="583"/>
    <cellStyle name="Moeda 12 3 2 2 2" xfId="584"/>
    <cellStyle name="Moeda 12 3 2 2 2 2" xfId="4712"/>
    <cellStyle name="Moeda 12 3 2 2 3" xfId="4711"/>
    <cellStyle name="Moeda 12 3 2 3" xfId="585"/>
    <cellStyle name="Moeda 12 3 2 3 2" xfId="4713"/>
    <cellStyle name="Moeda 12 3 2 3 3" xfId="49425"/>
    <cellStyle name="Moeda 12 3 2 4" xfId="4710"/>
    <cellStyle name="Moeda 12 3 3" xfId="586"/>
    <cellStyle name="Moeda 12 3 3 2" xfId="4714"/>
    <cellStyle name="Moeda 12 3 4" xfId="4709"/>
    <cellStyle name="Moeda 12 4" xfId="587"/>
    <cellStyle name="Moeda 12 4 2" xfId="588"/>
    <cellStyle name="Moeda 12 4 2 2" xfId="4716"/>
    <cellStyle name="Moeda 12 4 2 3" xfId="49426"/>
    <cellStyle name="Moeda 12 4 3" xfId="589"/>
    <cellStyle name="Moeda 12 4 3 2" xfId="4717"/>
    <cellStyle name="Moeda 12 4 4" xfId="4715"/>
    <cellStyle name="Moeda 12 5" xfId="4707"/>
    <cellStyle name="Moeda 13" xfId="590"/>
    <cellStyle name="Moeda 13 2" xfId="591"/>
    <cellStyle name="Moeda 13 2 2" xfId="4719"/>
    <cellStyle name="Moeda 13 2 3" xfId="49427"/>
    <cellStyle name="Moeda 13 3" xfId="592"/>
    <cellStyle name="Moeda 13 3 2" xfId="4720"/>
    <cellStyle name="Moeda 13 4" xfId="4718"/>
    <cellStyle name="Moeda 14" xfId="593"/>
    <cellStyle name="Moeda 14 2" xfId="4721"/>
    <cellStyle name="Moeda 14 3" xfId="49428"/>
    <cellStyle name="Moeda 15" xfId="1122"/>
    <cellStyle name="Moeda 16" xfId="3395"/>
    <cellStyle name="Moeda 16 10" xfId="33862"/>
    <cellStyle name="Moeda 16 11" xfId="37894"/>
    <cellStyle name="Moeda 16 12" xfId="41926"/>
    <cellStyle name="Moeda 16 13" xfId="45958"/>
    <cellStyle name="Moeda 16 14" xfId="50036"/>
    <cellStyle name="Moeda 16 2" xfId="6102"/>
    <cellStyle name="Moeda 16 2 10" xfId="38845"/>
    <cellStyle name="Moeda 16 2 11" xfId="42877"/>
    <cellStyle name="Moeda 16 2 12" xfId="46909"/>
    <cellStyle name="Moeda 16 2 13" xfId="50988"/>
    <cellStyle name="Moeda 16 2 2" xfId="8603"/>
    <cellStyle name="Moeda 16 2 2 10" xfId="44893"/>
    <cellStyle name="Moeda 16 2 2 11" xfId="48925"/>
    <cellStyle name="Moeda 16 2 2 12" xfId="53004"/>
    <cellStyle name="Moeda 16 2 2 2" xfId="12637"/>
    <cellStyle name="Moeda 16 2 2 3" xfId="16669"/>
    <cellStyle name="Moeda 16 2 2 4" xfId="20701"/>
    <cellStyle name="Moeda 16 2 2 5" xfId="24733"/>
    <cellStyle name="Moeda 16 2 2 6" xfId="28765"/>
    <cellStyle name="Moeda 16 2 2 7" xfId="32797"/>
    <cellStyle name="Moeda 16 2 2 8" xfId="36829"/>
    <cellStyle name="Moeda 16 2 2 9" xfId="40861"/>
    <cellStyle name="Moeda 16 2 3" xfId="10621"/>
    <cellStyle name="Moeda 16 2 4" xfId="14653"/>
    <cellStyle name="Moeda 16 2 5" xfId="18685"/>
    <cellStyle name="Moeda 16 2 6" xfId="22717"/>
    <cellStyle name="Moeda 16 2 7" xfId="26749"/>
    <cellStyle name="Moeda 16 2 8" xfId="30781"/>
    <cellStyle name="Moeda 16 2 9" xfId="34813"/>
    <cellStyle name="Moeda 16 3" xfId="7652"/>
    <cellStyle name="Moeda 16 3 10" xfId="43942"/>
    <cellStyle name="Moeda 16 3 11" xfId="47974"/>
    <cellStyle name="Moeda 16 3 12" xfId="52053"/>
    <cellStyle name="Moeda 16 3 2" xfId="11686"/>
    <cellStyle name="Moeda 16 3 3" xfId="15718"/>
    <cellStyle name="Moeda 16 3 4" xfId="19750"/>
    <cellStyle name="Moeda 16 3 5" xfId="23782"/>
    <cellStyle name="Moeda 16 3 6" xfId="27814"/>
    <cellStyle name="Moeda 16 3 7" xfId="31846"/>
    <cellStyle name="Moeda 16 3 8" xfId="35878"/>
    <cellStyle name="Moeda 16 3 9" xfId="39910"/>
    <cellStyle name="Moeda 16 4" xfId="9670"/>
    <cellStyle name="Moeda 16 5" xfId="13702"/>
    <cellStyle name="Moeda 16 6" xfId="17734"/>
    <cellStyle name="Moeda 16 7" xfId="21766"/>
    <cellStyle name="Moeda 16 8" xfId="25798"/>
    <cellStyle name="Moeda 16 9" xfId="29830"/>
    <cellStyle name="Moeda 17" xfId="49429"/>
    <cellStyle name="Moeda 2" xfId="2"/>
    <cellStyle name="Moeda 2 2" xfId="595"/>
    <cellStyle name="Moeda 2 2 2" xfId="893"/>
    <cellStyle name="Moeda 2 2 2 2" xfId="4941"/>
    <cellStyle name="Moeda 2 2 3" xfId="1269"/>
    <cellStyle name="Moeda 2 2 3 2" xfId="5076"/>
    <cellStyle name="Moeda 2 2 4" xfId="4723"/>
    <cellStyle name="Moeda 2 3" xfId="594"/>
    <cellStyle name="Moeda 2 3 2" xfId="1080"/>
    <cellStyle name="Moeda 2 3 2 2" xfId="3401"/>
    <cellStyle name="Moeda 2 3 2 2 2" xfId="6106"/>
    <cellStyle name="Moeda 2 3 2 3" xfId="5047"/>
    <cellStyle name="Moeda 2 3 3" xfId="3400"/>
    <cellStyle name="Moeda 2 3 3 2" xfId="6105"/>
    <cellStyle name="Moeda 2 3 4" xfId="4722"/>
    <cellStyle name="Moeda 2 4" xfId="866"/>
    <cellStyle name="Moeda 2 4 2" xfId="3402"/>
    <cellStyle name="Moeda 2 4 2 2" xfId="6107"/>
    <cellStyle name="Moeda 2 4 3" xfId="4928"/>
    <cellStyle name="Moeda 2 5" xfId="1270"/>
    <cellStyle name="Moeda 2 5 2" xfId="3399"/>
    <cellStyle name="Moeda 2 5 3" xfId="5077"/>
    <cellStyle name="Moeda 2 6" xfId="416"/>
    <cellStyle name="Moeda 2 6 2" xfId="4681"/>
    <cellStyle name="Moeda 2 7" xfId="2513"/>
    <cellStyle name="Moeda 2 7 2" xfId="5557"/>
    <cellStyle name="Moeda 3" xfId="40"/>
    <cellStyle name="Moeda 3 2" xfId="194"/>
    <cellStyle name="Moeda 3 2 2" xfId="1081"/>
    <cellStyle name="Moeda 3 2 2 2" xfId="5048"/>
    <cellStyle name="Moeda 3 2 3" xfId="4313"/>
    <cellStyle name="Moeda 3 2 4" xfId="596"/>
    <cellStyle name="Moeda 3 3" xfId="867"/>
    <cellStyle name="Moeda 3 3 2" xfId="4929"/>
    <cellStyle name="Moeda 3 4" xfId="1271"/>
    <cellStyle name="Moeda 3 4 2" xfId="5078"/>
    <cellStyle name="Moeda 3 5" xfId="417"/>
    <cellStyle name="Moeda 3 5 2" xfId="4682"/>
    <cellStyle name="Moeda 3 6" xfId="2514"/>
    <cellStyle name="Moeda 3 6 2" xfId="5558"/>
    <cellStyle name="Moeda 3 7" xfId="4236"/>
    <cellStyle name="Moeda 3 8" xfId="115"/>
    <cellStyle name="Moeda 3 9" xfId="49430"/>
    <cellStyle name="Moeda 4" xfId="181"/>
    <cellStyle name="Moeda 4 2" xfId="865"/>
    <cellStyle name="Moeda 4 2 2" xfId="1082"/>
    <cellStyle name="Moeda 4 2 2 2" xfId="5049"/>
    <cellStyle name="Moeda 4 2 3" xfId="4927"/>
    <cellStyle name="Moeda 4 3" xfId="1272"/>
    <cellStyle name="Moeda 4 3 2" xfId="5079"/>
    <cellStyle name="Moeda 4 4" xfId="1691"/>
    <cellStyle name="Moeda 4 5" xfId="2515"/>
    <cellStyle name="Moeda 4 5 2" xfId="5559"/>
    <cellStyle name="Moeda 4 6" xfId="4301"/>
    <cellStyle name="Moeda 4 7" xfId="415"/>
    <cellStyle name="Moeda 5" xfId="597"/>
    <cellStyle name="Moeda 5 2" xfId="894"/>
    <cellStyle name="Moeda 5 2 2" xfId="1083"/>
    <cellStyle name="Moeda 5 2 2 10" xfId="33573"/>
    <cellStyle name="Moeda 5 2 2 11" xfId="37605"/>
    <cellStyle name="Moeda 5 2 2 12" xfId="41637"/>
    <cellStyle name="Moeda 5 2 2 13" xfId="45669"/>
    <cellStyle name="Moeda 5 2 2 14" xfId="49747"/>
    <cellStyle name="Moeda 5 2 2 2" xfId="5050"/>
    <cellStyle name="Moeda 5 2 2 2 10" xfId="38570"/>
    <cellStyle name="Moeda 5 2 2 2 11" xfId="42602"/>
    <cellStyle name="Moeda 5 2 2 2 12" xfId="46634"/>
    <cellStyle name="Moeda 5 2 2 2 13" xfId="50713"/>
    <cellStyle name="Moeda 5 2 2 2 2" xfId="8328"/>
    <cellStyle name="Moeda 5 2 2 2 2 10" xfId="44618"/>
    <cellStyle name="Moeda 5 2 2 2 2 11" xfId="48650"/>
    <cellStyle name="Moeda 5 2 2 2 2 12" xfId="52729"/>
    <cellStyle name="Moeda 5 2 2 2 2 2" xfId="12362"/>
    <cellStyle name="Moeda 5 2 2 2 2 3" xfId="16394"/>
    <cellStyle name="Moeda 5 2 2 2 2 4" xfId="20426"/>
    <cellStyle name="Moeda 5 2 2 2 2 5" xfId="24458"/>
    <cellStyle name="Moeda 5 2 2 2 2 6" xfId="28490"/>
    <cellStyle name="Moeda 5 2 2 2 2 7" xfId="32522"/>
    <cellStyle name="Moeda 5 2 2 2 2 8" xfId="36554"/>
    <cellStyle name="Moeda 5 2 2 2 2 9" xfId="40586"/>
    <cellStyle name="Moeda 5 2 2 2 3" xfId="10346"/>
    <cellStyle name="Moeda 5 2 2 2 4" xfId="14378"/>
    <cellStyle name="Moeda 5 2 2 2 5" xfId="18410"/>
    <cellStyle name="Moeda 5 2 2 2 6" xfId="22442"/>
    <cellStyle name="Moeda 5 2 2 2 7" xfId="26474"/>
    <cellStyle name="Moeda 5 2 2 2 8" xfId="30506"/>
    <cellStyle name="Moeda 5 2 2 2 9" xfId="34538"/>
    <cellStyle name="Moeda 5 2 2 3" xfId="7363"/>
    <cellStyle name="Moeda 5 2 2 3 10" xfId="43653"/>
    <cellStyle name="Moeda 5 2 2 3 11" xfId="47685"/>
    <cellStyle name="Moeda 5 2 2 3 12" xfId="51764"/>
    <cellStyle name="Moeda 5 2 2 3 2" xfId="11397"/>
    <cellStyle name="Moeda 5 2 2 3 3" xfId="15429"/>
    <cellStyle name="Moeda 5 2 2 3 4" xfId="19461"/>
    <cellStyle name="Moeda 5 2 2 3 5" xfId="23493"/>
    <cellStyle name="Moeda 5 2 2 3 6" xfId="27525"/>
    <cellStyle name="Moeda 5 2 2 3 7" xfId="31557"/>
    <cellStyle name="Moeda 5 2 2 3 8" xfId="35589"/>
    <cellStyle name="Moeda 5 2 2 3 9" xfId="39621"/>
    <cellStyle name="Moeda 5 2 2 4" xfId="9381"/>
    <cellStyle name="Moeda 5 2 2 5" xfId="13413"/>
    <cellStyle name="Moeda 5 2 2 6" xfId="17445"/>
    <cellStyle name="Moeda 5 2 2 7" xfId="21477"/>
    <cellStyle name="Moeda 5 2 2 8" xfId="25509"/>
    <cellStyle name="Moeda 5 2 2 9" xfId="29541"/>
    <cellStyle name="Moeda 5 2 3" xfId="3404"/>
    <cellStyle name="Moeda 5 2 4" xfId="4942"/>
    <cellStyle name="Moeda 5 3" xfId="1273"/>
    <cellStyle name="Moeda 5 3 2" xfId="5080"/>
    <cellStyle name="Moeda 5 4" xfId="3403"/>
    <cellStyle name="Moeda 5 5" xfId="4724"/>
    <cellStyle name="Moeda 6" xfId="598"/>
    <cellStyle name="Moeda 6 2" xfId="599"/>
    <cellStyle name="Moeda 6 2 2" xfId="896"/>
    <cellStyle name="Moeda 6 2 2 2" xfId="4944"/>
    <cellStyle name="Moeda 6 2 3" xfId="1274"/>
    <cellStyle name="Moeda 6 2 3 2" xfId="5081"/>
    <cellStyle name="Moeda 6 2 4" xfId="4726"/>
    <cellStyle name="Moeda 6 3" xfId="600"/>
    <cellStyle name="Moeda 6 3 2" xfId="897"/>
    <cellStyle name="Moeda 6 3 2 2" xfId="4945"/>
    <cellStyle name="Moeda 6 3 3" xfId="1084"/>
    <cellStyle name="Moeda 6 3 3 2" xfId="1275"/>
    <cellStyle name="Moeda 6 3 3 2 2" xfId="5082"/>
    <cellStyle name="Moeda 6 3 3 3" xfId="1276"/>
    <cellStyle name="Moeda 6 3 3 3 2" xfId="5083"/>
    <cellStyle name="Moeda 6 3 3 4" xfId="5051"/>
    <cellStyle name="Moeda 6 3 4" xfId="4727"/>
    <cellStyle name="Moeda 6 4" xfId="895"/>
    <cellStyle name="Moeda 6 4 2" xfId="4943"/>
    <cellStyle name="Moeda 6 5" xfId="1277"/>
    <cellStyle name="Moeda 6 5 2" xfId="5084"/>
    <cellStyle name="Moeda 6 6" xfId="4725"/>
    <cellStyle name="Moeda 7" xfId="601"/>
    <cellStyle name="Moeda 7 2" xfId="1086"/>
    <cellStyle name="Moeda 7 2 2" xfId="5053"/>
    <cellStyle name="Moeda 7 3" xfId="1085"/>
    <cellStyle name="Moeda 7 3 2" xfId="5052"/>
    <cellStyle name="Moeda 8" xfId="602"/>
    <cellStyle name="Moeda 8 2" xfId="603"/>
    <cellStyle name="Moeda 8 2 2" xfId="898"/>
    <cellStyle name="Moeda 8 2 2 2" xfId="4946"/>
    <cellStyle name="Moeda 8 2 3" xfId="1278"/>
    <cellStyle name="Moeda 8 2 3 2" xfId="5085"/>
    <cellStyle name="Moeda 8 2 4" xfId="4729"/>
    <cellStyle name="Moeda 8 3" xfId="604"/>
    <cellStyle name="Moeda 8 3 2" xfId="605"/>
    <cellStyle name="Moeda 8 3 2 2" xfId="900"/>
    <cellStyle name="Moeda 8 3 2 2 2" xfId="4948"/>
    <cellStyle name="Moeda 8 3 2 3" xfId="1279"/>
    <cellStyle name="Moeda 8 3 2 3 2" xfId="5086"/>
    <cellStyle name="Moeda 8 3 2 4" xfId="4731"/>
    <cellStyle name="Moeda 8 3 3" xfId="899"/>
    <cellStyle name="Moeda 8 3 3 2" xfId="4947"/>
    <cellStyle name="Moeda 8 3 4" xfId="1280"/>
    <cellStyle name="Moeda 8 3 4 2" xfId="5087"/>
    <cellStyle name="Moeda 8 3 5" xfId="4730"/>
    <cellStyle name="Moeda 8 4" xfId="606"/>
    <cellStyle name="Moeda 8 4 2" xfId="607"/>
    <cellStyle name="Moeda 8 4 2 2" xfId="901"/>
    <cellStyle name="Moeda 8 4 2 2 2" xfId="4949"/>
    <cellStyle name="Moeda 8 4 2 3" xfId="1281"/>
    <cellStyle name="Moeda 8 4 2 3 2" xfId="5088"/>
    <cellStyle name="Moeda 8 4 2 4" xfId="4733"/>
    <cellStyle name="Moeda 8 4 3" xfId="608"/>
    <cellStyle name="Moeda 8 4 3 2" xfId="609"/>
    <cellStyle name="Moeda 8 4 3 2 2" xfId="902"/>
    <cellStyle name="Moeda 8 4 3 2 2 2" xfId="4950"/>
    <cellStyle name="Moeda 8 4 3 2 3" xfId="1282"/>
    <cellStyle name="Moeda 8 4 3 2 3 2" xfId="5089"/>
    <cellStyle name="Moeda 8 4 3 2 4" xfId="4735"/>
    <cellStyle name="Moeda 8 4 3 3" xfId="610"/>
    <cellStyle name="Moeda 8 4 3 3 2" xfId="611"/>
    <cellStyle name="Moeda 8 4 3 3 2 2" xfId="612"/>
    <cellStyle name="Moeda 8 4 3 3 2 2 2" xfId="613"/>
    <cellStyle name="Moeda 8 4 3 3 2 2 2 2" xfId="4739"/>
    <cellStyle name="Moeda 8 4 3 3 2 2 3" xfId="4738"/>
    <cellStyle name="Moeda 8 4 3 3 2 3" xfId="614"/>
    <cellStyle name="Moeda 8 4 3 3 2 3 2" xfId="4740"/>
    <cellStyle name="Moeda 8 4 3 3 2 3 3" xfId="49431"/>
    <cellStyle name="Moeda 8 4 3 3 2 4" xfId="4737"/>
    <cellStyle name="Moeda 8 4 3 3 3" xfId="615"/>
    <cellStyle name="Moeda 8 4 3 3 3 2" xfId="4741"/>
    <cellStyle name="Moeda 8 4 3 3 4" xfId="4736"/>
    <cellStyle name="Moeda 8 4 3 4" xfId="616"/>
    <cellStyle name="Moeda 8 4 3 4 2" xfId="617"/>
    <cellStyle name="Moeda 8 4 3 4 2 2" xfId="4743"/>
    <cellStyle name="Moeda 8 4 3 4 2 3" xfId="49432"/>
    <cellStyle name="Moeda 8 4 3 4 3" xfId="618"/>
    <cellStyle name="Moeda 8 4 3 4 3 2" xfId="4744"/>
    <cellStyle name="Moeda 8 4 3 4 4" xfId="4742"/>
    <cellStyle name="Moeda 8 4 3 5" xfId="4734"/>
    <cellStyle name="Moeda 8 4 4" xfId="4732"/>
    <cellStyle name="Moeda 8 5" xfId="619"/>
    <cellStyle name="Moeda 8 5 2" xfId="903"/>
    <cellStyle name="Moeda 8 5 2 2" xfId="4951"/>
    <cellStyle name="Moeda 8 5 3" xfId="1283"/>
    <cellStyle name="Moeda 8 5 3 2" xfId="5090"/>
    <cellStyle name="Moeda 8 5 4" xfId="4745"/>
    <cellStyle name="Moeda 8 6" xfId="4728"/>
    <cellStyle name="Moeda 9" xfId="620"/>
    <cellStyle name="Moeda 9 2" xfId="621"/>
    <cellStyle name="Moeda 9 2 2" xfId="904"/>
    <cellStyle name="Moeda 9 2 2 2" xfId="4952"/>
    <cellStyle name="Moeda 9 2 3" xfId="1284"/>
    <cellStyle name="Moeda 9 2 3 2" xfId="5091"/>
    <cellStyle name="Moeda 9 2 4" xfId="4747"/>
    <cellStyle name="Moeda 9 3" xfId="622"/>
    <cellStyle name="Moeda 9 3 2" xfId="905"/>
    <cellStyle name="Moeda 9 3 2 2" xfId="4953"/>
    <cellStyle name="Moeda 9 3 3" xfId="1285"/>
    <cellStyle name="Moeda 9 3 3 2" xfId="5092"/>
    <cellStyle name="Moeda 9 3 4" xfId="4748"/>
    <cellStyle name="Moeda 9 4" xfId="623"/>
    <cellStyle name="Moeda 9 4 2" xfId="624"/>
    <cellStyle name="Moeda 9 4 2 2" xfId="4750"/>
    <cellStyle name="Moeda 9 4 3" xfId="4749"/>
    <cellStyle name="Moeda 9 5" xfId="4746"/>
    <cellStyle name="Moeda0" xfId="440"/>
    <cellStyle name="Moeda0 2" xfId="884"/>
    <cellStyle name="Moeda0 3" xfId="1286"/>
    <cellStyle name="Moeda0 3 2" xfId="5093"/>
    <cellStyle name="Neutra 10 2" xfId="2516"/>
    <cellStyle name="Neutra 11 2" xfId="2517"/>
    <cellStyle name="Neutra 12 2" xfId="2518"/>
    <cellStyle name="Neutra 13 2" xfId="2519"/>
    <cellStyle name="Neutra 14 2" xfId="2520"/>
    <cellStyle name="Neutra 15 2" xfId="2521"/>
    <cellStyle name="Neutra 16 2" xfId="2522"/>
    <cellStyle name="Neutra 17 2" xfId="2523"/>
    <cellStyle name="Neutra 2" xfId="418"/>
    <cellStyle name="Neutra 2 2" xfId="625"/>
    <cellStyle name="Neutra 2 2 2" xfId="2525"/>
    <cellStyle name="Neutra 2 3" xfId="868"/>
    <cellStyle name="Neutra 2 4" xfId="1087"/>
    <cellStyle name="Neutra 2 5" xfId="2524"/>
    <cellStyle name="Neutra 3" xfId="509"/>
    <cellStyle name="Neutra 3 2" xfId="1088"/>
    <cellStyle name="Neutra 3 2 2" xfId="2526"/>
    <cellStyle name="Neutra 4" xfId="1155"/>
    <cellStyle name="Neutra 4 2" xfId="2528"/>
    <cellStyle name="Neutra 4 3" xfId="2527"/>
    <cellStyle name="Neutra 5" xfId="1211"/>
    <cellStyle name="Neutra 5 2" xfId="2530"/>
    <cellStyle name="Neutra 5 3" xfId="2529"/>
    <cellStyle name="Neutra 6" xfId="1234"/>
    <cellStyle name="Neutra 6 2" xfId="2531"/>
    <cellStyle name="Neutra 7 2" xfId="2532"/>
    <cellStyle name="Neutra 8 2" xfId="2533"/>
    <cellStyle name="Neutra 9 2" xfId="2534"/>
    <cellStyle name="Neutral" xfId="510"/>
    <cellStyle name="Normal" xfId="0" builtinId="0"/>
    <cellStyle name="Normal 10" xfId="3"/>
    <cellStyle name="Normal 10 2" xfId="419"/>
    <cellStyle name="Normal 10 2 2" xfId="3406"/>
    <cellStyle name="Normal 10 2 2 2" xfId="6108"/>
    <cellStyle name="Normal 10 2 3" xfId="2536"/>
    <cellStyle name="Normal 10 2 3 2" xfId="5560"/>
    <cellStyle name="Normal 10 3" xfId="2537"/>
    <cellStyle name="Normal 10 3 2" xfId="5561"/>
    <cellStyle name="Normal 10 4" xfId="3405"/>
    <cellStyle name="Normal 10 5" xfId="2535"/>
    <cellStyle name="Normal 100" xfId="2538"/>
    <cellStyle name="Normal 100 2" xfId="5562"/>
    <cellStyle name="Normal 101" xfId="2539"/>
    <cellStyle name="Normal 101 2" xfId="5563"/>
    <cellStyle name="Normal 102" xfId="2540"/>
    <cellStyle name="Normal 102 2" xfId="5564"/>
    <cellStyle name="Normal 103" xfId="2541"/>
    <cellStyle name="Normal 103 2" xfId="5565"/>
    <cellStyle name="Normal 104" xfId="2542"/>
    <cellStyle name="Normal 104 2" xfId="5566"/>
    <cellStyle name="Normal 105" xfId="2543"/>
    <cellStyle name="Normal 105 2" xfId="5567"/>
    <cellStyle name="Normal 106" xfId="2544"/>
    <cellStyle name="Normal 106 2" xfId="5568"/>
    <cellStyle name="Normal 107" xfId="2545"/>
    <cellStyle name="Normal 107 2" xfId="5569"/>
    <cellStyle name="Normal 108" xfId="2546"/>
    <cellStyle name="Normal 108 2" xfId="5570"/>
    <cellStyle name="Normal 109" xfId="2547"/>
    <cellStyle name="Normal 109 2" xfId="5571"/>
    <cellStyle name="Normal 11" xfId="4"/>
    <cellStyle name="Normal 11 2" xfId="1619"/>
    <cellStyle name="Normal 11 2 2" xfId="2549"/>
    <cellStyle name="Normal 11 2 2 2" xfId="5572"/>
    <cellStyle name="Normal 11 3" xfId="2550"/>
    <cellStyle name="Normal 11 3 2" xfId="5573"/>
    <cellStyle name="Normal 11 4" xfId="2548"/>
    <cellStyle name="Normal 110" xfId="2551"/>
    <cellStyle name="Normal 110 2" xfId="5574"/>
    <cellStyle name="Normal 111" xfId="2552"/>
    <cellStyle name="Normal 111 2" xfId="5575"/>
    <cellStyle name="Normal 112" xfId="2553"/>
    <cellStyle name="Normal 112 2" xfId="5576"/>
    <cellStyle name="Normal 113" xfId="2554"/>
    <cellStyle name="Normal 113 2" xfId="5577"/>
    <cellStyle name="Normal 114" xfId="2555"/>
    <cellStyle name="Normal 114 2" xfId="5578"/>
    <cellStyle name="Normal 115" xfId="2556"/>
    <cellStyle name="Normal 115 2" xfId="5579"/>
    <cellStyle name="Normal 116" xfId="2557"/>
    <cellStyle name="Normal 116 2" xfId="5580"/>
    <cellStyle name="Normal 117" xfId="2558"/>
    <cellStyle name="Normal 117 2" xfId="5581"/>
    <cellStyle name="Normal 118" xfId="2559"/>
    <cellStyle name="Normal 118 2" xfId="5582"/>
    <cellStyle name="Normal 119" xfId="2560"/>
    <cellStyle name="Normal 119 2" xfId="5583"/>
    <cellStyle name="Normal 12" xfId="5"/>
    <cellStyle name="Normal 12 2" xfId="2562"/>
    <cellStyle name="Normal 12 2 2" xfId="3407"/>
    <cellStyle name="Normal 12 2 2 10" xfId="33863"/>
    <cellStyle name="Normal 12 2 2 11" xfId="37895"/>
    <cellStyle name="Normal 12 2 2 12" xfId="41927"/>
    <cellStyle name="Normal 12 2 2 13" xfId="45959"/>
    <cellStyle name="Normal 12 2 2 14" xfId="50037"/>
    <cellStyle name="Normal 12 2 2 2" xfId="6109"/>
    <cellStyle name="Normal 12 2 2 2 10" xfId="38846"/>
    <cellStyle name="Normal 12 2 2 2 11" xfId="42878"/>
    <cellStyle name="Normal 12 2 2 2 12" xfId="46910"/>
    <cellStyle name="Normal 12 2 2 2 13" xfId="50989"/>
    <cellStyle name="Normal 12 2 2 2 2" xfId="8604"/>
    <cellStyle name="Normal 12 2 2 2 2 10" xfId="44894"/>
    <cellStyle name="Normal 12 2 2 2 2 11" xfId="48926"/>
    <cellStyle name="Normal 12 2 2 2 2 12" xfId="53005"/>
    <cellStyle name="Normal 12 2 2 2 2 2" xfId="12638"/>
    <cellStyle name="Normal 12 2 2 2 2 3" xfId="16670"/>
    <cellStyle name="Normal 12 2 2 2 2 4" xfId="20702"/>
    <cellStyle name="Normal 12 2 2 2 2 5" xfId="24734"/>
    <cellStyle name="Normal 12 2 2 2 2 6" xfId="28766"/>
    <cellStyle name="Normal 12 2 2 2 2 7" xfId="32798"/>
    <cellStyle name="Normal 12 2 2 2 2 8" xfId="36830"/>
    <cellStyle name="Normal 12 2 2 2 2 9" xfId="40862"/>
    <cellStyle name="Normal 12 2 2 2 3" xfId="10622"/>
    <cellStyle name="Normal 12 2 2 2 4" xfId="14654"/>
    <cellStyle name="Normal 12 2 2 2 5" xfId="18686"/>
    <cellStyle name="Normal 12 2 2 2 6" xfId="22718"/>
    <cellStyle name="Normal 12 2 2 2 7" xfId="26750"/>
    <cellStyle name="Normal 12 2 2 2 8" xfId="30782"/>
    <cellStyle name="Normal 12 2 2 2 9" xfId="34814"/>
    <cellStyle name="Normal 12 2 2 3" xfId="7653"/>
    <cellStyle name="Normal 12 2 2 3 10" xfId="43943"/>
    <cellStyle name="Normal 12 2 2 3 11" xfId="47975"/>
    <cellStyle name="Normal 12 2 2 3 12" xfId="52054"/>
    <cellStyle name="Normal 12 2 2 3 2" xfId="11687"/>
    <cellStyle name="Normal 12 2 2 3 3" xfId="15719"/>
    <cellStyle name="Normal 12 2 2 3 4" xfId="19751"/>
    <cellStyle name="Normal 12 2 2 3 5" xfId="23783"/>
    <cellStyle name="Normal 12 2 2 3 6" xfId="27815"/>
    <cellStyle name="Normal 12 2 2 3 7" xfId="31847"/>
    <cellStyle name="Normal 12 2 2 3 8" xfId="35879"/>
    <cellStyle name="Normal 12 2 2 3 9" xfId="39911"/>
    <cellStyle name="Normal 12 2 2 4" xfId="9671"/>
    <cellStyle name="Normal 12 2 2 5" xfId="13703"/>
    <cellStyle name="Normal 12 2 2 6" xfId="17735"/>
    <cellStyle name="Normal 12 2 2 7" xfId="21767"/>
    <cellStyle name="Normal 12 2 2 8" xfId="25799"/>
    <cellStyle name="Normal 12 2 2 9" xfId="29831"/>
    <cellStyle name="Normal 12 2 3" xfId="5584"/>
    <cellStyle name="Normal 12 3" xfId="2561"/>
    <cellStyle name="Normal 120" xfId="2563"/>
    <cellStyle name="Normal 120 2" xfId="5585"/>
    <cellStyle name="Normal 121" xfId="2564"/>
    <cellStyle name="Normal 121 2" xfId="5586"/>
    <cellStyle name="Normal 122" xfId="2565"/>
    <cellStyle name="Normal 122 2" xfId="5587"/>
    <cellStyle name="Normal 123" xfId="2566"/>
    <cellStyle name="Normal 123 2" xfId="5588"/>
    <cellStyle name="Normal 124" xfId="2567"/>
    <cellStyle name="Normal 124 2" xfId="5589"/>
    <cellStyle name="Normal 125" xfId="2568"/>
    <cellStyle name="Normal 125 2" xfId="5590"/>
    <cellStyle name="Normal 126" xfId="2569"/>
    <cellStyle name="Normal 126 2" xfId="5591"/>
    <cellStyle name="Normal 127" xfId="2570"/>
    <cellStyle name="Normal 127 2" xfId="5592"/>
    <cellStyle name="Normal 128" xfId="2571"/>
    <cellStyle name="Normal 128 2" xfId="5593"/>
    <cellStyle name="Normal 129" xfId="2572"/>
    <cellStyle name="Normal 129 2" xfId="5594"/>
    <cellStyle name="Normal 13" xfId="6"/>
    <cellStyle name="Normal 13 2" xfId="2574"/>
    <cellStyle name="Normal 13 2 2" xfId="5596"/>
    <cellStyle name="Normal 13 3" xfId="2573"/>
    <cellStyle name="Normal 13 3 2" xfId="5595"/>
    <cellStyle name="Normal 130" xfId="2575"/>
    <cellStyle name="Normal 130 2" xfId="5597"/>
    <cellStyle name="Normal 131" xfId="2576"/>
    <cellStyle name="Normal 131 2" xfId="5598"/>
    <cellStyle name="Normal 132" xfId="2577"/>
    <cellStyle name="Normal 132 2" xfId="5599"/>
    <cellStyle name="Normal 133" xfId="2578"/>
    <cellStyle name="Normal 133 2" xfId="5600"/>
    <cellStyle name="Normal 134" xfId="2579"/>
    <cellStyle name="Normal 134 2" xfId="5601"/>
    <cellStyle name="Normal 135" xfId="2580"/>
    <cellStyle name="Normal 135 2" xfId="5602"/>
    <cellStyle name="Normal 136" xfId="2581"/>
    <cellStyle name="Normal 136 2" xfId="5603"/>
    <cellStyle name="Normal 137" xfId="2582"/>
    <cellStyle name="Normal 137 2" xfId="5604"/>
    <cellStyle name="Normal 138" xfId="2583"/>
    <cellStyle name="Normal 138 2" xfId="5605"/>
    <cellStyle name="Normal 139" xfId="2584"/>
    <cellStyle name="Normal 139 2" xfId="5606"/>
    <cellStyle name="Normal 14" xfId="7"/>
    <cellStyle name="Normal 14 2" xfId="2586"/>
    <cellStyle name="Normal 14 2 2" xfId="5608"/>
    <cellStyle name="Normal 14 3" xfId="2585"/>
    <cellStyle name="Normal 14 3 2" xfId="5607"/>
    <cellStyle name="Normal 140" xfId="2587"/>
    <cellStyle name="Normal 140 2" xfId="5609"/>
    <cellStyle name="Normal 141" xfId="2588"/>
    <cellStyle name="Normal 141 2" xfId="5610"/>
    <cellStyle name="Normal 142" xfId="2589"/>
    <cellStyle name="Normal 142 2" xfId="5611"/>
    <cellStyle name="Normal 143" xfId="2590"/>
    <cellStyle name="Normal 143 2" xfId="5612"/>
    <cellStyle name="Normal 144" xfId="2591"/>
    <cellStyle name="Normal 144 2" xfId="5613"/>
    <cellStyle name="Normal 145" xfId="2592"/>
    <cellStyle name="Normal 145 2" xfId="5614"/>
    <cellStyle name="Normal 146" xfId="2593"/>
    <cellStyle name="Normal 146 2" xfId="5615"/>
    <cellStyle name="Normal 147" xfId="2594"/>
    <cellStyle name="Normal 147 2" xfId="5616"/>
    <cellStyle name="Normal 148" xfId="2595"/>
    <cellStyle name="Normal 148 2" xfId="5617"/>
    <cellStyle name="Normal 149" xfId="2596"/>
    <cellStyle name="Normal 149 2" xfId="5618"/>
    <cellStyle name="Normal 15" xfId="8"/>
    <cellStyle name="Normal 15 2" xfId="2598"/>
    <cellStyle name="Normal 15 2 2" xfId="5620"/>
    <cellStyle name="Normal 15 3" xfId="2597"/>
    <cellStyle name="Normal 15 3 2" xfId="5619"/>
    <cellStyle name="Normal 150" xfId="2599"/>
    <cellStyle name="Normal 150 2" xfId="5621"/>
    <cellStyle name="Normal 151" xfId="2600"/>
    <cellStyle name="Normal 151 2" xfId="5622"/>
    <cellStyle name="Normal 152" xfId="2601"/>
    <cellStyle name="Normal 152 2" xfId="5623"/>
    <cellStyle name="Normal 153" xfId="2602"/>
    <cellStyle name="Normal 153 2" xfId="5624"/>
    <cellStyle name="Normal 154" xfId="2603"/>
    <cellStyle name="Normal 154 2" xfId="5625"/>
    <cellStyle name="Normal 155" xfId="2604"/>
    <cellStyle name="Normal 155 2" xfId="5626"/>
    <cellStyle name="Normal 156" xfId="2605"/>
    <cellStyle name="Normal 156 2" xfId="5627"/>
    <cellStyle name="Normal 157" xfId="2606"/>
    <cellStyle name="Normal 157 2" xfId="5628"/>
    <cellStyle name="Normal 158" xfId="2607"/>
    <cellStyle name="Normal 158 2" xfId="5629"/>
    <cellStyle name="Normal 159" xfId="2608"/>
    <cellStyle name="Normal 159 2" xfId="5630"/>
    <cellStyle name="Normal 16" xfId="9"/>
    <cellStyle name="Normal 16 2" xfId="2610"/>
    <cellStyle name="Normal 16 2 2" xfId="5632"/>
    <cellStyle name="Normal 16 3" xfId="2609"/>
    <cellStyle name="Normal 16 3 2" xfId="5631"/>
    <cellStyle name="Normal 160" xfId="2611"/>
    <cellStyle name="Normal 160 2" xfId="5633"/>
    <cellStyle name="Normal 161" xfId="2612"/>
    <cellStyle name="Normal 161 2" xfId="5634"/>
    <cellStyle name="Normal 162" xfId="2613"/>
    <cellStyle name="Normal 162 2" xfId="5635"/>
    <cellStyle name="Normal 163" xfId="2614"/>
    <cellStyle name="Normal 163 2" xfId="5636"/>
    <cellStyle name="Normal 164" xfId="2615"/>
    <cellStyle name="Normal 164 2" xfId="5637"/>
    <cellStyle name="Normal 165" xfId="2616"/>
    <cellStyle name="Normal 165 2" xfId="5638"/>
    <cellStyle name="Normal 166" xfId="2617"/>
    <cellStyle name="Normal 166 2" xfId="5639"/>
    <cellStyle name="Normal 167" xfId="2618"/>
    <cellStyle name="Normal 167 2" xfId="5640"/>
    <cellStyle name="Normal 168" xfId="2619"/>
    <cellStyle name="Normal 168 2" xfId="5641"/>
    <cellStyle name="Normal 169" xfId="2620"/>
    <cellStyle name="Normal 169 2" xfId="5642"/>
    <cellStyle name="Normal 17" xfId="10"/>
    <cellStyle name="Normal 17 2" xfId="2622"/>
    <cellStyle name="Normal 17 2 2" xfId="5644"/>
    <cellStyle name="Normal 17 3" xfId="2621"/>
    <cellStyle name="Normal 17 3 2" xfId="5643"/>
    <cellStyle name="Normal 170" xfId="2623"/>
    <cellStyle name="Normal 170 2" xfId="5645"/>
    <cellStyle name="Normal 171" xfId="2624"/>
    <cellStyle name="Normal 171 2" xfId="5646"/>
    <cellStyle name="Normal 172" xfId="2625"/>
    <cellStyle name="Normal 172 2" xfId="5647"/>
    <cellStyle name="Normal 173" xfId="2626"/>
    <cellStyle name="Normal 173 2" xfId="5648"/>
    <cellStyle name="Normal 174" xfId="2627"/>
    <cellStyle name="Normal 174 2" xfId="5649"/>
    <cellStyle name="Normal 175" xfId="2628"/>
    <cellStyle name="Normal 175 2" xfId="5650"/>
    <cellStyle name="Normal 176" xfId="2629"/>
    <cellStyle name="Normal 176 2" xfId="5651"/>
    <cellStyle name="Normal 177" xfId="2630"/>
    <cellStyle name="Normal 177 2" xfId="5652"/>
    <cellStyle name="Normal 178" xfId="2631"/>
    <cellStyle name="Normal 178 2" xfId="5653"/>
    <cellStyle name="Normal 179" xfId="2632"/>
    <cellStyle name="Normal 179 2" xfId="5654"/>
    <cellStyle name="Normal 18" xfId="11"/>
    <cellStyle name="Normal 18 2" xfId="2633"/>
    <cellStyle name="Normal 18 2 2" xfId="5655"/>
    <cellStyle name="Normal 180" xfId="2634"/>
    <cellStyle name="Normal 180 2" xfId="5656"/>
    <cellStyle name="Normal 181" xfId="2635"/>
    <cellStyle name="Normal 181 2" xfId="5657"/>
    <cellStyle name="Normal 182" xfId="2636"/>
    <cellStyle name="Normal 182 2" xfId="5658"/>
    <cellStyle name="Normal 183" xfId="2637"/>
    <cellStyle name="Normal 183 2" xfId="5659"/>
    <cellStyle name="Normal 184" xfId="2638"/>
    <cellStyle name="Normal 184 10" xfId="29809"/>
    <cellStyle name="Normal 184 11" xfId="33841"/>
    <cellStyle name="Normal 184 12" xfId="37873"/>
    <cellStyle name="Normal 184 13" xfId="41905"/>
    <cellStyle name="Normal 184 14" xfId="45937"/>
    <cellStyle name="Normal 184 15" xfId="50015"/>
    <cellStyle name="Normal 184 2" xfId="2639"/>
    <cellStyle name="Normal 184 2 2" xfId="5661"/>
    <cellStyle name="Normal 184 3" xfId="5660"/>
    <cellStyle name="Normal 184 3 10" xfId="38824"/>
    <cellStyle name="Normal 184 3 11" xfId="42856"/>
    <cellStyle name="Normal 184 3 12" xfId="46888"/>
    <cellStyle name="Normal 184 3 13" xfId="50967"/>
    <cellStyle name="Normal 184 3 2" xfId="8582"/>
    <cellStyle name="Normal 184 3 2 10" xfId="44872"/>
    <cellStyle name="Normal 184 3 2 11" xfId="48904"/>
    <cellStyle name="Normal 184 3 2 12" xfId="52983"/>
    <cellStyle name="Normal 184 3 2 2" xfId="12616"/>
    <cellStyle name="Normal 184 3 2 3" xfId="16648"/>
    <cellStyle name="Normal 184 3 2 4" xfId="20680"/>
    <cellStyle name="Normal 184 3 2 5" xfId="24712"/>
    <cellStyle name="Normal 184 3 2 6" xfId="28744"/>
    <cellStyle name="Normal 184 3 2 7" xfId="32776"/>
    <cellStyle name="Normal 184 3 2 8" xfId="36808"/>
    <cellStyle name="Normal 184 3 2 9" xfId="40840"/>
    <cellStyle name="Normal 184 3 3" xfId="10600"/>
    <cellStyle name="Normal 184 3 4" xfId="14632"/>
    <cellStyle name="Normal 184 3 5" xfId="18664"/>
    <cellStyle name="Normal 184 3 6" xfId="22696"/>
    <cellStyle name="Normal 184 3 7" xfId="26728"/>
    <cellStyle name="Normal 184 3 8" xfId="30760"/>
    <cellStyle name="Normal 184 3 9" xfId="34792"/>
    <cellStyle name="Normal 184 4" xfId="7631"/>
    <cellStyle name="Normal 184 4 10" xfId="43921"/>
    <cellStyle name="Normal 184 4 11" xfId="47953"/>
    <cellStyle name="Normal 184 4 12" xfId="52032"/>
    <cellStyle name="Normal 184 4 2" xfId="11665"/>
    <cellStyle name="Normal 184 4 3" xfId="15697"/>
    <cellStyle name="Normal 184 4 4" xfId="19729"/>
    <cellStyle name="Normal 184 4 5" xfId="23761"/>
    <cellStyle name="Normal 184 4 6" xfId="27793"/>
    <cellStyle name="Normal 184 4 7" xfId="31825"/>
    <cellStyle name="Normal 184 4 8" xfId="35857"/>
    <cellStyle name="Normal 184 4 9" xfId="39889"/>
    <cellStyle name="Normal 184 5" xfId="9649"/>
    <cellStyle name="Normal 184 6" xfId="13681"/>
    <cellStyle name="Normal 184 7" xfId="17713"/>
    <cellStyle name="Normal 184 8" xfId="21745"/>
    <cellStyle name="Normal 184 9" xfId="25777"/>
    <cellStyle name="Normal 185" xfId="2640"/>
    <cellStyle name="Normal 185 2" xfId="5662"/>
    <cellStyle name="Normal 186" xfId="2641"/>
    <cellStyle name="Normal 187" xfId="2642"/>
    <cellStyle name="Normal 188" xfId="2643"/>
    <cellStyle name="Normal 189" xfId="2644"/>
    <cellStyle name="Normal 19" xfId="12"/>
    <cellStyle name="Normal 19 2" xfId="2645"/>
    <cellStyle name="Normal 19 2 2" xfId="5663"/>
    <cellStyle name="Normal 190" xfId="2646"/>
    <cellStyle name="Normal 191" xfId="2647"/>
    <cellStyle name="Normal 192" xfId="2648"/>
    <cellStyle name="Normal 193" xfId="2649"/>
    <cellStyle name="Normal 194" xfId="2650"/>
    <cellStyle name="Normal 195" xfId="2651"/>
    <cellStyle name="Normal 196" xfId="2652"/>
    <cellStyle name="Normal 197" xfId="2653"/>
    <cellStyle name="Normal 198" xfId="2654"/>
    <cellStyle name="Normal 199" xfId="2655"/>
    <cellStyle name="Normal 2" xfId="13"/>
    <cellStyle name="Normal 2 10" xfId="1089"/>
    <cellStyle name="Normal 2 10 2" xfId="5054"/>
    <cellStyle name="Normal 2 11" xfId="2656"/>
    <cellStyle name="Normal 2 11 2" xfId="5664"/>
    <cellStyle name="Normal 2 12" xfId="2657"/>
    <cellStyle name="Normal 2 12 2" xfId="5665"/>
    <cellStyle name="Normal 2 13" xfId="2658"/>
    <cellStyle name="Normal 2 13 2" xfId="5666"/>
    <cellStyle name="Normal 2 14" xfId="2659"/>
    <cellStyle name="Normal 2 14 2" xfId="5667"/>
    <cellStyle name="Normal 2 15" xfId="2660"/>
    <cellStyle name="Normal 2 15 2" xfId="5668"/>
    <cellStyle name="Normal 2 16" xfId="2661"/>
    <cellStyle name="Normal 2 16 2" xfId="5669"/>
    <cellStyle name="Normal 2 17" xfId="2662"/>
    <cellStyle name="Normal 2 17 2" xfId="5670"/>
    <cellStyle name="Normal 2 18" xfId="2663"/>
    <cellStyle name="Normal 2 18 2" xfId="3409"/>
    <cellStyle name="Normal 2 18 2 10" xfId="33864"/>
    <cellStyle name="Normal 2 18 2 11" xfId="37896"/>
    <cellStyle name="Normal 2 18 2 12" xfId="41928"/>
    <cellStyle name="Normal 2 18 2 13" xfId="45960"/>
    <cellStyle name="Normal 2 18 2 14" xfId="50038"/>
    <cellStyle name="Normal 2 18 2 2" xfId="6110"/>
    <cellStyle name="Normal 2 18 2 2 10" xfId="38847"/>
    <cellStyle name="Normal 2 18 2 2 11" xfId="42879"/>
    <cellStyle name="Normal 2 18 2 2 12" xfId="46911"/>
    <cellStyle name="Normal 2 18 2 2 13" xfId="50990"/>
    <cellStyle name="Normal 2 18 2 2 2" xfId="8605"/>
    <cellStyle name="Normal 2 18 2 2 2 10" xfId="44895"/>
    <cellStyle name="Normal 2 18 2 2 2 11" xfId="48927"/>
    <cellStyle name="Normal 2 18 2 2 2 12" xfId="53006"/>
    <cellStyle name="Normal 2 18 2 2 2 2" xfId="12639"/>
    <cellStyle name="Normal 2 18 2 2 2 3" xfId="16671"/>
    <cellStyle name="Normal 2 18 2 2 2 4" xfId="20703"/>
    <cellStyle name="Normal 2 18 2 2 2 5" xfId="24735"/>
    <cellStyle name="Normal 2 18 2 2 2 6" xfId="28767"/>
    <cellStyle name="Normal 2 18 2 2 2 7" xfId="32799"/>
    <cellStyle name="Normal 2 18 2 2 2 8" xfId="36831"/>
    <cellStyle name="Normal 2 18 2 2 2 9" xfId="40863"/>
    <cellStyle name="Normal 2 18 2 2 3" xfId="10623"/>
    <cellStyle name="Normal 2 18 2 2 4" xfId="14655"/>
    <cellStyle name="Normal 2 18 2 2 5" xfId="18687"/>
    <cellStyle name="Normal 2 18 2 2 6" xfId="22719"/>
    <cellStyle name="Normal 2 18 2 2 7" xfId="26751"/>
    <cellStyle name="Normal 2 18 2 2 8" xfId="30783"/>
    <cellStyle name="Normal 2 18 2 2 9" xfId="34815"/>
    <cellStyle name="Normal 2 18 2 3" xfId="7654"/>
    <cellStyle name="Normal 2 18 2 3 10" xfId="43944"/>
    <cellStyle name="Normal 2 18 2 3 11" xfId="47976"/>
    <cellStyle name="Normal 2 18 2 3 12" xfId="52055"/>
    <cellStyle name="Normal 2 18 2 3 2" xfId="11688"/>
    <cellStyle name="Normal 2 18 2 3 3" xfId="15720"/>
    <cellStyle name="Normal 2 18 2 3 4" xfId="19752"/>
    <cellStyle name="Normal 2 18 2 3 5" xfId="23784"/>
    <cellStyle name="Normal 2 18 2 3 6" xfId="27816"/>
    <cellStyle name="Normal 2 18 2 3 7" xfId="31848"/>
    <cellStyle name="Normal 2 18 2 3 8" xfId="35880"/>
    <cellStyle name="Normal 2 18 2 3 9" xfId="39912"/>
    <cellStyle name="Normal 2 18 2 4" xfId="9672"/>
    <cellStyle name="Normal 2 18 2 5" xfId="13704"/>
    <cellStyle name="Normal 2 18 2 6" xfId="17736"/>
    <cellStyle name="Normal 2 18 2 7" xfId="21768"/>
    <cellStyle name="Normal 2 18 2 8" xfId="25800"/>
    <cellStyle name="Normal 2 18 2 9" xfId="29832"/>
    <cellStyle name="Normal 2 19" xfId="4014"/>
    <cellStyle name="Normal 2 2" xfId="14"/>
    <cellStyle name="Normal 2 2 10" xfId="2664"/>
    <cellStyle name="Normal 2 2 11" xfId="2665"/>
    <cellStyle name="Normal 2 2 12" xfId="2666"/>
    <cellStyle name="Normal 2 2 13" xfId="2667"/>
    <cellStyle name="Normal 2 2 14" xfId="2668"/>
    <cellStyle name="Normal 2 2 15" xfId="3411"/>
    <cellStyle name="Normal 2 2 16" xfId="3410"/>
    <cellStyle name="Normal 2 2 16 10" xfId="33865"/>
    <cellStyle name="Normal 2 2 16 11" xfId="37897"/>
    <cellStyle name="Normal 2 2 16 12" xfId="41929"/>
    <cellStyle name="Normal 2 2 16 13" xfId="45961"/>
    <cellStyle name="Normal 2 2 16 14" xfId="50039"/>
    <cellStyle name="Normal 2 2 16 2" xfId="6111"/>
    <cellStyle name="Normal 2 2 16 2 10" xfId="38848"/>
    <cellStyle name="Normal 2 2 16 2 11" xfId="42880"/>
    <cellStyle name="Normal 2 2 16 2 12" xfId="46912"/>
    <cellStyle name="Normal 2 2 16 2 13" xfId="50991"/>
    <cellStyle name="Normal 2 2 16 2 2" xfId="8606"/>
    <cellStyle name="Normal 2 2 16 2 2 10" xfId="44896"/>
    <cellStyle name="Normal 2 2 16 2 2 11" xfId="48928"/>
    <cellStyle name="Normal 2 2 16 2 2 12" xfId="53007"/>
    <cellStyle name="Normal 2 2 16 2 2 2" xfId="12640"/>
    <cellStyle name="Normal 2 2 16 2 2 3" xfId="16672"/>
    <cellStyle name="Normal 2 2 16 2 2 4" xfId="20704"/>
    <cellStyle name="Normal 2 2 16 2 2 5" xfId="24736"/>
    <cellStyle name="Normal 2 2 16 2 2 6" xfId="28768"/>
    <cellStyle name="Normal 2 2 16 2 2 7" xfId="32800"/>
    <cellStyle name="Normal 2 2 16 2 2 8" xfId="36832"/>
    <cellStyle name="Normal 2 2 16 2 2 9" xfId="40864"/>
    <cellStyle name="Normal 2 2 16 2 3" xfId="10624"/>
    <cellStyle name="Normal 2 2 16 2 4" xfId="14656"/>
    <cellStyle name="Normal 2 2 16 2 5" xfId="18688"/>
    <cellStyle name="Normal 2 2 16 2 6" xfId="22720"/>
    <cellStyle name="Normal 2 2 16 2 7" xfId="26752"/>
    <cellStyle name="Normal 2 2 16 2 8" xfId="30784"/>
    <cellStyle name="Normal 2 2 16 2 9" xfId="34816"/>
    <cellStyle name="Normal 2 2 16 3" xfId="7655"/>
    <cellStyle name="Normal 2 2 16 3 10" xfId="43945"/>
    <cellStyle name="Normal 2 2 16 3 11" xfId="47977"/>
    <cellStyle name="Normal 2 2 16 3 12" xfId="52056"/>
    <cellStyle name="Normal 2 2 16 3 2" xfId="11689"/>
    <cellStyle name="Normal 2 2 16 3 3" xfId="15721"/>
    <cellStyle name="Normal 2 2 16 3 4" xfId="19753"/>
    <cellStyle name="Normal 2 2 16 3 5" xfId="23785"/>
    <cellStyle name="Normal 2 2 16 3 6" xfId="27817"/>
    <cellStyle name="Normal 2 2 16 3 7" xfId="31849"/>
    <cellStyle name="Normal 2 2 16 3 8" xfId="35881"/>
    <cellStyle name="Normal 2 2 16 3 9" xfId="39913"/>
    <cellStyle name="Normal 2 2 16 4" xfId="9673"/>
    <cellStyle name="Normal 2 2 16 5" xfId="13705"/>
    <cellStyle name="Normal 2 2 16 6" xfId="17737"/>
    <cellStyle name="Normal 2 2 16 7" xfId="21769"/>
    <cellStyle name="Normal 2 2 16 8" xfId="25801"/>
    <cellStyle name="Normal 2 2 16 9" xfId="29833"/>
    <cellStyle name="Normal 2 2 2" xfId="627"/>
    <cellStyle name="Normal 2 2 2 10" xfId="2670"/>
    <cellStyle name="Normal 2 2 2 11" xfId="2671"/>
    <cellStyle name="Normal 2 2 2 12" xfId="2672"/>
    <cellStyle name="Normal 2 2 2 13" xfId="2669"/>
    <cellStyle name="Normal 2 2 2 14" xfId="4752"/>
    <cellStyle name="Normal 2 2 2 2" xfId="906"/>
    <cellStyle name="Normal 2 2 2 2 2" xfId="2674"/>
    <cellStyle name="Normal 2 2 2 2 3" xfId="2673"/>
    <cellStyle name="Normal 2 2 2 2 4" xfId="4954"/>
    <cellStyle name="Normal 2 2 2 3" xfId="1287"/>
    <cellStyle name="Normal 2 2 2 3 2" xfId="2675"/>
    <cellStyle name="Normal 2 2 2 3 3" xfId="5094"/>
    <cellStyle name="Normal 2 2 2 4" xfId="2676"/>
    <cellStyle name="Normal 2 2 2 5" xfId="2677"/>
    <cellStyle name="Normal 2 2 2 6" xfId="2678"/>
    <cellStyle name="Normal 2 2 2 7" xfId="2679"/>
    <cellStyle name="Normal 2 2 2 8" xfId="2680"/>
    <cellStyle name="Normal 2 2 2 9" xfId="2681"/>
    <cellStyle name="Normal 2 2 3" xfId="628"/>
    <cellStyle name="Normal 2 2 3 2" xfId="629"/>
    <cellStyle name="Normal 2 2 3 2 2" xfId="907"/>
    <cellStyle name="Normal 2 2 3 2 2 2" xfId="4955"/>
    <cellStyle name="Normal 2 2 3 2 3" xfId="1288"/>
    <cellStyle name="Normal 2 2 3 2 3 2" xfId="5095"/>
    <cellStyle name="Normal 2 2 3 2 4" xfId="4754"/>
    <cellStyle name="Normal 2 2 3 3" xfId="630"/>
    <cellStyle name="Normal 2 2 3 3 2" xfId="631"/>
    <cellStyle name="Normal 2 2 3 3 2 2" xfId="632"/>
    <cellStyle name="Normal 2 2 3 3 2 2 2" xfId="633"/>
    <cellStyle name="Normal 2 2 3 3 2 2 2 2" xfId="4758"/>
    <cellStyle name="Normal 2 2 3 3 2 2 3" xfId="4757"/>
    <cellStyle name="Normal 2 2 3 3 2 3" xfId="634"/>
    <cellStyle name="Normal 2 2 3 3 2 3 2" xfId="4759"/>
    <cellStyle name="Normal 2 2 3 3 2 3 3" xfId="49433"/>
    <cellStyle name="Normal 2 2 3 3 2 4" xfId="4756"/>
    <cellStyle name="Normal 2 2 3 3 3" xfId="635"/>
    <cellStyle name="Normal 2 2 3 3 3 2" xfId="4760"/>
    <cellStyle name="Normal 2 2 3 3 4" xfId="4755"/>
    <cellStyle name="Normal 2 2 3 4" xfId="636"/>
    <cellStyle name="Normal 2 2 3 4 2" xfId="637"/>
    <cellStyle name="Normal 2 2 3 4 2 2" xfId="4762"/>
    <cellStyle name="Normal 2 2 3 4 2 3" xfId="49434"/>
    <cellStyle name="Normal 2 2 3 4 3" xfId="638"/>
    <cellStyle name="Normal 2 2 3 4 3 2" xfId="4763"/>
    <cellStyle name="Normal 2 2 3 4 4" xfId="4761"/>
    <cellStyle name="Normal 2 2 3 5" xfId="2682"/>
    <cellStyle name="Normal 2 2 3 6" xfId="4753"/>
    <cellStyle name="Normal 2 2 4" xfId="626"/>
    <cellStyle name="Normal 2 2 4 2" xfId="2683"/>
    <cellStyle name="Normal 2 2 4 3" xfId="4751"/>
    <cellStyle name="Normal 2 2 5" xfId="2684"/>
    <cellStyle name="Normal 2 2 5 2" xfId="2685"/>
    <cellStyle name="Normal 2 2 6" xfId="2686"/>
    <cellStyle name="Normal 2 2 7" xfId="2687"/>
    <cellStyle name="Normal 2 2 8" xfId="2688"/>
    <cellStyle name="Normal 2 2 9" xfId="2689"/>
    <cellStyle name="Normal 2 20" xfId="3408"/>
    <cellStyle name="Normal 2 3" xfId="639"/>
    <cellStyle name="Normal 2 3 10" xfId="2690"/>
    <cellStyle name="Normal 2 3 11" xfId="2691"/>
    <cellStyle name="Normal 2 3 12" xfId="2692"/>
    <cellStyle name="Normal 2 3 13" xfId="3412"/>
    <cellStyle name="Normal 2 3 14" xfId="4764"/>
    <cellStyle name="Normal 2 3 2" xfId="908"/>
    <cellStyle name="Normal 2 3 2 2" xfId="2693"/>
    <cellStyle name="Normal 2 3 2 3" xfId="4956"/>
    <cellStyle name="Normal 2 3 3" xfId="1289"/>
    <cellStyle name="Normal 2 3 3 2" xfId="2694"/>
    <cellStyle name="Normal 2 3 3 3" xfId="5096"/>
    <cellStyle name="Normal 2 3 4" xfId="1694"/>
    <cellStyle name="Normal 2 3 4 2" xfId="2695"/>
    <cellStyle name="Normal 2 3 5" xfId="2696"/>
    <cellStyle name="Normal 2 3 6" xfId="2697"/>
    <cellStyle name="Normal 2 3 7" xfId="2698"/>
    <cellStyle name="Normal 2 3 8" xfId="2699"/>
    <cellStyle name="Normal 2 3 9" xfId="2700"/>
    <cellStyle name="Normal 2 4" xfId="15"/>
    <cellStyle name="Normal 2 4 2" xfId="182"/>
    <cellStyle name="Normal 2 4 3" xfId="4225"/>
    <cellStyle name="Normal 2 4 4" xfId="104"/>
    <cellStyle name="Normal 2 4 5" xfId="49435"/>
    <cellStyle name="Normal 2 5" xfId="2701"/>
    <cellStyle name="Normal 2 5 2" xfId="2702"/>
    <cellStyle name="Normal 2 5 2 2" xfId="5672"/>
    <cellStyle name="Normal 2 5 3" xfId="5671"/>
    <cellStyle name="Normal 2 6" xfId="2703"/>
    <cellStyle name="Normal 2 6 2" xfId="5673"/>
    <cellStyle name="Normal 2 7" xfId="2704"/>
    <cellStyle name="Normal 2 7 2" xfId="5674"/>
    <cellStyle name="Normal 2 8" xfId="2705"/>
    <cellStyle name="Normal 2 8 2" xfId="5675"/>
    <cellStyle name="Normal 2 9" xfId="2706"/>
    <cellStyle name="Normal 2 9 2" xfId="5676"/>
    <cellStyle name="Normal 20" xfId="16"/>
    <cellStyle name="Normal 20 2" xfId="2707"/>
    <cellStyle name="Normal 20 2 2" xfId="5677"/>
    <cellStyle name="Normal 200" xfId="2708"/>
    <cellStyle name="Normal 201" xfId="2709"/>
    <cellStyle name="Normal 202" xfId="2710"/>
    <cellStyle name="Normal 203" xfId="2711"/>
    <cellStyle name="Normal 204" xfId="2712"/>
    <cellStyle name="Normal 205" xfId="2713"/>
    <cellStyle name="Normal 206" xfId="3388"/>
    <cellStyle name="Normal 206 2" xfId="3413"/>
    <cellStyle name="Normal 206 2 10" xfId="33866"/>
    <cellStyle name="Normal 206 2 11" xfId="37898"/>
    <cellStyle name="Normal 206 2 12" xfId="41930"/>
    <cellStyle name="Normal 206 2 13" xfId="45962"/>
    <cellStyle name="Normal 206 2 14" xfId="50040"/>
    <cellStyle name="Normal 206 2 2" xfId="6112"/>
    <cellStyle name="Normal 206 2 2 10" xfId="38849"/>
    <cellStyle name="Normal 206 2 2 11" xfId="42881"/>
    <cellStyle name="Normal 206 2 2 12" xfId="46913"/>
    <cellStyle name="Normal 206 2 2 13" xfId="50992"/>
    <cellStyle name="Normal 206 2 2 2" xfId="8607"/>
    <cellStyle name="Normal 206 2 2 2 10" xfId="44897"/>
    <cellStyle name="Normal 206 2 2 2 11" xfId="48929"/>
    <cellStyle name="Normal 206 2 2 2 12" xfId="53008"/>
    <cellStyle name="Normal 206 2 2 2 2" xfId="12641"/>
    <cellStyle name="Normal 206 2 2 2 3" xfId="16673"/>
    <cellStyle name="Normal 206 2 2 2 4" xfId="20705"/>
    <cellStyle name="Normal 206 2 2 2 5" xfId="24737"/>
    <cellStyle name="Normal 206 2 2 2 6" xfId="28769"/>
    <cellStyle name="Normal 206 2 2 2 7" xfId="32801"/>
    <cellStyle name="Normal 206 2 2 2 8" xfId="36833"/>
    <cellStyle name="Normal 206 2 2 2 9" xfId="40865"/>
    <cellStyle name="Normal 206 2 2 3" xfId="10625"/>
    <cellStyle name="Normal 206 2 2 4" xfId="14657"/>
    <cellStyle name="Normal 206 2 2 5" xfId="18689"/>
    <cellStyle name="Normal 206 2 2 6" xfId="22721"/>
    <cellStyle name="Normal 206 2 2 7" xfId="26753"/>
    <cellStyle name="Normal 206 2 2 8" xfId="30785"/>
    <cellStyle name="Normal 206 2 2 9" xfId="34817"/>
    <cellStyle name="Normal 206 2 3" xfId="7656"/>
    <cellStyle name="Normal 206 2 3 10" xfId="43946"/>
    <cellStyle name="Normal 206 2 3 11" xfId="47978"/>
    <cellStyle name="Normal 206 2 3 12" xfId="52057"/>
    <cellStyle name="Normal 206 2 3 2" xfId="11690"/>
    <cellStyle name="Normal 206 2 3 3" xfId="15722"/>
    <cellStyle name="Normal 206 2 3 4" xfId="19754"/>
    <cellStyle name="Normal 206 2 3 5" xfId="23786"/>
    <cellStyle name="Normal 206 2 3 6" xfId="27818"/>
    <cellStyle name="Normal 206 2 3 7" xfId="31850"/>
    <cellStyle name="Normal 206 2 3 8" xfId="35882"/>
    <cellStyle name="Normal 206 2 3 9" xfId="39914"/>
    <cellStyle name="Normal 206 2 4" xfId="9674"/>
    <cellStyle name="Normal 206 2 5" xfId="13706"/>
    <cellStyle name="Normal 206 2 6" xfId="17738"/>
    <cellStyle name="Normal 206 2 7" xfId="21770"/>
    <cellStyle name="Normal 206 2 8" xfId="25802"/>
    <cellStyle name="Normal 206 2 9" xfId="29834"/>
    <cellStyle name="Normal 206 3" xfId="6097"/>
    <cellStyle name="Normal 207" xfId="3391"/>
    <cellStyle name="Normal 207 2" xfId="3414"/>
    <cellStyle name="Normal 207 2 2" xfId="6113"/>
    <cellStyle name="Normal 208" xfId="3393"/>
    <cellStyle name="Normal 208 2" xfId="3415"/>
    <cellStyle name="Normal 208 2 2" xfId="6114"/>
    <cellStyle name="Normal 208 3" xfId="6100"/>
    <cellStyle name="Normal 209" xfId="3416"/>
    <cellStyle name="Normal 209 2" xfId="6115"/>
    <cellStyle name="Normal 21" xfId="17"/>
    <cellStyle name="Normal 21 2" xfId="2715"/>
    <cellStyle name="Normal 21 2 2" xfId="5679"/>
    <cellStyle name="Normal 21 3" xfId="2714"/>
    <cellStyle name="Normal 21 3 2" xfId="5678"/>
    <cellStyle name="Normal 210" xfId="1764"/>
    <cellStyle name="Normal 210 10" xfId="33720"/>
    <cellStyle name="Normal 210 11" xfId="37752"/>
    <cellStyle name="Normal 210 12" xfId="41784"/>
    <cellStyle name="Normal 210 13" xfId="45816"/>
    <cellStyle name="Normal 210 14" xfId="49894"/>
    <cellStyle name="Normal 210 2" xfId="5435"/>
    <cellStyle name="Normal 210 2 10" xfId="38703"/>
    <cellStyle name="Normal 210 2 11" xfId="42735"/>
    <cellStyle name="Normal 210 2 12" xfId="46767"/>
    <cellStyle name="Normal 210 2 13" xfId="50846"/>
    <cellStyle name="Normal 210 2 2" xfId="8461"/>
    <cellStyle name="Normal 210 2 2 10" xfId="44751"/>
    <cellStyle name="Normal 210 2 2 11" xfId="48783"/>
    <cellStyle name="Normal 210 2 2 12" xfId="52862"/>
    <cellStyle name="Normal 210 2 2 2" xfId="12495"/>
    <cellStyle name="Normal 210 2 2 3" xfId="16527"/>
    <cellStyle name="Normal 210 2 2 4" xfId="20559"/>
    <cellStyle name="Normal 210 2 2 5" xfId="24591"/>
    <cellStyle name="Normal 210 2 2 6" xfId="28623"/>
    <cellStyle name="Normal 210 2 2 7" xfId="32655"/>
    <cellStyle name="Normal 210 2 2 8" xfId="36687"/>
    <cellStyle name="Normal 210 2 2 9" xfId="40719"/>
    <cellStyle name="Normal 210 2 3" xfId="10479"/>
    <cellStyle name="Normal 210 2 4" xfId="14511"/>
    <cellStyle name="Normal 210 2 5" xfId="18543"/>
    <cellStyle name="Normal 210 2 6" xfId="22575"/>
    <cellStyle name="Normal 210 2 7" xfId="26607"/>
    <cellStyle name="Normal 210 2 8" xfId="30639"/>
    <cellStyle name="Normal 210 2 9" xfId="34671"/>
    <cellStyle name="Normal 210 3" xfId="7510"/>
    <cellStyle name="Normal 210 3 10" xfId="43800"/>
    <cellStyle name="Normal 210 3 11" xfId="47832"/>
    <cellStyle name="Normal 210 3 12" xfId="51911"/>
    <cellStyle name="Normal 210 3 2" xfId="11544"/>
    <cellStyle name="Normal 210 3 3" xfId="15576"/>
    <cellStyle name="Normal 210 3 4" xfId="19608"/>
    <cellStyle name="Normal 210 3 5" xfId="23640"/>
    <cellStyle name="Normal 210 3 6" xfId="27672"/>
    <cellStyle name="Normal 210 3 7" xfId="31704"/>
    <cellStyle name="Normal 210 3 8" xfId="35736"/>
    <cellStyle name="Normal 210 3 9" xfId="39768"/>
    <cellStyle name="Normal 210 4" xfId="9528"/>
    <cellStyle name="Normal 210 5" xfId="13560"/>
    <cellStyle name="Normal 210 6" xfId="17592"/>
    <cellStyle name="Normal 210 7" xfId="21624"/>
    <cellStyle name="Normal 210 8" xfId="25656"/>
    <cellStyle name="Normal 210 9" xfId="29688"/>
    <cellStyle name="Normal 211" xfId="53499"/>
    <cellStyle name="Normal 212" xfId="53500"/>
    <cellStyle name="Normal 213" xfId="53502"/>
    <cellStyle name="Normal 22" xfId="18"/>
    <cellStyle name="Normal 22 2" xfId="2717"/>
    <cellStyle name="Normal 22 2 2" xfId="5681"/>
    <cellStyle name="Normal 22 3" xfId="2716"/>
    <cellStyle name="Normal 22 3 2" xfId="5680"/>
    <cellStyle name="Normal 23" xfId="19"/>
    <cellStyle name="Normal 23 2" xfId="41"/>
    <cellStyle name="Normal 23 2 2" xfId="195"/>
    <cellStyle name="Normal 23 2 3" xfId="4237"/>
    <cellStyle name="Normal 23 2 4" xfId="116"/>
    <cellStyle name="Normal 23 2 5" xfId="49436"/>
    <cellStyle name="Normal 24" xfId="65"/>
    <cellStyle name="Normal 24 10" xfId="4261"/>
    <cellStyle name="Normal 24 10 10" xfId="34113"/>
    <cellStyle name="Normal 24 10 11" xfId="38145"/>
    <cellStyle name="Normal 24 10 12" xfId="42177"/>
    <cellStyle name="Normal 24 10 13" xfId="46209"/>
    <cellStyle name="Normal 24 10 14" xfId="50287"/>
    <cellStyle name="Normal 24 10 2" xfId="6838"/>
    <cellStyle name="Normal 24 10 2 10" xfId="39096"/>
    <cellStyle name="Normal 24 10 2 11" xfId="43128"/>
    <cellStyle name="Normal 24 10 2 12" xfId="47160"/>
    <cellStyle name="Normal 24 10 2 13" xfId="51239"/>
    <cellStyle name="Normal 24 10 2 2" xfId="8854"/>
    <cellStyle name="Normal 24 10 2 2 10" xfId="45144"/>
    <cellStyle name="Normal 24 10 2 2 11" xfId="49176"/>
    <cellStyle name="Normal 24 10 2 2 12" xfId="53255"/>
    <cellStyle name="Normal 24 10 2 2 2" xfId="12888"/>
    <cellStyle name="Normal 24 10 2 2 3" xfId="16920"/>
    <cellStyle name="Normal 24 10 2 2 4" xfId="20952"/>
    <cellStyle name="Normal 24 10 2 2 5" xfId="24984"/>
    <cellStyle name="Normal 24 10 2 2 6" xfId="29016"/>
    <cellStyle name="Normal 24 10 2 2 7" xfId="33048"/>
    <cellStyle name="Normal 24 10 2 2 8" xfId="37080"/>
    <cellStyle name="Normal 24 10 2 2 9" xfId="41112"/>
    <cellStyle name="Normal 24 10 2 3" xfId="10872"/>
    <cellStyle name="Normal 24 10 2 4" xfId="14904"/>
    <cellStyle name="Normal 24 10 2 5" xfId="18936"/>
    <cellStyle name="Normal 24 10 2 6" xfId="22968"/>
    <cellStyle name="Normal 24 10 2 7" xfId="27000"/>
    <cellStyle name="Normal 24 10 2 8" xfId="31032"/>
    <cellStyle name="Normal 24 10 2 9" xfId="35064"/>
    <cellStyle name="Normal 24 10 3" xfId="7903"/>
    <cellStyle name="Normal 24 10 3 10" xfId="44193"/>
    <cellStyle name="Normal 24 10 3 11" xfId="48225"/>
    <cellStyle name="Normal 24 10 3 12" xfId="52304"/>
    <cellStyle name="Normal 24 10 3 2" xfId="11937"/>
    <cellStyle name="Normal 24 10 3 3" xfId="15969"/>
    <cellStyle name="Normal 24 10 3 4" xfId="20001"/>
    <cellStyle name="Normal 24 10 3 5" xfId="24033"/>
    <cellStyle name="Normal 24 10 3 6" xfId="28065"/>
    <cellStyle name="Normal 24 10 3 7" xfId="32097"/>
    <cellStyle name="Normal 24 10 3 8" xfId="36129"/>
    <cellStyle name="Normal 24 10 3 9" xfId="40161"/>
    <cellStyle name="Normal 24 10 4" xfId="9921"/>
    <cellStyle name="Normal 24 10 5" xfId="13953"/>
    <cellStyle name="Normal 24 10 6" xfId="17985"/>
    <cellStyle name="Normal 24 10 7" xfId="22017"/>
    <cellStyle name="Normal 24 10 8" xfId="26049"/>
    <cellStyle name="Normal 24 10 9" xfId="30081"/>
    <cellStyle name="Normal 24 11" xfId="4407"/>
    <cellStyle name="Normal 24 11 10" xfId="34251"/>
    <cellStyle name="Normal 24 11 11" xfId="38283"/>
    <cellStyle name="Normal 24 11 12" xfId="42315"/>
    <cellStyle name="Normal 24 11 13" xfId="46347"/>
    <cellStyle name="Normal 24 11 14" xfId="50426"/>
    <cellStyle name="Normal 24 11 2" xfId="6976"/>
    <cellStyle name="Normal 24 11 2 10" xfId="39234"/>
    <cellStyle name="Normal 24 11 2 11" xfId="43266"/>
    <cellStyle name="Normal 24 11 2 12" xfId="47298"/>
    <cellStyle name="Normal 24 11 2 13" xfId="51377"/>
    <cellStyle name="Normal 24 11 2 2" xfId="8992"/>
    <cellStyle name="Normal 24 11 2 2 10" xfId="45282"/>
    <cellStyle name="Normal 24 11 2 2 11" xfId="49314"/>
    <cellStyle name="Normal 24 11 2 2 12" xfId="53393"/>
    <cellStyle name="Normal 24 11 2 2 2" xfId="13026"/>
    <cellStyle name="Normal 24 11 2 2 3" xfId="17058"/>
    <cellStyle name="Normal 24 11 2 2 4" xfId="21090"/>
    <cellStyle name="Normal 24 11 2 2 5" xfId="25122"/>
    <cellStyle name="Normal 24 11 2 2 6" xfId="29154"/>
    <cellStyle name="Normal 24 11 2 2 7" xfId="33186"/>
    <cellStyle name="Normal 24 11 2 2 8" xfId="37218"/>
    <cellStyle name="Normal 24 11 2 2 9" xfId="41250"/>
    <cellStyle name="Normal 24 11 2 3" xfId="11010"/>
    <cellStyle name="Normal 24 11 2 4" xfId="15042"/>
    <cellStyle name="Normal 24 11 2 5" xfId="19074"/>
    <cellStyle name="Normal 24 11 2 6" xfId="23106"/>
    <cellStyle name="Normal 24 11 2 7" xfId="27138"/>
    <cellStyle name="Normal 24 11 2 8" xfId="31170"/>
    <cellStyle name="Normal 24 11 2 9" xfId="35202"/>
    <cellStyle name="Normal 24 11 3" xfId="8041"/>
    <cellStyle name="Normal 24 11 3 10" xfId="44331"/>
    <cellStyle name="Normal 24 11 3 11" xfId="48363"/>
    <cellStyle name="Normal 24 11 3 12" xfId="52442"/>
    <cellStyle name="Normal 24 11 3 2" xfId="12075"/>
    <cellStyle name="Normal 24 11 3 3" xfId="16107"/>
    <cellStyle name="Normal 24 11 3 4" xfId="20139"/>
    <cellStyle name="Normal 24 11 3 5" xfId="24171"/>
    <cellStyle name="Normal 24 11 3 6" xfId="28203"/>
    <cellStyle name="Normal 24 11 3 7" xfId="32235"/>
    <cellStyle name="Normal 24 11 3 8" xfId="36267"/>
    <cellStyle name="Normal 24 11 3 9" xfId="40299"/>
    <cellStyle name="Normal 24 11 4" xfId="10059"/>
    <cellStyle name="Normal 24 11 5" xfId="14091"/>
    <cellStyle name="Normal 24 11 6" xfId="18123"/>
    <cellStyle name="Normal 24 11 7" xfId="22155"/>
    <cellStyle name="Normal 24 11 8" xfId="26187"/>
    <cellStyle name="Normal 24 11 9" xfId="30219"/>
    <cellStyle name="Normal 24 12" xfId="4545"/>
    <cellStyle name="Normal 24 12 10" xfId="38421"/>
    <cellStyle name="Normal 24 12 11" xfId="42453"/>
    <cellStyle name="Normal 24 12 12" xfId="46485"/>
    <cellStyle name="Normal 24 12 13" xfId="50564"/>
    <cellStyle name="Normal 24 12 2" xfId="8179"/>
    <cellStyle name="Normal 24 12 2 10" xfId="44469"/>
    <cellStyle name="Normal 24 12 2 11" xfId="48501"/>
    <cellStyle name="Normal 24 12 2 12" xfId="52580"/>
    <cellStyle name="Normal 24 12 2 2" xfId="12213"/>
    <cellStyle name="Normal 24 12 2 3" xfId="16245"/>
    <cellStyle name="Normal 24 12 2 4" xfId="20277"/>
    <cellStyle name="Normal 24 12 2 5" xfId="24309"/>
    <cellStyle name="Normal 24 12 2 6" xfId="28341"/>
    <cellStyle name="Normal 24 12 2 7" xfId="32373"/>
    <cellStyle name="Normal 24 12 2 8" xfId="36405"/>
    <cellStyle name="Normal 24 12 2 9" xfId="40437"/>
    <cellStyle name="Normal 24 12 3" xfId="10197"/>
    <cellStyle name="Normal 24 12 4" xfId="14229"/>
    <cellStyle name="Normal 24 12 5" xfId="18261"/>
    <cellStyle name="Normal 24 12 6" xfId="22293"/>
    <cellStyle name="Normal 24 12 7" xfId="26325"/>
    <cellStyle name="Normal 24 12 8" xfId="30357"/>
    <cellStyle name="Normal 24 12 9" xfId="34389"/>
    <cellStyle name="Normal 24 13" xfId="273"/>
    <cellStyle name="Normal 24 13 10" xfId="37478"/>
    <cellStyle name="Normal 24 13 11" xfId="41510"/>
    <cellStyle name="Normal 24 13 12" xfId="45542"/>
    <cellStyle name="Normal 24 13 13" xfId="49620"/>
    <cellStyle name="Normal 24 13 2" xfId="7236"/>
    <cellStyle name="Normal 24 13 2 10" xfId="43526"/>
    <cellStyle name="Normal 24 13 2 11" xfId="47558"/>
    <cellStyle name="Normal 24 13 2 12" xfId="51637"/>
    <cellStyle name="Normal 24 13 2 2" xfId="11270"/>
    <cellStyle name="Normal 24 13 2 3" xfId="15302"/>
    <cellStyle name="Normal 24 13 2 4" xfId="19334"/>
    <cellStyle name="Normal 24 13 2 5" xfId="23366"/>
    <cellStyle name="Normal 24 13 2 6" xfId="27398"/>
    <cellStyle name="Normal 24 13 2 7" xfId="31430"/>
    <cellStyle name="Normal 24 13 2 8" xfId="35462"/>
    <cellStyle name="Normal 24 13 2 9" xfId="39494"/>
    <cellStyle name="Normal 24 13 3" xfId="9254"/>
    <cellStyle name="Normal 24 13 4" xfId="13286"/>
    <cellStyle name="Normal 24 13 5" xfId="17318"/>
    <cellStyle name="Normal 24 13 6" xfId="21350"/>
    <cellStyle name="Normal 24 13 7" xfId="25382"/>
    <cellStyle name="Normal 24 13 8" xfId="29414"/>
    <cellStyle name="Normal 24 13 9" xfId="33446"/>
    <cellStyle name="Normal 24 14" xfId="7114"/>
    <cellStyle name="Normal 24 14 10" xfId="43404"/>
    <cellStyle name="Normal 24 14 11" xfId="47436"/>
    <cellStyle name="Normal 24 14 12" xfId="51515"/>
    <cellStyle name="Normal 24 14 2" xfId="11148"/>
    <cellStyle name="Normal 24 14 3" xfId="15180"/>
    <cellStyle name="Normal 24 14 4" xfId="19212"/>
    <cellStyle name="Normal 24 14 5" xfId="23244"/>
    <cellStyle name="Normal 24 14 6" xfId="27276"/>
    <cellStyle name="Normal 24 14 7" xfId="31308"/>
    <cellStyle name="Normal 24 14 8" xfId="35340"/>
    <cellStyle name="Normal 24 14 9" xfId="39372"/>
    <cellStyle name="Normal 24 15" xfId="140"/>
    <cellStyle name="Normal 24 16" xfId="9132"/>
    <cellStyle name="Normal 24 17" xfId="13164"/>
    <cellStyle name="Normal 24 18" xfId="17196"/>
    <cellStyle name="Normal 24 19" xfId="21228"/>
    <cellStyle name="Normal 24 2" xfId="100"/>
    <cellStyle name="Normal 24 2 10" xfId="4580"/>
    <cellStyle name="Normal 24 2 10 10" xfId="38456"/>
    <cellStyle name="Normal 24 2 10 11" xfId="42488"/>
    <cellStyle name="Normal 24 2 10 12" xfId="46520"/>
    <cellStyle name="Normal 24 2 10 13" xfId="50599"/>
    <cellStyle name="Normal 24 2 10 2" xfId="8214"/>
    <cellStyle name="Normal 24 2 10 2 10" xfId="44504"/>
    <cellStyle name="Normal 24 2 10 2 11" xfId="48536"/>
    <cellStyle name="Normal 24 2 10 2 12" xfId="52615"/>
    <cellStyle name="Normal 24 2 10 2 2" xfId="12248"/>
    <cellStyle name="Normal 24 2 10 2 3" xfId="16280"/>
    <cellStyle name="Normal 24 2 10 2 4" xfId="20312"/>
    <cellStyle name="Normal 24 2 10 2 5" xfId="24344"/>
    <cellStyle name="Normal 24 2 10 2 6" xfId="28376"/>
    <cellStyle name="Normal 24 2 10 2 7" xfId="32408"/>
    <cellStyle name="Normal 24 2 10 2 8" xfId="36440"/>
    <cellStyle name="Normal 24 2 10 2 9" xfId="40472"/>
    <cellStyle name="Normal 24 2 10 3" xfId="10232"/>
    <cellStyle name="Normal 24 2 10 4" xfId="14264"/>
    <cellStyle name="Normal 24 2 10 5" xfId="18296"/>
    <cellStyle name="Normal 24 2 10 6" xfId="22328"/>
    <cellStyle name="Normal 24 2 10 7" xfId="26360"/>
    <cellStyle name="Normal 24 2 10 8" xfId="30392"/>
    <cellStyle name="Normal 24 2 10 9" xfId="34424"/>
    <cellStyle name="Normal 24 2 11" xfId="308"/>
    <cellStyle name="Normal 24 2 11 10" xfId="37513"/>
    <cellStyle name="Normal 24 2 11 11" xfId="41545"/>
    <cellStyle name="Normal 24 2 11 12" xfId="45577"/>
    <cellStyle name="Normal 24 2 11 13" xfId="49655"/>
    <cellStyle name="Normal 24 2 11 2" xfId="7271"/>
    <cellStyle name="Normal 24 2 11 2 10" xfId="43561"/>
    <cellStyle name="Normal 24 2 11 2 11" xfId="47593"/>
    <cellStyle name="Normal 24 2 11 2 12" xfId="51672"/>
    <cellStyle name="Normal 24 2 11 2 2" xfId="11305"/>
    <cellStyle name="Normal 24 2 11 2 3" xfId="15337"/>
    <cellStyle name="Normal 24 2 11 2 4" xfId="19369"/>
    <cellStyle name="Normal 24 2 11 2 5" xfId="23401"/>
    <cellStyle name="Normal 24 2 11 2 6" xfId="27433"/>
    <cellStyle name="Normal 24 2 11 2 7" xfId="31465"/>
    <cellStyle name="Normal 24 2 11 2 8" xfId="35497"/>
    <cellStyle name="Normal 24 2 11 2 9" xfId="39529"/>
    <cellStyle name="Normal 24 2 11 3" xfId="9289"/>
    <cellStyle name="Normal 24 2 11 4" xfId="13321"/>
    <cellStyle name="Normal 24 2 11 5" xfId="17353"/>
    <cellStyle name="Normal 24 2 11 6" xfId="21385"/>
    <cellStyle name="Normal 24 2 11 7" xfId="25417"/>
    <cellStyle name="Normal 24 2 11 8" xfId="29449"/>
    <cellStyle name="Normal 24 2 11 9" xfId="33481"/>
    <cellStyle name="Normal 24 2 12" xfId="7149"/>
    <cellStyle name="Normal 24 2 12 10" xfId="43439"/>
    <cellStyle name="Normal 24 2 12 11" xfId="47471"/>
    <cellStyle name="Normal 24 2 12 12" xfId="51550"/>
    <cellStyle name="Normal 24 2 12 2" xfId="11183"/>
    <cellStyle name="Normal 24 2 12 3" xfId="15215"/>
    <cellStyle name="Normal 24 2 12 4" xfId="19247"/>
    <cellStyle name="Normal 24 2 12 5" xfId="23279"/>
    <cellStyle name="Normal 24 2 12 6" xfId="27311"/>
    <cellStyle name="Normal 24 2 12 7" xfId="31343"/>
    <cellStyle name="Normal 24 2 12 8" xfId="35375"/>
    <cellStyle name="Normal 24 2 12 9" xfId="39407"/>
    <cellStyle name="Normal 24 2 13" xfId="175"/>
    <cellStyle name="Normal 24 2 14" xfId="9167"/>
    <cellStyle name="Normal 24 2 15" xfId="13199"/>
    <cellStyle name="Normal 24 2 16" xfId="17231"/>
    <cellStyle name="Normal 24 2 17" xfId="21263"/>
    <cellStyle name="Normal 24 2 18" xfId="25295"/>
    <cellStyle name="Normal 24 2 19" xfId="29327"/>
    <cellStyle name="Normal 24 2 2" xfId="254"/>
    <cellStyle name="Normal 24 2 2 10" xfId="21332"/>
    <cellStyle name="Normal 24 2 2 11" xfId="25364"/>
    <cellStyle name="Normal 24 2 2 12" xfId="29396"/>
    <cellStyle name="Normal 24 2 2 13" xfId="33428"/>
    <cellStyle name="Normal 24 2 2 14" xfId="37460"/>
    <cellStyle name="Normal 24 2 2 15" xfId="41492"/>
    <cellStyle name="Normal 24 2 2 16" xfId="45524"/>
    <cellStyle name="Normal 24 2 2 17" xfId="49602"/>
    <cellStyle name="Normal 24 2 2 2" xfId="4372"/>
    <cellStyle name="Normal 24 2 2 2 10" xfId="34217"/>
    <cellStyle name="Normal 24 2 2 2 11" xfId="38249"/>
    <cellStyle name="Normal 24 2 2 2 12" xfId="42281"/>
    <cellStyle name="Normal 24 2 2 2 13" xfId="46313"/>
    <cellStyle name="Normal 24 2 2 2 14" xfId="50392"/>
    <cellStyle name="Normal 24 2 2 2 2" xfId="6942"/>
    <cellStyle name="Normal 24 2 2 2 2 10" xfId="39200"/>
    <cellStyle name="Normal 24 2 2 2 2 11" xfId="43232"/>
    <cellStyle name="Normal 24 2 2 2 2 12" xfId="47264"/>
    <cellStyle name="Normal 24 2 2 2 2 13" xfId="51343"/>
    <cellStyle name="Normal 24 2 2 2 2 2" xfId="8958"/>
    <cellStyle name="Normal 24 2 2 2 2 2 10" xfId="45248"/>
    <cellStyle name="Normal 24 2 2 2 2 2 11" xfId="49280"/>
    <cellStyle name="Normal 24 2 2 2 2 2 12" xfId="53359"/>
    <cellStyle name="Normal 24 2 2 2 2 2 2" xfId="12992"/>
    <cellStyle name="Normal 24 2 2 2 2 2 3" xfId="17024"/>
    <cellStyle name="Normal 24 2 2 2 2 2 4" xfId="21056"/>
    <cellStyle name="Normal 24 2 2 2 2 2 5" xfId="25088"/>
    <cellStyle name="Normal 24 2 2 2 2 2 6" xfId="29120"/>
    <cellStyle name="Normal 24 2 2 2 2 2 7" xfId="33152"/>
    <cellStyle name="Normal 24 2 2 2 2 2 8" xfId="37184"/>
    <cellStyle name="Normal 24 2 2 2 2 2 9" xfId="41216"/>
    <cellStyle name="Normal 24 2 2 2 2 3" xfId="10976"/>
    <cellStyle name="Normal 24 2 2 2 2 4" xfId="15008"/>
    <cellStyle name="Normal 24 2 2 2 2 5" xfId="19040"/>
    <cellStyle name="Normal 24 2 2 2 2 6" xfId="23072"/>
    <cellStyle name="Normal 24 2 2 2 2 7" xfId="27104"/>
    <cellStyle name="Normal 24 2 2 2 2 8" xfId="31136"/>
    <cellStyle name="Normal 24 2 2 2 2 9" xfId="35168"/>
    <cellStyle name="Normal 24 2 2 2 3" xfId="8007"/>
    <cellStyle name="Normal 24 2 2 2 3 10" xfId="44297"/>
    <cellStyle name="Normal 24 2 2 2 3 11" xfId="48329"/>
    <cellStyle name="Normal 24 2 2 2 3 12" xfId="52408"/>
    <cellStyle name="Normal 24 2 2 2 3 2" xfId="12041"/>
    <cellStyle name="Normal 24 2 2 2 3 3" xfId="16073"/>
    <cellStyle name="Normal 24 2 2 2 3 4" xfId="20105"/>
    <cellStyle name="Normal 24 2 2 2 3 5" xfId="24137"/>
    <cellStyle name="Normal 24 2 2 2 3 6" xfId="28169"/>
    <cellStyle name="Normal 24 2 2 2 3 7" xfId="32201"/>
    <cellStyle name="Normal 24 2 2 2 3 8" xfId="36233"/>
    <cellStyle name="Normal 24 2 2 2 3 9" xfId="40265"/>
    <cellStyle name="Normal 24 2 2 2 4" xfId="10025"/>
    <cellStyle name="Normal 24 2 2 2 5" xfId="14057"/>
    <cellStyle name="Normal 24 2 2 2 6" xfId="18089"/>
    <cellStyle name="Normal 24 2 2 2 7" xfId="22121"/>
    <cellStyle name="Normal 24 2 2 2 8" xfId="26153"/>
    <cellStyle name="Normal 24 2 2 2 9" xfId="30185"/>
    <cellStyle name="Normal 24 2 2 3" xfId="4511"/>
    <cellStyle name="Normal 24 2 2 3 10" xfId="34355"/>
    <cellStyle name="Normal 24 2 2 3 11" xfId="38387"/>
    <cellStyle name="Normal 24 2 2 3 12" xfId="42419"/>
    <cellStyle name="Normal 24 2 2 3 13" xfId="46451"/>
    <cellStyle name="Normal 24 2 2 3 14" xfId="50530"/>
    <cellStyle name="Normal 24 2 2 3 2" xfId="7080"/>
    <cellStyle name="Normal 24 2 2 3 2 10" xfId="39338"/>
    <cellStyle name="Normal 24 2 2 3 2 11" xfId="43370"/>
    <cellStyle name="Normal 24 2 2 3 2 12" xfId="47402"/>
    <cellStyle name="Normal 24 2 2 3 2 13" xfId="51481"/>
    <cellStyle name="Normal 24 2 2 3 2 2" xfId="9096"/>
    <cellStyle name="Normal 24 2 2 3 2 2 10" xfId="45386"/>
    <cellStyle name="Normal 24 2 2 3 2 2 11" xfId="49418"/>
    <cellStyle name="Normal 24 2 2 3 2 2 12" xfId="53497"/>
    <cellStyle name="Normal 24 2 2 3 2 2 2" xfId="13130"/>
    <cellStyle name="Normal 24 2 2 3 2 2 3" xfId="17162"/>
    <cellStyle name="Normal 24 2 2 3 2 2 4" xfId="21194"/>
    <cellStyle name="Normal 24 2 2 3 2 2 5" xfId="25226"/>
    <cellStyle name="Normal 24 2 2 3 2 2 6" xfId="29258"/>
    <cellStyle name="Normal 24 2 2 3 2 2 7" xfId="33290"/>
    <cellStyle name="Normal 24 2 2 3 2 2 8" xfId="37322"/>
    <cellStyle name="Normal 24 2 2 3 2 2 9" xfId="41354"/>
    <cellStyle name="Normal 24 2 2 3 2 3" xfId="11114"/>
    <cellStyle name="Normal 24 2 2 3 2 4" xfId="15146"/>
    <cellStyle name="Normal 24 2 2 3 2 5" xfId="19178"/>
    <cellStyle name="Normal 24 2 2 3 2 6" xfId="23210"/>
    <cellStyle name="Normal 24 2 2 3 2 7" xfId="27242"/>
    <cellStyle name="Normal 24 2 2 3 2 8" xfId="31274"/>
    <cellStyle name="Normal 24 2 2 3 2 9" xfId="35306"/>
    <cellStyle name="Normal 24 2 2 3 3" xfId="8145"/>
    <cellStyle name="Normal 24 2 2 3 3 10" xfId="44435"/>
    <cellStyle name="Normal 24 2 2 3 3 11" xfId="48467"/>
    <cellStyle name="Normal 24 2 2 3 3 12" xfId="52546"/>
    <cellStyle name="Normal 24 2 2 3 3 2" xfId="12179"/>
    <cellStyle name="Normal 24 2 2 3 3 3" xfId="16211"/>
    <cellStyle name="Normal 24 2 2 3 3 4" xfId="20243"/>
    <cellStyle name="Normal 24 2 2 3 3 5" xfId="24275"/>
    <cellStyle name="Normal 24 2 2 3 3 6" xfId="28307"/>
    <cellStyle name="Normal 24 2 2 3 3 7" xfId="32339"/>
    <cellStyle name="Normal 24 2 2 3 3 8" xfId="36371"/>
    <cellStyle name="Normal 24 2 2 3 3 9" xfId="40403"/>
    <cellStyle name="Normal 24 2 2 3 4" xfId="10163"/>
    <cellStyle name="Normal 24 2 2 3 5" xfId="14195"/>
    <cellStyle name="Normal 24 2 2 3 6" xfId="18227"/>
    <cellStyle name="Normal 24 2 2 3 7" xfId="22259"/>
    <cellStyle name="Normal 24 2 2 3 8" xfId="26291"/>
    <cellStyle name="Normal 24 2 2 3 9" xfId="30323"/>
    <cellStyle name="Normal 24 2 2 4" xfId="4651"/>
    <cellStyle name="Normal 24 2 2 4 10" xfId="38525"/>
    <cellStyle name="Normal 24 2 2 4 11" xfId="42557"/>
    <cellStyle name="Normal 24 2 2 4 12" xfId="46589"/>
    <cellStyle name="Normal 24 2 2 4 13" xfId="50668"/>
    <cellStyle name="Normal 24 2 2 4 2" xfId="8283"/>
    <cellStyle name="Normal 24 2 2 4 2 10" xfId="44573"/>
    <cellStyle name="Normal 24 2 2 4 2 11" xfId="48605"/>
    <cellStyle name="Normal 24 2 2 4 2 12" xfId="52684"/>
    <cellStyle name="Normal 24 2 2 4 2 2" xfId="12317"/>
    <cellStyle name="Normal 24 2 2 4 2 3" xfId="16349"/>
    <cellStyle name="Normal 24 2 2 4 2 4" xfId="20381"/>
    <cellStyle name="Normal 24 2 2 4 2 5" xfId="24413"/>
    <cellStyle name="Normal 24 2 2 4 2 6" xfId="28445"/>
    <cellStyle name="Normal 24 2 2 4 2 7" xfId="32477"/>
    <cellStyle name="Normal 24 2 2 4 2 8" xfId="36509"/>
    <cellStyle name="Normal 24 2 2 4 2 9" xfId="40541"/>
    <cellStyle name="Normal 24 2 2 4 3" xfId="10301"/>
    <cellStyle name="Normal 24 2 2 4 4" xfId="14333"/>
    <cellStyle name="Normal 24 2 2 4 5" xfId="18365"/>
    <cellStyle name="Normal 24 2 2 4 6" xfId="22397"/>
    <cellStyle name="Normal 24 2 2 4 7" xfId="26429"/>
    <cellStyle name="Normal 24 2 2 4 8" xfId="30461"/>
    <cellStyle name="Normal 24 2 2 4 9" xfId="34493"/>
    <cellStyle name="Normal 24 2 2 5" xfId="378"/>
    <cellStyle name="Normal 24 2 2 5 10" xfId="37583"/>
    <cellStyle name="Normal 24 2 2 5 11" xfId="41615"/>
    <cellStyle name="Normal 24 2 2 5 12" xfId="45647"/>
    <cellStyle name="Normal 24 2 2 5 13" xfId="49725"/>
    <cellStyle name="Normal 24 2 2 5 2" xfId="7341"/>
    <cellStyle name="Normal 24 2 2 5 2 10" xfId="43631"/>
    <cellStyle name="Normal 24 2 2 5 2 11" xfId="47663"/>
    <cellStyle name="Normal 24 2 2 5 2 12" xfId="51742"/>
    <cellStyle name="Normal 24 2 2 5 2 2" xfId="11375"/>
    <cellStyle name="Normal 24 2 2 5 2 3" xfId="15407"/>
    <cellStyle name="Normal 24 2 2 5 2 4" xfId="19439"/>
    <cellStyle name="Normal 24 2 2 5 2 5" xfId="23471"/>
    <cellStyle name="Normal 24 2 2 5 2 6" xfId="27503"/>
    <cellStyle name="Normal 24 2 2 5 2 7" xfId="31535"/>
    <cellStyle name="Normal 24 2 2 5 2 8" xfId="35567"/>
    <cellStyle name="Normal 24 2 2 5 2 9" xfId="39599"/>
    <cellStyle name="Normal 24 2 2 5 3" xfId="9359"/>
    <cellStyle name="Normal 24 2 2 5 4" xfId="13391"/>
    <cellStyle name="Normal 24 2 2 5 5" xfId="17423"/>
    <cellStyle name="Normal 24 2 2 5 6" xfId="21455"/>
    <cellStyle name="Normal 24 2 2 5 7" xfId="25487"/>
    <cellStyle name="Normal 24 2 2 5 8" xfId="29519"/>
    <cellStyle name="Normal 24 2 2 5 9" xfId="33551"/>
    <cellStyle name="Normal 24 2 2 6" xfId="7218"/>
    <cellStyle name="Normal 24 2 2 6 10" xfId="43508"/>
    <cellStyle name="Normal 24 2 2 6 11" xfId="47540"/>
    <cellStyle name="Normal 24 2 2 6 12" xfId="51619"/>
    <cellStyle name="Normal 24 2 2 6 2" xfId="11252"/>
    <cellStyle name="Normal 24 2 2 6 3" xfId="15284"/>
    <cellStyle name="Normal 24 2 2 6 4" xfId="19316"/>
    <cellStyle name="Normal 24 2 2 6 5" xfId="23348"/>
    <cellStyle name="Normal 24 2 2 6 6" xfId="27380"/>
    <cellStyle name="Normal 24 2 2 6 7" xfId="31412"/>
    <cellStyle name="Normal 24 2 2 6 8" xfId="35444"/>
    <cellStyle name="Normal 24 2 2 6 9" xfId="39476"/>
    <cellStyle name="Normal 24 2 2 7" xfId="9236"/>
    <cellStyle name="Normal 24 2 2 8" xfId="13268"/>
    <cellStyle name="Normal 24 2 2 9" xfId="17300"/>
    <cellStyle name="Normal 24 2 20" xfId="33359"/>
    <cellStyle name="Normal 24 2 21" xfId="37391"/>
    <cellStyle name="Normal 24 2 22" xfId="41423"/>
    <cellStyle name="Normal 24 2 23" xfId="45455"/>
    <cellStyle name="Normal 24 2 24" xfId="49533"/>
    <cellStyle name="Normal 24 2 3" xfId="1688"/>
    <cellStyle name="Normal 24 2 3 10" xfId="33649"/>
    <cellStyle name="Normal 24 2 3 11" xfId="37681"/>
    <cellStyle name="Normal 24 2 3 12" xfId="41713"/>
    <cellStyle name="Normal 24 2 3 13" xfId="45745"/>
    <cellStyle name="Normal 24 2 3 14" xfId="49823"/>
    <cellStyle name="Normal 24 2 3 2" xfId="5364"/>
    <cellStyle name="Normal 24 2 3 2 10" xfId="38632"/>
    <cellStyle name="Normal 24 2 3 2 11" xfId="42664"/>
    <cellStyle name="Normal 24 2 3 2 12" xfId="46696"/>
    <cellStyle name="Normal 24 2 3 2 13" xfId="50775"/>
    <cellStyle name="Normal 24 2 3 2 2" xfId="8390"/>
    <cellStyle name="Normal 24 2 3 2 2 10" xfId="44680"/>
    <cellStyle name="Normal 24 2 3 2 2 11" xfId="48712"/>
    <cellStyle name="Normal 24 2 3 2 2 12" xfId="52791"/>
    <cellStyle name="Normal 24 2 3 2 2 2" xfId="12424"/>
    <cellStyle name="Normal 24 2 3 2 2 3" xfId="16456"/>
    <cellStyle name="Normal 24 2 3 2 2 4" xfId="20488"/>
    <cellStyle name="Normal 24 2 3 2 2 5" xfId="24520"/>
    <cellStyle name="Normal 24 2 3 2 2 6" xfId="28552"/>
    <cellStyle name="Normal 24 2 3 2 2 7" xfId="32584"/>
    <cellStyle name="Normal 24 2 3 2 2 8" xfId="36616"/>
    <cellStyle name="Normal 24 2 3 2 2 9" xfId="40648"/>
    <cellStyle name="Normal 24 2 3 2 3" xfId="10408"/>
    <cellStyle name="Normal 24 2 3 2 4" xfId="14440"/>
    <cellStyle name="Normal 24 2 3 2 5" xfId="18472"/>
    <cellStyle name="Normal 24 2 3 2 6" xfId="22504"/>
    <cellStyle name="Normal 24 2 3 2 7" xfId="26536"/>
    <cellStyle name="Normal 24 2 3 2 8" xfId="30568"/>
    <cellStyle name="Normal 24 2 3 2 9" xfId="34600"/>
    <cellStyle name="Normal 24 2 3 3" xfId="7439"/>
    <cellStyle name="Normal 24 2 3 3 10" xfId="43729"/>
    <cellStyle name="Normal 24 2 3 3 11" xfId="47761"/>
    <cellStyle name="Normal 24 2 3 3 12" xfId="51840"/>
    <cellStyle name="Normal 24 2 3 3 2" xfId="11473"/>
    <cellStyle name="Normal 24 2 3 3 3" xfId="15505"/>
    <cellStyle name="Normal 24 2 3 3 4" xfId="19537"/>
    <cellStyle name="Normal 24 2 3 3 5" xfId="23569"/>
    <cellStyle name="Normal 24 2 3 3 6" xfId="27601"/>
    <cellStyle name="Normal 24 2 3 3 7" xfId="31633"/>
    <cellStyle name="Normal 24 2 3 3 8" xfId="35665"/>
    <cellStyle name="Normal 24 2 3 3 9" xfId="39697"/>
    <cellStyle name="Normal 24 2 3 4" xfId="9457"/>
    <cellStyle name="Normal 24 2 3 5" xfId="13489"/>
    <cellStyle name="Normal 24 2 3 6" xfId="17521"/>
    <cellStyle name="Normal 24 2 3 7" xfId="21553"/>
    <cellStyle name="Normal 24 2 3 8" xfId="25585"/>
    <cellStyle name="Normal 24 2 3 9" xfId="29617"/>
    <cellStyle name="Normal 24 2 4" xfId="1762"/>
    <cellStyle name="Normal 24 2 4 10" xfId="33718"/>
    <cellStyle name="Normal 24 2 4 11" xfId="37750"/>
    <cellStyle name="Normal 24 2 4 12" xfId="41782"/>
    <cellStyle name="Normal 24 2 4 13" xfId="45814"/>
    <cellStyle name="Normal 24 2 4 14" xfId="49892"/>
    <cellStyle name="Normal 24 2 4 2" xfId="5433"/>
    <cellStyle name="Normal 24 2 4 2 10" xfId="38701"/>
    <cellStyle name="Normal 24 2 4 2 11" xfId="42733"/>
    <cellStyle name="Normal 24 2 4 2 12" xfId="46765"/>
    <cellStyle name="Normal 24 2 4 2 13" xfId="50844"/>
    <cellStyle name="Normal 24 2 4 2 2" xfId="8459"/>
    <cellStyle name="Normal 24 2 4 2 2 10" xfId="44749"/>
    <cellStyle name="Normal 24 2 4 2 2 11" xfId="48781"/>
    <cellStyle name="Normal 24 2 4 2 2 12" xfId="52860"/>
    <cellStyle name="Normal 24 2 4 2 2 2" xfId="12493"/>
    <cellStyle name="Normal 24 2 4 2 2 3" xfId="16525"/>
    <cellStyle name="Normal 24 2 4 2 2 4" xfId="20557"/>
    <cellStyle name="Normal 24 2 4 2 2 5" xfId="24589"/>
    <cellStyle name="Normal 24 2 4 2 2 6" xfId="28621"/>
    <cellStyle name="Normal 24 2 4 2 2 7" xfId="32653"/>
    <cellStyle name="Normal 24 2 4 2 2 8" xfId="36685"/>
    <cellStyle name="Normal 24 2 4 2 2 9" xfId="40717"/>
    <cellStyle name="Normal 24 2 4 2 3" xfId="10477"/>
    <cellStyle name="Normal 24 2 4 2 4" xfId="14509"/>
    <cellStyle name="Normal 24 2 4 2 5" xfId="18541"/>
    <cellStyle name="Normal 24 2 4 2 6" xfId="22573"/>
    <cellStyle name="Normal 24 2 4 2 7" xfId="26605"/>
    <cellStyle name="Normal 24 2 4 2 8" xfId="30637"/>
    <cellStyle name="Normal 24 2 4 2 9" xfId="34669"/>
    <cellStyle name="Normal 24 2 4 3" xfId="7508"/>
    <cellStyle name="Normal 24 2 4 3 10" xfId="43798"/>
    <cellStyle name="Normal 24 2 4 3 11" xfId="47830"/>
    <cellStyle name="Normal 24 2 4 3 12" xfId="51909"/>
    <cellStyle name="Normal 24 2 4 3 2" xfId="11542"/>
    <cellStyle name="Normal 24 2 4 3 3" xfId="15574"/>
    <cellStyle name="Normal 24 2 4 3 4" xfId="19606"/>
    <cellStyle name="Normal 24 2 4 3 5" xfId="23638"/>
    <cellStyle name="Normal 24 2 4 3 6" xfId="27670"/>
    <cellStyle name="Normal 24 2 4 3 7" xfId="31702"/>
    <cellStyle name="Normal 24 2 4 3 8" xfId="35734"/>
    <cellStyle name="Normal 24 2 4 3 9" xfId="39766"/>
    <cellStyle name="Normal 24 2 4 4" xfId="9526"/>
    <cellStyle name="Normal 24 2 4 5" xfId="13558"/>
    <cellStyle name="Normal 24 2 4 6" xfId="17590"/>
    <cellStyle name="Normal 24 2 4 7" xfId="21622"/>
    <cellStyle name="Normal 24 2 4 8" xfId="25654"/>
    <cellStyle name="Normal 24 2 4 9" xfId="29686"/>
    <cellStyle name="Normal 24 2 5" xfId="4084"/>
    <cellStyle name="Normal 24 2 5 10" xfId="33941"/>
    <cellStyle name="Normal 24 2 5 11" xfId="37973"/>
    <cellStyle name="Normal 24 2 5 12" xfId="42005"/>
    <cellStyle name="Normal 24 2 5 13" xfId="46037"/>
    <cellStyle name="Normal 24 2 5 14" xfId="50115"/>
    <cellStyle name="Normal 24 2 5 2" xfId="6666"/>
    <cellStyle name="Normal 24 2 5 2 10" xfId="38924"/>
    <cellStyle name="Normal 24 2 5 2 11" xfId="42956"/>
    <cellStyle name="Normal 24 2 5 2 12" xfId="46988"/>
    <cellStyle name="Normal 24 2 5 2 13" xfId="51067"/>
    <cellStyle name="Normal 24 2 5 2 2" xfId="8682"/>
    <cellStyle name="Normal 24 2 5 2 2 10" xfId="44972"/>
    <cellStyle name="Normal 24 2 5 2 2 11" xfId="49004"/>
    <cellStyle name="Normal 24 2 5 2 2 12" xfId="53083"/>
    <cellStyle name="Normal 24 2 5 2 2 2" xfId="12716"/>
    <cellStyle name="Normal 24 2 5 2 2 3" xfId="16748"/>
    <cellStyle name="Normal 24 2 5 2 2 4" xfId="20780"/>
    <cellStyle name="Normal 24 2 5 2 2 5" xfId="24812"/>
    <cellStyle name="Normal 24 2 5 2 2 6" xfId="28844"/>
    <cellStyle name="Normal 24 2 5 2 2 7" xfId="32876"/>
    <cellStyle name="Normal 24 2 5 2 2 8" xfId="36908"/>
    <cellStyle name="Normal 24 2 5 2 2 9" xfId="40940"/>
    <cellStyle name="Normal 24 2 5 2 3" xfId="10700"/>
    <cellStyle name="Normal 24 2 5 2 4" xfId="14732"/>
    <cellStyle name="Normal 24 2 5 2 5" xfId="18764"/>
    <cellStyle name="Normal 24 2 5 2 6" xfId="22796"/>
    <cellStyle name="Normal 24 2 5 2 7" xfId="26828"/>
    <cellStyle name="Normal 24 2 5 2 8" xfId="30860"/>
    <cellStyle name="Normal 24 2 5 2 9" xfId="34892"/>
    <cellStyle name="Normal 24 2 5 3" xfId="7731"/>
    <cellStyle name="Normal 24 2 5 3 10" xfId="44021"/>
    <cellStyle name="Normal 24 2 5 3 11" xfId="48053"/>
    <cellStyle name="Normal 24 2 5 3 12" xfId="52132"/>
    <cellStyle name="Normal 24 2 5 3 2" xfId="11765"/>
    <cellStyle name="Normal 24 2 5 3 3" xfId="15797"/>
    <cellStyle name="Normal 24 2 5 3 4" xfId="19829"/>
    <cellStyle name="Normal 24 2 5 3 5" xfId="23861"/>
    <cellStyle name="Normal 24 2 5 3 6" xfId="27893"/>
    <cellStyle name="Normal 24 2 5 3 7" xfId="31925"/>
    <cellStyle name="Normal 24 2 5 3 8" xfId="35957"/>
    <cellStyle name="Normal 24 2 5 3 9" xfId="39989"/>
    <cellStyle name="Normal 24 2 5 4" xfId="9749"/>
    <cellStyle name="Normal 24 2 5 5" xfId="13781"/>
    <cellStyle name="Normal 24 2 5 6" xfId="17813"/>
    <cellStyle name="Normal 24 2 5 7" xfId="21845"/>
    <cellStyle name="Normal 24 2 5 8" xfId="25877"/>
    <cellStyle name="Normal 24 2 5 9" xfId="29909"/>
    <cellStyle name="Normal 24 2 6" xfId="4154"/>
    <cellStyle name="Normal 24 2 6 10" xfId="34010"/>
    <cellStyle name="Normal 24 2 6 11" xfId="38042"/>
    <cellStyle name="Normal 24 2 6 12" xfId="42074"/>
    <cellStyle name="Normal 24 2 6 13" xfId="46106"/>
    <cellStyle name="Normal 24 2 6 14" xfId="50184"/>
    <cellStyle name="Normal 24 2 6 2" xfId="6735"/>
    <cellStyle name="Normal 24 2 6 2 10" xfId="38993"/>
    <cellStyle name="Normal 24 2 6 2 11" xfId="43025"/>
    <cellStyle name="Normal 24 2 6 2 12" xfId="47057"/>
    <cellStyle name="Normal 24 2 6 2 13" xfId="51136"/>
    <cellStyle name="Normal 24 2 6 2 2" xfId="8751"/>
    <cellStyle name="Normal 24 2 6 2 2 10" xfId="45041"/>
    <cellStyle name="Normal 24 2 6 2 2 11" xfId="49073"/>
    <cellStyle name="Normal 24 2 6 2 2 12" xfId="53152"/>
    <cellStyle name="Normal 24 2 6 2 2 2" xfId="12785"/>
    <cellStyle name="Normal 24 2 6 2 2 3" xfId="16817"/>
    <cellStyle name="Normal 24 2 6 2 2 4" xfId="20849"/>
    <cellStyle name="Normal 24 2 6 2 2 5" xfId="24881"/>
    <cellStyle name="Normal 24 2 6 2 2 6" xfId="28913"/>
    <cellStyle name="Normal 24 2 6 2 2 7" xfId="32945"/>
    <cellStyle name="Normal 24 2 6 2 2 8" xfId="36977"/>
    <cellStyle name="Normal 24 2 6 2 2 9" xfId="41009"/>
    <cellStyle name="Normal 24 2 6 2 3" xfId="10769"/>
    <cellStyle name="Normal 24 2 6 2 4" xfId="14801"/>
    <cellStyle name="Normal 24 2 6 2 5" xfId="18833"/>
    <cellStyle name="Normal 24 2 6 2 6" xfId="22865"/>
    <cellStyle name="Normal 24 2 6 2 7" xfId="26897"/>
    <cellStyle name="Normal 24 2 6 2 8" xfId="30929"/>
    <cellStyle name="Normal 24 2 6 2 9" xfId="34961"/>
    <cellStyle name="Normal 24 2 6 3" xfId="7800"/>
    <cellStyle name="Normal 24 2 6 3 10" xfId="44090"/>
    <cellStyle name="Normal 24 2 6 3 11" xfId="48122"/>
    <cellStyle name="Normal 24 2 6 3 12" xfId="52201"/>
    <cellStyle name="Normal 24 2 6 3 2" xfId="11834"/>
    <cellStyle name="Normal 24 2 6 3 3" xfId="15866"/>
    <cellStyle name="Normal 24 2 6 3 4" xfId="19898"/>
    <cellStyle name="Normal 24 2 6 3 5" xfId="23930"/>
    <cellStyle name="Normal 24 2 6 3 6" xfId="27962"/>
    <cellStyle name="Normal 24 2 6 3 7" xfId="31994"/>
    <cellStyle name="Normal 24 2 6 3 8" xfId="36026"/>
    <cellStyle name="Normal 24 2 6 3 9" xfId="40058"/>
    <cellStyle name="Normal 24 2 6 4" xfId="9818"/>
    <cellStyle name="Normal 24 2 6 5" xfId="13850"/>
    <cellStyle name="Normal 24 2 6 6" xfId="17882"/>
    <cellStyle name="Normal 24 2 6 7" xfId="21914"/>
    <cellStyle name="Normal 24 2 6 8" xfId="25946"/>
    <cellStyle name="Normal 24 2 6 9" xfId="29978"/>
    <cellStyle name="Normal 24 2 7" xfId="4223"/>
    <cellStyle name="Normal 24 2 7 10" xfId="34079"/>
    <cellStyle name="Normal 24 2 7 11" xfId="38111"/>
    <cellStyle name="Normal 24 2 7 12" xfId="42143"/>
    <cellStyle name="Normal 24 2 7 13" xfId="46175"/>
    <cellStyle name="Normal 24 2 7 14" xfId="50253"/>
    <cellStyle name="Normal 24 2 7 2" xfId="6804"/>
    <cellStyle name="Normal 24 2 7 2 10" xfId="39062"/>
    <cellStyle name="Normal 24 2 7 2 11" xfId="43094"/>
    <cellStyle name="Normal 24 2 7 2 12" xfId="47126"/>
    <cellStyle name="Normal 24 2 7 2 13" xfId="51205"/>
    <cellStyle name="Normal 24 2 7 2 2" xfId="8820"/>
    <cellStyle name="Normal 24 2 7 2 2 10" xfId="45110"/>
    <cellStyle name="Normal 24 2 7 2 2 11" xfId="49142"/>
    <cellStyle name="Normal 24 2 7 2 2 12" xfId="53221"/>
    <cellStyle name="Normal 24 2 7 2 2 2" xfId="12854"/>
    <cellStyle name="Normal 24 2 7 2 2 3" xfId="16886"/>
    <cellStyle name="Normal 24 2 7 2 2 4" xfId="20918"/>
    <cellStyle name="Normal 24 2 7 2 2 5" xfId="24950"/>
    <cellStyle name="Normal 24 2 7 2 2 6" xfId="28982"/>
    <cellStyle name="Normal 24 2 7 2 2 7" xfId="33014"/>
    <cellStyle name="Normal 24 2 7 2 2 8" xfId="37046"/>
    <cellStyle name="Normal 24 2 7 2 2 9" xfId="41078"/>
    <cellStyle name="Normal 24 2 7 2 3" xfId="10838"/>
    <cellStyle name="Normal 24 2 7 2 4" xfId="14870"/>
    <cellStyle name="Normal 24 2 7 2 5" xfId="18902"/>
    <cellStyle name="Normal 24 2 7 2 6" xfId="22934"/>
    <cellStyle name="Normal 24 2 7 2 7" xfId="26966"/>
    <cellStyle name="Normal 24 2 7 2 8" xfId="30998"/>
    <cellStyle name="Normal 24 2 7 2 9" xfId="35030"/>
    <cellStyle name="Normal 24 2 7 3" xfId="7869"/>
    <cellStyle name="Normal 24 2 7 3 10" xfId="44159"/>
    <cellStyle name="Normal 24 2 7 3 11" xfId="48191"/>
    <cellStyle name="Normal 24 2 7 3 12" xfId="52270"/>
    <cellStyle name="Normal 24 2 7 3 2" xfId="11903"/>
    <cellStyle name="Normal 24 2 7 3 3" xfId="15935"/>
    <cellStyle name="Normal 24 2 7 3 4" xfId="19967"/>
    <cellStyle name="Normal 24 2 7 3 5" xfId="23999"/>
    <cellStyle name="Normal 24 2 7 3 6" xfId="28031"/>
    <cellStyle name="Normal 24 2 7 3 7" xfId="32063"/>
    <cellStyle name="Normal 24 2 7 3 8" xfId="36095"/>
    <cellStyle name="Normal 24 2 7 3 9" xfId="40127"/>
    <cellStyle name="Normal 24 2 7 4" xfId="9887"/>
    <cellStyle name="Normal 24 2 7 5" xfId="13919"/>
    <cellStyle name="Normal 24 2 7 6" xfId="17951"/>
    <cellStyle name="Normal 24 2 7 7" xfId="21983"/>
    <cellStyle name="Normal 24 2 7 8" xfId="26015"/>
    <cellStyle name="Normal 24 2 7 9" xfId="30047"/>
    <cellStyle name="Normal 24 2 8" xfId="4296"/>
    <cellStyle name="Normal 24 2 8 10" xfId="34148"/>
    <cellStyle name="Normal 24 2 8 11" xfId="38180"/>
    <cellStyle name="Normal 24 2 8 12" xfId="42212"/>
    <cellStyle name="Normal 24 2 8 13" xfId="46244"/>
    <cellStyle name="Normal 24 2 8 14" xfId="50322"/>
    <cellStyle name="Normal 24 2 8 2" xfId="6873"/>
    <cellStyle name="Normal 24 2 8 2 10" xfId="39131"/>
    <cellStyle name="Normal 24 2 8 2 11" xfId="43163"/>
    <cellStyle name="Normal 24 2 8 2 12" xfId="47195"/>
    <cellStyle name="Normal 24 2 8 2 13" xfId="51274"/>
    <cellStyle name="Normal 24 2 8 2 2" xfId="8889"/>
    <cellStyle name="Normal 24 2 8 2 2 10" xfId="45179"/>
    <cellStyle name="Normal 24 2 8 2 2 11" xfId="49211"/>
    <cellStyle name="Normal 24 2 8 2 2 12" xfId="53290"/>
    <cellStyle name="Normal 24 2 8 2 2 2" xfId="12923"/>
    <cellStyle name="Normal 24 2 8 2 2 3" xfId="16955"/>
    <cellStyle name="Normal 24 2 8 2 2 4" xfId="20987"/>
    <cellStyle name="Normal 24 2 8 2 2 5" xfId="25019"/>
    <cellStyle name="Normal 24 2 8 2 2 6" xfId="29051"/>
    <cellStyle name="Normal 24 2 8 2 2 7" xfId="33083"/>
    <cellStyle name="Normal 24 2 8 2 2 8" xfId="37115"/>
    <cellStyle name="Normal 24 2 8 2 2 9" xfId="41147"/>
    <cellStyle name="Normal 24 2 8 2 3" xfId="10907"/>
    <cellStyle name="Normal 24 2 8 2 4" xfId="14939"/>
    <cellStyle name="Normal 24 2 8 2 5" xfId="18971"/>
    <cellStyle name="Normal 24 2 8 2 6" xfId="23003"/>
    <cellStyle name="Normal 24 2 8 2 7" xfId="27035"/>
    <cellStyle name="Normal 24 2 8 2 8" xfId="31067"/>
    <cellStyle name="Normal 24 2 8 2 9" xfId="35099"/>
    <cellStyle name="Normal 24 2 8 3" xfId="7938"/>
    <cellStyle name="Normal 24 2 8 3 10" xfId="44228"/>
    <cellStyle name="Normal 24 2 8 3 11" xfId="48260"/>
    <cellStyle name="Normal 24 2 8 3 12" xfId="52339"/>
    <cellStyle name="Normal 24 2 8 3 2" xfId="11972"/>
    <cellStyle name="Normal 24 2 8 3 3" xfId="16004"/>
    <cellStyle name="Normal 24 2 8 3 4" xfId="20036"/>
    <cellStyle name="Normal 24 2 8 3 5" xfId="24068"/>
    <cellStyle name="Normal 24 2 8 3 6" xfId="28100"/>
    <cellStyle name="Normal 24 2 8 3 7" xfId="32132"/>
    <cellStyle name="Normal 24 2 8 3 8" xfId="36164"/>
    <cellStyle name="Normal 24 2 8 3 9" xfId="40196"/>
    <cellStyle name="Normal 24 2 8 4" xfId="9956"/>
    <cellStyle name="Normal 24 2 8 5" xfId="13988"/>
    <cellStyle name="Normal 24 2 8 6" xfId="18020"/>
    <cellStyle name="Normal 24 2 8 7" xfId="22052"/>
    <cellStyle name="Normal 24 2 8 8" xfId="26084"/>
    <cellStyle name="Normal 24 2 8 9" xfId="30116"/>
    <cellStyle name="Normal 24 2 9" xfId="4442"/>
    <cellStyle name="Normal 24 2 9 10" xfId="34286"/>
    <cellStyle name="Normal 24 2 9 11" xfId="38318"/>
    <cellStyle name="Normal 24 2 9 12" xfId="42350"/>
    <cellStyle name="Normal 24 2 9 13" xfId="46382"/>
    <cellStyle name="Normal 24 2 9 14" xfId="50461"/>
    <cellStyle name="Normal 24 2 9 2" xfId="7011"/>
    <cellStyle name="Normal 24 2 9 2 10" xfId="39269"/>
    <cellStyle name="Normal 24 2 9 2 11" xfId="43301"/>
    <cellStyle name="Normal 24 2 9 2 12" xfId="47333"/>
    <cellStyle name="Normal 24 2 9 2 13" xfId="51412"/>
    <cellStyle name="Normal 24 2 9 2 2" xfId="9027"/>
    <cellStyle name="Normal 24 2 9 2 2 10" xfId="45317"/>
    <cellStyle name="Normal 24 2 9 2 2 11" xfId="49349"/>
    <cellStyle name="Normal 24 2 9 2 2 12" xfId="53428"/>
    <cellStyle name="Normal 24 2 9 2 2 2" xfId="13061"/>
    <cellStyle name="Normal 24 2 9 2 2 3" xfId="17093"/>
    <cellStyle name="Normal 24 2 9 2 2 4" xfId="21125"/>
    <cellStyle name="Normal 24 2 9 2 2 5" xfId="25157"/>
    <cellStyle name="Normal 24 2 9 2 2 6" xfId="29189"/>
    <cellStyle name="Normal 24 2 9 2 2 7" xfId="33221"/>
    <cellStyle name="Normal 24 2 9 2 2 8" xfId="37253"/>
    <cellStyle name="Normal 24 2 9 2 2 9" xfId="41285"/>
    <cellStyle name="Normal 24 2 9 2 3" xfId="11045"/>
    <cellStyle name="Normal 24 2 9 2 4" xfId="15077"/>
    <cellStyle name="Normal 24 2 9 2 5" xfId="19109"/>
    <cellStyle name="Normal 24 2 9 2 6" xfId="23141"/>
    <cellStyle name="Normal 24 2 9 2 7" xfId="27173"/>
    <cellStyle name="Normal 24 2 9 2 8" xfId="31205"/>
    <cellStyle name="Normal 24 2 9 2 9" xfId="35237"/>
    <cellStyle name="Normal 24 2 9 3" xfId="8076"/>
    <cellStyle name="Normal 24 2 9 3 10" xfId="44366"/>
    <cellStyle name="Normal 24 2 9 3 11" xfId="48398"/>
    <cellStyle name="Normal 24 2 9 3 12" xfId="52477"/>
    <cellStyle name="Normal 24 2 9 3 2" xfId="12110"/>
    <cellStyle name="Normal 24 2 9 3 3" xfId="16142"/>
    <cellStyle name="Normal 24 2 9 3 4" xfId="20174"/>
    <cellStyle name="Normal 24 2 9 3 5" xfId="24206"/>
    <cellStyle name="Normal 24 2 9 3 6" xfId="28238"/>
    <cellStyle name="Normal 24 2 9 3 7" xfId="32270"/>
    <cellStyle name="Normal 24 2 9 3 8" xfId="36302"/>
    <cellStyle name="Normal 24 2 9 3 9" xfId="40334"/>
    <cellStyle name="Normal 24 2 9 4" xfId="10094"/>
    <cellStyle name="Normal 24 2 9 5" xfId="14126"/>
    <cellStyle name="Normal 24 2 9 6" xfId="18158"/>
    <cellStyle name="Normal 24 2 9 7" xfId="22190"/>
    <cellStyle name="Normal 24 2 9 8" xfId="26222"/>
    <cellStyle name="Normal 24 2 9 9" xfId="30254"/>
    <cellStyle name="Normal 24 20" xfId="25260"/>
    <cellStyle name="Normal 24 21" xfId="29292"/>
    <cellStyle name="Normal 24 22" xfId="33324"/>
    <cellStyle name="Normal 24 23" xfId="37356"/>
    <cellStyle name="Normal 24 24" xfId="41388"/>
    <cellStyle name="Normal 24 25" xfId="45420"/>
    <cellStyle name="Normal 24 26" xfId="49498"/>
    <cellStyle name="Normal 24 3" xfId="219"/>
    <cellStyle name="Normal 24 3 10" xfId="21297"/>
    <cellStyle name="Normal 24 3 11" xfId="25329"/>
    <cellStyle name="Normal 24 3 12" xfId="29361"/>
    <cellStyle name="Normal 24 3 13" xfId="33393"/>
    <cellStyle name="Normal 24 3 14" xfId="37425"/>
    <cellStyle name="Normal 24 3 15" xfId="41457"/>
    <cellStyle name="Normal 24 3 16" xfId="45489"/>
    <cellStyle name="Normal 24 3 17" xfId="49567"/>
    <cellStyle name="Normal 24 3 2" xfId="4337"/>
    <cellStyle name="Normal 24 3 2 10" xfId="34182"/>
    <cellStyle name="Normal 24 3 2 11" xfId="38214"/>
    <cellStyle name="Normal 24 3 2 12" xfId="42246"/>
    <cellStyle name="Normal 24 3 2 13" xfId="46278"/>
    <cellStyle name="Normal 24 3 2 14" xfId="50357"/>
    <cellStyle name="Normal 24 3 2 2" xfId="6907"/>
    <cellStyle name="Normal 24 3 2 2 10" xfId="39165"/>
    <cellStyle name="Normal 24 3 2 2 11" xfId="43197"/>
    <cellStyle name="Normal 24 3 2 2 12" xfId="47229"/>
    <cellStyle name="Normal 24 3 2 2 13" xfId="51308"/>
    <cellStyle name="Normal 24 3 2 2 2" xfId="8923"/>
    <cellStyle name="Normal 24 3 2 2 2 10" xfId="45213"/>
    <cellStyle name="Normal 24 3 2 2 2 11" xfId="49245"/>
    <cellStyle name="Normal 24 3 2 2 2 12" xfId="53324"/>
    <cellStyle name="Normal 24 3 2 2 2 2" xfId="12957"/>
    <cellStyle name="Normal 24 3 2 2 2 3" xfId="16989"/>
    <cellStyle name="Normal 24 3 2 2 2 4" xfId="21021"/>
    <cellStyle name="Normal 24 3 2 2 2 5" xfId="25053"/>
    <cellStyle name="Normal 24 3 2 2 2 6" xfId="29085"/>
    <cellStyle name="Normal 24 3 2 2 2 7" xfId="33117"/>
    <cellStyle name="Normal 24 3 2 2 2 8" xfId="37149"/>
    <cellStyle name="Normal 24 3 2 2 2 9" xfId="41181"/>
    <cellStyle name="Normal 24 3 2 2 3" xfId="10941"/>
    <cellStyle name="Normal 24 3 2 2 4" xfId="14973"/>
    <cellStyle name="Normal 24 3 2 2 5" xfId="19005"/>
    <cellStyle name="Normal 24 3 2 2 6" xfId="23037"/>
    <cellStyle name="Normal 24 3 2 2 7" xfId="27069"/>
    <cellStyle name="Normal 24 3 2 2 8" xfId="31101"/>
    <cellStyle name="Normal 24 3 2 2 9" xfId="35133"/>
    <cellStyle name="Normal 24 3 2 3" xfId="7972"/>
    <cellStyle name="Normal 24 3 2 3 10" xfId="44262"/>
    <cellStyle name="Normal 24 3 2 3 11" xfId="48294"/>
    <cellStyle name="Normal 24 3 2 3 12" xfId="52373"/>
    <cellStyle name="Normal 24 3 2 3 2" xfId="12006"/>
    <cellStyle name="Normal 24 3 2 3 3" xfId="16038"/>
    <cellStyle name="Normal 24 3 2 3 4" xfId="20070"/>
    <cellStyle name="Normal 24 3 2 3 5" xfId="24102"/>
    <cellStyle name="Normal 24 3 2 3 6" xfId="28134"/>
    <cellStyle name="Normal 24 3 2 3 7" xfId="32166"/>
    <cellStyle name="Normal 24 3 2 3 8" xfId="36198"/>
    <cellStyle name="Normal 24 3 2 3 9" xfId="40230"/>
    <cellStyle name="Normal 24 3 2 4" xfId="9990"/>
    <cellStyle name="Normal 24 3 2 5" xfId="14022"/>
    <cellStyle name="Normal 24 3 2 6" xfId="18054"/>
    <cellStyle name="Normal 24 3 2 7" xfId="22086"/>
    <cellStyle name="Normal 24 3 2 8" xfId="26118"/>
    <cellStyle name="Normal 24 3 2 9" xfId="30150"/>
    <cellStyle name="Normal 24 3 3" xfId="4476"/>
    <cellStyle name="Normal 24 3 3 10" xfId="34320"/>
    <cellStyle name="Normal 24 3 3 11" xfId="38352"/>
    <cellStyle name="Normal 24 3 3 12" xfId="42384"/>
    <cellStyle name="Normal 24 3 3 13" xfId="46416"/>
    <cellStyle name="Normal 24 3 3 14" xfId="50495"/>
    <cellStyle name="Normal 24 3 3 2" xfId="7045"/>
    <cellStyle name="Normal 24 3 3 2 10" xfId="39303"/>
    <cellStyle name="Normal 24 3 3 2 11" xfId="43335"/>
    <cellStyle name="Normal 24 3 3 2 12" xfId="47367"/>
    <cellStyle name="Normal 24 3 3 2 13" xfId="51446"/>
    <cellStyle name="Normal 24 3 3 2 2" xfId="9061"/>
    <cellStyle name="Normal 24 3 3 2 2 10" xfId="45351"/>
    <cellStyle name="Normal 24 3 3 2 2 11" xfId="49383"/>
    <cellStyle name="Normal 24 3 3 2 2 12" xfId="53462"/>
    <cellStyle name="Normal 24 3 3 2 2 2" xfId="13095"/>
    <cellStyle name="Normal 24 3 3 2 2 3" xfId="17127"/>
    <cellStyle name="Normal 24 3 3 2 2 4" xfId="21159"/>
    <cellStyle name="Normal 24 3 3 2 2 5" xfId="25191"/>
    <cellStyle name="Normal 24 3 3 2 2 6" xfId="29223"/>
    <cellStyle name="Normal 24 3 3 2 2 7" xfId="33255"/>
    <cellStyle name="Normal 24 3 3 2 2 8" xfId="37287"/>
    <cellStyle name="Normal 24 3 3 2 2 9" xfId="41319"/>
    <cellStyle name="Normal 24 3 3 2 3" xfId="11079"/>
    <cellStyle name="Normal 24 3 3 2 4" xfId="15111"/>
    <cellStyle name="Normal 24 3 3 2 5" xfId="19143"/>
    <cellStyle name="Normal 24 3 3 2 6" xfId="23175"/>
    <cellStyle name="Normal 24 3 3 2 7" xfId="27207"/>
    <cellStyle name="Normal 24 3 3 2 8" xfId="31239"/>
    <cellStyle name="Normal 24 3 3 2 9" xfId="35271"/>
    <cellStyle name="Normal 24 3 3 3" xfId="8110"/>
    <cellStyle name="Normal 24 3 3 3 10" xfId="44400"/>
    <cellStyle name="Normal 24 3 3 3 11" xfId="48432"/>
    <cellStyle name="Normal 24 3 3 3 12" xfId="52511"/>
    <cellStyle name="Normal 24 3 3 3 2" xfId="12144"/>
    <cellStyle name="Normal 24 3 3 3 3" xfId="16176"/>
    <cellStyle name="Normal 24 3 3 3 4" xfId="20208"/>
    <cellStyle name="Normal 24 3 3 3 5" xfId="24240"/>
    <cellStyle name="Normal 24 3 3 3 6" xfId="28272"/>
    <cellStyle name="Normal 24 3 3 3 7" xfId="32304"/>
    <cellStyle name="Normal 24 3 3 3 8" xfId="36336"/>
    <cellStyle name="Normal 24 3 3 3 9" xfId="40368"/>
    <cellStyle name="Normal 24 3 3 4" xfId="10128"/>
    <cellStyle name="Normal 24 3 3 5" xfId="14160"/>
    <cellStyle name="Normal 24 3 3 6" xfId="18192"/>
    <cellStyle name="Normal 24 3 3 7" xfId="22224"/>
    <cellStyle name="Normal 24 3 3 8" xfId="26256"/>
    <cellStyle name="Normal 24 3 3 9" xfId="30288"/>
    <cellStyle name="Normal 24 3 4" xfId="4616"/>
    <cellStyle name="Normal 24 3 4 10" xfId="38490"/>
    <cellStyle name="Normal 24 3 4 11" xfId="42522"/>
    <cellStyle name="Normal 24 3 4 12" xfId="46554"/>
    <cellStyle name="Normal 24 3 4 13" xfId="50633"/>
    <cellStyle name="Normal 24 3 4 2" xfId="8248"/>
    <cellStyle name="Normal 24 3 4 2 10" xfId="44538"/>
    <cellStyle name="Normal 24 3 4 2 11" xfId="48570"/>
    <cellStyle name="Normal 24 3 4 2 12" xfId="52649"/>
    <cellStyle name="Normal 24 3 4 2 2" xfId="12282"/>
    <cellStyle name="Normal 24 3 4 2 3" xfId="16314"/>
    <cellStyle name="Normal 24 3 4 2 4" xfId="20346"/>
    <cellStyle name="Normal 24 3 4 2 5" xfId="24378"/>
    <cellStyle name="Normal 24 3 4 2 6" xfId="28410"/>
    <cellStyle name="Normal 24 3 4 2 7" xfId="32442"/>
    <cellStyle name="Normal 24 3 4 2 8" xfId="36474"/>
    <cellStyle name="Normal 24 3 4 2 9" xfId="40506"/>
    <cellStyle name="Normal 24 3 4 3" xfId="10266"/>
    <cellStyle name="Normal 24 3 4 4" xfId="14298"/>
    <cellStyle name="Normal 24 3 4 5" xfId="18330"/>
    <cellStyle name="Normal 24 3 4 6" xfId="22362"/>
    <cellStyle name="Normal 24 3 4 7" xfId="26394"/>
    <cellStyle name="Normal 24 3 4 8" xfId="30426"/>
    <cellStyle name="Normal 24 3 4 9" xfId="34458"/>
    <cellStyle name="Normal 24 3 5" xfId="343"/>
    <cellStyle name="Normal 24 3 5 10" xfId="37548"/>
    <cellStyle name="Normal 24 3 5 11" xfId="41580"/>
    <cellStyle name="Normal 24 3 5 12" xfId="45612"/>
    <cellStyle name="Normal 24 3 5 13" xfId="49690"/>
    <cellStyle name="Normal 24 3 5 2" xfId="7306"/>
    <cellStyle name="Normal 24 3 5 2 10" xfId="43596"/>
    <cellStyle name="Normal 24 3 5 2 11" xfId="47628"/>
    <cellStyle name="Normal 24 3 5 2 12" xfId="51707"/>
    <cellStyle name="Normal 24 3 5 2 2" xfId="11340"/>
    <cellStyle name="Normal 24 3 5 2 3" xfId="15372"/>
    <cellStyle name="Normal 24 3 5 2 4" xfId="19404"/>
    <cellStyle name="Normal 24 3 5 2 5" xfId="23436"/>
    <cellStyle name="Normal 24 3 5 2 6" xfId="27468"/>
    <cellStyle name="Normal 24 3 5 2 7" xfId="31500"/>
    <cellStyle name="Normal 24 3 5 2 8" xfId="35532"/>
    <cellStyle name="Normal 24 3 5 2 9" xfId="39564"/>
    <cellStyle name="Normal 24 3 5 3" xfId="9324"/>
    <cellStyle name="Normal 24 3 5 4" xfId="13356"/>
    <cellStyle name="Normal 24 3 5 5" xfId="17388"/>
    <cellStyle name="Normal 24 3 5 6" xfId="21420"/>
    <cellStyle name="Normal 24 3 5 7" xfId="25452"/>
    <cellStyle name="Normal 24 3 5 8" xfId="29484"/>
    <cellStyle name="Normal 24 3 5 9" xfId="33516"/>
    <cellStyle name="Normal 24 3 6" xfId="7183"/>
    <cellStyle name="Normal 24 3 6 10" xfId="43473"/>
    <cellStyle name="Normal 24 3 6 11" xfId="47505"/>
    <cellStyle name="Normal 24 3 6 12" xfId="51584"/>
    <cellStyle name="Normal 24 3 6 2" xfId="11217"/>
    <cellStyle name="Normal 24 3 6 3" xfId="15249"/>
    <cellStyle name="Normal 24 3 6 4" xfId="19281"/>
    <cellStyle name="Normal 24 3 6 5" xfId="23313"/>
    <cellStyle name="Normal 24 3 6 6" xfId="27345"/>
    <cellStyle name="Normal 24 3 6 7" xfId="31377"/>
    <cellStyle name="Normal 24 3 6 8" xfId="35409"/>
    <cellStyle name="Normal 24 3 6 9" xfId="39441"/>
    <cellStyle name="Normal 24 3 7" xfId="9201"/>
    <cellStyle name="Normal 24 3 8" xfId="13233"/>
    <cellStyle name="Normal 24 3 9" xfId="17265"/>
    <cellStyle name="Normal 24 4" xfId="1653"/>
    <cellStyle name="Normal 24 4 10" xfId="33614"/>
    <cellStyle name="Normal 24 4 11" xfId="37646"/>
    <cellStyle name="Normal 24 4 12" xfId="41678"/>
    <cellStyle name="Normal 24 4 13" xfId="45710"/>
    <cellStyle name="Normal 24 4 14" xfId="49788"/>
    <cellStyle name="Normal 24 4 2" xfId="5329"/>
    <cellStyle name="Normal 24 4 2 10" xfId="38597"/>
    <cellStyle name="Normal 24 4 2 11" xfId="42629"/>
    <cellStyle name="Normal 24 4 2 12" xfId="46661"/>
    <cellStyle name="Normal 24 4 2 13" xfId="50740"/>
    <cellStyle name="Normal 24 4 2 2" xfId="8355"/>
    <cellStyle name="Normal 24 4 2 2 10" xfId="44645"/>
    <cellStyle name="Normal 24 4 2 2 11" xfId="48677"/>
    <cellStyle name="Normal 24 4 2 2 12" xfId="52756"/>
    <cellStyle name="Normal 24 4 2 2 2" xfId="12389"/>
    <cellStyle name="Normal 24 4 2 2 3" xfId="16421"/>
    <cellStyle name="Normal 24 4 2 2 4" xfId="20453"/>
    <cellStyle name="Normal 24 4 2 2 5" xfId="24485"/>
    <cellStyle name="Normal 24 4 2 2 6" xfId="28517"/>
    <cellStyle name="Normal 24 4 2 2 7" xfId="32549"/>
    <cellStyle name="Normal 24 4 2 2 8" xfId="36581"/>
    <cellStyle name="Normal 24 4 2 2 9" xfId="40613"/>
    <cellStyle name="Normal 24 4 2 3" xfId="10373"/>
    <cellStyle name="Normal 24 4 2 4" xfId="14405"/>
    <cellStyle name="Normal 24 4 2 5" xfId="18437"/>
    <cellStyle name="Normal 24 4 2 6" xfId="22469"/>
    <cellStyle name="Normal 24 4 2 7" xfId="26501"/>
    <cellStyle name="Normal 24 4 2 8" xfId="30533"/>
    <cellStyle name="Normal 24 4 2 9" xfId="34565"/>
    <cellStyle name="Normal 24 4 3" xfId="7404"/>
    <cellStyle name="Normal 24 4 3 10" xfId="43694"/>
    <cellStyle name="Normal 24 4 3 11" xfId="47726"/>
    <cellStyle name="Normal 24 4 3 12" xfId="51805"/>
    <cellStyle name="Normal 24 4 3 2" xfId="11438"/>
    <cellStyle name="Normal 24 4 3 3" xfId="15470"/>
    <cellStyle name="Normal 24 4 3 4" xfId="19502"/>
    <cellStyle name="Normal 24 4 3 5" xfId="23534"/>
    <cellStyle name="Normal 24 4 3 6" xfId="27566"/>
    <cellStyle name="Normal 24 4 3 7" xfId="31598"/>
    <cellStyle name="Normal 24 4 3 8" xfId="35630"/>
    <cellStyle name="Normal 24 4 3 9" xfId="39662"/>
    <cellStyle name="Normal 24 4 4" xfId="9422"/>
    <cellStyle name="Normal 24 4 5" xfId="13454"/>
    <cellStyle name="Normal 24 4 6" xfId="17486"/>
    <cellStyle name="Normal 24 4 7" xfId="21518"/>
    <cellStyle name="Normal 24 4 8" xfId="25550"/>
    <cellStyle name="Normal 24 4 9" xfId="29582"/>
    <cellStyle name="Normal 24 5" xfId="1727"/>
    <cellStyle name="Normal 24 5 10" xfId="33683"/>
    <cellStyle name="Normal 24 5 11" xfId="37715"/>
    <cellStyle name="Normal 24 5 12" xfId="41747"/>
    <cellStyle name="Normal 24 5 13" xfId="45779"/>
    <cellStyle name="Normal 24 5 14" xfId="49857"/>
    <cellStyle name="Normal 24 5 2" xfId="5398"/>
    <cellStyle name="Normal 24 5 2 10" xfId="38666"/>
    <cellStyle name="Normal 24 5 2 11" xfId="42698"/>
    <cellStyle name="Normal 24 5 2 12" xfId="46730"/>
    <cellStyle name="Normal 24 5 2 13" xfId="50809"/>
    <cellStyle name="Normal 24 5 2 2" xfId="8424"/>
    <cellStyle name="Normal 24 5 2 2 10" xfId="44714"/>
    <cellStyle name="Normal 24 5 2 2 11" xfId="48746"/>
    <cellStyle name="Normal 24 5 2 2 12" xfId="52825"/>
    <cellStyle name="Normal 24 5 2 2 2" xfId="12458"/>
    <cellStyle name="Normal 24 5 2 2 3" xfId="16490"/>
    <cellStyle name="Normal 24 5 2 2 4" xfId="20522"/>
    <cellStyle name="Normal 24 5 2 2 5" xfId="24554"/>
    <cellStyle name="Normal 24 5 2 2 6" xfId="28586"/>
    <cellStyle name="Normal 24 5 2 2 7" xfId="32618"/>
    <cellStyle name="Normal 24 5 2 2 8" xfId="36650"/>
    <cellStyle name="Normal 24 5 2 2 9" xfId="40682"/>
    <cellStyle name="Normal 24 5 2 3" xfId="10442"/>
    <cellStyle name="Normal 24 5 2 4" xfId="14474"/>
    <cellStyle name="Normal 24 5 2 5" xfId="18506"/>
    <cellStyle name="Normal 24 5 2 6" xfId="22538"/>
    <cellStyle name="Normal 24 5 2 7" xfId="26570"/>
    <cellStyle name="Normal 24 5 2 8" xfId="30602"/>
    <cellStyle name="Normal 24 5 2 9" xfId="34634"/>
    <cellStyle name="Normal 24 5 3" xfId="7473"/>
    <cellStyle name="Normal 24 5 3 10" xfId="43763"/>
    <cellStyle name="Normal 24 5 3 11" xfId="47795"/>
    <cellStyle name="Normal 24 5 3 12" xfId="51874"/>
    <cellStyle name="Normal 24 5 3 2" xfId="11507"/>
    <cellStyle name="Normal 24 5 3 3" xfId="15539"/>
    <cellStyle name="Normal 24 5 3 4" xfId="19571"/>
    <cellStyle name="Normal 24 5 3 5" xfId="23603"/>
    <cellStyle name="Normal 24 5 3 6" xfId="27635"/>
    <cellStyle name="Normal 24 5 3 7" xfId="31667"/>
    <cellStyle name="Normal 24 5 3 8" xfId="35699"/>
    <cellStyle name="Normal 24 5 3 9" xfId="39731"/>
    <cellStyle name="Normal 24 5 4" xfId="9491"/>
    <cellStyle name="Normal 24 5 5" xfId="13523"/>
    <cellStyle name="Normal 24 5 6" xfId="17555"/>
    <cellStyle name="Normal 24 5 7" xfId="21587"/>
    <cellStyle name="Normal 24 5 8" xfId="25619"/>
    <cellStyle name="Normal 24 5 9" xfId="29651"/>
    <cellStyle name="Normal 24 6" xfId="2718"/>
    <cellStyle name="Normal 24 6 2" xfId="5682"/>
    <cellStyle name="Normal 24 7" xfId="4049"/>
    <cellStyle name="Normal 24 7 10" xfId="33906"/>
    <cellStyle name="Normal 24 7 11" xfId="37938"/>
    <cellStyle name="Normal 24 7 12" xfId="41970"/>
    <cellStyle name="Normal 24 7 13" xfId="46002"/>
    <cellStyle name="Normal 24 7 14" xfId="50080"/>
    <cellStyle name="Normal 24 7 2" xfId="6631"/>
    <cellStyle name="Normal 24 7 2 10" xfId="38889"/>
    <cellStyle name="Normal 24 7 2 11" xfId="42921"/>
    <cellStyle name="Normal 24 7 2 12" xfId="46953"/>
    <cellStyle name="Normal 24 7 2 13" xfId="51032"/>
    <cellStyle name="Normal 24 7 2 2" xfId="8647"/>
    <cellStyle name="Normal 24 7 2 2 10" xfId="44937"/>
    <cellStyle name="Normal 24 7 2 2 11" xfId="48969"/>
    <cellStyle name="Normal 24 7 2 2 12" xfId="53048"/>
    <cellStyle name="Normal 24 7 2 2 2" xfId="12681"/>
    <cellStyle name="Normal 24 7 2 2 3" xfId="16713"/>
    <cellStyle name="Normal 24 7 2 2 4" xfId="20745"/>
    <cellStyle name="Normal 24 7 2 2 5" xfId="24777"/>
    <cellStyle name="Normal 24 7 2 2 6" xfId="28809"/>
    <cellStyle name="Normal 24 7 2 2 7" xfId="32841"/>
    <cellStyle name="Normal 24 7 2 2 8" xfId="36873"/>
    <cellStyle name="Normal 24 7 2 2 9" xfId="40905"/>
    <cellStyle name="Normal 24 7 2 3" xfId="10665"/>
    <cellStyle name="Normal 24 7 2 4" xfId="14697"/>
    <cellStyle name="Normal 24 7 2 5" xfId="18729"/>
    <cellStyle name="Normal 24 7 2 6" xfId="22761"/>
    <cellStyle name="Normal 24 7 2 7" xfId="26793"/>
    <cellStyle name="Normal 24 7 2 8" xfId="30825"/>
    <cellStyle name="Normal 24 7 2 9" xfId="34857"/>
    <cellStyle name="Normal 24 7 3" xfId="7696"/>
    <cellStyle name="Normal 24 7 3 10" xfId="43986"/>
    <cellStyle name="Normal 24 7 3 11" xfId="48018"/>
    <cellStyle name="Normal 24 7 3 12" xfId="52097"/>
    <cellStyle name="Normal 24 7 3 2" xfId="11730"/>
    <cellStyle name="Normal 24 7 3 3" xfId="15762"/>
    <cellStyle name="Normal 24 7 3 4" xfId="19794"/>
    <cellStyle name="Normal 24 7 3 5" xfId="23826"/>
    <cellStyle name="Normal 24 7 3 6" xfId="27858"/>
    <cellStyle name="Normal 24 7 3 7" xfId="31890"/>
    <cellStyle name="Normal 24 7 3 8" xfId="35922"/>
    <cellStyle name="Normal 24 7 3 9" xfId="39954"/>
    <cellStyle name="Normal 24 7 4" xfId="9714"/>
    <cellStyle name="Normal 24 7 5" xfId="13746"/>
    <cellStyle name="Normal 24 7 6" xfId="17778"/>
    <cellStyle name="Normal 24 7 7" xfId="21810"/>
    <cellStyle name="Normal 24 7 8" xfId="25842"/>
    <cellStyle name="Normal 24 7 9" xfId="29874"/>
    <cellStyle name="Normal 24 8" xfId="4119"/>
    <cellStyle name="Normal 24 8 10" xfId="33975"/>
    <cellStyle name="Normal 24 8 11" xfId="38007"/>
    <cellStyle name="Normal 24 8 12" xfId="42039"/>
    <cellStyle name="Normal 24 8 13" xfId="46071"/>
    <cellStyle name="Normal 24 8 14" xfId="50149"/>
    <cellStyle name="Normal 24 8 2" xfId="6700"/>
    <cellStyle name="Normal 24 8 2 10" xfId="38958"/>
    <cellStyle name="Normal 24 8 2 11" xfId="42990"/>
    <cellStyle name="Normal 24 8 2 12" xfId="47022"/>
    <cellStyle name="Normal 24 8 2 13" xfId="51101"/>
    <cellStyle name="Normal 24 8 2 2" xfId="8716"/>
    <cellStyle name="Normal 24 8 2 2 10" xfId="45006"/>
    <cellStyle name="Normal 24 8 2 2 11" xfId="49038"/>
    <cellStyle name="Normal 24 8 2 2 12" xfId="53117"/>
    <cellStyle name="Normal 24 8 2 2 2" xfId="12750"/>
    <cellStyle name="Normal 24 8 2 2 3" xfId="16782"/>
    <cellStyle name="Normal 24 8 2 2 4" xfId="20814"/>
    <cellStyle name="Normal 24 8 2 2 5" xfId="24846"/>
    <cellStyle name="Normal 24 8 2 2 6" xfId="28878"/>
    <cellStyle name="Normal 24 8 2 2 7" xfId="32910"/>
    <cellStyle name="Normal 24 8 2 2 8" xfId="36942"/>
    <cellStyle name="Normal 24 8 2 2 9" xfId="40974"/>
    <cellStyle name="Normal 24 8 2 3" xfId="10734"/>
    <cellStyle name="Normal 24 8 2 4" xfId="14766"/>
    <cellStyle name="Normal 24 8 2 5" xfId="18798"/>
    <cellStyle name="Normal 24 8 2 6" xfId="22830"/>
    <cellStyle name="Normal 24 8 2 7" xfId="26862"/>
    <cellStyle name="Normal 24 8 2 8" xfId="30894"/>
    <cellStyle name="Normal 24 8 2 9" xfId="34926"/>
    <cellStyle name="Normal 24 8 3" xfId="7765"/>
    <cellStyle name="Normal 24 8 3 10" xfId="44055"/>
    <cellStyle name="Normal 24 8 3 11" xfId="48087"/>
    <cellStyle name="Normal 24 8 3 12" xfId="52166"/>
    <cellStyle name="Normal 24 8 3 2" xfId="11799"/>
    <cellStyle name="Normal 24 8 3 3" xfId="15831"/>
    <cellStyle name="Normal 24 8 3 4" xfId="19863"/>
    <cellStyle name="Normal 24 8 3 5" xfId="23895"/>
    <cellStyle name="Normal 24 8 3 6" xfId="27927"/>
    <cellStyle name="Normal 24 8 3 7" xfId="31959"/>
    <cellStyle name="Normal 24 8 3 8" xfId="35991"/>
    <cellStyle name="Normal 24 8 3 9" xfId="40023"/>
    <cellStyle name="Normal 24 8 4" xfId="9783"/>
    <cellStyle name="Normal 24 8 5" xfId="13815"/>
    <cellStyle name="Normal 24 8 6" xfId="17847"/>
    <cellStyle name="Normal 24 8 7" xfId="21879"/>
    <cellStyle name="Normal 24 8 8" xfId="25911"/>
    <cellStyle name="Normal 24 8 9" xfId="29943"/>
    <cellStyle name="Normal 24 9" xfId="4188"/>
    <cellStyle name="Normal 24 9 10" xfId="34044"/>
    <cellStyle name="Normal 24 9 11" xfId="38076"/>
    <cellStyle name="Normal 24 9 12" xfId="42108"/>
    <cellStyle name="Normal 24 9 13" xfId="46140"/>
    <cellStyle name="Normal 24 9 14" xfId="50218"/>
    <cellStyle name="Normal 24 9 2" xfId="6769"/>
    <cellStyle name="Normal 24 9 2 10" xfId="39027"/>
    <cellStyle name="Normal 24 9 2 11" xfId="43059"/>
    <cellStyle name="Normal 24 9 2 12" xfId="47091"/>
    <cellStyle name="Normal 24 9 2 13" xfId="51170"/>
    <cellStyle name="Normal 24 9 2 2" xfId="8785"/>
    <cellStyle name="Normal 24 9 2 2 10" xfId="45075"/>
    <cellStyle name="Normal 24 9 2 2 11" xfId="49107"/>
    <cellStyle name="Normal 24 9 2 2 12" xfId="53186"/>
    <cellStyle name="Normal 24 9 2 2 2" xfId="12819"/>
    <cellStyle name="Normal 24 9 2 2 3" xfId="16851"/>
    <cellStyle name="Normal 24 9 2 2 4" xfId="20883"/>
    <cellStyle name="Normal 24 9 2 2 5" xfId="24915"/>
    <cellStyle name="Normal 24 9 2 2 6" xfId="28947"/>
    <cellStyle name="Normal 24 9 2 2 7" xfId="32979"/>
    <cellStyle name="Normal 24 9 2 2 8" xfId="37011"/>
    <cellStyle name="Normal 24 9 2 2 9" xfId="41043"/>
    <cellStyle name="Normal 24 9 2 3" xfId="10803"/>
    <cellStyle name="Normal 24 9 2 4" xfId="14835"/>
    <cellStyle name="Normal 24 9 2 5" xfId="18867"/>
    <cellStyle name="Normal 24 9 2 6" xfId="22899"/>
    <cellStyle name="Normal 24 9 2 7" xfId="26931"/>
    <cellStyle name="Normal 24 9 2 8" xfId="30963"/>
    <cellStyle name="Normal 24 9 2 9" xfId="34995"/>
    <cellStyle name="Normal 24 9 3" xfId="7834"/>
    <cellStyle name="Normal 24 9 3 10" xfId="44124"/>
    <cellStyle name="Normal 24 9 3 11" xfId="48156"/>
    <cellStyle name="Normal 24 9 3 12" xfId="52235"/>
    <cellStyle name="Normal 24 9 3 2" xfId="11868"/>
    <cellStyle name="Normal 24 9 3 3" xfId="15900"/>
    <cellStyle name="Normal 24 9 3 4" xfId="19932"/>
    <cellStyle name="Normal 24 9 3 5" xfId="23964"/>
    <cellStyle name="Normal 24 9 3 6" xfId="27996"/>
    <cellStyle name="Normal 24 9 3 7" xfId="32028"/>
    <cellStyle name="Normal 24 9 3 8" xfId="36060"/>
    <cellStyle name="Normal 24 9 3 9" xfId="40092"/>
    <cellStyle name="Normal 24 9 4" xfId="9852"/>
    <cellStyle name="Normal 24 9 5" xfId="13884"/>
    <cellStyle name="Normal 24 9 6" xfId="17916"/>
    <cellStyle name="Normal 24 9 7" xfId="21948"/>
    <cellStyle name="Normal 24 9 8" xfId="25980"/>
    <cellStyle name="Normal 24 9 9" xfId="30012"/>
    <cellStyle name="Normal 25" xfId="66"/>
    <cellStyle name="Normal 25 10" xfId="4262"/>
    <cellStyle name="Normal 25 10 10" xfId="34114"/>
    <cellStyle name="Normal 25 10 11" xfId="38146"/>
    <cellStyle name="Normal 25 10 12" xfId="42178"/>
    <cellStyle name="Normal 25 10 13" xfId="46210"/>
    <cellStyle name="Normal 25 10 14" xfId="50288"/>
    <cellStyle name="Normal 25 10 2" xfId="6839"/>
    <cellStyle name="Normal 25 10 2 10" xfId="39097"/>
    <cellStyle name="Normal 25 10 2 11" xfId="43129"/>
    <cellStyle name="Normal 25 10 2 12" xfId="47161"/>
    <cellStyle name="Normal 25 10 2 13" xfId="51240"/>
    <cellStyle name="Normal 25 10 2 2" xfId="8855"/>
    <cellStyle name="Normal 25 10 2 2 10" xfId="45145"/>
    <cellStyle name="Normal 25 10 2 2 11" xfId="49177"/>
    <cellStyle name="Normal 25 10 2 2 12" xfId="53256"/>
    <cellStyle name="Normal 25 10 2 2 2" xfId="12889"/>
    <cellStyle name="Normal 25 10 2 2 3" xfId="16921"/>
    <cellStyle name="Normal 25 10 2 2 4" xfId="20953"/>
    <cellStyle name="Normal 25 10 2 2 5" xfId="24985"/>
    <cellStyle name="Normal 25 10 2 2 6" xfId="29017"/>
    <cellStyle name="Normal 25 10 2 2 7" xfId="33049"/>
    <cellStyle name="Normal 25 10 2 2 8" xfId="37081"/>
    <cellStyle name="Normal 25 10 2 2 9" xfId="41113"/>
    <cellStyle name="Normal 25 10 2 3" xfId="10873"/>
    <cellStyle name="Normal 25 10 2 4" xfId="14905"/>
    <cellStyle name="Normal 25 10 2 5" xfId="18937"/>
    <cellStyle name="Normal 25 10 2 6" xfId="22969"/>
    <cellStyle name="Normal 25 10 2 7" xfId="27001"/>
    <cellStyle name="Normal 25 10 2 8" xfId="31033"/>
    <cellStyle name="Normal 25 10 2 9" xfId="35065"/>
    <cellStyle name="Normal 25 10 3" xfId="7904"/>
    <cellStyle name="Normal 25 10 3 10" xfId="44194"/>
    <cellStyle name="Normal 25 10 3 11" xfId="48226"/>
    <cellStyle name="Normal 25 10 3 12" xfId="52305"/>
    <cellStyle name="Normal 25 10 3 2" xfId="11938"/>
    <cellStyle name="Normal 25 10 3 3" xfId="15970"/>
    <cellStyle name="Normal 25 10 3 4" xfId="20002"/>
    <cellStyle name="Normal 25 10 3 5" xfId="24034"/>
    <cellStyle name="Normal 25 10 3 6" xfId="28066"/>
    <cellStyle name="Normal 25 10 3 7" xfId="32098"/>
    <cellStyle name="Normal 25 10 3 8" xfId="36130"/>
    <cellStyle name="Normal 25 10 3 9" xfId="40162"/>
    <cellStyle name="Normal 25 10 4" xfId="9922"/>
    <cellStyle name="Normal 25 10 5" xfId="13954"/>
    <cellStyle name="Normal 25 10 6" xfId="17986"/>
    <cellStyle name="Normal 25 10 7" xfId="22018"/>
    <cellStyle name="Normal 25 10 8" xfId="26050"/>
    <cellStyle name="Normal 25 10 9" xfId="30082"/>
    <cellStyle name="Normal 25 11" xfId="4408"/>
    <cellStyle name="Normal 25 11 10" xfId="34252"/>
    <cellStyle name="Normal 25 11 11" xfId="38284"/>
    <cellStyle name="Normal 25 11 12" xfId="42316"/>
    <cellStyle name="Normal 25 11 13" xfId="46348"/>
    <cellStyle name="Normal 25 11 14" xfId="50427"/>
    <cellStyle name="Normal 25 11 2" xfId="6977"/>
    <cellStyle name="Normal 25 11 2 10" xfId="39235"/>
    <cellStyle name="Normal 25 11 2 11" xfId="43267"/>
    <cellStyle name="Normal 25 11 2 12" xfId="47299"/>
    <cellStyle name="Normal 25 11 2 13" xfId="51378"/>
    <cellStyle name="Normal 25 11 2 2" xfId="8993"/>
    <cellStyle name="Normal 25 11 2 2 10" xfId="45283"/>
    <cellStyle name="Normal 25 11 2 2 11" xfId="49315"/>
    <cellStyle name="Normal 25 11 2 2 12" xfId="53394"/>
    <cellStyle name="Normal 25 11 2 2 2" xfId="13027"/>
    <cellStyle name="Normal 25 11 2 2 3" xfId="17059"/>
    <cellStyle name="Normal 25 11 2 2 4" xfId="21091"/>
    <cellStyle name="Normal 25 11 2 2 5" xfId="25123"/>
    <cellStyle name="Normal 25 11 2 2 6" xfId="29155"/>
    <cellStyle name="Normal 25 11 2 2 7" xfId="33187"/>
    <cellStyle name="Normal 25 11 2 2 8" xfId="37219"/>
    <cellStyle name="Normal 25 11 2 2 9" xfId="41251"/>
    <cellStyle name="Normal 25 11 2 3" xfId="11011"/>
    <cellStyle name="Normal 25 11 2 4" xfId="15043"/>
    <cellStyle name="Normal 25 11 2 5" xfId="19075"/>
    <cellStyle name="Normal 25 11 2 6" xfId="23107"/>
    <cellStyle name="Normal 25 11 2 7" xfId="27139"/>
    <cellStyle name="Normal 25 11 2 8" xfId="31171"/>
    <cellStyle name="Normal 25 11 2 9" xfId="35203"/>
    <cellStyle name="Normal 25 11 3" xfId="8042"/>
    <cellStyle name="Normal 25 11 3 10" xfId="44332"/>
    <cellStyle name="Normal 25 11 3 11" xfId="48364"/>
    <cellStyle name="Normal 25 11 3 12" xfId="52443"/>
    <cellStyle name="Normal 25 11 3 2" xfId="12076"/>
    <cellStyle name="Normal 25 11 3 3" xfId="16108"/>
    <cellStyle name="Normal 25 11 3 4" xfId="20140"/>
    <cellStyle name="Normal 25 11 3 5" xfId="24172"/>
    <cellStyle name="Normal 25 11 3 6" xfId="28204"/>
    <cellStyle name="Normal 25 11 3 7" xfId="32236"/>
    <cellStyle name="Normal 25 11 3 8" xfId="36268"/>
    <cellStyle name="Normal 25 11 3 9" xfId="40300"/>
    <cellStyle name="Normal 25 11 4" xfId="10060"/>
    <cellStyle name="Normal 25 11 5" xfId="14092"/>
    <cellStyle name="Normal 25 11 6" xfId="18124"/>
    <cellStyle name="Normal 25 11 7" xfId="22156"/>
    <cellStyle name="Normal 25 11 8" xfId="26188"/>
    <cellStyle name="Normal 25 11 9" xfId="30220"/>
    <cellStyle name="Normal 25 12" xfId="4546"/>
    <cellStyle name="Normal 25 12 10" xfId="38422"/>
    <cellStyle name="Normal 25 12 11" xfId="42454"/>
    <cellStyle name="Normal 25 12 12" xfId="46486"/>
    <cellStyle name="Normal 25 12 13" xfId="50565"/>
    <cellStyle name="Normal 25 12 2" xfId="8180"/>
    <cellStyle name="Normal 25 12 2 10" xfId="44470"/>
    <cellStyle name="Normal 25 12 2 11" xfId="48502"/>
    <cellStyle name="Normal 25 12 2 12" xfId="52581"/>
    <cellStyle name="Normal 25 12 2 2" xfId="12214"/>
    <cellStyle name="Normal 25 12 2 3" xfId="16246"/>
    <cellStyle name="Normal 25 12 2 4" xfId="20278"/>
    <cellStyle name="Normal 25 12 2 5" xfId="24310"/>
    <cellStyle name="Normal 25 12 2 6" xfId="28342"/>
    <cellStyle name="Normal 25 12 2 7" xfId="32374"/>
    <cellStyle name="Normal 25 12 2 8" xfId="36406"/>
    <cellStyle name="Normal 25 12 2 9" xfId="40438"/>
    <cellStyle name="Normal 25 12 3" xfId="10198"/>
    <cellStyle name="Normal 25 12 4" xfId="14230"/>
    <cellStyle name="Normal 25 12 5" xfId="18262"/>
    <cellStyle name="Normal 25 12 6" xfId="22294"/>
    <cellStyle name="Normal 25 12 7" xfId="26326"/>
    <cellStyle name="Normal 25 12 8" xfId="30358"/>
    <cellStyle name="Normal 25 12 9" xfId="34390"/>
    <cellStyle name="Normal 25 13" xfId="274"/>
    <cellStyle name="Normal 25 13 10" xfId="37479"/>
    <cellStyle name="Normal 25 13 11" xfId="41511"/>
    <cellStyle name="Normal 25 13 12" xfId="45543"/>
    <cellStyle name="Normal 25 13 13" xfId="49621"/>
    <cellStyle name="Normal 25 13 2" xfId="7237"/>
    <cellStyle name="Normal 25 13 2 10" xfId="43527"/>
    <cellStyle name="Normal 25 13 2 11" xfId="47559"/>
    <cellStyle name="Normal 25 13 2 12" xfId="51638"/>
    <cellStyle name="Normal 25 13 2 2" xfId="11271"/>
    <cellStyle name="Normal 25 13 2 3" xfId="15303"/>
    <cellStyle name="Normal 25 13 2 4" xfId="19335"/>
    <cellStyle name="Normal 25 13 2 5" xfId="23367"/>
    <cellStyle name="Normal 25 13 2 6" xfId="27399"/>
    <cellStyle name="Normal 25 13 2 7" xfId="31431"/>
    <cellStyle name="Normal 25 13 2 8" xfId="35463"/>
    <cellStyle name="Normal 25 13 2 9" xfId="39495"/>
    <cellStyle name="Normal 25 13 3" xfId="9255"/>
    <cellStyle name="Normal 25 13 4" xfId="13287"/>
    <cellStyle name="Normal 25 13 5" xfId="17319"/>
    <cellStyle name="Normal 25 13 6" xfId="21351"/>
    <cellStyle name="Normal 25 13 7" xfId="25383"/>
    <cellStyle name="Normal 25 13 8" xfId="29415"/>
    <cellStyle name="Normal 25 13 9" xfId="33447"/>
    <cellStyle name="Normal 25 14" xfId="7115"/>
    <cellStyle name="Normal 25 14 10" xfId="43405"/>
    <cellStyle name="Normal 25 14 11" xfId="47437"/>
    <cellStyle name="Normal 25 14 12" xfId="51516"/>
    <cellStyle name="Normal 25 14 2" xfId="11149"/>
    <cellStyle name="Normal 25 14 3" xfId="15181"/>
    <cellStyle name="Normal 25 14 4" xfId="19213"/>
    <cellStyle name="Normal 25 14 5" xfId="23245"/>
    <cellStyle name="Normal 25 14 6" xfId="27277"/>
    <cellStyle name="Normal 25 14 7" xfId="31309"/>
    <cellStyle name="Normal 25 14 8" xfId="35341"/>
    <cellStyle name="Normal 25 14 9" xfId="39373"/>
    <cellStyle name="Normal 25 15" xfId="141"/>
    <cellStyle name="Normal 25 16" xfId="9133"/>
    <cellStyle name="Normal 25 17" xfId="13165"/>
    <cellStyle name="Normal 25 18" xfId="17197"/>
    <cellStyle name="Normal 25 19" xfId="21229"/>
    <cellStyle name="Normal 25 2" xfId="101"/>
    <cellStyle name="Normal 25 2 10" xfId="4443"/>
    <cellStyle name="Normal 25 2 10 10" xfId="34287"/>
    <cellStyle name="Normal 25 2 10 11" xfId="38319"/>
    <cellStyle name="Normal 25 2 10 12" xfId="42351"/>
    <cellStyle name="Normal 25 2 10 13" xfId="46383"/>
    <cellStyle name="Normal 25 2 10 14" xfId="50462"/>
    <cellStyle name="Normal 25 2 10 2" xfId="7012"/>
    <cellStyle name="Normal 25 2 10 2 10" xfId="39270"/>
    <cellStyle name="Normal 25 2 10 2 11" xfId="43302"/>
    <cellStyle name="Normal 25 2 10 2 12" xfId="47334"/>
    <cellStyle name="Normal 25 2 10 2 13" xfId="51413"/>
    <cellStyle name="Normal 25 2 10 2 2" xfId="9028"/>
    <cellStyle name="Normal 25 2 10 2 2 10" xfId="45318"/>
    <cellStyle name="Normal 25 2 10 2 2 11" xfId="49350"/>
    <cellStyle name="Normal 25 2 10 2 2 12" xfId="53429"/>
    <cellStyle name="Normal 25 2 10 2 2 2" xfId="13062"/>
    <cellStyle name="Normal 25 2 10 2 2 3" xfId="17094"/>
    <cellStyle name="Normal 25 2 10 2 2 4" xfId="21126"/>
    <cellStyle name="Normal 25 2 10 2 2 5" xfId="25158"/>
    <cellStyle name="Normal 25 2 10 2 2 6" xfId="29190"/>
    <cellStyle name="Normal 25 2 10 2 2 7" xfId="33222"/>
    <cellStyle name="Normal 25 2 10 2 2 8" xfId="37254"/>
    <cellStyle name="Normal 25 2 10 2 2 9" xfId="41286"/>
    <cellStyle name="Normal 25 2 10 2 3" xfId="11046"/>
    <cellStyle name="Normal 25 2 10 2 4" xfId="15078"/>
    <cellStyle name="Normal 25 2 10 2 5" xfId="19110"/>
    <cellStyle name="Normal 25 2 10 2 6" xfId="23142"/>
    <cellStyle name="Normal 25 2 10 2 7" xfId="27174"/>
    <cellStyle name="Normal 25 2 10 2 8" xfId="31206"/>
    <cellStyle name="Normal 25 2 10 2 9" xfId="35238"/>
    <cellStyle name="Normal 25 2 10 3" xfId="8077"/>
    <cellStyle name="Normal 25 2 10 3 10" xfId="44367"/>
    <cellStyle name="Normal 25 2 10 3 11" xfId="48399"/>
    <cellStyle name="Normal 25 2 10 3 12" xfId="52478"/>
    <cellStyle name="Normal 25 2 10 3 2" xfId="12111"/>
    <cellStyle name="Normal 25 2 10 3 3" xfId="16143"/>
    <cellStyle name="Normal 25 2 10 3 4" xfId="20175"/>
    <cellStyle name="Normal 25 2 10 3 5" xfId="24207"/>
    <cellStyle name="Normal 25 2 10 3 6" xfId="28239"/>
    <cellStyle name="Normal 25 2 10 3 7" xfId="32271"/>
    <cellStyle name="Normal 25 2 10 3 8" xfId="36303"/>
    <cellStyle name="Normal 25 2 10 3 9" xfId="40335"/>
    <cellStyle name="Normal 25 2 10 4" xfId="10095"/>
    <cellStyle name="Normal 25 2 10 5" xfId="14127"/>
    <cellStyle name="Normal 25 2 10 6" xfId="18159"/>
    <cellStyle name="Normal 25 2 10 7" xfId="22191"/>
    <cellStyle name="Normal 25 2 10 8" xfId="26223"/>
    <cellStyle name="Normal 25 2 10 9" xfId="30255"/>
    <cellStyle name="Normal 25 2 11" xfId="4581"/>
    <cellStyle name="Normal 25 2 11 10" xfId="38457"/>
    <cellStyle name="Normal 25 2 11 11" xfId="42489"/>
    <cellStyle name="Normal 25 2 11 12" xfId="46521"/>
    <cellStyle name="Normal 25 2 11 13" xfId="50600"/>
    <cellStyle name="Normal 25 2 11 2" xfId="8215"/>
    <cellStyle name="Normal 25 2 11 2 10" xfId="44505"/>
    <cellStyle name="Normal 25 2 11 2 11" xfId="48537"/>
    <cellStyle name="Normal 25 2 11 2 12" xfId="52616"/>
    <cellStyle name="Normal 25 2 11 2 2" xfId="12249"/>
    <cellStyle name="Normal 25 2 11 2 3" xfId="16281"/>
    <cellStyle name="Normal 25 2 11 2 4" xfId="20313"/>
    <cellStyle name="Normal 25 2 11 2 5" xfId="24345"/>
    <cellStyle name="Normal 25 2 11 2 6" xfId="28377"/>
    <cellStyle name="Normal 25 2 11 2 7" xfId="32409"/>
    <cellStyle name="Normal 25 2 11 2 8" xfId="36441"/>
    <cellStyle name="Normal 25 2 11 2 9" xfId="40473"/>
    <cellStyle name="Normal 25 2 11 3" xfId="10233"/>
    <cellStyle name="Normal 25 2 11 4" xfId="14265"/>
    <cellStyle name="Normal 25 2 11 5" xfId="18297"/>
    <cellStyle name="Normal 25 2 11 6" xfId="22329"/>
    <cellStyle name="Normal 25 2 11 7" xfId="26361"/>
    <cellStyle name="Normal 25 2 11 8" xfId="30393"/>
    <cellStyle name="Normal 25 2 11 9" xfId="34425"/>
    <cellStyle name="Normal 25 2 12" xfId="309"/>
    <cellStyle name="Normal 25 2 12 10" xfId="37514"/>
    <cellStyle name="Normal 25 2 12 11" xfId="41546"/>
    <cellStyle name="Normal 25 2 12 12" xfId="45578"/>
    <cellStyle name="Normal 25 2 12 13" xfId="49656"/>
    <cellStyle name="Normal 25 2 12 2" xfId="7272"/>
    <cellStyle name="Normal 25 2 12 2 10" xfId="43562"/>
    <cellStyle name="Normal 25 2 12 2 11" xfId="47594"/>
    <cellStyle name="Normal 25 2 12 2 12" xfId="51673"/>
    <cellStyle name="Normal 25 2 12 2 2" xfId="11306"/>
    <cellStyle name="Normal 25 2 12 2 3" xfId="15338"/>
    <cellStyle name="Normal 25 2 12 2 4" xfId="19370"/>
    <cellStyle name="Normal 25 2 12 2 5" xfId="23402"/>
    <cellStyle name="Normal 25 2 12 2 6" xfId="27434"/>
    <cellStyle name="Normal 25 2 12 2 7" xfId="31466"/>
    <cellStyle name="Normal 25 2 12 2 8" xfId="35498"/>
    <cellStyle name="Normal 25 2 12 2 9" xfId="39530"/>
    <cellStyle name="Normal 25 2 12 3" xfId="9290"/>
    <cellStyle name="Normal 25 2 12 4" xfId="13322"/>
    <cellStyle name="Normal 25 2 12 5" xfId="17354"/>
    <cellStyle name="Normal 25 2 12 6" xfId="21386"/>
    <cellStyle name="Normal 25 2 12 7" xfId="25418"/>
    <cellStyle name="Normal 25 2 12 8" xfId="29450"/>
    <cellStyle name="Normal 25 2 12 9" xfId="33482"/>
    <cellStyle name="Normal 25 2 13" xfId="7150"/>
    <cellStyle name="Normal 25 2 13 10" xfId="43440"/>
    <cellStyle name="Normal 25 2 13 11" xfId="47472"/>
    <cellStyle name="Normal 25 2 13 12" xfId="51551"/>
    <cellStyle name="Normal 25 2 13 2" xfId="11184"/>
    <cellStyle name="Normal 25 2 13 3" xfId="15216"/>
    <cellStyle name="Normal 25 2 13 4" xfId="19248"/>
    <cellStyle name="Normal 25 2 13 5" xfId="23280"/>
    <cellStyle name="Normal 25 2 13 6" xfId="27312"/>
    <cellStyle name="Normal 25 2 13 7" xfId="31344"/>
    <cellStyle name="Normal 25 2 13 8" xfId="35376"/>
    <cellStyle name="Normal 25 2 13 9" xfId="39408"/>
    <cellStyle name="Normal 25 2 14" xfId="176"/>
    <cellStyle name="Normal 25 2 15" xfId="9168"/>
    <cellStyle name="Normal 25 2 16" xfId="13200"/>
    <cellStyle name="Normal 25 2 17" xfId="17232"/>
    <cellStyle name="Normal 25 2 18" xfId="21264"/>
    <cellStyle name="Normal 25 2 19" xfId="25296"/>
    <cellStyle name="Normal 25 2 2" xfId="255"/>
    <cellStyle name="Normal 25 2 2 10" xfId="21333"/>
    <cellStyle name="Normal 25 2 2 11" xfId="25365"/>
    <cellStyle name="Normal 25 2 2 12" xfId="29397"/>
    <cellStyle name="Normal 25 2 2 13" xfId="33429"/>
    <cellStyle name="Normal 25 2 2 14" xfId="37461"/>
    <cellStyle name="Normal 25 2 2 15" xfId="41493"/>
    <cellStyle name="Normal 25 2 2 16" xfId="45525"/>
    <cellStyle name="Normal 25 2 2 17" xfId="49603"/>
    <cellStyle name="Normal 25 2 2 2" xfId="4373"/>
    <cellStyle name="Normal 25 2 2 2 10" xfId="34218"/>
    <cellStyle name="Normal 25 2 2 2 11" xfId="38250"/>
    <cellStyle name="Normal 25 2 2 2 12" xfId="42282"/>
    <cellStyle name="Normal 25 2 2 2 13" xfId="46314"/>
    <cellStyle name="Normal 25 2 2 2 14" xfId="50393"/>
    <cellStyle name="Normal 25 2 2 2 2" xfId="6943"/>
    <cellStyle name="Normal 25 2 2 2 2 10" xfId="39201"/>
    <cellStyle name="Normal 25 2 2 2 2 11" xfId="43233"/>
    <cellStyle name="Normal 25 2 2 2 2 12" xfId="47265"/>
    <cellStyle name="Normal 25 2 2 2 2 13" xfId="51344"/>
    <cellStyle name="Normal 25 2 2 2 2 2" xfId="8959"/>
    <cellStyle name="Normal 25 2 2 2 2 2 10" xfId="45249"/>
    <cellStyle name="Normal 25 2 2 2 2 2 11" xfId="49281"/>
    <cellStyle name="Normal 25 2 2 2 2 2 12" xfId="53360"/>
    <cellStyle name="Normal 25 2 2 2 2 2 2" xfId="12993"/>
    <cellStyle name="Normal 25 2 2 2 2 2 3" xfId="17025"/>
    <cellStyle name="Normal 25 2 2 2 2 2 4" xfId="21057"/>
    <cellStyle name="Normal 25 2 2 2 2 2 5" xfId="25089"/>
    <cellStyle name="Normal 25 2 2 2 2 2 6" xfId="29121"/>
    <cellStyle name="Normal 25 2 2 2 2 2 7" xfId="33153"/>
    <cellStyle name="Normal 25 2 2 2 2 2 8" xfId="37185"/>
    <cellStyle name="Normal 25 2 2 2 2 2 9" xfId="41217"/>
    <cellStyle name="Normal 25 2 2 2 2 3" xfId="10977"/>
    <cellStyle name="Normal 25 2 2 2 2 4" xfId="15009"/>
    <cellStyle name="Normal 25 2 2 2 2 5" xfId="19041"/>
    <cellStyle name="Normal 25 2 2 2 2 6" xfId="23073"/>
    <cellStyle name="Normal 25 2 2 2 2 7" xfId="27105"/>
    <cellStyle name="Normal 25 2 2 2 2 8" xfId="31137"/>
    <cellStyle name="Normal 25 2 2 2 2 9" xfId="35169"/>
    <cellStyle name="Normal 25 2 2 2 3" xfId="8008"/>
    <cellStyle name="Normal 25 2 2 2 3 10" xfId="44298"/>
    <cellStyle name="Normal 25 2 2 2 3 11" xfId="48330"/>
    <cellStyle name="Normal 25 2 2 2 3 12" xfId="52409"/>
    <cellStyle name="Normal 25 2 2 2 3 2" xfId="12042"/>
    <cellStyle name="Normal 25 2 2 2 3 3" xfId="16074"/>
    <cellStyle name="Normal 25 2 2 2 3 4" xfId="20106"/>
    <cellStyle name="Normal 25 2 2 2 3 5" xfId="24138"/>
    <cellStyle name="Normal 25 2 2 2 3 6" xfId="28170"/>
    <cellStyle name="Normal 25 2 2 2 3 7" xfId="32202"/>
    <cellStyle name="Normal 25 2 2 2 3 8" xfId="36234"/>
    <cellStyle name="Normal 25 2 2 2 3 9" xfId="40266"/>
    <cellStyle name="Normal 25 2 2 2 4" xfId="10026"/>
    <cellStyle name="Normal 25 2 2 2 5" xfId="14058"/>
    <cellStyle name="Normal 25 2 2 2 6" xfId="18090"/>
    <cellStyle name="Normal 25 2 2 2 7" xfId="22122"/>
    <cellStyle name="Normal 25 2 2 2 8" xfId="26154"/>
    <cellStyle name="Normal 25 2 2 2 9" xfId="30186"/>
    <cellStyle name="Normal 25 2 2 3" xfId="4512"/>
    <cellStyle name="Normal 25 2 2 3 10" xfId="34356"/>
    <cellStyle name="Normal 25 2 2 3 11" xfId="38388"/>
    <cellStyle name="Normal 25 2 2 3 12" xfId="42420"/>
    <cellStyle name="Normal 25 2 2 3 13" xfId="46452"/>
    <cellStyle name="Normal 25 2 2 3 14" xfId="50531"/>
    <cellStyle name="Normal 25 2 2 3 2" xfId="7081"/>
    <cellStyle name="Normal 25 2 2 3 2 10" xfId="39339"/>
    <cellStyle name="Normal 25 2 2 3 2 11" xfId="43371"/>
    <cellStyle name="Normal 25 2 2 3 2 12" xfId="47403"/>
    <cellStyle name="Normal 25 2 2 3 2 13" xfId="51482"/>
    <cellStyle name="Normal 25 2 2 3 2 2" xfId="9097"/>
    <cellStyle name="Normal 25 2 2 3 2 2 10" xfId="45387"/>
    <cellStyle name="Normal 25 2 2 3 2 2 11" xfId="49419"/>
    <cellStyle name="Normal 25 2 2 3 2 2 12" xfId="53498"/>
    <cellStyle name="Normal 25 2 2 3 2 2 2" xfId="13131"/>
    <cellStyle name="Normal 25 2 2 3 2 2 3" xfId="17163"/>
    <cellStyle name="Normal 25 2 2 3 2 2 4" xfId="21195"/>
    <cellStyle name="Normal 25 2 2 3 2 2 5" xfId="25227"/>
    <cellStyle name="Normal 25 2 2 3 2 2 6" xfId="29259"/>
    <cellStyle name="Normal 25 2 2 3 2 2 7" xfId="33291"/>
    <cellStyle name="Normal 25 2 2 3 2 2 8" xfId="37323"/>
    <cellStyle name="Normal 25 2 2 3 2 2 9" xfId="41355"/>
    <cellStyle name="Normal 25 2 2 3 2 3" xfId="11115"/>
    <cellStyle name="Normal 25 2 2 3 2 4" xfId="15147"/>
    <cellStyle name="Normal 25 2 2 3 2 5" xfId="19179"/>
    <cellStyle name="Normal 25 2 2 3 2 6" xfId="23211"/>
    <cellStyle name="Normal 25 2 2 3 2 7" xfId="27243"/>
    <cellStyle name="Normal 25 2 2 3 2 8" xfId="31275"/>
    <cellStyle name="Normal 25 2 2 3 2 9" xfId="35307"/>
    <cellStyle name="Normal 25 2 2 3 3" xfId="8146"/>
    <cellStyle name="Normal 25 2 2 3 3 10" xfId="44436"/>
    <cellStyle name="Normal 25 2 2 3 3 11" xfId="48468"/>
    <cellStyle name="Normal 25 2 2 3 3 12" xfId="52547"/>
    <cellStyle name="Normal 25 2 2 3 3 2" xfId="12180"/>
    <cellStyle name="Normal 25 2 2 3 3 3" xfId="16212"/>
    <cellStyle name="Normal 25 2 2 3 3 4" xfId="20244"/>
    <cellStyle name="Normal 25 2 2 3 3 5" xfId="24276"/>
    <cellStyle name="Normal 25 2 2 3 3 6" xfId="28308"/>
    <cellStyle name="Normal 25 2 2 3 3 7" xfId="32340"/>
    <cellStyle name="Normal 25 2 2 3 3 8" xfId="36372"/>
    <cellStyle name="Normal 25 2 2 3 3 9" xfId="40404"/>
    <cellStyle name="Normal 25 2 2 3 4" xfId="10164"/>
    <cellStyle name="Normal 25 2 2 3 5" xfId="14196"/>
    <cellStyle name="Normal 25 2 2 3 6" xfId="18228"/>
    <cellStyle name="Normal 25 2 2 3 7" xfId="22260"/>
    <cellStyle name="Normal 25 2 2 3 8" xfId="26292"/>
    <cellStyle name="Normal 25 2 2 3 9" xfId="30324"/>
    <cellStyle name="Normal 25 2 2 4" xfId="4652"/>
    <cellStyle name="Normal 25 2 2 4 10" xfId="38526"/>
    <cellStyle name="Normal 25 2 2 4 11" xfId="42558"/>
    <cellStyle name="Normal 25 2 2 4 12" xfId="46590"/>
    <cellStyle name="Normal 25 2 2 4 13" xfId="50669"/>
    <cellStyle name="Normal 25 2 2 4 2" xfId="8284"/>
    <cellStyle name="Normal 25 2 2 4 2 10" xfId="44574"/>
    <cellStyle name="Normal 25 2 2 4 2 11" xfId="48606"/>
    <cellStyle name="Normal 25 2 2 4 2 12" xfId="52685"/>
    <cellStyle name="Normal 25 2 2 4 2 2" xfId="12318"/>
    <cellStyle name="Normal 25 2 2 4 2 3" xfId="16350"/>
    <cellStyle name="Normal 25 2 2 4 2 4" xfId="20382"/>
    <cellStyle name="Normal 25 2 2 4 2 5" xfId="24414"/>
    <cellStyle name="Normal 25 2 2 4 2 6" xfId="28446"/>
    <cellStyle name="Normal 25 2 2 4 2 7" xfId="32478"/>
    <cellStyle name="Normal 25 2 2 4 2 8" xfId="36510"/>
    <cellStyle name="Normal 25 2 2 4 2 9" xfId="40542"/>
    <cellStyle name="Normal 25 2 2 4 3" xfId="10302"/>
    <cellStyle name="Normal 25 2 2 4 4" xfId="14334"/>
    <cellStyle name="Normal 25 2 2 4 5" xfId="18366"/>
    <cellStyle name="Normal 25 2 2 4 6" xfId="22398"/>
    <cellStyle name="Normal 25 2 2 4 7" xfId="26430"/>
    <cellStyle name="Normal 25 2 2 4 8" xfId="30462"/>
    <cellStyle name="Normal 25 2 2 4 9" xfId="34494"/>
    <cellStyle name="Normal 25 2 2 5" xfId="379"/>
    <cellStyle name="Normal 25 2 2 5 10" xfId="37584"/>
    <cellStyle name="Normal 25 2 2 5 11" xfId="41616"/>
    <cellStyle name="Normal 25 2 2 5 12" xfId="45648"/>
    <cellStyle name="Normal 25 2 2 5 13" xfId="49726"/>
    <cellStyle name="Normal 25 2 2 5 2" xfId="7342"/>
    <cellStyle name="Normal 25 2 2 5 2 10" xfId="43632"/>
    <cellStyle name="Normal 25 2 2 5 2 11" xfId="47664"/>
    <cellStyle name="Normal 25 2 2 5 2 12" xfId="51743"/>
    <cellStyle name="Normal 25 2 2 5 2 2" xfId="11376"/>
    <cellStyle name="Normal 25 2 2 5 2 3" xfId="15408"/>
    <cellStyle name="Normal 25 2 2 5 2 4" xfId="19440"/>
    <cellStyle name="Normal 25 2 2 5 2 5" xfId="23472"/>
    <cellStyle name="Normal 25 2 2 5 2 6" xfId="27504"/>
    <cellStyle name="Normal 25 2 2 5 2 7" xfId="31536"/>
    <cellStyle name="Normal 25 2 2 5 2 8" xfId="35568"/>
    <cellStyle name="Normal 25 2 2 5 2 9" xfId="39600"/>
    <cellStyle name="Normal 25 2 2 5 3" xfId="9360"/>
    <cellStyle name="Normal 25 2 2 5 4" xfId="13392"/>
    <cellStyle name="Normal 25 2 2 5 5" xfId="17424"/>
    <cellStyle name="Normal 25 2 2 5 6" xfId="21456"/>
    <cellStyle name="Normal 25 2 2 5 7" xfId="25488"/>
    <cellStyle name="Normal 25 2 2 5 8" xfId="29520"/>
    <cellStyle name="Normal 25 2 2 5 9" xfId="33552"/>
    <cellStyle name="Normal 25 2 2 6" xfId="7219"/>
    <cellStyle name="Normal 25 2 2 6 10" xfId="43509"/>
    <cellStyle name="Normal 25 2 2 6 11" xfId="47541"/>
    <cellStyle name="Normal 25 2 2 6 12" xfId="51620"/>
    <cellStyle name="Normal 25 2 2 6 2" xfId="11253"/>
    <cellStyle name="Normal 25 2 2 6 3" xfId="15285"/>
    <cellStyle name="Normal 25 2 2 6 4" xfId="19317"/>
    <cellStyle name="Normal 25 2 2 6 5" xfId="23349"/>
    <cellStyle name="Normal 25 2 2 6 6" xfId="27381"/>
    <cellStyle name="Normal 25 2 2 6 7" xfId="31413"/>
    <cellStyle name="Normal 25 2 2 6 8" xfId="35445"/>
    <cellStyle name="Normal 25 2 2 6 9" xfId="39477"/>
    <cellStyle name="Normal 25 2 2 7" xfId="9237"/>
    <cellStyle name="Normal 25 2 2 8" xfId="13269"/>
    <cellStyle name="Normal 25 2 2 9" xfId="17301"/>
    <cellStyle name="Normal 25 2 20" xfId="29328"/>
    <cellStyle name="Normal 25 2 21" xfId="33360"/>
    <cellStyle name="Normal 25 2 22" xfId="37392"/>
    <cellStyle name="Normal 25 2 23" xfId="41424"/>
    <cellStyle name="Normal 25 2 24" xfId="45456"/>
    <cellStyle name="Normal 25 2 25" xfId="49534"/>
    <cellStyle name="Normal 25 2 3" xfId="1689"/>
    <cellStyle name="Normal 25 2 3 10" xfId="33650"/>
    <cellStyle name="Normal 25 2 3 11" xfId="37682"/>
    <cellStyle name="Normal 25 2 3 12" xfId="41714"/>
    <cellStyle name="Normal 25 2 3 13" xfId="45746"/>
    <cellStyle name="Normal 25 2 3 14" xfId="49824"/>
    <cellStyle name="Normal 25 2 3 2" xfId="5365"/>
    <cellStyle name="Normal 25 2 3 2 10" xfId="38633"/>
    <cellStyle name="Normal 25 2 3 2 11" xfId="42665"/>
    <cellStyle name="Normal 25 2 3 2 12" xfId="46697"/>
    <cellStyle name="Normal 25 2 3 2 13" xfId="50776"/>
    <cellStyle name="Normal 25 2 3 2 2" xfId="8391"/>
    <cellStyle name="Normal 25 2 3 2 2 10" xfId="44681"/>
    <cellStyle name="Normal 25 2 3 2 2 11" xfId="48713"/>
    <cellStyle name="Normal 25 2 3 2 2 12" xfId="52792"/>
    <cellStyle name="Normal 25 2 3 2 2 2" xfId="12425"/>
    <cellStyle name="Normal 25 2 3 2 2 3" xfId="16457"/>
    <cellStyle name="Normal 25 2 3 2 2 4" xfId="20489"/>
    <cellStyle name="Normal 25 2 3 2 2 5" xfId="24521"/>
    <cellStyle name="Normal 25 2 3 2 2 6" xfId="28553"/>
    <cellStyle name="Normal 25 2 3 2 2 7" xfId="32585"/>
    <cellStyle name="Normal 25 2 3 2 2 8" xfId="36617"/>
    <cellStyle name="Normal 25 2 3 2 2 9" xfId="40649"/>
    <cellStyle name="Normal 25 2 3 2 3" xfId="10409"/>
    <cellStyle name="Normal 25 2 3 2 4" xfId="14441"/>
    <cellStyle name="Normal 25 2 3 2 5" xfId="18473"/>
    <cellStyle name="Normal 25 2 3 2 6" xfId="22505"/>
    <cellStyle name="Normal 25 2 3 2 7" xfId="26537"/>
    <cellStyle name="Normal 25 2 3 2 8" xfId="30569"/>
    <cellStyle name="Normal 25 2 3 2 9" xfId="34601"/>
    <cellStyle name="Normal 25 2 3 3" xfId="7440"/>
    <cellStyle name="Normal 25 2 3 3 10" xfId="43730"/>
    <cellStyle name="Normal 25 2 3 3 11" xfId="47762"/>
    <cellStyle name="Normal 25 2 3 3 12" xfId="51841"/>
    <cellStyle name="Normal 25 2 3 3 2" xfId="11474"/>
    <cellStyle name="Normal 25 2 3 3 3" xfId="15506"/>
    <cellStyle name="Normal 25 2 3 3 4" xfId="19538"/>
    <cellStyle name="Normal 25 2 3 3 5" xfId="23570"/>
    <cellStyle name="Normal 25 2 3 3 6" xfId="27602"/>
    <cellStyle name="Normal 25 2 3 3 7" xfId="31634"/>
    <cellStyle name="Normal 25 2 3 3 8" xfId="35666"/>
    <cellStyle name="Normal 25 2 3 3 9" xfId="39698"/>
    <cellStyle name="Normal 25 2 3 4" xfId="9458"/>
    <cellStyle name="Normal 25 2 3 5" xfId="13490"/>
    <cellStyle name="Normal 25 2 3 6" xfId="17522"/>
    <cellStyle name="Normal 25 2 3 7" xfId="21554"/>
    <cellStyle name="Normal 25 2 3 8" xfId="25586"/>
    <cellStyle name="Normal 25 2 3 9" xfId="29618"/>
    <cellStyle name="Normal 25 2 4" xfId="1763"/>
    <cellStyle name="Normal 25 2 4 10" xfId="33719"/>
    <cellStyle name="Normal 25 2 4 11" xfId="37751"/>
    <cellStyle name="Normal 25 2 4 12" xfId="41783"/>
    <cellStyle name="Normal 25 2 4 13" xfId="45815"/>
    <cellStyle name="Normal 25 2 4 14" xfId="49893"/>
    <cellStyle name="Normal 25 2 4 2" xfId="5434"/>
    <cellStyle name="Normal 25 2 4 2 10" xfId="38702"/>
    <cellStyle name="Normal 25 2 4 2 11" xfId="42734"/>
    <cellStyle name="Normal 25 2 4 2 12" xfId="46766"/>
    <cellStyle name="Normal 25 2 4 2 13" xfId="50845"/>
    <cellStyle name="Normal 25 2 4 2 2" xfId="8460"/>
    <cellStyle name="Normal 25 2 4 2 2 10" xfId="44750"/>
    <cellStyle name="Normal 25 2 4 2 2 11" xfId="48782"/>
    <cellStyle name="Normal 25 2 4 2 2 12" xfId="52861"/>
    <cellStyle name="Normal 25 2 4 2 2 2" xfId="12494"/>
    <cellStyle name="Normal 25 2 4 2 2 3" xfId="16526"/>
    <cellStyle name="Normal 25 2 4 2 2 4" xfId="20558"/>
    <cellStyle name="Normal 25 2 4 2 2 5" xfId="24590"/>
    <cellStyle name="Normal 25 2 4 2 2 6" xfId="28622"/>
    <cellStyle name="Normal 25 2 4 2 2 7" xfId="32654"/>
    <cellStyle name="Normal 25 2 4 2 2 8" xfId="36686"/>
    <cellStyle name="Normal 25 2 4 2 2 9" xfId="40718"/>
    <cellStyle name="Normal 25 2 4 2 3" xfId="10478"/>
    <cellStyle name="Normal 25 2 4 2 4" xfId="14510"/>
    <cellStyle name="Normal 25 2 4 2 5" xfId="18542"/>
    <cellStyle name="Normal 25 2 4 2 6" xfId="22574"/>
    <cellStyle name="Normal 25 2 4 2 7" xfId="26606"/>
    <cellStyle name="Normal 25 2 4 2 8" xfId="30638"/>
    <cellStyle name="Normal 25 2 4 2 9" xfId="34670"/>
    <cellStyle name="Normal 25 2 4 3" xfId="7509"/>
    <cellStyle name="Normal 25 2 4 3 10" xfId="43799"/>
    <cellStyle name="Normal 25 2 4 3 11" xfId="47831"/>
    <cellStyle name="Normal 25 2 4 3 12" xfId="51910"/>
    <cellStyle name="Normal 25 2 4 3 2" xfId="11543"/>
    <cellStyle name="Normal 25 2 4 3 3" xfId="15575"/>
    <cellStyle name="Normal 25 2 4 3 4" xfId="19607"/>
    <cellStyle name="Normal 25 2 4 3 5" xfId="23639"/>
    <cellStyle name="Normal 25 2 4 3 6" xfId="27671"/>
    <cellStyle name="Normal 25 2 4 3 7" xfId="31703"/>
    <cellStyle name="Normal 25 2 4 3 8" xfId="35735"/>
    <cellStyle name="Normal 25 2 4 3 9" xfId="39767"/>
    <cellStyle name="Normal 25 2 4 4" xfId="9527"/>
    <cellStyle name="Normal 25 2 4 5" xfId="13559"/>
    <cellStyle name="Normal 25 2 4 6" xfId="17591"/>
    <cellStyle name="Normal 25 2 4 7" xfId="21623"/>
    <cellStyle name="Normal 25 2 4 8" xfId="25655"/>
    <cellStyle name="Normal 25 2 4 9" xfId="29687"/>
    <cellStyle name="Normal 25 2 5" xfId="2720"/>
    <cellStyle name="Normal 25 2 5 2" xfId="5684"/>
    <cellStyle name="Normal 25 2 6" xfId="4085"/>
    <cellStyle name="Normal 25 2 6 10" xfId="33942"/>
    <cellStyle name="Normal 25 2 6 11" xfId="37974"/>
    <cellStyle name="Normal 25 2 6 12" xfId="42006"/>
    <cellStyle name="Normal 25 2 6 13" xfId="46038"/>
    <cellStyle name="Normal 25 2 6 14" xfId="50116"/>
    <cellStyle name="Normal 25 2 6 2" xfId="6667"/>
    <cellStyle name="Normal 25 2 6 2 10" xfId="38925"/>
    <cellStyle name="Normal 25 2 6 2 11" xfId="42957"/>
    <cellStyle name="Normal 25 2 6 2 12" xfId="46989"/>
    <cellStyle name="Normal 25 2 6 2 13" xfId="51068"/>
    <cellStyle name="Normal 25 2 6 2 2" xfId="8683"/>
    <cellStyle name="Normal 25 2 6 2 2 10" xfId="44973"/>
    <cellStyle name="Normal 25 2 6 2 2 11" xfId="49005"/>
    <cellStyle name="Normal 25 2 6 2 2 12" xfId="53084"/>
    <cellStyle name="Normal 25 2 6 2 2 2" xfId="12717"/>
    <cellStyle name="Normal 25 2 6 2 2 3" xfId="16749"/>
    <cellStyle name="Normal 25 2 6 2 2 4" xfId="20781"/>
    <cellStyle name="Normal 25 2 6 2 2 5" xfId="24813"/>
    <cellStyle name="Normal 25 2 6 2 2 6" xfId="28845"/>
    <cellStyle name="Normal 25 2 6 2 2 7" xfId="32877"/>
    <cellStyle name="Normal 25 2 6 2 2 8" xfId="36909"/>
    <cellStyle name="Normal 25 2 6 2 2 9" xfId="40941"/>
    <cellStyle name="Normal 25 2 6 2 3" xfId="10701"/>
    <cellStyle name="Normal 25 2 6 2 4" xfId="14733"/>
    <cellStyle name="Normal 25 2 6 2 5" xfId="18765"/>
    <cellStyle name="Normal 25 2 6 2 6" xfId="22797"/>
    <cellStyle name="Normal 25 2 6 2 7" xfId="26829"/>
    <cellStyle name="Normal 25 2 6 2 8" xfId="30861"/>
    <cellStyle name="Normal 25 2 6 2 9" xfId="34893"/>
    <cellStyle name="Normal 25 2 6 3" xfId="7732"/>
    <cellStyle name="Normal 25 2 6 3 10" xfId="44022"/>
    <cellStyle name="Normal 25 2 6 3 11" xfId="48054"/>
    <cellStyle name="Normal 25 2 6 3 12" xfId="52133"/>
    <cellStyle name="Normal 25 2 6 3 2" xfId="11766"/>
    <cellStyle name="Normal 25 2 6 3 3" xfId="15798"/>
    <cellStyle name="Normal 25 2 6 3 4" xfId="19830"/>
    <cellStyle name="Normal 25 2 6 3 5" xfId="23862"/>
    <cellStyle name="Normal 25 2 6 3 6" xfId="27894"/>
    <cellStyle name="Normal 25 2 6 3 7" xfId="31926"/>
    <cellStyle name="Normal 25 2 6 3 8" xfId="35958"/>
    <cellStyle name="Normal 25 2 6 3 9" xfId="39990"/>
    <cellStyle name="Normal 25 2 6 4" xfId="9750"/>
    <cellStyle name="Normal 25 2 6 5" xfId="13782"/>
    <cellStyle name="Normal 25 2 6 6" xfId="17814"/>
    <cellStyle name="Normal 25 2 6 7" xfId="21846"/>
    <cellStyle name="Normal 25 2 6 8" xfId="25878"/>
    <cellStyle name="Normal 25 2 6 9" xfId="29910"/>
    <cellStyle name="Normal 25 2 7" xfId="4155"/>
    <cellStyle name="Normal 25 2 7 10" xfId="34011"/>
    <cellStyle name="Normal 25 2 7 11" xfId="38043"/>
    <cellStyle name="Normal 25 2 7 12" xfId="42075"/>
    <cellStyle name="Normal 25 2 7 13" xfId="46107"/>
    <cellStyle name="Normal 25 2 7 14" xfId="50185"/>
    <cellStyle name="Normal 25 2 7 2" xfId="6736"/>
    <cellStyle name="Normal 25 2 7 2 10" xfId="38994"/>
    <cellStyle name="Normal 25 2 7 2 11" xfId="43026"/>
    <cellStyle name="Normal 25 2 7 2 12" xfId="47058"/>
    <cellStyle name="Normal 25 2 7 2 13" xfId="51137"/>
    <cellStyle name="Normal 25 2 7 2 2" xfId="8752"/>
    <cellStyle name="Normal 25 2 7 2 2 10" xfId="45042"/>
    <cellStyle name="Normal 25 2 7 2 2 11" xfId="49074"/>
    <cellStyle name="Normal 25 2 7 2 2 12" xfId="53153"/>
    <cellStyle name="Normal 25 2 7 2 2 2" xfId="12786"/>
    <cellStyle name="Normal 25 2 7 2 2 3" xfId="16818"/>
    <cellStyle name="Normal 25 2 7 2 2 4" xfId="20850"/>
    <cellStyle name="Normal 25 2 7 2 2 5" xfId="24882"/>
    <cellStyle name="Normal 25 2 7 2 2 6" xfId="28914"/>
    <cellStyle name="Normal 25 2 7 2 2 7" xfId="32946"/>
    <cellStyle name="Normal 25 2 7 2 2 8" xfId="36978"/>
    <cellStyle name="Normal 25 2 7 2 2 9" xfId="41010"/>
    <cellStyle name="Normal 25 2 7 2 3" xfId="10770"/>
    <cellStyle name="Normal 25 2 7 2 4" xfId="14802"/>
    <cellStyle name="Normal 25 2 7 2 5" xfId="18834"/>
    <cellStyle name="Normal 25 2 7 2 6" xfId="22866"/>
    <cellStyle name="Normal 25 2 7 2 7" xfId="26898"/>
    <cellStyle name="Normal 25 2 7 2 8" xfId="30930"/>
    <cellStyle name="Normal 25 2 7 2 9" xfId="34962"/>
    <cellStyle name="Normal 25 2 7 3" xfId="7801"/>
    <cellStyle name="Normal 25 2 7 3 10" xfId="44091"/>
    <cellStyle name="Normal 25 2 7 3 11" xfId="48123"/>
    <cellStyle name="Normal 25 2 7 3 12" xfId="52202"/>
    <cellStyle name="Normal 25 2 7 3 2" xfId="11835"/>
    <cellStyle name="Normal 25 2 7 3 3" xfId="15867"/>
    <cellStyle name="Normal 25 2 7 3 4" xfId="19899"/>
    <cellStyle name="Normal 25 2 7 3 5" xfId="23931"/>
    <cellStyle name="Normal 25 2 7 3 6" xfId="27963"/>
    <cellStyle name="Normal 25 2 7 3 7" xfId="31995"/>
    <cellStyle name="Normal 25 2 7 3 8" xfId="36027"/>
    <cellStyle name="Normal 25 2 7 3 9" xfId="40059"/>
    <cellStyle name="Normal 25 2 7 4" xfId="9819"/>
    <cellStyle name="Normal 25 2 7 5" xfId="13851"/>
    <cellStyle name="Normal 25 2 7 6" xfId="17883"/>
    <cellStyle name="Normal 25 2 7 7" xfId="21915"/>
    <cellStyle name="Normal 25 2 7 8" xfId="25947"/>
    <cellStyle name="Normal 25 2 7 9" xfId="29979"/>
    <cellStyle name="Normal 25 2 8" xfId="4224"/>
    <cellStyle name="Normal 25 2 8 10" xfId="34080"/>
    <cellStyle name="Normal 25 2 8 11" xfId="38112"/>
    <cellStyle name="Normal 25 2 8 12" xfId="42144"/>
    <cellStyle name="Normal 25 2 8 13" xfId="46176"/>
    <cellStyle name="Normal 25 2 8 14" xfId="50254"/>
    <cellStyle name="Normal 25 2 8 2" xfId="6805"/>
    <cellStyle name="Normal 25 2 8 2 10" xfId="39063"/>
    <cellStyle name="Normal 25 2 8 2 11" xfId="43095"/>
    <cellStyle name="Normal 25 2 8 2 12" xfId="47127"/>
    <cellStyle name="Normal 25 2 8 2 13" xfId="51206"/>
    <cellStyle name="Normal 25 2 8 2 2" xfId="8821"/>
    <cellStyle name="Normal 25 2 8 2 2 10" xfId="45111"/>
    <cellStyle name="Normal 25 2 8 2 2 11" xfId="49143"/>
    <cellStyle name="Normal 25 2 8 2 2 12" xfId="53222"/>
    <cellStyle name="Normal 25 2 8 2 2 2" xfId="12855"/>
    <cellStyle name="Normal 25 2 8 2 2 3" xfId="16887"/>
    <cellStyle name="Normal 25 2 8 2 2 4" xfId="20919"/>
    <cellStyle name="Normal 25 2 8 2 2 5" xfId="24951"/>
    <cellStyle name="Normal 25 2 8 2 2 6" xfId="28983"/>
    <cellStyle name="Normal 25 2 8 2 2 7" xfId="33015"/>
    <cellStyle name="Normal 25 2 8 2 2 8" xfId="37047"/>
    <cellStyle name="Normal 25 2 8 2 2 9" xfId="41079"/>
    <cellStyle name="Normal 25 2 8 2 3" xfId="10839"/>
    <cellStyle name="Normal 25 2 8 2 4" xfId="14871"/>
    <cellStyle name="Normal 25 2 8 2 5" xfId="18903"/>
    <cellStyle name="Normal 25 2 8 2 6" xfId="22935"/>
    <cellStyle name="Normal 25 2 8 2 7" xfId="26967"/>
    <cellStyle name="Normal 25 2 8 2 8" xfId="30999"/>
    <cellStyle name="Normal 25 2 8 2 9" xfId="35031"/>
    <cellStyle name="Normal 25 2 8 3" xfId="7870"/>
    <cellStyle name="Normal 25 2 8 3 10" xfId="44160"/>
    <cellStyle name="Normal 25 2 8 3 11" xfId="48192"/>
    <cellStyle name="Normal 25 2 8 3 12" xfId="52271"/>
    <cellStyle name="Normal 25 2 8 3 2" xfId="11904"/>
    <cellStyle name="Normal 25 2 8 3 3" xfId="15936"/>
    <cellStyle name="Normal 25 2 8 3 4" xfId="19968"/>
    <cellStyle name="Normal 25 2 8 3 5" xfId="24000"/>
    <cellStyle name="Normal 25 2 8 3 6" xfId="28032"/>
    <cellStyle name="Normal 25 2 8 3 7" xfId="32064"/>
    <cellStyle name="Normal 25 2 8 3 8" xfId="36096"/>
    <cellStyle name="Normal 25 2 8 3 9" xfId="40128"/>
    <cellStyle name="Normal 25 2 8 4" xfId="9888"/>
    <cellStyle name="Normal 25 2 8 5" xfId="13920"/>
    <cellStyle name="Normal 25 2 8 6" xfId="17952"/>
    <cellStyle name="Normal 25 2 8 7" xfId="21984"/>
    <cellStyle name="Normal 25 2 8 8" xfId="26016"/>
    <cellStyle name="Normal 25 2 8 9" xfId="30048"/>
    <cellStyle name="Normal 25 2 9" xfId="4297"/>
    <cellStyle name="Normal 25 2 9 10" xfId="34149"/>
    <cellStyle name="Normal 25 2 9 11" xfId="38181"/>
    <cellStyle name="Normal 25 2 9 12" xfId="42213"/>
    <cellStyle name="Normal 25 2 9 13" xfId="46245"/>
    <cellStyle name="Normal 25 2 9 14" xfId="50323"/>
    <cellStyle name="Normal 25 2 9 2" xfId="6874"/>
    <cellStyle name="Normal 25 2 9 2 10" xfId="39132"/>
    <cellStyle name="Normal 25 2 9 2 11" xfId="43164"/>
    <cellStyle name="Normal 25 2 9 2 12" xfId="47196"/>
    <cellStyle name="Normal 25 2 9 2 13" xfId="51275"/>
    <cellStyle name="Normal 25 2 9 2 2" xfId="8890"/>
    <cellStyle name="Normal 25 2 9 2 2 10" xfId="45180"/>
    <cellStyle name="Normal 25 2 9 2 2 11" xfId="49212"/>
    <cellStyle name="Normal 25 2 9 2 2 12" xfId="53291"/>
    <cellStyle name="Normal 25 2 9 2 2 2" xfId="12924"/>
    <cellStyle name="Normal 25 2 9 2 2 3" xfId="16956"/>
    <cellStyle name="Normal 25 2 9 2 2 4" xfId="20988"/>
    <cellStyle name="Normal 25 2 9 2 2 5" xfId="25020"/>
    <cellStyle name="Normal 25 2 9 2 2 6" xfId="29052"/>
    <cellStyle name="Normal 25 2 9 2 2 7" xfId="33084"/>
    <cellStyle name="Normal 25 2 9 2 2 8" xfId="37116"/>
    <cellStyle name="Normal 25 2 9 2 2 9" xfId="41148"/>
    <cellStyle name="Normal 25 2 9 2 3" xfId="10908"/>
    <cellStyle name="Normal 25 2 9 2 4" xfId="14940"/>
    <cellStyle name="Normal 25 2 9 2 5" xfId="18972"/>
    <cellStyle name="Normal 25 2 9 2 6" xfId="23004"/>
    <cellStyle name="Normal 25 2 9 2 7" xfId="27036"/>
    <cellStyle name="Normal 25 2 9 2 8" xfId="31068"/>
    <cellStyle name="Normal 25 2 9 2 9" xfId="35100"/>
    <cellStyle name="Normal 25 2 9 3" xfId="7939"/>
    <cellStyle name="Normal 25 2 9 3 10" xfId="44229"/>
    <cellStyle name="Normal 25 2 9 3 11" xfId="48261"/>
    <cellStyle name="Normal 25 2 9 3 12" xfId="52340"/>
    <cellStyle name="Normal 25 2 9 3 2" xfId="11973"/>
    <cellStyle name="Normal 25 2 9 3 3" xfId="16005"/>
    <cellStyle name="Normal 25 2 9 3 4" xfId="20037"/>
    <cellStyle name="Normal 25 2 9 3 5" xfId="24069"/>
    <cellStyle name="Normal 25 2 9 3 6" xfId="28101"/>
    <cellStyle name="Normal 25 2 9 3 7" xfId="32133"/>
    <cellStyle name="Normal 25 2 9 3 8" xfId="36165"/>
    <cellStyle name="Normal 25 2 9 3 9" xfId="40197"/>
    <cellStyle name="Normal 25 2 9 4" xfId="9957"/>
    <cellStyle name="Normal 25 2 9 5" xfId="13989"/>
    <cellStyle name="Normal 25 2 9 6" xfId="18021"/>
    <cellStyle name="Normal 25 2 9 7" xfId="22053"/>
    <cellStyle name="Normal 25 2 9 8" xfId="26085"/>
    <cellStyle name="Normal 25 2 9 9" xfId="30117"/>
    <cellStyle name="Normal 25 20" xfId="25261"/>
    <cellStyle name="Normal 25 21" xfId="29293"/>
    <cellStyle name="Normal 25 22" xfId="33325"/>
    <cellStyle name="Normal 25 23" xfId="37357"/>
    <cellStyle name="Normal 25 24" xfId="41389"/>
    <cellStyle name="Normal 25 25" xfId="45421"/>
    <cellStyle name="Normal 25 26" xfId="49499"/>
    <cellStyle name="Normal 25 3" xfId="220"/>
    <cellStyle name="Normal 25 3 10" xfId="21298"/>
    <cellStyle name="Normal 25 3 11" xfId="25330"/>
    <cellStyle name="Normal 25 3 12" xfId="29362"/>
    <cellStyle name="Normal 25 3 13" xfId="33394"/>
    <cellStyle name="Normal 25 3 14" xfId="37426"/>
    <cellStyle name="Normal 25 3 15" xfId="41458"/>
    <cellStyle name="Normal 25 3 16" xfId="45490"/>
    <cellStyle name="Normal 25 3 17" xfId="49568"/>
    <cellStyle name="Normal 25 3 2" xfId="4338"/>
    <cellStyle name="Normal 25 3 2 10" xfId="34183"/>
    <cellStyle name="Normal 25 3 2 11" xfId="38215"/>
    <cellStyle name="Normal 25 3 2 12" xfId="42247"/>
    <cellStyle name="Normal 25 3 2 13" xfId="46279"/>
    <cellStyle name="Normal 25 3 2 14" xfId="50358"/>
    <cellStyle name="Normal 25 3 2 2" xfId="6908"/>
    <cellStyle name="Normal 25 3 2 2 10" xfId="39166"/>
    <cellStyle name="Normal 25 3 2 2 11" xfId="43198"/>
    <cellStyle name="Normal 25 3 2 2 12" xfId="47230"/>
    <cellStyle name="Normal 25 3 2 2 13" xfId="51309"/>
    <cellStyle name="Normal 25 3 2 2 2" xfId="8924"/>
    <cellStyle name="Normal 25 3 2 2 2 10" xfId="45214"/>
    <cellStyle name="Normal 25 3 2 2 2 11" xfId="49246"/>
    <cellStyle name="Normal 25 3 2 2 2 12" xfId="53325"/>
    <cellStyle name="Normal 25 3 2 2 2 2" xfId="12958"/>
    <cellStyle name="Normal 25 3 2 2 2 3" xfId="16990"/>
    <cellStyle name="Normal 25 3 2 2 2 4" xfId="21022"/>
    <cellStyle name="Normal 25 3 2 2 2 5" xfId="25054"/>
    <cellStyle name="Normal 25 3 2 2 2 6" xfId="29086"/>
    <cellStyle name="Normal 25 3 2 2 2 7" xfId="33118"/>
    <cellStyle name="Normal 25 3 2 2 2 8" xfId="37150"/>
    <cellStyle name="Normal 25 3 2 2 2 9" xfId="41182"/>
    <cellStyle name="Normal 25 3 2 2 3" xfId="10942"/>
    <cellStyle name="Normal 25 3 2 2 4" xfId="14974"/>
    <cellStyle name="Normal 25 3 2 2 5" xfId="19006"/>
    <cellStyle name="Normal 25 3 2 2 6" xfId="23038"/>
    <cellStyle name="Normal 25 3 2 2 7" xfId="27070"/>
    <cellStyle name="Normal 25 3 2 2 8" xfId="31102"/>
    <cellStyle name="Normal 25 3 2 2 9" xfId="35134"/>
    <cellStyle name="Normal 25 3 2 3" xfId="7973"/>
    <cellStyle name="Normal 25 3 2 3 10" xfId="44263"/>
    <cellStyle name="Normal 25 3 2 3 11" xfId="48295"/>
    <cellStyle name="Normal 25 3 2 3 12" xfId="52374"/>
    <cellStyle name="Normal 25 3 2 3 2" xfId="12007"/>
    <cellStyle name="Normal 25 3 2 3 3" xfId="16039"/>
    <cellStyle name="Normal 25 3 2 3 4" xfId="20071"/>
    <cellStyle name="Normal 25 3 2 3 5" xfId="24103"/>
    <cellStyle name="Normal 25 3 2 3 6" xfId="28135"/>
    <cellStyle name="Normal 25 3 2 3 7" xfId="32167"/>
    <cellStyle name="Normal 25 3 2 3 8" xfId="36199"/>
    <cellStyle name="Normal 25 3 2 3 9" xfId="40231"/>
    <cellStyle name="Normal 25 3 2 4" xfId="9991"/>
    <cellStyle name="Normal 25 3 2 5" xfId="14023"/>
    <cellStyle name="Normal 25 3 2 6" xfId="18055"/>
    <cellStyle name="Normal 25 3 2 7" xfId="22087"/>
    <cellStyle name="Normal 25 3 2 8" xfId="26119"/>
    <cellStyle name="Normal 25 3 2 9" xfId="30151"/>
    <cellStyle name="Normal 25 3 3" xfId="4477"/>
    <cellStyle name="Normal 25 3 3 10" xfId="34321"/>
    <cellStyle name="Normal 25 3 3 11" xfId="38353"/>
    <cellStyle name="Normal 25 3 3 12" xfId="42385"/>
    <cellStyle name="Normal 25 3 3 13" xfId="46417"/>
    <cellStyle name="Normal 25 3 3 14" xfId="50496"/>
    <cellStyle name="Normal 25 3 3 2" xfId="7046"/>
    <cellStyle name="Normal 25 3 3 2 10" xfId="39304"/>
    <cellStyle name="Normal 25 3 3 2 11" xfId="43336"/>
    <cellStyle name="Normal 25 3 3 2 12" xfId="47368"/>
    <cellStyle name="Normal 25 3 3 2 13" xfId="51447"/>
    <cellStyle name="Normal 25 3 3 2 2" xfId="9062"/>
    <cellStyle name="Normal 25 3 3 2 2 10" xfId="45352"/>
    <cellStyle name="Normal 25 3 3 2 2 11" xfId="49384"/>
    <cellStyle name="Normal 25 3 3 2 2 12" xfId="53463"/>
    <cellStyle name="Normal 25 3 3 2 2 2" xfId="13096"/>
    <cellStyle name="Normal 25 3 3 2 2 3" xfId="17128"/>
    <cellStyle name="Normal 25 3 3 2 2 4" xfId="21160"/>
    <cellStyle name="Normal 25 3 3 2 2 5" xfId="25192"/>
    <cellStyle name="Normal 25 3 3 2 2 6" xfId="29224"/>
    <cellStyle name="Normal 25 3 3 2 2 7" xfId="33256"/>
    <cellStyle name="Normal 25 3 3 2 2 8" xfId="37288"/>
    <cellStyle name="Normal 25 3 3 2 2 9" xfId="41320"/>
    <cellStyle name="Normal 25 3 3 2 3" xfId="11080"/>
    <cellStyle name="Normal 25 3 3 2 4" xfId="15112"/>
    <cellStyle name="Normal 25 3 3 2 5" xfId="19144"/>
    <cellStyle name="Normal 25 3 3 2 6" xfId="23176"/>
    <cellStyle name="Normal 25 3 3 2 7" xfId="27208"/>
    <cellStyle name="Normal 25 3 3 2 8" xfId="31240"/>
    <cellStyle name="Normal 25 3 3 2 9" xfId="35272"/>
    <cellStyle name="Normal 25 3 3 3" xfId="8111"/>
    <cellStyle name="Normal 25 3 3 3 10" xfId="44401"/>
    <cellStyle name="Normal 25 3 3 3 11" xfId="48433"/>
    <cellStyle name="Normal 25 3 3 3 12" xfId="52512"/>
    <cellStyle name="Normal 25 3 3 3 2" xfId="12145"/>
    <cellStyle name="Normal 25 3 3 3 3" xfId="16177"/>
    <cellStyle name="Normal 25 3 3 3 4" xfId="20209"/>
    <cellStyle name="Normal 25 3 3 3 5" xfId="24241"/>
    <cellStyle name="Normal 25 3 3 3 6" xfId="28273"/>
    <cellStyle name="Normal 25 3 3 3 7" xfId="32305"/>
    <cellStyle name="Normal 25 3 3 3 8" xfId="36337"/>
    <cellStyle name="Normal 25 3 3 3 9" xfId="40369"/>
    <cellStyle name="Normal 25 3 3 4" xfId="10129"/>
    <cellStyle name="Normal 25 3 3 5" xfId="14161"/>
    <cellStyle name="Normal 25 3 3 6" xfId="18193"/>
    <cellStyle name="Normal 25 3 3 7" xfId="22225"/>
    <cellStyle name="Normal 25 3 3 8" xfId="26257"/>
    <cellStyle name="Normal 25 3 3 9" xfId="30289"/>
    <cellStyle name="Normal 25 3 4" xfId="4617"/>
    <cellStyle name="Normal 25 3 4 10" xfId="38491"/>
    <cellStyle name="Normal 25 3 4 11" xfId="42523"/>
    <cellStyle name="Normal 25 3 4 12" xfId="46555"/>
    <cellStyle name="Normal 25 3 4 13" xfId="50634"/>
    <cellStyle name="Normal 25 3 4 2" xfId="8249"/>
    <cellStyle name="Normal 25 3 4 2 10" xfId="44539"/>
    <cellStyle name="Normal 25 3 4 2 11" xfId="48571"/>
    <cellStyle name="Normal 25 3 4 2 12" xfId="52650"/>
    <cellStyle name="Normal 25 3 4 2 2" xfId="12283"/>
    <cellStyle name="Normal 25 3 4 2 3" xfId="16315"/>
    <cellStyle name="Normal 25 3 4 2 4" xfId="20347"/>
    <cellStyle name="Normal 25 3 4 2 5" xfId="24379"/>
    <cellStyle name="Normal 25 3 4 2 6" xfId="28411"/>
    <cellStyle name="Normal 25 3 4 2 7" xfId="32443"/>
    <cellStyle name="Normal 25 3 4 2 8" xfId="36475"/>
    <cellStyle name="Normal 25 3 4 2 9" xfId="40507"/>
    <cellStyle name="Normal 25 3 4 3" xfId="10267"/>
    <cellStyle name="Normal 25 3 4 4" xfId="14299"/>
    <cellStyle name="Normal 25 3 4 5" xfId="18331"/>
    <cellStyle name="Normal 25 3 4 6" xfId="22363"/>
    <cellStyle name="Normal 25 3 4 7" xfId="26395"/>
    <cellStyle name="Normal 25 3 4 8" xfId="30427"/>
    <cellStyle name="Normal 25 3 4 9" xfId="34459"/>
    <cellStyle name="Normal 25 3 5" xfId="344"/>
    <cellStyle name="Normal 25 3 5 10" xfId="37549"/>
    <cellStyle name="Normal 25 3 5 11" xfId="41581"/>
    <cellStyle name="Normal 25 3 5 12" xfId="45613"/>
    <cellStyle name="Normal 25 3 5 13" xfId="49691"/>
    <cellStyle name="Normal 25 3 5 2" xfId="7307"/>
    <cellStyle name="Normal 25 3 5 2 10" xfId="43597"/>
    <cellStyle name="Normal 25 3 5 2 11" xfId="47629"/>
    <cellStyle name="Normal 25 3 5 2 12" xfId="51708"/>
    <cellStyle name="Normal 25 3 5 2 2" xfId="11341"/>
    <cellStyle name="Normal 25 3 5 2 3" xfId="15373"/>
    <cellStyle name="Normal 25 3 5 2 4" xfId="19405"/>
    <cellStyle name="Normal 25 3 5 2 5" xfId="23437"/>
    <cellStyle name="Normal 25 3 5 2 6" xfId="27469"/>
    <cellStyle name="Normal 25 3 5 2 7" xfId="31501"/>
    <cellStyle name="Normal 25 3 5 2 8" xfId="35533"/>
    <cellStyle name="Normal 25 3 5 2 9" xfId="39565"/>
    <cellStyle name="Normal 25 3 5 3" xfId="9325"/>
    <cellStyle name="Normal 25 3 5 4" xfId="13357"/>
    <cellStyle name="Normal 25 3 5 5" xfId="17389"/>
    <cellStyle name="Normal 25 3 5 6" xfId="21421"/>
    <cellStyle name="Normal 25 3 5 7" xfId="25453"/>
    <cellStyle name="Normal 25 3 5 8" xfId="29485"/>
    <cellStyle name="Normal 25 3 5 9" xfId="33517"/>
    <cellStyle name="Normal 25 3 6" xfId="7184"/>
    <cellStyle name="Normal 25 3 6 10" xfId="43474"/>
    <cellStyle name="Normal 25 3 6 11" xfId="47506"/>
    <cellStyle name="Normal 25 3 6 12" xfId="51585"/>
    <cellStyle name="Normal 25 3 6 2" xfId="11218"/>
    <cellStyle name="Normal 25 3 6 3" xfId="15250"/>
    <cellStyle name="Normal 25 3 6 4" xfId="19282"/>
    <cellStyle name="Normal 25 3 6 5" xfId="23314"/>
    <cellStyle name="Normal 25 3 6 6" xfId="27346"/>
    <cellStyle name="Normal 25 3 6 7" xfId="31378"/>
    <cellStyle name="Normal 25 3 6 8" xfId="35410"/>
    <cellStyle name="Normal 25 3 6 9" xfId="39442"/>
    <cellStyle name="Normal 25 3 7" xfId="9202"/>
    <cellStyle name="Normal 25 3 8" xfId="13234"/>
    <cellStyle name="Normal 25 3 9" xfId="17266"/>
    <cellStyle name="Normal 25 4" xfId="1654"/>
    <cellStyle name="Normal 25 4 10" xfId="33615"/>
    <cellStyle name="Normal 25 4 11" xfId="37647"/>
    <cellStyle name="Normal 25 4 12" xfId="41679"/>
    <cellStyle name="Normal 25 4 13" xfId="45711"/>
    <cellStyle name="Normal 25 4 14" xfId="49789"/>
    <cellStyle name="Normal 25 4 2" xfId="5330"/>
    <cellStyle name="Normal 25 4 2 10" xfId="38598"/>
    <cellStyle name="Normal 25 4 2 11" xfId="42630"/>
    <cellStyle name="Normal 25 4 2 12" xfId="46662"/>
    <cellStyle name="Normal 25 4 2 13" xfId="50741"/>
    <cellStyle name="Normal 25 4 2 2" xfId="8356"/>
    <cellStyle name="Normal 25 4 2 2 10" xfId="44646"/>
    <cellStyle name="Normal 25 4 2 2 11" xfId="48678"/>
    <cellStyle name="Normal 25 4 2 2 12" xfId="52757"/>
    <cellStyle name="Normal 25 4 2 2 2" xfId="12390"/>
    <cellStyle name="Normal 25 4 2 2 3" xfId="16422"/>
    <cellStyle name="Normal 25 4 2 2 4" xfId="20454"/>
    <cellStyle name="Normal 25 4 2 2 5" xfId="24486"/>
    <cellStyle name="Normal 25 4 2 2 6" xfId="28518"/>
    <cellStyle name="Normal 25 4 2 2 7" xfId="32550"/>
    <cellStyle name="Normal 25 4 2 2 8" xfId="36582"/>
    <cellStyle name="Normal 25 4 2 2 9" xfId="40614"/>
    <cellStyle name="Normal 25 4 2 3" xfId="10374"/>
    <cellStyle name="Normal 25 4 2 4" xfId="14406"/>
    <cellStyle name="Normal 25 4 2 5" xfId="18438"/>
    <cellStyle name="Normal 25 4 2 6" xfId="22470"/>
    <cellStyle name="Normal 25 4 2 7" xfId="26502"/>
    <cellStyle name="Normal 25 4 2 8" xfId="30534"/>
    <cellStyle name="Normal 25 4 2 9" xfId="34566"/>
    <cellStyle name="Normal 25 4 3" xfId="7405"/>
    <cellStyle name="Normal 25 4 3 10" xfId="43695"/>
    <cellStyle name="Normal 25 4 3 11" xfId="47727"/>
    <cellStyle name="Normal 25 4 3 12" xfId="51806"/>
    <cellStyle name="Normal 25 4 3 2" xfId="11439"/>
    <cellStyle name="Normal 25 4 3 3" xfId="15471"/>
    <cellStyle name="Normal 25 4 3 4" xfId="19503"/>
    <cellStyle name="Normal 25 4 3 5" xfId="23535"/>
    <cellStyle name="Normal 25 4 3 6" xfId="27567"/>
    <cellStyle name="Normal 25 4 3 7" xfId="31599"/>
    <cellStyle name="Normal 25 4 3 8" xfId="35631"/>
    <cellStyle name="Normal 25 4 3 9" xfId="39663"/>
    <cellStyle name="Normal 25 4 4" xfId="9423"/>
    <cellStyle name="Normal 25 4 5" xfId="13455"/>
    <cellStyle name="Normal 25 4 6" xfId="17487"/>
    <cellStyle name="Normal 25 4 7" xfId="21519"/>
    <cellStyle name="Normal 25 4 8" xfId="25551"/>
    <cellStyle name="Normal 25 4 9" xfId="29583"/>
    <cellStyle name="Normal 25 5" xfId="1728"/>
    <cellStyle name="Normal 25 5 10" xfId="33684"/>
    <cellStyle name="Normal 25 5 11" xfId="37716"/>
    <cellStyle name="Normal 25 5 12" xfId="41748"/>
    <cellStyle name="Normal 25 5 13" xfId="45780"/>
    <cellStyle name="Normal 25 5 14" xfId="49858"/>
    <cellStyle name="Normal 25 5 2" xfId="5399"/>
    <cellStyle name="Normal 25 5 2 10" xfId="38667"/>
    <cellStyle name="Normal 25 5 2 11" xfId="42699"/>
    <cellStyle name="Normal 25 5 2 12" xfId="46731"/>
    <cellStyle name="Normal 25 5 2 13" xfId="50810"/>
    <cellStyle name="Normal 25 5 2 2" xfId="8425"/>
    <cellStyle name="Normal 25 5 2 2 10" xfId="44715"/>
    <cellStyle name="Normal 25 5 2 2 11" xfId="48747"/>
    <cellStyle name="Normal 25 5 2 2 12" xfId="52826"/>
    <cellStyle name="Normal 25 5 2 2 2" xfId="12459"/>
    <cellStyle name="Normal 25 5 2 2 3" xfId="16491"/>
    <cellStyle name="Normal 25 5 2 2 4" xfId="20523"/>
    <cellStyle name="Normal 25 5 2 2 5" xfId="24555"/>
    <cellStyle name="Normal 25 5 2 2 6" xfId="28587"/>
    <cellStyle name="Normal 25 5 2 2 7" xfId="32619"/>
    <cellStyle name="Normal 25 5 2 2 8" xfId="36651"/>
    <cellStyle name="Normal 25 5 2 2 9" xfId="40683"/>
    <cellStyle name="Normal 25 5 2 3" xfId="10443"/>
    <cellStyle name="Normal 25 5 2 4" xfId="14475"/>
    <cellStyle name="Normal 25 5 2 5" xfId="18507"/>
    <cellStyle name="Normal 25 5 2 6" xfId="22539"/>
    <cellStyle name="Normal 25 5 2 7" xfId="26571"/>
    <cellStyle name="Normal 25 5 2 8" xfId="30603"/>
    <cellStyle name="Normal 25 5 2 9" xfId="34635"/>
    <cellStyle name="Normal 25 5 3" xfId="7474"/>
    <cellStyle name="Normal 25 5 3 10" xfId="43764"/>
    <cellStyle name="Normal 25 5 3 11" xfId="47796"/>
    <cellStyle name="Normal 25 5 3 12" xfId="51875"/>
    <cellStyle name="Normal 25 5 3 2" xfId="11508"/>
    <cellStyle name="Normal 25 5 3 3" xfId="15540"/>
    <cellStyle name="Normal 25 5 3 4" xfId="19572"/>
    <cellStyle name="Normal 25 5 3 5" xfId="23604"/>
    <cellStyle name="Normal 25 5 3 6" xfId="27636"/>
    <cellStyle name="Normal 25 5 3 7" xfId="31668"/>
    <cellStyle name="Normal 25 5 3 8" xfId="35700"/>
    <cellStyle name="Normal 25 5 3 9" xfId="39732"/>
    <cellStyle name="Normal 25 5 4" xfId="9492"/>
    <cellStyle name="Normal 25 5 5" xfId="13524"/>
    <cellStyle name="Normal 25 5 6" xfId="17556"/>
    <cellStyle name="Normal 25 5 7" xfId="21588"/>
    <cellStyle name="Normal 25 5 8" xfId="25620"/>
    <cellStyle name="Normal 25 5 9" xfId="29652"/>
    <cellStyle name="Normal 25 6" xfId="2719"/>
    <cellStyle name="Normal 25 6 2" xfId="5683"/>
    <cellStyle name="Normal 25 7" xfId="4050"/>
    <cellStyle name="Normal 25 7 10" xfId="33907"/>
    <cellStyle name="Normal 25 7 11" xfId="37939"/>
    <cellStyle name="Normal 25 7 12" xfId="41971"/>
    <cellStyle name="Normal 25 7 13" xfId="46003"/>
    <cellStyle name="Normal 25 7 14" xfId="50081"/>
    <cellStyle name="Normal 25 7 2" xfId="6632"/>
    <cellStyle name="Normal 25 7 2 10" xfId="38890"/>
    <cellStyle name="Normal 25 7 2 11" xfId="42922"/>
    <cellStyle name="Normal 25 7 2 12" xfId="46954"/>
    <cellStyle name="Normal 25 7 2 13" xfId="51033"/>
    <cellStyle name="Normal 25 7 2 2" xfId="8648"/>
    <cellStyle name="Normal 25 7 2 2 10" xfId="44938"/>
    <cellStyle name="Normal 25 7 2 2 11" xfId="48970"/>
    <cellStyle name="Normal 25 7 2 2 12" xfId="53049"/>
    <cellStyle name="Normal 25 7 2 2 2" xfId="12682"/>
    <cellStyle name="Normal 25 7 2 2 3" xfId="16714"/>
    <cellStyle name="Normal 25 7 2 2 4" xfId="20746"/>
    <cellStyle name="Normal 25 7 2 2 5" xfId="24778"/>
    <cellStyle name="Normal 25 7 2 2 6" xfId="28810"/>
    <cellStyle name="Normal 25 7 2 2 7" xfId="32842"/>
    <cellStyle name="Normal 25 7 2 2 8" xfId="36874"/>
    <cellStyle name="Normal 25 7 2 2 9" xfId="40906"/>
    <cellStyle name="Normal 25 7 2 3" xfId="10666"/>
    <cellStyle name="Normal 25 7 2 4" xfId="14698"/>
    <cellStyle name="Normal 25 7 2 5" xfId="18730"/>
    <cellStyle name="Normal 25 7 2 6" xfId="22762"/>
    <cellStyle name="Normal 25 7 2 7" xfId="26794"/>
    <cellStyle name="Normal 25 7 2 8" xfId="30826"/>
    <cellStyle name="Normal 25 7 2 9" xfId="34858"/>
    <cellStyle name="Normal 25 7 3" xfId="7697"/>
    <cellStyle name="Normal 25 7 3 10" xfId="43987"/>
    <cellStyle name="Normal 25 7 3 11" xfId="48019"/>
    <cellStyle name="Normal 25 7 3 12" xfId="52098"/>
    <cellStyle name="Normal 25 7 3 2" xfId="11731"/>
    <cellStyle name="Normal 25 7 3 3" xfId="15763"/>
    <cellStyle name="Normal 25 7 3 4" xfId="19795"/>
    <cellStyle name="Normal 25 7 3 5" xfId="23827"/>
    <cellStyle name="Normal 25 7 3 6" xfId="27859"/>
    <cellStyle name="Normal 25 7 3 7" xfId="31891"/>
    <cellStyle name="Normal 25 7 3 8" xfId="35923"/>
    <cellStyle name="Normal 25 7 3 9" xfId="39955"/>
    <cellStyle name="Normal 25 7 4" xfId="9715"/>
    <cellStyle name="Normal 25 7 5" xfId="13747"/>
    <cellStyle name="Normal 25 7 6" xfId="17779"/>
    <cellStyle name="Normal 25 7 7" xfId="21811"/>
    <cellStyle name="Normal 25 7 8" xfId="25843"/>
    <cellStyle name="Normal 25 7 9" xfId="29875"/>
    <cellStyle name="Normal 25 8" xfId="4120"/>
    <cellStyle name="Normal 25 8 10" xfId="33976"/>
    <cellStyle name="Normal 25 8 11" xfId="38008"/>
    <cellStyle name="Normal 25 8 12" xfId="42040"/>
    <cellStyle name="Normal 25 8 13" xfId="46072"/>
    <cellStyle name="Normal 25 8 14" xfId="50150"/>
    <cellStyle name="Normal 25 8 2" xfId="6701"/>
    <cellStyle name="Normal 25 8 2 10" xfId="38959"/>
    <cellStyle name="Normal 25 8 2 11" xfId="42991"/>
    <cellStyle name="Normal 25 8 2 12" xfId="47023"/>
    <cellStyle name="Normal 25 8 2 13" xfId="51102"/>
    <cellStyle name="Normal 25 8 2 2" xfId="8717"/>
    <cellStyle name="Normal 25 8 2 2 10" xfId="45007"/>
    <cellStyle name="Normal 25 8 2 2 11" xfId="49039"/>
    <cellStyle name="Normal 25 8 2 2 12" xfId="53118"/>
    <cellStyle name="Normal 25 8 2 2 2" xfId="12751"/>
    <cellStyle name="Normal 25 8 2 2 3" xfId="16783"/>
    <cellStyle name="Normal 25 8 2 2 4" xfId="20815"/>
    <cellStyle name="Normal 25 8 2 2 5" xfId="24847"/>
    <cellStyle name="Normal 25 8 2 2 6" xfId="28879"/>
    <cellStyle name="Normal 25 8 2 2 7" xfId="32911"/>
    <cellStyle name="Normal 25 8 2 2 8" xfId="36943"/>
    <cellStyle name="Normal 25 8 2 2 9" xfId="40975"/>
    <cellStyle name="Normal 25 8 2 3" xfId="10735"/>
    <cellStyle name="Normal 25 8 2 4" xfId="14767"/>
    <cellStyle name="Normal 25 8 2 5" xfId="18799"/>
    <cellStyle name="Normal 25 8 2 6" xfId="22831"/>
    <cellStyle name="Normal 25 8 2 7" xfId="26863"/>
    <cellStyle name="Normal 25 8 2 8" xfId="30895"/>
    <cellStyle name="Normal 25 8 2 9" xfId="34927"/>
    <cellStyle name="Normal 25 8 3" xfId="7766"/>
    <cellStyle name="Normal 25 8 3 10" xfId="44056"/>
    <cellStyle name="Normal 25 8 3 11" xfId="48088"/>
    <cellStyle name="Normal 25 8 3 12" xfId="52167"/>
    <cellStyle name="Normal 25 8 3 2" xfId="11800"/>
    <cellStyle name="Normal 25 8 3 3" xfId="15832"/>
    <cellStyle name="Normal 25 8 3 4" xfId="19864"/>
    <cellStyle name="Normal 25 8 3 5" xfId="23896"/>
    <cellStyle name="Normal 25 8 3 6" xfId="27928"/>
    <cellStyle name="Normal 25 8 3 7" xfId="31960"/>
    <cellStyle name="Normal 25 8 3 8" xfId="35992"/>
    <cellStyle name="Normal 25 8 3 9" xfId="40024"/>
    <cellStyle name="Normal 25 8 4" xfId="9784"/>
    <cellStyle name="Normal 25 8 5" xfId="13816"/>
    <cellStyle name="Normal 25 8 6" xfId="17848"/>
    <cellStyle name="Normal 25 8 7" xfId="21880"/>
    <cellStyle name="Normal 25 8 8" xfId="25912"/>
    <cellStyle name="Normal 25 8 9" xfId="29944"/>
    <cellStyle name="Normal 25 9" xfId="4189"/>
    <cellStyle name="Normal 25 9 10" xfId="34045"/>
    <cellStyle name="Normal 25 9 11" xfId="38077"/>
    <cellStyle name="Normal 25 9 12" xfId="42109"/>
    <cellStyle name="Normal 25 9 13" xfId="46141"/>
    <cellStyle name="Normal 25 9 14" xfId="50219"/>
    <cellStyle name="Normal 25 9 2" xfId="6770"/>
    <cellStyle name="Normal 25 9 2 10" xfId="39028"/>
    <cellStyle name="Normal 25 9 2 11" xfId="43060"/>
    <cellStyle name="Normal 25 9 2 12" xfId="47092"/>
    <cellStyle name="Normal 25 9 2 13" xfId="51171"/>
    <cellStyle name="Normal 25 9 2 2" xfId="8786"/>
    <cellStyle name="Normal 25 9 2 2 10" xfId="45076"/>
    <cellStyle name="Normal 25 9 2 2 11" xfId="49108"/>
    <cellStyle name="Normal 25 9 2 2 12" xfId="53187"/>
    <cellStyle name="Normal 25 9 2 2 2" xfId="12820"/>
    <cellStyle name="Normal 25 9 2 2 3" xfId="16852"/>
    <cellStyle name="Normal 25 9 2 2 4" xfId="20884"/>
    <cellStyle name="Normal 25 9 2 2 5" xfId="24916"/>
    <cellStyle name="Normal 25 9 2 2 6" xfId="28948"/>
    <cellStyle name="Normal 25 9 2 2 7" xfId="32980"/>
    <cellStyle name="Normal 25 9 2 2 8" xfId="37012"/>
    <cellStyle name="Normal 25 9 2 2 9" xfId="41044"/>
    <cellStyle name="Normal 25 9 2 3" xfId="10804"/>
    <cellStyle name="Normal 25 9 2 4" xfId="14836"/>
    <cellStyle name="Normal 25 9 2 5" xfId="18868"/>
    <cellStyle name="Normal 25 9 2 6" xfId="22900"/>
    <cellStyle name="Normal 25 9 2 7" xfId="26932"/>
    <cellStyle name="Normal 25 9 2 8" xfId="30964"/>
    <cellStyle name="Normal 25 9 2 9" xfId="34996"/>
    <cellStyle name="Normal 25 9 3" xfId="7835"/>
    <cellStyle name="Normal 25 9 3 10" xfId="44125"/>
    <cellStyle name="Normal 25 9 3 11" xfId="48157"/>
    <cellStyle name="Normal 25 9 3 12" xfId="52236"/>
    <cellStyle name="Normal 25 9 3 2" xfId="11869"/>
    <cellStyle name="Normal 25 9 3 3" xfId="15901"/>
    <cellStyle name="Normal 25 9 3 4" xfId="19933"/>
    <cellStyle name="Normal 25 9 3 5" xfId="23965"/>
    <cellStyle name="Normal 25 9 3 6" xfId="27997"/>
    <cellStyle name="Normal 25 9 3 7" xfId="32029"/>
    <cellStyle name="Normal 25 9 3 8" xfId="36061"/>
    <cellStyle name="Normal 25 9 3 9" xfId="40093"/>
    <cellStyle name="Normal 25 9 4" xfId="9853"/>
    <cellStyle name="Normal 25 9 5" xfId="13885"/>
    <cellStyle name="Normal 25 9 6" xfId="17917"/>
    <cellStyle name="Normal 25 9 7" xfId="21949"/>
    <cellStyle name="Normal 25 9 8" xfId="25981"/>
    <cellStyle name="Normal 25 9 9" xfId="30013"/>
    <cellStyle name="Normal 256" xfId="1090"/>
    <cellStyle name="Normal 256 10" xfId="29542"/>
    <cellStyle name="Normal 256 11" xfId="33574"/>
    <cellStyle name="Normal 256 12" xfId="37606"/>
    <cellStyle name="Normal 256 13" xfId="41638"/>
    <cellStyle name="Normal 256 14" xfId="45670"/>
    <cellStyle name="Normal 256 15" xfId="49748"/>
    <cellStyle name="Normal 256 2" xfId="1091"/>
    <cellStyle name="Normal 256 2 10" xfId="33575"/>
    <cellStyle name="Normal 256 2 11" xfId="37607"/>
    <cellStyle name="Normal 256 2 12" xfId="41639"/>
    <cellStyle name="Normal 256 2 13" xfId="45671"/>
    <cellStyle name="Normal 256 2 14" xfId="49749"/>
    <cellStyle name="Normal 256 2 2" xfId="5056"/>
    <cellStyle name="Normal 256 2 2 10" xfId="38572"/>
    <cellStyle name="Normal 256 2 2 11" xfId="42604"/>
    <cellStyle name="Normal 256 2 2 12" xfId="46636"/>
    <cellStyle name="Normal 256 2 2 13" xfId="50715"/>
    <cellStyle name="Normal 256 2 2 2" xfId="8330"/>
    <cellStyle name="Normal 256 2 2 2 10" xfId="44620"/>
    <cellStyle name="Normal 256 2 2 2 11" xfId="48652"/>
    <cellStyle name="Normal 256 2 2 2 12" xfId="52731"/>
    <cellStyle name="Normal 256 2 2 2 2" xfId="12364"/>
    <cellStyle name="Normal 256 2 2 2 3" xfId="16396"/>
    <cellStyle name="Normal 256 2 2 2 4" xfId="20428"/>
    <cellStyle name="Normal 256 2 2 2 5" xfId="24460"/>
    <cellStyle name="Normal 256 2 2 2 6" xfId="28492"/>
    <cellStyle name="Normal 256 2 2 2 7" xfId="32524"/>
    <cellStyle name="Normal 256 2 2 2 8" xfId="36556"/>
    <cellStyle name="Normal 256 2 2 2 9" xfId="40588"/>
    <cellStyle name="Normal 256 2 2 3" xfId="10348"/>
    <cellStyle name="Normal 256 2 2 4" xfId="14380"/>
    <cellStyle name="Normal 256 2 2 5" xfId="18412"/>
    <cellStyle name="Normal 256 2 2 6" xfId="22444"/>
    <cellStyle name="Normal 256 2 2 7" xfId="26476"/>
    <cellStyle name="Normal 256 2 2 8" xfId="30508"/>
    <cellStyle name="Normal 256 2 2 9" xfId="34540"/>
    <cellStyle name="Normal 256 2 3" xfId="7365"/>
    <cellStyle name="Normal 256 2 3 10" xfId="43655"/>
    <cellStyle name="Normal 256 2 3 11" xfId="47687"/>
    <cellStyle name="Normal 256 2 3 12" xfId="51766"/>
    <cellStyle name="Normal 256 2 3 2" xfId="11399"/>
    <cellStyle name="Normal 256 2 3 3" xfId="15431"/>
    <cellStyle name="Normal 256 2 3 4" xfId="19463"/>
    <cellStyle name="Normal 256 2 3 5" xfId="23495"/>
    <cellStyle name="Normal 256 2 3 6" xfId="27527"/>
    <cellStyle name="Normal 256 2 3 7" xfId="31559"/>
    <cellStyle name="Normal 256 2 3 8" xfId="35591"/>
    <cellStyle name="Normal 256 2 3 9" xfId="39623"/>
    <cellStyle name="Normal 256 2 4" xfId="9383"/>
    <cellStyle name="Normal 256 2 5" xfId="13415"/>
    <cellStyle name="Normal 256 2 6" xfId="17447"/>
    <cellStyle name="Normal 256 2 7" xfId="21479"/>
    <cellStyle name="Normal 256 2 8" xfId="25511"/>
    <cellStyle name="Normal 256 2 9" xfId="29543"/>
    <cellStyle name="Normal 256 3" xfId="5055"/>
    <cellStyle name="Normal 256 3 10" xfId="38571"/>
    <cellStyle name="Normal 256 3 11" xfId="42603"/>
    <cellStyle name="Normal 256 3 12" xfId="46635"/>
    <cellStyle name="Normal 256 3 13" xfId="50714"/>
    <cellStyle name="Normal 256 3 2" xfId="8329"/>
    <cellStyle name="Normal 256 3 2 10" xfId="44619"/>
    <cellStyle name="Normal 256 3 2 11" xfId="48651"/>
    <cellStyle name="Normal 256 3 2 12" xfId="52730"/>
    <cellStyle name="Normal 256 3 2 2" xfId="12363"/>
    <cellStyle name="Normal 256 3 2 3" xfId="16395"/>
    <cellStyle name="Normal 256 3 2 4" xfId="20427"/>
    <cellStyle name="Normal 256 3 2 5" xfId="24459"/>
    <cellStyle name="Normal 256 3 2 6" xfId="28491"/>
    <cellStyle name="Normal 256 3 2 7" xfId="32523"/>
    <cellStyle name="Normal 256 3 2 8" xfId="36555"/>
    <cellStyle name="Normal 256 3 2 9" xfId="40587"/>
    <cellStyle name="Normal 256 3 3" xfId="10347"/>
    <cellStyle name="Normal 256 3 4" xfId="14379"/>
    <cellStyle name="Normal 256 3 5" xfId="18411"/>
    <cellStyle name="Normal 256 3 6" xfId="22443"/>
    <cellStyle name="Normal 256 3 7" xfId="26475"/>
    <cellStyle name="Normal 256 3 8" xfId="30507"/>
    <cellStyle name="Normal 256 3 9" xfId="34539"/>
    <cellStyle name="Normal 256 4" xfId="7364"/>
    <cellStyle name="Normal 256 4 10" xfId="43654"/>
    <cellStyle name="Normal 256 4 11" xfId="47686"/>
    <cellStyle name="Normal 256 4 12" xfId="51765"/>
    <cellStyle name="Normal 256 4 2" xfId="11398"/>
    <cellStyle name="Normal 256 4 3" xfId="15430"/>
    <cellStyle name="Normal 256 4 4" xfId="19462"/>
    <cellStyle name="Normal 256 4 5" xfId="23494"/>
    <cellStyle name="Normal 256 4 6" xfId="27526"/>
    <cellStyle name="Normal 256 4 7" xfId="31558"/>
    <cellStyle name="Normal 256 4 8" xfId="35590"/>
    <cellStyle name="Normal 256 4 9" xfId="39622"/>
    <cellStyle name="Normal 256 5" xfId="9382"/>
    <cellStyle name="Normal 256 6" xfId="13414"/>
    <cellStyle name="Normal 256 7" xfId="17446"/>
    <cellStyle name="Normal 256 8" xfId="21478"/>
    <cellStyle name="Normal 256 9" xfId="25510"/>
    <cellStyle name="Normal 26" xfId="67"/>
    <cellStyle name="Normal 26 10" xfId="4409"/>
    <cellStyle name="Normal 26 10 10" xfId="34253"/>
    <cellStyle name="Normal 26 10 11" xfId="38285"/>
    <cellStyle name="Normal 26 10 12" xfId="42317"/>
    <cellStyle name="Normal 26 10 13" xfId="46349"/>
    <cellStyle name="Normal 26 10 14" xfId="50428"/>
    <cellStyle name="Normal 26 10 2" xfId="6978"/>
    <cellStyle name="Normal 26 10 2 10" xfId="39236"/>
    <cellStyle name="Normal 26 10 2 11" xfId="43268"/>
    <cellStyle name="Normal 26 10 2 12" xfId="47300"/>
    <cellStyle name="Normal 26 10 2 13" xfId="51379"/>
    <cellStyle name="Normal 26 10 2 2" xfId="8994"/>
    <cellStyle name="Normal 26 10 2 2 10" xfId="45284"/>
    <cellStyle name="Normal 26 10 2 2 11" xfId="49316"/>
    <cellStyle name="Normal 26 10 2 2 12" xfId="53395"/>
    <cellStyle name="Normal 26 10 2 2 2" xfId="13028"/>
    <cellStyle name="Normal 26 10 2 2 3" xfId="17060"/>
    <cellStyle name="Normal 26 10 2 2 4" xfId="21092"/>
    <cellStyle name="Normal 26 10 2 2 5" xfId="25124"/>
    <cellStyle name="Normal 26 10 2 2 6" xfId="29156"/>
    <cellStyle name="Normal 26 10 2 2 7" xfId="33188"/>
    <cellStyle name="Normal 26 10 2 2 8" xfId="37220"/>
    <cellStyle name="Normal 26 10 2 2 9" xfId="41252"/>
    <cellStyle name="Normal 26 10 2 3" xfId="11012"/>
    <cellStyle name="Normal 26 10 2 4" xfId="15044"/>
    <cellStyle name="Normal 26 10 2 5" xfId="19076"/>
    <cellStyle name="Normal 26 10 2 6" xfId="23108"/>
    <cellStyle name="Normal 26 10 2 7" xfId="27140"/>
    <cellStyle name="Normal 26 10 2 8" xfId="31172"/>
    <cellStyle name="Normal 26 10 2 9" xfId="35204"/>
    <cellStyle name="Normal 26 10 3" xfId="8043"/>
    <cellStyle name="Normal 26 10 3 10" xfId="44333"/>
    <cellStyle name="Normal 26 10 3 11" xfId="48365"/>
    <cellStyle name="Normal 26 10 3 12" xfId="52444"/>
    <cellStyle name="Normal 26 10 3 2" xfId="12077"/>
    <cellStyle name="Normal 26 10 3 3" xfId="16109"/>
    <cellStyle name="Normal 26 10 3 4" xfId="20141"/>
    <cellStyle name="Normal 26 10 3 5" xfId="24173"/>
    <cellStyle name="Normal 26 10 3 6" xfId="28205"/>
    <cellStyle name="Normal 26 10 3 7" xfId="32237"/>
    <cellStyle name="Normal 26 10 3 8" xfId="36269"/>
    <cellStyle name="Normal 26 10 3 9" xfId="40301"/>
    <cellStyle name="Normal 26 10 4" xfId="10061"/>
    <cellStyle name="Normal 26 10 5" xfId="14093"/>
    <cellStyle name="Normal 26 10 6" xfId="18125"/>
    <cellStyle name="Normal 26 10 7" xfId="22157"/>
    <cellStyle name="Normal 26 10 8" xfId="26189"/>
    <cellStyle name="Normal 26 10 9" xfId="30221"/>
    <cellStyle name="Normal 26 11" xfId="4547"/>
    <cellStyle name="Normal 26 11 10" xfId="38423"/>
    <cellStyle name="Normal 26 11 11" xfId="42455"/>
    <cellStyle name="Normal 26 11 12" xfId="46487"/>
    <cellStyle name="Normal 26 11 13" xfId="50566"/>
    <cellStyle name="Normal 26 11 2" xfId="8181"/>
    <cellStyle name="Normal 26 11 2 10" xfId="44471"/>
    <cellStyle name="Normal 26 11 2 11" xfId="48503"/>
    <cellStyle name="Normal 26 11 2 12" xfId="52582"/>
    <cellStyle name="Normal 26 11 2 2" xfId="12215"/>
    <cellStyle name="Normal 26 11 2 3" xfId="16247"/>
    <cellStyle name="Normal 26 11 2 4" xfId="20279"/>
    <cellStyle name="Normal 26 11 2 5" xfId="24311"/>
    <cellStyle name="Normal 26 11 2 6" xfId="28343"/>
    <cellStyle name="Normal 26 11 2 7" xfId="32375"/>
    <cellStyle name="Normal 26 11 2 8" xfId="36407"/>
    <cellStyle name="Normal 26 11 2 9" xfId="40439"/>
    <cellStyle name="Normal 26 11 3" xfId="10199"/>
    <cellStyle name="Normal 26 11 4" xfId="14231"/>
    <cellStyle name="Normal 26 11 5" xfId="18263"/>
    <cellStyle name="Normal 26 11 6" xfId="22295"/>
    <cellStyle name="Normal 26 11 7" xfId="26327"/>
    <cellStyle name="Normal 26 11 8" xfId="30359"/>
    <cellStyle name="Normal 26 11 9" xfId="34391"/>
    <cellStyle name="Normal 26 12" xfId="275"/>
    <cellStyle name="Normal 26 12 10" xfId="37480"/>
    <cellStyle name="Normal 26 12 11" xfId="41512"/>
    <cellStyle name="Normal 26 12 12" xfId="45544"/>
    <cellStyle name="Normal 26 12 13" xfId="49622"/>
    <cellStyle name="Normal 26 12 2" xfId="7238"/>
    <cellStyle name="Normal 26 12 2 10" xfId="43528"/>
    <cellStyle name="Normal 26 12 2 11" xfId="47560"/>
    <cellStyle name="Normal 26 12 2 12" xfId="51639"/>
    <cellStyle name="Normal 26 12 2 2" xfId="11272"/>
    <cellStyle name="Normal 26 12 2 3" xfId="15304"/>
    <cellStyle name="Normal 26 12 2 4" xfId="19336"/>
    <cellStyle name="Normal 26 12 2 5" xfId="23368"/>
    <cellStyle name="Normal 26 12 2 6" xfId="27400"/>
    <cellStyle name="Normal 26 12 2 7" xfId="31432"/>
    <cellStyle name="Normal 26 12 2 8" xfId="35464"/>
    <cellStyle name="Normal 26 12 2 9" xfId="39496"/>
    <cellStyle name="Normal 26 12 3" xfId="9256"/>
    <cellStyle name="Normal 26 12 4" xfId="13288"/>
    <cellStyle name="Normal 26 12 5" xfId="17320"/>
    <cellStyle name="Normal 26 12 6" xfId="21352"/>
    <cellStyle name="Normal 26 12 7" xfId="25384"/>
    <cellStyle name="Normal 26 12 8" xfId="29416"/>
    <cellStyle name="Normal 26 12 9" xfId="33448"/>
    <cellStyle name="Normal 26 13" xfId="7116"/>
    <cellStyle name="Normal 26 13 10" xfId="43406"/>
    <cellStyle name="Normal 26 13 11" xfId="47438"/>
    <cellStyle name="Normal 26 13 12" xfId="51517"/>
    <cellStyle name="Normal 26 13 2" xfId="11150"/>
    <cellStyle name="Normal 26 13 3" xfId="15182"/>
    <cellStyle name="Normal 26 13 4" xfId="19214"/>
    <cellStyle name="Normal 26 13 5" xfId="23246"/>
    <cellStyle name="Normal 26 13 6" xfId="27278"/>
    <cellStyle name="Normal 26 13 7" xfId="31310"/>
    <cellStyle name="Normal 26 13 8" xfId="35342"/>
    <cellStyle name="Normal 26 13 9" xfId="39374"/>
    <cellStyle name="Normal 26 14" xfId="142"/>
    <cellStyle name="Normal 26 15" xfId="9134"/>
    <cellStyle name="Normal 26 16" xfId="13166"/>
    <cellStyle name="Normal 26 17" xfId="17198"/>
    <cellStyle name="Normal 26 18" xfId="21230"/>
    <cellStyle name="Normal 26 19" xfId="25262"/>
    <cellStyle name="Normal 26 2" xfId="221"/>
    <cellStyle name="Normal 26 2 10" xfId="17267"/>
    <cellStyle name="Normal 26 2 11" xfId="21299"/>
    <cellStyle name="Normal 26 2 12" xfId="25331"/>
    <cellStyle name="Normal 26 2 13" xfId="29363"/>
    <cellStyle name="Normal 26 2 14" xfId="33395"/>
    <cellStyle name="Normal 26 2 15" xfId="37427"/>
    <cellStyle name="Normal 26 2 16" xfId="41459"/>
    <cellStyle name="Normal 26 2 17" xfId="45491"/>
    <cellStyle name="Normal 26 2 18" xfId="49569"/>
    <cellStyle name="Normal 26 2 2" xfId="2722"/>
    <cellStyle name="Normal 26 2 2 2" xfId="5686"/>
    <cellStyle name="Normal 26 2 3" xfId="4339"/>
    <cellStyle name="Normal 26 2 3 10" xfId="34184"/>
    <cellStyle name="Normal 26 2 3 11" xfId="38216"/>
    <cellStyle name="Normal 26 2 3 12" xfId="42248"/>
    <cellStyle name="Normal 26 2 3 13" xfId="46280"/>
    <cellStyle name="Normal 26 2 3 14" xfId="50359"/>
    <cellStyle name="Normal 26 2 3 2" xfId="6909"/>
    <cellStyle name="Normal 26 2 3 2 10" xfId="39167"/>
    <cellStyle name="Normal 26 2 3 2 11" xfId="43199"/>
    <cellStyle name="Normal 26 2 3 2 12" xfId="47231"/>
    <cellStyle name="Normal 26 2 3 2 13" xfId="51310"/>
    <cellStyle name="Normal 26 2 3 2 2" xfId="8925"/>
    <cellStyle name="Normal 26 2 3 2 2 10" xfId="45215"/>
    <cellStyle name="Normal 26 2 3 2 2 11" xfId="49247"/>
    <cellStyle name="Normal 26 2 3 2 2 12" xfId="53326"/>
    <cellStyle name="Normal 26 2 3 2 2 2" xfId="12959"/>
    <cellStyle name="Normal 26 2 3 2 2 3" xfId="16991"/>
    <cellStyle name="Normal 26 2 3 2 2 4" xfId="21023"/>
    <cellStyle name="Normal 26 2 3 2 2 5" xfId="25055"/>
    <cellStyle name="Normal 26 2 3 2 2 6" xfId="29087"/>
    <cellStyle name="Normal 26 2 3 2 2 7" xfId="33119"/>
    <cellStyle name="Normal 26 2 3 2 2 8" xfId="37151"/>
    <cellStyle name="Normal 26 2 3 2 2 9" xfId="41183"/>
    <cellStyle name="Normal 26 2 3 2 3" xfId="10943"/>
    <cellStyle name="Normal 26 2 3 2 4" xfId="14975"/>
    <cellStyle name="Normal 26 2 3 2 5" xfId="19007"/>
    <cellStyle name="Normal 26 2 3 2 6" xfId="23039"/>
    <cellStyle name="Normal 26 2 3 2 7" xfId="27071"/>
    <cellStyle name="Normal 26 2 3 2 8" xfId="31103"/>
    <cellStyle name="Normal 26 2 3 2 9" xfId="35135"/>
    <cellStyle name="Normal 26 2 3 3" xfId="7974"/>
    <cellStyle name="Normal 26 2 3 3 10" xfId="44264"/>
    <cellStyle name="Normal 26 2 3 3 11" xfId="48296"/>
    <cellStyle name="Normal 26 2 3 3 12" xfId="52375"/>
    <cellStyle name="Normal 26 2 3 3 2" xfId="12008"/>
    <cellStyle name="Normal 26 2 3 3 3" xfId="16040"/>
    <cellStyle name="Normal 26 2 3 3 4" xfId="20072"/>
    <cellStyle name="Normal 26 2 3 3 5" xfId="24104"/>
    <cellStyle name="Normal 26 2 3 3 6" xfId="28136"/>
    <cellStyle name="Normal 26 2 3 3 7" xfId="32168"/>
    <cellStyle name="Normal 26 2 3 3 8" xfId="36200"/>
    <cellStyle name="Normal 26 2 3 3 9" xfId="40232"/>
    <cellStyle name="Normal 26 2 3 4" xfId="9992"/>
    <cellStyle name="Normal 26 2 3 5" xfId="14024"/>
    <cellStyle name="Normal 26 2 3 6" xfId="18056"/>
    <cellStyle name="Normal 26 2 3 7" xfId="22088"/>
    <cellStyle name="Normal 26 2 3 8" xfId="26120"/>
    <cellStyle name="Normal 26 2 3 9" xfId="30152"/>
    <cellStyle name="Normal 26 2 4" xfId="4478"/>
    <cellStyle name="Normal 26 2 4 10" xfId="34322"/>
    <cellStyle name="Normal 26 2 4 11" xfId="38354"/>
    <cellStyle name="Normal 26 2 4 12" xfId="42386"/>
    <cellStyle name="Normal 26 2 4 13" xfId="46418"/>
    <cellStyle name="Normal 26 2 4 14" xfId="50497"/>
    <cellStyle name="Normal 26 2 4 2" xfId="7047"/>
    <cellStyle name="Normal 26 2 4 2 10" xfId="39305"/>
    <cellStyle name="Normal 26 2 4 2 11" xfId="43337"/>
    <cellStyle name="Normal 26 2 4 2 12" xfId="47369"/>
    <cellStyle name="Normal 26 2 4 2 13" xfId="51448"/>
    <cellStyle name="Normal 26 2 4 2 2" xfId="9063"/>
    <cellStyle name="Normal 26 2 4 2 2 10" xfId="45353"/>
    <cellStyle name="Normal 26 2 4 2 2 11" xfId="49385"/>
    <cellStyle name="Normal 26 2 4 2 2 12" xfId="53464"/>
    <cellStyle name="Normal 26 2 4 2 2 2" xfId="13097"/>
    <cellStyle name="Normal 26 2 4 2 2 3" xfId="17129"/>
    <cellStyle name="Normal 26 2 4 2 2 4" xfId="21161"/>
    <cellStyle name="Normal 26 2 4 2 2 5" xfId="25193"/>
    <cellStyle name="Normal 26 2 4 2 2 6" xfId="29225"/>
    <cellStyle name="Normal 26 2 4 2 2 7" xfId="33257"/>
    <cellStyle name="Normal 26 2 4 2 2 8" xfId="37289"/>
    <cellStyle name="Normal 26 2 4 2 2 9" xfId="41321"/>
    <cellStyle name="Normal 26 2 4 2 3" xfId="11081"/>
    <cellStyle name="Normal 26 2 4 2 4" xfId="15113"/>
    <cellStyle name="Normal 26 2 4 2 5" xfId="19145"/>
    <cellStyle name="Normal 26 2 4 2 6" xfId="23177"/>
    <cellStyle name="Normal 26 2 4 2 7" xfId="27209"/>
    <cellStyle name="Normal 26 2 4 2 8" xfId="31241"/>
    <cellStyle name="Normal 26 2 4 2 9" xfId="35273"/>
    <cellStyle name="Normal 26 2 4 3" xfId="8112"/>
    <cellStyle name="Normal 26 2 4 3 10" xfId="44402"/>
    <cellStyle name="Normal 26 2 4 3 11" xfId="48434"/>
    <cellStyle name="Normal 26 2 4 3 12" xfId="52513"/>
    <cellStyle name="Normal 26 2 4 3 2" xfId="12146"/>
    <cellStyle name="Normal 26 2 4 3 3" xfId="16178"/>
    <cellStyle name="Normal 26 2 4 3 4" xfId="20210"/>
    <cellStyle name="Normal 26 2 4 3 5" xfId="24242"/>
    <cellStyle name="Normal 26 2 4 3 6" xfId="28274"/>
    <cellStyle name="Normal 26 2 4 3 7" xfId="32306"/>
    <cellStyle name="Normal 26 2 4 3 8" xfId="36338"/>
    <cellStyle name="Normal 26 2 4 3 9" xfId="40370"/>
    <cellStyle name="Normal 26 2 4 4" xfId="10130"/>
    <cellStyle name="Normal 26 2 4 5" xfId="14162"/>
    <cellStyle name="Normal 26 2 4 6" xfId="18194"/>
    <cellStyle name="Normal 26 2 4 7" xfId="22226"/>
    <cellStyle name="Normal 26 2 4 8" xfId="26258"/>
    <cellStyle name="Normal 26 2 4 9" xfId="30290"/>
    <cellStyle name="Normal 26 2 5" xfId="4618"/>
    <cellStyle name="Normal 26 2 5 10" xfId="38492"/>
    <cellStyle name="Normal 26 2 5 11" xfId="42524"/>
    <cellStyle name="Normal 26 2 5 12" xfId="46556"/>
    <cellStyle name="Normal 26 2 5 13" xfId="50635"/>
    <cellStyle name="Normal 26 2 5 2" xfId="8250"/>
    <cellStyle name="Normal 26 2 5 2 10" xfId="44540"/>
    <cellStyle name="Normal 26 2 5 2 11" xfId="48572"/>
    <cellStyle name="Normal 26 2 5 2 12" xfId="52651"/>
    <cellStyle name="Normal 26 2 5 2 2" xfId="12284"/>
    <cellStyle name="Normal 26 2 5 2 3" xfId="16316"/>
    <cellStyle name="Normal 26 2 5 2 4" xfId="20348"/>
    <cellStyle name="Normal 26 2 5 2 5" xfId="24380"/>
    <cellStyle name="Normal 26 2 5 2 6" xfId="28412"/>
    <cellStyle name="Normal 26 2 5 2 7" xfId="32444"/>
    <cellStyle name="Normal 26 2 5 2 8" xfId="36476"/>
    <cellStyle name="Normal 26 2 5 2 9" xfId="40508"/>
    <cellStyle name="Normal 26 2 5 3" xfId="10268"/>
    <cellStyle name="Normal 26 2 5 4" xfId="14300"/>
    <cellStyle name="Normal 26 2 5 5" xfId="18332"/>
    <cellStyle name="Normal 26 2 5 6" xfId="22364"/>
    <cellStyle name="Normal 26 2 5 7" xfId="26396"/>
    <cellStyle name="Normal 26 2 5 8" xfId="30428"/>
    <cellStyle name="Normal 26 2 5 9" xfId="34460"/>
    <cellStyle name="Normal 26 2 6" xfId="345"/>
    <cellStyle name="Normal 26 2 6 10" xfId="37550"/>
    <cellStyle name="Normal 26 2 6 11" xfId="41582"/>
    <cellStyle name="Normal 26 2 6 12" xfId="45614"/>
    <cellStyle name="Normal 26 2 6 13" xfId="49692"/>
    <cellStyle name="Normal 26 2 6 2" xfId="7308"/>
    <cellStyle name="Normal 26 2 6 2 10" xfId="43598"/>
    <cellStyle name="Normal 26 2 6 2 11" xfId="47630"/>
    <cellStyle name="Normal 26 2 6 2 12" xfId="51709"/>
    <cellStyle name="Normal 26 2 6 2 2" xfId="11342"/>
    <cellStyle name="Normal 26 2 6 2 3" xfId="15374"/>
    <cellStyle name="Normal 26 2 6 2 4" xfId="19406"/>
    <cellStyle name="Normal 26 2 6 2 5" xfId="23438"/>
    <cellStyle name="Normal 26 2 6 2 6" xfId="27470"/>
    <cellStyle name="Normal 26 2 6 2 7" xfId="31502"/>
    <cellStyle name="Normal 26 2 6 2 8" xfId="35534"/>
    <cellStyle name="Normal 26 2 6 2 9" xfId="39566"/>
    <cellStyle name="Normal 26 2 6 3" xfId="9326"/>
    <cellStyle name="Normal 26 2 6 4" xfId="13358"/>
    <cellStyle name="Normal 26 2 6 5" xfId="17390"/>
    <cellStyle name="Normal 26 2 6 6" xfId="21422"/>
    <cellStyle name="Normal 26 2 6 7" xfId="25454"/>
    <cellStyle name="Normal 26 2 6 8" xfId="29486"/>
    <cellStyle name="Normal 26 2 6 9" xfId="33518"/>
    <cellStyle name="Normal 26 2 7" xfId="7185"/>
    <cellStyle name="Normal 26 2 7 10" xfId="43475"/>
    <cellStyle name="Normal 26 2 7 11" xfId="47507"/>
    <cellStyle name="Normal 26 2 7 12" xfId="51586"/>
    <cellStyle name="Normal 26 2 7 2" xfId="11219"/>
    <cellStyle name="Normal 26 2 7 3" xfId="15251"/>
    <cellStyle name="Normal 26 2 7 4" xfId="19283"/>
    <cellStyle name="Normal 26 2 7 5" xfId="23315"/>
    <cellStyle name="Normal 26 2 7 6" xfId="27347"/>
    <cellStyle name="Normal 26 2 7 7" xfId="31379"/>
    <cellStyle name="Normal 26 2 7 8" xfId="35411"/>
    <cellStyle name="Normal 26 2 7 9" xfId="39443"/>
    <cellStyle name="Normal 26 2 8" xfId="9203"/>
    <cellStyle name="Normal 26 2 9" xfId="13235"/>
    <cellStyle name="Normal 26 20" xfId="29294"/>
    <cellStyle name="Normal 26 21" xfId="33326"/>
    <cellStyle name="Normal 26 22" xfId="37358"/>
    <cellStyle name="Normal 26 23" xfId="41390"/>
    <cellStyle name="Normal 26 24" xfId="45422"/>
    <cellStyle name="Normal 26 25" xfId="49500"/>
    <cellStyle name="Normal 26 3" xfId="1655"/>
    <cellStyle name="Normal 26 3 10" xfId="33616"/>
    <cellStyle name="Normal 26 3 11" xfId="37648"/>
    <cellStyle name="Normal 26 3 12" xfId="41680"/>
    <cellStyle name="Normal 26 3 13" xfId="45712"/>
    <cellStyle name="Normal 26 3 14" xfId="49790"/>
    <cellStyle name="Normal 26 3 2" xfId="5331"/>
    <cellStyle name="Normal 26 3 2 10" xfId="38599"/>
    <cellStyle name="Normal 26 3 2 11" xfId="42631"/>
    <cellStyle name="Normal 26 3 2 12" xfId="46663"/>
    <cellStyle name="Normal 26 3 2 13" xfId="50742"/>
    <cellStyle name="Normal 26 3 2 2" xfId="8357"/>
    <cellStyle name="Normal 26 3 2 2 10" xfId="44647"/>
    <cellStyle name="Normal 26 3 2 2 11" xfId="48679"/>
    <cellStyle name="Normal 26 3 2 2 12" xfId="52758"/>
    <cellStyle name="Normal 26 3 2 2 2" xfId="12391"/>
    <cellStyle name="Normal 26 3 2 2 3" xfId="16423"/>
    <cellStyle name="Normal 26 3 2 2 4" xfId="20455"/>
    <cellStyle name="Normal 26 3 2 2 5" xfId="24487"/>
    <cellStyle name="Normal 26 3 2 2 6" xfId="28519"/>
    <cellStyle name="Normal 26 3 2 2 7" xfId="32551"/>
    <cellStyle name="Normal 26 3 2 2 8" xfId="36583"/>
    <cellStyle name="Normal 26 3 2 2 9" xfId="40615"/>
    <cellStyle name="Normal 26 3 2 3" xfId="10375"/>
    <cellStyle name="Normal 26 3 2 4" xfId="14407"/>
    <cellStyle name="Normal 26 3 2 5" xfId="18439"/>
    <cellStyle name="Normal 26 3 2 6" xfId="22471"/>
    <cellStyle name="Normal 26 3 2 7" xfId="26503"/>
    <cellStyle name="Normal 26 3 2 8" xfId="30535"/>
    <cellStyle name="Normal 26 3 2 9" xfId="34567"/>
    <cellStyle name="Normal 26 3 3" xfId="7406"/>
    <cellStyle name="Normal 26 3 3 10" xfId="43696"/>
    <cellStyle name="Normal 26 3 3 11" xfId="47728"/>
    <cellStyle name="Normal 26 3 3 12" xfId="51807"/>
    <cellStyle name="Normal 26 3 3 2" xfId="11440"/>
    <cellStyle name="Normal 26 3 3 3" xfId="15472"/>
    <cellStyle name="Normal 26 3 3 4" xfId="19504"/>
    <cellStyle name="Normal 26 3 3 5" xfId="23536"/>
    <cellStyle name="Normal 26 3 3 6" xfId="27568"/>
    <cellStyle name="Normal 26 3 3 7" xfId="31600"/>
    <cellStyle name="Normal 26 3 3 8" xfId="35632"/>
    <cellStyle name="Normal 26 3 3 9" xfId="39664"/>
    <cellStyle name="Normal 26 3 4" xfId="9424"/>
    <cellStyle name="Normal 26 3 5" xfId="13456"/>
    <cellStyle name="Normal 26 3 6" xfId="17488"/>
    <cellStyle name="Normal 26 3 7" xfId="21520"/>
    <cellStyle name="Normal 26 3 8" xfId="25552"/>
    <cellStyle name="Normal 26 3 9" xfId="29584"/>
    <cellStyle name="Normal 26 4" xfId="1729"/>
    <cellStyle name="Normal 26 4 10" xfId="33685"/>
    <cellStyle name="Normal 26 4 11" xfId="37717"/>
    <cellStyle name="Normal 26 4 12" xfId="41749"/>
    <cellStyle name="Normal 26 4 13" xfId="45781"/>
    <cellStyle name="Normal 26 4 14" xfId="49859"/>
    <cellStyle name="Normal 26 4 2" xfId="5400"/>
    <cellStyle name="Normal 26 4 2 10" xfId="38668"/>
    <cellStyle name="Normal 26 4 2 11" xfId="42700"/>
    <cellStyle name="Normal 26 4 2 12" xfId="46732"/>
    <cellStyle name="Normal 26 4 2 13" xfId="50811"/>
    <cellStyle name="Normal 26 4 2 2" xfId="8426"/>
    <cellStyle name="Normal 26 4 2 2 10" xfId="44716"/>
    <cellStyle name="Normal 26 4 2 2 11" xfId="48748"/>
    <cellStyle name="Normal 26 4 2 2 12" xfId="52827"/>
    <cellStyle name="Normal 26 4 2 2 2" xfId="12460"/>
    <cellStyle name="Normal 26 4 2 2 3" xfId="16492"/>
    <cellStyle name="Normal 26 4 2 2 4" xfId="20524"/>
    <cellStyle name="Normal 26 4 2 2 5" xfId="24556"/>
    <cellStyle name="Normal 26 4 2 2 6" xfId="28588"/>
    <cellStyle name="Normal 26 4 2 2 7" xfId="32620"/>
    <cellStyle name="Normal 26 4 2 2 8" xfId="36652"/>
    <cellStyle name="Normal 26 4 2 2 9" xfId="40684"/>
    <cellStyle name="Normal 26 4 2 3" xfId="10444"/>
    <cellStyle name="Normal 26 4 2 4" xfId="14476"/>
    <cellStyle name="Normal 26 4 2 5" xfId="18508"/>
    <cellStyle name="Normal 26 4 2 6" xfId="22540"/>
    <cellStyle name="Normal 26 4 2 7" xfId="26572"/>
    <cellStyle name="Normal 26 4 2 8" xfId="30604"/>
    <cellStyle name="Normal 26 4 2 9" xfId="34636"/>
    <cellStyle name="Normal 26 4 3" xfId="7475"/>
    <cellStyle name="Normal 26 4 3 10" xfId="43765"/>
    <cellStyle name="Normal 26 4 3 11" xfId="47797"/>
    <cellStyle name="Normal 26 4 3 12" xfId="51876"/>
    <cellStyle name="Normal 26 4 3 2" xfId="11509"/>
    <cellStyle name="Normal 26 4 3 3" xfId="15541"/>
    <cellStyle name="Normal 26 4 3 4" xfId="19573"/>
    <cellStyle name="Normal 26 4 3 5" xfId="23605"/>
    <cellStyle name="Normal 26 4 3 6" xfId="27637"/>
    <cellStyle name="Normal 26 4 3 7" xfId="31669"/>
    <cellStyle name="Normal 26 4 3 8" xfId="35701"/>
    <cellStyle name="Normal 26 4 3 9" xfId="39733"/>
    <cellStyle name="Normal 26 4 4" xfId="9493"/>
    <cellStyle name="Normal 26 4 5" xfId="13525"/>
    <cellStyle name="Normal 26 4 6" xfId="17557"/>
    <cellStyle name="Normal 26 4 7" xfId="21589"/>
    <cellStyle name="Normal 26 4 8" xfId="25621"/>
    <cellStyle name="Normal 26 4 9" xfId="29653"/>
    <cellStyle name="Normal 26 5" xfId="2721"/>
    <cellStyle name="Normal 26 5 2" xfId="5685"/>
    <cellStyle name="Normal 26 6" xfId="4051"/>
    <cellStyle name="Normal 26 6 10" xfId="33908"/>
    <cellStyle name="Normal 26 6 11" xfId="37940"/>
    <cellStyle name="Normal 26 6 12" xfId="41972"/>
    <cellStyle name="Normal 26 6 13" xfId="46004"/>
    <cellStyle name="Normal 26 6 14" xfId="50082"/>
    <cellStyle name="Normal 26 6 2" xfId="6633"/>
    <cellStyle name="Normal 26 6 2 10" xfId="38891"/>
    <cellStyle name="Normal 26 6 2 11" xfId="42923"/>
    <cellStyle name="Normal 26 6 2 12" xfId="46955"/>
    <cellStyle name="Normal 26 6 2 13" xfId="51034"/>
    <cellStyle name="Normal 26 6 2 2" xfId="8649"/>
    <cellStyle name="Normal 26 6 2 2 10" xfId="44939"/>
    <cellStyle name="Normal 26 6 2 2 11" xfId="48971"/>
    <cellStyle name="Normal 26 6 2 2 12" xfId="53050"/>
    <cellStyle name="Normal 26 6 2 2 2" xfId="12683"/>
    <cellStyle name="Normal 26 6 2 2 3" xfId="16715"/>
    <cellStyle name="Normal 26 6 2 2 4" xfId="20747"/>
    <cellStyle name="Normal 26 6 2 2 5" xfId="24779"/>
    <cellStyle name="Normal 26 6 2 2 6" xfId="28811"/>
    <cellStyle name="Normal 26 6 2 2 7" xfId="32843"/>
    <cellStyle name="Normal 26 6 2 2 8" xfId="36875"/>
    <cellStyle name="Normal 26 6 2 2 9" xfId="40907"/>
    <cellStyle name="Normal 26 6 2 3" xfId="10667"/>
    <cellStyle name="Normal 26 6 2 4" xfId="14699"/>
    <cellStyle name="Normal 26 6 2 5" xfId="18731"/>
    <cellStyle name="Normal 26 6 2 6" xfId="22763"/>
    <cellStyle name="Normal 26 6 2 7" xfId="26795"/>
    <cellStyle name="Normal 26 6 2 8" xfId="30827"/>
    <cellStyle name="Normal 26 6 2 9" xfId="34859"/>
    <cellStyle name="Normal 26 6 3" xfId="7698"/>
    <cellStyle name="Normal 26 6 3 10" xfId="43988"/>
    <cellStyle name="Normal 26 6 3 11" xfId="48020"/>
    <cellStyle name="Normal 26 6 3 12" xfId="52099"/>
    <cellStyle name="Normal 26 6 3 2" xfId="11732"/>
    <cellStyle name="Normal 26 6 3 3" xfId="15764"/>
    <cellStyle name="Normal 26 6 3 4" xfId="19796"/>
    <cellStyle name="Normal 26 6 3 5" xfId="23828"/>
    <cellStyle name="Normal 26 6 3 6" xfId="27860"/>
    <cellStyle name="Normal 26 6 3 7" xfId="31892"/>
    <cellStyle name="Normal 26 6 3 8" xfId="35924"/>
    <cellStyle name="Normal 26 6 3 9" xfId="39956"/>
    <cellStyle name="Normal 26 6 4" xfId="9716"/>
    <cellStyle name="Normal 26 6 5" xfId="13748"/>
    <cellStyle name="Normal 26 6 6" xfId="17780"/>
    <cellStyle name="Normal 26 6 7" xfId="21812"/>
    <cellStyle name="Normal 26 6 8" xfId="25844"/>
    <cellStyle name="Normal 26 6 9" xfId="29876"/>
    <cellStyle name="Normal 26 7" xfId="4121"/>
    <cellStyle name="Normal 26 7 10" xfId="33977"/>
    <cellStyle name="Normal 26 7 11" xfId="38009"/>
    <cellStyle name="Normal 26 7 12" xfId="42041"/>
    <cellStyle name="Normal 26 7 13" xfId="46073"/>
    <cellStyle name="Normal 26 7 14" xfId="50151"/>
    <cellStyle name="Normal 26 7 2" xfId="6702"/>
    <cellStyle name="Normal 26 7 2 10" xfId="38960"/>
    <cellStyle name="Normal 26 7 2 11" xfId="42992"/>
    <cellStyle name="Normal 26 7 2 12" xfId="47024"/>
    <cellStyle name="Normal 26 7 2 13" xfId="51103"/>
    <cellStyle name="Normal 26 7 2 2" xfId="8718"/>
    <cellStyle name="Normal 26 7 2 2 10" xfId="45008"/>
    <cellStyle name="Normal 26 7 2 2 11" xfId="49040"/>
    <cellStyle name="Normal 26 7 2 2 12" xfId="53119"/>
    <cellStyle name="Normal 26 7 2 2 2" xfId="12752"/>
    <cellStyle name="Normal 26 7 2 2 3" xfId="16784"/>
    <cellStyle name="Normal 26 7 2 2 4" xfId="20816"/>
    <cellStyle name="Normal 26 7 2 2 5" xfId="24848"/>
    <cellStyle name="Normal 26 7 2 2 6" xfId="28880"/>
    <cellStyle name="Normal 26 7 2 2 7" xfId="32912"/>
    <cellStyle name="Normal 26 7 2 2 8" xfId="36944"/>
    <cellStyle name="Normal 26 7 2 2 9" xfId="40976"/>
    <cellStyle name="Normal 26 7 2 3" xfId="10736"/>
    <cellStyle name="Normal 26 7 2 4" xfId="14768"/>
    <cellStyle name="Normal 26 7 2 5" xfId="18800"/>
    <cellStyle name="Normal 26 7 2 6" xfId="22832"/>
    <cellStyle name="Normal 26 7 2 7" xfId="26864"/>
    <cellStyle name="Normal 26 7 2 8" xfId="30896"/>
    <cellStyle name="Normal 26 7 2 9" xfId="34928"/>
    <cellStyle name="Normal 26 7 3" xfId="7767"/>
    <cellStyle name="Normal 26 7 3 10" xfId="44057"/>
    <cellStyle name="Normal 26 7 3 11" xfId="48089"/>
    <cellStyle name="Normal 26 7 3 12" xfId="52168"/>
    <cellStyle name="Normal 26 7 3 2" xfId="11801"/>
    <cellStyle name="Normal 26 7 3 3" xfId="15833"/>
    <cellStyle name="Normal 26 7 3 4" xfId="19865"/>
    <cellStyle name="Normal 26 7 3 5" xfId="23897"/>
    <cellStyle name="Normal 26 7 3 6" xfId="27929"/>
    <cellStyle name="Normal 26 7 3 7" xfId="31961"/>
    <cellStyle name="Normal 26 7 3 8" xfId="35993"/>
    <cellStyle name="Normal 26 7 3 9" xfId="40025"/>
    <cellStyle name="Normal 26 7 4" xfId="9785"/>
    <cellStyle name="Normal 26 7 5" xfId="13817"/>
    <cellStyle name="Normal 26 7 6" xfId="17849"/>
    <cellStyle name="Normal 26 7 7" xfId="21881"/>
    <cellStyle name="Normal 26 7 8" xfId="25913"/>
    <cellStyle name="Normal 26 7 9" xfId="29945"/>
    <cellStyle name="Normal 26 8" xfId="4190"/>
    <cellStyle name="Normal 26 8 10" xfId="34046"/>
    <cellStyle name="Normal 26 8 11" xfId="38078"/>
    <cellStyle name="Normal 26 8 12" xfId="42110"/>
    <cellStyle name="Normal 26 8 13" xfId="46142"/>
    <cellStyle name="Normal 26 8 14" xfId="50220"/>
    <cellStyle name="Normal 26 8 2" xfId="6771"/>
    <cellStyle name="Normal 26 8 2 10" xfId="39029"/>
    <cellStyle name="Normal 26 8 2 11" xfId="43061"/>
    <cellStyle name="Normal 26 8 2 12" xfId="47093"/>
    <cellStyle name="Normal 26 8 2 13" xfId="51172"/>
    <cellStyle name="Normal 26 8 2 2" xfId="8787"/>
    <cellStyle name="Normal 26 8 2 2 10" xfId="45077"/>
    <cellStyle name="Normal 26 8 2 2 11" xfId="49109"/>
    <cellStyle name="Normal 26 8 2 2 12" xfId="53188"/>
    <cellStyle name="Normal 26 8 2 2 2" xfId="12821"/>
    <cellStyle name="Normal 26 8 2 2 3" xfId="16853"/>
    <cellStyle name="Normal 26 8 2 2 4" xfId="20885"/>
    <cellStyle name="Normal 26 8 2 2 5" xfId="24917"/>
    <cellStyle name="Normal 26 8 2 2 6" xfId="28949"/>
    <cellStyle name="Normal 26 8 2 2 7" xfId="32981"/>
    <cellStyle name="Normal 26 8 2 2 8" xfId="37013"/>
    <cellStyle name="Normal 26 8 2 2 9" xfId="41045"/>
    <cellStyle name="Normal 26 8 2 3" xfId="10805"/>
    <cellStyle name="Normal 26 8 2 4" xfId="14837"/>
    <cellStyle name="Normal 26 8 2 5" xfId="18869"/>
    <cellStyle name="Normal 26 8 2 6" xfId="22901"/>
    <cellStyle name="Normal 26 8 2 7" xfId="26933"/>
    <cellStyle name="Normal 26 8 2 8" xfId="30965"/>
    <cellStyle name="Normal 26 8 2 9" xfId="34997"/>
    <cellStyle name="Normal 26 8 3" xfId="7836"/>
    <cellStyle name="Normal 26 8 3 10" xfId="44126"/>
    <cellStyle name="Normal 26 8 3 11" xfId="48158"/>
    <cellStyle name="Normal 26 8 3 12" xfId="52237"/>
    <cellStyle name="Normal 26 8 3 2" xfId="11870"/>
    <cellStyle name="Normal 26 8 3 3" xfId="15902"/>
    <cellStyle name="Normal 26 8 3 4" xfId="19934"/>
    <cellStyle name="Normal 26 8 3 5" xfId="23966"/>
    <cellStyle name="Normal 26 8 3 6" xfId="27998"/>
    <cellStyle name="Normal 26 8 3 7" xfId="32030"/>
    <cellStyle name="Normal 26 8 3 8" xfId="36062"/>
    <cellStyle name="Normal 26 8 3 9" xfId="40094"/>
    <cellStyle name="Normal 26 8 4" xfId="9854"/>
    <cellStyle name="Normal 26 8 5" xfId="13886"/>
    <cellStyle name="Normal 26 8 6" xfId="17918"/>
    <cellStyle name="Normal 26 8 7" xfId="21950"/>
    <cellStyle name="Normal 26 8 8" xfId="25982"/>
    <cellStyle name="Normal 26 8 9" xfId="30014"/>
    <cellStyle name="Normal 26 9" xfId="4263"/>
    <cellStyle name="Normal 26 9 10" xfId="34115"/>
    <cellStyle name="Normal 26 9 11" xfId="38147"/>
    <cellStyle name="Normal 26 9 12" xfId="42179"/>
    <cellStyle name="Normal 26 9 13" xfId="46211"/>
    <cellStyle name="Normal 26 9 14" xfId="50289"/>
    <cellStyle name="Normal 26 9 2" xfId="6840"/>
    <cellStyle name="Normal 26 9 2 10" xfId="39098"/>
    <cellStyle name="Normal 26 9 2 11" xfId="43130"/>
    <cellStyle name="Normal 26 9 2 12" xfId="47162"/>
    <cellStyle name="Normal 26 9 2 13" xfId="51241"/>
    <cellStyle name="Normal 26 9 2 2" xfId="8856"/>
    <cellStyle name="Normal 26 9 2 2 10" xfId="45146"/>
    <cellStyle name="Normal 26 9 2 2 11" xfId="49178"/>
    <cellStyle name="Normal 26 9 2 2 12" xfId="53257"/>
    <cellStyle name="Normal 26 9 2 2 2" xfId="12890"/>
    <cellStyle name="Normal 26 9 2 2 3" xfId="16922"/>
    <cellStyle name="Normal 26 9 2 2 4" xfId="20954"/>
    <cellStyle name="Normal 26 9 2 2 5" xfId="24986"/>
    <cellStyle name="Normal 26 9 2 2 6" xfId="29018"/>
    <cellStyle name="Normal 26 9 2 2 7" xfId="33050"/>
    <cellStyle name="Normal 26 9 2 2 8" xfId="37082"/>
    <cellStyle name="Normal 26 9 2 2 9" xfId="41114"/>
    <cellStyle name="Normal 26 9 2 3" xfId="10874"/>
    <cellStyle name="Normal 26 9 2 4" xfId="14906"/>
    <cellStyle name="Normal 26 9 2 5" xfId="18938"/>
    <cellStyle name="Normal 26 9 2 6" xfId="22970"/>
    <cellStyle name="Normal 26 9 2 7" xfId="27002"/>
    <cellStyle name="Normal 26 9 2 8" xfId="31034"/>
    <cellStyle name="Normal 26 9 2 9" xfId="35066"/>
    <cellStyle name="Normal 26 9 3" xfId="7905"/>
    <cellStyle name="Normal 26 9 3 10" xfId="44195"/>
    <cellStyle name="Normal 26 9 3 11" xfId="48227"/>
    <cellStyle name="Normal 26 9 3 12" xfId="52306"/>
    <cellStyle name="Normal 26 9 3 2" xfId="11939"/>
    <cellStyle name="Normal 26 9 3 3" xfId="15971"/>
    <cellStyle name="Normal 26 9 3 4" xfId="20003"/>
    <cellStyle name="Normal 26 9 3 5" xfId="24035"/>
    <cellStyle name="Normal 26 9 3 6" xfId="28067"/>
    <cellStyle name="Normal 26 9 3 7" xfId="32099"/>
    <cellStyle name="Normal 26 9 3 8" xfId="36131"/>
    <cellStyle name="Normal 26 9 3 9" xfId="40163"/>
    <cellStyle name="Normal 26 9 4" xfId="9923"/>
    <cellStyle name="Normal 26 9 5" xfId="13955"/>
    <cellStyle name="Normal 26 9 6" xfId="17987"/>
    <cellStyle name="Normal 26 9 7" xfId="22019"/>
    <cellStyle name="Normal 26 9 8" xfId="26051"/>
    <cellStyle name="Normal 26 9 9" xfId="30083"/>
    <cellStyle name="Normal 27" xfId="103"/>
    <cellStyle name="Normal 27 10" xfId="49437"/>
    <cellStyle name="Normal 27 2" xfId="380"/>
    <cellStyle name="Normal 27 2 10" xfId="33553"/>
    <cellStyle name="Normal 27 2 11" xfId="37585"/>
    <cellStyle name="Normal 27 2 12" xfId="41617"/>
    <cellStyle name="Normal 27 2 13" xfId="45649"/>
    <cellStyle name="Normal 27 2 14" xfId="49727"/>
    <cellStyle name="Normal 27 2 2" xfId="4676"/>
    <cellStyle name="Normal 27 2 2 10" xfId="38550"/>
    <cellStyle name="Normal 27 2 2 11" xfId="42582"/>
    <cellStyle name="Normal 27 2 2 12" xfId="46614"/>
    <cellStyle name="Normal 27 2 2 13" xfId="50693"/>
    <cellStyle name="Normal 27 2 2 2" xfId="8308"/>
    <cellStyle name="Normal 27 2 2 2 10" xfId="44598"/>
    <cellStyle name="Normal 27 2 2 2 11" xfId="48630"/>
    <cellStyle name="Normal 27 2 2 2 12" xfId="52709"/>
    <cellStyle name="Normal 27 2 2 2 2" xfId="12342"/>
    <cellStyle name="Normal 27 2 2 2 3" xfId="16374"/>
    <cellStyle name="Normal 27 2 2 2 4" xfId="20406"/>
    <cellStyle name="Normal 27 2 2 2 5" xfId="24438"/>
    <cellStyle name="Normal 27 2 2 2 6" xfId="28470"/>
    <cellStyle name="Normal 27 2 2 2 7" xfId="32502"/>
    <cellStyle name="Normal 27 2 2 2 8" xfId="36534"/>
    <cellStyle name="Normal 27 2 2 2 9" xfId="40566"/>
    <cellStyle name="Normal 27 2 2 3" xfId="10326"/>
    <cellStyle name="Normal 27 2 2 4" xfId="14358"/>
    <cellStyle name="Normal 27 2 2 5" xfId="18390"/>
    <cellStyle name="Normal 27 2 2 6" xfId="22422"/>
    <cellStyle name="Normal 27 2 2 7" xfId="26454"/>
    <cellStyle name="Normal 27 2 2 8" xfId="30486"/>
    <cellStyle name="Normal 27 2 2 9" xfId="34518"/>
    <cellStyle name="Normal 27 2 3" xfId="7343"/>
    <cellStyle name="Normal 27 2 3 10" xfId="43633"/>
    <cellStyle name="Normal 27 2 3 11" xfId="47665"/>
    <cellStyle name="Normal 27 2 3 12" xfId="51744"/>
    <cellStyle name="Normal 27 2 3 2" xfId="11377"/>
    <cellStyle name="Normal 27 2 3 3" xfId="15409"/>
    <cellStyle name="Normal 27 2 3 4" xfId="19441"/>
    <cellStyle name="Normal 27 2 3 5" xfId="23473"/>
    <cellStyle name="Normal 27 2 3 6" xfId="27505"/>
    <cellStyle name="Normal 27 2 3 7" xfId="31537"/>
    <cellStyle name="Normal 27 2 3 8" xfId="35569"/>
    <cellStyle name="Normal 27 2 3 9" xfId="39601"/>
    <cellStyle name="Normal 27 2 4" xfId="9361"/>
    <cellStyle name="Normal 27 2 5" xfId="13393"/>
    <cellStyle name="Normal 27 2 6" xfId="17425"/>
    <cellStyle name="Normal 27 2 7" xfId="21457"/>
    <cellStyle name="Normal 27 2 8" xfId="25489"/>
    <cellStyle name="Normal 27 2 9" xfId="29521"/>
    <cellStyle name="Normal 27 3" xfId="1690"/>
    <cellStyle name="Normal 27 4" xfId="2723"/>
    <cellStyle name="Normal 27 4 2" xfId="5687"/>
    <cellStyle name="Normal 27 5" xfId="4086"/>
    <cellStyle name="Normal 27 6" xfId="4582"/>
    <cellStyle name="Normal 27 6 2" xfId="9099"/>
    <cellStyle name="Normal 27 7" xfId="310"/>
    <cellStyle name="Normal 27 7 10" xfId="37515"/>
    <cellStyle name="Normal 27 7 11" xfId="41547"/>
    <cellStyle name="Normal 27 7 12" xfId="45579"/>
    <cellStyle name="Normal 27 7 13" xfId="49657"/>
    <cellStyle name="Normal 27 7 2" xfId="7273"/>
    <cellStyle name="Normal 27 7 2 10" xfId="43563"/>
    <cellStyle name="Normal 27 7 2 11" xfId="47595"/>
    <cellStyle name="Normal 27 7 2 12" xfId="51674"/>
    <cellStyle name="Normal 27 7 2 2" xfId="11307"/>
    <cellStyle name="Normal 27 7 2 3" xfId="15339"/>
    <cellStyle name="Normal 27 7 2 4" xfId="19371"/>
    <cellStyle name="Normal 27 7 2 5" xfId="23403"/>
    <cellStyle name="Normal 27 7 2 6" xfId="27435"/>
    <cellStyle name="Normal 27 7 2 7" xfId="31467"/>
    <cellStyle name="Normal 27 7 2 8" xfId="35499"/>
    <cellStyle name="Normal 27 7 2 9" xfId="39531"/>
    <cellStyle name="Normal 27 7 3" xfId="9291"/>
    <cellStyle name="Normal 27 7 4" xfId="13323"/>
    <cellStyle name="Normal 27 7 5" xfId="17355"/>
    <cellStyle name="Normal 27 7 6" xfId="21387"/>
    <cellStyle name="Normal 27 7 7" xfId="25419"/>
    <cellStyle name="Normal 27 7 8" xfId="29451"/>
    <cellStyle name="Normal 27 7 9" xfId="33483"/>
    <cellStyle name="Normal 27 8" xfId="178"/>
    <cellStyle name="Normal 27 8 2" xfId="49438"/>
    <cellStyle name="Normal 27 9" xfId="49439"/>
    <cellStyle name="Normal 28" xfId="180"/>
    <cellStyle name="Normal 28 2" xfId="2724"/>
    <cellStyle name="Normal 28 2 2" xfId="5688"/>
    <cellStyle name="Normal 28 3" xfId="4300"/>
    <cellStyle name="Normal 29" xfId="179"/>
    <cellStyle name="Normal 29 2" xfId="2726"/>
    <cellStyle name="Normal 29 2 2" xfId="5689"/>
    <cellStyle name="Normal 29 3" xfId="4299"/>
    <cellStyle name="Normal 29 3 2" xfId="50324"/>
    <cellStyle name="Normal 29 4" xfId="4583"/>
    <cellStyle name="Normal 29 4 2" xfId="9098"/>
    <cellStyle name="Normal 29 5" xfId="2725"/>
    <cellStyle name="Normal 3" xfId="20"/>
    <cellStyle name="Normal 3 10" xfId="2728"/>
    <cellStyle name="Normal 3 10 2" xfId="5690"/>
    <cellStyle name="Normal 3 11" xfId="2729"/>
    <cellStyle name="Normal 3 11 2" xfId="5691"/>
    <cellStyle name="Normal 3 12" xfId="2730"/>
    <cellStyle name="Normal 3 12 2" xfId="5692"/>
    <cellStyle name="Normal 3 13" xfId="2731"/>
    <cellStyle name="Normal 3 13 2" xfId="5693"/>
    <cellStyle name="Normal 3 14" xfId="2732"/>
    <cellStyle name="Normal 3 14 2" xfId="5694"/>
    <cellStyle name="Normal 3 15" xfId="2733"/>
    <cellStyle name="Normal 3 15 2" xfId="5695"/>
    <cellStyle name="Normal 3 16" xfId="2734"/>
    <cellStyle name="Normal 3 16 2" xfId="5696"/>
    <cellStyle name="Normal 3 17" xfId="2735"/>
    <cellStyle name="Normal 3 17 2" xfId="5697"/>
    <cellStyle name="Normal 3 18" xfId="2736"/>
    <cellStyle name="Normal 3 18 2" xfId="5698"/>
    <cellStyle name="Normal 3 19" xfId="2737"/>
    <cellStyle name="Normal 3 19 2" xfId="5699"/>
    <cellStyle name="Normal 3 2" xfId="21"/>
    <cellStyle name="Normal 3 2 10" xfId="311"/>
    <cellStyle name="Normal 3 2 10 10" xfId="33484"/>
    <cellStyle name="Normal 3 2 10 11" xfId="37516"/>
    <cellStyle name="Normal 3 2 10 12" xfId="41548"/>
    <cellStyle name="Normal 3 2 10 13" xfId="45580"/>
    <cellStyle name="Normal 3 2 10 14" xfId="49658"/>
    <cellStyle name="Normal 3 2 10 2" xfId="4653"/>
    <cellStyle name="Normal 3 2 10 2 10" xfId="38527"/>
    <cellStyle name="Normal 3 2 10 2 11" xfId="42559"/>
    <cellStyle name="Normal 3 2 10 2 12" xfId="46591"/>
    <cellStyle name="Normal 3 2 10 2 13" xfId="50670"/>
    <cellStyle name="Normal 3 2 10 2 2" xfId="8285"/>
    <cellStyle name="Normal 3 2 10 2 2 10" xfId="44575"/>
    <cellStyle name="Normal 3 2 10 2 2 11" xfId="48607"/>
    <cellStyle name="Normal 3 2 10 2 2 12" xfId="52686"/>
    <cellStyle name="Normal 3 2 10 2 2 2" xfId="12319"/>
    <cellStyle name="Normal 3 2 10 2 2 3" xfId="16351"/>
    <cellStyle name="Normal 3 2 10 2 2 4" xfId="20383"/>
    <cellStyle name="Normal 3 2 10 2 2 5" xfId="24415"/>
    <cellStyle name="Normal 3 2 10 2 2 6" xfId="28447"/>
    <cellStyle name="Normal 3 2 10 2 2 7" xfId="32479"/>
    <cellStyle name="Normal 3 2 10 2 2 8" xfId="36511"/>
    <cellStyle name="Normal 3 2 10 2 2 9" xfId="40543"/>
    <cellStyle name="Normal 3 2 10 2 3" xfId="10303"/>
    <cellStyle name="Normal 3 2 10 2 4" xfId="14335"/>
    <cellStyle name="Normal 3 2 10 2 5" xfId="18367"/>
    <cellStyle name="Normal 3 2 10 2 6" xfId="22399"/>
    <cellStyle name="Normal 3 2 10 2 7" xfId="26431"/>
    <cellStyle name="Normal 3 2 10 2 8" xfId="30463"/>
    <cellStyle name="Normal 3 2 10 2 9" xfId="34495"/>
    <cellStyle name="Normal 3 2 10 3" xfId="7274"/>
    <cellStyle name="Normal 3 2 10 3 10" xfId="43564"/>
    <cellStyle name="Normal 3 2 10 3 11" xfId="47596"/>
    <cellStyle name="Normal 3 2 10 3 12" xfId="51675"/>
    <cellStyle name="Normal 3 2 10 3 2" xfId="11308"/>
    <cellStyle name="Normal 3 2 10 3 3" xfId="15340"/>
    <cellStyle name="Normal 3 2 10 3 4" xfId="19372"/>
    <cellStyle name="Normal 3 2 10 3 5" xfId="23404"/>
    <cellStyle name="Normal 3 2 10 3 6" xfId="27436"/>
    <cellStyle name="Normal 3 2 10 3 7" xfId="31468"/>
    <cellStyle name="Normal 3 2 10 3 8" xfId="35500"/>
    <cellStyle name="Normal 3 2 10 3 9" xfId="39532"/>
    <cellStyle name="Normal 3 2 10 4" xfId="9292"/>
    <cellStyle name="Normal 3 2 10 5" xfId="13324"/>
    <cellStyle name="Normal 3 2 10 6" xfId="17356"/>
    <cellStyle name="Normal 3 2 10 7" xfId="21388"/>
    <cellStyle name="Normal 3 2 10 8" xfId="25420"/>
    <cellStyle name="Normal 3 2 10 9" xfId="29452"/>
    <cellStyle name="Normal 3 2 11" xfId="1621"/>
    <cellStyle name="Normal 3 2 11 10" xfId="33582"/>
    <cellStyle name="Normal 3 2 11 11" xfId="37614"/>
    <cellStyle name="Normal 3 2 11 12" xfId="41646"/>
    <cellStyle name="Normal 3 2 11 13" xfId="45678"/>
    <cellStyle name="Normal 3 2 11 14" xfId="49756"/>
    <cellStyle name="Normal 3 2 11 2" xfId="5310"/>
    <cellStyle name="Normal 3 2 11 2 10" xfId="38578"/>
    <cellStyle name="Normal 3 2 11 2 11" xfId="42610"/>
    <cellStyle name="Normal 3 2 11 2 12" xfId="46642"/>
    <cellStyle name="Normal 3 2 11 2 13" xfId="50721"/>
    <cellStyle name="Normal 3 2 11 2 2" xfId="8336"/>
    <cellStyle name="Normal 3 2 11 2 2 10" xfId="44626"/>
    <cellStyle name="Normal 3 2 11 2 2 11" xfId="48658"/>
    <cellStyle name="Normal 3 2 11 2 2 12" xfId="52737"/>
    <cellStyle name="Normal 3 2 11 2 2 2" xfId="12370"/>
    <cellStyle name="Normal 3 2 11 2 2 3" xfId="16402"/>
    <cellStyle name="Normal 3 2 11 2 2 4" xfId="20434"/>
    <cellStyle name="Normal 3 2 11 2 2 5" xfId="24466"/>
    <cellStyle name="Normal 3 2 11 2 2 6" xfId="28498"/>
    <cellStyle name="Normal 3 2 11 2 2 7" xfId="32530"/>
    <cellStyle name="Normal 3 2 11 2 2 8" xfId="36562"/>
    <cellStyle name="Normal 3 2 11 2 2 9" xfId="40594"/>
    <cellStyle name="Normal 3 2 11 2 3" xfId="10354"/>
    <cellStyle name="Normal 3 2 11 2 4" xfId="14386"/>
    <cellStyle name="Normal 3 2 11 2 5" xfId="18418"/>
    <cellStyle name="Normal 3 2 11 2 6" xfId="22450"/>
    <cellStyle name="Normal 3 2 11 2 7" xfId="26482"/>
    <cellStyle name="Normal 3 2 11 2 8" xfId="30514"/>
    <cellStyle name="Normal 3 2 11 2 9" xfId="34546"/>
    <cellStyle name="Normal 3 2 11 3" xfId="7372"/>
    <cellStyle name="Normal 3 2 11 3 10" xfId="43662"/>
    <cellStyle name="Normal 3 2 11 3 11" xfId="47694"/>
    <cellStyle name="Normal 3 2 11 3 12" xfId="51773"/>
    <cellStyle name="Normal 3 2 11 3 2" xfId="11406"/>
    <cellStyle name="Normal 3 2 11 3 3" xfId="15438"/>
    <cellStyle name="Normal 3 2 11 3 4" xfId="19470"/>
    <cellStyle name="Normal 3 2 11 3 5" xfId="23502"/>
    <cellStyle name="Normal 3 2 11 3 6" xfId="27534"/>
    <cellStyle name="Normal 3 2 11 3 7" xfId="31566"/>
    <cellStyle name="Normal 3 2 11 3 8" xfId="35598"/>
    <cellStyle name="Normal 3 2 11 3 9" xfId="39630"/>
    <cellStyle name="Normal 3 2 11 4" xfId="9390"/>
    <cellStyle name="Normal 3 2 11 5" xfId="13422"/>
    <cellStyle name="Normal 3 2 11 6" xfId="17454"/>
    <cellStyle name="Normal 3 2 11 7" xfId="21486"/>
    <cellStyle name="Normal 3 2 11 8" xfId="25518"/>
    <cellStyle name="Normal 3 2 11 9" xfId="29550"/>
    <cellStyle name="Normal 3 2 12" xfId="1695"/>
    <cellStyle name="Normal 3 2 12 10" xfId="33651"/>
    <cellStyle name="Normal 3 2 12 11" xfId="37683"/>
    <cellStyle name="Normal 3 2 12 12" xfId="41715"/>
    <cellStyle name="Normal 3 2 12 13" xfId="45747"/>
    <cellStyle name="Normal 3 2 12 14" xfId="49825"/>
    <cellStyle name="Normal 3 2 12 2" xfId="5366"/>
    <cellStyle name="Normal 3 2 12 2 10" xfId="38634"/>
    <cellStyle name="Normal 3 2 12 2 11" xfId="42666"/>
    <cellStyle name="Normal 3 2 12 2 12" xfId="46698"/>
    <cellStyle name="Normal 3 2 12 2 13" xfId="50777"/>
    <cellStyle name="Normal 3 2 12 2 2" xfId="8392"/>
    <cellStyle name="Normal 3 2 12 2 2 10" xfId="44682"/>
    <cellStyle name="Normal 3 2 12 2 2 11" xfId="48714"/>
    <cellStyle name="Normal 3 2 12 2 2 12" xfId="52793"/>
    <cellStyle name="Normal 3 2 12 2 2 2" xfId="12426"/>
    <cellStyle name="Normal 3 2 12 2 2 3" xfId="16458"/>
    <cellStyle name="Normal 3 2 12 2 2 4" xfId="20490"/>
    <cellStyle name="Normal 3 2 12 2 2 5" xfId="24522"/>
    <cellStyle name="Normal 3 2 12 2 2 6" xfId="28554"/>
    <cellStyle name="Normal 3 2 12 2 2 7" xfId="32586"/>
    <cellStyle name="Normal 3 2 12 2 2 8" xfId="36618"/>
    <cellStyle name="Normal 3 2 12 2 2 9" xfId="40650"/>
    <cellStyle name="Normal 3 2 12 2 3" xfId="10410"/>
    <cellStyle name="Normal 3 2 12 2 4" xfId="14442"/>
    <cellStyle name="Normal 3 2 12 2 5" xfId="18474"/>
    <cellStyle name="Normal 3 2 12 2 6" xfId="22506"/>
    <cellStyle name="Normal 3 2 12 2 7" xfId="26538"/>
    <cellStyle name="Normal 3 2 12 2 8" xfId="30570"/>
    <cellStyle name="Normal 3 2 12 2 9" xfId="34602"/>
    <cellStyle name="Normal 3 2 12 3" xfId="7441"/>
    <cellStyle name="Normal 3 2 12 3 10" xfId="43731"/>
    <cellStyle name="Normal 3 2 12 3 11" xfId="47763"/>
    <cellStyle name="Normal 3 2 12 3 12" xfId="51842"/>
    <cellStyle name="Normal 3 2 12 3 2" xfId="11475"/>
    <cellStyle name="Normal 3 2 12 3 3" xfId="15507"/>
    <cellStyle name="Normal 3 2 12 3 4" xfId="19539"/>
    <cellStyle name="Normal 3 2 12 3 5" xfId="23571"/>
    <cellStyle name="Normal 3 2 12 3 6" xfId="27603"/>
    <cellStyle name="Normal 3 2 12 3 7" xfId="31635"/>
    <cellStyle name="Normal 3 2 12 3 8" xfId="35667"/>
    <cellStyle name="Normal 3 2 12 3 9" xfId="39699"/>
    <cellStyle name="Normal 3 2 12 4" xfId="9459"/>
    <cellStyle name="Normal 3 2 12 5" xfId="13491"/>
    <cellStyle name="Normal 3 2 12 6" xfId="17523"/>
    <cellStyle name="Normal 3 2 12 7" xfId="21555"/>
    <cellStyle name="Normal 3 2 12 8" xfId="25587"/>
    <cellStyle name="Normal 3 2 12 9" xfId="29619"/>
    <cellStyle name="Normal 3 2 13" xfId="4017"/>
    <cellStyle name="Normal 3 2 13 10" xfId="33874"/>
    <cellStyle name="Normal 3 2 13 11" xfId="37906"/>
    <cellStyle name="Normal 3 2 13 12" xfId="41938"/>
    <cellStyle name="Normal 3 2 13 13" xfId="45970"/>
    <cellStyle name="Normal 3 2 13 14" xfId="50048"/>
    <cellStyle name="Normal 3 2 13 2" xfId="6599"/>
    <cellStyle name="Normal 3 2 13 2 10" xfId="38857"/>
    <cellStyle name="Normal 3 2 13 2 11" xfId="42889"/>
    <cellStyle name="Normal 3 2 13 2 12" xfId="46921"/>
    <cellStyle name="Normal 3 2 13 2 13" xfId="51000"/>
    <cellStyle name="Normal 3 2 13 2 2" xfId="8615"/>
    <cellStyle name="Normal 3 2 13 2 2 10" xfId="44905"/>
    <cellStyle name="Normal 3 2 13 2 2 11" xfId="48937"/>
    <cellStyle name="Normal 3 2 13 2 2 12" xfId="53016"/>
    <cellStyle name="Normal 3 2 13 2 2 2" xfId="12649"/>
    <cellStyle name="Normal 3 2 13 2 2 3" xfId="16681"/>
    <cellStyle name="Normal 3 2 13 2 2 4" xfId="20713"/>
    <cellStyle name="Normal 3 2 13 2 2 5" xfId="24745"/>
    <cellStyle name="Normal 3 2 13 2 2 6" xfId="28777"/>
    <cellStyle name="Normal 3 2 13 2 2 7" xfId="32809"/>
    <cellStyle name="Normal 3 2 13 2 2 8" xfId="36841"/>
    <cellStyle name="Normal 3 2 13 2 2 9" xfId="40873"/>
    <cellStyle name="Normal 3 2 13 2 3" xfId="10633"/>
    <cellStyle name="Normal 3 2 13 2 4" xfId="14665"/>
    <cellStyle name="Normal 3 2 13 2 5" xfId="18697"/>
    <cellStyle name="Normal 3 2 13 2 6" xfId="22729"/>
    <cellStyle name="Normal 3 2 13 2 7" xfId="26761"/>
    <cellStyle name="Normal 3 2 13 2 8" xfId="30793"/>
    <cellStyle name="Normal 3 2 13 2 9" xfId="34825"/>
    <cellStyle name="Normal 3 2 13 3" xfId="7664"/>
    <cellStyle name="Normal 3 2 13 3 10" xfId="43954"/>
    <cellStyle name="Normal 3 2 13 3 11" xfId="47986"/>
    <cellStyle name="Normal 3 2 13 3 12" xfId="52065"/>
    <cellStyle name="Normal 3 2 13 3 2" xfId="11698"/>
    <cellStyle name="Normal 3 2 13 3 3" xfId="15730"/>
    <cellStyle name="Normal 3 2 13 3 4" xfId="19762"/>
    <cellStyle name="Normal 3 2 13 3 5" xfId="23794"/>
    <cellStyle name="Normal 3 2 13 3 6" xfId="27826"/>
    <cellStyle name="Normal 3 2 13 3 7" xfId="31858"/>
    <cellStyle name="Normal 3 2 13 3 8" xfId="35890"/>
    <cellStyle name="Normal 3 2 13 3 9" xfId="39922"/>
    <cellStyle name="Normal 3 2 13 4" xfId="9682"/>
    <cellStyle name="Normal 3 2 13 5" xfId="13714"/>
    <cellStyle name="Normal 3 2 13 6" xfId="17746"/>
    <cellStyle name="Normal 3 2 13 7" xfId="21778"/>
    <cellStyle name="Normal 3 2 13 8" xfId="25810"/>
    <cellStyle name="Normal 3 2 13 9" xfId="29842"/>
    <cellStyle name="Normal 3 2 14" xfId="4087"/>
    <cellStyle name="Normal 3 2 14 10" xfId="33943"/>
    <cellStyle name="Normal 3 2 14 11" xfId="37975"/>
    <cellStyle name="Normal 3 2 14 12" xfId="42007"/>
    <cellStyle name="Normal 3 2 14 13" xfId="46039"/>
    <cellStyle name="Normal 3 2 14 14" xfId="50117"/>
    <cellStyle name="Normal 3 2 14 2" xfId="6668"/>
    <cellStyle name="Normal 3 2 14 2 10" xfId="38926"/>
    <cellStyle name="Normal 3 2 14 2 11" xfId="42958"/>
    <cellStyle name="Normal 3 2 14 2 12" xfId="46990"/>
    <cellStyle name="Normal 3 2 14 2 13" xfId="51069"/>
    <cellStyle name="Normal 3 2 14 2 2" xfId="8684"/>
    <cellStyle name="Normal 3 2 14 2 2 10" xfId="44974"/>
    <cellStyle name="Normal 3 2 14 2 2 11" xfId="49006"/>
    <cellStyle name="Normal 3 2 14 2 2 12" xfId="53085"/>
    <cellStyle name="Normal 3 2 14 2 2 2" xfId="12718"/>
    <cellStyle name="Normal 3 2 14 2 2 3" xfId="16750"/>
    <cellStyle name="Normal 3 2 14 2 2 4" xfId="20782"/>
    <cellStyle name="Normal 3 2 14 2 2 5" xfId="24814"/>
    <cellStyle name="Normal 3 2 14 2 2 6" xfId="28846"/>
    <cellStyle name="Normal 3 2 14 2 2 7" xfId="32878"/>
    <cellStyle name="Normal 3 2 14 2 2 8" xfId="36910"/>
    <cellStyle name="Normal 3 2 14 2 2 9" xfId="40942"/>
    <cellStyle name="Normal 3 2 14 2 3" xfId="10702"/>
    <cellStyle name="Normal 3 2 14 2 4" xfId="14734"/>
    <cellStyle name="Normal 3 2 14 2 5" xfId="18766"/>
    <cellStyle name="Normal 3 2 14 2 6" xfId="22798"/>
    <cellStyle name="Normal 3 2 14 2 7" xfId="26830"/>
    <cellStyle name="Normal 3 2 14 2 8" xfId="30862"/>
    <cellStyle name="Normal 3 2 14 2 9" xfId="34894"/>
    <cellStyle name="Normal 3 2 14 3" xfId="7733"/>
    <cellStyle name="Normal 3 2 14 3 10" xfId="44023"/>
    <cellStyle name="Normal 3 2 14 3 11" xfId="48055"/>
    <cellStyle name="Normal 3 2 14 3 12" xfId="52134"/>
    <cellStyle name="Normal 3 2 14 3 2" xfId="11767"/>
    <cellStyle name="Normal 3 2 14 3 3" xfId="15799"/>
    <cellStyle name="Normal 3 2 14 3 4" xfId="19831"/>
    <cellStyle name="Normal 3 2 14 3 5" xfId="23863"/>
    <cellStyle name="Normal 3 2 14 3 6" xfId="27895"/>
    <cellStyle name="Normal 3 2 14 3 7" xfId="31927"/>
    <cellStyle name="Normal 3 2 14 3 8" xfId="35959"/>
    <cellStyle name="Normal 3 2 14 3 9" xfId="39991"/>
    <cellStyle name="Normal 3 2 14 4" xfId="9751"/>
    <cellStyle name="Normal 3 2 14 5" xfId="13783"/>
    <cellStyle name="Normal 3 2 14 6" xfId="17815"/>
    <cellStyle name="Normal 3 2 14 7" xfId="21847"/>
    <cellStyle name="Normal 3 2 14 8" xfId="25879"/>
    <cellStyle name="Normal 3 2 14 9" xfId="29911"/>
    <cellStyle name="Normal 3 2 15" xfId="4156"/>
    <cellStyle name="Normal 3 2 15 10" xfId="34012"/>
    <cellStyle name="Normal 3 2 15 11" xfId="38044"/>
    <cellStyle name="Normal 3 2 15 12" xfId="42076"/>
    <cellStyle name="Normal 3 2 15 13" xfId="46108"/>
    <cellStyle name="Normal 3 2 15 14" xfId="50186"/>
    <cellStyle name="Normal 3 2 15 2" xfId="6737"/>
    <cellStyle name="Normal 3 2 15 2 10" xfId="38995"/>
    <cellStyle name="Normal 3 2 15 2 11" xfId="43027"/>
    <cellStyle name="Normal 3 2 15 2 12" xfId="47059"/>
    <cellStyle name="Normal 3 2 15 2 13" xfId="51138"/>
    <cellStyle name="Normal 3 2 15 2 2" xfId="8753"/>
    <cellStyle name="Normal 3 2 15 2 2 10" xfId="45043"/>
    <cellStyle name="Normal 3 2 15 2 2 11" xfId="49075"/>
    <cellStyle name="Normal 3 2 15 2 2 12" xfId="53154"/>
    <cellStyle name="Normal 3 2 15 2 2 2" xfId="12787"/>
    <cellStyle name="Normal 3 2 15 2 2 3" xfId="16819"/>
    <cellStyle name="Normal 3 2 15 2 2 4" xfId="20851"/>
    <cellStyle name="Normal 3 2 15 2 2 5" xfId="24883"/>
    <cellStyle name="Normal 3 2 15 2 2 6" xfId="28915"/>
    <cellStyle name="Normal 3 2 15 2 2 7" xfId="32947"/>
    <cellStyle name="Normal 3 2 15 2 2 8" xfId="36979"/>
    <cellStyle name="Normal 3 2 15 2 2 9" xfId="41011"/>
    <cellStyle name="Normal 3 2 15 2 3" xfId="10771"/>
    <cellStyle name="Normal 3 2 15 2 4" xfId="14803"/>
    <cellStyle name="Normal 3 2 15 2 5" xfId="18835"/>
    <cellStyle name="Normal 3 2 15 2 6" xfId="22867"/>
    <cellStyle name="Normal 3 2 15 2 7" xfId="26899"/>
    <cellStyle name="Normal 3 2 15 2 8" xfId="30931"/>
    <cellStyle name="Normal 3 2 15 2 9" xfId="34963"/>
    <cellStyle name="Normal 3 2 15 3" xfId="7802"/>
    <cellStyle name="Normal 3 2 15 3 10" xfId="44092"/>
    <cellStyle name="Normal 3 2 15 3 11" xfId="48124"/>
    <cellStyle name="Normal 3 2 15 3 12" xfId="52203"/>
    <cellStyle name="Normal 3 2 15 3 2" xfId="11836"/>
    <cellStyle name="Normal 3 2 15 3 3" xfId="15868"/>
    <cellStyle name="Normal 3 2 15 3 4" xfId="19900"/>
    <cellStyle name="Normal 3 2 15 3 5" xfId="23932"/>
    <cellStyle name="Normal 3 2 15 3 6" xfId="27964"/>
    <cellStyle name="Normal 3 2 15 3 7" xfId="31996"/>
    <cellStyle name="Normal 3 2 15 3 8" xfId="36028"/>
    <cellStyle name="Normal 3 2 15 3 9" xfId="40060"/>
    <cellStyle name="Normal 3 2 15 4" xfId="9820"/>
    <cellStyle name="Normal 3 2 15 5" xfId="13852"/>
    <cellStyle name="Normal 3 2 15 6" xfId="17884"/>
    <cellStyle name="Normal 3 2 15 7" xfId="21916"/>
    <cellStyle name="Normal 3 2 15 8" xfId="25948"/>
    <cellStyle name="Normal 3 2 15 9" xfId="29980"/>
    <cellStyle name="Normal 3 2 16" xfId="4226"/>
    <cellStyle name="Normal 3 2 16 10" xfId="34081"/>
    <cellStyle name="Normal 3 2 16 11" xfId="38113"/>
    <cellStyle name="Normal 3 2 16 12" xfId="42145"/>
    <cellStyle name="Normal 3 2 16 13" xfId="46177"/>
    <cellStyle name="Normal 3 2 16 14" xfId="50255"/>
    <cellStyle name="Normal 3 2 16 2" xfId="6806"/>
    <cellStyle name="Normal 3 2 16 2 10" xfId="39064"/>
    <cellStyle name="Normal 3 2 16 2 11" xfId="43096"/>
    <cellStyle name="Normal 3 2 16 2 12" xfId="47128"/>
    <cellStyle name="Normal 3 2 16 2 13" xfId="51207"/>
    <cellStyle name="Normal 3 2 16 2 2" xfId="8822"/>
    <cellStyle name="Normal 3 2 16 2 2 10" xfId="45112"/>
    <cellStyle name="Normal 3 2 16 2 2 11" xfId="49144"/>
    <cellStyle name="Normal 3 2 16 2 2 12" xfId="53223"/>
    <cellStyle name="Normal 3 2 16 2 2 2" xfId="12856"/>
    <cellStyle name="Normal 3 2 16 2 2 3" xfId="16888"/>
    <cellStyle name="Normal 3 2 16 2 2 4" xfId="20920"/>
    <cellStyle name="Normal 3 2 16 2 2 5" xfId="24952"/>
    <cellStyle name="Normal 3 2 16 2 2 6" xfId="28984"/>
    <cellStyle name="Normal 3 2 16 2 2 7" xfId="33016"/>
    <cellStyle name="Normal 3 2 16 2 2 8" xfId="37048"/>
    <cellStyle name="Normal 3 2 16 2 2 9" xfId="41080"/>
    <cellStyle name="Normal 3 2 16 2 3" xfId="10840"/>
    <cellStyle name="Normal 3 2 16 2 4" xfId="14872"/>
    <cellStyle name="Normal 3 2 16 2 5" xfId="18904"/>
    <cellStyle name="Normal 3 2 16 2 6" xfId="22936"/>
    <cellStyle name="Normal 3 2 16 2 7" xfId="26968"/>
    <cellStyle name="Normal 3 2 16 2 8" xfId="31000"/>
    <cellStyle name="Normal 3 2 16 2 9" xfId="35032"/>
    <cellStyle name="Normal 3 2 16 3" xfId="7871"/>
    <cellStyle name="Normal 3 2 16 3 10" xfId="44161"/>
    <cellStyle name="Normal 3 2 16 3 11" xfId="48193"/>
    <cellStyle name="Normal 3 2 16 3 12" xfId="52272"/>
    <cellStyle name="Normal 3 2 16 3 2" xfId="11905"/>
    <cellStyle name="Normal 3 2 16 3 3" xfId="15937"/>
    <cellStyle name="Normal 3 2 16 3 4" xfId="19969"/>
    <cellStyle name="Normal 3 2 16 3 5" xfId="24001"/>
    <cellStyle name="Normal 3 2 16 3 6" xfId="28033"/>
    <cellStyle name="Normal 3 2 16 3 7" xfId="32065"/>
    <cellStyle name="Normal 3 2 16 3 8" xfId="36097"/>
    <cellStyle name="Normal 3 2 16 3 9" xfId="40129"/>
    <cellStyle name="Normal 3 2 16 4" xfId="9889"/>
    <cellStyle name="Normal 3 2 16 5" xfId="13921"/>
    <cellStyle name="Normal 3 2 16 6" xfId="17953"/>
    <cellStyle name="Normal 3 2 16 7" xfId="21985"/>
    <cellStyle name="Normal 3 2 16 8" xfId="26017"/>
    <cellStyle name="Normal 3 2 16 9" xfId="30049"/>
    <cellStyle name="Normal 3 2 17" xfId="4375"/>
    <cellStyle name="Normal 3 2 17 10" xfId="34219"/>
    <cellStyle name="Normal 3 2 17 11" xfId="38251"/>
    <cellStyle name="Normal 3 2 17 12" xfId="42283"/>
    <cellStyle name="Normal 3 2 17 13" xfId="46315"/>
    <cellStyle name="Normal 3 2 17 14" xfId="50394"/>
    <cellStyle name="Normal 3 2 17 2" xfId="6944"/>
    <cellStyle name="Normal 3 2 17 2 10" xfId="39202"/>
    <cellStyle name="Normal 3 2 17 2 11" xfId="43234"/>
    <cellStyle name="Normal 3 2 17 2 12" xfId="47266"/>
    <cellStyle name="Normal 3 2 17 2 13" xfId="51345"/>
    <cellStyle name="Normal 3 2 17 2 2" xfId="8960"/>
    <cellStyle name="Normal 3 2 17 2 2 10" xfId="45250"/>
    <cellStyle name="Normal 3 2 17 2 2 11" xfId="49282"/>
    <cellStyle name="Normal 3 2 17 2 2 12" xfId="53361"/>
    <cellStyle name="Normal 3 2 17 2 2 2" xfId="12994"/>
    <cellStyle name="Normal 3 2 17 2 2 3" xfId="17026"/>
    <cellStyle name="Normal 3 2 17 2 2 4" xfId="21058"/>
    <cellStyle name="Normal 3 2 17 2 2 5" xfId="25090"/>
    <cellStyle name="Normal 3 2 17 2 2 6" xfId="29122"/>
    <cellStyle name="Normal 3 2 17 2 2 7" xfId="33154"/>
    <cellStyle name="Normal 3 2 17 2 2 8" xfId="37186"/>
    <cellStyle name="Normal 3 2 17 2 2 9" xfId="41218"/>
    <cellStyle name="Normal 3 2 17 2 3" xfId="10978"/>
    <cellStyle name="Normal 3 2 17 2 4" xfId="15010"/>
    <cellStyle name="Normal 3 2 17 2 5" xfId="19042"/>
    <cellStyle name="Normal 3 2 17 2 6" xfId="23074"/>
    <cellStyle name="Normal 3 2 17 2 7" xfId="27106"/>
    <cellStyle name="Normal 3 2 17 2 8" xfId="31138"/>
    <cellStyle name="Normal 3 2 17 2 9" xfId="35170"/>
    <cellStyle name="Normal 3 2 17 3" xfId="8009"/>
    <cellStyle name="Normal 3 2 17 3 10" xfId="44299"/>
    <cellStyle name="Normal 3 2 17 3 11" xfId="48331"/>
    <cellStyle name="Normal 3 2 17 3 12" xfId="52410"/>
    <cellStyle name="Normal 3 2 17 3 2" xfId="12043"/>
    <cellStyle name="Normal 3 2 17 3 3" xfId="16075"/>
    <cellStyle name="Normal 3 2 17 3 4" xfId="20107"/>
    <cellStyle name="Normal 3 2 17 3 5" xfId="24139"/>
    <cellStyle name="Normal 3 2 17 3 6" xfId="28171"/>
    <cellStyle name="Normal 3 2 17 3 7" xfId="32203"/>
    <cellStyle name="Normal 3 2 17 3 8" xfId="36235"/>
    <cellStyle name="Normal 3 2 17 3 9" xfId="40267"/>
    <cellStyle name="Normal 3 2 17 4" xfId="10027"/>
    <cellStyle name="Normal 3 2 17 5" xfId="14059"/>
    <cellStyle name="Normal 3 2 17 6" xfId="18091"/>
    <cellStyle name="Normal 3 2 17 7" xfId="22123"/>
    <cellStyle name="Normal 3 2 17 8" xfId="26155"/>
    <cellStyle name="Normal 3 2 17 9" xfId="30187"/>
    <cellStyle name="Normal 3 2 18" xfId="4513"/>
    <cellStyle name="Normal 3 2 18 10" xfId="38389"/>
    <cellStyle name="Normal 3 2 18 11" xfId="42421"/>
    <cellStyle name="Normal 3 2 18 12" xfId="46453"/>
    <cellStyle name="Normal 3 2 18 13" xfId="50532"/>
    <cellStyle name="Normal 3 2 18 2" xfId="8147"/>
    <cellStyle name="Normal 3 2 18 2 10" xfId="44437"/>
    <cellStyle name="Normal 3 2 18 2 11" xfId="48469"/>
    <cellStyle name="Normal 3 2 18 2 12" xfId="52548"/>
    <cellStyle name="Normal 3 2 18 2 2" xfId="12181"/>
    <cellStyle name="Normal 3 2 18 2 3" xfId="16213"/>
    <cellStyle name="Normal 3 2 18 2 4" xfId="20245"/>
    <cellStyle name="Normal 3 2 18 2 5" xfId="24277"/>
    <cellStyle name="Normal 3 2 18 2 6" xfId="28309"/>
    <cellStyle name="Normal 3 2 18 2 7" xfId="32341"/>
    <cellStyle name="Normal 3 2 18 2 8" xfId="36373"/>
    <cellStyle name="Normal 3 2 18 2 9" xfId="40405"/>
    <cellStyle name="Normal 3 2 18 3" xfId="10165"/>
    <cellStyle name="Normal 3 2 18 4" xfId="14197"/>
    <cellStyle name="Normal 3 2 18 5" xfId="18229"/>
    <cellStyle name="Normal 3 2 18 6" xfId="22261"/>
    <cellStyle name="Normal 3 2 18 7" xfId="26293"/>
    <cellStyle name="Normal 3 2 18 8" xfId="30325"/>
    <cellStyle name="Normal 3 2 18 9" xfId="34357"/>
    <cellStyle name="Normal 3 2 19" xfId="257"/>
    <cellStyle name="Normal 3 2 19 10" xfId="37462"/>
    <cellStyle name="Normal 3 2 19 11" xfId="41494"/>
    <cellStyle name="Normal 3 2 19 12" xfId="45526"/>
    <cellStyle name="Normal 3 2 19 13" xfId="49604"/>
    <cellStyle name="Normal 3 2 19 2" xfId="7220"/>
    <cellStyle name="Normal 3 2 19 2 10" xfId="43510"/>
    <cellStyle name="Normal 3 2 19 2 11" xfId="47542"/>
    <cellStyle name="Normal 3 2 19 2 12" xfId="51621"/>
    <cellStyle name="Normal 3 2 19 2 2" xfId="11254"/>
    <cellStyle name="Normal 3 2 19 2 3" xfId="15286"/>
    <cellStyle name="Normal 3 2 19 2 4" xfId="19318"/>
    <cellStyle name="Normal 3 2 19 2 5" xfId="23350"/>
    <cellStyle name="Normal 3 2 19 2 6" xfId="27382"/>
    <cellStyle name="Normal 3 2 19 2 7" xfId="31414"/>
    <cellStyle name="Normal 3 2 19 2 8" xfId="35446"/>
    <cellStyle name="Normal 3 2 19 2 9" xfId="39478"/>
    <cellStyle name="Normal 3 2 19 3" xfId="9238"/>
    <cellStyle name="Normal 3 2 19 4" xfId="13270"/>
    <cellStyle name="Normal 3 2 19 5" xfId="17302"/>
    <cellStyle name="Normal 3 2 19 6" xfId="21334"/>
    <cellStyle name="Normal 3 2 19 7" xfId="25366"/>
    <cellStyle name="Normal 3 2 19 8" xfId="29398"/>
    <cellStyle name="Normal 3 2 19 9" xfId="33430"/>
    <cellStyle name="Normal 3 2 2" xfId="32"/>
    <cellStyle name="Normal 3 2 2 10" xfId="1697"/>
    <cellStyle name="Normal 3 2 2 10 10" xfId="33653"/>
    <cellStyle name="Normal 3 2 2 10 11" xfId="37685"/>
    <cellStyle name="Normal 3 2 2 10 12" xfId="41717"/>
    <cellStyle name="Normal 3 2 2 10 13" xfId="45749"/>
    <cellStyle name="Normal 3 2 2 10 14" xfId="49827"/>
    <cellStyle name="Normal 3 2 2 10 2" xfId="5368"/>
    <cellStyle name="Normal 3 2 2 10 2 10" xfId="38636"/>
    <cellStyle name="Normal 3 2 2 10 2 11" xfId="42668"/>
    <cellStyle name="Normal 3 2 2 10 2 12" xfId="46700"/>
    <cellStyle name="Normal 3 2 2 10 2 13" xfId="50779"/>
    <cellStyle name="Normal 3 2 2 10 2 2" xfId="8394"/>
    <cellStyle name="Normal 3 2 2 10 2 2 10" xfId="44684"/>
    <cellStyle name="Normal 3 2 2 10 2 2 11" xfId="48716"/>
    <cellStyle name="Normal 3 2 2 10 2 2 12" xfId="52795"/>
    <cellStyle name="Normal 3 2 2 10 2 2 2" xfId="12428"/>
    <cellStyle name="Normal 3 2 2 10 2 2 3" xfId="16460"/>
    <cellStyle name="Normal 3 2 2 10 2 2 4" xfId="20492"/>
    <cellStyle name="Normal 3 2 2 10 2 2 5" xfId="24524"/>
    <cellStyle name="Normal 3 2 2 10 2 2 6" xfId="28556"/>
    <cellStyle name="Normal 3 2 2 10 2 2 7" xfId="32588"/>
    <cellStyle name="Normal 3 2 2 10 2 2 8" xfId="36620"/>
    <cellStyle name="Normal 3 2 2 10 2 2 9" xfId="40652"/>
    <cellStyle name="Normal 3 2 2 10 2 3" xfId="10412"/>
    <cellStyle name="Normal 3 2 2 10 2 4" xfId="14444"/>
    <cellStyle name="Normal 3 2 2 10 2 5" xfId="18476"/>
    <cellStyle name="Normal 3 2 2 10 2 6" xfId="22508"/>
    <cellStyle name="Normal 3 2 2 10 2 7" xfId="26540"/>
    <cellStyle name="Normal 3 2 2 10 2 8" xfId="30572"/>
    <cellStyle name="Normal 3 2 2 10 2 9" xfId="34604"/>
    <cellStyle name="Normal 3 2 2 10 3" xfId="7443"/>
    <cellStyle name="Normal 3 2 2 10 3 10" xfId="43733"/>
    <cellStyle name="Normal 3 2 2 10 3 11" xfId="47765"/>
    <cellStyle name="Normal 3 2 2 10 3 12" xfId="51844"/>
    <cellStyle name="Normal 3 2 2 10 3 2" xfId="11477"/>
    <cellStyle name="Normal 3 2 2 10 3 3" xfId="15509"/>
    <cellStyle name="Normal 3 2 2 10 3 4" xfId="19541"/>
    <cellStyle name="Normal 3 2 2 10 3 5" xfId="23573"/>
    <cellStyle name="Normal 3 2 2 10 3 6" xfId="27605"/>
    <cellStyle name="Normal 3 2 2 10 3 7" xfId="31637"/>
    <cellStyle name="Normal 3 2 2 10 3 8" xfId="35669"/>
    <cellStyle name="Normal 3 2 2 10 3 9" xfId="39701"/>
    <cellStyle name="Normal 3 2 2 10 4" xfId="9461"/>
    <cellStyle name="Normal 3 2 2 10 5" xfId="13493"/>
    <cellStyle name="Normal 3 2 2 10 6" xfId="17525"/>
    <cellStyle name="Normal 3 2 2 10 7" xfId="21557"/>
    <cellStyle name="Normal 3 2 2 10 8" xfId="25589"/>
    <cellStyle name="Normal 3 2 2 10 9" xfId="29621"/>
    <cellStyle name="Normal 3 2 2 11" xfId="3417"/>
    <cellStyle name="Normal 3 2 2 12" xfId="4019"/>
    <cellStyle name="Normal 3 2 2 12 10" xfId="33876"/>
    <cellStyle name="Normal 3 2 2 12 11" xfId="37908"/>
    <cellStyle name="Normal 3 2 2 12 12" xfId="41940"/>
    <cellStyle name="Normal 3 2 2 12 13" xfId="45972"/>
    <cellStyle name="Normal 3 2 2 12 14" xfId="50050"/>
    <cellStyle name="Normal 3 2 2 12 2" xfId="6601"/>
    <cellStyle name="Normal 3 2 2 12 2 10" xfId="38859"/>
    <cellStyle name="Normal 3 2 2 12 2 11" xfId="42891"/>
    <cellStyle name="Normal 3 2 2 12 2 12" xfId="46923"/>
    <cellStyle name="Normal 3 2 2 12 2 13" xfId="51002"/>
    <cellStyle name="Normal 3 2 2 12 2 2" xfId="8617"/>
    <cellStyle name="Normal 3 2 2 12 2 2 10" xfId="44907"/>
    <cellStyle name="Normal 3 2 2 12 2 2 11" xfId="48939"/>
    <cellStyle name="Normal 3 2 2 12 2 2 12" xfId="53018"/>
    <cellStyle name="Normal 3 2 2 12 2 2 2" xfId="12651"/>
    <cellStyle name="Normal 3 2 2 12 2 2 3" xfId="16683"/>
    <cellStyle name="Normal 3 2 2 12 2 2 4" xfId="20715"/>
    <cellStyle name="Normal 3 2 2 12 2 2 5" xfId="24747"/>
    <cellStyle name="Normal 3 2 2 12 2 2 6" xfId="28779"/>
    <cellStyle name="Normal 3 2 2 12 2 2 7" xfId="32811"/>
    <cellStyle name="Normal 3 2 2 12 2 2 8" xfId="36843"/>
    <cellStyle name="Normal 3 2 2 12 2 2 9" xfId="40875"/>
    <cellStyle name="Normal 3 2 2 12 2 3" xfId="10635"/>
    <cellStyle name="Normal 3 2 2 12 2 4" xfId="14667"/>
    <cellStyle name="Normal 3 2 2 12 2 5" xfId="18699"/>
    <cellStyle name="Normal 3 2 2 12 2 6" xfId="22731"/>
    <cellStyle name="Normal 3 2 2 12 2 7" xfId="26763"/>
    <cellStyle name="Normal 3 2 2 12 2 8" xfId="30795"/>
    <cellStyle name="Normal 3 2 2 12 2 9" xfId="34827"/>
    <cellStyle name="Normal 3 2 2 12 3" xfId="7666"/>
    <cellStyle name="Normal 3 2 2 12 3 10" xfId="43956"/>
    <cellStyle name="Normal 3 2 2 12 3 11" xfId="47988"/>
    <cellStyle name="Normal 3 2 2 12 3 12" xfId="52067"/>
    <cellStyle name="Normal 3 2 2 12 3 2" xfId="11700"/>
    <cellStyle name="Normal 3 2 2 12 3 3" xfId="15732"/>
    <cellStyle name="Normal 3 2 2 12 3 4" xfId="19764"/>
    <cellStyle name="Normal 3 2 2 12 3 5" xfId="23796"/>
    <cellStyle name="Normal 3 2 2 12 3 6" xfId="27828"/>
    <cellStyle name="Normal 3 2 2 12 3 7" xfId="31860"/>
    <cellStyle name="Normal 3 2 2 12 3 8" xfId="35892"/>
    <cellStyle name="Normal 3 2 2 12 3 9" xfId="39924"/>
    <cellStyle name="Normal 3 2 2 12 4" xfId="9684"/>
    <cellStyle name="Normal 3 2 2 12 5" xfId="13716"/>
    <cellStyle name="Normal 3 2 2 12 6" xfId="17748"/>
    <cellStyle name="Normal 3 2 2 12 7" xfId="21780"/>
    <cellStyle name="Normal 3 2 2 12 8" xfId="25812"/>
    <cellStyle name="Normal 3 2 2 12 9" xfId="29844"/>
    <cellStyle name="Normal 3 2 2 13" xfId="4089"/>
    <cellStyle name="Normal 3 2 2 13 10" xfId="33945"/>
    <cellStyle name="Normal 3 2 2 13 11" xfId="37977"/>
    <cellStyle name="Normal 3 2 2 13 12" xfId="42009"/>
    <cellStyle name="Normal 3 2 2 13 13" xfId="46041"/>
    <cellStyle name="Normal 3 2 2 13 14" xfId="50119"/>
    <cellStyle name="Normal 3 2 2 13 2" xfId="6670"/>
    <cellStyle name="Normal 3 2 2 13 2 10" xfId="38928"/>
    <cellStyle name="Normal 3 2 2 13 2 11" xfId="42960"/>
    <cellStyle name="Normal 3 2 2 13 2 12" xfId="46992"/>
    <cellStyle name="Normal 3 2 2 13 2 13" xfId="51071"/>
    <cellStyle name="Normal 3 2 2 13 2 2" xfId="8686"/>
    <cellStyle name="Normal 3 2 2 13 2 2 10" xfId="44976"/>
    <cellStyle name="Normal 3 2 2 13 2 2 11" xfId="49008"/>
    <cellStyle name="Normal 3 2 2 13 2 2 12" xfId="53087"/>
    <cellStyle name="Normal 3 2 2 13 2 2 2" xfId="12720"/>
    <cellStyle name="Normal 3 2 2 13 2 2 3" xfId="16752"/>
    <cellStyle name="Normal 3 2 2 13 2 2 4" xfId="20784"/>
    <cellStyle name="Normal 3 2 2 13 2 2 5" xfId="24816"/>
    <cellStyle name="Normal 3 2 2 13 2 2 6" xfId="28848"/>
    <cellStyle name="Normal 3 2 2 13 2 2 7" xfId="32880"/>
    <cellStyle name="Normal 3 2 2 13 2 2 8" xfId="36912"/>
    <cellStyle name="Normal 3 2 2 13 2 2 9" xfId="40944"/>
    <cellStyle name="Normal 3 2 2 13 2 3" xfId="10704"/>
    <cellStyle name="Normal 3 2 2 13 2 4" xfId="14736"/>
    <cellStyle name="Normal 3 2 2 13 2 5" xfId="18768"/>
    <cellStyle name="Normal 3 2 2 13 2 6" xfId="22800"/>
    <cellStyle name="Normal 3 2 2 13 2 7" xfId="26832"/>
    <cellStyle name="Normal 3 2 2 13 2 8" xfId="30864"/>
    <cellStyle name="Normal 3 2 2 13 2 9" xfId="34896"/>
    <cellStyle name="Normal 3 2 2 13 3" xfId="7735"/>
    <cellStyle name="Normal 3 2 2 13 3 10" xfId="44025"/>
    <cellStyle name="Normal 3 2 2 13 3 11" xfId="48057"/>
    <cellStyle name="Normal 3 2 2 13 3 12" xfId="52136"/>
    <cellStyle name="Normal 3 2 2 13 3 2" xfId="11769"/>
    <cellStyle name="Normal 3 2 2 13 3 3" xfId="15801"/>
    <cellStyle name="Normal 3 2 2 13 3 4" xfId="19833"/>
    <cellStyle name="Normal 3 2 2 13 3 5" xfId="23865"/>
    <cellStyle name="Normal 3 2 2 13 3 6" xfId="27897"/>
    <cellStyle name="Normal 3 2 2 13 3 7" xfId="31929"/>
    <cellStyle name="Normal 3 2 2 13 3 8" xfId="35961"/>
    <cellStyle name="Normal 3 2 2 13 3 9" xfId="39993"/>
    <cellStyle name="Normal 3 2 2 13 4" xfId="9753"/>
    <cellStyle name="Normal 3 2 2 13 5" xfId="13785"/>
    <cellStyle name="Normal 3 2 2 13 6" xfId="17817"/>
    <cellStyle name="Normal 3 2 2 13 7" xfId="21849"/>
    <cellStyle name="Normal 3 2 2 13 8" xfId="25881"/>
    <cellStyle name="Normal 3 2 2 13 9" xfId="29913"/>
    <cellStyle name="Normal 3 2 2 14" xfId="4158"/>
    <cellStyle name="Normal 3 2 2 14 10" xfId="34014"/>
    <cellStyle name="Normal 3 2 2 14 11" xfId="38046"/>
    <cellStyle name="Normal 3 2 2 14 12" xfId="42078"/>
    <cellStyle name="Normal 3 2 2 14 13" xfId="46110"/>
    <cellStyle name="Normal 3 2 2 14 14" xfId="50188"/>
    <cellStyle name="Normal 3 2 2 14 2" xfId="6739"/>
    <cellStyle name="Normal 3 2 2 14 2 10" xfId="38997"/>
    <cellStyle name="Normal 3 2 2 14 2 11" xfId="43029"/>
    <cellStyle name="Normal 3 2 2 14 2 12" xfId="47061"/>
    <cellStyle name="Normal 3 2 2 14 2 13" xfId="51140"/>
    <cellStyle name="Normal 3 2 2 14 2 2" xfId="8755"/>
    <cellStyle name="Normal 3 2 2 14 2 2 10" xfId="45045"/>
    <cellStyle name="Normal 3 2 2 14 2 2 11" xfId="49077"/>
    <cellStyle name="Normal 3 2 2 14 2 2 12" xfId="53156"/>
    <cellStyle name="Normal 3 2 2 14 2 2 2" xfId="12789"/>
    <cellStyle name="Normal 3 2 2 14 2 2 3" xfId="16821"/>
    <cellStyle name="Normal 3 2 2 14 2 2 4" xfId="20853"/>
    <cellStyle name="Normal 3 2 2 14 2 2 5" xfId="24885"/>
    <cellStyle name="Normal 3 2 2 14 2 2 6" xfId="28917"/>
    <cellStyle name="Normal 3 2 2 14 2 2 7" xfId="32949"/>
    <cellStyle name="Normal 3 2 2 14 2 2 8" xfId="36981"/>
    <cellStyle name="Normal 3 2 2 14 2 2 9" xfId="41013"/>
    <cellStyle name="Normal 3 2 2 14 2 3" xfId="10773"/>
    <cellStyle name="Normal 3 2 2 14 2 4" xfId="14805"/>
    <cellStyle name="Normal 3 2 2 14 2 5" xfId="18837"/>
    <cellStyle name="Normal 3 2 2 14 2 6" xfId="22869"/>
    <cellStyle name="Normal 3 2 2 14 2 7" xfId="26901"/>
    <cellStyle name="Normal 3 2 2 14 2 8" xfId="30933"/>
    <cellStyle name="Normal 3 2 2 14 2 9" xfId="34965"/>
    <cellStyle name="Normal 3 2 2 14 3" xfId="7804"/>
    <cellStyle name="Normal 3 2 2 14 3 10" xfId="44094"/>
    <cellStyle name="Normal 3 2 2 14 3 11" xfId="48126"/>
    <cellStyle name="Normal 3 2 2 14 3 12" xfId="52205"/>
    <cellStyle name="Normal 3 2 2 14 3 2" xfId="11838"/>
    <cellStyle name="Normal 3 2 2 14 3 3" xfId="15870"/>
    <cellStyle name="Normal 3 2 2 14 3 4" xfId="19902"/>
    <cellStyle name="Normal 3 2 2 14 3 5" xfId="23934"/>
    <cellStyle name="Normal 3 2 2 14 3 6" xfId="27966"/>
    <cellStyle name="Normal 3 2 2 14 3 7" xfId="31998"/>
    <cellStyle name="Normal 3 2 2 14 3 8" xfId="36030"/>
    <cellStyle name="Normal 3 2 2 14 3 9" xfId="40062"/>
    <cellStyle name="Normal 3 2 2 14 4" xfId="9822"/>
    <cellStyle name="Normal 3 2 2 14 5" xfId="13854"/>
    <cellStyle name="Normal 3 2 2 14 6" xfId="17886"/>
    <cellStyle name="Normal 3 2 2 14 7" xfId="21918"/>
    <cellStyle name="Normal 3 2 2 14 8" xfId="25950"/>
    <cellStyle name="Normal 3 2 2 14 9" xfId="29982"/>
    <cellStyle name="Normal 3 2 2 15" xfId="4228"/>
    <cellStyle name="Normal 3 2 2 15 10" xfId="34083"/>
    <cellStyle name="Normal 3 2 2 15 11" xfId="38115"/>
    <cellStyle name="Normal 3 2 2 15 12" xfId="42147"/>
    <cellStyle name="Normal 3 2 2 15 13" xfId="46179"/>
    <cellStyle name="Normal 3 2 2 15 14" xfId="50257"/>
    <cellStyle name="Normal 3 2 2 15 2" xfId="6808"/>
    <cellStyle name="Normal 3 2 2 15 2 10" xfId="39066"/>
    <cellStyle name="Normal 3 2 2 15 2 11" xfId="43098"/>
    <cellStyle name="Normal 3 2 2 15 2 12" xfId="47130"/>
    <cellStyle name="Normal 3 2 2 15 2 13" xfId="51209"/>
    <cellStyle name="Normal 3 2 2 15 2 2" xfId="8824"/>
    <cellStyle name="Normal 3 2 2 15 2 2 10" xfId="45114"/>
    <cellStyle name="Normal 3 2 2 15 2 2 11" xfId="49146"/>
    <cellStyle name="Normal 3 2 2 15 2 2 12" xfId="53225"/>
    <cellStyle name="Normal 3 2 2 15 2 2 2" xfId="12858"/>
    <cellStyle name="Normal 3 2 2 15 2 2 3" xfId="16890"/>
    <cellStyle name="Normal 3 2 2 15 2 2 4" xfId="20922"/>
    <cellStyle name="Normal 3 2 2 15 2 2 5" xfId="24954"/>
    <cellStyle name="Normal 3 2 2 15 2 2 6" xfId="28986"/>
    <cellStyle name="Normal 3 2 2 15 2 2 7" xfId="33018"/>
    <cellStyle name="Normal 3 2 2 15 2 2 8" xfId="37050"/>
    <cellStyle name="Normal 3 2 2 15 2 2 9" xfId="41082"/>
    <cellStyle name="Normal 3 2 2 15 2 3" xfId="10842"/>
    <cellStyle name="Normal 3 2 2 15 2 4" xfId="14874"/>
    <cellStyle name="Normal 3 2 2 15 2 5" xfId="18906"/>
    <cellStyle name="Normal 3 2 2 15 2 6" xfId="22938"/>
    <cellStyle name="Normal 3 2 2 15 2 7" xfId="26970"/>
    <cellStyle name="Normal 3 2 2 15 2 8" xfId="31002"/>
    <cellStyle name="Normal 3 2 2 15 2 9" xfId="35034"/>
    <cellStyle name="Normal 3 2 2 15 3" xfId="7873"/>
    <cellStyle name="Normal 3 2 2 15 3 10" xfId="44163"/>
    <cellStyle name="Normal 3 2 2 15 3 11" xfId="48195"/>
    <cellStyle name="Normal 3 2 2 15 3 12" xfId="52274"/>
    <cellStyle name="Normal 3 2 2 15 3 2" xfId="11907"/>
    <cellStyle name="Normal 3 2 2 15 3 3" xfId="15939"/>
    <cellStyle name="Normal 3 2 2 15 3 4" xfId="19971"/>
    <cellStyle name="Normal 3 2 2 15 3 5" xfId="24003"/>
    <cellStyle name="Normal 3 2 2 15 3 6" xfId="28035"/>
    <cellStyle name="Normal 3 2 2 15 3 7" xfId="32067"/>
    <cellStyle name="Normal 3 2 2 15 3 8" xfId="36099"/>
    <cellStyle name="Normal 3 2 2 15 3 9" xfId="40131"/>
    <cellStyle name="Normal 3 2 2 15 4" xfId="9891"/>
    <cellStyle name="Normal 3 2 2 15 5" xfId="13923"/>
    <cellStyle name="Normal 3 2 2 15 6" xfId="17955"/>
    <cellStyle name="Normal 3 2 2 15 7" xfId="21987"/>
    <cellStyle name="Normal 3 2 2 15 8" xfId="26019"/>
    <cellStyle name="Normal 3 2 2 15 9" xfId="30051"/>
    <cellStyle name="Normal 3 2 2 16" xfId="4377"/>
    <cellStyle name="Normal 3 2 2 16 10" xfId="34221"/>
    <cellStyle name="Normal 3 2 2 16 11" xfId="38253"/>
    <cellStyle name="Normal 3 2 2 16 12" xfId="42285"/>
    <cellStyle name="Normal 3 2 2 16 13" xfId="46317"/>
    <cellStyle name="Normal 3 2 2 16 14" xfId="50396"/>
    <cellStyle name="Normal 3 2 2 16 2" xfId="6946"/>
    <cellStyle name="Normal 3 2 2 16 2 10" xfId="39204"/>
    <cellStyle name="Normal 3 2 2 16 2 11" xfId="43236"/>
    <cellStyle name="Normal 3 2 2 16 2 12" xfId="47268"/>
    <cellStyle name="Normal 3 2 2 16 2 13" xfId="51347"/>
    <cellStyle name="Normal 3 2 2 16 2 2" xfId="8962"/>
    <cellStyle name="Normal 3 2 2 16 2 2 10" xfId="45252"/>
    <cellStyle name="Normal 3 2 2 16 2 2 11" xfId="49284"/>
    <cellStyle name="Normal 3 2 2 16 2 2 12" xfId="53363"/>
    <cellStyle name="Normal 3 2 2 16 2 2 2" xfId="12996"/>
    <cellStyle name="Normal 3 2 2 16 2 2 3" xfId="17028"/>
    <cellStyle name="Normal 3 2 2 16 2 2 4" xfId="21060"/>
    <cellStyle name="Normal 3 2 2 16 2 2 5" xfId="25092"/>
    <cellStyle name="Normal 3 2 2 16 2 2 6" xfId="29124"/>
    <cellStyle name="Normal 3 2 2 16 2 2 7" xfId="33156"/>
    <cellStyle name="Normal 3 2 2 16 2 2 8" xfId="37188"/>
    <cellStyle name="Normal 3 2 2 16 2 2 9" xfId="41220"/>
    <cellStyle name="Normal 3 2 2 16 2 3" xfId="10980"/>
    <cellStyle name="Normal 3 2 2 16 2 4" xfId="15012"/>
    <cellStyle name="Normal 3 2 2 16 2 5" xfId="19044"/>
    <cellStyle name="Normal 3 2 2 16 2 6" xfId="23076"/>
    <cellStyle name="Normal 3 2 2 16 2 7" xfId="27108"/>
    <cellStyle name="Normal 3 2 2 16 2 8" xfId="31140"/>
    <cellStyle name="Normal 3 2 2 16 2 9" xfId="35172"/>
    <cellStyle name="Normal 3 2 2 16 3" xfId="8011"/>
    <cellStyle name="Normal 3 2 2 16 3 10" xfId="44301"/>
    <cellStyle name="Normal 3 2 2 16 3 11" xfId="48333"/>
    <cellStyle name="Normal 3 2 2 16 3 12" xfId="52412"/>
    <cellStyle name="Normal 3 2 2 16 3 2" xfId="12045"/>
    <cellStyle name="Normal 3 2 2 16 3 3" xfId="16077"/>
    <cellStyle name="Normal 3 2 2 16 3 4" xfId="20109"/>
    <cellStyle name="Normal 3 2 2 16 3 5" xfId="24141"/>
    <cellStyle name="Normal 3 2 2 16 3 6" xfId="28173"/>
    <cellStyle name="Normal 3 2 2 16 3 7" xfId="32205"/>
    <cellStyle name="Normal 3 2 2 16 3 8" xfId="36237"/>
    <cellStyle name="Normal 3 2 2 16 3 9" xfId="40269"/>
    <cellStyle name="Normal 3 2 2 16 4" xfId="10029"/>
    <cellStyle name="Normal 3 2 2 16 5" xfId="14061"/>
    <cellStyle name="Normal 3 2 2 16 6" xfId="18093"/>
    <cellStyle name="Normal 3 2 2 16 7" xfId="22125"/>
    <cellStyle name="Normal 3 2 2 16 8" xfId="26157"/>
    <cellStyle name="Normal 3 2 2 16 9" xfId="30189"/>
    <cellStyle name="Normal 3 2 2 17" xfId="4515"/>
    <cellStyle name="Normal 3 2 2 17 10" xfId="38391"/>
    <cellStyle name="Normal 3 2 2 17 11" xfId="42423"/>
    <cellStyle name="Normal 3 2 2 17 12" xfId="46455"/>
    <cellStyle name="Normal 3 2 2 17 13" xfId="50534"/>
    <cellStyle name="Normal 3 2 2 17 2" xfId="8149"/>
    <cellStyle name="Normal 3 2 2 17 2 10" xfId="44439"/>
    <cellStyle name="Normal 3 2 2 17 2 11" xfId="48471"/>
    <cellStyle name="Normal 3 2 2 17 2 12" xfId="52550"/>
    <cellStyle name="Normal 3 2 2 17 2 2" xfId="12183"/>
    <cellStyle name="Normal 3 2 2 17 2 3" xfId="16215"/>
    <cellStyle name="Normal 3 2 2 17 2 4" xfId="20247"/>
    <cellStyle name="Normal 3 2 2 17 2 5" xfId="24279"/>
    <cellStyle name="Normal 3 2 2 17 2 6" xfId="28311"/>
    <cellStyle name="Normal 3 2 2 17 2 7" xfId="32343"/>
    <cellStyle name="Normal 3 2 2 17 2 8" xfId="36375"/>
    <cellStyle name="Normal 3 2 2 17 2 9" xfId="40407"/>
    <cellStyle name="Normal 3 2 2 17 3" xfId="10167"/>
    <cellStyle name="Normal 3 2 2 17 4" xfId="14199"/>
    <cellStyle name="Normal 3 2 2 17 5" xfId="18231"/>
    <cellStyle name="Normal 3 2 2 17 6" xfId="22263"/>
    <cellStyle name="Normal 3 2 2 17 7" xfId="26295"/>
    <cellStyle name="Normal 3 2 2 17 8" xfId="30327"/>
    <cellStyle name="Normal 3 2 2 17 9" xfId="34359"/>
    <cellStyle name="Normal 3 2 2 18" xfId="259"/>
    <cellStyle name="Normal 3 2 2 18 10" xfId="37464"/>
    <cellStyle name="Normal 3 2 2 18 11" xfId="41496"/>
    <cellStyle name="Normal 3 2 2 18 12" xfId="45528"/>
    <cellStyle name="Normal 3 2 2 18 13" xfId="49606"/>
    <cellStyle name="Normal 3 2 2 18 2" xfId="7222"/>
    <cellStyle name="Normal 3 2 2 18 2 10" xfId="43512"/>
    <cellStyle name="Normal 3 2 2 18 2 11" xfId="47544"/>
    <cellStyle name="Normal 3 2 2 18 2 12" xfId="51623"/>
    <cellStyle name="Normal 3 2 2 18 2 2" xfId="11256"/>
    <cellStyle name="Normal 3 2 2 18 2 3" xfId="15288"/>
    <cellStyle name="Normal 3 2 2 18 2 4" xfId="19320"/>
    <cellStyle name="Normal 3 2 2 18 2 5" xfId="23352"/>
    <cellStyle name="Normal 3 2 2 18 2 6" xfId="27384"/>
    <cellStyle name="Normal 3 2 2 18 2 7" xfId="31416"/>
    <cellStyle name="Normal 3 2 2 18 2 8" xfId="35448"/>
    <cellStyle name="Normal 3 2 2 18 2 9" xfId="39480"/>
    <cellStyle name="Normal 3 2 2 18 3" xfId="9240"/>
    <cellStyle name="Normal 3 2 2 18 4" xfId="13272"/>
    <cellStyle name="Normal 3 2 2 18 5" xfId="17304"/>
    <cellStyle name="Normal 3 2 2 18 6" xfId="21336"/>
    <cellStyle name="Normal 3 2 2 18 7" xfId="25368"/>
    <cellStyle name="Normal 3 2 2 18 8" xfId="29400"/>
    <cellStyle name="Normal 3 2 2 18 9" xfId="33432"/>
    <cellStyle name="Normal 3 2 2 19" xfId="7084"/>
    <cellStyle name="Normal 3 2 2 19 10" xfId="43374"/>
    <cellStyle name="Normal 3 2 2 19 11" xfId="47406"/>
    <cellStyle name="Normal 3 2 2 19 12" xfId="51485"/>
    <cellStyle name="Normal 3 2 2 19 2" xfId="11118"/>
    <cellStyle name="Normal 3 2 2 19 3" xfId="15150"/>
    <cellStyle name="Normal 3 2 2 19 4" xfId="19182"/>
    <cellStyle name="Normal 3 2 2 19 5" xfId="23214"/>
    <cellStyle name="Normal 3 2 2 19 6" xfId="27246"/>
    <cellStyle name="Normal 3 2 2 19 7" xfId="31278"/>
    <cellStyle name="Normal 3 2 2 19 8" xfId="35310"/>
    <cellStyle name="Normal 3 2 2 19 9" xfId="39342"/>
    <cellStyle name="Normal 3 2 2 2" xfId="47"/>
    <cellStyle name="Normal 3 2 2 2 10" xfId="4170"/>
    <cellStyle name="Normal 3 2 2 2 10 10" xfId="34026"/>
    <cellStyle name="Normal 3 2 2 2 10 11" xfId="38058"/>
    <cellStyle name="Normal 3 2 2 2 10 12" xfId="42090"/>
    <cellStyle name="Normal 3 2 2 2 10 13" xfId="46122"/>
    <cellStyle name="Normal 3 2 2 2 10 14" xfId="50200"/>
    <cellStyle name="Normal 3 2 2 2 10 2" xfId="6751"/>
    <cellStyle name="Normal 3 2 2 2 10 2 10" xfId="39009"/>
    <cellStyle name="Normal 3 2 2 2 10 2 11" xfId="43041"/>
    <cellStyle name="Normal 3 2 2 2 10 2 12" xfId="47073"/>
    <cellStyle name="Normal 3 2 2 2 10 2 13" xfId="51152"/>
    <cellStyle name="Normal 3 2 2 2 10 2 2" xfId="8767"/>
    <cellStyle name="Normal 3 2 2 2 10 2 2 10" xfId="45057"/>
    <cellStyle name="Normal 3 2 2 2 10 2 2 11" xfId="49089"/>
    <cellStyle name="Normal 3 2 2 2 10 2 2 12" xfId="53168"/>
    <cellStyle name="Normal 3 2 2 2 10 2 2 2" xfId="12801"/>
    <cellStyle name="Normal 3 2 2 2 10 2 2 3" xfId="16833"/>
    <cellStyle name="Normal 3 2 2 2 10 2 2 4" xfId="20865"/>
    <cellStyle name="Normal 3 2 2 2 10 2 2 5" xfId="24897"/>
    <cellStyle name="Normal 3 2 2 2 10 2 2 6" xfId="28929"/>
    <cellStyle name="Normal 3 2 2 2 10 2 2 7" xfId="32961"/>
    <cellStyle name="Normal 3 2 2 2 10 2 2 8" xfId="36993"/>
    <cellStyle name="Normal 3 2 2 2 10 2 2 9" xfId="41025"/>
    <cellStyle name="Normal 3 2 2 2 10 2 3" xfId="10785"/>
    <cellStyle name="Normal 3 2 2 2 10 2 4" xfId="14817"/>
    <cellStyle name="Normal 3 2 2 2 10 2 5" xfId="18849"/>
    <cellStyle name="Normal 3 2 2 2 10 2 6" xfId="22881"/>
    <cellStyle name="Normal 3 2 2 2 10 2 7" xfId="26913"/>
    <cellStyle name="Normal 3 2 2 2 10 2 8" xfId="30945"/>
    <cellStyle name="Normal 3 2 2 2 10 2 9" xfId="34977"/>
    <cellStyle name="Normal 3 2 2 2 10 3" xfId="7816"/>
    <cellStyle name="Normal 3 2 2 2 10 3 10" xfId="44106"/>
    <cellStyle name="Normal 3 2 2 2 10 3 11" xfId="48138"/>
    <cellStyle name="Normal 3 2 2 2 10 3 12" xfId="52217"/>
    <cellStyle name="Normal 3 2 2 2 10 3 2" xfId="11850"/>
    <cellStyle name="Normal 3 2 2 2 10 3 3" xfId="15882"/>
    <cellStyle name="Normal 3 2 2 2 10 3 4" xfId="19914"/>
    <cellStyle name="Normal 3 2 2 2 10 3 5" xfId="23946"/>
    <cellStyle name="Normal 3 2 2 2 10 3 6" xfId="27978"/>
    <cellStyle name="Normal 3 2 2 2 10 3 7" xfId="32010"/>
    <cellStyle name="Normal 3 2 2 2 10 3 8" xfId="36042"/>
    <cellStyle name="Normal 3 2 2 2 10 3 9" xfId="40074"/>
    <cellStyle name="Normal 3 2 2 2 10 4" xfId="9834"/>
    <cellStyle name="Normal 3 2 2 2 10 5" xfId="13866"/>
    <cellStyle name="Normal 3 2 2 2 10 6" xfId="17898"/>
    <cellStyle name="Normal 3 2 2 2 10 7" xfId="21930"/>
    <cellStyle name="Normal 3 2 2 2 10 8" xfId="25962"/>
    <cellStyle name="Normal 3 2 2 2 10 9" xfId="29994"/>
    <cellStyle name="Normal 3 2 2 2 11" xfId="4243"/>
    <cellStyle name="Normal 3 2 2 2 11 10" xfId="34095"/>
    <cellStyle name="Normal 3 2 2 2 11 11" xfId="38127"/>
    <cellStyle name="Normal 3 2 2 2 11 12" xfId="42159"/>
    <cellStyle name="Normal 3 2 2 2 11 13" xfId="46191"/>
    <cellStyle name="Normal 3 2 2 2 11 14" xfId="50269"/>
    <cellStyle name="Normal 3 2 2 2 11 2" xfId="6820"/>
    <cellStyle name="Normal 3 2 2 2 11 2 10" xfId="39078"/>
    <cellStyle name="Normal 3 2 2 2 11 2 11" xfId="43110"/>
    <cellStyle name="Normal 3 2 2 2 11 2 12" xfId="47142"/>
    <cellStyle name="Normal 3 2 2 2 11 2 13" xfId="51221"/>
    <cellStyle name="Normal 3 2 2 2 11 2 2" xfId="8836"/>
    <cellStyle name="Normal 3 2 2 2 11 2 2 10" xfId="45126"/>
    <cellStyle name="Normal 3 2 2 2 11 2 2 11" xfId="49158"/>
    <cellStyle name="Normal 3 2 2 2 11 2 2 12" xfId="53237"/>
    <cellStyle name="Normal 3 2 2 2 11 2 2 2" xfId="12870"/>
    <cellStyle name="Normal 3 2 2 2 11 2 2 3" xfId="16902"/>
    <cellStyle name="Normal 3 2 2 2 11 2 2 4" xfId="20934"/>
    <cellStyle name="Normal 3 2 2 2 11 2 2 5" xfId="24966"/>
    <cellStyle name="Normal 3 2 2 2 11 2 2 6" xfId="28998"/>
    <cellStyle name="Normal 3 2 2 2 11 2 2 7" xfId="33030"/>
    <cellStyle name="Normal 3 2 2 2 11 2 2 8" xfId="37062"/>
    <cellStyle name="Normal 3 2 2 2 11 2 2 9" xfId="41094"/>
    <cellStyle name="Normal 3 2 2 2 11 2 3" xfId="10854"/>
    <cellStyle name="Normal 3 2 2 2 11 2 4" xfId="14886"/>
    <cellStyle name="Normal 3 2 2 2 11 2 5" xfId="18918"/>
    <cellStyle name="Normal 3 2 2 2 11 2 6" xfId="22950"/>
    <cellStyle name="Normal 3 2 2 2 11 2 7" xfId="26982"/>
    <cellStyle name="Normal 3 2 2 2 11 2 8" xfId="31014"/>
    <cellStyle name="Normal 3 2 2 2 11 2 9" xfId="35046"/>
    <cellStyle name="Normal 3 2 2 2 11 3" xfId="7885"/>
    <cellStyle name="Normal 3 2 2 2 11 3 10" xfId="44175"/>
    <cellStyle name="Normal 3 2 2 2 11 3 11" xfId="48207"/>
    <cellStyle name="Normal 3 2 2 2 11 3 12" xfId="52286"/>
    <cellStyle name="Normal 3 2 2 2 11 3 2" xfId="11919"/>
    <cellStyle name="Normal 3 2 2 2 11 3 3" xfId="15951"/>
    <cellStyle name="Normal 3 2 2 2 11 3 4" xfId="19983"/>
    <cellStyle name="Normal 3 2 2 2 11 3 5" xfId="24015"/>
    <cellStyle name="Normal 3 2 2 2 11 3 6" xfId="28047"/>
    <cellStyle name="Normal 3 2 2 2 11 3 7" xfId="32079"/>
    <cellStyle name="Normal 3 2 2 2 11 3 8" xfId="36111"/>
    <cellStyle name="Normal 3 2 2 2 11 3 9" xfId="40143"/>
    <cellStyle name="Normal 3 2 2 2 11 4" xfId="9903"/>
    <cellStyle name="Normal 3 2 2 2 11 5" xfId="13935"/>
    <cellStyle name="Normal 3 2 2 2 11 6" xfId="17967"/>
    <cellStyle name="Normal 3 2 2 2 11 7" xfId="21999"/>
    <cellStyle name="Normal 3 2 2 2 11 8" xfId="26031"/>
    <cellStyle name="Normal 3 2 2 2 11 9" xfId="30063"/>
    <cellStyle name="Normal 3 2 2 2 12" xfId="4389"/>
    <cellStyle name="Normal 3 2 2 2 12 10" xfId="34233"/>
    <cellStyle name="Normal 3 2 2 2 12 11" xfId="38265"/>
    <cellStyle name="Normal 3 2 2 2 12 12" xfId="42297"/>
    <cellStyle name="Normal 3 2 2 2 12 13" xfId="46329"/>
    <cellStyle name="Normal 3 2 2 2 12 14" xfId="50408"/>
    <cellStyle name="Normal 3 2 2 2 12 2" xfId="6958"/>
    <cellStyle name="Normal 3 2 2 2 12 2 10" xfId="39216"/>
    <cellStyle name="Normal 3 2 2 2 12 2 11" xfId="43248"/>
    <cellStyle name="Normal 3 2 2 2 12 2 12" xfId="47280"/>
    <cellStyle name="Normal 3 2 2 2 12 2 13" xfId="51359"/>
    <cellStyle name="Normal 3 2 2 2 12 2 2" xfId="8974"/>
    <cellStyle name="Normal 3 2 2 2 12 2 2 10" xfId="45264"/>
    <cellStyle name="Normal 3 2 2 2 12 2 2 11" xfId="49296"/>
    <cellStyle name="Normal 3 2 2 2 12 2 2 12" xfId="53375"/>
    <cellStyle name="Normal 3 2 2 2 12 2 2 2" xfId="13008"/>
    <cellStyle name="Normal 3 2 2 2 12 2 2 3" xfId="17040"/>
    <cellStyle name="Normal 3 2 2 2 12 2 2 4" xfId="21072"/>
    <cellStyle name="Normal 3 2 2 2 12 2 2 5" xfId="25104"/>
    <cellStyle name="Normal 3 2 2 2 12 2 2 6" xfId="29136"/>
    <cellStyle name="Normal 3 2 2 2 12 2 2 7" xfId="33168"/>
    <cellStyle name="Normal 3 2 2 2 12 2 2 8" xfId="37200"/>
    <cellStyle name="Normal 3 2 2 2 12 2 2 9" xfId="41232"/>
    <cellStyle name="Normal 3 2 2 2 12 2 3" xfId="10992"/>
    <cellStyle name="Normal 3 2 2 2 12 2 4" xfId="15024"/>
    <cellStyle name="Normal 3 2 2 2 12 2 5" xfId="19056"/>
    <cellStyle name="Normal 3 2 2 2 12 2 6" xfId="23088"/>
    <cellStyle name="Normal 3 2 2 2 12 2 7" xfId="27120"/>
    <cellStyle name="Normal 3 2 2 2 12 2 8" xfId="31152"/>
    <cellStyle name="Normal 3 2 2 2 12 2 9" xfId="35184"/>
    <cellStyle name="Normal 3 2 2 2 12 3" xfId="8023"/>
    <cellStyle name="Normal 3 2 2 2 12 3 10" xfId="44313"/>
    <cellStyle name="Normal 3 2 2 2 12 3 11" xfId="48345"/>
    <cellStyle name="Normal 3 2 2 2 12 3 12" xfId="52424"/>
    <cellStyle name="Normal 3 2 2 2 12 3 2" xfId="12057"/>
    <cellStyle name="Normal 3 2 2 2 12 3 3" xfId="16089"/>
    <cellStyle name="Normal 3 2 2 2 12 3 4" xfId="20121"/>
    <cellStyle name="Normal 3 2 2 2 12 3 5" xfId="24153"/>
    <cellStyle name="Normal 3 2 2 2 12 3 6" xfId="28185"/>
    <cellStyle name="Normal 3 2 2 2 12 3 7" xfId="32217"/>
    <cellStyle name="Normal 3 2 2 2 12 3 8" xfId="36249"/>
    <cellStyle name="Normal 3 2 2 2 12 3 9" xfId="40281"/>
    <cellStyle name="Normal 3 2 2 2 12 4" xfId="10041"/>
    <cellStyle name="Normal 3 2 2 2 12 5" xfId="14073"/>
    <cellStyle name="Normal 3 2 2 2 12 6" xfId="18105"/>
    <cellStyle name="Normal 3 2 2 2 12 7" xfId="22137"/>
    <cellStyle name="Normal 3 2 2 2 12 8" xfId="26169"/>
    <cellStyle name="Normal 3 2 2 2 12 9" xfId="30201"/>
    <cellStyle name="Normal 3 2 2 2 13" xfId="4527"/>
    <cellStyle name="Normal 3 2 2 2 13 10" xfId="38403"/>
    <cellStyle name="Normal 3 2 2 2 13 11" xfId="42435"/>
    <cellStyle name="Normal 3 2 2 2 13 12" xfId="46467"/>
    <cellStyle name="Normal 3 2 2 2 13 13" xfId="50546"/>
    <cellStyle name="Normal 3 2 2 2 13 2" xfId="8161"/>
    <cellStyle name="Normal 3 2 2 2 13 2 10" xfId="44451"/>
    <cellStyle name="Normal 3 2 2 2 13 2 11" xfId="48483"/>
    <cellStyle name="Normal 3 2 2 2 13 2 12" xfId="52562"/>
    <cellStyle name="Normal 3 2 2 2 13 2 2" xfId="12195"/>
    <cellStyle name="Normal 3 2 2 2 13 2 3" xfId="16227"/>
    <cellStyle name="Normal 3 2 2 2 13 2 4" xfId="20259"/>
    <cellStyle name="Normal 3 2 2 2 13 2 5" xfId="24291"/>
    <cellStyle name="Normal 3 2 2 2 13 2 6" xfId="28323"/>
    <cellStyle name="Normal 3 2 2 2 13 2 7" xfId="32355"/>
    <cellStyle name="Normal 3 2 2 2 13 2 8" xfId="36387"/>
    <cellStyle name="Normal 3 2 2 2 13 2 9" xfId="40419"/>
    <cellStyle name="Normal 3 2 2 2 13 3" xfId="10179"/>
    <cellStyle name="Normal 3 2 2 2 13 4" xfId="14211"/>
    <cellStyle name="Normal 3 2 2 2 13 5" xfId="18243"/>
    <cellStyle name="Normal 3 2 2 2 13 6" xfId="22275"/>
    <cellStyle name="Normal 3 2 2 2 13 7" xfId="26307"/>
    <cellStyle name="Normal 3 2 2 2 13 8" xfId="30339"/>
    <cellStyle name="Normal 3 2 2 2 13 9" xfId="34371"/>
    <cellStyle name="Normal 3 2 2 2 14" xfId="271"/>
    <cellStyle name="Normal 3 2 2 2 14 10" xfId="37476"/>
    <cellStyle name="Normal 3 2 2 2 14 11" xfId="41508"/>
    <cellStyle name="Normal 3 2 2 2 14 12" xfId="45540"/>
    <cellStyle name="Normal 3 2 2 2 14 13" xfId="49618"/>
    <cellStyle name="Normal 3 2 2 2 14 2" xfId="7234"/>
    <cellStyle name="Normal 3 2 2 2 14 2 10" xfId="43524"/>
    <cellStyle name="Normal 3 2 2 2 14 2 11" xfId="47556"/>
    <cellStyle name="Normal 3 2 2 2 14 2 12" xfId="51635"/>
    <cellStyle name="Normal 3 2 2 2 14 2 2" xfId="11268"/>
    <cellStyle name="Normal 3 2 2 2 14 2 3" xfId="15300"/>
    <cellStyle name="Normal 3 2 2 2 14 2 4" xfId="19332"/>
    <cellStyle name="Normal 3 2 2 2 14 2 5" xfId="23364"/>
    <cellStyle name="Normal 3 2 2 2 14 2 6" xfId="27396"/>
    <cellStyle name="Normal 3 2 2 2 14 2 7" xfId="31428"/>
    <cellStyle name="Normal 3 2 2 2 14 2 8" xfId="35460"/>
    <cellStyle name="Normal 3 2 2 2 14 2 9" xfId="39492"/>
    <cellStyle name="Normal 3 2 2 2 14 3" xfId="9252"/>
    <cellStyle name="Normal 3 2 2 2 14 4" xfId="13284"/>
    <cellStyle name="Normal 3 2 2 2 14 5" xfId="17316"/>
    <cellStyle name="Normal 3 2 2 2 14 6" xfId="21348"/>
    <cellStyle name="Normal 3 2 2 2 14 7" xfId="25380"/>
    <cellStyle name="Normal 3 2 2 2 14 8" xfId="29412"/>
    <cellStyle name="Normal 3 2 2 2 14 9" xfId="33444"/>
    <cellStyle name="Normal 3 2 2 2 15" xfId="7096"/>
    <cellStyle name="Normal 3 2 2 2 15 10" xfId="43386"/>
    <cellStyle name="Normal 3 2 2 2 15 11" xfId="47418"/>
    <cellStyle name="Normal 3 2 2 2 15 12" xfId="51497"/>
    <cellStyle name="Normal 3 2 2 2 15 2" xfId="11130"/>
    <cellStyle name="Normal 3 2 2 2 15 3" xfId="15162"/>
    <cellStyle name="Normal 3 2 2 2 15 4" xfId="19194"/>
    <cellStyle name="Normal 3 2 2 2 15 5" xfId="23226"/>
    <cellStyle name="Normal 3 2 2 2 15 6" xfId="27258"/>
    <cellStyle name="Normal 3 2 2 2 15 7" xfId="31290"/>
    <cellStyle name="Normal 3 2 2 2 15 8" xfId="35322"/>
    <cellStyle name="Normal 3 2 2 2 15 9" xfId="39354"/>
    <cellStyle name="Normal 3 2 2 2 16" xfId="122"/>
    <cellStyle name="Normal 3 2 2 2 17" xfId="9114"/>
    <cellStyle name="Normal 3 2 2 2 18" xfId="13146"/>
    <cellStyle name="Normal 3 2 2 2 19" xfId="17178"/>
    <cellStyle name="Normal 3 2 2 2 2" xfId="98"/>
    <cellStyle name="Normal 3 2 2 2 2 10" xfId="4578"/>
    <cellStyle name="Normal 3 2 2 2 2 10 10" xfId="38454"/>
    <cellStyle name="Normal 3 2 2 2 2 10 11" xfId="42486"/>
    <cellStyle name="Normal 3 2 2 2 2 10 12" xfId="46518"/>
    <cellStyle name="Normal 3 2 2 2 2 10 13" xfId="50597"/>
    <cellStyle name="Normal 3 2 2 2 2 10 2" xfId="8212"/>
    <cellStyle name="Normal 3 2 2 2 2 10 2 10" xfId="44502"/>
    <cellStyle name="Normal 3 2 2 2 2 10 2 11" xfId="48534"/>
    <cellStyle name="Normal 3 2 2 2 2 10 2 12" xfId="52613"/>
    <cellStyle name="Normal 3 2 2 2 2 10 2 2" xfId="12246"/>
    <cellStyle name="Normal 3 2 2 2 2 10 2 3" xfId="16278"/>
    <cellStyle name="Normal 3 2 2 2 2 10 2 4" xfId="20310"/>
    <cellStyle name="Normal 3 2 2 2 2 10 2 5" xfId="24342"/>
    <cellStyle name="Normal 3 2 2 2 2 10 2 6" xfId="28374"/>
    <cellStyle name="Normal 3 2 2 2 2 10 2 7" xfId="32406"/>
    <cellStyle name="Normal 3 2 2 2 2 10 2 8" xfId="36438"/>
    <cellStyle name="Normal 3 2 2 2 2 10 2 9" xfId="40470"/>
    <cellStyle name="Normal 3 2 2 2 2 10 3" xfId="10230"/>
    <cellStyle name="Normal 3 2 2 2 2 10 4" xfId="14262"/>
    <cellStyle name="Normal 3 2 2 2 2 10 5" xfId="18294"/>
    <cellStyle name="Normal 3 2 2 2 2 10 6" xfId="22326"/>
    <cellStyle name="Normal 3 2 2 2 2 10 7" xfId="26358"/>
    <cellStyle name="Normal 3 2 2 2 2 10 8" xfId="30390"/>
    <cellStyle name="Normal 3 2 2 2 2 10 9" xfId="34422"/>
    <cellStyle name="Normal 3 2 2 2 2 11" xfId="306"/>
    <cellStyle name="Normal 3 2 2 2 2 11 10" xfId="37511"/>
    <cellStyle name="Normal 3 2 2 2 2 11 11" xfId="41543"/>
    <cellStyle name="Normal 3 2 2 2 2 11 12" xfId="45575"/>
    <cellStyle name="Normal 3 2 2 2 2 11 13" xfId="49653"/>
    <cellStyle name="Normal 3 2 2 2 2 11 2" xfId="7269"/>
    <cellStyle name="Normal 3 2 2 2 2 11 2 10" xfId="43559"/>
    <cellStyle name="Normal 3 2 2 2 2 11 2 11" xfId="47591"/>
    <cellStyle name="Normal 3 2 2 2 2 11 2 12" xfId="51670"/>
    <cellStyle name="Normal 3 2 2 2 2 11 2 2" xfId="11303"/>
    <cellStyle name="Normal 3 2 2 2 2 11 2 3" xfId="15335"/>
    <cellStyle name="Normal 3 2 2 2 2 11 2 4" xfId="19367"/>
    <cellStyle name="Normal 3 2 2 2 2 11 2 5" xfId="23399"/>
    <cellStyle name="Normal 3 2 2 2 2 11 2 6" xfId="27431"/>
    <cellStyle name="Normal 3 2 2 2 2 11 2 7" xfId="31463"/>
    <cellStyle name="Normal 3 2 2 2 2 11 2 8" xfId="35495"/>
    <cellStyle name="Normal 3 2 2 2 2 11 2 9" xfId="39527"/>
    <cellStyle name="Normal 3 2 2 2 2 11 3" xfId="9287"/>
    <cellStyle name="Normal 3 2 2 2 2 11 4" xfId="13319"/>
    <cellStyle name="Normal 3 2 2 2 2 11 5" xfId="17351"/>
    <cellStyle name="Normal 3 2 2 2 2 11 6" xfId="21383"/>
    <cellStyle name="Normal 3 2 2 2 2 11 7" xfId="25415"/>
    <cellStyle name="Normal 3 2 2 2 2 11 8" xfId="29447"/>
    <cellStyle name="Normal 3 2 2 2 2 11 9" xfId="33479"/>
    <cellStyle name="Normal 3 2 2 2 2 12" xfId="7147"/>
    <cellStyle name="Normal 3 2 2 2 2 12 10" xfId="43437"/>
    <cellStyle name="Normal 3 2 2 2 2 12 11" xfId="47469"/>
    <cellStyle name="Normal 3 2 2 2 2 12 12" xfId="51548"/>
    <cellStyle name="Normal 3 2 2 2 2 12 2" xfId="11181"/>
    <cellStyle name="Normal 3 2 2 2 2 12 3" xfId="15213"/>
    <cellStyle name="Normal 3 2 2 2 2 12 4" xfId="19245"/>
    <cellStyle name="Normal 3 2 2 2 2 12 5" xfId="23277"/>
    <cellStyle name="Normal 3 2 2 2 2 12 6" xfId="27309"/>
    <cellStyle name="Normal 3 2 2 2 2 12 7" xfId="31341"/>
    <cellStyle name="Normal 3 2 2 2 2 12 8" xfId="35373"/>
    <cellStyle name="Normal 3 2 2 2 2 12 9" xfId="39405"/>
    <cellStyle name="Normal 3 2 2 2 2 13" xfId="173"/>
    <cellStyle name="Normal 3 2 2 2 2 14" xfId="9165"/>
    <cellStyle name="Normal 3 2 2 2 2 15" xfId="13197"/>
    <cellStyle name="Normal 3 2 2 2 2 16" xfId="17229"/>
    <cellStyle name="Normal 3 2 2 2 2 17" xfId="21261"/>
    <cellStyle name="Normal 3 2 2 2 2 18" xfId="25293"/>
    <cellStyle name="Normal 3 2 2 2 2 19" xfId="29325"/>
    <cellStyle name="Normal 3 2 2 2 2 2" xfId="252"/>
    <cellStyle name="Normal 3 2 2 2 2 2 10" xfId="21330"/>
    <cellStyle name="Normal 3 2 2 2 2 2 11" xfId="25362"/>
    <cellStyle name="Normal 3 2 2 2 2 2 12" xfId="29394"/>
    <cellStyle name="Normal 3 2 2 2 2 2 13" xfId="33426"/>
    <cellStyle name="Normal 3 2 2 2 2 2 14" xfId="37458"/>
    <cellStyle name="Normal 3 2 2 2 2 2 15" xfId="41490"/>
    <cellStyle name="Normal 3 2 2 2 2 2 16" xfId="45522"/>
    <cellStyle name="Normal 3 2 2 2 2 2 17" xfId="49600"/>
    <cellStyle name="Normal 3 2 2 2 2 2 2" xfId="4370"/>
    <cellStyle name="Normal 3 2 2 2 2 2 2 10" xfId="34215"/>
    <cellStyle name="Normal 3 2 2 2 2 2 2 11" xfId="38247"/>
    <cellStyle name="Normal 3 2 2 2 2 2 2 12" xfId="42279"/>
    <cellStyle name="Normal 3 2 2 2 2 2 2 13" xfId="46311"/>
    <cellStyle name="Normal 3 2 2 2 2 2 2 14" xfId="50390"/>
    <cellStyle name="Normal 3 2 2 2 2 2 2 2" xfId="6940"/>
    <cellStyle name="Normal 3 2 2 2 2 2 2 2 10" xfId="39198"/>
    <cellStyle name="Normal 3 2 2 2 2 2 2 2 11" xfId="43230"/>
    <cellStyle name="Normal 3 2 2 2 2 2 2 2 12" xfId="47262"/>
    <cellStyle name="Normal 3 2 2 2 2 2 2 2 13" xfId="51341"/>
    <cellStyle name="Normal 3 2 2 2 2 2 2 2 2" xfId="8956"/>
    <cellStyle name="Normal 3 2 2 2 2 2 2 2 2 10" xfId="45246"/>
    <cellStyle name="Normal 3 2 2 2 2 2 2 2 2 11" xfId="49278"/>
    <cellStyle name="Normal 3 2 2 2 2 2 2 2 2 12" xfId="53357"/>
    <cellStyle name="Normal 3 2 2 2 2 2 2 2 2 2" xfId="12990"/>
    <cellStyle name="Normal 3 2 2 2 2 2 2 2 2 3" xfId="17022"/>
    <cellStyle name="Normal 3 2 2 2 2 2 2 2 2 4" xfId="21054"/>
    <cellStyle name="Normal 3 2 2 2 2 2 2 2 2 5" xfId="25086"/>
    <cellStyle name="Normal 3 2 2 2 2 2 2 2 2 6" xfId="29118"/>
    <cellStyle name="Normal 3 2 2 2 2 2 2 2 2 7" xfId="33150"/>
    <cellStyle name="Normal 3 2 2 2 2 2 2 2 2 8" xfId="37182"/>
    <cellStyle name="Normal 3 2 2 2 2 2 2 2 2 9" xfId="41214"/>
    <cellStyle name="Normal 3 2 2 2 2 2 2 2 3" xfId="10974"/>
    <cellStyle name="Normal 3 2 2 2 2 2 2 2 4" xfId="15006"/>
    <cellStyle name="Normal 3 2 2 2 2 2 2 2 5" xfId="19038"/>
    <cellStyle name="Normal 3 2 2 2 2 2 2 2 6" xfId="23070"/>
    <cellStyle name="Normal 3 2 2 2 2 2 2 2 7" xfId="27102"/>
    <cellStyle name="Normal 3 2 2 2 2 2 2 2 8" xfId="31134"/>
    <cellStyle name="Normal 3 2 2 2 2 2 2 2 9" xfId="35166"/>
    <cellStyle name="Normal 3 2 2 2 2 2 2 3" xfId="8005"/>
    <cellStyle name="Normal 3 2 2 2 2 2 2 3 10" xfId="44295"/>
    <cellStyle name="Normal 3 2 2 2 2 2 2 3 11" xfId="48327"/>
    <cellStyle name="Normal 3 2 2 2 2 2 2 3 12" xfId="52406"/>
    <cellStyle name="Normal 3 2 2 2 2 2 2 3 2" xfId="12039"/>
    <cellStyle name="Normal 3 2 2 2 2 2 2 3 3" xfId="16071"/>
    <cellStyle name="Normal 3 2 2 2 2 2 2 3 4" xfId="20103"/>
    <cellStyle name="Normal 3 2 2 2 2 2 2 3 5" xfId="24135"/>
    <cellStyle name="Normal 3 2 2 2 2 2 2 3 6" xfId="28167"/>
    <cellStyle name="Normal 3 2 2 2 2 2 2 3 7" xfId="32199"/>
    <cellStyle name="Normal 3 2 2 2 2 2 2 3 8" xfId="36231"/>
    <cellStyle name="Normal 3 2 2 2 2 2 2 3 9" xfId="40263"/>
    <cellStyle name="Normal 3 2 2 2 2 2 2 4" xfId="10023"/>
    <cellStyle name="Normal 3 2 2 2 2 2 2 5" xfId="14055"/>
    <cellStyle name="Normal 3 2 2 2 2 2 2 6" xfId="18087"/>
    <cellStyle name="Normal 3 2 2 2 2 2 2 7" xfId="22119"/>
    <cellStyle name="Normal 3 2 2 2 2 2 2 8" xfId="26151"/>
    <cellStyle name="Normal 3 2 2 2 2 2 2 9" xfId="30183"/>
    <cellStyle name="Normal 3 2 2 2 2 2 3" xfId="4509"/>
    <cellStyle name="Normal 3 2 2 2 2 2 3 10" xfId="34353"/>
    <cellStyle name="Normal 3 2 2 2 2 2 3 11" xfId="38385"/>
    <cellStyle name="Normal 3 2 2 2 2 2 3 12" xfId="42417"/>
    <cellStyle name="Normal 3 2 2 2 2 2 3 13" xfId="46449"/>
    <cellStyle name="Normal 3 2 2 2 2 2 3 14" xfId="50528"/>
    <cellStyle name="Normal 3 2 2 2 2 2 3 2" xfId="7078"/>
    <cellStyle name="Normal 3 2 2 2 2 2 3 2 10" xfId="39336"/>
    <cellStyle name="Normal 3 2 2 2 2 2 3 2 11" xfId="43368"/>
    <cellStyle name="Normal 3 2 2 2 2 2 3 2 12" xfId="47400"/>
    <cellStyle name="Normal 3 2 2 2 2 2 3 2 13" xfId="51479"/>
    <cellStyle name="Normal 3 2 2 2 2 2 3 2 2" xfId="9094"/>
    <cellStyle name="Normal 3 2 2 2 2 2 3 2 2 10" xfId="45384"/>
    <cellStyle name="Normal 3 2 2 2 2 2 3 2 2 11" xfId="49416"/>
    <cellStyle name="Normal 3 2 2 2 2 2 3 2 2 12" xfId="53495"/>
    <cellStyle name="Normal 3 2 2 2 2 2 3 2 2 2" xfId="13128"/>
    <cellStyle name="Normal 3 2 2 2 2 2 3 2 2 3" xfId="17160"/>
    <cellStyle name="Normal 3 2 2 2 2 2 3 2 2 4" xfId="21192"/>
    <cellStyle name="Normal 3 2 2 2 2 2 3 2 2 5" xfId="25224"/>
    <cellStyle name="Normal 3 2 2 2 2 2 3 2 2 6" xfId="29256"/>
    <cellStyle name="Normal 3 2 2 2 2 2 3 2 2 7" xfId="33288"/>
    <cellStyle name="Normal 3 2 2 2 2 2 3 2 2 8" xfId="37320"/>
    <cellStyle name="Normal 3 2 2 2 2 2 3 2 2 9" xfId="41352"/>
    <cellStyle name="Normal 3 2 2 2 2 2 3 2 3" xfId="11112"/>
    <cellStyle name="Normal 3 2 2 2 2 2 3 2 4" xfId="15144"/>
    <cellStyle name="Normal 3 2 2 2 2 2 3 2 5" xfId="19176"/>
    <cellStyle name="Normal 3 2 2 2 2 2 3 2 6" xfId="23208"/>
    <cellStyle name="Normal 3 2 2 2 2 2 3 2 7" xfId="27240"/>
    <cellStyle name="Normal 3 2 2 2 2 2 3 2 8" xfId="31272"/>
    <cellStyle name="Normal 3 2 2 2 2 2 3 2 9" xfId="35304"/>
    <cellStyle name="Normal 3 2 2 2 2 2 3 3" xfId="8143"/>
    <cellStyle name="Normal 3 2 2 2 2 2 3 3 10" xfId="44433"/>
    <cellStyle name="Normal 3 2 2 2 2 2 3 3 11" xfId="48465"/>
    <cellStyle name="Normal 3 2 2 2 2 2 3 3 12" xfId="52544"/>
    <cellStyle name="Normal 3 2 2 2 2 2 3 3 2" xfId="12177"/>
    <cellStyle name="Normal 3 2 2 2 2 2 3 3 3" xfId="16209"/>
    <cellStyle name="Normal 3 2 2 2 2 2 3 3 4" xfId="20241"/>
    <cellStyle name="Normal 3 2 2 2 2 2 3 3 5" xfId="24273"/>
    <cellStyle name="Normal 3 2 2 2 2 2 3 3 6" xfId="28305"/>
    <cellStyle name="Normal 3 2 2 2 2 2 3 3 7" xfId="32337"/>
    <cellStyle name="Normal 3 2 2 2 2 2 3 3 8" xfId="36369"/>
    <cellStyle name="Normal 3 2 2 2 2 2 3 3 9" xfId="40401"/>
    <cellStyle name="Normal 3 2 2 2 2 2 3 4" xfId="10161"/>
    <cellStyle name="Normal 3 2 2 2 2 2 3 5" xfId="14193"/>
    <cellStyle name="Normal 3 2 2 2 2 2 3 6" xfId="18225"/>
    <cellStyle name="Normal 3 2 2 2 2 2 3 7" xfId="22257"/>
    <cellStyle name="Normal 3 2 2 2 2 2 3 8" xfId="26289"/>
    <cellStyle name="Normal 3 2 2 2 2 2 3 9" xfId="30321"/>
    <cellStyle name="Normal 3 2 2 2 2 2 4" xfId="4649"/>
    <cellStyle name="Normal 3 2 2 2 2 2 4 10" xfId="38523"/>
    <cellStyle name="Normal 3 2 2 2 2 2 4 11" xfId="42555"/>
    <cellStyle name="Normal 3 2 2 2 2 2 4 12" xfId="46587"/>
    <cellStyle name="Normal 3 2 2 2 2 2 4 13" xfId="50666"/>
    <cellStyle name="Normal 3 2 2 2 2 2 4 2" xfId="8281"/>
    <cellStyle name="Normal 3 2 2 2 2 2 4 2 10" xfId="44571"/>
    <cellStyle name="Normal 3 2 2 2 2 2 4 2 11" xfId="48603"/>
    <cellStyle name="Normal 3 2 2 2 2 2 4 2 12" xfId="52682"/>
    <cellStyle name="Normal 3 2 2 2 2 2 4 2 2" xfId="12315"/>
    <cellStyle name="Normal 3 2 2 2 2 2 4 2 3" xfId="16347"/>
    <cellStyle name="Normal 3 2 2 2 2 2 4 2 4" xfId="20379"/>
    <cellStyle name="Normal 3 2 2 2 2 2 4 2 5" xfId="24411"/>
    <cellStyle name="Normal 3 2 2 2 2 2 4 2 6" xfId="28443"/>
    <cellStyle name="Normal 3 2 2 2 2 2 4 2 7" xfId="32475"/>
    <cellStyle name="Normal 3 2 2 2 2 2 4 2 8" xfId="36507"/>
    <cellStyle name="Normal 3 2 2 2 2 2 4 2 9" xfId="40539"/>
    <cellStyle name="Normal 3 2 2 2 2 2 4 3" xfId="10299"/>
    <cellStyle name="Normal 3 2 2 2 2 2 4 4" xfId="14331"/>
    <cellStyle name="Normal 3 2 2 2 2 2 4 5" xfId="18363"/>
    <cellStyle name="Normal 3 2 2 2 2 2 4 6" xfId="22395"/>
    <cellStyle name="Normal 3 2 2 2 2 2 4 7" xfId="26427"/>
    <cellStyle name="Normal 3 2 2 2 2 2 4 8" xfId="30459"/>
    <cellStyle name="Normal 3 2 2 2 2 2 4 9" xfId="34491"/>
    <cellStyle name="Normal 3 2 2 2 2 2 5" xfId="376"/>
    <cellStyle name="Normal 3 2 2 2 2 2 5 10" xfId="37581"/>
    <cellStyle name="Normal 3 2 2 2 2 2 5 11" xfId="41613"/>
    <cellStyle name="Normal 3 2 2 2 2 2 5 12" xfId="45645"/>
    <cellStyle name="Normal 3 2 2 2 2 2 5 13" xfId="49723"/>
    <cellStyle name="Normal 3 2 2 2 2 2 5 2" xfId="7339"/>
    <cellStyle name="Normal 3 2 2 2 2 2 5 2 10" xfId="43629"/>
    <cellStyle name="Normal 3 2 2 2 2 2 5 2 11" xfId="47661"/>
    <cellStyle name="Normal 3 2 2 2 2 2 5 2 12" xfId="51740"/>
    <cellStyle name="Normal 3 2 2 2 2 2 5 2 2" xfId="11373"/>
    <cellStyle name="Normal 3 2 2 2 2 2 5 2 3" xfId="15405"/>
    <cellStyle name="Normal 3 2 2 2 2 2 5 2 4" xfId="19437"/>
    <cellStyle name="Normal 3 2 2 2 2 2 5 2 5" xfId="23469"/>
    <cellStyle name="Normal 3 2 2 2 2 2 5 2 6" xfId="27501"/>
    <cellStyle name="Normal 3 2 2 2 2 2 5 2 7" xfId="31533"/>
    <cellStyle name="Normal 3 2 2 2 2 2 5 2 8" xfId="35565"/>
    <cellStyle name="Normal 3 2 2 2 2 2 5 2 9" xfId="39597"/>
    <cellStyle name="Normal 3 2 2 2 2 2 5 3" xfId="9357"/>
    <cellStyle name="Normal 3 2 2 2 2 2 5 4" xfId="13389"/>
    <cellStyle name="Normal 3 2 2 2 2 2 5 5" xfId="17421"/>
    <cellStyle name="Normal 3 2 2 2 2 2 5 6" xfId="21453"/>
    <cellStyle name="Normal 3 2 2 2 2 2 5 7" xfId="25485"/>
    <cellStyle name="Normal 3 2 2 2 2 2 5 8" xfId="29517"/>
    <cellStyle name="Normal 3 2 2 2 2 2 5 9" xfId="33549"/>
    <cellStyle name="Normal 3 2 2 2 2 2 6" xfId="7216"/>
    <cellStyle name="Normal 3 2 2 2 2 2 6 10" xfId="43506"/>
    <cellStyle name="Normal 3 2 2 2 2 2 6 11" xfId="47538"/>
    <cellStyle name="Normal 3 2 2 2 2 2 6 12" xfId="51617"/>
    <cellStyle name="Normal 3 2 2 2 2 2 6 2" xfId="11250"/>
    <cellStyle name="Normal 3 2 2 2 2 2 6 3" xfId="15282"/>
    <cellStyle name="Normal 3 2 2 2 2 2 6 4" xfId="19314"/>
    <cellStyle name="Normal 3 2 2 2 2 2 6 5" xfId="23346"/>
    <cellStyle name="Normal 3 2 2 2 2 2 6 6" xfId="27378"/>
    <cellStyle name="Normal 3 2 2 2 2 2 6 7" xfId="31410"/>
    <cellStyle name="Normal 3 2 2 2 2 2 6 8" xfId="35442"/>
    <cellStyle name="Normal 3 2 2 2 2 2 6 9" xfId="39474"/>
    <cellStyle name="Normal 3 2 2 2 2 2 7" xfId="9234"/>
    <cellStyle name="Normal 3 2 2 2 2 2 8" xfId="13266"/>
    <cellStyle name="Normal 3 2 2 2 2 2 9" xfId="17298"/>
    <cellStyle name="Normal 3 2 2 2 2 20" xfId="33357"/>
    <cellStyle name="Normal 3 2 2 2 2 21" xfId="37389"/>
    <cellStyle name="Normal 3 2 2 2 2 22" xfId="41421"/>
    <cellStyle name="Normal 3 2 2 2 2 23" xfId="45453"/>
    <cellStyle name="Normal 3 2 2 2 2 24" xfId="49531"/>
    <cellStyle name="Normal 3 2 2 2 2 3" xfId="1686"/>
    <cellStyle name="Normal 3 2 2 2 2 3 10" xfId="33647"/>
    <cellStyle name="Normal 3 2 2 2 2 3 11" xfId="37679"/>
    <cellStyle name="Normal 3 2 2 2 2 3 12" xfId="41711"/>
    <cellStyle name="Normal 3 2 2 2 2 3 13" xfId="45743"/>
    <cellStyle name="Normal 3 2 2 2 2 3 14" xfId="49821"/>
    <cellStyle name="Normal 3 2 2 2 2 3 2" xfId="5362"/>
    <cellStyle name="Normal 3 2 2 2 2 3 2 10" xfId="38630"/>
    <cellStyle name="Normal 3 2 2 2 2 3 2 11" xfId="42662"/>
    <cellStyle name="Normal 3 2 2 2 2 3 2 12" xfId="46694"/>
    <cellStyle name="Normal 3 2 2 2 2 3 2 13" xfId="50773"/>
    <cellStyle name="Normal 3 2 2 2 2 3 2 2" xfId="8388"/>
    <cellStyle name="Normal 3 2 2 2 2 3 2 2 10" xfId="44678"/>
    <cellStyle name="Normal 3 2 2 2 2 3 2 2 11" xfId="48710"/>
    <cellStyle name="Normal 3 2 2 2 2 3 2 2 12" xfId="52789"/>
    <cellStyle name="Normal 3 2 2 2 2 3 2 2 2" xfId="12422"/>
    <cellStyle name="Normal 3 2 2 2 2 3 2 2 3" xfId="16454"/>
    <cellStyle name="Normal 3 2 2 2 2 3 2 2 4" xfId="20486"/>
    <cellStyle name="Normal 3 2 2 2 2 3 2 2 5" xfId="24518"/>
    <cellStyle name="Normal 3 2 2 2 2 3 2 2 6" xfId="28550"/>
    <cellStyle name="Normal 3 2 2 2 2 3 2 2 7" xfId="32582"/>
    <cellStyle name="Normal 3 2 2 2 2 3 2 2 8" xfId="36614"/>
    <cellStyle name="Normal 3 2 2 2 2 3 2 2 9" xfId="40646"/>
    <cellStyle name="Normal 3 2 2 2 2 3 2 3" xfId="10406"/>
    <cellStyle name="Normal 3 2 2 2 2 3 2 4" xfId="14438"/>
    <cellStyle name="Normal 3 2 2 2 2 3 2 5" xfId="18470"/>
    <cellStyle name="Normal 3 2 2 2 2 3 2 6" xfId="22502"/>
    <cellStyle name="Normal 3 2 2 2 2 3 2 7" xfId="26534"/>
    <cellStyle name="Normal 3 2 2 2 2 3 2 8" xfId="30566"/>
    <cellStyle name="Normal 3 2 2 2 2 3 2 9" xfId="34598"/>
    <cellStyle name="Normal 3 2 2 2 2 3 3" xfId="7437"/>
    <cellStyle name="Normal 3 2 2 2 2 3 3 10" xfId="43727"/>
    <cellStyle name="Normal 3 2 2 2 2 3 3 11" xfId="47759"/>
    <cellStyle name="Normal 3 2 2 2 2 3 3 12" xfId="51838"/>
    <cellStyle name="Normal 3 2 2 2 2 3 3 2" xfId="11471"/>
    <cellStyle name="Normal 3 2 2 2 2 3 3 3" xfId="15503"/>
    <cellStyle name="Normal 3 2 2 2 2 3 3 4" xfId="19535"/>
    <cellStyle name="Normal 3 2 2 2 2 3 3 5" xfId="23567"/>
    <cellStyle name="Normal 3 2 2 2 2 3 3 6" xfId="27599"/>
    <cellStyle name="Normal 3 2 2 2 2 3 3 7" xfId="31631"/>
    <cellStyle name="Normal 3 2 2 2 2 3 3 8" xfId="35663"/>
    <cellStyle name="Normal 3 2 2 2 2 3 3 9" xfId="39695"/>
    <cellStyle name="Normal 3 2 2 2 2 3 4" xfId="9455"/>
    <cellStyle name="Normal 3 2 2 2 2 3 5" xfId="13487"/>
    <cellStyle name="Normal 3 2 2 2 2 3 6" xfId="17519"/>
    <cellStyle name="Normal 3 2 2 2 2 3 7" xfId="21551"/>
    <cellStyle name="Normal 3 2 2 2 2 3 8" xfId="25583"/>
    <cellStyle name="Normal 3 2 2 2 2 3 9" xfId="29615"/>
    <cellStyle name="Normal 3 2 2 2 2 4" xfId="1760"/>
    <cellStyle name="Normal 3 2 2 2 2 4 10" xfId="33716"/>
    <cellStyle name="Normal 3 2 2 2 2 4 11" xfId="37748"/>
    <cellStyle name="Normal 3 2 2 2 2 4 12" xfId="41780"/>
    <cellStyle name="Normal 3 2 2 2 2 4 13" xfId="45812"/>
    <cellStyle name="Normal 3 2 2 2 2 4 14" xfId="49890"/>
    <cellStyle name="Normal 3 2 2 2 2 4 2" xfId="5431"/>
    <cellStyle name="Normal 3 2 2 2 2 4 2 10" xfId="38699"/>
    <cellStyle name="Normal 3 2 2 2 2 4 2 11" xfId="42731"/>
    <cellStyle name="Normal 3 2 2 2 2 4 2 12" xfId="46763"/>
    <cellStyle name="Normal 3 2 2 2 2 4 2 13" xfId="50842"/>
    <cellStyle name="Normal 3 2 2 2 2 4 2 2" xfId="8457"/>
    <cellStyle name="Normal 3 2 2 2 2 4 2 2 10" xfId="44747"/>
    <cellStyle name="Normal 3 2 2 2 2 4 2 2 11" xfId="48779"/>
    <cellStyle name="Normal 3 2 2 2 2 4 2 2 12" xfId="52858"/>
    <cellStyle name="Normal 3 2 2 2 2 4 2 2 2" xfId="12491"/>
    <cellStyle name="Normal 3 2 2 2 2 4 2 2 3" xfId="16523"/>
    <cellStyle name="Normal 3 2 2 2 2 4 2 2 4" xfId="20555"/>
    <cellStyle name="Normal 3 2 2 2 2 4 2 2 5" xfId="24587"/>
    <cellStyle name="Normal 3 2 2 2 2 4 2 2 6" xfId="28619"/>
    <cellStyle name="Normal 3 2 2 2 2 4 2 2 7" xfId="32651"/>
    <cellStyle name="Normal 3 2 2 2 2 4 2 2 8" xfId="36683"/>
    <cellStyle name="Normal 3 2 2 2 2 4 2 2 9" xfId="40715"/>
    <cellStyle name="Normal 3 2 2 2 2 4 2 3" xfId="10475"/>
    <cellStyle name="Normal 3 2 2 2 2 4 2 4" xfId="14507"/>
    <cellStyle name="Normal 3 2 2 2 2 4 2 5" xfId="18539"/>
    <cellStyle name="Normal 3 2 2 2 2 4 2 6" xfId="22571"/>
    <cellStyle name="Normal 3 2 2 2 2 4 2 7" xfId="26603"/>
    <cellStyle name="Normal 3 2 2 2 2 4 2 8" xfId="30635"/>
    <cellStyle name="Normal 3 2 2 2 2 4 2 9" xfId="34667"/>
    <cellStyle name="Normal 3 2 2 2 2 4 3" xfId="7506"/>
    <cellStyle name="Normal 3 2 2 2 2 4 3 10" xfId="43796"/>
    <cellStyle name="Normal 3 2 2 2 2 4 3 11" xfId="47828"/>
    <cellStyle name="Normal 3 2 2 2 2 4 3 12" xfId="51907"/>
    <cellStyle name="Normal 3 2 2 2 2 4 3 2" xfId="11540"/>
    <cellStyle name="Normal 3 2 2 2 2 4 3 3" xfId="15572"/>
    <cellStyle name="Normal 3 2 2 2 2 4 3 4" xfId="19604"/>
    <cellStyle name="Normal 3 2 2 2 2 4 3 5" xfId="23636"/>
    <cellStyle name="Normal 3 2 2 2 2 4 3 6" xfId="27668"/>
    <cellStyle name="Normal 3 2 2 2 2 4 3 7" xfId="31700"/>
    <cellStyle name="Normal 3 2 2 2 2 4 3 8" xfId="35732"/>
    <cellStyle name="Normal 3 2 2 2 2 4 3 9" xfId="39764"/>
    <cellStyle name="Normal 3 2 2 2 2 4 4" xfId="9524"/>
    <cellStyle name="Normal 3 2 2 2 2 4 5" xfId="13556"/>
    <cellStyle name="Normal 3 2 2 2 2 4 6" xfId="17588"/>
    <cellStyle name="Normal 3 2 2 2 2 4 7" xfId="21620"/>
    <cellStyle name="Normal 3 2 2 2 2 4 8" xfId="25652"/>
    <cellStyle name="Normal 3 2 2 2 2 4 9" xfId="29684"/>
    <cellStyle name="Normal 3 2 2 2 2 5" xfId="4082"/>
    <cellStyle name="Normal 3 2 2 2 2 5 10" xfId="33939"/>
    <cellStyle name="Normal 3 2 2 2 2 5 11" xfId="37971"/>
    <cellStyle name="Normal 3 2 2 2 2 5 12" xfId="42003"/>
    <cellStyle name="Normal 3 2 2 2 2 5 13" xfId="46035"/>
    <cellStyle name="Normal 3 2 2 2 2 5 14" xfId="50113"/>
    <cellStyle name="Normal 3 2 2 2 2 5 2" xfId="6664"/>
    <cellStyle name="Normal 3 2 2 2 2 5 2 10" xfId="38922"/>
    <cellStyle name="Normal 3 2 2 2 2 5 2 11" xfId="42954"/>
    <cellStyle name="Normal 3 2 2 2 2 5 2 12" xfId="46986"/>
    <cellStyle name="Normal 3 2 2 2 2 5 2 13" xfId="51065"/>
    <cellStyle name="Normal 3 2 2 2 2 5 2 2" xfId="8680"/>
    <cellStyle name="Normal 3 2 2 2 2 5 2 2 10" xfId="44970"/>
    <cellStyle name="Normal 3 2 2 2 2 5 2 2 11" xfId="49002"/>
    <cellStyle name="Normal 3 2 2 2 2 5 2 2 12" xfId="53081"/>
    <cellStyle name="Normal 3 2 2 2 2 5 2 2 2" xfId="12714"/>
    <cellStyle name="Normal 3 2 2 2 2 5 2 2 3" xfId="16746"/>
    <cellStyle name="Normal 3 2 2 2 2 5 2 2 4" xfId="20778"/>
    <cellStyle name="Normal 3 2 2 2 2 5 2 2 5" xfId="24810"/>
    <cellStyle name="Normal 3 2 2 2 2 5 2 2 6" xfId="28842"/>
    <cellStyle name="Normal 3 2 2 2 2 5 2 2 7" xfId="32874"/>
    <cellStyle name="Normal 3 2 2 2 2 5 2 2 8" xfId="36906"/>
    <cellStyle name="Normal 3 2 2 2 2 5 2 2 9" xfId="40938"/>
    <cellStyle name="Normal 3 2 2 2 2 5 2 3" xfId="10698"/>
    <cellStyle name="Normal 3 2 2 2 2 5 2 4" xfId="14730"/>
    <cellStyle name="Normal 3 2 2 2 2 5 2 5" xfId="18762"/>
    <cellStyle name="Normal 3 2 2 2 2 5 2 6" xfId="22794"/>
    <cellStyle name="Normal 3 2 2 2 2 5 2 7" xfId="26826"/>
    <cellStyle name="Normal 3 2 2 2 2 5 2 8" xfId="30858"/>
    <cellStyle name="Normal 3 2 2 2 2 5 2 9" xfId="34890"/>
    <cellStyle name="Normal 3 2 2 2 2 5 3" xfId="7729"/>
    <cellStyle name="Normal 3 2 2 2 2 5 3 10" xfId="44019"/>
    <cellStyle name="Normal 3 2 2 2 2 5 3 11" xfId="48051"/>
    <cellStyle name="Normal 3 2 2 2 2 5 3 12" xfId="52130"/>
    <cellStyle name="Normal 3 2 2 2 2 5 3 2" xfId="11763"/>
    <cellStyle name="Normal 3 2 2 2 2 5 3 3" xfId="15795"/>
    <cellStyle name="Normal 3 2 2 2 2 5 3 4" xfId="19827"/>
    <cellStyle name="Normal 3 2 2 2 2 5 3 5" xfId="23859"/>
    <cellStyle name="Normal 3 2 2 2 2 5 3 6" xfId="27891"/>
    <cellStyle name="Normal 3 2 2 2 2 5 3 7" xfId="31923"/>
    <cellStyle name="Normal 3 2 2 2 2 5 3 8" xfId="35955"/>
    <cellStyle name="Normal 3 2 2 2 2 5 3 9" xfId="39987"/>
    <cellStyle name="Normal 3 2 2 2 2 5 4" xfId="9747"/>
    <cellStyle name="Normal 3 2 2 2 2 5 5" xfId="13779"/>
    <cellStyle name="Normal 3 2 2 2 2 5 6" xfId="17811"/>
    <cellStyle name="Normal 3 2 2 2 2 5 7" xfId="21843"/>
    <cellStyle name="Normal 3 2 2 2 2 5 8" xfId="25875"/>
    <cellStyle name="Normal 3 2 2 2 2 5 9" xfId="29907"/>
    <cellStyle name="Normal 3 2 2 2 2 6" xfId="4152"/>
    <cellStyle name="Normal 3 2 2 2 2 6 10" xfId="34008"/>
    <cellStyle name="Normal 3 2 2 2 2 6 11" xfId="38040"/>
    <cellStyle name="Normal 3 2 2 2 2 6 12" xfId="42072"/>
    <cellStyle name="Normal 3 2 2 2 2 6 13" xfId="46104"/>
    <cellStyle name="Normal 3 2 2 2 2 6 14" xfId="50182"/>
    <cellStyle name="Normal 3 2 2 2 2 6 2" xfId="6733"/>
    <cellStyle name="Normal 3 2 2 2 2 6 2 10" xfId="38991"/>
    <cellStyle name="Normal 3 2 2 2 2 6 2 11" xfId="43023"/>
    <cellStyle name="Normal 3 2 2 2 2 6 2 12" xfId="47055"/>
    <cellStyle name="Normal 3 2 2 2 2 6 2 13" xfId="51134"/>
    <cellStyle name="Normal 3 2 2 2 2 6 2 2" xfId="8749"/>
    <cellStyle name="Normal 3 2 2 2 2 6 2 2 10" xfId="45039"/>
    <cellStyle name="Normal 3 2 2 2 2 6 2 2 11" xfId="49071"/>
    <cellStyle name="Normal 3 2 2 2 2 6 2 2 12" xfId="53150"/>
    <cellStyle name="Normal 3 2 2 2 2 6 2 2 2" xfId="12783"/>
    <cellStyle name="Normal 3 2 2 2 2 6 2 2 3" xfId="16815"/>
    <cellStyle name="Normal 3 2 2 2 2 6 2 2 4" xfId="20847"/>
    <cellStyle name="Normal 3 2 2 2 2 6 2 2 5" xfId="24879"/>
    <cellStyle name="Normal 3 2 2 2 2 6 2 2 6" xfId="28911"/>
    <cellStyle name="Normal 3 2 2 2 2 6 2 2 7" xfId="32943"/>
    <cellStyle name="Normal 3 2 2 2 2 6 2 2 8" xfId="36975"/>
    <cellStyle name="Normal 3 2 2 2 2 6 2 2 9" xfId="41007"/>
    <cellStyle name="Normal 3 2 2 2 2 6 2 3" xfId="10767"/>
    <cellStyle name="Normal 3 2 2 2 2 6 2 4" xfId="14799"/>
    <cellStyle name="Normal 3 2 2 2 2 6 2 5" xfId="18831"/>
    <cellStyle name="Normal 3 2 2 2 2 6 2 6" xfId="22863"/>
    <cellStyle name="Normal 3 2 2 2 2 6 2 7" xfId="26895"/>
    <cellStyle name="Normal 3 2 2 2 2 6 2 8" xfId="30927"/>
    <cellStyle name="Normal 3 2 2 2 2 6 2 9" xfId="34959"/>
    <cellStyle name="Normal 3 2 2 2 2 6 3" xfId="7798"/>
    <cellStyle name="Normal 3 2 2 2 2 6 3 10" xfId="44088"/>
    <cellStyle name="Normal 3 2 2 2 2 6 3 11" xfId="48120"/>
    <cellStyle name="Normal 3 2 2 2 2 6 3 12" xfId="52199"/>
    <cellStyle name="Normal 3 2 2 2 2 6 3 2" xfId="11832"/>
    <cellStyle name="Normal 3 2 2 2 2 6 3 3" xfId="15864"/>
    <cellStyle name="Normal 3 2 2 2 2 6 3 4" xfId="19896"/>
    <cellStyle name="Normal 3 2 2 2 2 6 3 5" xfId="23928"/>
    <cellStyle name="Normal 3 2 2 2 2 6 3 6" xfId="27960"/>
    <cellStyle name="Normal 3 2 2 2 2 6 3 7" xfId="31992"/>
    <cellStyle name="Normal 3 2 2 2 2 6 3 8" xfId="36024"/>
    <cellStyle name="Normal 3 2 2 2 2 6 3 9" xfId="40056"/>
    <cellStyle name="Normal 3 2 2 2 2 6 4" xfId="9816"/>
    <cellStyle name="Normal 3 2 2 2 2 6 5" xfId="13848"/>
    <cellStyle name="Normal 3 2 2 2 2 6 6" xfId="17880"/>
    <cellStyle name="Normal 3 2 2 2 2 6 7" xfId="21912"/>
    <cellStyle name="Normal 3 2 2 2 2 6 8" xfId="25944"/>
    <cellStyle name="Normal 3 2 2 2 2 6 9" xfId="29976"/>
    <cellStyle name="Normal 3 2 2 2 2 7" xfId="4221"/>
    <cellStyle name="Normal 3 2 2 2 2 7 10" xfId="34077"/>
    <cellStyle name="Normal 3 2 2 2 2 7 11" xfId="38109"/>
    <cellStyle name="Normal 3 2 2 2 2 7 12" xfId="42141"/>
    <cellStyle name="Normal 3 2 2 2 2 7 13" xfId="46173"/>
    <cellStyle name="Normal 3 2 2 2 2 7 14" xfId="50251"/>
    <cellStyle name="Normal 3 2 2 2 2 7 2" xfId="6802"/>
    <cellStyle name="Normal 3 2 2 2 2 7 2 10" xfId="39060"/>
    <cellStyle name="Normal 3 2 2 2 2 7 2 11" xfId="43092"/>
    <cellStyle name="Normal 3 2 2 2 2 7 2 12" xfId="47124"/>
    <cellStyle name="Normal 3 2 2 2 2 7 2 13" xfId="51203"/>
    <cellStyle name="Normal 3 2 2 2 2 7 2 2" xfId="8818"/>
    <cellStyle name="Normal 3 2 2 2 2 7 2 2 10" xfId="45108"/>
    <cellStyle name="Normal 3 2 2 2 2 7 2 2 11" xfId="49140"/>
    <cellStyle name="Normal 3 2 2 2 2 7 2 2 12" xfId="53219"/>
    <cellStyle name="Normal 3 2 2 2 2 7 2 2 2" xfId="12852"/>
    <cellStyle name="Normal 3 2 2 2 2 7 2 2 3" xfId="16884"/>
    <cellStyle name="Normal 3 2 2 2 2 7 2 2 4" xfId="20916"/>
    <cellStyle name="Normal 3 2 2 2 2 7 2 2 5" xfId="24948"/>
    <cellStyle name="Normal 3 2 2 2 2 7 2 2 6" xfId="28980"/>
    <cellStyle name="Normal 3 2 2 2 2 7 2 2 7" xfId="33012"/>
    <cellStyle name="Normal 3 2 2 2 2 7 2 2 8" xfId="37044"/>
    <cellStyle name="Normal 3 2 2 2 2 7 2 2 9" xfId="41076"/>
    <cellStyle name="Normal 3 2 2 2 2 7 2 3" xfId="10836"/>
    <cellStyle name="Normal 3 2 2 2 2 7 2 4" xfId="14868"/>
    <cellStyle name="Normal 3 2 2 2 2 7 2 5" xfId="18900"/>
    <cellStyle name="Normal 3 2 2 2 2 7 2 6" xfId="22932"/>
    <cellStyle name="Normal 3 2 2 2 2 7 2 7" xfId="26964"/>
    <cellStyle name="Normal 3 2 2 2 2 7 2 8" xfId="30996"/>
    <cellStyle name="Normal 3 2 2 2 2 7 2 9" xfId="35028"/>
    <cellStyle name="Normal 3 2 2 2 2 7 3" xfId="7867"/>
    <cellStyle name="Normal 3 2 2 2 2 7 3 10" xfId="44157"/>
    <cellStyle name="Normal 3 2 2 2 2 7 3 11" xfId="48189"/>
    <cellStyle name="Normal 3 2 2 2 2 7 3 12" xfId="52268"/>
    <cellStyle name="Normal 3 2 2 2 2 7 3 2" xfId="11901"/>
    <cellStyle name="Normal 3 2 2 2 2 7 3 3" xfId="15933"/>
    <cellStyle name="Normal 3 2 2 2 2 7 3 4" xfId="19965"/>
    <cellStyle name="Normal 3 2 2 2 2 7 3 5" xfId="23997"/>
    <cellStyle name="Normal 3 2 2 2 2 7 3 6" xfId="28029"/>
    <cellStyle name="Normal 3 2 2 2 2 7 3 7" xfId="32061"/>
    <cellStyle name="Normal 3 2 2 2 2 7 3 8" xfId="36093"/>
    <cellStyle name="Normal 3 2 2 2 2 7 3 9" xfId="40125"/>
    <cellStyle name="Normal 3 2 2 2 2 7 4" xfId="9885"/>
    <cellStyle name="Normal 3 2 2 2 2 7 5" xfId="13917"/>
    <cellStyle name="Normal 3 2 2 2 2 7 6" xfId="17949"/>
    <cellStyle name="Normal 3 2 2 2 2 7 7" xfId="21981"/>
    <cellStyle name="Normal 3 2 2 2 2 7 8" xfId="26013"/>
    <cellStyle name="Normal 3 2 2 2 2 7 9" xfId="30045"/>
    <cellStyle name="Normal 3 2 2 2 2 8" xfId="4294"/>
    <cellStyle name="Normal 3 2 2 2 2 8 10" xfId="34146"/>
    <cellStyle name="Normal 3 2 2 2 2 8 11" xfId="38178"/>
    <cellStyle name="Normal 3 2 2 2 2 8 12" xfId="42210"/>
    <cellStyle name="Normal 3 2 2 2 2 8 13" xfId="46242"/>
    <cellStyle name="Normal 3 2 2 2 2 8 14" xfId="50320"/>
    <cellStyle name="Normal 3 2 2 2 2 8 2" xfId="6871"/>
    <cellStyle name="Normal 3 2 2 2 2 8 2 10" xfId="39129"/>
    <cellStyle name="Normal 3 2 2 2 2 8 2 11" xfId="43161"/>
    <cellStyle name="Normal 3 2 2 2 2 8 2 12" xfId="47193"/>
    <cellStyle name="Normal 3 2 2 2 2 8 2 13" xfId="51272"/>
    <cellStyle name="Normal 3 2 2 2 2 8 2 2" xfId="8887"/>
    <cellStyle name="Normal 3 2 2 2 2 8 2 2 10" xfId="45177"/>
    <cellStyle name="Normal 3 2 2 2 2 8 2 2 11" xfId="49209"/>
    <cellStyle name="Normal 3 2 2 2 2 8 2 2 12" xfId="53288"/>
    <cellStyle name="Normal 3 2 2 2 2 8 2 2 2" xfId="12921"/>
    <cellStyle name="Normal 3 2 2 2 2 8 2 2 3" xfId="16953"/>
    <cellStyle name="Normal 3 2 2 2 2 8 2 2 4" xfId="20985"/>
    <cellStyle name="Normal 3 2 2 2 2 8 2 2 5" xfId="25017"/>
    <cellStyle name="Normal 3 2 2 2 2 8 2 2 6" xfId="29049"/>
    <cellStyle name="Normal 3 2 2 2 2 8 2 2 7" xfId="33081"/>
    <cellStyle name="Normal 3 2 2 2 2 8 2 2 8" xfId="37113"/>
    <cellStyle name="Normal 3 2 2 2 2 8 2 2 9" xfId="41145"/>
    <cellStyle name="Normal 3 2 2 2 2 8 2 3" xfId="10905"/>
    <cellStyle name="Normal 3 2 2 2 2 8 2 4" xfId="14937"/>
    <cellStyle name="Normal 3 2 2 2 2 8 2 5" xfId="18969"/>
    <cellStyle name="Normal 3 2 2 2 2 8 2 6" xfId="23001"/>
    <cellStyle name="Normal 3 2 2 2 2 8 2 7" xfId="27033"/>
    <cellStyle name="Normal 3 2 2 2 2 8 2 8" xfId="31065"/>
    <cellStyle name="Normal 3 2 2 2 2 8 2 9" xfId="35097"/>
    <cellStyle name="Normal 3 2 2 2 2 8 3" xfId="7936"/>
    <cellStyle name="Normal 3 2 2 2 2 8 3 10" xfId="44226"/>
    <cellStyle name="Normal 3 2 2 2 2 8 3 11" xfId="48258"/>
    <cellStyle name="Normal 3 2 2 2 2 8 3 12" xfId="52337"/>
    <cellStyle name="Normal 3 2 2 2 2 8 3 2" xfId="11970"/>
    <cellStyle name="Normal 3 2 2 2 2 8 3 3" xfId="16002"/>
    <cellStyle name="Normal 3 2 2 2 2 8 3 4" xfId="20034"/>
    <cellStyle name="Normal 3 2 2 2 2 8 3 5" xfId="24066"/>
    <cellStyle name="Normal 3 2 2 2 2 8 3 6" xfId="28098"/>
    <cellStyle name="Normal 3 2 2 2 2 8 3 7" xfId="32130"/>
    <cellStyle name="Normal 3 2 2 2 2 8 3 8" xfId="36162"/>
    <cellStyle name="Normal 3 2 2 2 2 8 3 9" xfId="40194"/>
    <cellStyle name="Normal 3 2 2 2 2 8 4" xfId="9954"/>
    <cellStyle name="Normal 3 2 2 2 2 8 5" xfId="13986"/>
    <cellStyle name="Normal 3 2 2 2 2 8 6" xfId="18018"/>
    <cellStyle name="Normal 3 2 2 2 2 8 7" xfId="22050"/>
    <cellStyle name="Normal 3 2 2 2 2 8 8" xfId="26082"/>
    <cellStyle name="Normal 3 2 2 2 2 8 9" xfId="30114"/>
    <cellStyle name="Normal 3 2 2 2 2 9" xfId="4440"/>
    <cellStyle name="Normal 3 2 2 2 2 9 10" xfId="34284"/>
    <cellStyle name="Normal 3 2 2 2 2 9 11" xfId="38316"/>
    <cellStyle name="Normal 3 2 2 2 2 9 12" xfId="42348"/>
    <cellStyle name="Normal 3 2 2 2 2 9 13" xfId="46380"/>
    <cellStyle name="Normal 3 2 2 2 2 9 14" xfId="50459"/>
    <cellStyle name="Normal 3 2 2 2 2 9 2" xfId="7009"/>
    <cellStyle name="Normal 3 2 2 2 2 9 2 10" xfId="39267"/>
    <cellStyle name="Normal 3 2 2 2 2 9 2 11" xfId="43299"/>
    <cellStyle name="Normal 3 2 2 2 2 9 2 12" xfId="47331"/>
    <cellStyle name="Normal 3 2 2 2 2 9 2 13" xfId="51410"/>
    <cellStyle name="Normal 3 2 2 2 2 9 2 2" xfId="9025"/>
    <cellStyle name="Normal 3 2 2 2 2 9 2 2 10" xfId="45315"/>
    <cellStyle name="Normal 3 2 2 2 2 9 2 2 11" xfId="49347"/>
    <cellStyle name="Normal 3 2 2 2 2 9 2 2 12" xfId="53426"/>
    <cellStyle name="Normal 3 2 2 2 2 9 2 2 2" xfId="13059"/>
    <cellStyle name="Normal 3 2 2 2 2 9 2 2 3" xfId="17091"/>
    <cellStyle name="Normal 3 2 2 2 2 9 2 2 4" xfId="21123"/>
    <cellStyle name="Normal 3 2 2 2 2 9 2 2 5" xfId="25155"/>
    <cellStyle name="Normal 3 2 2 2 2 9 2 2 6" xfId="29187"/>
    <cellStyle name="Normal 3 2 2 2 2 9 2 2 7" xfId="33219"/>
    <cellStyle name="Normal 3 2 2 2 2 9 2 2 8" xfId="37251"/>
    <cellStyle name="Normal 3 2 2 2 2 9 2 2 9" xfId="41283"/>
    <cellStyle name="Normal 3 2 2 2 2 9 2 3" xfId="11043"/>
    <cellStyle name="Normal 3 2 2 2 2 9 2 4" xfId="15075"/>
    <cellStyle name="Normal 3 2 2 2 2 9 2 5" xfId="19107"/>
    <cellStyle name="Normal 3 2 2 2 2 9 2 6" xfId="23139"/>
    <cellStyle name="Normal 3 2 2 2 2 9 2 7" xfId="27171"/>
    <cellStyle name="Normal 3 2 2 2 2 9 2 8" xfId="31203"/>
    <cellStyle name="Normal 3 2 2 2 2 9 2 9" xfId="35235"/>
    <cellStyle name="Normal 3 2 2 2 2 9 3" xfId="8074"/>
    <cellStyle name="Normal 3 2 2 2 2 9 3 10" xfId="44364"/>
    <cellStyle name="Normal 3 2 2 2 2 9 3 11" xfId="48396"/>
    <cellStyle name="Normal 3 2 2 2 2 9 3 12" xfId="52475"/>
    <cellStyle name="Normal 3 2 2 2 2 9 3 2" xfId="12108"/>
    <cellStyle name="Normal 3 2 2 2 2 9 3 3" xfId="16140"/>
    <cellStyle name="Normal 3 2 2 2 2 9 3 4" xfId="20172"/>
    <cellStyle name="Normal 3 2 2 2 2 9 3 5" xfId="24204"/>
    <cellStyle name="Normal 3 2 2 2 2 9 3 6" xfId="28236"/>
    <cellStyle name="Normal 3 2 2 2 2 9 3 7" xfId="32268"/>
    <cellStyle name="Normal 3 2 2 2 2 9 3 8" xfId="36300"/>
    <cellStyle name="Normal 3 2 2 2 2 9 3 9" xfId="40332"/>
    <cellStyle name="Normal 3 2 2 2 2 9 4" xfId="10092"/>
    <cellStyle name="Normal 3 2 2 2 2 9 5" xfId="14124"/>
    <cellStyle name="Normal 3 2 2 2 2 9 6" xfId="18156"/>
    <cellStyle name="Normal 3 2 2 2 2 9 7" xfId="22188"/>
    <cellStyle name="Normal 3 2 2 2 2 9 8" xfId="26220"/>
    <cellStyle name="Normal 3 2 2 2 2 9 9" xfId="30252"/>
    <cellStyle name="Normal 3 2 2 2 20" xfId="21210"/>
    <cellStyle name="Normal 3 2 2 2 21" xfId="25242"/>
    <cellStyle name="Normal 3 2 2 2 22" xfId="29274"/>
    <cellStyle name="Normal 3 2 2 2 23" xfId="33306"/>
    <cellStyle name="Normal 3 2 2 2 24" xfId="37338"/>
    <cellStyle name="Normal 3 2 2 2 25" xfId="41370"/>
    <cellStyle name="Normal 3 2 2 2 26" xfId="45402"/>
    <cellStyle name="Normal 3 2 2 2 27" xfId="49480"/>
    <cellStyle name="Normal 3 2 2 2 3" xfId="82"/>
    <cellStyle name="Normal 3 2 2 2 3 10" xfId="4562"/>
    <cellStyle name="Normal 3 2 2 2 3 10 10" xfId="38438"/>
    <cellStyle name="Normal 3 2 2 2 3 10 11" xfId="42470"/>
    <cellStyle name="Normal 3 2 2 2 3 10 12" xfId="46502"/>
    <cellStyle name="Normal 3 2 2 2 3 10 13" xfId="50581"/>
    <cellStyle name="Normal 3 2 2 2 3 10 2" xfId="8196"/>
    <cellStyle name="Normal 3 2 2 2 3 10 2 10" xfId="44486"/>
    <cellStyle name="Normal 3 2 2 2 3 10 2 11" xfId="48518"/>
    <cellStyle name="Normal 3 2 2 2 3 10 2 12" xfId="52597"/>
    <cellStyle name="Normal 3 2 2 2 3 10 2 2" xfId="12230"/>
    <cellStyle name="Normal 3 2 2 2 3 10 2 3" xfId="16262"/>
    <cellStyle name="Normal 3 2 2 2 3 10 2 4" xfId="20294"/>
    <cellStyle name="Normal 3 2 2 2 3 10 2 5" xfId="24326"/>
    <cellStyle name="Normal 3 2 2 2 3 10 2 6" xfId="28358"/>
    <cellStyle name="Normal 3 2 2 2 3 10 2 7" xfId="32390"/>
    <cellStyle name="Normal 3 2 2 2 3 10 2 8" xfId="36422"/>
    <cellStyle name="Normal 3 2 2 2 3 10 2 9" xfId="40454"/>
    <cellStyle name="Normal 3 2 2 2 3 10 3" xfId="10214"/>
    <cellStyle name="Normal 3 2 2 2 3 10 4" xfId="14246"/>
    <cellStyle name="Normal 3 2 2 2 3 10 5" xfId="18278"/>
    <cellStyle name="Normal 3 2 2 2 3 10 6" xfId="22310"/>
    <cellStyle name="Normal 3 2 2 2 3 10 7" xfId="26342"/>
    <cellStyle name="Normal 3 2 2 2 3 10 8" xfId="30374"/>
    <cellStyle name="Normal 3 2 2 2 3 10 9" xfId="34406"/>
    <cellStyle name="Normal 3 2 2 2 3 11" xfId="290"/>
    <cellStyle name="Normal 3 2 2 2 3 11 10" xfId="37495"/>
    <cellStyle name="Normal 3 2 2 2 3 11 11" xfId="41527"/>
    <cellStyle name="Normal 3 2 2 2 3 11 12" xfId="45559"/>
    <cellStyle name="Normal 3 2 2 2 3 11 13" xfId="49637"/>
    <cellStyle name="Normal 3 2 2 2 3 11 2" xfId="7253"/>
    <cellStyle name="Normal 3 2 2 2 3 11 2 10" xfId="43543"/>
    <cellStyle name="Normal 3 2 2 2 3 11 2 11" xfId="47575"/>
    <cellStyle name="Normal 3 2 2 2 3 11 2 12" xfId="51654"/>
    <cellStyle name="Normal 3 2 2 2 3 11 2 2" xfId="11287"/>
    <cellStyle name="Normal 3 2 2 2 3 11 2 3" xfId="15319"/>
    <cellStyle name="Normal 3 2 2 2 3 11 2 4" xfId="19351"/>
    <cellStyle name="Normal 3 2 2 2 3 11 2 5" xfId="23383"/>
    <cellStyle name="Normal 3 2 2 2 3 11 2 6" xfId="27415"/>
    <cellStyle name="Normal 3 2 2 2 3 11 2 7" xfId="31447"/>
    <cellStyle name="Normal 3 2 2 2 3 11 2 8" xfId="35479"/>
    <cellStyle name="Normal 3 2 2 2 3 11 2 9" xfId="39511"/>
    <cellStyle name="Normal 3 2 2 2 3 11 3" xfId="9271"/>
    <cellStyle name="Normal 3 2 2 2 3 11 4" xfId="13303"/>
    <cellStyle name="Normal 3 2 2 2 3 11 5" xfId="17335"/>
    <cellStyle name="Normal 3 2 2 2 3 11 6" xfId="21367"/>
    <cellStyle name="Normal 3 2 2 2 3 11 7" xfId="25399"/>
    <cellStyle name="Normal 3 2 2 2 3 11 8" xfId="29431"/>
    <cellStyle name="Normal 3 2 2 2 3 11 9" xfId="33463"/>
    <cellStyle name="Normal 3 2 2 2 3 12" xfId="7131"/>
    <cellStyle name="Normal 3 2 2 2 3 12 10" xfId="43421"/>
    <cellStyle name="Normal 3 2 2 2 3 12 11" xfId="47453"/>
    <cellStyle name="Normal 3 2 2 2 3 12 12" xfId="51532"/>
    <cellStyle name="Normal 3 2 2 2 3 12 2" xfId="11165"/>
    <cellStyle name="Normal 3 2 2 2 3 12 3" xfId="15197"/>
    <cellStyle name="Normal 3 2 2 2 3 12 4" xfId="19229"/>
    <cellStyle name="Normal 3 2 2 2 3 12 5" xfId="23261"/>
    <cellStyle name="Normal 3 2 2 2 3 12 6" xfId="27293"/>
    <cellStyle name="Normal 3 2 2 2 3 12 7" xfId="31325"/>
    <cellStyle name="Normal 3 2 2 2 3 12 8" xfId="35357"/>
    <cellStyle name="Normal 3 2 2 2 3 12 9" xfId="39389"/>
    <cellStyle name="Normal 3 2 2 2 3 13" xfId="157"/>
    <cellStyle name="Normal 3 2 2 2 3 14" xfId="9149"/>
    <cellStyle name="Normal 3 2 2 2 3 15" xfId="13181"/>
    <cellStyle name="Normal 3 2 2 2 3 16" xfId="17213"/>
    <cellStyle name="Normal 3 2 2 2 3 17" xfId="21245"/>
    <cellStyle name="Normal 3 2 2 2 3 18" xfId="25277"/>
    <cellStyle name="Normal 3 2 2 2 3 19" xfId="29309"/>
    <cellStyle name="Normal 3 2 2 2 3 2" xfId="236"/>
    <cellStyle name="Normal 3 2 2 2 3 2 10" xfId="21314"/>
    <cellStyle name="Normal 3 2 2 2 3 2 11" xfId="25346"/>
    <cellStyle name="Normal 3 2 2 2 3 2 12" xfId="29378"/>
    <cellStyle name="Normal 3 2 2 2 3 2 13" xfId="33410"/>
    <cellStyle name="Normal 3 2 2 2 3 2 14" xfId="37442"/>
    <cellStyle name="Normal 3 2 2 2 3 2 15" xfId="41474"/>
    <cellStyle name="Normal 3 2 2 2 3 2 16" xfId="45506"/>
    <cellStyle name="Normal 3 2 2 2 3 2 17" xfId="49584"/>
    <cellStyle name="Normal 3 2 2 2 3 2 2" xfId="4354"/>
    <cellStyle name="Normal 3 2 2 2 3 2 2 10" xfId="34199"/>
    <cellStyle name="Normal 3 2 2 2 3 2 2 11" xfId="38231"/>
    <cellStyle name="Normal 3 2 2 2 3 2 2 12" xfId="42263"/>
    <cellStyle name="Normal 3 2 2 2 3 2 2 13" xfId="46295"/>
    <cellStyle name="Normal 3 2 2 2 3 2 2 14" xfId="50374"/>
    <cellStyle name="Normal 3 2 2 2 3 2 2 2" xfId="6924"/>
    <cellStyle name="Normal 3 2 2 2 3 2 2 2 10" xfId="39182"/>
    <cellStyle name="Normal 3 2 2 2 3 2 2 2 11" xfId="43214"/>
    <cellStyle name="Normal 3 2 2 2 3 2 2 2 12" xfId="47246"/>
    <cellStyle name="Normal 3 2 2 2 3 2 2 2 13" xfId="51325"/>
    <cellStyle name="Normal 3 2 2 2 3 2 2 2 2" xfId="8940"/>
    <cellStyle name="Normal 3 2 2 2 3 2 2 2 2 10" xfId="45230"/>
    <cellStyle name="Normal 3 2 2 2 3 2 2 2 2 11" xfId="49262"/>
    <cellStyle name="Normal 3 2 2 2 3 2 2 2 2 12" xfId="53341"/>
    <cellStyle name="Normal 3 2 2 2 3 2 2 2 2 2" xfId="12974"/>
    <cellStyle name="Normal 3 2 2 2 3 2 2 2 2 3" xfId="17006"/>
    <cellStyle name="Normal 3 2 2 2 3 2 2 2 2 4" xfId="21038"/>
    <cellStyle name="Normal 3 2 2 2 3 2 2 2 2 5" xfId="25070"/>
    <cellStyle name="Normal 3 2 2 2 3 2 2 2 2 6" xfId="29102"/>
    <cellStyle name="Normal 3 2 2 2 3 2 2 2 2 7" xfId="33134"/>
    <cellStyle name="Normal 3 2 2 2 3 2 2 2 2 8" xfId="37166"/>
    <cellStyle name="Normal 3 2 2 2 3 2 2 2 2 9" xfId="41198"/>
    <cellStyle name="Normal 3 2 2 2 3 2 2 2 3" xfId="10958"/>
    <cellStyle name="Normal 3 2 2 2 3 2 2 2 4" xfId="14990"/>
    <cellStyle name="Normal 3 2 2 2 3 2 2 2 5" xfId="19022"/>
    <cellStyle name="Normal 3 2 2 2 3 2 2 2 6" xfId="23054"/>
    <cellStyle name="Normal 3 2 2 2 3 2 2 2 7" xfId="27086"/>
    <cellStyle name="Normal 3 2 2 2 3 2 2 2 8" xfId="31118"/>
    <cellStyle name="Normal 3 2 2 2 3 2 2 2 9" xfId="35150"/>
    <cellStyle name="Normal 3 2 2 2 3 2 2 3" xfId="7989"/>
    <cellStyle name="Normal 3 2 2 2 3 2 2 3 10" xfId="44279"/>
    <cellStyle name="Normal 3 2 2 2 3 2 2 3 11" xfId="48311"/>
    <cellStyle name="Normal 3 2 2 2 3 2 2 3 12" xfId="52390"/>
    <cellStyle name="Normal 3 2 2 2 3 2 2 3 2" xfId="12023"/>
    <cellStyle name="Normal 3 2 2 2 3 2 2 3 3" xfId="16055"/>
    <cellStyle name="Normal 3 2 2 2 3 2 2 3 4" xfId="20087"/>
    <cellStyle name="Normal 3 2 2 2 3 2 2 3 5" xfId="24119"/>
    <cellStyle name="Normal 3 2 2 2 3 2 2 3 6" xfId="28151"/>
    <cellStyle name="Normal 3 2 2 2 3 2 2 3 7" xfId="32183"/>
    <cellStyle name="Normal 3 2 2 2 3 2 2 3 8" xfId="36215"/>
    <cellStyle name="Normal 3 2 2 2 3 2 2 3 9" xfId="40247"/>
    <cellStyle name="Normal 3 2 2 2 3 2 2 4" xfId="10007"/>
    <cellStyle name="Normal 3 2 2 2 3 2 2 5" xfId="14039"/>
    <cellStyle name="Normal 3 2 2 2 3 2 2 6" xfId="18071"/>
    <cellStyle name="Normal 3 2 2 2 3 2 2 7" xfId="22103"/>
    <cellStyle name="Normal 3 2 2 2 3 2 2 8" xfId="26135"/>
    <cellStyle name="Normal 3 2 2 2 3 2 2 9" xfId="30167"/>
    <cellStyle name="Normal 3 2 2 2 3 2 3" xfId="4493"/>
    <cellStyle name="Normal 3 2 2 2 3 2 3 10" xfId="34337"/>
    <cellStyle name="Normal 3 2 2 2 3 2 3 11" xfId="38369"/>
    <cellStyle name="Normal 3 2 2 2 3 2 3 12" xfId="42401"/>
    <cellStyle name="Normal 3 2 2 2 3 2 3 13" xfId="46433"/>
    <cellStyle name="Normal 3 2 2 2 3 2 3 14" xfId="50512"/>
    <cellStyle name="Normal 3 2 2 2 3 2 3 2" xfId="7062"/>
    <cellStyle name="Normal 3 2 2 2 3 2 3 2 10" xfId="39320"/>
    <cellStyle name="Normal 3 2 2 2 3 2 3 2 11" xfId="43352"/>
    <cellStyle name="Normal 3 2 2 2 3 2 3 2 12" xfId="47384"/>
    <cellStyle name="Normal 3 2 2 2 3 2 3 2 13" xfId="51463"/>
    <cellStyle name="Normal 3 2 2 2 3 2 3 2 2" xfId="9078"/>
    <cellStyle name="Normal 3 2 2 2 3 2 3 2 2 10" xfId="45368"/>
    <cellStyle name="Normal 3 2 2 2 3 2 3 2 2 11" xfId="49400"/>
    <cellStyle name="Normal 3 2 2 2 3 2 3 2 2 12" xfId="53479"/>
    <cellStyle name="Normal 3 2 2 2 3 2 3 2 2 2" xfId="13112"/>
    <cellStyle name="Normal 3 2 2 2 3 2 3 2 2 3" xfId="17144"/>
    <cellStyle name="Normal 3 2 2 2 3 2 3 2 2 4" xfId="21176"/>
    <cellStyle name="Normal 3 2 2 2 3 2 3 2 2 5" xfId="25208"/>
    <cellStyle name="Normal 3 2 2 2 3 2 3 2 2 6" xfId="29240"/>
    <cellStyle name="Normal 3 2 2 2 3 2 3 2 2 7" xfId="33272"/>
    <cellStyle name="Normal 3 2 2 2 3 2 3 2 2 8" xfId="37304"/>
    <cellStyle name="Normal 3 2 2 2 3 2 3 2 2 9" xfId="41336"/>
    <cellStyle name="Normal 3 2 2 2 3 2 3 2 3" xfId="11096"/>
    <cellStyle name="Normal 3 2 2 2 3 2 3 2 4" xfId="15128"/>
    <cellStyle name="Normal 3 2 2 2 3 2 3 2 5" xfId="19160"/>
    <cellStyle name="Normal 3 2 2 2 3 2 3 2 6" xfId="23192"/>
    <cellStyle name="Normal 3 2 2 2 3 2 3 2 7" xfId="27224"/>
    <cellStyle name="Normal 3 2 2 2 3 2 3 2 8" xfId="31256"/>
    <cellStyle name="Normal 3 2 2 2 3 2 3 2 9" xfId="35288"/>
    <cellStyle name="Normal 3 2 2 2 3 2 3 3" xfId="8127"/>
    <cellStyle name="Normal 3 2 2 2 3 2 3 3 10" xfId="44417"/>
    <cellStyle name="Normal 3 2 2 2 3 2 3 3 11" xfId="48449"/>
    <cellStyle name="Normal 3 2 2 2 3 2 3 3 12" xfId="52528"/>
    <cellStyle name="Normal 3 2 2 2 3 2 3 3 2" xfId="12161"/>
    <cellStyle name="Normal 3 2 2 2 3 2 3 3 3" xfId="16193"/>
    <cellStyle name="Normal 3 2 2 2 3 2 3 3 4" xfId="20225"/>
    <cellStyle name="Normal 3 2 2 2 3 2 3 3 5" xfId="24257"/>
    <cellStyle name="Normal 3 2 2 2 3 2 3 3 6" xfId="28289"/>
    <cellStyle name="Normal 3 2 2 2 3 2 3 3 7" xfId="32321"/>
    <cellStyle name="Normal 3 2 2 2 3 2 3 3 8" xfId="36353"/>
    <cellStyle name="Normal 3 2 2 2 3 2 3 3 9" xfId="40385"/>
    <cellStyle name="Normal 3 2 2 2 3 2 3 4" xfId="10145"/>
    <cellStyle name="Normal 3 2 2 2 3 2 3 5" xfId="14177"/>
    <cellStyle name="Normal 3 2 2 2 3 2 3 6" xfId="18209"/>
    <cellStyle name="Normal 3 2 2 2 3 2 3 7" xfId="22241"/>
    <cellStyle name="Normal 3 2 2 2 3 2 3 8" xfId="26273"/>
    <cellStyle name="Normal 3 2 2 2 3 2 3 9" xfId="30305"/>
    <cellStyle name="Normal 3 2 2 2 3 2 4" xfId="4633"/>
    <cellStyle name="Normal 3 2 2 2 3 2 4 10" xfId="38507"/>
    <cellStyle name="Normal 3 2 2 2 3 2 4 11" xfId="42539"/>
    <cellStyle name="Normal 3 2 2 2 3 2 4 12" xfId="46571"/>
    <cellStyle name="Normal 3 2 2 2 3 2 4 13" xfId="50650"/>
    <cellStyle name="Normal 3 2 2 2 3 2 4 2" xfId="8265"/>
    <cellStyle name="Normal 3 2 2 2 3 2 4 2 10" xfId="44555"/>
    <cellStyle name="Normal 3 2 2 2 3 2 4 2 11" xfId="48587"/>
    <cellStyle name="Normal 3 2 2 2 3 2 4 2 12" xfId="52666"/>
    <cellStyle name="Normal 3 2 2 2 3 2 4 2 2" xfId="12299"/>
    <cellStyle name="Normal 3 2 2 2 3 2 4 2 3" xfId="16331"/>
    <cellStyle name="Normal 3 2 2 2 3 2 4 2 4" xfId="20363"/>
    <cellStyle name="Normal 3 2 2 2 3 2 4 2 5" xfId="24395"/>
    <cellStyle name="Normal 3 2 2 2 3 2 4 2 6" xfId="28427"/>
    <cellStyle name="Normal 3 2 2 2 3 2 4 2 7" xfId="32459"/>
    <cellStyle name="Normal 3 2 2 2 3 2 4 2 8" xfId="36491"/>
    <cellStyle name="Normal 3 2 2 2 3 2 4 2 9" xfId="40523"/>
    <cellStyle name="Normal 3 2 2 2 3 2 4 3" xfId="10283"/>
    <cellStyle name="Normal 3 2 2 2 3 2 4 4" xfId="14315"/>
    <cellStyle name="Normal 3 2 2 2 3 2 4 5" xfId="18347"/>
    <cellStyle name="Normal 3 2 2 2 3 2 4 6" xfId="22379"/>
    <cellStyle name="Normal 3 2 2 2 3 2 4 7" xfId="26411"/>
    <cellStyle name="Normal 3 2 2 2 3 2 4 8" xfId="30443"/>
    <cellStyle name="Normal 3 2 2 2 3 2 4 9" xfId="34475"/>
    <cellStyle name="Normal 3 2 2 2 3 2 5" xfId="360"/>
    <cellStyle name="Normal 3 2 2 2 3 2 5 10" xfId="37565"/>
    <cellStyle name="Normal 3 2 2 2 3 2 5 11" xfId="41597"/>
    <cellStyle name="Normal 3 2 2 2 3 2 5 12" xfId="45629"/>
    <cellStyle name="Normal 3 2 2 2 3 2 5 13" xfId="49707"/>
    <cellStyle name="Normal 3 2 2 2 3 2 5 2" xfId="7323"/>
    <cellStyle name="Normal 3 2 2 2 3 2 5 2 10" xfId="43613"/>
    <cellStyle name="Normal 3 2 2 2 3 2 5 2 11" xfId="47645"/>
    <cellStyle name="Normal 3 2 2 2 3 2 5 2 12" xfId="51724"/>
    <cellStyle name="Normal 3 2 2 2 3 2 5 2 2" xfId="11357"/>
    <cellStyle name="Normal 3 2 2 2 3 2 5 2 3" xfId="15389"/>
    <cellStyle name="Normal 3 2 2 2 3 2 5 2 4" xfId="19421"/>
    <cellStyle name="Normal 3 2 2 2 3 2 5 2 5" xfId="23453"/>
    <cellStyle name="Normal 3 2 2 2 3 2 5 2 6" xfId="27485"/>
    <cellStyle name="Normal 3 2 2 2 3 2 5 2 7" xfId="31517"/>
    <cellStyle name="Normal 3 2 2 2 3 2 5 2 8" xfId="35549"/>
    <cellStyle name="Normal 3 2 2 2 3 2 5 2 9" xfId="39581"/>
    <cellStyle name="Normal 3 2 2 2 3 2 5 3" xfId="9341"/>
    <cellStyle name="Normal 3 2 2 2 3 2 5 4" xfId="13373"/>
    <cellStyle name="Normal 3 2 2 2 3 2 5 5" xfId="17405"/>
    <cellStyle name="Normal 3 2 2 2 3 2 5 6" xfId="21437"/>
    <cellStyle name="Normal 3 2 2 2 3 2 5 7" xfId="25469"/>
    <cellStyle name="Normal 3 2 2 2 3 2 5 8" xfId="29501"/>
    <cellStyle name="Normal 3 2 2 2 3 2 5 9" xfId="33533"/>
    <cellStyle name="Normal 3 2 2 2 3 2 6" xfId="7200"/>
    <cellStyle name="Normal 3 2 2 2 3 2 6 10" xfId="43490"/>
    <cellStyle name="Normal 3 2 2 2 3 2 6 11" xfId="47522"/>
    <cellStyle name="Normal 3 2 2 2 3 2 6 12" xfId="51601"/>
    <cellStyle name="Normal 3 2 2 2 3 2 6 2" xfId="11234"/>
    <cellStyle name="Normal 3 2 2 2 3 2 6 3" xfId="15266"/>
    <cellStyle name="Normal 3 2 2 2 3 2 6 4" xfId="19298"/>
    <cellStyle name="Normal 3 2 2 2 3 2 6 5" xfId="23330"/>
    <cellStyle name="Normal 3 2 2 2 3 2 6 6" xfId="27362"/>
    <cellStyle name="Normal 3 2 2 2 3 2 6 7" xfId="31394"/>
    <cellStyle name="Normal 3 2 2 2 3 2 6 8" xfId="35426"/>
    <cellStyle name="Normal 3 2 2 2 3 2 6 9" xfId="39458"/>
    <cellStyle name="Normal 3 2 2 2 3 2 7" xfId="9218"/>
    <cellStyle name="Normal 3 2 2 2 3 2 8" xfId="13250"/>
    <cellStyle name="Normal 3 2 2 2 3 2 9" xfId="17282"/>
    <cellStyle name="Normal 3 2 2 2 3 20" xfId="33341"/>
    <cellStyle name="Normal 3 2 2 2 3 21" xfId="37373"/>
    <cellStyle name="Normal 3 2 2 2 3 22" xfId="41405"/>
    <cellStyle name="Normal 3 2 2 2 3 23" xfId="45437"/>
    <cellStyle name="Normal 3 2 2 2 3 24" xfId="49515"/>
    <cellStyle name="Normal 3 2 2 2 3 3" xfId="1670"/>
    <cellStyle name="Normal 3 2 2 2 3 3 10" xfId="33631"/>
    <cellStyle name="Normal 3 2 2 2 3 3 11" xfId="37663"/>
    <cellStyle name="Normal 3 2 2 2 3 3 12" xfId="41695"/>
    <cellStyle name="Normal 3 2 2 2 3 3 13" xfId="45727"/>
    <cellStyle name="Normal 3 2 2 2 3 3 14" xfId="49805"/>
    <cellStyle name="Normal 3 2 2 2 3 3 2" xfId="5346"/>
    <cellStyle name="Normal 3 2 2 2 3 3 2 10" xfId="38614"/>
    <cellStyle name="Normal 3 2 2 2 3 3 2 11" xfId="42646"/>
    <cellStyle name="Normal 3 2 2 2 3 3 2 12" xfId="46678"/>
    <cellStyle name="Normal 3 2 2 2 3 3 2 13" xfId="50757"/>
    <cellStyle name="Normal 3 2 2 2 3 3 2 2" xfId="8372"/>
    <cellStyle name="Normal 3 2 2 2 3 3 2 2 10" xfId="44662"/>
    <cellStyle name="Normal 3 2 2 2 3 3 2 2 11" xfId="48694"/>
    <cellStyle name="Normal 3 2 2 2 3 3 2 2 12" xfId="52773"/>
    <cellStyle name="Normal 3 2 2 2 3 3 2 2 2" xfId="12406"/>
    <cellStyle name="Normal 3 2 2 2 3 3 2 2 3" xfId="16438"/>
    <cellStyle name="Normal 3 2 2 2 3 3 2 2 4" xfId="20470"/>
    <cellStyle name="Normal 3 2 2 2 3 3 2 2 5" xfId="24502"/>
    <cellStyle name="Normal 3 2 2 2 3 3 2 2 6" xfId="28534"/>
    <cellStyle name="Normal 3 2 2 2 3 3 2 2 7" xfId="32566"/>
    <cellStyle name="Normal 3 2 2 2 3 3 2 2 8" xfId="36598"/>
    <cellStyle name="Normal 3 2 2 2 3 3 2 2 9" xfId="40630"/>
    <cellStyle name="Normal 3 2 2 2 3 3 2 3" xfId="10390"/>
    <cellStyle name="Normal 3 2 2 2 3 3 2 4" xfId="14422"/>
    <cellStyle name="Normal 3 2 2 2 3 3 2 5" xfId="18454"/>
    <cellStyle name="Normal 3 2 2 2 3 3 2 6" xfId="22486"/>
    <cellStyle name="Normal 3 2 2 2 3 3 2 7" xfId="26518"/>
    <cellStyle name="Normal 3 2 2 2 3 3 2 8" xfId="30550"/>
    <cellStyle name="Normal 3 2 2 2 3 3 2 9" xfId="34582"/>
    <cellStyle name="Normal 3 2 2 2 3 3 3" xfId="7421"/>
    <cellStyle name="Normal 3 2 2 2 3 3 3 10" xfId="43711"/>
    <cellStyle name="Normal 3 2 2 2 3 3 3 11" xfId="47743"/>
    <cellStyle name="Normal 3 2 2 2 3 3 3 12" xfId="51822"/>
    <cellStyle name="Normal 3 2 2 2 3 3 3 2" xfId="11455"/>
    <cellStyle name="Normal 3 2 2 2 3 3 3 3" xfId="15487"/>
    <cellStyle name="Normal 3 2 2 2 3 3 3 4" xfId="19519"/>
    <cellStyle name="Normal 3 2 2 2 3 3 3 5" xfId="23551"/>
    <cellStyle name="Normal 3 2 2 2 3 3 3 6" xfId="27583"/>
    <cellStyle name="Normal 3 2 2 2 3 3 3 7" xfId="31615"/>
    <cellStyle name="Normal 3 2 2 2 3 3 3 8" xfId="35647"/>
    <cellStyle name="Normal 3 2 2 2 3 3 3 9" xfId="39679"/>
    <cellStyle name="Normal 3 2 2 2 3 3 4" xfId="9439"/>
    <cellStyle name="Normal 3 2 2 2 3 3 5" xfId="13471"/>
    <cellStyle name="Normal 3 2 2 2 3 3 6" xfId="17503"/>
    <cellStyle name="Normal 3 2 2 2 3 3 7" xfId="21535"/>
    <cellStyle name="Normal 3 2 2 2 3 3 8" xfId="25567"/>
    <cellStyle name="Normal 3 2 2 2 3 3 9" xfId="29599"/>
    <cellStyle name="Normal 3 2 2 2 3 4" xfId="1744"/>
    <cellStyle name="Normal 3 2 2 2 3 4 10" xfId="33700"/>
    <cellStyle name="Normal 3 2 2 2 3 4 11" xfId="37732"/>
    <cellStyle name="Normal 3 2 2 2 3 4 12" xfId="41764"/>
    <cellStyle name="Normal 3 2 2 2 3 4 13" xfId="45796"/>
    <cellStyle name="Normal 3 2 2 2 3 4 14" xfId="49874"/>
    <cellStyle name="Normal 3 2 2 2 3 4 2" xfId="5415"/>
    <cellStyle name="Normal 3 2 2 2 3 4 2 10" xfId="38683"/>
    <cellStyle name="Normal 3 2 2 2 3 4 2 11" xfId="42715"/>
    <cellStyle name="Normal 3 2 2 2 3 4 2 12" xfId="46747"/>
    <cellStyle name="Normal 3 2 2 2 3 4 2 13" xfId="50826"/>
    <cellStyle name="Normal 3 2 2 2 3 4 2 2" xfId="8441"/>
    <cellStyle name="Normal 3 2 2 2 3 4 2 2 10" xfId="44731"/>
    <cellStyle name="Normal 3 2 2 2 3 4 2 2 11" xfId="48763"/>
    <cellStyle name="Normal 3 2 2 2 3 4 2 2 12" xfId="52842"/>
    <cellStyle name="Normal 3 2 2 2 3 4 2 2 2" xfId="12475"/>
    <cellStyle name="Normal 3 2 2 2 3 4 2 2 3" xfId="16507"/>
    <cellStyle name="Normal 3 2 2 2 3 4 2 2 4" xfId="20539"/>
    <cellStyle name="Normal 3 2 2 2 3 4 2 2 5" xfId="24571"/>
    <cellStyle name="Normal 3 2 2 2 3 4 2 2 6" xfId="28603"/>
    <cellStyle name="Normal 3 2 2 2 3 4 2 2 7" xfId="32635"/>
    <cellStyle name="Normal 3 2 2 2 3 4 2 2 8" xfId="36667"/>
    <cellStyle name="Normal 3 2 2 2 3 4 2 2 9" xfId="40699"/>
    <cellStyle name="Normal 3 2 2 2 3 4 2 3" xfId="10459"/>
    <cellStyle name="Normal 3 2 2 2 3 4 2 4" xfId="14491"/>
    <cellStyle name="Normal 3 2 2 2 3 4 2 5" xfId="18523"/>
    <cellStyle name="Normal 3 2 2 2 3 4 2 6" xfId="22555"/>
    <cellStyle name="Normal 3 2 2 2 3 4 2 7" xfId="26587"/>
    <cellStyle name="Normal 3 2 2 2 3 4 2 8" xfId="30619"/>
    <cellStyle name="Normal 3 2 2 2 3 4 2 9" xfId="34651"/>
    <cellStyle name="Normal 3 2 2 2 3 4 3" xfId="7490"/>
    <cellStyle name="Normal 3 2 2 2 3 4 3 10" xfId="43780"/>
    <cellStyle name="Normal 3 2 2 2 3 4 3 11" xfId="47812"/>
    <cellStyle name="Normal 3 2 2 2 3 4 3 12" xfId="51891"/>
    <cellStyle name="Normal 3 2 2 2 3 4 3 2" xfId="11524"/>
    <cellStyle name="Normal 3 2 2 2 3 4 3 3" xfId="15556"/>
    <cellStyle name="Normal 3 2 2 2 3 4 3 4" xfId="19588"/>
    <cellStyle name="Normal 3 2 2 2 3 4 3 5" xfId="23620"/>
    <cellStyle name="Normal 3 2 2 2 3 4 3 6" xfId="27652"/>
    <cellStyle name="Normal 3 2 2 2 3 4 3 7" xfId="31684"/>
    <cellStyle name="Normal 3 2 2 2 3 4 3 8" xfId="35716"/>
    <cellStyle name="Normal 3 2 2 2 3 4 3 9" xfId="39748"/>
    <cellStyle name="Normal 3 2 2 2 3 4 4" xfId="9508"/>
    <cellStyle name="Normal 3 2 2 2 3 4 5" xfId="13540"/>
    <cellStyle name="Normal 3 2 2 2 3 4 6" xfId="17572"/>
    <cellStyle name="Normal 3 2 2 2 3 4 7" xfId="21604"/>
    <cellStyle name="Normal 3 2 2 2 3 4 8" xfId="25636"/>
    <cellStyle name="Normal 3 2 2 2 3 4 9" xfId="29668"/>
    <cellStyle name="Normal 3 2 2 2 3 5" xfId="4066"/>
    <cellStyle name="Normal 3 2 2 2 3 5 10" xfId="33923"/>
    <cellStyle name="Normal 3 2 2 2 3 5 11" xfId="37955"/>
    <cellStyle name="Normal 3 2 2 2 3 5 12" xfId="41987"/>
    <cellStyle name="Normal 3 2 2 2 3 5 13" xfId="46019"/>
    <cellStyle name="Normal 3 2 2 2 3 5 14" xfId="50097"/>
    <cellStyle name="Normal 3 2 2 2 3 5 2" xfId="6648"/>
    <cellStyle name="Normal 3 2 2 2 3 5 2 10" xfId="38906"/>
    <cellStyle name="Normal 3 2 2 2 3 5 2 11" xfId="42938"/>
    <cellStyle name="Normal 3 2 2 2 3 5 2 12" xfId="46970"/>
    <cellStyle name="Normal 3 2 2 2 3 5 2 13" xfId="51049"/>
    <cellStyle name="Normal 3 2 2 2 3 5 2 2" xfId="8664"/>
    <cellStyle name="Normal 3 2 2 2 3 5 2 2 10" xfId="44954"/>
    <cellStyle name="Normal 3 2 2 2 3 5 2 2 11" xfId="48986"/>
    <cellStyle name="Normal 3 2 2 2 3 5 2 2 12" xfId="53065"/>
    <cellStyle name="Normal 3 2 2 2 3 5 2 2 2" xfId="12698"/>
    <cellStyle name="Normal 3 2 2 2 3 5 2 2 3" xfId="16730"/>
    <cellStyle name="Normal 3 2 2 2 3 5 2 2 4" xfId="20762"/>
    <cellStyle name="Normal 3 2 2 2 3 5 2 2 5" xfId="24794"/>
    <cellStyle name="Normal 3 2 2 2 3 5 2 2 6" xfId="28826"/>
    <cellStyle name="Normal 3 2 2 2 3 5 2 2 7" xfId="32858"/>
    <cellStyle name="Normal 3 2 2 2 3 5 2 2 8" xfId="36890"/>
    <cellStyle name="Normal 3 2 2 2 3 5 2 2 9" xfId="40922"/>
    <cellStyle name="Normal 3 2 2 2 3 5 2 3" xfId="10682"/>
    <cellStyle name="Normal 3 2 2 2 3 5 2 4" xfId="14714"/>
    <cellStyle name="Normal 3 2 2 2 3 5 2 5" xfId="18746"/>
    <cellStyle name="Normal 3 2 2 2 3 5 2 6" xfId="22778"/>
    <cellStyle name="Normal 3 2 2 2 3 5 2 7" xfId="26810"/>
    <cellStyle name="Normal 3 2 2 2 3 5 2 8" xfId="30842"/>
    <cellStyle name="Normal 3 2 2 2 3 5 2 9" xfId="34874"/>
    <cellStyle name="Normal 3 2 2 2 3 5 3" xfId="7713"/>
    <cellStyle name="Normal 3 2 2 2 3 5 3 10" xfId="44003"/>
    <cellStyle name="Normal 3 2 2 2 3 5 3 11" xfId="48035"/>
    <cellStyle name="Normal 3 2 2 2 3 5 3 12" xfId="52114"/>
    <cellStyle name="Normal 3 2 2 2 3 5 3 2" xfId="11747"/>
    <cellStyle name="Normal 3 2 2 2 3 5 3 3" xfId="15779"/>
    <cellStyle name="Normal 3 2 2 2 3 5 3 4" xfId="19811"/>
    <cellStyle name="Normal 3 2 2 2 3 5 3 5" xfId="23843"/>
    <cellStyle name="Normal 3 2 2 2 3 5 3 6" xfId="27875"/>
    <cellStyle name="Normal 3 2 2 2 3 5 3 7" xfId="31907"/>
    <cellStyle name="Normal 3 2 2 2 3 5 3 8" xfId="35939"/>
    <cellStyle name="Normal 3 2 2 2 3 5 3 9" xfId="39971"/>
    <cellStyle name="Normal 3 2 2 2 3 5 4" xfId="9731"/>
    <cellStyle name="Normal 3 2 2 2 3 5 5" xfId="13763"/>
    <cellStyle name="Normal 3 2 2 2 3 5 6" xfId="17795"/>
    <cellStyle name="Normal 3 2 2 2 3 5 7" xfId="21827"/>
    <cellStyle name="Normal 3 2 2 2 3 5 8" xfId="25859"/>
    <cellStyle name="Normal 3 2 2 2 3 5 9" xfId="29891"/>
    <cellStyle name="Normal 3 2 2 2 3 6" xfId="4136"/>
    <cellStyle name="Normal 3 2 2 2 3 6 10" xfId="33992"/>
    <cellStyle name="Normal 3 2 2 2 3 6 11" xfId="38024"/>
    <cellStyle name="Normal 3 2 2 2 3 6 12" xfId="42056"/>
    <cellStyle name="Normal 3 2 2 2 3 6 13" xfId="46088"/>
    <cellStyle name="Normal 3 2 2 2 3 6 14" xfId="50166"/>
    <cellStyle name="Normal 3 2 2 2 3 6 2" xfId="6717"/>
    <cellStyle name="Normal 3 2 2 2 3 6 2 10" xfId="38975"/>
    <cellStyle name="Normal 3 2 2 2 3 6 2 11" xfId="43007"/>
    <cellStyle name="Normal 3 2 2 2 3 6 2 12" xfId="47039"/>
    <cellStyle name="Normal 3 2 2 2 3 6 2 13" xfId="51118"/>
    <cellStyle name="Normal 3 2 2 2 3 6 2 2" xfId="8733"/>
    <cellStyle name="Normal 3 2 2 2 3 6 2 2 10" xfId="45023"/>
    <cellStyle name="Normal 3 2 2 2 3 6 2 2 11" xfId="49055"/>
    <cellStyle name="Normal 3 2 2 2 3 6 2 2 12" xfId="53134"/>
    <cellStyle name="Normal 3 2 2 2 3 6 2 2 2" xfId="12767"/>
    <cellStyle name="Normal 3 2 2 2 3 6 2 2 3" xfId="16799"/>
    <cellStyle name="Normal 3 2 2 2 3 6 2 2 4" xfId="20831"/>
    <cellStyle name="Normal 3 2 2 2 3 6 2 2 5" xfId="24863"/>
    <cellStyle name="Normal 3 2 2 2 3 6 2 2 6" xfId="28895"/>
    <cellStyle name="Normal 3 2 2 2 3 6 2 2 7" xfId="32927"/>
    <cellStyle name="Normal 3 2 2 2 3 6 2 2 8" xfId="36959"/>
    <cellStyle name="Normal 3 2 2 2 3 6 2 2 9" xfId="40991"/>
    <cellStyle name="Normal 3 2 2 2 3 6 2 3" xfId="10751"/>
    <cellStyle name="Normal 3 2 2 2 3 6 2 4" xfId="14783"/>
    <cellStyle name="Normal 3 2 2 2 3 6 2 5" xfId="18815"/>
    <cellStyle name="Normal 3 2 2 2 3 6 2 6" xfId="22847"/>
    <cellStyle name="Normal 3 2 2 2 3 6 2 7" xfId="26879"/>
    <cellStyle name="Normal 3 2 2 2 3 6 2 8" xfId="30911"/>
    <cellStyle name="Normal 3 2 2 2 3 6 2 9" xfId="34943"/>
    <cellStyle name="Normal 3 2 2 2 3 6 3" xfId="7782"/>
    <cellStyle name="Normal 3 2 2 2 3 6 3 10" xfId="44072"/>
    <cellStyle name="Normal 3 2 2 2 3 6 3 11" xfId="48104"/>
    <cellStyle name="Normal 3 2 2 2 3 6 3 12" xfId="52183"/>
    <cellStyle name="Normal 3 2 2 2 3 6 3 2" xfId="11816"/>
    <cellStyle name="Normal 3 2 2 2 3 6 3 3" xfId="15848"/>
    <cellStyle name="Normal 3 2 2 2 3 6 3 4" xfId="19880"/>
    <cellStyle name="Normal 3 2 2 2 3 6 3 5" xfId="23912"/>
    <cellStyle name="Normal 3 2 2 2 3 6 3 6" xfId="27944"/>
    <cellStyle name="Normal 3 2 2 2 3 6 3 7" xfId="31976"/>
    <cellStyle name="Normal 3 2 2 2 3 6 3 8" xfId="36008"/>
    <cellStyle name="Normal 3 2 2 2 3 6 3 9" xfId="40040"/>
    <cellStyle name="Normal 3 2 2 2 3 6 4" xfId="9800"/>
    <cellStyle name="Normal 3 2 2 2 3 6 5" xfId="13832"/>
    <cellStyle name="Normal 3 2 2 2 3 6 6" xfId="17864"/>
    <cellStyle name="Normal 3 2 2 2 3 6 7" xfId="21896"/>
    <cellStyle name="Normal 3 2 2 2 3 6 8" xfId="25928"/>
    <cellStyle name="Normal 3 2 2 2 3 6 9" xfId="29960"/>
    <cellStyle name="Normal 3 2 2 2 3 7" xfId="4205"/>
    <cellStyle name="Normal 3 2 2 2 3 7 10" xfId="34061"/>
    <cellStyle name="Normal 3 2 2 2 3 7 11" xfId="38093"/>
    <cellStyle name="Normal 3 2 2 2 3 7 12" xfId="42125"/>
    <cellStyle name="Normal 3 2 2 2 3 7 13" xfId="46157"/>
    <cellStyle name="Normal 3 2 2 2 3 7 14" xfId="50235"/>
    <cellStyle name="Normal 3 2 2 2 3 7 2" xfId="6786"/>
    <cellStyle name="Normal 3 2 2 2 3 7 2 10" xfId="39044"/>
    <cellStyle name="Normal 3 2 2 2 3 7 2 11" xfId="43076"/>
    <cellStyle name="Normal 3 2 2 2 3 7 2 12" xfId="47108"/>
    <cellStyle name="Normal 3 2 2 2 3 7 2 13" xfId="51187"/>
    <cellStyle name="Normal 3 2 2 2 3 7 2 2" xfId="8802"/>
    <cellStyle name="Normal 3 2 2 2 3 7 2 2 10" xfId="45092"/>
    <cellStyle name="Normal 3 2 2 2 3 7 2 2 11" xfId="49124"/>
    <cellStyle name="Normal 3 2 2 2 3 7 2 2 12" xfId="53203"/>
    <cellStyle name="Normal 3 2 2 2 3 7 2 2 2" xfId="12836"/>
    <cellStyle name="Normal 3 2 2 2 3 7 2 2 3" xfId="16868"/>
    <cellStyle name="Normal 3 2 2 2 3 7 2 2 4" xfId="20900"/>
    <cellStyle name="Normal 3 2 2 2 3 7 2 2 5" xfId="24932"/>
    <cellStyle name="Normal 3 2 2 2 3 7 2 2 6" xfId="28964"/>
    <cellStyle name="Normal 3 2 2 2 3 7 2 2 7" xfId="32996"/>
    <cellStyle name="Normal 3 2 2 2 3 7 2 2 8" xfId="37028"/>
    <cellStyle name="Normal 3 2 2 2 3 7 2 2 9" xfId="41060"/>
    <cellStyle name="Normal 3 2 2 2 3 7 2 3" xfId="10820"/>
    <cellStyle name="Normal 3 2 2 2 3 7 2 4" xfId="14852"/>
    <cellStyle name="Normal 3 2 2 2 3 7 2 5" xfId="18884"/>
    <cellStyle name="Normal 3 2 2 2 3 7 2 6" xfId="22916"/>
    <cellStyle name="Normal 3 2 2 2 3 7 2 7" xfId="26948"/>
    <cellStyle name="Normal 3 2 2 2 3 7 2 8" xfId="30980"/>
    <cellStyle name="Normal 3 2 2 2 3 7 2 9" xfId="35012"/>
    <cellStyle name="Normal 3 2 2 2 3 7 3" xfId="7851"/>
    <cellStyle name="Normal 3 2 2 2 3 7 3 10" xfId="44141"/>
    <cellStyle name="Normal 3 2 2 2 3 7 3 11" xfId="48173"/>
    <cellStyle name="Normal 3 2 2 2 3 7 3 12" xfId="52252"/>
    <cellStyle name="Normal 3 2 2 2 3 7 3 2" xfId="11885"/>
    <cellStyle name="Normal 3 2 2 2 3 7 3 3" xfId="15917"/>
    <cellStyle name="Normal 3 2 2 2 3 7 3 4" xfId="19949"/>
    <cellStyle name="Normal 3 2 2 2 3 7 3 5" xfId="23981"/>
    <cellStyle name="Normal 3 2 2 2 3 7 3 6" xfId="28013"/>
    <cellStyle name="Normal 3 2 2 2 3 7 3 7" xfId="32045"/>
    <cellStyle name="Normal 3 2 2 2 3 7 3 8" xfId="36077"/>
    <cellStyle name="Normal 3 2 2 2 3 7 3 9" xfId="40109"/>
    <cellStyle name="Normal 3 2 2 2 3 7 4" xfId="9869"/>
    <cellStyle name="Normal 3 2 2 2 3 7 5" xfId="13901"/>
    <cellStyle name="Normal 3 2 2 2 3 7 6" xfId="17933"/>
    <cellStyle name="Normal 3 2 2 2 3 7 7" xfId="21965"/>
    <cellStyle name="Normal 3 2 2 2 3 7 8" xfId="25997"/>
    <cellStyle name="Normal 3 2 2 2 3 7 9" xfId="30029"/>
    <cellStyle name="Normal 3 2 2 2 3 8" xfId="4278"/>
    <cellStyle name="Normal 3 2 2 2 3 8 10" xfId="34130"/>
    <cellStyle name="Normal 3 2 2 2 3 8 11" xfId="38162"/>
    <cellStyle name="Normal 3 2 2 2 3 8 12" xfId="42194"/>
    <cellStyle name="Normal 3 2 2 2 3 8 13" xfId="46226"/>
    <cellStyle name="Normal 3 2 2 2 3 8 14" xfId="50304"/>
    <cellStyle name="Normal 3 2 2 2 3 8 2" xfId="6855"/>
    <cellStyle name="Normal 3 2 2 2 3 8 2 10" xfId="39113"/>
    <cellStyle name="Normal 3 2 2 2 3 8 2 11" xfId="43145"/>
    <cellStyle name="Normal 3 2 2 2 3 8 2 12" xfId="47177"/>
    <cellStyle name="Normal 3 2 2 2 3 8 2 13" xfId="51256"/>
    <cellStyle name="Normal 3 2 2 2 3 8 2 2" xfId="8871"/>
    <cellStyle name="Normal 3 2 2 2 3 8 2 2 10" xfId="45161"/>
    <cellStyle name="Normal 3 2 2 2 3 8 2 2 11" xfId="49193"/>
    <cellStyle name="Normal 3 2 2 2 3 8 2 2 12" xfId="53272"/>
    <cellStyle name="Normal 3 2 2 2 3 8 2 2 2" xfId="12905"/>
    <cellStyle name="Normal 3 2 2 2 3 8 2 2 3" xfId="16937"/>
    <cellStyle name="Normal 3 2 2 2 3 8 2 2 4" xfId="20969"/>
    <cellStyle name="Normal 3 2 2 2 3 8 2 2 5" xfId="25001"/>
    <cellStyle name="Normal 3 2 2 2 3 8 2 2 6" xfId="29033"/>
    <cellStyle name="Normal 3 2 2 2 3 8 2 2 7" xfId="33065"/>
    <cellStyle name="Normal 3 2 2 2 3 8 2 2 8" xfId="37097"/>
    <cellStyle name="Normal 3 2 2 2 3 8 2 2 9" xfId="41129"/>
    <cellStyle name="Normal 3 2 2 2 3 8 2 3" xfId="10889"/>
    <cellStyle name="Normal 3 2 2 2 3 8 2 4" xfId="14921"/>
    <cellStyle name="Normal 3 2 2 2 3 8 2 5" xfId="18953"/>
    <cellStyle name="Normal 3 2 2 2 3 8 2 6" xfId="22985"/>
    <cellStyle name="Normal 3 2 2 2 3 8 2 7" xfId="27017"/>
    <cellStyle name="Normal 3 2 2 2 3 8 2 8" xfId="31049"/>
    <cellStyle name="Normal 3 2 2 2 3 8 2 9" xfId="35081"/>
    <cellStyle name="Normal 3 2 2 2 3 8 3" xfId="7920"/>
    <cellStyle name="Normal 3 2 2 2 3 8 3 10" xfId="44210"/>
    <cellStyle name="Normal 3 2 2 2 3 8 3 11" xfId="48242"/>
    <cellStyle name="Normal 3 2 2 2 3 8 3 12" xfId="52321"/>
    <cellStyle name="Normal 3 2 2 2 3 8 3 2" xfId="11954"/>
    <cellStyle name="Normal 3 2 2 2 3 8 3 3" xfId="15986"/>
    <cellStyle name="Normal 3 2 2 2 3 8 3 4" xfId="20018"/>
    <cellStyle name="Normal 3 2 2 2 3 8 3 5" xfId="24050"/>
    <cellStyle name="Normal 3 2 2 2 3 8 3 6" xfId="28082"/>
    <cellStyle name="Normal 3 2 2 2 3 8 3 7" xfId="32114"/>
    <cellStyle name="Normal 3 2 2 2 3 8 3 8" xfId="36146"/>
    <cellStyle name="Normal 3 2 2 2 3 8 3 9" xfId="40178"/>
    <cellStyle name="Normal 3 2 2 2 3 8 4" xfId="9938"/>
    <cellStyle name="Normal 3 2 2 2 3 8 5" xfId="13970"/>
    <cellStyle name="Normal 3 2 2 2 3 8 6" xfId="18002"/>
    <cellStyle name="Normal 3 2 2 2 3 8 7" xfId="22034"/>
    <cellStyle name="Normal 3 2 2 2 3 8 8" xfId="26066"/>
    <cellStyle name="Normal 3 2 2 2 3 8 9" xfId="30098"/>
    <cellStyle name="Normal 3 2 2 2 3 9" xfId="4424"/>
    <cellStyle name="Normal 3 2 2 2 3 9 10" xfId="34268"/>
    <cellStyle name="Normal 3 2 2 2 3 9 11" xfId="38300"/>
    <cellStyle name="Normal 3 2 2 2 3 9 12" xfId="42332"/>
    <cellStyle name="Normal 3 2 2 2 3 9 13" xfId="46364"/>
    <cellStyle name="Normal 3 2 2 2 3 9 14" xfId="50443"/>
    <cellStyle name="Normal 3 2 2 2 3 9 2" xfId="6993"/>
    <cellStyle name="Normal 3 2 2 2 3 9 2 10" xfId="39251"/>
    <cellStyle name="Normal 3 2 2 2 3 9 2 11" xfId="43283"/>
    <cellStyle name="Normal 3 2 2 2 3 9 2 12" xfId="47315"/>
    <cellStyle name="Normal 3 2 2 2 3 9 2 13" xfId="51394"/>
    <cellStyle name="Normal 3 2 2 2 3 9 2 2" xfId="9009"/>
    <cellStyle name="Normal 3 2 2 2 3 9 2 2 10" xfId="45299"/>
    <cellStyle name="Normal 3 2 2 2 3 9 2 2 11" xfId="49331"/>
    <cellStyle name="Normal 3 2 2 2 3 9 2 2 12" xfId="53410"/>
    <cellStyle name="Normal 3 2 2 2 3 9 2 2 2" xfId="13043"/>
    <cellStyle name="Normal 3 2 2 2 3 9 2 2 3" xfId="17075"/>
    <cellStyle name="Normal 3 2 2 2 3 9 2 2 4" xfId="21107"/>
    <cellStyle name="Normal 3 2 2 2 3 9 2 2 5" xfId="25139"/>
    <cellStyle name="Normal 3 2 2 2 3 9 2 2 6" xfId="29171"/>
    <cellStyle name="Normal 3 2 2 2 3 9 2 2 7" xfId="33203"/>
    <cellStyle name="Normal 3 2 2 2 3 9 2 2 8" xfId="37235"/>
    <cellStyle name="Normal 3 2 2 2 3 9 2 2 9" xfId="41267"/>
    <cellStyle name="Normal 3 2 2 2 3 9 2 3" xfId="11027"/>
    <cellStyle name="Normal 3 2 2 2 3 9 2 4" xfId="15059"/>
    <cellStyle name="Normal 3 2 2 2 3 9 2 5" xfId="19091"/>
    <cellStyle name="Normal 3 2 2 2 3 9 2 6" xfId="23123"/>
    <cellStyle name="Normal 3 2 2 2 3 9 2 7" xfId="27155"/>
    <cellStyle name="Normal 3 2 2 2 3 9 2 8" xfId="31187"/>
    <cellStyle name="Normal 3 2 2 2 3 9 2 9" xfId="35219"/>
    <cellStyle name="Normal 3 2 2 2 3 9 3" xfId="8058"/>
    <cellStyle name="Normal 3 2 2 2 3 9 3 10" xfId="44348"/>
    <cellStyle name="Normal 3 2 2 2 3 9 3 11" xfId="48380"/>
    <cellStyle name="Normal 3 2 2 2 3 9 3 12" xfId="52459"/>
    <cellStyle name="Normal 3 2 2 2 3 9 3 2" xfId="12092"/>
    <cellStyle name="Normal 3 2 2 2 3 9 3 3" xfId="16124"/>
    <cellStyle name="Normal 3 2 2 2 3 9 3 4" xfId="20156"/>
    <cellStyle name="Normal 3 2 2 2 3 9 3 5" xfId="24188"/>
    <cellStyle name="Normal 3 2 2 2 3 9 3 6" xfId="28220"/>
    <cellStyle name="Normal 3 2 2 2 3 9 3 7" xfId="32252"/>
    <cellStyle name="Normal 3 2 2 2 3 9 3 8" xfId="36284"/>
    <cellStyle name="Normal 3 2 2 2 3 9 3 9" xfId="40316"/>
    <cellStyle name="Normal 3 2 2 2 3 9 4" xfId="10076"/>
    <cellStyle name="Normal 3 2 2 2 3 9 5" xfId="14108"/>
    <cellStyle name="Normal 3 2 2 2 3 9 6" xfId="18140"/>
    <cellStyle name="Normal 3 2 2 2 3 9 7" xfId="22172"/>
    <cellStyle name="Normal 3 2 2 2 3 9 8" xfId="26204"/>
    <cellStyle name="Normal 3 2 2 2 3 9 9" xfId="30236"/>
    <cellStyle name="Normal 3 2 2 2 4" xfId="63"/>
    <cellStyle name="Normal 3 2 2 2 4 10" xfId="341"/>
    <cellStyle name="Normal 3 2 2 2 4 10 10" xfId="37546"/>
    <cellStyle name="Normal 3 2 2 2 4 10 11" xfId="41578"/>
    <cellStyle name="Normal 3 2 2 2 4 10 12" xfId="45610"/>
    <cellStyle name="Normal 3 2 2 2 4 10 13" xfId="49688"/>
    <cellStyle name="Normal 3 2 2 2 4 10 2" xfId="7304"/>
    <cellStyle name="Normal 3 2 2 2 4 10 2 10" xfId="43594"/>
    <cellStyle name="Normal 3 2 2 2 4 10 2 11" xfId="47626"/>
    <cellStyle name="Normal 3 2 2 2 4 10 2 12" xfId="51705"/>
    <cellStyle name="Normal 3 2 2 2 4 10 2 2" xfId="11338"/>
    <cellStyle name="Normal 3 2 2 2 4 10 2 3" xfId="15370"/>
    <cellStyle name="Normal 3 2 2 2 4 10 2 4" xfId="19402"/>
    <cellStyle name="Normal 3 2 2 2 4 10 2 5" xfId="23434"/>
    <cellStyle name="Normal 3 2 2 2 4 10 2 6" xfId="27466"/>
    <cellStyle name="Normal 3 2 2 2 4 10 2 7" xfId="31498"/>
    <cellStyle name="Normal 3 2 2 2 4 10 2 8" xfId="35530"/>
    <cellStyle name="Normal 3 2 2 2 4 10 2 9" xfId="39562"/>
    <cellStyle name="Normal 3 2 2 2 4 10 3" xfId="9322"/>
    <cellStyle name="Normal 3 2 2 2 4 10 4" xfId="13354"/>
    <cellStyle name="Normal 3 2 2 2 4 10 5" xfId="17386"/>
    <cellStyle name="Normal 3 2 2 2 4 10 6" xfId="21418"/>
    <cellStyle name="Normal 3 2 2 2 4 10 7" xfId="25450"/>
    <cellStyle name="Normal 3 2 2 2 4 10 8" xfId="29482"/>
    <cellStyle name="Normal 3 2 2 2 4 10 9" xfId="33514"/>
    <cellStyle name="Normal 3 2 2 2 4 11" xfId="7112"/>
    <cellStyle name="Normal 3 2 2 2 4 11 10" xfId="43402"/>
    <cellStyle name="Normal 3 2 2 2 4 11 11" xfId="47434"/>
    <cellStyle name="Normal 3 2 2 2 4 11 12" xfId="51513"/>
    <cellStyle name="Normal 3 2 2 2 4 11 2" xfId="11146"/>
    <cellStyle name="Normal 3 2 2 2 4 11 3" xfId="15178"/>
    <cellStyle name="Normal 3 2 2 2 4 11 4" xfId="19210"/>
    <cellStyle name="Normal 3 2 2 2 4 11 5" xfId="23242"/>
    <cellStyle name="Normal 3 2 2 2 4 11 6" xfId="27274"/>
    <cellStyle name="Normal 3 2 2 2 4 11 7" xfId="31306"/>
    <cellStyle name="Normal 3 2 2 2 4 11 8" xfId="35338"/>
    <cellStyle name="Normal 3 2 2 2 4 11 9" xfId="39370"/>
    <cellStyle name="Normal 3 2 2 2 4 12" xfId="138"/>
    <cellStyle name="Normal 3 2 2 2 4 13" xfId="9130"/>
    <cellStyle name="Normal 3 2 2 2 4 14" xfId="13162"/>
    <cellStyle name="Normal 3 2 2 2 4 15" xfId="17194"/>
    <cellStyle name="Normal 3 2 2 2 4 16" xfId="21226"/>
    <cellStyle name="Normal 3 2 2 2 4 17" xfId="25258"/>
    <cellStyle name="Normal 3 2 2 2 4 18" xfId="29290"/>
    <cellStyle name="Normal 3 2 2 2 4 19" xfId="33322"/>
    <cellStyle name="Normal 3 2 2 2 4 2" xfId="217"/>
    <cellStyle name="Normal 3 2 2 2 4 2 10" xfId="21295"/>
    <cellStyle name="Normal 3 2 2 2 4 2 11" xfId="25327"/>
    <cellStyle name="Normal 3 2 2 2 4 2 12" xfId="29359"/>
    <cellStyle name="Normal 3 2 2 2 4 2 13" xfId="33391"/>
    <cellStyle name="Normal 3 2 2 2 4 2 14" xfId="37423"/>
    <cellStyle name="Normal 3 2 2 2 4 2 15" xfId="41455"/>
    <cellStyle name="Normal 3 2 2 2 4 2 16" xfId="45487"/>
    <cellStyle name="Normal 3 2 2 2 4 2 17" xfId="49565"/>
    <cellStyle name="Normal 3 2 2 2 4 2 2" xfId="4335"/>
    <cellStyle name="Normal 3 2 2 2 4 2 2 10" xfId="34180"/>
    <cellStyle name="Normal 3 2 2 2 4 2 2 11" xfId="38212"/>
    <cellStyle name="Normal 3 2 2 2 4 2 2 12" xfId="42244"/>
    <cellStyle name="Normal 3 2 2 2 4 2 2 13" xfId="46276"/>
    <cellStyle name="Normal 3 2 2 2 4 2 2 14" xfId="50355"/>
    <cellStyle name="Normal 3 2 2 2 4 2 2 2" xfId="6905"/>
    <cellStyle name="Normal 3 2 2 2 4 2 2 2 10" xfId="39163"/>
    <cellStyle name="Normal 3 2 2 2 4 2 2 2 11" xfId="43195"/>
    <cellStyle name="Normal 3 2 2 2 4 2 2 2 12" xfId="47227"/>
    <cellStyle name="Normal 3 2 2 2 4 2 2 2 13" xfId="51306"/>
    <cellStyle name="Normal 3 2 2 2 4 2 2 2 2" xfId="8921"/>
    <cellStyle name="Normal 3 2 2 2 4 2 2 2 2 10" xfId="45211"/>
    <cellStyle name="Normal 3 2 2 2 4 2 2 2 2 11" xfId="49243"/>
    <cellStyle name="Normal 3 2 2 2 4 2 2 2 2 12" xfId="53322"/>
    <cellStyle name="Normal 3 2 2 2 4 2 2 2 2 2" xfId="12955"/>
    <cellStyle name="Normal 3 2 2 2 4 2 2 2 2 3" xfId="16987"/>
    <cellStyle name="Normal 3 2 2 2 4 2 2 2 2 4" xfId="21019"/>
    <cellStyle name="Normal 3 2 2 2 4 2 2 2 2 5" xfId="25051"/>
    <cellStyle name="Normal 3 2 2 2 4 2 2 2 2 6" xfId="29083"/>
    <cellStyle name="Normal 3 2 2 2 4 2 2 2 2 7" xfId="33115"/>
    <cellStyle name="Normal 3 2 2 2 4 2 2 2 2 8" xfId="37147"/>
    <cellStyle name="Normal 3 2 2 2 4 2 2 2 2 9" xfId="41179"/>
    <cellStyle name="Normal 3 2 2 2 4 2 2 2 3" xfId="10939"/>
    <cellStyle name="Normal 3 2 2 2 4 2 2 2 4" xfId="14971"/>
    <cellStyle name="Normal 3 2 2 2 4 2 2 2 5" xfId="19003"/>
    <cellStyle name="Normal 3 2 2 2 4 2 2 2 6" xfId="23035"/>
    <cellStyle name="Normal 3 2 2 2 4 2 2 2 7" xfId="27067"/>
    <cellStyle name="Normal 3 2 2 2 4 2 2 2 8" xfId="31099"/>
    <cellStyle name="Normal 3 2 2 2 4 2 2 2 9" xfId="35131"/>
    <cellStyle name="Normal 3 2 2 2 4 2 2 3" xfId="7970"/>
    <cellStyle name="Normal 3 2 2 2 4 2 2 3 10" xfId="44260"/>
    <cellStyle name="Normal 3 2 2 2 4 2 2 3 11" xfId="48292"/>
    <cellStyle name="Normal 3 2 2 2 4 2 2 3 12" xfId="52371"/>
    <cellStyle name="Normal 3 2 2 2 4 2 2 3 2" xfId="12004"/>
    <cellStyle name="Normal 3 2 2 2 4 2 2 3 3" xfId="16036"/>
    <cellStyle name="Normal 3 2 2 2 4 2 2 3 4" xfId="20068"/>
    <cellStyle name="Normal 3 2 2 2 4 2 2 3 5" xfId="24100"/>
    <cellStyle name="Normal 3 2 2 2 4 2 2 3 6" xfId="28132"/>
    <cellStyle name="Normal 3 2 2 2 4 2 2 3 7" xfId="32164"/>
    <cellStyle name="Normal 3 2 2 2 4 2 2 3 8" xfId="36196"/>
    <cellStyle name="Normal 3 2 2 2 4 2 2 3 9" xfId="40228"/>
    <cellStyle name="Normal 3 2 2 2 4 2 2 4" xfId="9988"/>
    <cellStyle name="Normal 3 2 2 2 4 2 2 5" xfId="14020"/>
    <cellStyle name="Normal 3 2 2 2 4 2 2 6" xfId="18052"/>
    <cellStyle name="Normal 3 2 2 2 4 2 2 7" xfId="22084"/>
    <cellStyle name="Normal 3 2 2 2 4 2 2 8" xfId="26116"/>
    <cellStyle name="Normal 3 2 2 2 4 2 2 9" xfId="30148"/>
    <cellStyle name="Normal 3 2 2 2 4 2 3" xfId="4474"/>
    <cellStyle name="Normal 3 2 2 2 4 2 3 10" xfId="34318"/>
    <cellStyle name="Normal 3 2 2 2 4 2 3 11" xfId="38350"/>
    <cellStyle name="Normal 3 2 2 2 4 2 3 12" xfId="42382"/>
    <cellStyle name="Normal 3 2 2 2 4 2 3 13" xfId="46414"/>
    <cellStyle name="Normal 3 2 2 2 4 2 3 14" xfId="50493"/>
    <cellStyle name="Normal 3 2 2 2 4 2 3 2" xfId="7043"/>
    <cellStyle name="Normal 3 2 2 2 4 2 3 2 10" xfId="39301"/>
    <cellStyle name="Normal 3 2 2 2 4 2 3 2 11" xfId="43333"/>
    <cellStyle name="Normal 3 2 2 2 4 2 3 2 12" xfId="47365"/>
    <cellStyle name="Normal 3 2 2 2 4 2 3 2 13" xfId="51444"/>
    <cellStyle name="Normal 3 2 2 2 4 2 3 2 2" xfId="9059"/>
    <cellStyle name="Normal 3 2 2 2 4 2 3 2 2 10" xfId="45349"/>
    <cellStyle name="Normal 3 2 2 2 4 2 3 2 2 11" xfId="49381"/>
    <cellStyle name="Normal 3 2 2 2 4 2 3 2 2 12" xfId="53460"/>
    <cellStyle name="Normal 3 2 2 2 4 2 3 2 2 2" xfId="13093"/>
    <cellStyle name="Normal 3 2 2 2 4 2 3 2 2 3" xfId="17125"/>
    <cellStyle name="Normal 3 2 2 2 4 2 3 2 2 4" xfId="21157"/>
    <cellStyle name="Normal 3 2 2 2 4 2 3 2 2 5" xfId="25189"/>
    <cellStyle name="Normal 3 2 2 2 4 2 3 2 2 6" xfId="29221"/>
    <cellStyle name="Normal 3 2 2 2 4 2 3 2 2 7" xfId="33253"/>
    <cellStyle name="Normal 3 2 2 2 4 2 3 2 2 8" xfId="37285"/>
    <cellStyle name="Normal 3 2 2 2 4 2 3 2 2 9" xfId="41317"/>
    <cellStyle name="Normal 3 2 2 2 4 2 3 2 3" xfId="11077"/>
    <cellStyle name="Normal 3 2 2 2 4 2 3 2 4" xfId="15109"/>
    <cellStyle name="Normal 3 2 2 2 4 2 3 2 5" xfId="19141"/>
    <cellStyle name="Normal 3 2 2 2 4 2 3 2 6" xfId="23173"/>
    <cellStyle name="Normal 3 2 2 2 4 2 3 2 7" xfId="27205"/>
    <cellStyle name="Normal 3 2 2 2 4 2 3 2 8" xfId="31237"/>
    <cellStyle name="Normal 3 2 2 2 4 2 3 2 9" xfId="35269"/>
    <cellStyle name="Normal 3 2 2 2 4 2 3 3" xfId="8108"/>
    <cellStyle name="Normal 3 2 2 2 4 2 3 3 10" xfId="44398"/>
    <cellStyle name="Normal 3 2 2 2 4 2 3 3 11" xfId="48430"/>
    <cellStyle name="Normal 3 2 2 2 4 2 3 3 12" xfId="52509"/>
    <cellStyle name="Normal 3 2 2 2 4 2 3 3 2" xfId="12142"/>
    <cellStyle name="Normal 3 2 2 2 4 2 3 3 3" xfId="16174"/>
    <cellStyle name="Normal 3 2 2 2 4 2 3 3 4" xfId="20206"/>
    <cellStyle name="Normal 3 2 2 2 4 2 3 3 5" xfId="24238"/>
    <cellStyle name="Normal 3 2 2 2 4 2 3 3 6" xfId="28270"/>
    <cellStyle name="Normal 3 2 2 2 4 2 3 3 7" xfId="32302"/>
    <cellStyle name="Normal 3 2 2 2 4 2 3 3 8" xfId="36334"/>
    <cellStyle name="Normal 3 2 2 2 4 2 3 3 9" xfId="40366"/>
    <cellStyle name="Normal 3 2 2 2 4 2 3 4" xfId="10126"/>
    <cellStyle name="Normal 3 2 2 2 4 2 3 5" xfId="14158"/>
    <cellStyle name="Normal 3 2 2 2 4 2 3 6" xfId="18190"/>
    <cellStyle name="Normal 3 2 2 2 4 2 3 7" xfId="22222"/>
    <cellStyle name="Normal 3 2 2 2 4 2 3 8" xfId="26254"/>
    <cellStyle name="Normal 3 2 2 2 4 2 3 9" xfId="30286"/>
    <cellStyle name="Normal 3 2 2 2 4 2 4" xfId="4614"/>
    <cellStyle name="Normal 3 2 2 2 4 2 4 10" xfId="38488"/>
    <cellStyle name="Normal 3 2 2 2 4 2 4 11" xfId="42520"/>
    <cellStyle name="Normal 3 2 2 2 4 2 4 12" xfId="46552"/>
    <cellStyle name="Normal 3 2 2 2 4 2 4 13" xfId="50631"/>
    <cellStyle name="Normal 3 2 2 2 4 2 4 2" xfId="8246"/>
    <cellStyle name="Normal 3 2 2 2 4 2 4 2 10" xfId="44536"/>
    <cellStyle name="Normal 3 2 2 2 4 2 4 2 11" xfId="48568"/>
    <cellStyle name="Normal 3 2 2 2 4 2 4 2 12" xfId="52647"/>
    <cellStyle name="Normal 3 2 2 2 4 2 4 2 2" xfId="12280"/>
    <cellStyle name="Normal 3 2 2 2 4 2 4 2 3" xfId="16312"/>
    <cellStyle name="Normal 3 2 2 2 4 2 4 2 4" xfId="20344"/>
    <cellStyle name="Normal 3 2 2 2 4 2 4 2 5" xfId="24376"/>
    <cellStyle name="Normal 3 2 2 2 4 2 4 2 6" xfId="28408"/>
    <cellStyle name="Normal 3 2 2 2 4 2 4 2 7" xfId="32440"/>
    <cellStyle name="Normal 3 2 2 2 4 2 4 2 8" xfId="36472"/>
    <cellStyle name="Normal 3 2 2 2 4 2 4 2 9" xfId="40504"/>
    <cellStyle name="Normal 3 2 2 2 4 2 4 3" xfId="10264"/>
    <cellStyle name="Normal 3 2 2 2 4 2 4 4" xfId="14296"/>
    <cellStyle name="Normal 3 2 2 2 4 2 4 5" xfId="18328"/>
    <cellStyle name="Normal 3 2 2 2 4 2 4 6" xfId="22360"/>
    <cellStyle name="Normal 3 2 2 2 4 2 4 7" xfId="26392"/>
    <cellStyle name="Normal 3 2 2 2 4 2 4 8" xfId="30424"/>
    <cellStyle name="Normal 3 2 2 2 4 2 4 9" xfId="34456"/>
    <cellStyle name="Normal 3 2 2 2 4 2 5" xfId="1651"/>
    <cellStyle name="Normal 3 2 2 2 4 2 5 10" xfId="37644"/>
    <cellStyle name="Normal 3 2 2 2 4 2 5 11" xfId="41676"/>
    <cellStyle name="Normal 3 2 2 2 4 2 5 12" xfId="45708"/>
    <cellStyle name="Normal 3 2 2 2 4 2 5 13" xfId="49786"/>
    <cellStyle name="Normal 3 2 2 2 4 2 5 2" xfId="7402"/>
    <cellStyle name="Normal 3 2 2 2 4 2 5 2 10" xfId="43692"/>
    <cellStyle name="Normal 3 2 2 2 4 2 5 2 11" xfId="47724"/>
    <cellStyle name="Normal 3 2 2 2 4 2 5 2 12" xfId="51803"/>
    <cellStyle name="Normal 3 2 2 2 4 2 5 2 2" xfId="11436"/>
    <cellStyle name="Normal 3 2 2 2 4 2 5 2 3" xfId="15468"/>
    <cellStyle name="Normal 3 2 2 2 4 2 5 2 4" xfId="19500"/>
    <cellStyle name="Normal 3 2 2 2 4 2 5 2 5" xfId="23532"/>
    <cellStyle name="Normal 3 2 2 2 4 2 5 2 6" xfId="27564"/>
    <cellStyle name="Normal 3 2 2 2 4 2 5 2 7" xfId="31596"/>
    <cellStyle name="Normal 3 2 2 2 4 2 5 2 8" xfId="35628"/>
    <cellStyle name="Normal 3 2 2 2 4 2 5 2 9" xfId="39660"/>
    <cellStyle name="Normal 3 2 2 2 4 2 5 3" xfId="9420"/>
    <cellStyle name="Normal 3 2 2 2 4 2 5 4" xfId="13452"/>
    <cellStyle name="Normal 3 2 2 2 4 2 5 5" xfId="17484"/>
    <cellStyle name="Normal 3 2 2 2 4 2 5 6" xfId="21516"/>
    <cellStyle name="Normal 3 2 2 2 4 2 5 7" xfId="25548"/>
    <cellStyle name="Normal 3 2 2 2 4 2 5 8" xfId="29580"/>
    <cellStyle name="Normal 3 2 2 2 4 2 5 9" xfId="33612"/>
    <cellStyle name="Normal 3 2 2 2 4 2 6" xfId="7181"/>
    <cellStyle name="Normal 3 2 2 2 4 2 6 10" xfId="43471"/>
    <cellStyle name="Normal 3 2 2 2 4 2 6 11" xfId="47503"/>
    <cellStyle name="Normal 3 2 2 2 4 2 6 12" xfId="51582"/>
    <cellStyle name="Normal 3 2 2 2 4 2 6 2" xfId="11215"/>
    <cellStyle name="Normal 3 2 2 2 4 2 6 3" xfId="15247"/>
    <cellStyle name="Normal 3 2 2 2 4 2 6 4" xfId="19279"/>
    <cellStyle name="Normal 3 2 2 2 4 2 6 5" xfId="23311"/>
    <cellStyle name="Normal 3 2 2 2 4 2 6 6" xfId="27343"/>
    <cellStyle name="Normal 3 2 2 2 4 2 6 7" xfId="31375"/>
    <cellStyle name="Normal 3 2 2 2 4 2 6 8" xfId="35407"/>
    <cellStyle name="Normal 3 2 2 2 4 2 6 9" xfId="39439"/>
    <cellStyle name="Normal 3 2 2 2 4 2 7" xfId="9199"/>
    <cellStyle name="Normal 3 2 2 2 4 2 8" xfId="13231"/>
    <cellStyle name="Normal 3 2 2 2 4 2 9" xfId="17263"/>
    <cellStyle name="Normal 3 2 2 2 4 20" xfId="37354"/>
    <cellStyle name="Normal 3 2 2 2 4 21" xfId="41386"/>
    <cellStyle name="Normal 3 2 2 2 4 22" xfId="45418"/>
    <cellStyle name="Normal 3 2 2 2 4 23" xfId="49496"/>
    <cellStyle name="Normal 3 2 2 2 4 3" xfId="1725"/>
    <cellStyle name="Normal 3 2 2 2 4 3 10" xfId="33681"/>
    <cellStyle name="Normal 3 2 2 2 4 3 11" xfId="37713"/>
    <cellStyle name="Normal 3 2 2 2 4 3 12" xfId="41745"/>
    <cellStyle name="Normal 3 2 2 2 4 3 13" xfId="45777"/>
    <cellStyle name="Normal 3 2 2 2 4 3 14" xfId="49855"/>
    <cellStyle name="Normal 3 2 2 2 4 3 2" xfId="5396"/>
    <cellStyle name="Normal 3 2 2 2 4 3 2 10" xfId="38664"/>
    <cellStyle name="Normal 3 2 2 2 4 3 2 11" xfId="42696"/>
    <cellStyle name="Normal 3 2 2 2 4 3 2 12" xfId="46728"/>
    <cellStyle name="Normal 3 2 2 2 4 3 2 13" xfId="50807"/>
    <cellStyle name="Normal 3 2 2 2 4 3 2 2" xfId="8422"/>
    <cellStyle name="Normal 3 2 2 2 4 3 2 2 10" xfId="44712"/>
    <cellStyle name="Normal 3 2 2 2 4 3 2 2 11" xfId="48744"/>
    <cellStyle name="Normal 3 2 2 2 4 3 2 2 12" xfId="52823"/>
    <cellStyle name="Normal 3 2 2 2 4 3 2 2 2" xfId="12456"/>
    <cellStyle name="Normal 3 2 2 2 4 3 2 2 3" xfId="16488"/>
    <cellStyle name="Normal 3 2 2 2 4 3 2 2 4" xfId="20520"/>
    <cellStyle name="Normal 3 2 2 2 4 3 2 2 5" xfId="24552"/>
    <cellStyle name="Normal 3 2 2 2 4 3 2 2 6" xfId="28584"/>
    <cellStyle name="Normal 3 2 2 2 4 3 2 2 7" xfId="32616"/>
    <cellStyle name="Normal 3 2 2 2 4 3 2 2 8" xfId="36648"/>
    <cellStyle name="Normal 3 2 2 2 4 3 2 2 9" xfId="40680"/>
    <cellStyle name="Normal 3 2 2 2 4 3 2 3" xfId="10440"/>
    <cellStyle name="Normal 3 2 2 2 4 3 2 4" xfId="14472"/>
    <cellStyle name="Normal 3 2 2 2 4 3 2 5" xfId="18504"/>
    <cellStyle name="Normal 3 2 2 2 4 3 2 6" xfId="22536"/>
    <cellStyle name="Normal 3 2 2 2 4 3 2 7" xfId="26568"/>
    <cellStyle name="Normal 3 2 2 2 4 3 2 8" xfId="30600"/>
    <cellStyle name="Normal 3 2 2 2 4 3 2 9" xfId="34632"/>
    <cellStyle name="Normal 3 2 2 2 4 3 3" xfId="7471"/>
    <cellStyle name="Normal 3 2 2 2 4 3 3 10" xfId="43761"/>
    <cellStyle name="Normal 3 2 2 2 4 3 3 11" xfId="47793"/>
    <cellStyle name="Normal 3 2 2 2 4 3 3 12" xfId="51872"/>
    <cellStyle name="Normal 3 2 2 2 4 3 3 2" xfId="11505"/>
    <cellStyle name="Normal 3 2 2 2 4 3 3 3" xfId="15537"/>
    <cellStyle name="Normal 3 2 2 2 4 3 3 4" xfId="19569"/>
    <cellStyle name="Normal 3 2 2 2 4 3 3 5" xfId="23601"/>
    <cellStyle name="Normal 3 2 2 2 4 3 3 6" xfId="27633"/>
    <cellStyle name="Normal 3 2 2 2 4 3 3 7" xfId="31665"/>
    <cellStyle name="Normal 3 2 2 2 4 3 3 8" xfId="35697"/>
    <cellStyle name="Normal 3 2 2 2 4 3 3 9" xfId="39729"/>
    <cellStyle name="Normal 3 2 2 2 4 3 4" xfId="9489"/>
    <cellStyle name="Normal 3 2 2 2 4 3 5" xfId="13521"/>
    <cellStyle name="Normal 3 2 2 2 4 3 6" xfId="17553"/>
    <cellStyle name="Normal 3 2 2 2 4 3 7" xfId="21585"/>
    <cellStyle name="Normal 3 2 2 2 4 3 8" xfId="25617"/>
    <cellStyle name="Normal 3 2 2 2 4 3 9" xfId="29649"/>
    <cellStyle name="Normal 3 2 2 2 4 4" xfId="4047"/>
    <cellStyle name="Normal 3 2 2 2 4 4 10" xfId="33904"/>
    <cellStyle name="Normal 3 2 2 2 4 4 11" xfId="37936"/>
    <cellStyle name="Normal 3 2 2 2 4 4 12" xfId="41968"/>
    <cellStyle name="Normal 3 2 2 2 4 4 13" xfId="46000"/>
    <cellStyle name="Normal 3 2 2 2 4 4 14" xfId="50078"/>
    <cellStyle name="Normal 3 2 2 2 4 4 2" xfId="6629"/>
    <cellStyle name="Normal 3 2 2 2 4 4 2 10" xfId="38887"/>
    <cellStyle name="Normal 3 2 2 2 4 4 2 11" xfId="42919"/>
    <cellStyle name="Normal 3 2 2 2 4 4 2 12" xfId="46951"/>
    <cellStyle name="Normal 3 2 2 2 4 4 2 13" xfId="51030"/>
    <cellStyle name="Normal 3 2 2 2 4 4 2 2" xfId="8645"/>
    <cellStyle name="Normal 3 2 2 2 4 4 2 2 10" xfId="44935"/>
    <cellStyle name="Normal 3 2 2 2 4 4 2 2 11" xfId="48967"/>
    <cellStyle name="Normal 3 2 2 2 4 4 2 2 12" xfId="53046"/>
    <cellStyle name="Normal 3 2 2 2 4 4 2 2 2" xfId="12679"/>
    <cellStyle name="Normal 3 2 2 2 4 4 2 2 3" xfId="16711"/>
    <cellStyle name="Normal 3 2 2 2 4 4 2 2 4" xfId="20743"/>
    <cellStyle name="Normal 3 2 2 2 4 4 2 2 5" xfId="24775"/>
    <cellStyle name="Normal 3 2 2 2 4 4 2 2 6" xfId="28807"/>
    <cellStyle name="Normal 3 2 2 2 4 4 2 2 7" xfId="32839"/>
    <cellStyle name="Normal 3 2 2 2 4 4 2 2 8" xfId="36871"/>
    <cellStyle name="Normal 3 2 2 2 4 4 2 2 9" xfId="40903"/>
    <cellStyle name="Normal 3 2 2 2 4 4 2 3" xfId="10663"/>
    <cellStyle name="Normal 3 2 2 2 4 4 2 4" xfId="14695"/>
    <cellStyle name="Normal 3 2 2 2 4 4 2 5" xfId="18727"/>
    <cellStyle name="Normal 3 2 2 2 4 4 2 6" xfId="22759"/>
    <cellStyle name="Normal 3 2 2 2 4 4 2 7" xfId="26791"/>
    <cellStyle name="Normal 3 2 2 2 4 4 2 8" xfId="30823"/>
    <cellStyle name="Normal 3 2 2 2 4 4 2 9" xfId="34855"/>
    <cellStyle name="Normal 3 2 2 2 4 4 3" xfId="7694"/>
    <cellStyle name="Normal 3 2 2 2 4 4 3 10" xfId="43984"/>
    <cellStyle name="Normal 3 2 2 2 4 4 3 11" xfId="48016"/>
    <cellStyle name="Normal 3 2 2 2 4 4 3 12" xfId="52095"/>
    <cellStyle name="Normal 3 2 2 2 4 4 3 2" xfId="11728"/>
    <cellStyle name="Normal 3 2 2 2 4 4 3 3" xfId="15760"/>
    <cellStyle name="Normal 3 2 2 2 4 4 3 4" xfId="19792"/>
    <cellStyle name="Normal 3 2 2 2 4 4 3 5" xfId="23824"/>
    <cellStyle name="Normal 3 2 2 2 4 4 3 6" xfId="27856"/>
    <cellStyle name="Normal 3 2 2 2 4 4 3 7" xfId="31888"/>
    <cellStyle name="Normal 3 2 2 2 4 4 3 8" xfId="35920"/>
    <cellStyle name="Normal 3 2 2 2 4 4 3 9" xfId="39952"/>
    <cellStyle name="Normal 3 2 2 2 4 4 4" xfId="9712"/>
    <cellStyle name="Normal 3 2 2 2 4 4 5" xfId="13744"/>
    <cellStyle name="Normal 3 2 2 2 4 4 6" xfId="17776"/>
    <cellStyle name="Normal 3 2 2 2 4 4 7" xfId="21808"/>
    <cellStyle name="Normal 3 2 2 2 4 4 8" xfId="25840"/>
    <cellStyle name="Normal 3 2 2 2 4 4 9" xfId="29872"/>
    <cellStyle name="Normal 3 2 2 2 4 5" xfId="4117"/>
    <cellStyle name="Normal 3 2 2 2 4 5 10" xfId="33973"/>
    <cellStyle name="Normal 3 2 2 2 4 5 11" xfId="38005"/>
    <cellStyle name="Normal 3 2 2 2 4 5 12" xfId="42037"/>
    <cellStyle name="Normal 3 2 2 2 4 5 13" xfId="46069"/>
    <cellStyle name="Normal 3 2 2 2 4 5 14" xfId="50147"/>
    <cellStyle name="Normal 3 2 2 2 4 5 2" xfId="6698"/>
    <cellStyle name="Normal 3 2 2 2 4 5 2 10" xfId="38956"/>
    <cellStyle name="Normal 3 2 2 2 4 5 2 11" xfId="42988"/>
    <cellStyle name="Normal 3 2 2 2 4 5 2 12" xfId="47020"/>
    <cellStyle name="Normal 3 2 2 2 4 5 2 13" xfId="51099"/>
    <cellStyle name="Normal 3 2 2 2 4 5 2 2" xfId="8714"/>
    <cellStyle name="Normal 3 2 2 2 4 5 2 2 10" xfId="45004"/>
    <cellStyle name="Normal 3 2 2 2 4 5 2 2 11" xfId="49036"/>
    <cellStyle name="Normal 3 2 2 2 4 5 2 2 12" xfId="53115"/>
    <cellStyle name="Normal 3 2 2 2 4 5 2 2 2" xfId="12748"/>
    <cellStyle name="Normal 3 2 2 2 4 5 2 2 3" xfId="16780"/>
    <cellStyle name="Normal 3 2 2 2 4 5 2 2 4" xfId="20812"/>
    <cellStyle name="Normal 3 2 2 2 4 5 2 2 5" xfId="24844"/>
    <cellStyle name="Normal 3 2 2 2 4 5 2 2 6" xfId="28876"/>
    <cellStyle name="Normal 3 2 2 2 4 5 2 2 7" xfId="32908"/>
    <cellStyle name="Normal 3 2 2 2 4 5 2 2 8" xfId="36940"/>
    <cellStyle name="Normal 3 2 2 2 4 5 2 2 9" xfId="40972"/>
    <cellStyle name="Normal 3 2 2 2 4 5 2 3" xfId="10732"/>
    <cellStyle name="Normal 3 2 2 2 4 5 2 4" xfId="14764"/>
    <cellStyle name="Normal 3 2 2 2 4 5 2 5" xfId="18796"/>
    <cellStyle name="Normal 3 2 2 2 4 5 2 6" xfId="22828"/>
    <cellStyle name="Normal 3 2 2 2 4 5 2 7" xfId="26860"/>
    <cellStyle name="Normal 3 2 2 2 4 5 2 8" xfId="30892"/>
    <cellStyle name="Normal 3 2 2 2 4 5 2 9" xfId="34924"/>
    <cellStyle name="Normal 3 2 2 2 4 5 3" xfId="7763"/>
    <cellStyle name="Normal 3 2 2 2 4 5 3 10" xfId="44053"/>
    <cellStyle name="Normal 3 2 2 2 4 5 3 11" xfId="48085"/>
    <cellStyle name="Normal 3 2 2 2 4 5 3 12" xfId="52164"/>
    <cellStyle name="Normal 3 2 2 2 4 5 3 2" xfId="11797"/>
    <cellStyle name="Normal 3 2 2 2 4 5 3 3" xfId="15829"/>
    <cellStyle name="Normal 3 2 2 2 4 5 3 4" xfId="19861"/>
    <cellStyle name="Normal 3 2 2 2 4 5 3 5" xfId="23893"/>
    <cellStyle name="Normal 3 2 2 2 4 5 3 6" xfId="27925"/>
    <cellStyle name="Normal 3 2 2 2 4 5 3 7" xfId="31957"/>
    <cellStyle name="Normal 3 2 2 2 4 5 3 8" xfId="35989"/>
    <cellStyle name="Normal 3 2 2 2 4 5 3 9" xfId="40021"/>
    <cellStyle name="Normal 3 2 2 2 4 5 4" xfId="9781"/>
    <cellStyle name="Normal 3 2 2 2 4 5 5" xfId="13813"/>
    <cellStyle name="Normal 3 2 2 2 4 5 6" xfId="17845"/>
    <cellStyle name="Normal 3 2 2 2 4 5 7" xfId="21877"/>
    <cellStyle name="Normal 3 2 2 2 4 5 8" xfId="25909"/>
    <cellStyle name="Normal 3 2 2 2 4 5 9" xfId="29941"/>
    <cellStyle name="Normal 3 2 2 2 4 6" xfId="4186"/>
    <cellStyle name="Normal 3 2 2 2 4 6 10" xfId="34042"/>
    <cellStyle name="Normal 3 2 2 2 4 6 11" xfId="38074"/>
    <cellStyle name="Normal 3 2 2 2 4 6 12" xfId="42106"/>
    <cellStyle name="Normal 3 2 2 2 4 6 13" xfId="46138"/>
    <cellStyle name="Normal 3 2 2 2 4 6 14" xfId="50216"/>
    <cellStyle name="Normal 3 2 2 2 4 6 2" xfId="6767"/>
    <cellStyle name="Normal 3 2 2 2 4 6 2 10" xfId="39025"/>
    <cellStyle name="Normal 3 2 2 2 4 6 2 11" xfId="43057"/>
    <cellStyle name="Normal 3 2 2 2 4 6 2 12" xfId="47089"/>
    <cellStyle name="Normal 3 2 2 2 4 6 2 13" xfId="51168"/>
    <cellStyle name="Normal 3 2 2 2 4 6 2 2" xfId="8783"/>
    <cellStyle name="Normal 3 2 2 2 4 6 2 2 10" xfId="45073"/>
    <cellStyle name="Normal 3 2 2 2 4 6 2 2 11" xfId="49105"/>
    <cellStyle name="Normal 3 2 2 2 4 6 2 2 12" xfId="53184"/>
    <cellStyle name="Normal 3 2 2 2 4 6 2 2 2" xfId="12817"/>
    <cellStyle name="Normal 3 2 2 2 4 6 2 2 3" xfId="16849"/>
    <cellStyle name="Normal 3 2 2 2 4 6 2 2 4" xfId="20881"/>
    <cellStyle name="Normal 3 2 2 2 4 6 2 2 5" xfId="24913"/>
    <cellStyle name="Normal 3 2 2 2 4 6 2 2 6" xfId="28945"/>
    <cellStyle name="Normal 3 2 2 2 4 6 2 2 7" xfId="32977"/>
    <cellStyle name="Normal 3 2 2 2 4 6 2 2 8" xfId="37009"/>
    <cellStyle name="Normal 3 2 2 2 4 6 2 2 9" xfId="41041"/>
    <cellStyle name="Normal 3 2 2 2 4 6 2 3" xfId="10801"/>
    <cellStyle name="Normal 3 2 2 2 4 6 2 4" xfId="14833"/>
    <cellStyle name="Normal 3 2 2 2 4 6 2 5" xfId="18865"/>
    <cellStyle name="Normal 3 2 2 2 4 6 2 6" xfId="22897"/>
    <cellStyle name="Normal 3 2 2 2 4 6 2 7" xfId="26929"/>
    <cellStyle name="Normal 3 2 2 2 4 6 2 8" xfId="30961"/>
    <cellStyle name="Normal 3 2 2 2 4 6 2 9" xfId="34993"/>
    <cellStyle name="Normal 3 2 2 2 4 6 3" xfId="7832"/>
    <cellStyle name="Normal 3 2 2 2 4 6 3 10" xfId="44122"/>
    <cellStyle name="Normal 3 2 2 2 4 6 3 11" xfId="48154"/>
    <cellStyle name="Normal 3 2 2 2 4 6 3 12" xfId="52233"/>
    <cellStyle name="Normal 3 2 2 2 4 6 3 2" xfId="11866"/>
    <cellStyle name="Normal 3 2 2 2 4 6 3 3" xfId="15898"/>
    <cellStyle name="Normal 3 2 2 2 4 6 3 4" xfId="19930"/>
    <cellStyle name="Normal 3 2 2 2 4 6 3 5" xfId="23962"/>
    <cellStyle name="Normal 3 2 2 2 4 6 3 6" xfId="27994"/>
    <cellStyle name="Normal 3 2 2 2 4 6 3 7" xfId="32026"/>
    <cellStyle name="Normal 3 2 2 2 4 6 3 8" xfId="36058"/>
    <cellStyle name="Normal 3 2 2 2 4 6 3 9" xfId="40090"/>
    <cellStyle name="Normal 3 2 2 2 4 6 4" xfId="9850"/>
    <cellStyle name="Normal 3 2 2 2 4 6 5" xfId="13882"/>
    <cellStyle name="Normal 3 2 2 2 4 6 6" xfId="17914"/>
    <cellStyle name="Normal 3 2 2 2 4 6 7" xfId="21946"/>
    <cellStyle name="Normal 3 2 2 2 4 6 8" xfId="25978"/>
    <cellStyle name="Normal 3 2 2 2 4 6 9" xfId="30010"/>
    <cellStyle name="Normal 3 2 2 2 4 7" xfId="4259"/>
    <cellStyle name="Normal 3 2 2 2 4 7 10" xfId="34111"/>
    <cellStyle name="Normal 3 2 2 2 4 7 11" xfId="38143"/>
    <cellStyle name="Normal 3 2 2 2 4 7 12" xfId="42175"/>
    <cellStyle name="Normal 3 2 2 2 4 7 13" xfId="46207"/>
    <cellStyle name="Normal 3 2 2 2 4 7 14" xfId="50285"/>
    <cellStyle name="Normal 3 2 2 2 4 7 2" xfId="6836"/>
    <cellStyle name="Normal 3 2 2 2 4 7 2 10" xfId="39094"/>
    <cellStyle name="Normal 3 2 2 2 4 7 2 11" xfId="43126"/>
    <cellStyle name="Normal 3 2 2 2 4 7 2 12" xfId="47158"/>
    <cellStyle name="Normal 3 2 2 2 4 7 2 13" xfId="51237"/>
    <cellStyle name="Normal 3 2 2 2 4 7 2 2" xfId="8852"/>
    <cellStyle name="Normal 3 2 2 2 4 7 2 2 10" xfId="45142"/>
    <cellStyle name="Normal 3 2 2 2 4 7 2 2 11" xfId="49174"/>
    <cellStyle name="Normal 3 2 2 2 4 7 2 2 12" xfId="53253"/>
    <cellStyle name="Normal 3 2 2 2 4 7 2 2 2" xfId="12886"/>
    <cellStyle name="Normal 3 2 2 2 4 7 2 2 3" xfId="16918"/>
    <cellStyle name="Normal 3 2 2 2 4 7 2 2 4" xfId="20950"/>
    <cellStyle name="Normal 3 2 2 2 4 7 2 2 5" xfId="24982"/>
    <cellStyle name="Normal 3 2 2 2 4 7 2 2 6" xfId="29014"/>
    <cellStyle name="Normal 3 2 2 2 4 7 2 2 7" xfId="33046"/>
    <cellStyle name="Normal 3 2 2 2 4 7 2 2 8" xfId="37078"/>
    <cellStyle name="Normal 3 2 2 2 4 7 2 2 9" xfId="41110"/>
    <cellStyle name="Normal 3 2 2 2 4 7 2 3" xfId="10870"/>
    <cellStyle name="Normal 3 2 2 2 4 7 2 4" xfId="14902"/>
    <cellStyle name="Normal 3 2 2 2 4 7 2 5" xfId="18934"/>
    <cellStyle name="Normal 3 2 2 2 4 7 2 6" xfId="22966"/>
    <cellStyle name="Normal 3 2 2 2 4 7 2 7" xfId="26998"/>
    <cellStyle name="Normal 3 2 2 2 4 7 2 8" xfId="31030"/>
    <cellStyle name="Normal 3 2 2 2 4 7 2 9" xfId="35062"/>
    <cellStyle name="Normal 3 2 2 2 4 7 3" xfId="7901"/>
    <cellStyle name="Normal 3 2 2 2 4 7 3 10" xfId="44191"/>
    <cellStyle name="Normal 3 2 2 2 4 7 3 11" xfId="48223"/>
    <cellStyle name="Normal 3 2 2 2 4 7 3 12" xfId="52302"/>
    <cellStyle name="Normal 3 2 2 2 4 7 3 2" xfId="11935"/>
    <cellStyle name="Normal 3 2 2 2 4 7 3 3" xfId="15967"/>
    <cellStyle name="Normal 3 2 2 2 4 7 3 4" xfId="19999"/>
    <cellStyle name="Normal 3 2 2 2 4 7 3 5" xfId="24031"/>
    <cellStyle name="Normal 3 2 2 2 4 7 3 6" xfId="28063"/>
    <cellStyle name="Normal 3 2 2 2 4 7 3 7" xfId="32095"/>
    <cellStyle name="Normal 3 2 2 2 4 7 3 8" xfId="36127"/>
    <cellStyle name="Normal 3 2 2 2 4 7 3 9" xfId="40159"/>
    <cellStyle name="Normal 3 2 2 2 4 7 4" xfId="9919"/>
    <cellStyle name="Normal 3 2 2 2 4 7 5" xfId="13951"/>
    <cellStyle name="Normal 3 2 2 2 4 7 6" xfId="17983"/>
    <cellStyle name="Normal 3 2 2 2 4 7 7" xfId="22015"/>
    <cellStyle name="Normal 3 2 2 2 4 7 8" xfId="26047"/>
    <cellStyle name="Normal 3 2 2 2 4 7 9" xfId="30079"/>
    <cellStyle name="Normal 3 2 2 2 4 8" xfId="4405"/>
    <cellStyle name="Normal 3 2 2 2 4 8 10" xfId="34249"/>
    <cellStyle name="Normal 3 2 2 2 4 8 11" xfId="38281"/>
    <cellStyle name="Normal 3 2 2 2 4 8 12" xfId="42313"/>
    <cellStyle name="Normal 3 2 2 2 4 8 13" xfId="46345"/>
    <cellStyle name="Normal 3 2 2 2 4 8 14" xfId="50424"/>
    <cellStyle name="Normal 3 2 2 2 4 8 2" xfId="6974"/>
    <cellStyle name="Normal 3 2 2 2 4 8 2 10" xfId="39232"/>
    <cellStyle name="Normal 3 2 2 2 4 8 2 11" xfId="43264"/>
    <cellStyle name="Normal 3 2 2 2 4 8 2 12" xfId="47296"/>
    <cellStyle name="Normal 3 2 2 2 4 8 2 13" xfId="51375"/>
    <cellStyle name="Normal 3 2 2 2 4 8 2 2" xfId="8990"/>
    <cellStyle name="Normal 3 2 2 2 4 8 2 2 10" xfId="45280"/>
    <cellStyle name="Normal 3 2 2 2 4 8 2 2 11" xfId="49312"/>
    <cellStyle name="Normal 3 2 2 2 4 8 2 2 12" xfId="53391"/>
    <cellStyle name="Normal 3 2 2 2 4 8 2 2 2" xfId="13024"/>
    <cellStyle name="Normal 3 2 2 2 4 8 2 2 3" xfId="17056"/>
    <cellStyle name="Normal 3 2 2 2 4 8 2 2 4" xfId="21088"/>
    <cellStyle name="Normal 3 2 2 2 4 8 2 2 5" xfId="25120"/>
    <cellStyle name="Normal 3 2 2 2 4 8 2 2 6" xfId="29152"/>
    <cellStyle name="Normal 3 2 2 2 4 8 2 2 7" xfId="33184"/>
    <cellStyle name="Normal 3 2 2 2 4 8 2 2 8" xfId="37216"/>
    <cellStyle name="Normal 3 2 2 2 4 8 2 2 9" xfId="41248"/>
    <cellStyle name="Normal 3 2 2 2 4 8 2 3" xfId="11008"/>
    <cellStyle name="Normal 3 2 2 2 4 8 2 4" xfId="15040"/>
    <cellStyle name="Normal 3 2 2 2 4 8 2 5" xfId="19072"/>
    <cellStyle name="Normal 3 2 2 2 4 8 2 6" xfId="23104"/>
    <cellStyle name="Normal 3 2 2 2 4 8 2 7" xfId="27136"/>
    <cellStyle name="Normal 3 2 2 2 4 8 2 8" xfId="31168"/>
    <cellStyle name="Normal 3 2 2 2 4 8 2 9" xfId="35200"/>
    <cellStyle name="Normal 3 2 2 2 4 8 3" xfId="8039"/>
    <cellStyle name="Normal 3 2 2 2 4 8 3 10" xfId="44329"/>
    <cellStyle name="Normal 3 2 2 2 4 8 3 11" xfId="48361"/>
    <cellStyle name="Normal 3 2 2 2 4 8 3 12" xfId="52440"/>
    <cellStyle name="Normal 3 2 2 2 4 8 3 2" xfId="12073"/>
    <cellStyle name="Normal 3 2 2 2 4 8 3 3" xfId="16105"/>
    <cellStyle name="Normal 3 2 2 2 4 8 3 4" xfId="20137"/>
    <cellStyle name="Normal 3 2 2 2 4 8 3 5" xfId="24169"/>
    <cellStyle name="Normal 3 2 2 2 4 8 3 6" xfId="28201"/>
    <cellStyle name="Normal 3 2 2 2 4 8 3 7" xfId="32233"/>
    <cellStyle name="Normal 3 2 2 2 4 8 3 8" xfId="36265"/>
    <cellStyle name="Normal 3 2 2 2 4 8 3 9" xfId="40297"/>
    <cellStyle name="Normal 3 2 2 2 4 8 4" xfId="10057"/>
    <cellStyle name="Normal 3 2 2 2 4 8 5" xfId="14089"/>
    <cellStyle name="Normal 3 2 2 2 4 8 6" xfId="18121"/>
    <cellStyle name="Normal 3 2 2 2 4 8 7" xfId="22153"/>
    <cellStyle name="Normal 3 2 2 2 4 8 8" xfId="26185"/>
    <cellStyle name="Normal 3 2 2 2 4 8 9" xfId="30217"/>
    <cellStyle name="Normal 3 2 2 2 4 9" xfId="4543"/>
    <cellStyle name="Normal 3 2 2 2 4 9 10" xfId="38419"/>
    <cellStyle name="Normal 3 2 2 2 4 9 11" xfId="42451"/>
    <cellStyle name="Normal 3 2 2 2 4 9 12" xfId="46483"/>
    <cellStyle name="Normal 3 2 2 2 4 9 13" xfId="50562"/>
    <cellStyle name="Normal 3 2 2 2 4 9 2" xfId="8177"/>
    <cellStyle name="Normal 3 2 2 2 4 9 2 10" xfId="44467"/>
    <cellStyle name="Normal 3 2 2 2 4 9 2 11" xfId="48499"/>
    <cellStyle name="Normal 3 2 2 2 4 9 2 12" xfId="52578"/>
    <cellStyle name="Normal 3 2 2 2 4 9 2 2" xfId="12211"/>
    <cellStyle name="Normal 3 2 2 2 4 9 2 3" xfId="16243"/>
    <cellStyle name="Normal 3 2 2 2 4 9 2 4" xfId="20275"/>
    <cellStyle name="Normal 3 2 2 2 4 9 2 5" xfId="24307"/>
    <cellStyle name="Normal 3 2 2 2 4 9 2 6" xfId="28339"/>
    <cellStyle name="Normal 3 2 2 2 4 9 2 7" xfId="32371"/>
    <cellStyle name="Normal 3 2 2 2 4 9 2 8" xfId="36403"/>
    <cellStyle name="Normal 3 2 2 2 4 9 2 9" xfId="40435"/>
    <cellStyle name="Normal 3 2 2 2 4 9 3" xfId="10195"/>
    <cellStyle name="Normal 3 2 2 2 4 9 4" xfId="14227"/>
    <cellStyle name="Normal 3 2 2 2 4 9 5" xfId="18259"/>
    <cellStyle name="Normal 3 2 2 2 4 9 6" xfId="22291"/>
    <cellStyle name="Normal 3 2 2 2 4 9 7" xfId="26323"/>
    <cellStyle name="Normal 3 2 2 2 4 9 8" xfId="30355"/>
    <cellStyle name="Normal 3 2 2 2 4 9 9" xfId="34387"/>
    <cellStyle name="Normal 3 2 2 2 5" xfId="201"/>
    <cellStyle name="Normal 3 2 2 2 5 10" xfId="21279"/>
    <cellStyle name="Normal 3 2 2 2 5 11" xfId="25311"/>
    <cellStyle name="Normal 3 2 2 2 5 12" xfId="29343"/>
    <cellStyle name="Normal 3 2 2 2 5 13" xfId="33375"/>
    <cellStyle name="Normal 3 2 2 2 5 14" xfId="37407"/>
    <cellStyle name="Normal 3 2 2 2 5 15" xfId="41439"/>
    <cellStyle name="Normal 3 2 2 2 5 16" xfId="45471"/>
    <cellStyle name="Normal 3 2 2 2 5 17" xfId="49549"/>
    <cellStyle name="Normal 3 2 2 2 5 2" xfId="4319"/>
    <cellStyle name="Normal 3 2 2 2 5 2 10" xfId="34164"/>
    <cellStyle name="Normal 3 2 2 2 5 2 11" xfId="38196"/>
    <cellStyle name="Normal 3 2 2 2 5 2 12" xfId="42228"/>
    <cellStyle name="Normal 3 2 2 2 5 2 13" xfId="46260"/>
    <cellStyle name="Normal 3 2 2 2 5 2 14" xfId="50339"/>
    <cellStyle name="Normal 3 2 2 2 5 2 2" xfId="6889"/>
    <cellStyle name="Normal 3 2 2 2 5 2 2 10" xfId="39147"/>
    <cellStyle name="Normal 3 2 2 2 5 2 2 11" xfId="43179"/>
    <cellStyle name="Normal 3 2 2 2 5 2 2 12" xfId="47211"/>
    <cellStyle name="Normal 3 2 2 2 5 2 2 13" xfId="51290"/>
    <cellStyle name="Normal 3 2 2 2 5 2 2 2" xfId="8905"/>
    <cellStyle name="Normal 3 2 2 2 5 2 2 2 10" xfId="45195"/>
    <cellStyle name="Normal 3 2 2 2 5 2 2 2 11" xfId="49227"/>
    <cellStyle name="Normal 3 2 2 2 5 2 2 2 12" xfId="53306"/>
    <cellStyle name="Normal 3 2 2 2 5 2 2 2 2" xfId="12939"/>
    <cellStyle name="Normal 3 2 2 2 5 2 2 2 3" xfId="16971"/>
    <cellStyle name="Normal 3 2 2 2 5 2 2 2 4" xfId="21003"/>
    <cellStyle name="Normal 3 2 2 2 5 2 2 2 5" xfId="25035"/>
    <cellStyle name="Normal 3 2 2 2 5 2 2 2 6" xfId="29067"/>
    <cellStyle name="Normal 3 2 2 2 5 2 2 2 7" xfId="33099"/>
    <cellStyle name="Normal 3 2 2 2 5 2 2 2 8" xfId="37131"/>
    <cellStyle name="Normal 3 2 2 2 5 2 2 2 9" xfId="41163"/>
    <cellStyle name="Normal 3 2 2 2 5 2 2 3" xfId="10923"/>
    <cellStyle name="Normal 3 2 2 2 5 2 2 4" xfId="14955"/>
    <cellStyle name="Normal 3 2 2 2 5 2 2 5" xfId="18987"/>
    <cellStyle name="Normal 3 2 2 2 5 2 2 6" xfId="23019"/>
    <cellStyle name="Normal 3 2 2 2 5 2 2 7" xfId="27051"/>
    <cellStyle name="Normal 3 2 2 2 5 2 2 8" xfId="31083"/>
    <cellStyle name="Normal 3 2 2 2 5 2 2 9" xfId="35115"/>
    <cellStyle name="Normal 3 2 2 2 5 2 3" xfId="7954"/>
    <cellStyle name="Normal 3 2 2 2 5 2 3 10" xfId="44244"/>
    <cellStyle name="Normal 3 2 2 2 5 2 3 11" xfId="48276"/>
    <cellStyle name="Normal 3 2 2 2 5 2 3 12" xfId="52355"/>
    <cellStyle name="Normal 3 2 2 2 5 2 3 2" xfId="11988"/>
    <cellStyle name="Normal 3 2 2 2 5 2 3 3" xfId="16020"/>
    <cellStyle name="Normal 3 2 2 2 5 2 3 4" xfId="20052"/>
    <cellStyle name="Normal 3 2 2 2 5 2 3 5" xfId="24084"/>
    <cellStyle name="Normal 3 2 2 2 5 2 3 6" xfId="28116"/>
    <cellStyle name="Normal 3 2 2 2 5 2 3 7" xfId="32148"/>
    <cellStyle name="Normal 3 2 2 2 5 2 3 8" xfId="36180"/>
    <cellStyle name="Normal 3 2 2 2 5 2 3 9" xfId="40212"/>
    <cellStyle name="Normal 3 2 2 2 5 2 4" xfId="9972"/>
    <cellStyle name="Normal 3 2 2 2 5 2 5" xfId="14004"/>
    <cellStyle name="Normal 3 2 2 2 5 2 6" xfId="18036"/>
    <cellStyle name="Normal 3 2 2 2 5 2 7" xfId="22068"/>
    <cellStyle name="Normal 3 2 2 2 5 2 8" xfId="26100"/>
    <cellStyle name="Normal 3 2 2 2 5 2 9" xfId="30132"/>
    <cellStyle name="Normal 3 2 2 2 5 3" xfId="4458"/>
    <cellStyle name="Normal 3 2 2 2 5 3 10" xfId="34302"/>
    <cellStyle name="Normal 3 2 2 2 5 3 11" xfId="38334"/>
    <cellStyle name="Normal 3 2 2 2 5 3 12" xfId="42366"/>
    <cellStyle name="Normal 3 2 2 2 5 3 13" xfId="46398"/>
    <cellStyle name="Normal 3 2 2 2 5 3 14" xfId="50477"/>
    <cellStyle name="Normal 3 2 2 2 5 3 2" xfId="7027"/>
    <cellStyle name="Normal 3 2 2 2 5 3 2 10" xfId="39285"/>
    <cellStyle name="Normal 3 2 2 2 5 3 2 11" xfId="43317"/>
    <cellStyle name="Normal 3 2 2 2 5 3 2 12" xfId="47349"/>
    <cellStyle name="Normal 3 2 2 2 5 3 2 13" xfId="51428"/>
    <cellStyle name="Normal 3 2 2 2 5 3 2 2" xfId="9043"/>
    <cellStyle name="Normal 3 2 2 2 5 3 2 2 10" xfId="45333"/>
    <cellStyle name="Normal 3 2 2 2 5 3 2 2 11" xfId="49365"/>
    <cellStyle name="Normal 3 2 2 2 5 3 2 2 12" xfId="53444"/>
    <cellStyle name="Normal 3 2 2 2 5 3 2 2 2" xfId="13077"/>
    <cellStyle name="Normal 3 2 2 2 5 3 2 2 3" xfId="17109"/>
    <cellStyle name="Normal 3 2 2 2 5 3 2 2 4" xfId="21141"/>
    <cellStyle name="Normal 3 2 2 2 5 3 2 2 5" xfId="25173"/>
    <cellStyle name="Normal 3 2 2 2 5 3 2 2 6" xfId="29205"/>
    <cellStyle name="Normal 3 2 2 2 5 3 2 2 7" xfId="33237"/>
    <cellStyle name="Normal 3 2 2 2 5 3 2 2 8" xfId="37269"/>
    <cellStyle name="Normal 3 2 2 2 5 3 2 2 9" xfId="41301"/>
    <cellStyle name="Normal 3 2 2 2 5 3 2 3" xfId="11061"/>
    <cellStyle name="Normal 3 2 2 2 5 3 2 4" xfId="15093"/>
    <cellStyle name="Normal 3 2 2 2 5 3 2 5" xfId="19125"/>
    <cellStyle name="Normal 3 2 2 2 5 3 2 6" xfId="23157"/>
    <cellStyle name="Normal 3 2 2 2 5 3 2 7" xfId="27189"/>
    <cellStyle name="Normal 3 2 2 2 5 3 2 8" xfId="31221"/>
    <cellStyle name="Normal 3 2 2 2 5 3 2 9" xfId="35253"/>
    <cellStyle name="Normal 3 2 2 2 5 3 3" xfId="8092"/>
    <cellStyle name="Normal 3 2 2 2 5 3 3 10" xfId="44382"/>
    <cellStyle name="Normal 3 2 2 2 5 3 3 11" xfId="48414"/>
    <cellStyle name="Normal 3 2 2 2 5 3 3 12" xfId="52493"/>
    <cellStyle name="Normal 3 2 2 2 5 3 3 2" xfId="12126"/>
    <cellStyle name="Normal 3 2 2 2 5 3 3 3" xfId="16158"/>
    <cellStyle name="Normal 3 2 2 2 5 3 3 4" xfId="20190"/>
    <cellStyle name="Normal 3 2 2 2 5 3 3 5" xfId="24222"/>
    <cellStyle name="Normal 3 2 2 2 5 3 3 6" xfId="28254"/>
    <cellStyle name="Normal 3 2 2 2 5 3 3 7" xfId="32286"/>
    <cellStyle name="Normal 3 2 2 2 5 3 3 8" xfId="36318"/>
    <cellStyle name="Normal 3 2 2 2 5 3 3 9" xfId="40350"/>
    <cellStyle name="Normal 3 2 2 2 5 3 4" xfId="10110"/>
    <cellStyle name="Normal 3 2 2 2 5 3 5" xfId="14142"/>
    <cellStyle name="Normal 3 2 2 2 5 3 6" xfId="18174"/>
    <cellStyle name="Normal 3 2 2 2 5 3 7" xfId="22206"/>
    <cellStyle name="Normal 3 2 2 2 5 3 8" xfId="26238"/>
    <cellStyle name="Normal 3 2 2 2 5 3 9" xfId="30270"/>
    <cellStyle name="Normal 3 2 2 2 5 4" xfId="4598"/>
    <cellStyle name="Normal 3 2 2 2 5 4 10" xfId="38472"/>
    <cellStyle name="Normal 3 2 2 2 5 4 11" xfId="42504"/>
    <cellStyle name="Normal 3 2 2 2 5 4 12" xfId="46536"/>
    <cellStyle name="Normal 3 2 2 2 5 4 13" xfId="50615"/>
    <cellStyle name="Normal 3 2 2 2 5 4 2" xfId="8230"/>
    <cellStyle name="Normal 3 2 2 2 5 4 2 10" xfId="44520"/>
    <cellStyle name="Normal 3 2 2 2 5 4 2 11" xfId="48552"/>
    <cellStyle name="Normal 3 2 2 2 5 4 2 12" xfId="52631"/>
    <cellStyle name="Normal 3 2 2 2 5 4 2 2" xfId="12264"/>
    <cellStyle name="Normal 3 2 2 2 5 4 2 3" xfId="16296"/>
    <cellStyle name="Normal 3 2 2 2 5 4 2 4" xfId="20328"/>
    <cellStyle name="Normal 3 2 2 2 5 4 2 5" xfId="24360"/>
    <cellStyle name="Normal 3 2 2 2 5 4 2 6" xfId="28392"/>
    <cellStyle name="Normal 3 2 2 2 5 4 2 7" xfId="32424"/>
    <cellStyle name="Normal 3 2 2 2 5 4 2 8" xfId="36456"/>
    <cellStyle name="Normal 3 2 2 2 5 4 2 9" xfId="40488"/>
    <cellStyle name="Normal 3 2 2 2 5 4 3" xfId="10248"/>
    <cellStyle name="Normal 3 2 2 2 5 4 4" xfId="14280"/>
    <cellStyle name="Normal 3 2 2 2 5 4 5" xfId="18312"/>
    <cellStyle name="Normal 3 2 2 2 5 4 6" xfId="22344"/>
    <cellStyle name="Normal 3 2 2 2 5 4 7" xfId="26376"/>
    <cellStyle name="Normal 3 2 2 2 5 4 8" xfId="30408"/>
    <cellStyle name="Normal 3 2 2 2 5 4 9" xfId="34440"/>
    <cellStyle name="Normal 3 2 2 2 5 5" xfId="325"/>
    <cellStyle name="Normal 3 2 2 2 5 5 10" xfId="37530"/>
    <cellStyle name="Normal 3 2 2 2 5 5 11" xfId="41562"/>
    <cellStyle name="Normal 3 2 2 2 5 5 12" xfId="45594"/>
    <cellStyle name="Normal 3 2 2 2 5 5 13" xfId="49672"/>
    <cellStyle name="Normal 3 2 2 2 5 5 2" xfId="7288"/>
    <cellStyle name="Normal 3 2 2 2 5 5 2 10" xfId="43578"/>
    <cellStyle name="Normal 3 2 2 2 5 5 2 11" xfId="47610"/>
    <cellStyle name="Normal 3 2 2 2 5 5 2 12" xfId="51689"/>
    <cellStyle name="Normal 3 2 2 2 5 5 2 2" xfId="11322"/>
    <cellStyle name="Normal 3 2 2 2 5 5 2 3" xfId="15354"/>
    <cellStyle name="Normal 3 2 2 2 5 5 2 4" xfId="19386"/>
    <cellStyle name="Normal 3 2 2 2 5 5 2 5" xfId="23418"/>
    <cellStyle name="Normal 3 2 2 2 5 5 2 6" xfId="27450"/>
    <cellStyle name="Normal 3 2 2 2 5 5 2 7" xfId="31482"/>
    <cellStyle name="Normal 3 2 2 2 5 5 2 8" xfId="35514"/>
    <cellStyle name="Normal 3 2 2 2 5 5 2 9" xfId="39546"/>
    <cellStyle name="Normal 3 2 2 2 5 5 3" xfId="9306"/>
    <cellStyle name="Normal 3 2 2 2 5 5 4" xfId="13338"/>
    <cellStyle name="Normal 3 2 2 2 5 5 5" xfId="17370"/>
    <cellStyle name="Normal 3 2 2 2 5 5 6" xfId="21402"/>
    <cellStyle name="Normal 3 2 2 2 5 5 7" xfId="25434"/>
    <cellStyle name="Normal 3 2 2 2 5 5 8" xfId="29466"/>
    <cellStyle name="Normal 3 2 2 2 5 5 9" xfId="33498"/>
    <cellStyle name="Normal 3 2 2 2 5 6" xfId="7165"/>
    <cellStyle name="Normal 3 2 2 2 5 6 10" xfId="43455"/>
    <cellStyle name="Normal 3 2 2 2 5 6 11" xfId="47487"/>
    <cellStyle name="Normal 3 2 2 2 5 6 12" xfId="51566"/>
    <cellStyle name="Normal 3 2 2 2 5 6 2" xfId="11199"/>
    <cellStyle name="Normal 3 2 2 2 5 6 3" xfId="15231"/>
    <cellStyle name="Normal 3 2 2 2 5 6 4" xfId="19263"/>
    <cellStyle name="Normal 3 2 2 2 5 6 5" xfId="23295"/>
    <cellStyle name="Normal 3 2 2 2 5 6 6" xfId="27327"/>
    <cellStyle name="Normal 3 2 2 2 5 6 7" xfId="31359"/>
    <cellStyle name="Normal 3 2 2 2 5 6 8" xfId="35391"/>
    <cellStyle name="Normal 3 2 2 2 5 6 9" xfId="39423"/>
    <cellStyle name="Normal 3 2 2 2 5 7" xfId="9183"/>
    <cellStyle name="Normal 3 2 2 2 5 8" xfId="13215"/>
    <cellStyle name="Normal 3 2 2 2 5 9" xfId="17247"/>
    <cellStyle name="Normal 3 2 2 2 6" xfId="1635"/>
    <cellStyle name="Normal 3 2 2 2 6 10" xfId="33596"/>
    <cellStyle name="Normal 3 2 2 2 6 11" xfId="37628"/>
    <cellStyle name="Normal 3 2 2 2 6 12" xfId="41660"/>
    <cellStyle name="Normal 3 2 2 2 6 13" xfId="45692"/>
    <cellStyle name="Normal 3 2 2 2 6 14" xfId="49770"/>
    <cellStyle name="Normal 3 2 2 2 6 2" xfId="5324"/>
    <cellStyle name="Normal 3 2 2 2 6 2 10" xfId="38592"/>
    <cellStyle name="Normal 3 2 2 2 6 2 11" xfId="42624"/>
    <cellStyle name="Normal 3 2 2 2 6 2 12" xfId="46656"/>
    <cellStyle name="Normal 3 2 2 2 6 2 13" xfId="50735"/>
    <cellStyle name="Normal 3 2 2 2 6 2 2" xfId="8350"/>
    <cellStyle name="Normal 3 2 2 2 6 2 2 10" xfId="44640"/>
    <cellStyle name="Normal 3 2 2 2 6 2 2 11" xfId="48672"/>
    <cellStyle name="Normal 3 2 2 2 6 2 2 12" xfId="52751"/>
    <cellStyle name="Normal 3 2 2 2 6 2 2 2" xfId="12384"/>
    <cellStyle name="Normal 3 2 2 2 6 2 2 3" xfId="16416"/>
    <cellStyle name="Normal 3 2 2 2 6 2 2 4" xfId="20448"/>
    <cellStyle name="Normal 3 2 2 2 6 2 2 5" xfId="24480"/>
    <cellStyle name="Normal 3 2 2 2 6 2 2 6" xfId="28512"/>
    <cellStyle name="Normal 3 2 2 2 6 2 2 7" xfId="32544"/>
    <cellStyle name="Normal 3 2 2 2 6 2 2 8" xfId="36576"/>
    <cellStyle name="Normal 3 2 2 2 6 2 2 9" xfId="40608"/>
    <cellStyle name="Normal 3 2 2 2 6 2 3" xfId="10368"/>
    <cellStyle name="Normal 3 2 2 2 6 2 4" xfId="14400"/>
    <cellStyle name="Normal 3 2 2 2 6 2 5" xfId="18432"/>
    <cellStyle name="Normal 3 2 2 2 6 2 6" xfId="22464"/>
    <cellStyle name="Normal 3 2 2 2 6 2 7" xfId="26496"/>
    <cellStyle name="Normal 3 2 2 2 6 2 8" xfId="30528"/>
    <cellStyle name="Normal 3 2 2 2 6 2 9" xfId="34560"/>
    <cellStyle name="Normal 3 2 2 2 6 3" xfId="7386"/>
    <cellStyle name="Normal 3 2 2 2 6 3 10" xfId="43676"/>
    <cellStyle name="Normal 3 2 2 2 6 3 11" xfId="47708"/>
    <cellStyle name="Normal 3 2 2 2 6 3 12" xfId="51787"/>
    <cellStyle name="Normal 3 2 2 2 6 3 2" xfId="11420"/>
    <cellStyle name="Normal 3 2 2 2 6 3 3" xfId="15452"/>
    <cellStyle name="Normal 3 2 2 2 6 3 4" xfId="19484"/>
    <cellStyle name="Normal 3 2 2 2 6 3 5" xfId="23516"/>
    <cellStyle name="Normal 3 2 2 2 6 3 6" xfId="27548"/>
    <cellStyle name="Normal 3 2 2 2 6 3 7" xfId="31580"/>
    <cellStyle name="Normal 3 2 2 2 6 3 8" xfId="35612"/>
    <cellStyle name="Normal 3 2 2 2 6 3 9" xfId="39644"/>
    <cellStyle name="Normal 3 2 2 2 6 4" xfId="9404"/>
    <cellStyle name="Normal 3 2 2 2 6 5" xfId="13436"/>
    <cellStyle name="Normal 3 2 2 2 6 6" xfId="17468"/>
    <cellStyle name="Normal 3 2 2 2 6 7" xfId="21500"/>
    <cellStyle name="Normal 3 2 2 2 6 8" xfId="25532"/>
    <cellStyle name="Normal 3 2 2 2 6 9" xfId="29564"/>
    <cellStyle name="Normal 3 2 2 2 7" xfId="1709"/>
    <cellStyle name="Normal 3 2 2 2 7 10" xfId="33665"/>
    <cellStyle name="Normal 3 2 2 2 7 11" xfId="37697"/>
    <cellStyle name="Normal 3 2 2 2 7 12" xfId="41729"/>
    <cellStyle name="Normal 3 2 2 2 7 13" xfId="45761"/>
    <cellStyle name="Normal 3 2 2 2 7 14" xfId="49839"/>
    <cellStyle name="Normal 3 2 2 2 7 2" xfId="5380"/>
    <cellStyle name="Normal 3 2 2 2 7 2 10" xfId="38648"/>
    <cellStyle name="Normal 3 2 2 2 7 2 11" xfId="42680"/>
    <cellStyle name="Normal 3 2 2 2 7 2 12" xfId="46712"/>
    <cellStyle name="Normal 3 2 2 2 7 2 13" xfId="50791"/>
    <cellStyle name="Normal 3 2 2 2 7 2 2" xfId="8406"/>
    <cellStyle name="Normal 3 2 2 2 7 2 2 10" xfId="44696"/>
    <cellStyle name="Normal 3 2 2 2 7 2 2 11" xfId="48728"/>
    <cellStyle name="Normal 3 2 2 2 7 2 2 12" xfId="52807"/>
    <cellStyle name="Normal 3 2 2 2 7 2 2 2" xfId="12440"/>
    <cellStyle name="Normal 3 2 2 2 7 2 2 3" xfId="16472"/>
    <cellStyle name="Normal 3 2 2 2 7 2 2 4" xfId="20504"/>
    <cellStyle name="Normal 3 2 2 2 7 2 2 5" xfId="24536"/>
    <cellStyle name="Normal 3 2 2 2 7 2 2 6" xfId="28568"/>
    <cellStyle name="Normal 3 2 2 2 7 2 2 7" xfId="32600"/>
    <cellStyle name="Normal 3 2 2 2 7 2 2 8" xfId="36632"/>
    <cellStyle name="Normal 3 2 2 2 7 2 2 9" xfId="40664"/>
    <cellStyle name="Normal 3 2 2 2 7 2 3" xfId="10424"/>
    <cellStyle name="Normal 3 2 2 2 7 2 4" xfId="14456"/>
    <cellStyle name="Normal 3 2 2 2 7 2 5" xfId="18488"/>
    <cellStyle name="Normal 3 2 2 2 7 2 6" xfId="22520"/>
    <cellStyle name="Normal 3 2 2 2 7 2 7" xfId="26552"/>
    <cellStyle name="Normal 3 2 2 2 7 2 8" xfId="30584"/>
    <cellStyle name="Normal 3 2 2 2 7 2 9" xfId="34616"/>
    <cellStyle name="Normal 3 2 2 2 7 3" xfId="7455"/>
    <cellStyle name="Normal 3 2 2 2 7 3 10" xfId="43745"/>
    <cellStyle name="Normal 3 2 2 2 7 3 11" xfId="47777"/>
    <cellStyle name="Normal 3 2 2 2 7 3 12" xfId="51856"/>
    <cellStyle name="Normal 3 2 2 2 7 3 2" xfId="11489"/>
    <cellStyle name="Normal 3 2 2 2 7 3 3" xfId="15521"/>
    <cellStyle name="Normal 3 2 2 2 7 3 4" xfId="19553"/>
    <cellStyle name="Normal 3 2 2 2 7 3 5" xfId="23585"/>
    <cellStyle name="Normal 3 2 2 2 7 3 6" xfId="27617"/>
    <cellStyle name="Normal 3 2 2 2 7 3 7" xfId="31649"/>
    <cellStyle name="Normal 3 2 2 2 7 3 8" xfId="35681"/>
    <cellStyle name="Normal 3 2 2 2 7 3 9" xfId="39713"/>
    <cellStyle name="Normal 3 2 2 2 7 4" xfId="9473"/>
    <cellStyle name="Normal 3 2 2 2 7 5" xfId="13505"/>
    <cellStyle name="Normal 3 2 2 2 7 6" xfId="17537"/>
    <cellStyle name="Normal 3 2 2 2 7 7" xfId="21569"/>
    <cellStyle name="Normal 3 2 2 2 7 8" xfId="25601"/>
    <cellStyle name="Normal 3 2 2 2 7 9" xfId="29633"/>
    <cellStyle name="Normal 3 2 2 2 8" xfId="4031"/>
    <cellStyle name="Normal 3 2 2 2 8 10" xfId="33888"/>
    <cellStyle name="Normal 3 2 2 2 8 11" xfId="37920"/>
    <cellStyle name="Normal 3 2 2 2 8 12" xfId="41952"/>
    <cellStyle name="Normal 3 2 2 2 8 13" xfId="45984"/>
    <cellStyle name="Normal 3 2 2 2 8 14" xfId="50062"/>
    <cellStyle name="Normal 3 2 2 2 8 2" xfId="6613"/>
    <cellStyle name="Normal 3 2 2 2 8 2 10" xfId="38871"/>
    <cellStyle name="Normal 3 2 2 2 8 2 11" xfId="42903"/>
    <cellStyle name="Normal 3 2 2 2 8 2 12" xfId="46935"/>
    <cellStyle name="Normal 3 2 2 2 8 2 13" xfId="51014"/>
    <cellStyle name="Normal 3 2 2 2 8 2 2" xfId="8629"/>
    <cellStyle name="Normal 3 2 2 2 8 2 2 10" xfId="44919"/>
    <cellStyle name="Normal 3 2 2 2 8 2 2 11" xfId="48951"/>
    <cellStyle name="Normal 3 2 2 2 8 2 2 12" xfId="53030"/>
    <cellStyle name="Normal 3 2 2 2 8 2 2 2" xfId="12663"/>
    <cellStyle name="Normal 3 2 2 2 8 2 2 3" xfId="16695"/>
    <cellStyle name="Normal 3 2 2 2 8 2 2 4" xfId="20727"/>
    <cellStyle name="Normal 3 2 2 2 8 2 2 5" xfId="24759"/>
    <cellStyle name="Normal 3 2 2 2 8 2 2 6" xfId="28791"/>
    <cellStyle name="Normal 3 2 2 2 8 2 2 7" xfId="32823"/>
    <cellStyle name="Normal 3 2 2 2 8 2 2 8" xfId="36855"/>
    <cellStyle name="Normal 3 2 2 2 8 2 2 9" xfId="40887"/>
    <cellStyle name="Normal 3 2 2 2 8 2 3" xfId="10647"/>
    <cellStyle name="Normal 3 2 2 2 8 2 4" xfId="14679"/>
    <cellStyle name="Normal 3 2 2 2 8 2 5" xfId="18711"/>
    <cellStyle name="Normal 3 2 2 2 8 2 6" xfId="22743"/>
    <cellStyle name="Normal 3 2 2 2 8 2 7" xfId="26775"/>
    <cellStyle name="Normal 3 2 2 2 8 2 8" xfId="30807"/>
    <cellStyle name="Normal 3 2 2 2 8 2 9" xfId="34839"/>
    <cellStyle name="Normal 3 2 2 2 8 3" xfId="7678"/>
    <cellStyle name="Normal 3 2 2 2 8 3 10" xfId="43968"/>
    <cellStyle name="Normal 3 2 2 2 8 3 11" xfId="48000"/>
    <cellStyle name="Normal 3 2 2 2 8 3 12" xfId="52079"/>
    <cellStyle name="Normal 3 2 2 2 8 3 2" xfId="11712"/>
    <cellStyle name="Normal 3 2 2 2 8 3 3" xfId="15744"/>
    <cellStyle name="Normal 3 2 2 2 8 3 4" xfId="19776"/>
    <cellStyle name="Normal 3 2 2 2 8 3 5" xfId="23808"/>
    <cellStyle name="Normal 3 2 2 2 8 3 6" xfId="27840"/>
    <cellStyle name="Normal 3 2 2 2 8 3 7" xfId="31872"/>
    <cellStyle name="Normal 3 2 2 2 8 3 8" xfId="35904"/>
    <cellStyle name="Normal 3 2 2 2 8 3 9" xfId="39936"/>
    <cellStyle name="Normal 3 2 2 2 8 4" xfId="9696"/>
    <cellStyle name="Normal 3 2 2 2 8 5" xfId="13728"/>
    <cellStyle name="Normal 3 2 2 2 8 6" xfId="17760"/>
    <cellStyle name="Normal 3 2 2 2 8 7" xfId="21792"/>
    <cellStyle name="Normal 3 2 2 2 8 8" xfId="25824"/>
    <cellStyle name="Normal 3 2 2 2 8 9" xfId="29856"/>
    <cellStyle name="Normal 3 2 2 2 9" xfId="4101"/>
    <cellStyle name="Normal 3 2 2 2 9 10" xfId="33957"/>
    <cellStyle name="Normal 3 2 2 2 9 11" xfId="37989"/>
    <cellStyle name="Normal 3 2 2 2 9 12" xfId="42021"/>
    <cellStyle name="Normal 3 2 2 2 9 13" xfId="46053"/>
    <cellStyle name="Normal 3 2 2 2 9 14" xfId="50131"/>
    <cellStyle name="Normal 3 2 2 2 9 2" xfId="6682"/>
    <cellStyle name="Normal 3 2 2 2 9 2 10" xfId="38940"/>
    <cellStyle name="Normal 3 2 2 2 9 2 11" xfId="42972"/>
    <cellStyle name="Normal 3 2 2 2 9 2 12" xfId="47004"/>
    <cellStyle name="Normal 3 2 2 2 9 2 13" xfId="51083"/>
    <cellStyle name="Normal 3 2 2 2 9 2 2" xfId="8698"/>
    <cellStyle name="Normal 3 2 2 2 9 2 2 10" xfId="44988"/>
    <cellStyle name="Normal 3 2 2 2 9 2 2 11" xfId="49020"/>
    <cellStyle name="Normal 3 2 2 2 9 2 2 12" xfId="53099"/>
    <cellStyle name="Normal 3 2 2 2 9 2 2 2" xfId="12732"/>
    <cellStyle name="Normal 3 2 2 2 9 2 2 3" xfId="16764"/>
    <cellStyle name="Normal 3 2 2 2 9 2 2 4" xfId="20796"/>
    <cellStyle name="Normal 3 2 2 2 9 2 2 5" xfId="24828"/>
    <cellStyle name="Normal 3 2 2 2 9 2 2 6" xfId="28860"/>
    <cellStyle name="Normal 3 2 2 2 9 2 2 7" xfId="32892"/>
    <cellStyle name="Normal 3 2 2 2 9 2 2 8" xfId="36924"/>
    <cellStyle name="Normal 3 2 2 2 9 2 2 9" xfId="40956"/>
    <cellStyle name="Normal 3 2 2 2 9 2 3" xfId="10716"/>
    <cellStyle name="Normal 3 2 2 2 9 2 4" xfId="14748"/>
    <cellStyle name="Normal 3 2 2 2 9 2 5" xfId="18780"/>
    <cellStyle name="Normal 3 2 2 2 9 2 6" xfId="22812"/>
    <cellStyle name="Normal 3 2 2 2 9 2 7" xfId="26844"/>
    <cellStyle name="Normal 3 2 2 2 9 2 8" xfId="30876"/>
    <cellStyle name="Normal 3 2 2 2 9 2 9" xfId="34908"/>
    <cellStyle name="Normal 3 2 2 2 9 3" xfId="7747"/>
    <cellStyle name="Normal 3 2 2 2 9 3 10" xfId="44037"/>
    <cellStyle name="Normal 3 2 2 2 9 3 11" xfId="48069"/>
    <cellStyle name="Normal 3 2 2 2 9 3 12" xfId="52148"/>
    <cellStyle name="Normal 3 2 2 2 9 3 2" xfId="11781"/>
    <cellStyle name="Normal 3 2 2 2 9 3 3" xfId="15813"/>
    <cellStyle name="Normal 3 2 2 2 9 3 4" xfId="19845"/>
    <cellStyle name="Normal 3 2 2 2 9 3 5" xfId="23877"/>
    <cellStyle name="Normal 3 2 2 2 9 3 6" xfId="27909"/>
    <cellStyle name="Normal 3 2 2 2 9 3 7" xfId="31941"/>
    <cellStyle name="Normal 3 2 2 2 9 3 8" xfId="35973"/>
    <cellStyle name="Normal 3 2 2 2 9 3 9" xfId="40005"/>
    <cellStyle name="Normal 3 2 2 2 9 4" xfId="9765"/>
    <cellStyle name="Normal 3 2 2 2 9 5" xfId="13797"/>
    <cellStyle name="Normal 3 2 2 2 9 6" xfId="17829"/>
    <cellStyle name="Normal 3 2 2 2 9 7" xfId="21861"/>
    <cellStyle name="Normal 3 2 2 2 9 8" xfId="25893"/>
    <cellStyle name="Normal 3 2 2 2 9 9" xfId="29925"/>
    <cellStyle name="Normal 3 2 2 20" xfId="107"/>
    <cellStyle name="Normal 3 2 2 21" xfId="9102"/>
    <cellStyle name="Normal 3 2 2 22" xfId="13134"/>
    <cellStyle name="Normal 3 2 2 23" xfId="17166"/>
    <cellStyle name="Normal 3 2 2 24" xfId="21198"/>
    <cellStyle name="Normal 3 2 2 25" xfId="25230"/>
    <cellStyle name="Normal 3 2 2 26" xfId="29262"/>
    <cellStyle name="Normal 3 2 2 27" xfId="33294"/>
    <cellStyle name="Normal 3 2 2 28" xfId="37326"/>
    <cellStyle name="Normal 3 2 2 29" xfId="41358"/>
    <cellStyle name="Normal 3 2 2 3" xfId="38"/>
    <cellStyle name="Normal 3 2 2 3 10" xfId="4164"/>
    <cellStyle name="Normal 3 2 2 3 10 10" xfId="34020"/>
    <cellStyle name="Normal 3 2 2 3 10 11" xfId="38052"/>
    <cellStyle name="Normal 3 2 2 3 10 12" xfId="42084"/>
    <cellStyle name="Normal 3 2 2 3 10 13" xfId="46116"/>
    <cellStyle name="Normal 3 2 2 3 10 14" xfId="50194"/>
    <cellStyle name="Normal 3 2 2 3 10 2" xfId="6745"/>
    <cellStyle name="Normal 3 2 2 3 10 2 10" xfId="39003"/>
    <cellStyle name="Normal 3 2 2 3 10 2 11" xfId="43035"/>
    <cellStyle name="Normal 3 2 2 3 10 2 12" xfId="47067"/>
    <cellStyle name="Normal 3 2 2 3 10 2 13" xfId="51146"/>
    <cellStyle name="Normal 3 2 2 3 10 2 2" xfId="8761"/>
    <cellStyle name="Normal 3 2 2 3 10 2 2 10" xfId="45051"/>
    <cellStyle name="Normal 3 2 2 3 10 2 2 11" xfId="49083"/>
    <cellStyle name="Normal 3 2 2 3 10 2 2 12" xfId="53162"/>
    <cellStyle name="Normal 3 2 2 3 10 2 2 2" xfId="12795"/>
    <cellStyle name="Normal 3 2 2 3 10 2 2 3" xfId="16827"/>
    <cellStyle name="Normal 3 2 2 3 10 2 2 4" xfId="20859"/>
    <cellStyle name="Normal 3 2 2 3 10 2 2 5" xfId="24891"/>
    <cellStyle name="Normal 3 2 2 3 10 2 2 6" xfId="28923"/>
    <cellStyle name="Normal 3 2 2 3 10 2 2 7" xfId="32955"/>
    <cellStyle name="Normal 3 2 2 3 10 2 2 8" xfId="36987"/>
    <cellStyle name="Normal 3 2 2 3 10 2 2 9" xfId="41019"/>
    <cellStyle name="Normal 3 2 2 3 10 2 3" xfId="10779"/>
    <cellStyle name="Normal 3 2 2 3 10 2 4" xfId="14811"/>
    <cellStyle name="Normal 3 2 2 3 10 2 5" xfId="18843"/>
    <cellStyle name="Normal 3 2 2 3 10 2 6" xfId="22875"/>
    <cellStyle name="Normal 3 2 2 3 10 2 7" xfId="26907"/>
    <cellStyle name="Normal 3 2 2 3 10 2 8" xfId="30939"/>
    <cellStyle name="Normal 3 2 2 3 10 2 9" xfId="34971"/>
    <cellStyle name="Normal 3 2 2 3 10 3" xfId="7810"/>
    <cellStyle name="Normal 3 2 2 3 10 3 10" xfId="44100"/>
    <cellStyle name="Normal 3 2 2 3 10 3 11" xfId="48132"/>
    <cellStyle name="Normal 3 2 2 3 10 3 12" xfId="52211"/>
    <cellStyle name="Normal 3 2 2 3 10 3 2" xfId="11844"/>
    <cellStyle name="Normal 3 2 2 3 10 3 3" xfId="15876"/>
    <cellStyle name="Normal 3 2 2 3 10 3 4" xfId="19908"/>
    <cellStyle name="Normal 3 2 2 3 10 3 5" xfId="23940"/>
    <cellStyle name="Normal 3 2 2 3 10 3 6" xfId="27972"/>
    <cellStyle name="Normal 3 2 2 3 10 3 7" xfId="32004"/>
    <cellStyle name="Normal 3 2 2 3 10 3 8" xfId="36036"/>
    <cellStyle name="Normal 3 2 2 3 10 3 9" xfId="40068"/>
    <cellStyle name="Normal 3 2 2 3 10 4" xfId="9828"/>
    <cellStyle name="Normal 3 2 2 3 10 5" xfId="13860"/>
    <cellStyle name="Normal 3 2 2 3 10 6" xfId="17892"/>
    <cellStyle name="Normal 3 2 2 3 10 7" xfId="21924"/>
    <cellStyle name="Normal 3 2 2 3 10 8" xfId="25956"/>
    <cellStyle name="Normal 3 2 2 3 10 9" xfId="29988"/>
    <cellStyle name="Normal 3 2 2 3 11" xfId="4234"/>
    <cellStyle name="Normal 3 2 2 3 11 10" xfId="34089"/>
    <cellStyle name="Normal 3 2 2 3 11 11" xfId="38121"/>
    <cellStyle name="Normal 3 2 2 3 11 12" xfId="42153"/>
    <cellStyle name="Normal 3 2 2 3 11 13" xfId="46185"/>
    <cellStyle name="Normal 3 2 2 3 11 14" xfId="50263"/>
    <cellStyle name="Normal 3 2 2 3 11 2" xfId="6814"/>
    <cellStyle name="Normal 3 2 2 3 11 2 10" xfId="39072"/>
    <cellStyle name="Normal 3 2 2 3 11 2 11" xfId="43104"/>
    <cellStyle name="Normal 3 2 2 3 11 2 12" xfId="47136"/>
    <cellStyle name="Normal 3 2 2 3 11 2 13" xfId="51215"/>
    <cellStyle name="Normal 3 2 2 3 11 2 2" xfId="8830"/>
    <cellStyle name="Normal 3 2 2 3 11 2 2 10" xfId="45120"/>
    <cellStyle name="Normal 3 2 2 3 11 2 2 11" xfId="49152"/>
    <cellStyle name="Normal 3 2 2 3 11 2 2 12" xfId="53231"/>
    <cellStyle name="Normal 3 2 2 3 11 2 2 2" xfId="12864"/>
    <cellStyle name="Normal 3 2 2 3 11 2 2 3" xfId="16896"/>
    <cellStyle name="Normal 3 2 2 3 11 2 2 4" xfId="20928"/>
    <cellStyle name="Normal 3 2 2 3 11 2 2 5" xfId="24960"/>
    <cellStyle name="Normal 3 2 2 3 11 2 2 6" xfId="28992"/>
    <cellStyle name="Normal 3 2 2 3 11 2 2 7" xfId="33024"/>
    <cellStyle name="Normal 3 2 2 3 11 2 2 8" xfId="37056"/>
    <cellStyle name="Normal 3 2 2 3 11 2 2 9" xfId="41088"/>
    <cellStyle name="Normal 3 2 2 3 11 2 3" xfId="10848"/>
    <cellStyle name="Normal 3 2 2 3 11 2 4" xfId="14880"/>
    <cellStyle name="Normal 3 2 2 3 11 2 5" xfId="18912"/>
    <cellStyle name="Normal 3 2 2 3 11 2 6" xfId="22944"/>
    <cellStyle name="Normal 3 2 2 3 11 2 7" xfId="26976"/>
    <cellStyle name="Normal 3 2 2 3 11 2 8" xfId="31008"/>
    <cellStyle name="Normal 3 2 2 3 11 2 9" xfId="35040"/>
    <cellStyle name="Normal 3 2 2 3 11 3" xfId="7879"/>
    <cellStyle name="Normal 3 2 2 3 11 3 10" xfId="44169"/>
    <cellStyle name="Normal 3 2 2 3 11 3 11" xfId="48201"/>
    <cellStyle name="Normal 3 2 2 3 11 3 12" xfId="52280"/>
    <cellStyle name="Normal 3 2 2 3 11 3 2" xfId="11913"/>
    <cellStyle name="Normal 3 2 2 3 11 3 3" xfId="15945"/>
    <cellStyle name="Normal 3 2 2 3 11 3 4" xfId="19977"/>
    <cellStyle name="Normal 3 2 2 3 11 3 5" xfId="24009"/>
    <cellStyle name="Normal 3 2 2 3 11 3 6" xfId="28041"/>
    <cellStyle name="Normal 3 2 2 3 11 3 7" xfId="32073"/>
    <cellStyle name="Normal 3 2 2 3 11 3 8" xfId="36105"/>
    <cellStyle name="Normal 3 2 2 3 11 3 9" xfId="40137"/>
    <cellStyle name="Normal 3 2 2 3 11 4" xfId="9897"/>
    <cellStyle name="Normal 3 2 2 3 11 5" xfId="13929"/>
    <cellStyle name="Normal 3 2 2 3 11 6" xfId="17961"/>
    <cellStyle name="Normal 3 2 2 3 11 7" xfId="21993"/>
    <cellStyle name="Normal 3 2 2 3 11 8" xfId="26025"/>
    <cellStyle name="Normal 3 2 2 3 11 9" xfId="30057"/>
    <cellStyle name="Normal 3 2 2 3 12" xfId="4383"/>
    <cellStyle name="Normal 3 2 2 3 12 10" xfId="34227"/>
    <cellStyle name="Normal 3 2 2 3 12 11" xfId="38259"/>
    <cellStyle name="Normal 3 2 2 3 12 12" xfId="42291"/>
    <cellStyle name="Normal 3 2 2 3 12 13" xfId="46323"/>
    <cellStyle name="Normal 3 2 2 3 12 14" xfId="50402"/>
    <cellStyle name="Normal 3 2 2 3 12 2" xfId="6952"/>
    <cellStyle name="Normal 3 2 2 3 12 2 10" xfId="39210"/>
    <cellStyle name="Normal 3 2 2 3 12 2 11" xfId="43242"/>
    <cellStyle name="Normal 3 2 2 3 12 2 12" xfId="47274"/>
    <cellStyle name="Normal 3 2 2 3 12 2 13" xfId="51353"/>
    <cellStyle name="Normal 3 2 2 3 12 2 2" xfId="8968"/>
    <cellStyle name="Normal 3 2 2 3 12 2 2 10" xfId="45258"/>
    <cellStyle name="Normal 3 2 2 3 12 2 2 11" xfId="49290"/>
    <cellStyle name="Normal 3 2 2 3 12 2 2 12" xfId="53369"/>
    <cellStyle name="Normal 3 2 2 3 12 2 2 2" xfId="13002"/>
    <cellStyle name="Normal 3 2 2 3 12 2 2 3" xfId="17034"/>
    <cellStyle name="Normal 3 2 2 3 12 2 2 4" xfId="21066"/>
    <cellStyle name="Normal 3 2 2 3 12 2 2 5" xfId="25098"/>
    <cellStyle name="Normal 3 2 2 3 12 2 2 6" xfId="29130"/>
    <cellStyle name="Normal 3 2 2 3 12 2 2 7" xfId="33162"/>
    <cellStyle name="Normal 3 2 2 3 12 2 2 8" xfId="37194"/>
    <cellStyle name="Normal 3 2 2 3 12 2 2 9" xfId="41226"/>
    <cellStyle name="Normal 3 2 2 3 12 2 3" xfId="10986"/>
    <cellStyle name="Normal 3 2 2 3 12 2 4" xfId="15018"/>
    <cellStyle name="Normal 3 2 2 3 12 2 5" xfId="19050"/>
    <cellStyle name="Normal 3 2 2 3 12 2 6" xfId="23082"/>
    <cellStyle name="Normal 3 2 2 3 12 2 7" xfId="27114"/>
    <cellStyle name="Normal 3 2 2 3 12 2 8" xfId="31146"/>
    <cellStyle name="Normal 3 2 2 3 12 2 9" xfId="35178"/>
    <cellStyle name="Normal 3 2 2 3 12 3" xfId="8017"/>
    <cellStyle name="Normal 3 2 2 3 12 3 10" xfId="44307"/>
    <cellStyle name="Normal 3 2 2 3 12 3 11" xfId="48339"/>
    <cellStyle name="Normal 3 2 2 3 12 3 12" xfId="52418"/>
    <cellStyle name="Normal 3 2 2 3 12 3 2" xfId="12051"/>
    <cellStyle name="Normal 3 2 2 3 12 3 3" xfId="16083"/>
    <cellStyle name="Normal 3 2 2 3 12 3 4" xfId="20115"/>
    <cellStyle name="Normal 3 2 2 3 12 3 5" xfId="24147"/>
    <cellStyle name="Normal 3 2 2 3 12 3 6" xfId="28179"/>
    <cellStyle name="Normal 3 2 2 3 12 3 7" xfId="32211"/>
    <cellStyle name="Normal 3 2 2 3 12 3 8" xfId="36243"/>
    <cellStyle name="Normal 3 2 2 3 12 3 9" xfId="40275"/>
    <cellStyle name="Normal 3 2 2 3 12 4" xfId="10035"/>
    <cellStyle name="Normal 3 2 2 3 12 5" xfId="14067"/>
    <cellStyle name="Normal 3 2 2 3 12 6" xfId="18099"/>
    <cellStyle name="Normal 3 2 2 3 12 7" xfId="22131"/>
    <cellStyle name="Normal 3 2 2 3 12 8" xfId="26163"/>
    <cellStyle name="Normal 3 2 2 3 12 9" xfId="30195"/>
    <cellStyle name="Normal 3 2 2 3 13" xfId="4521"/>
    <cellStyle name="Normal 3 2 2 3 13 10" xfId="38397"/>
    <cellStyle name="Normal 3 2 2 3 13 11" xfId="42429"/>
    <cellStyle name="Normal 3 2 2 3 13 12" xfId="46461"/>
    <cellStyle name="Normal 3 2 2 3 13 13" xfId="50540"/>
    <cellStyle name="Normal 3 2 2 3 13 2" xfId="8155"/>
    <cellStyle name="Normal 3 2 2 3 13 2 10" xfId="44445"/>
    <cellStyle name="Normal 3 2 2 3 13 2 11" xfId="48477"/>
    <cellStyle name="Normal 3 2 2 3 13 2 12" xfId="52556"/>
    <cellStyle name="Normal 3 2 2 3 13 2 2" xfId="12189"/>
    <cellStyle name="Normal 3 2 2 3 13 2 3" xfId="16221"/>
    <cellStyle name="Normal 3 2 2 3 13 2 4" xfId="20253"/>
    <cellStyle name="Normal 3 2 2 3 13 2 5" xfId="24285"/>
    <cellStyle name="Normal 3 2 2 3 13 2 6" xfId="28317"/>
    <cellStyle name="Normal 3 2 2 3 13 2 7" xfId="32349"/>
    <cellStyle name="Normal 3 2 2 3 13 2 8" xfId="36381"/>
    <cellStyle name="Normal 3 2 2 3 13 2 9" xfId="40413"/>
    <cellStyle name="Normal 3 2 2 3 13 3" xfId="10173"/>
    <cellStyle name="Normal 3 2 2 3 13 4" xfId="14205"/>
    <cellStyle name="Normal 3 2 2 3 13 5" xfId="18237"/>
    <cellStyle name="Normal 3 2 2 3 13 6" xfId="22269"/>
    <cellStyle name="Normal 3 2 2 3 13 7" xfId="26301"/>
    <cellStyle name="Normal 3 2 2 3 13 8" xfId="30333"/>
    <cellStyle name="Normal 3 2 2 3 13 9" xfId="34365"/>
    <cellStyle name="Normal 3 2 2 3 14" xfId="265"/>
    <cellStyle name="Normal 3 2 2 3 14 10" xfId="37470"/>
    <cellStyle name="Normal 3 2 2 3 14 11" xfId="41502"/>
    <cellStyle name="Normal 3 2 2 3 14 12" xfId="45534"/>
    <cellStyle name="Normal 3 2 2 3 14 13" xfId="49612"/>
    <cellStyle name="Normal 3 2 2 3 14 2" xfId="7228"/>
    <cellStyle name="Normal 3 2 2 3 14 2 10" xfId="43518"/>
    <cellStyle name="Normal 3 2 2 3 14 2 11" xfId="47550"/>
    <cellStyle name="Normal 3 2 2 3 14 2 12" xfId="51629"/>
    <cellStyle name="Normal 3 2 2 3 14 2 2" xfId="11262"/>
    <cellStyle name="Normal 3 2 2 3 14 2 3" xfId="15294"/>
    <cellStyle name="Normal 3 2 2 3 14 2 4" xfId="19326"/>
    <cellStyle name="Normal 3 2 2 3 14 2 5" xfId="23358"/>
    <cellStyle name="Normal 3 2 2 3 14 2 6" xfId="27390"/>
    <cellStyle name="Normal 3 2 2 3 14 2 7" xfId="31422"/>
    <cellStyle name="Normal 3 2 2 3 14 2 8" xfId="35454"/>
    <cellStyle name="Normal 3 2 2 3 14 2 9" xfId="39486"/>
    <cellStyle name="Normal 3 2 2 3 14 3" xfId="9246"/>
    <cellStyle name="Normal 3 2 2 3 14 4" xfId="13278"/>
    <cellStyle name="Normal 3 2 2 3 14 5" xfId="17310"/>
    <cellStyle name="Normal 3 2 2 3 14 6" xfId="21342"/>
    <cellStyle name="Normal 3 2 2 3 14 7" xfId="25374"/>
    <cellStyle name="Normal 3 2 2 3 14 8" xfId="29406"/>
    <cellStyle name="Normal 3 2 2 3 14 9" xfId="33438"/>
    <cellStyle name="Normal 3 2 2 3 15" xfId="7090"/>
    <cellStyle name="Normal 3 2 2 3 15 10" xfId="43380"/>
    <cellStyle name="Normal 3 2 2 3 15 11" xfId="47412"/>
    <cellStyle name="Normal 3 2 2 3 15 12" xfId="51491"/>
    <cellStyle name="Normal 3 2 2 3 15 2" xfId="11124"/>
    <cellStyle name="Normal 3 2 2 3 15 3" xfId="15156"/>
    <cellStyle name="Normal 3 2 2 3 15 4" xfId="19188"/>
    <cellStyle name="Normal 3 2 2 3 15 5" xfId="23220"/>
    <cellStyle name="Normal 3 2 2 3 15 6" xfId="27252"/>
    <cellStyle name="Normal 3 2 2 3 15 7" xfId="31284"/>
    <cellStyle name="Normal 3 2 2 3 15 8" xfId="35316"/>
    <cellStyle name="Normal 3 2 2 3 15 9" xfId="39348"/>
    <cellStyle name="Normal 3 2 2 3 16" xfId="113"/>
    <cellStyle name="Normal 3 2 2 3 17" xfId="9108"/>
    <cellStyle name="Normal 3 2 2 3 18" xfId="13140"/>
    <cellStyle name="Normal 3 2 2 3 19" xfId="17172"/>
    <cellStyle name="Normal 3 2 2 3 2" xfId="92"/>
    <cellStyle name="Normal 3 2 2 3 2 10" xfId="4572"/>
    <cellStyle name="Normal 3 2 2 3 2 10 10" xfId="38448"/>
    <cellStyle name="Normal 3 2 2 3 2 10 11" xfId="42480"/>
    <cellStyle name="Normal 3 2 2 3 2 10 12" xfId="46512"/>
    <cellStyle name="Normal 3 2 2 3 2 10 13" xfId="50591"/>
    <cellStyle name="Normal 3 2 2 3 2 10 2" xfId="8206"/>
    <cellStyle name="Normal 3 2 2 3 2 10 2 10" xfId="44496"/>
    <cellStyle name="Normal 3 2 2 3 2 10 2 11" xfId="48528"/>
    <cellStyle name="Normal 3 2 2 3 2 10 2 12" xfId="52607"/>
    <cellStyle name="Normal 3 2 2 3 2 10 2 2" xfId="12240"/>
    <cellStyle name="Normal 3 2 2 3 2 10 2 3" xfId="16272"/>
    <cellStyle name="Normal 3 2 2 3 2 10 2 4" xfId="20304"/>
    <cellStyle name="Normal 3 2 2 3 2 10 2 5" xfId="24336"/>
    <cellStyle name="Normal 3 2 2 3 2 10 2 6" xfId="28368"/>
    <cellStyle name="Normal 3 2 2 3 2 10 2 7" xfId="32400"/>
    <cellStyle name="Normal 3 2 2 3 2 10 2 8" xfId="36432"/>
    <cellStyle name="Normal 3 2 2 3 2 10 2 9" xfId="40464"/>
    <cellStyle name="Normal 3 2 2 3 2 10 3" xfId="10224"/>
    <cellStyle name="Normal 3 2 2 3 2 10 4" xfId="14256"/>
    <cellStyle name="Normal 3 2 2 3 2 10 5" xfId="18288"/>
    <cellStyle name="Normal 3 2 2 3 2 10 6" xfId="22320"/>
    <cellStyle name="Normal 3 2 2 3 2 10 7" xfId="26352"/>
    <cellStyle name="Normal 3 2 2 3 2 10 8" xfId="30384"/>
    <cellStyle name="Normal 3 2 2 3 2 10 9" xfId="34416"/>
    <cellStyle name="Normal 3 2 2 3 2 11" xfId="300"/>
    <cellStyle name="Normal 3 2 2 3 2 11 10" xfId="37505"/>
    <cellStyle name="Normal 3 2 2 3 2 11 11" xfId="41537"/>
    <cellStyle name="Normal 3 2 2 3 2 11 12" xfId="45569"/>
    <cellStyle name="Normal 3 2 2 3 2 11 13" xfId="49647"/>
    <cellStyle name="Normal 3 2 2 3 2 11 2" xfId="7263"/>
    <cellStyle name="Normal 3 2 2 3 2 11 2 10" xfId="43553"/>
    <cellStyle name="Normal 3 2 2 3 2 11 2 11" xfId="47585"/>
    <cellStyle name="Normal 3 2 2 3 2 11 2 12" xfId="51664"/>
    <cellStyle name="Normal 3 2 2 3 2 11 2 2" xfId="11297"/>
    <cellStyle name="Normal 3 2 2 3 2 11 2 3" xfId="15329"/>
    <cellStyle name="Normal 3 2 2 3 2 11 2 4" xfId="19361"/>
    <cellStyle name="Normal 3 2 2 3 2 11 2 5" xfId="23393"/>
    <cellStyle name="Normal 3 2 2 3 2 11 2 6" xfId="27425"/>
    <cellStyle name="Normal 3 2 2 3 2 11 2 7" xfId="31457"/>
    <cellStyle name="Normal 3 2 2 3 2 11 2 8" xfId="35489"/>
    <cellStyle name="Normal 3 2 2 3 2 11 2 9" xfId="39521"/>
    <cellStyle name="Normal 3 2 2 3 2 11 3" xfId="9281"/>
    <cellStyle name="Normal 3 2 2 3 2 11 4" xfId="13313"/>
    <cellStyle name="Normal 3 2 2 3 2 11 5" xfId="17345"/>
    <cellStyle name="Normal 3 2 2 3 2 11 6" xfId="21377"/>
    <cellStyle name="Normal 3 2 2 3 2 11 7" xfId="25409"/>
    <cellStyle name="Normal 3 2 2 3 2 11 8" xfId="29441"/>
    <cellStyle name="Normal 3 2 2 3 2 11 9" xfId="33473"/>
    <cellStyle name="Normal 3 2 2 3 2 12" xfId="7141"/>
    <cellStyle name="Normal 3 2 2 3 2 12 10" xfId="43431"/>
    <cellStyle name="Normal 3 2 2 3 2 12 11" xfId="47463"/>
    <cellStyle name="Normal 3 2 2 3 2 12 12" xfId="51542"/>
    <cellStyle name="Normal 3 2 2 3 2 12 2" xfId="11175"/>
    <cellStyle name="Normal 3 2 2 3 2 12 3" xfId="15207"/>
    <cellStyle name="Normal 3 2 2 3 2 12 4" xfId="19239"/>
    <cellStyle name="Normal 3 2 2 3 2 12 5" xfId="23271"/>
    <cellStyle name="Normal 3 2 2 3 2 12 6" xfId="27303"/>
    <cellStyle name="Normal 3 2 2 3 2 12 7" xfId="31335"/>
    <cellStyle name="Normal 3 2 2 3 2 12 8" xfId="35367"/>
    <cellStyle name="Normal 3 2 2 3 2 12 9" xfId="39399"/>
    <cellStyle name="Normal 3 2 2 3 2 13" xfId="167"/>
    <cellStyle name="Normal 3 2 2 3 2 14" xfId="9159"/>
    <cellStyle name="Normal 3 2 2 3 2 15" xfId="13191"/>
    <cellStyle name="Normal 3 2 2 3 2 16" xfId="17223"/>
    <cellStyle name="Normal 3 2 2 3 2 17" xfId="21255"/>
    <cellStyle name="Normal 3 2 2 3 2 18" xfId="25287"/>
    <cellStyle name="Normal 3 2 2 3 2 19" xfId="29319"/>
    <cellStyle name="Normal 3 2 2 3 2 2" xfId="246"/>
    <cellStyle name="Normal 3 2 2 3 2 2 10" xfId="21324"/>
    <cellStyle name="Normal 3 2 2 3 2 2 11" xfId="25356"/>
    <cellStyle name="Normal 3 2 2 3 2 2 12" xfId="29388"/>
    <cellStyle name="Normal 3 2 2 3 2 2 13" xfId="33420"/>
    <cellStyle name="Normal 3 2 2 3 2 2 14" xfId="37452"/>
    <cellStyle name="Normal 3 2 2 3 2 2 15" xfId="41484"/>
    <cellStyle name="Normal 3 2 2 3 2 2 16" xfId="45516"/>
    <cellStyle name="Normal 3 2 2 3 2 2 17" xfId="49594"/>
    <cellStyle name="Normal 3 2 2 3 2 2 2" xfId="4364"/>
    <cellStyle name="Normal 3 2 2 3 2 2 2 10" xfId="34209"/>
    <cellStyle name="Normal 3 2 2 3 2 2 2 11" xfId="38241"/>
    <cellStyle name="Normal 3 2 2 3 2 2 2 12" xfId="42273"/>
    <cellStyle name="Normal 3 2 2 3 2 2 2 13" xfId="46305"/>
    <cellStyle name="Normal 3 2 2 3 2 2 2 14" xfId="50384"/>
    <cellStyle name="Normal 3 2 2 3 2 2 2 2" xfId="6934"/>
    <cellStyle name="Normal 3 2 2 3 2 2 2 2 10" xfId="39192"/>
    <cellStyle name="Normal 3 2 2 3 2 2 2 2 11" xfId="43224"/>
    <cellStyle name="Normal 3 2 2 3 2 2 2 2 12" xfId="47256"/>
    <cellStyle name="Normal 3 2 2 3 2 2 2 2 13" xfId="51335"/>
    <cellStyle name="Normal 3 2 2 3 2 2 2 2 2" xfId="8950"/>
    <cellStyle name="Normal 3 2 2 3 2 2 2 2 2 10" xfId="45240"/>
    <cellStyle name="Normal 3 2 2 3 2 2 2 2 2 11" xfId="49272"/>
    <cellStyle name="Normal 3 2 2 3 2 2 2 2 2 12" xfId="53351"/>
    <cellStyle name="Normal 3 2 2 3 2 2 2 2 2 2" xfId="12984"/>
    <cellStyle name="Normal 3 2 2 3 2 2 2 2 2 3" xfId="17016"/>
    <cellStyle name="Normal 3 2 2 3 2 2 2 2 2 4" xfId="21048"/>
    <cellStyle name="Normal 3 2 2 3 2 2 2 2 2 5" xfId="25080"/>
    <cellStyle name="Normal 3 2 2 3 2 2 2 2 2 6" xfId="29112"/>
    <cellStyle name="Normal 3 2 2 3 2 2 2 2 2 7" xfId="33144"/>
    <cellStyle name="Normal 3 2 2 3 2 2 2 2 2 8" xfId="37176"/>
    <cellStyle name="Normal 3 2 2 3 2 2 2 2 2 9" xfId="41208"/>
    <cellStyle name="Normal 3 2 2 3 2 2 2 2 3" xfId="10968"/>
    <cellStyle name="Normal 3 2 2 3 2 2 2 2 4" xfId="15000"/>
    <cellStyle name="Normal 3 2 2 3 2 2 2 2 5" xfId="19032"/>
    <cellStyle name="Normal 3 2 2 3 2 2 2 2 6" xfId="23064"/>
    <cellStyle name="Normal 3 2 2 3 2 2 2 2 7" xfId="27096"/>
    <cellStyle name="Normal 3 2 2 3 2 2 2 2 8" xfId="31128"/>
    <cellStyle name="Normal 3 2 2 3 2 2 2 2 9" xfId="35160"/>
    <cellStyle name="Normal 3 2 2 3 2 2 2 3" xfId="7999"/>
    <cellStyle name="Normal 3 2 2 3 2 2 2 3 10" xfId="44289"/>
    <cellStyle name="Normal 3 2 2 3 2 2 2 3 11" xfId="48321"/>
    <cellStyle name="Normal 3 2 2 3 2 2 2 3 12" xfId="52400"/>
    <cellStyle name="Normal 3 2 2 3 2 2 2 3 2" xfId="12033"/>
    <cellStyle name="Normal 3 2 2 3 2 2 2 3 3" xfId="16065"/>
    <cellStyle name="Normal 3 2 2 3 2 2 2 3 4" xfId="20097"/>
    <cellStyle name="Normal 3 2 2 3 2 2 2 3 5" xfId="24129"/>
    <cellStyle name="Normal 3 2 2 3 2 2 2 3 6" xfId="28161"/>
    <cellStyle name="Normal 3 2 2 3 2 2 2 3 7" xfId="32193"/>
    <cellStyle name="Normal 3 2 2 3 2 2 2 3 8" xfId="36225"/>
    <cellStyle name="Normal 3 2 2 3 2 2 2 3 9" xfId="40257"/>
    <cellStyle name="Normal 3 2 2 3 2 2 2 4" xfId="10017"/>
    <cellStyle name="Normal 3 2 2 3 2 2 2 5" xfId="14049"/>
    <cellStyle name="Normal 3 2 2 3 2 2 2 6" xfId="18081"/>
    <cellStyle name="Normal 3 2 2 3 2 2 2 7" xfId="22113"/>
    <cellStyle name="Normal 3 2 2 3 2 2 2 8" xfId="26145"/>
    <cellStyle name="Normal 3 2 2 3 2 2 2 9" xfId="30177"/>
    <cellStyle name="Normal 3 2 2 3 2 2 3" xfId="4503"/>
    <cellStyle name="Normal 3 2 2 3 2 2 3 10" xfId="34347"/>
    <cellStyle name="Normal 3 2 2 3 2 2 3 11" xfId="38379"/>
    <cellStyle name="Normal 3 2 2 3 2 2 3 12" xfId="42411"/>
    <cellStyle name="Normal 3 2 2 3 2 2 3 13" xfId="46443"/>
    <cellStyle name="Normal 3 2 2 3 2 2 3 14" xfId="50522"/>
    <cellStyle name="Normal 3 2 2 3 2 2 3 2" xfId="7072"/>
    <cellStyle name="Normal 3 2 2 3 2 2 3 2 10" xfId="39330"/>
    <cellStyle name="Normal 3 2 2 3 2 2 3 2 11" xfId="43362"/>
    <cellStyle name="Normal 3 2 2 3 2 2 3 2 12" xfId="47394"/>
    <cellStyle name="Normal 3 2 2 3 2 2 3 2 13" xfId="51473"/>
    <cellStyle name="Normal 3 2 2 3 2 2 3 2 2" xfId="9088"/>
    <cellStyle name="Normal 3 2 2 3 2 2 3 2 2 10" xfId="45378"/>
    <cellStyle name="Normal 3 2 2 3 2 2 3 2 2 11" xfId="49410"/>
    <cellStyle name="Normal 3 2 2 3 2 2 3 2 2 12" xfId="53489"/>
    <cellStyle name="Normal 3 2 2 3 2 2 3 2 2 2" xfId="13122"/>
    <cellStyle name="Normal 3 2 2 3 2 2 3 2 2 3" xfId="17154"/>
    <cellStyle name="Normal 3 2 2 3 2 2 3 2 2 4" xfId="21186"/>
    <cellStyle name="Normal 3 2 2 3 2 2 3 2 2 5" xfId="25218"/>
    <cellStyle name="Normal 3 2 2 3 2 2 3 2 2 6" xfId="29250"/>
    <cellStyle name="Normal 3 2 2 3 2 2 3 2 2 7" xfId="33282"/>
    <cellStyle name="Normal 3 2 2 3 2 2 3 2 2 8" xfId="37314"/>
    <cellStyle name="Normal 3 2 2 3 2 2 3 2 2 9" xfId="41346"/>
    <cellStyle name="Normal 3 2 2 3 2 2 3 2 3" xfId="11106"/>
    <cellStyle name="Normal 3 2 2 3 2 2 3 2 4" xfId="15138"/>
    <cellStyle name="Normal 3 2 2 3 2 2 3 2 5" xfId="19170"/>
    <cellStyle name="Normal 3 2 2 3 2 2 3 2 6" xfId="23202"/>
    <cellStyle name="Normal 3 2 2 3 2 2 3 2 7" xfId="27234"/>
    <cellStyle name="Normal 3 2 2 3 2 2 3 2 8" xfId="31266"/>
    <cellStyle name="Normal 3 2 2 3 2 2 3 2 9" xfId="35298"/>
    <cellStyle name="Normal 3 2 2 3 2 2 3 3" xfId="8137"/>
    <cellStyle name="Normal 3 2 2 3 2 2 3 3 10" xfId="44427"/>
    <cellStyle name="Normal 3 2 2 3 2 2 3 3 11" xfId="48459"/>
    <cellStyle name="Normal 3 2 2 3 2 2 3 3 12" xfId="52538"/>
    <cellStyle name="Normal 3 2 2 3 2 2 3 3 2" xfId="12171"/>
    <cellStyle name="Normal 3 2 2 3 2 2 3 3 3" xfId="16203"/>
    <cellStyle name="Normal 3 2 2 3 2 2 3 3 4" xfId="20235"/>
    <cellStyle name="Normal 3 2 2 3 2 2 3 3 5" xfId="24267"/>
    <cellStyle name="Normal 3 2 2 3 2 2 3 3 6" xfId="28299"/>
    <cellStyle name="Normal 3 2 2 3 2 2 3 3 7" xfId="32331"/>
    <cellStyle name="Normal 3 2 2 3 2 2 3 3 8" xfId="36363"/>
    <cellStyle name="Normal 3 2 2 3 2 2 3 3 9" xfId="40395"/>
    <cellStyle name="Normal 3 2 2 3 2 2 3 4" xfId="10155"/>
    <cellStyle name="Normal 3 2 2 3 2 2 3 5" xfId="14187"/>
    <cellStyle name="Normal 3 2 2 3 2 2 3 6" xfId="18219"/>
    <cellStyle name="Normal 3 2 2 3 2 2 3 7" xfId="22251"/>
    <cellStyle name="Normal 3 2 2 3 2 2 3 8" xfId="26283"/>
    <cellStyle name="Normal 3 2 2 3 2 2 3 9" xfId="30315"/>
    <cellStyle name="Normal 3 2 2 3 2 2 4" xfId="4643"/>
    <cellStyle name="Normal 3 2 2 3 2 2 4 10" xfId="38517"/>
    <cellStyle name="Normal 3 2 2 3 2 2 4 11" xfId="42549"/>
    <cellStyle name="Normal 3 2 2 3 2 2 4 12" xfId="46581"/>
    <cellStyle name="Normal 3 2 2 3 2 2 4 13" xfId="50660"/>
    <cellStyle name="Normal 3 2 2 3 2 2 4 2" xfId="8275"/>
    <cellStyle name="Normal 3 2 2 3 2 2 4 2 10" xfId="44565"/>
    <cellStyle name="Normal 3 2 2 3 2 2 4 2 11" xfId="48597"/>
    <cellStyle name="Normal 3 2 2 3 2 2 4 2 12" xfId="52676"/>
    <cellStyle name="Normal 3 2 2 3 2 2 4 2 2" xfId="12309"/>
    <cellStyle name="Normal 3 2 2 3 2 2 4 2 3" xfId="16341"/>
    <cellStyle name="Normal 3 2 2 3 2 2 4 2 4" xfId="20373"/>
    <cellStyle name="Normal 3 2 2 3 2 2 4 2 5" xfId="24405"/>
    <cellStyle name="Normal 3 2 2 3 2 2 4 2 6" xfId="28437"/>
    <cellStyle name="Normal 3 2 2 3 2 2 4 2 7" xfId="32469"/>
    <cellStyle name="Normal 3 2 2 3 2 2 4 2 8" xfId="36501"/>
    <cellStyle name="Normal 3 2 2 3 2 2 4 2 9" xfId="40533"/>
    <cellStyle name="Normal 3 2 2 3 2 2 4 3" xfId="10293"/>
    <cellStyle name="Normal 3 2 2 3 2 2 4 4" xfId="14325"/>
    <cellStyle name="Normal 3 2 2 3 2 2 4 5" xfId="18357"/>
    <cellStyle name="Normal 3 2 2 3 2 2 4 6" xfId="22389"/>
    <cellStyle name="Normal 3 2 2 3 2 2 4 7" xfId="26421"/>
    <cellStyle name="Normal 3 2 2 3 2 2 4 8" xfId="30453"/>
    <cellStyle name="Normal 3 2 2 3 2 2 4 9" xfId="34485"/>
    <cellStyle name="Normal 3 2 2 3 2 2 5" xfId="370"/>
    <cellStyle name="Normal 3 2 2 3 2 2 5 10" xfId="37575"/>
    <cellStyle name="Normal 3 2 2 3 2 2 5 11" xfId="41607"/>
    <cellStyle name="Normal 3 2 2 3 2 2 5 12" xfId="45639"/>
    <cellStyle name="Normal 3 2 2 3 2 2 5 13" xfId="49717"/>
    <cellStyle name="Normal 3 2 2 3 2 2 5 2" xfId="7333"/>
    <cellStyle name="Normal 3 2 2 3 2 2 5 2 10" xfId="43623"/>
    <cellStyle name="Normal 3 2 2 3 2 2 5 2 11" xfId="47655"/>
    <cellStyle name="Normal 3 2 2 3 2 2 5 2 12" xfId="51734"/>
    <cellStyle name="Normal 3 2 2 3 2 2 5 2 2" xfId="11367"/>
    <cellStyle name="Normal 3 2 2 3 2 2 5 2 3" xfId="15399"/>
    <cellStyle name="Normal 3 2 2 3 2 2 5 2 4" xfId="19431"/>
    <cellStyle name="Normal 3 2 2 3 2 2 5 2 5" xfId="23463"/>
    <cellStyle name="Normal 3 2 2 3 2 2 5 2 6" xfId="27495"/>
    <cellStyle name="Normal 3 2 2 3 2 2 5 2 7" xfId="31527"/>
    <cellStyle name="Normal 3 2 2 3 2 2 5 2 8" xfId="35559"/>
    <cellStyle name="Normal 3 2 2 3 2 2 5 2 9" xfId="39591"/>
    <cellStyle name="Normal 3 2 2 3 2 2 5 3" xfId="9351"/>
    <cellStyle name="Normal 3 2 2 3 2 2 5 4" xfId="13383"/>
    <cellStyle name="Normal 3 2 2 3 2 2 5 5" xfId="17415"/>
    <cellStyle name="Normal 3 2 2 3 2 2 5 6" xfId="21447"/>
    <cellStyle name="Normal 3 2 2 3 2 2 5 7" xfId="25479"/>
    <cellStyle name="Normal 3 2 2 3 2 2 5 8" xfId="29511"/>
    <cellStyle name="Normal 3 2 2 3 2 2 5 9" xfId="33543"/>
    <cellStyle name="Normal 3 2 2 3 2 2 6" xfId="7210"/>
    <cellStyle name="Normal 3 2 2 3 2 2 6 10" xfId="43500"/>
    <cellStyle name="Normal 3 2 2 3 2 2 6 11" xfId="47532"/>
    <cellStyle name="Normal 3 2 2 3 2 2 6 12" xfId="51611"/>
    <cellStyle name="Normal 3 2 2 3 2 2 6 2" xfId="11244"/>
    <cellStyle name="Normal 3 2 2 3 2 2 6 3" xfId="15276"/>
    <cellStyle name="Normal 3 2 2 3 2 2 6 4" xfId="19308"/>
    <cellStyle name="Normal 3 2 2 3 2 2 6 5" xfId="23340"/>
    <cellStyle name="Normal 3 2 2 3 2 2 6 6" xfId="27372"/>
    <cellStyle name="Normal 3 2 2 3 2 2 6 7" xfId="31404"/>
    <cellStyle name="Normal 3 2 2 3 2 2 6 8" xfId="35436"/>
    <cellStyle name="Normal 3 2 2 3 2 2 6 9" xfId="39468"/>
    <cellStyle name="Normal 3 2 2 3 2 2 7" xfId="9228"/>
    <cellStyle name="Normal 3 2 2 3 2 2 8" xfId="13260"/>
    <cellStyle name="Normal 3 2 2 3 2 2 9" xfId="17292"/>
    <cellStyle name="Normal 3 2 2 3 2 20" xfId="33351"/>
    <cellStyle name="Normal 3 2 2 3 2 21" xfId="37383"/>
    <cellStyle name="Normal 3 2 2 3 2 22" xfId="41415"/>
    <cellStyle name="Normal 3 2 2 3 2 23" xfId="45447"/>
    <cellStyle name="Normal 3 2 2 3 2 24" xfId="49525"/>
    <cellStyle name="Normal 3 2 2 3 2 3" xfId="1680"/>
    <cellStyle name="Normal 3 2 2 3 2 3 10" xfId="33641"/>
    <cellStyle name="Normal 3 2 2 3 2 3 11" xfId="37673"/>
    <cellStyle name="Normal 3 2 2 3 2 3 12" xfId="41705"/>
    <cellStyle name="Normal 3 2 2 3 2 3 13" xfId="45737"/>
    <cellStyle name="Normal 3 2 2 3 2 3 14" xfId="49815"/>
    <cellStyle name="Normal 3 2 2 3 2 3 2" xfId="5356"/>
    <cellStyle name="Normal 3 2 2 3 2 3 2 10" xfId="38624"/>
    <cellStyle name="Normal 3 2 2 3 2 3 2 11" xfId="42656"/>
    <cellStyle name="Normal 3 2 2 3 2 3 2 12" xfId="46688"/>
    <cellStyle name="Normal 3 2 2 3 2 3 2 13" xfId="50767"/>
    <cellStyle name="Normal 3 2 2 3 2 3 2 2" xfId="8382"/>
    <cellStyle name="Normal 3 2 2 3 2 3 2 2 10" xfId="44672"/>
    <cellStyle name="Normal 3 2 2 3 2 3 2 2 11" xfId="48704"/>
    <cellStyle name="Normal 3 2 2 3 2 3 2 2 12" xfId="52783"/>
    <cellStyle name="Normal 3 2 2 3 2 3 2 2 2" xfId="12416"/>
    <cellStyle name="Normal 3 2 2 3 2 3 2 2 3" xfId="16448"/>
    <cellStyle name="Normal 3 2 2 3 2 3 2 2 4" xfId="20480"/>
    <cellStyle name="Normal 3 2 2 3 2 3 2 2 5" xfId="24512"/>
    <cellStyle name="Normal 3 2 2 3 2 3 2 2 6" xfId="28544"/>
    <cellStyle name="Normal 3 2 2 3 2 3 2 2 7" xfId="32576"/>
    <cellStyle name="Normal 3 2 2 3 2 3 2 2 8" xfId="36608"/>
    <cellStyle name="Normal 3 2 2 3 2 3 2 2 9" xfId="40640"/>
    <cellStyle name="Normal 3 2 2 3 2 3 2 3" xfId="10400"/>
    <cellStyle name="Normal 3 2 2 3 2 3 2 4" xfId="14432"/>
    <cellStyle name="Normal 3 2 2 3 2 3 2 5" xfId="18464"/>
    <cellStyle name="Normal 3 2 2 3 2 3 2 6" xfId="22496"/>
    <cellStyle name="Normal 3 2 2 3 2 3 2 7" xfId="26528"/>
    <cellStyle name="Normal 3 2 2 3 2 3 2 8" xfId="30560"/>
    <cellStyle name="Normal 3 2 2 3 2 3 2 9" xfId="34592"/>
    <cellStyle name="Normal 3 2 2 3 2 3 3" xfId="7431"/>
    <cellStyle name="Normal 3 2 2 3 2 3 3 10" xfId="43721"/>
    <cellStyle name="Normal 3 2 2 3 2 3 3 11" xfId="47753"/>
    <cellStyle name="Normal 3 2 2 3 2 3 3 12" xfId="51832"/>
    <cellStyle name="Normal 3 2 2 3 2 3 3 2" xfId="11465"/>
    <cellStyle name="Normal 3 2 2 3 2 3 3 3" xfId="15497"/>
    <cellStyle name="Normal 3 2 2 3 2 3 3 4" xfId="19529"/>
    <cellStyle name="Normal 3 2 2 3 2 3 3 5" xfId="23561"/>
    <cellStyle name="Normal 3 2 2 3 2 3 3 6" xfId="27593"/>
    <cellStyle name="Normal 3 2 2 3 2 3 3 7" xfId="31625"/>
    <cellStyle name="Normal 3 2 2 3 2 3 3 8" xfId="35657"/>
    <cellStyle name="Normal 3 2 2 3 2 3 3 9" xfId="39689"/>
    <cellStyle name="Normal 3 2 2 3 2 3 4" xfId="9449"/>
    <cellStyle name="Normal 3 2 2 3 2 3 5" xfId="13481"/>
    <cellStyle name="Normal 3 2 2 3 2 3 6" xfId="17513"/>
    <cellStyle name="Normal 3 2 2 3 2 3 7" xfId="21545"/>
    <cellStyle name="Normal 3 2 2 3 2 3 8" xfId="25577"/>
    <cellStyle name="Normal 3 2 2 3 2 3 9" xfId="29609"/>
    <cellStyle name="Normal 3 2 2 3 2 4" xfId="1754"/>
    <cellStyle name="Normal 3 2 2 3 2 4 10" xfId="33710"/>
    <cellStyle name="Normal 3 2 2 3 2 4 11" xfId="37742"/>
    <cellStyle name="Normal 3 2 2 3 2 4 12" xfId="41774"/>
    <cellStyle name="Normal 3 2 2 3 2 4 13" xfId="45806"/>
    <cellStyle name="Normal 3 2 2 3 2 4 14" xfId="49884"/>
    <cellStyle name="Normal 3 2 2 3 2 4 2" xfId="5425"/>
    <cellStyle name="Normal 3 2 2 3 2 4 2 10" xfId="38693"/>
    <cellStyle name="Normal 3 2 2 3 2 4 2 11" xfId="42725"/>
    <cellStyle name="Normal 3 2 2 3 2 4 2 12" xfId="46757"/>
    <cellStyle name="Normal 3 2 2 3 2 4 2 13" xfId="50836"/>
    <cellStyle name="Normal 3 2 2 3 2 4 2 2" xfId="8451"/>
    <cellStyle name="Normal 3 2 2 3 2 4 2 2 10" xfId="44741"/>
    <cellStyle name="Normal 3 2 2 3 2 4 2 2 11" xfId="48773"/>
    <cellStyle name="Normal 3 2 2 3 2 4 2 2 12" xfId="52852"/>
    <cellStyle name="Normal 3 2 2 3 2 4 2 2 2" xfId="12485"/>
    <cellStyle name="Normal 3 2 2 3 2 4 2 2 3" xfId="16517"/>
    <cellStyle name="Normal 3 2 2 3 2 4 2 2 4" xfId="20549"/>
    <cellStyle name="Normal 3 2 2 3 2 4 2 2 5" xfId="24581"/>
    <cellStyle name="Normal 3 2 2 3 2 4 2 2 6" xfId="28613"/>
    <cellStyle name="Normal 3 2 2 3 2 4 2 2 7" xfId="32645"/>
    <cellStyle name="Normal 3 2 2 3 2 4 2 2 8" xfId="36677"/>
    <cellStyle name="Normal 3 2 2 3 2 4 2 2 9" xfId="40709"/>
    <cellStyle name="Normal 3 2 2 3 2 4 2 3" xfId="10469"/>
    <cellStyle name="Normal 3 2 2 3 2 4 2 4" xfId="14501"/>
    <cellStyle name="Normal 3 2 2 3 2 4 2 5" xfId="18533"/>
    <cellStyle name="Normal 3 2 2 3 2 4 2 6" xfId="22565"/>
    <cellStyle name="Normal 3 2 2 3 2 4 2 7" xfId="26597"/>
    <cellStyle name="Normal 3 2 2 3 2 4 2 8" xfId="30629"/>
    <cellStyle name="Normal 3 2 2 3 2 4 2 9" xfId="34661"/>
    <cellStyle name="Normal 3 2 2 3 2 4 3" xfId="7500"/>
    <cellStyle name="Normal 3 2 2 3 2 4 3 10" xfId="43790"/>
    <cellStyle name="Normal 3 2 2 3 2 4 3 11" xfId="47822"/>
    <cellStyle name="Normal 3 2 2 3 2 4 3 12" xfId="51901"/>
    <cellStyle name="Normal 3 2 2 3 2 4 3 2" xfId="11534"/>
    <cellStyle name="Normal 3 2 2 3 2 4 3 3" xfId="15566"/>
    <cellStyle name="Normal 3 2 2 3 2 4 3 4" xfId="19598"/>
    <cellStyle name="Normal 3 2 2 3 2 4 3 5" xfId="23630"/>
    <cellStyle name="Normal 3 2 2 3 2 4 3 6" xfId="27662"/>
    <cellStyle name="Normal 3 2 2 3 2 4 3 7" xfId="31694"/>
    <cellStyle name="Normal 3 2 2 3 2 4 3 8" xfId="35726"/>
    <cellStyle name="Normal 3 2 2 3 2 4 3 9" xfId="39758"/>
    <cellStyle name="Normal 3 2 2 3 2 4 4" xfId="9518"/>
    <cellStyle name="Normal 3 2 2 3 2 4 5" xfId="13550"/>
    <cellStyle name="Normal 3 2 2 3 2 4 6" xfId="17582"/>
    <cellStyle name="Normal 3 2 2 3 2 4 7" xfId="21614"/>
    <cellStyle name="Normal 3 2 2 3 2 4 8" xfId="25646"/>
    <cellStyle name="Normal 3 2 2 3 2 4 9" xfId="29678"/>
    <cellStyle name="Normal 3 2 2 3 2 5" xfId="4076"/>
    <cellStyle name="Normal 3 2 2 3 2 5 10" xfId="33933"/>
    <cellStyle name="Normal 3 2 2 3 2 5 11" xfId="37965"/>
    <cellStyle name="Normal 3 2 2 3 2 5 12" xfId="41997"/>
    <cellStyle name="Normal 3 2 2 3 2 5 13" xfId="46029"/>
    <cellStyle name="Normal 3 2 2 3 2 5 14" xfId="50107"/>
    <cellStyle name="Normal 3 2 2 3 2 5 2" xfId="6658"/>
    <cellStyle name="Normal 3 2 2 3 2 5 2 10" xfId="38916"/>
    <cellStyle name="Normal 3 2 2 3 2 5 2 11" xfId="42948"/>
    <cellStyle name="Normal 3 2 2 3 2 5 2 12" xfId="46980"/>
    <cellStyle name="Normal 3 2 2 3 2 5 2 13" xfId="51059"/>
    <cellStyle name="Normal 3 2 2 3 2 5 2 2" xfId="8674"/>
    <cellStyle name="Normal 3 2 2 3 2 5 2 2 10" xfId="44964"/>
    <cellStyle name="Normal 3 2 2 3 2 5 2 2 11" xfId="48996"/>
    <cellStyle name="Normal 3 2 2 3 2 5 2 2 12" xfId="53075"/>
    <cellStyle name="Normal 3 2 2 3 2 5 2 2 2" xfId="12708"/>
    <cellStyle name="Normal 3 2 2 3 2 5 2 2 3" xfId="16740"/>
    <cellStyle name="Normal 3 2 2 3 2 5 2 2 4" xfId="20772"/>
    <cellStyle name="Normal 3 2 2 3 2 5 2 2 5" xfId="24804"/>
    <cellStyle name="Normal 3 2 2 3 2 5 2 2 6" xfId="28836"/>
    <cellStyle name="Normal 3 2 2 3 2 5 2 2 7" xfId="32868"/>
    <cellStyle name="Normal 3 2 2 3 2 5 2 2 8" xfId="36900"/>
    <cellStyle name="Normal 3 2 2 3 2 5 2 2 9" xfId="40932"/>
    <cellStyle name="Normal 3 2 2 3 2 5 2 3" xfId="10692"/>
    <cellStyle name="Normal 3 2 2 3 2 5 2 4" xfId="14724"/>
    <cellStyle name="Normal 3 2 2 3 2 5 2 5" xfId="18756"/>
    <cellStyle name="Normal 3 2 2 3 2 5 2 6" xfId="22788"/>
    <cellStyle name="Normal 3 2 2 3 2 5 2 7" xfId="26820"/>
    <cellStyle name="Normal 3 2 2 3 2 5 2 8" xfId="30852"/>
    <cellStyle name="Normal 3 2 2 3 2 5 2 9" xfId="34884"/>
    <cellStyle name="Normal 3 2 2 3 2 5 3" xfId="7723"/>
    <cellStyle name="Normal 3 2 2 3 2 5 3 10" xfId="44013"/>
    <cellStyle name="Normal 3 2 2 3 2 5 3 11" xfId="48045"/>
    <cellStyle name="Normal 3 2 2 3 2 5 3 12" xfId="52124"/>
    <cellStyle name="Normal 3 2 2 3 2 5 3 2" xfId="11757"/>
    <cellStyle name="Normal 3 2 2 3 2 5 3 3" xfId="15789"/>
    <cellStyle name="Normal 3 2 2 3 2 5 3 4" xfId="19821"/>
    <cellStyle name="Normal 3 2 2 3 2 5 3 5" xfId="23853"/>
    <cellStyle name="Normal 3 2 2 3 2 5 3 6" xfId="27885"/>
    <cellStyle name="Normal 3 2 2 3 2 5 3 7" xfId="31917"/>
    <cellStyle name="Normal 3 2 2 3 2 5 3 8" xfId="35949"/>
    <cellStyle name="Normal 3 2 2 3 2 5 3 9" xfId="39981"/>
    <cellStyle name="Normal 3 2 2 3 2 5 4" xfId="9741"/>
    <cellStyle name="Normal 3 2 2 3 2 5 5" xfId="13773"/>
    <cellStyle name="Normal 3 2 2 3 2 5 6" xfId="17805"/>
    <cellStyle name="Normal 3 2 2 3 2 5 7" xfId="21837"/>
    <cellStyle name="Normal 3 2 2 3 2 5 8" xfId="25869"/>
    <cellStyle name="Normal 3 2 2 3 2 5 9" xfId="29901"/>
    <cellStyle name="Normal 3 2 2 3 2 6" xfId="4146"/>
    <cellStyle name="Normal 3 2 2 3 2 6 10" xfId="34002"/>
    <cellStyle name="Normal 3 2 2 3 2 6 11" xfId="38034"/>
    <cellStyle name="Normal 3 2 2 3 2 6 12" xfId="42066"/>
    <cellStyle name="Normal 3 2 2 3 2 6 13" xfId="46098"/>
    <cellStyle name="Normal 3 2 2 3 2 6 14" xfId="50176"/>
    <cellStyle name="Normal 3 2 2 3 2 6 2" xfId="6727"/>
    <cellStyle name="Normal 3 2 2 3 2 6 2 10" xfId="38985"/>
    <cellStyle name="Normal 3 2 2 3 2 6 2 11" xfId="43017"/>
    <cellStyle name="Normal 3 2 2 3 2 6 2 12" xfId="47049"/>
    <cellStyle name="Normal 3 2 2 3 2 6 2 13" xfId="51128"/>
    <cellStyle name="Normal 3 2 2 3 2 6 2 2" xfId="8743"/>
    <cellStyle name="Normal 3 2 2 3 2 6 2 2 10" xfId="45033"/>
    <cellStyle name="Normal 3 2 2 3 2 6 2 2 11" xfId="49065"/>
    <cellStyle name="Normal 3 2 2 3 2 6 2 2 12" xfId="53144"/>
    <cellStyle name="Normal 3 2 2 3 2 6 2 2 2" xfId="12777"/>
    <cellStyle name="Normal 3 2 2 3 2 6 2 2 3" xfId="16809"/>
    <cellStyle name="Normal 3 2 2 3 2 6 2 2 4" xfId="20841"/>
    <cellStyle name="Normal 3 2 2 3 2 6 2 2 5" xfId="24873"/>
    <cellStyle name="Normal 3 2 2 3 2 6 2 2 6" xfId="28905"/>
    <cellStyle name="Normal 3 2 2 3 2 6 2 2 7" xfId="32937"/>
    <cellStyle name="Normal 3 2 2 3 2 6 2 2 8" xfId="36969"/>
    <cellStyle name="Normal 3 2 2 3 2 6 2 2 9" xfId="41001"/>
    <cellStyle name="Normal 3 2 2 3 2 6 2 3" xfId="10761"/>
    <cellStyle name="Normal 3 2 2 3 2 6 2 4" xfId="14793"/>
    <cellStyle name="Normal 3 2 2 3 2 6 2 5" xfId="18825"/>
    <cellStyle name="Normal 3 2 2 3 2 6 2 6" xfId="22857"/>
    <cellStyle name="Normal 3 2 2 3 2 6 2 7" xfId="26889"/>
    <cellStyle name="Normal 3 2 2 3 2 6 2 8" xfId="30921"/>
    <cellStyle name="Normal 3 2 2 3 2 6 2 9" xfId="34953"/>
    <cellStyle name="Normal 3 2 2 3 2 6 3" xfId="7792"/>
    <cellStyle name="Normal 3 2 2 3 2 6 3 10" xfId="44082"/>
    <cellStyle name="Normal 3 2 2 3 2 6 3 11" xfId="48114"/>
    <cellStyle name="Normal 3 2 2 3 2 6 3 12" xfId="52193"/>
    <cellStyle name="Normal 3 2 2 3 2 6 3 2" xfId="11826"/>
    <cellStyle name="Normal 3 2 2 3 2 6 3 3" xfId="15858"/>
    <cellStyle name="Normal 3 2 2 3 2 6 3 4" xfId="19890"/>
    <cellStyle name="Normal 3 2 2 3 2 6 3 5" xfId="23922"/>
    <cellStyle name="Normal 3 2 2 3 2 6 3 6" xfId="27954"/>
    <cellStyle name="Normal 3 2 2 3 2 6 3 7" xfId="31986"/>
    <cellStyle name="Normal 3 2 2 3 2 6 3 8" xfId="36018"/>
    <cellStyle name="Normal 3 2 2 3 2 6 3 9" xfId="40050"/>
    <cellStyle name="Normal 3 2 2 3 2 6 4" xfId="9810"/>
    <cellStyle name="Normal 3 2 2 3 2 6 5" xfId="13842"/>
    <cellStyle name="Normal 3 2 2 3 2 6 6" xfId="17874"/>
    <cellStyle name="Normal 3 2 2 3 2 6 7" xfId="21906"/>
    <cellStyle name="Normal 3 2 2 3 2 6 8" xfId="25938"/>
    <cellStyle name="Normal 3 2 2 3 2 6 9" xfId="29970"/>
    <cellStyle name="Normal 3 2 2 3 2 7" xfId="4215"/>
    <cellStyle name="Normal 3 2 2 3 2 7 10" xfId="34071"/>
    <cellStyle name="Normal 3 2 2 3 2 7 11" xfId="38103"/>
    <cellStyle name="Normal 3 2 2 3 2 7 12" xfId="42135"/>
    <cellStyle name="Normal 3 2 2 3 2 7 13" xfId="46167"/>
    <cellStyle name="Normal 3 2 2 3 2 7 14" xfId="50245"/>
    <cellStyle name="Normal 3 2 2 3 2 7 2" xfId="6796"/>
    <cellStyle name="Normal 3 2 2 3 2 7 2 10" xfId="39054"/>
    <cellStyle name="Normal 3 2 2 3 2 7 2 11" xfId="43086"/>
    <cellStyle name="Normal 3 2 2 3 2 7 2 12" xfId="47118"/>
    <cellStyle name="Normal 3 2 2 3 2 7 2 13" xfId="51197"/>
    <cellStyle name="Normal 3 2 2 3 2 7 2 2" xfId="8812"/>
    <cellStyle name="Normal 3 2 2 3 2 7 2 2 10" xfId="45102"/>
    <cellStyle name="Normal 3 2 2 3 2 7 2 2 11" xfId="49134"/>
    <cellStyle name="Normal 3 2 2 3 2 7 2 2 12" xfId="53213"/>
    <cellStyle name="Normal 3 2 2 3 2 7 2 2 2" xfId="12846"/>
    <cellStyle name="Normal 3 2 2 3 2 7 2 2 3" xfId="16878"/>
    <cellStyle name="Normal 3 2 2 3 2 7 2 2 4" xfId="20910"/>
    <cellStyle name="Normal 3 2 2 3 2 7 2 2 5" xfId="24942"/>
    <cellStyle name="Normal 3 2 2 3 2 7 2 2 6" xfId="28974"/>
    <cellStyle name="Normal 3 2 2 3 2 7 2 2 7" xfId="33006"/>
    <cellStyle name="Normal 3 2 2 3 2 7 2 2 8" xfId="37038"/>
    <cellStyle name="Normal 3 2 2 3 2 7 2 2 9" xfId="41070"/>
    <cellStyle name="Normal 3 2 2 3 2 7 2 3" xfId="10830"/>
    <cellStyle name="Normal 3 2 2 3 2 7 2 4" xfId="14862"/>
    <cellStyle name="Normal 3 2 2 3 2 7 2 5" xfId="18894"/>
    <cellStyle name="Normal 3 2 2 3 2 7 2 6" xfId="22926"/>
    <cellStyle name="Normal 3 2 2 3 2 7 2 7" xfId="26958"/>
    <cellStyle name="Normal 3 2 2 3 2 7 2 8" xfId="30990"/>
    <cellStyle name="Normal 3 2 2 3 2 7 2 9" xfId="35022"/>
    <cellStyle name="Normal 3 2 2 3 2 7 3" xfId="7861"/>
    <cellStyle name="Normal 3 2 2 3 2 7 3 10" xfId="44151"/>
    <cellStyle name="Normal 3 2 2 3 2 7 3 11" xfId="48183"/>
    <cellStyle name="Normal 3 2 2 3 2 7 3 12" xfId="52262"/>
    <cellStyle name="Normal 3 2 2 3 2 7 3 2" xfId="11895"/>
    <cellStyle name="Normal 3 2 2 3 2 7 3 3" xfId="15927"/>
    <cellStyle name="Normal 3 2 2 3 2 7 3 4" xfId="19959"/>
    <cellStyle name="Normal 3 2 2 3 2 7 3 5" xfId="23991"/>
    <cellStyle name="Normal 3 2 2 3 2 7 3 6" xfId="28023"/>
    <cellStyle name="Normal 3 2 2 3 2 7 3 7" xfId="32055"/>
    <cellStyle name="Normal 3 2 2 3 2 7 3 8" xfId="36087"/>
    <cellStyle name="Normal 3 2 2 3 2 7 3 9" xfId="40119"/>
    <cellStyle name="Normal 3 2 2 3 2 7 4" xfId="9879"/>
    <cellStyle name="Normal 3 2 2 3 2 7 5" xfId="13911"/>
    <cellStyle name="Normal 3 2 2 3 2 7 6" xfId="17943"/>
    <cellStyle name="Normal 3 2 2 3 2 7 7" xfId="21975"/>
    <cellStyle name="Normal 3 2 2 3 2 7 8" xfId="26007"/>
    <cellStyle name="Normal 3 2 2 3 2 7 9" xfId="30039"/>
    <cellStyle name="Normal 3 2 2 3 2 8" xfId="4288"/>
    <cellStyle name="Normal 3 2 2 3 2 8 10" xfId="34140"/>
    <cellStyle name="Normal 3 2 2 3 2 8 11" xfId="38172"/>
    <cellStyle name="Normal 3 2 2 3 2 8 12" xfId="42204"/>
    <cellStyle name="Normal 3 2 2 3 2 8 13" xfId="46236"/>
    <cellStyle name="Normal 3 2 2 3 2 8 14" xfId="50314"/>
    <cellStyle name="Normal 3 2 2 3 2 8 2" xfId="6865"/>
    <cellStyle name="Normal 3 2 2 3 2 8 2 10" xfId="39123"/>
    <cellStyle name="Normal 3 2 2 3 2 8 2 11" xfId="43155"/>
    <cellStyle name="Normal 3 2 2 3 2 8 2 12" xfId="47187"/>
    <cellStyle name="Normal 3 2 2 3 2 8 2 13" xfId="51266"/>
    <cellStyle name="Normal 3 2 2 3 2 8 2 2" xfId="8881"/>
    <cellStyle name="Normal 3 2 2 3 2 8 2 2 10" xfId="45171"/>
    <cellStyle name="Normal 3 2 2 3 2 8 2 2 11" xfId="49203"/>
    <cellStyle name="Normal 3 2 2 3 2 8 2 2 12" xfId="53282"/>
    <cellStyle name="Normal 3 2 2 3 2 8 2 2 2" xfId="12915"/>
    <cellStyle name="Normal 3 2 2 3 2 8 2 2 3" xfId="16947"/>
    <cellStyle name="Normal 3 2 2 3 2 8 2 2 4" xfId="20979"/>
    <cellStyle name="Normal 3 2 2 3 2 8 2 2 5" xfId="25011"/>
    <cellStyle name="Normal 3 2 2 3 2 8 2 2 6" xfId="29043"/>
    <cellStyle name="Normal 3 2 2 3 2 8 2 2 7" xfId="33075"/>
    <cellStyle name="Normal 3 2 2 3 2 8 2 2 8" xfId="37107"/>
    <cellStyle name="Normal 3 2 2 3 2 8 2 2 9" xfId="41139"/>
    <cellStyle name="Normal 3 2 2 3 2 8 2 3" xfId="10899"/>
    <cellStyle name="Normal 3 2 2 3 2 8 2 4" xfId="14931"/>
    <cellStyle name="Normal 3 2 2 3 2 8 2 5" xfId="18963"/>
    <cellStyle name="Normal 3 2 2 3 2 8 2 6" xfId="22995"/>
    <cellStyle name="Normal 3 2 2 3 2 8 2 7" xfId="27027"/>
    <cellStyle name="Normal 3 2 2 3 2 8 2 8" xfId="31059"/>
    <cellStyle name="Normal 3 2 2 3 2 8 2 9" xfId="35091"/>
    <cellStyle name="Normal 3 2 2 3 2 8 3" xfId="7930"/>
    <cellStyle name="Normal 3 2 2 3 2 8 3 10" xfId="44220"/>
    <cellStyle name="Normal 3 2 2 3 2 8 3 11" xfId="48252"/>
    <cellStyle name="Normal 3 2 2 3 2 8 3 12" xfId="52331"/>
    <cellStyle name="Normal 3 2 2 3 2 8 3 2" xfId="11964"/>
    <cellStyle name="Normal 3 2 2 3 2 8 3 3" xfId="15996"/>
    <cellStyle name="Normal 3 2 2 3 2 8 3 4" xfId="20028"/>
    <cellStyle name="Normal 3 2 2 3 2 8 3 5" xfId="24060"/>
    <cellStyle name="Normal 3 2 2 3 2 8 3 6" xfId="28092"/>
    <cellStyle name="Normal 3 2 2 3 2 8 3 7" xfId="32124"/>
    <cellStyle name="Normal 3 2 2 3 2 8 3 8" xfId="36156"/>
    <cellStyle name="Normal 3 2 2 3 2 8 3 9" xfId="40188"/>
    <cellStyle name="Normal 3 2 2 3 2 8 4" xfId="9948"/>
    <cellStyle name="Normal 3 2 2 3 2 8 5" xfId="13980"/>
    <cellStyle name="Normal 3 2 2 3 2 8 6" xfId="18012"/>
    <cellStyle name="Normal 3 2 2 3 2 8 7" xfId="22044"/>
    <cellStyle name="Normal 3 2 2 3 2 8 8" xfId="26076"/>
    <cellStyle name="Normal 3 2 2 3 2 8 9" xfId="30108"/>
    <cellStyle name="Normal 3 2 2 3 2 9" xfId="4434"/>
    <cellStyle name="Normal 3 2 2 3 2 9 10" xfId="34278"/>
    <cellStyle name="Normal 3 2 2 3 2 9 11" xfId="38310"/>
    <cellStyle name="Normal 3 2 2 3 2 9 12" xfId="42342"/>
    <cellStyle name="Normal 3 2 2 3 2 9 13" xfId="46374"/>
    <cellStyle name="Normal 3 2 2 3 2 9 14" xfId="50453"/>
    <cellStyle name="Normal 3 2 2 3 2 9 2" xfId="7003"/>
    <cellStyle name="Normal 3 2 2 3 2 9 2 10" xfId="39261"/>
    <cellStyle name="Normal 3 2 2 3 2 9 2 11" xfId="43293"/>
    <cellStyle name="Normal 3 2 2 3 2 9 2 12" xfId="47325"/>
    <cellStyle name="Normal 3 2 2 3 2 9 2 13" xfId="51404"/>
    <cellStyle name="Normal 3 2 2 3 2 9 2 2" xfId="9019"/>
    <cellStyle name="Normal 3 2 2 3 2 9 2 2 10" xfId="45309"/>
    <cellStyle name="Normal 3 2 2 3 2 9 2 2 11" xfId="49341"/>
    <cellStyle name="Normal 3 2 2 3 2 9 2 2 12" xfId="53420"/>
    <cellStyle name="Normal 3 2 2 3 2 9 2 2 2" xfId="13053"/>
    <cellStyle name="Normal 3 2 2 3 2 9 2 2 3" xfId="17085"/>
    <cellStyle name="Normal 3 2 2 3 2 9 2 2 4" xfId="21117"/>
    <cellStyle name="Normal 3 2 2 3 2 9 2 2 5" xfId="25149"/>
    <cellStyle name="Normal 3 2 2 3 2 9 2 2 6" xfId="29181"/>
    <cellStyle name="Normal 3 2 2 3 2 9 2 2 7" xfId="33213"/>
    <cellStyle name="Normal 3 2 2 3 2 9 2 2 8" xfId="37245"/>
    <cellStyle name="Normal 3 2 2 3 2 9 2 2 9" xfId="41277"/>
    <cellStyle name="Normal 3 2 2 3 2 9 2 3" xfId="11037"/>
    <cellStyle name="Normal 3 2 2 3 2 9 2 4" xfId="15069"/>
    <cellStyle name="Normal 3 2 2 3 2 9 2 5" xfId="19101"/>
    <cellStyle name="Normal 3 2 2 3 2 9 2 6" xfId="23133"/>
    <cellStyle name="Normal 3 2 2 3 2 9 2 7" xfId="27165"/>
    <cellStyle name="Normal 3 2 2 3 2 9 2 8" xfId="31197"/>
    <cellStyle name="Normal 3 2 2 3 2 9 2 9" xfId="35229"/>
    <cellStyle name="Normal 3 2 2 3 2 9 3" xfId="8068"/>
    <cellStyle name="Normal 3 2 2 3 2 9 3 10" xfId="44358"/>
    <cellStyle name="Normal 3 2 2 3 2 9 3 11" xfId="48390"/>
    <cellStyle name="Normal 3 2 2 3 2 9 3 12" xfId="52469"/>
    <cellStyle name="Normal 3 2 2 3 2 9 3 2" xfId="12102"/>
    <cellStyle name="Normal 3 2 2 3 2 9 3 3" xfId="16134"/>
    <cellStyle name="Normal 3 2 2 3 2 9 3 4" xfId="20166"/>
    <cellStyle name="Normal 3 2 2 3 2 9 3 5" xfId="24198"/>
    <cellStyle name="Normal 3 2 2 3 2 9 3 6" xfId="28230"/>
    <cellStyle name="Normal 3 2 2 3 2 9 3 7" xfId="32262"/>
    <cellStyle name="Normal 3 2 2 3 2 9 3 8" xfId="36294"/>
    <cellStyle name="Normal 3 2 2 3 2 9 3 9" xfId="40326"/>
    <cellStyle name="Normal 3 2 2 3 2 9 4" xfId="10086"/>
    <cellStyle name="Normal 3 2 2 3 2 9 5" xfId="14118"/>
    <cellStyle name="Normal 3 2 2 3 2 9 6" xfId="18150"/>
    <cellStyle name="Normal 3 2 2 3 2 9 7" xfId="22182"/>
    <cellStyle name="Normal 3 2 2 3 2 9 8" xfId="26214"/>
    <cellStyle name="Normal 3 2 2 3 2 9 9" xfId="30246"/>
    <cellStyle name="Normal 3 2 2 3 20" xfId="21204"/>
    <cellStyle name="Normal 3 2 2 3 21" xfId="25236"/>
    <cellStyle name="Normal 3 2 2 3 22" xfId="29268"/>
    <cellStyle name="Normal 3 2 2 3 23" xfId="33300"/>
    <cellStyle name="Normal 3 2 2 3 24" xfId="37332"/>
    <cellStyle name="Normal 3 2 2 3 25" xfId="41364"/>
    <cellStyle name="Normal 3 2 2 3 26" xfId="45396"/>
    <cellStyle name="Normal 3 2 2 3 27" xfId="49474"/>
    <cellStyle name="Normal 3 2 2 3 3" xfId="76"/>
    <cellStyle name="Normal 3 2 2 3 3 10" xfId="4556"/>
    <cellStyle name="Normal 3 2 2 3 3 10 10" xfId="38432"/>
    <cellStyle name="Normal 3 2 2 3 3 10 11" xfId="42464"/>
    <cellStyle name="Normal 3 2 2 3 3 10 12" xfId="46496"/>
    <cellStyle name="Normal 3 2 2 3 3 10 13" xfId="50575"/>
    <cellStyle name="Normal 3 2 2 3 3 10 2" xfId="8190"/>
    <cellStyle name="Normal 3 2 2 3 3 10 2 10" xfId="44480"/>
    <cellStyle name="Normal 3 2 2 3 3 10 2 11" xfId="48512"/>
    <cellStyle name="Normal 3 2 2 3 3 10 2 12" xfId="52591"/>
    <cellStyle name="Normal 3 2 2 3 3 10 2 2" xfId="12224"/>
    <cellStyle name="Normal 3 2 2 3 3 10 2 3" xfId="16256"/>
    <cellStyle name="Normal 3 2 2 3 3 10 2 4" xfId="20288"/>
    <cellStyle name="Normal 3 2 2 3 3 10 2 5" xfId="24320"/>
    <cellStyle name="Normal 3 2 2 3 3 10 2 6" xfId="28352"/>
    <cellStyle name="Normal 3 2 2 3 3 10 2 7" xfId="32384"/>
    <cellStyle name="Normal 3 2 2 3 3 10 2 8" xfId="36416"/>
    <cellStyle name="Normal 3 2 2 3 3 10 2 9" xfId="40448"/>
    <cellStyle name="Normal 3 2 2 3 3 10 3" xfId="10208"/>
    <cellStyle name="Normal 3 2 2 3 3 10 4" xfId="14240"/>
    <cellStyle name="Normal 3 2 2 3 3 10 5" xfId="18272"/>
    <cellStyle name="Normal 3 2 2 3 3 10 6" xfId="22304"/>
    <cellStyle name="Normal 3 2 2 3 3 10 7" xfId="26336"/>
    <cellStyle name="Normal 3 2 2 3 3 10 8" xfId="30368"/>
    <cellStyle name="Normal 3 2 2 3 3 10 9" xfId="34400"/>
    <cellStyle name="Normal 3 2 2 3 3 11" xfId="284"/>
    <cellStyle name="Normal 3 2 2 3 3 11 10" xfId="37489"/>
    <cellStyle name="Normal 3 2 2 3 3 11 11" xfId="41521"/>
    <cellStyle name="Normal 3 2 2 3 3 11 12" xfId="45553"/>
    <cellStyle name="Normal 3 2 2 3 3 11 13" xfId="49631"/>
    <cellStyle name="Normal 3 2 2 3 3 11 2" xfId="7247"/>
    <cellStyle name="Normal 3 2 2 3 3 11 2 10" xfId="43537"/>
    <cellStyle name="Normal 3 2 2 3 3 11 2 11" xfId="47569"/>
    <cellStyle name="Normal 3 2 2 3 3 11 2 12" xfId="51648"/>
    <cellStyle name="Normal 3 2 2 3 3 11 2 2" xfId="11281"/>
    <cellStyle name="Normal 3 2 2 3 3 11 2 3" xfId="15313"/>
    <cellStyle name="Normal 3 2 2 3 3 11 2 4" xfId="19345"/>
    <cellStyle name="Normal 3 2 2 3 3 11 2 5" xfId="23377"/>
    <cellStyle name="Normal 3 2 2 3 3 11 2 6" xfId="27409"/>
    <cellStyle name="Normal 3 2 2 3 3 11 2 7" xfId="31441"/>
    <cellStyle name="Normal 3 2 2 3 3 11 2 8" xfId="35473"/>
    <cellStyle name="Normal 3 2 2 3 3 11 2 9" xfId="39505"/>
    <cellStyle name="Normal 3 2 2 3 3 11 3" xfId="9265"/>
    <cellStyle name="Normal 3 2 2 3 3 11 4" xfId="13297"/>
    <cellStyle name="Normal 3 2 2 3 3 11 5" xfId="17329"/>
    <cellStyle name="Normal 3 2 2 3 3 11 6" xfId="21361"/>
    <cellStyle name="Normal 3 2 2 3 3 11 7" xfId="25393"/>
    <cellStyle name="Normal 3 2 2 3 3 11 8" xfId="29425"/>
    <cellStyle name="Normal 3 2 2 3 3 11 9" xfId="33457"/>
    <cellStyle name="Normal 3 2 2 3 3 12" xfId="7125"/>
    <cellStyle name="Normal 3 2 2 3 3 12 10" xfId="43415"/>
    <cellStyle name="Normal 3 2 2 3 3 12 11" xfId="47447"/>
    <cellStyle name="Normal 3 2 2 3 3 12 12" xfId="51526"/>
    <cellStyle name="Normal 3 2 2 3 3 12 2" xfId="11159"/>
    <cellStyle name="Normal 3 2 2 3 3 12 3" xfId="15191"/>
    <cellStyle name="Normal 3 2 2 3 3 12 4" xfId="19223"/>
    <cellStyle name="Normal 3 2 2 3 3 12 5" xfId="23255"/>
    <cellStyle name="Normal 3 2 2 3 3 12 6" xfId="27287"/>
    <cellStyle name="Normal 3 2 2 3 3 12 7" xfId="31319"/>
    <cellStyle name="Normal 3 2 2 3 3 12 8" xfId="35351"/>
    <cellStyle name="Normal 3 2 2 3 3 12 9" xfId="39383"/>
    <cellStyle name="Normal 3 2 2 3 3 13" xfId="151"/>
    <cellStyle name="Normal 3 2 2 3 3 14" xfId="9143"/>
    <cellStyle name="Normal 3 2 2 3 3 15" xfId="13175"/>
    <cellStyle name="Normal 3 2 2 3 3 16" xfId="17207"/>
    <cellStyle name="Normal 3 2 2 3 3 17" xfId="21239"/>
    <cellStyle name="Normal 3 2 2 3 3 18" xfId="25271"/>
    <cellStyle name="Normal 3 2 2 3 3 19" xfId="29303"/>
    <cellStyle name="Normal 3 2 2 3 3 2" xfId="230"/>
    <cellStyle name="Normal 3 2 2 3 3 2 10" xfId="21308"/>
    <cellStyle name="Normal 3 2 2 3 3 2 11" xfId="25340"/>
    <cellStyle name="Normal 3 2 2 3 3 2 12" xfId="29372"/>
    <cellStyle name="Normal 3 2 2 3 3 2 13" xfId="33404"/>
    <cellStyle name="Normal 3 2 2 3 3 2 14" xfId="37436"/>
    <cellStyle name="Normal 3 2 2 3 3 2 15" xfId="41468"/>
    <cellStyle name="Normal 3 2 2 3 3 2 16" xfId="45500"/>
    <cellStyle name="Normal 3 2 2 3 3 2 17" xfId="49578"/>
    <cellStyle name="Normal 3 2 2 3 3 2 2" xfId="4348"/>
    <cellStyle name="Normal 3 2 2 3 3 2 2 10" xfId="34193"/>
    <cellStyle name="Normal 3 2 2 3 3 2 2 11" xfId="38225"/>
    <cellStyle name="Normal 3 2 2 3 3 2 2 12" xfId="42257"/>
    <cellStyle name="Normal 3 2 2 3 3 2 2 13" xfId="46289"/>
    <cellStyle name="Normal 3 2 2 3 3 2 2 14" xfId="50368"/>
    <cellStyle name="Normal 3 2 2 3 3 2 2 2" xfId="6918"/>
    <cellStyle name="Normal 3 2 2 3 3 2 2 2 10" xfId="39176"/>
    <cellStyle name="Normal 3 2 2 3 3 2 2 2 11" xfId="43208"/>
    <cellStyle name="Normal 3 2 2 3 3 2 2 2 12" xfId="47240"/>
    <cellStyle name="Normal 3 2 2 3 3 2 2 2 13" xfId="51319"/>
    <cellStyle name="Normal 3 2 2 3 3 2 2 2 2" xfId="8934"/>
    <cellStyle name="Normal 3 2 2 3 3 2 2 2 2 10" xfId="45224"/>
    <cellStyle name="Normal 3 2 2 3 3 2 2 2 2 11" xfId="49256"/>
    <cellStyle name="Normal 3 2 2 3 3 2 2 2 2 12" xfId="53335"/>
    <cellStyle name="Normal 3 2 2 3 3 2 2 2 2 2" xfId="12968"/>
    <cellStyle name="Normal 3 2 2 3 3 2 2 2 2 3" xfId="17000"/>
    <cellStyle name="Normal 3 2 2 3 3 2 2 2 2 4" xfId="21032"/>
    <cellStyle name="Normal 3 2 2 3 3 2 2 2 2 5" xfId="25064"/>
    <cellStyle name="Normal 3 2 2 3 3 2 2 2 2 6" xfId="29096"/>
    <cellStyle name="Normal 3 2 2 3 3 2 2 2 2 7" xfId="33128"/>
    <cellStyle name="Normal 3 2 2 3 3 2 2 2 2 8" xfId="37160"/>
    <cellStyle name="Normal 3 2 2 3 3 2 2 2 2 9" xfId="41192"/>
    <cellStyle name="Normal 3 2 2 3 3 2 2 2 3" xfId="10952"/>
    <cellStyle name="Normal 3 2 2 3 3 2 2 2 4" xfId="14984"/>
    <cellStyle name="Normal 3 2 2 3 3 2 2 2 5" xfId="19016"/>
    <cellStyle name="Normal 3 2 2 3 3 2 2 2 6" xfId="23048"/>
    <cellStyle name="Normal 3 2 2 3 3 2 2 2 7" xfId="27080"/>
    <cellStyle name="Normal 3 2 2 3 3 2 2 2 8" xfId="31112"/>
    <cellStyle name="Normal 3 2 2 3 3 2 2 2 9" xfId="35144"/>
    <cellStyle name="Normal 3 2 2 3 3 2 2 3" xfId="7983"/>
    <cellStyle name="Normal 3 2 2 3 3 2 2 3 10" xfId="44273"/>
    <cellStyle name="Normal 3 2 2 3 3 2 2 3 11" xfId="48305"/>
    <cellStyle name="Normal 3 2 2 3 3 2 2 3 12" xfId="52384"/>
    <cellStyle name="Normal 3 2 2 3 3 2 2 3 2" xfId="12017"/>
    <cellStyle name="Normal 3 2 2 3 3 2 2 3 3" xfId="16049"/>
    <cellStyle name="Normal 3 2 2 3 3 2 2 3 4" xfId="20081"/>
    <cellStyle name="Normal 3 2 2 3 3 2 2 3 5" xfId="24113"/>
    <cellStyle name="Normal 3 2 2 3 3 2 2 3 6" xfId="28145"/>
    <cellStyle name="Normal 3 2 2 3 3 2 2 3 7" xfId="32177"/>
    <cellStyle name="Normal 3 2 2 3 3 2 2 3 8" xfId="36209"/>
    <cellStyle name="Normal 3 2 2 3 3 2 2 3 9" xfId="40241"/>
    <cellStyle name="Normal 3 2 2 3 3 2 2 4" xfId="10001"/>
    <cellStyle name="Normal 3 2 2 3 3 2 2 5" xfId="14033"/>
    <cellStyle name="Normal 3 2 2 3 3 2 2 6" xfId="18065"/>
    <cellStyle name="Normal 3 2 2 3 3 2 2 7" xfId="22097"/>
    <cellStyle name="Normal 3 2 2 3 3 2 2 8" xfId="26129"/>
    <cellStyle name="Normal 3 2 2 3 3 2 2 9" xfId="30161"/>
    <cellStyle name="Normal 3 2 2 3 3 2 3" xfId="4487"/>
    <cellStyle name="Normal 3 2 2 3 3 2 3 10" xfId="34331"/>
    <cellStyle name="Normal 3 2 2 3 3 2 3 11" xfId="38363"/>
    <cellStyle name="Normal 3 2 2 3 3 2 3 12" xfId="42395"/>
    <cellStyle name="Normal 3 2 2 3 3 2 3 13" xfId="46427"/>
    <cellStyle name="Normal 3 2 2 3 3 2 3 14" xfId="50506"/>
    <cellStyle name="Normal 3 2 2 3 3 2 3 2" xfId="7056"/>
    <cellStyle name="Normal 3 2 2 3 3 2 3 2 10" xfId="39314"/>
    <cellStyle name="Normal 3 2 2 3 3 2 3 2 11" xfId="43346"/>
    <cellStyle name="Normal 3 2 2 3 3 2 3 2 12" xfId="47378"/>
    <cellStyle name="Normal 3 2 2 3 3 2 3 2 13" xfId="51457"/>
    <cellStyle name="Normal 3 2 2 3 3 2 3 2 2" xfId="9072"/>
    <cellStyle name="Normal 3 2 2 3 3 2 3 2 2 10" xfId="45362"/>
    <cellStyle name="Normal 3 2 2 3 3 2 3 2 2 11" xfId="49394"/>
    <cellStyle name="Normal 3 2 2 3 3 2 3 2 2 12" xfId="53473"/>
    <cellStyle name="Normal 3 2 2 3 3 2 3 2 2 2" xfId="13106"/>
    <cellStyle name="Normal 3 2 2 3 3 2 3 2 2 3" xfId="17138"/>
    <cellStyle name="Normal 3 2 2 3 3 2 3 2 2 4" xfId="21170"/>
    <cellStyle name="Normal 3 2 2 3 3 2 3 2 2 5" xfId="25202"/>
    <cellStyle name="Normal 3 2 2 3 3 2 3 2 2 6" xfId="29234"/>
    <cellStyle name="Normal 3 2 2 3 3 2 3 2 2 7" xfId="33266"/>
    <cellStyle name="Normal 3 2 2 3 3 2 3 2 2 8" xfId="37298"/>
    <cellStyle name="Normal 3 2 2 3 3 2 3 2 2 9" xfId="41330"/>
    <cellStyle name="Normal 3 2 2 3 3 2 3 2 3" xfId="11090"/>
    <cellStyle name="Normal 3 2 2 3 3 2 3 2 4" xfId="15122"/>
    <cellStyle name="Normal 3 2 2 3 3 2 3 2 5" xfId="19154"/>
    <cellStyle name="Normal 3 2 2 3 3 2 3 2 6" xfId="23186"/>
    <cellStyle name="Normal 3 2 2 3 3 2 3 2 7" xfId="27218"/>
    <cellStyle name="Normal 3 2 2 3 3 2 3 2 8" xfId="31250"/>
    <cellStyle name="Normal 3 2 2 3 3 2 3 2 9" xfId="35282"/>
    <cellStyle name="Normal 3 2 2 3 3 2 3 3" xfId="8121"/>
    <cellStyle name="Normal 3 2 2 3 3 2 3 3 10" xfId="44411"/>
    <cellStyle name="Normal 3 2 2 3 3 2 3 3 11" xfId="48443"/>
    <cellStyle name="Normal 3 2 2 3 3 2 3 3 12" xfId="52522"/>
    <cellStyle name="Normal 3 2 2 3 3 2 3 3 2" xfId="12155"/>
    <cellStyle name="Normal 3 2 2 3 3 2 3 3 3" xfId="16187"/>
    <cellStyle name="Normal 3 2 2 3 3 2 3 3 4" xfId="20219"/>
    <cellStyle name="Normal 3 2 2 3 3 2 3 3 5" xfId="24251"/>
    <cellStyle name="Normal 3 2 2 3 3 2 3 3 6" xfId="28283"/>
    <cellStyle name="Normal 3 2 2 3 3 2 3 3 7" xfId="32315"/>
    <cellStyle name="Normal 3 2 2 3 3 2 3 3 8" xfId="36347"/>
    <cellStyle name="Normal 3 2 2 3 3 2 3 3 9" xfId="40379"/>
    <cellStyle name="Normal 3 2 2 3 3 2 3 4" xfId="10139"/>
    <cellStyle name="Normal 3 2 2 3 3 2 3 5" xfId="14171"/>
    <cellStyle name="Normal 3 2 2 3 3 2 3 6" xfId="18203"/>
    <cellStyle name="Normal 3 2 2 3 3 2 3 7" xfId="22235"/>
    <cellStyle name="Normal 3 2 2 3 3 2 3 8" xfId="26267"/>
    <cellStyle name="Normal 3 2 2 3 3 2 3 9" xfId="30299"/>
    <cellStyle name="Normal 3 2 2 3 3 2 4" xfId="4627"/>
    <cellStyle name="Normal 3 2 2 3 3 2 4 10" xfId="38501"/>
    <cellStyle name="Normal 3 2 2 3 3 2 4 11" xfId="42533"/>
    <cellStyle name="Normal 3 2 2 3 3 2 4 12" xfId="46565"/>
    <cellStyle name="Normal 3 2 2 3 3 2 4 13" xfId="50644"/>
    <cellStyle name="Normal 3 2 2 3 3 2 4 2" xfId="8259"/>
    <cellStyle name="Normal 3 2 2 3 3 2 4 2 10" xfId="44549"/>
    <cellStyle name="Normal 3 2 2 3 3 2 4 2 11" xfId="48581"/>
    <cellStyle name="Normal 3 2 2 3 3 2 4 2 12" xfId="52660"/>
    <cellStyle name="Normal 3 2 2 3 3 2 4 2 2" xfId="12293"/>
    <cellStyle name="Normal 3 2 2 3 3 2 4 2 3" xfId="16325"/>
    <cellStyle name="Normal 3 2 2 3 3 2 4 2 4" xfId="20357"/>
    <cellStyle name="Normal 3 2 2 3 3 2 4 2 5" xfId="24389"/>
    <cellStyle name="Normal 3 2 2 3 3 2 4 2 6" xfId="28421"/>
    <cellStyle name="Normal 3 2 2 3 3 2 4 2 7" xfId="32453"/>
    <cellStyle name="Normal 3 2 2 3 3 2 4 2 8" xfId="36485"/>
    <cellStyle name="Normal 3 2 2 3 3 2 4 2 9" xfId="40517"/>
    <cellStyle name="Normal 3 2 2 3 3 2 4 3" xfId="10277"/>
    <cellStyle name="Normal 3 2 2 3 3 2 4 4" xfId="14309"/>
    <cellStyle name="Normal 3 2 2 3 3 2 4 5" xfId="18341"/>
    <cellStyle name="Normal 3 2 2 3 3 2 4 6" xfId="22373"/>
    <cellStyle name="Normal 3 2 2 3 3 2 4 7" xfId="26405"/>
    <cellStyle name="Normal 3 2 2 3 3 2 4 8" xfId="30437"/>
    <cellStyle name="Normal 3 2 2 3 3 2 4 9" xfId="34469"/>
    <cellStyle name="Normal 3 2 2 3 3 2 5" xfId="354"/>
    <cellStyle name="Normal 3 2 2 3 3 2 5 10" xfId="37559"/>
    <cellStyle name="Normal 3 2 2 3 3 2 5 11" xfId="41591"/>
    <cellStyle name="Normal 3 2 2 3 3 2 5 12" xfId="45623"/>
    <cellStyle name="Normal 3 2 2 3 3 2 5 13" xfId="49701"/>
    <cellStyle name="Normal 3 2 2 3 3 2 5 2" xfId="7317"/>
    <cellStyle name="Normal 3 2 2 3 3 2 5 2 10" xfId="43607"/>
    <cellStyle name="Normal 3 2 2 3 3 2 5 2 11" xfId="47639"/>
    <cellStyle name="Normal 3 2 2 3 3 2 5 2 12" xfId="51718"/>
    <cellStyle name="Normal 3 2 2 3 3 2 5 2 2" xfId="11351"/>
    <cellStyle name="Normal 3 2 2 3 3 2 5 2 3" xfId="15383"/>
    <cellStyle name="Normal 3 2 2 3 3 2 5 2 4" xfId="19415"/>
    <cellStyle name="Normal 3 2 2 3 3 2 5 2 5" xfId="23447"/>
    <cellStyle name="Normal 3 2 2 3 3 2 5 2 6" xfId="27479"/>
    <cellStyle name="Normal 3 2 2 3 3 2 5 2 7" xfId="31511"/>
    <cellStyle name="Normal 3 2 2 3 3 2 5 2 8" xfId="35543"/>
    <cellStyle name="Normal 3 2 2 3 3 2 5 2 9" xfId="39575"/>
    <cellStyle name="Normal 3 2 2 3 3 2 5 3" xfId="9335"/>
    <cellStyle name="Normal 3 2 2 3 3 2 5 4" xfId="13367"/>
    <cellStyle name="Normal 3 2 2 3 3 2 5 5" xfId="17399"/>
    <cellStyle name="Normal 3 2 2 3 3 2 5 6" xfId="21431"/>
    <cellStyle name="Normal 3 2 2 3 3 2 5 7" xfId="25463"/>
    <cellStyle name="Normal 3 2 2 3 3 2 5 8" xfId="29495"/>
    <cellStyle name="Normal 3 2 2 3 3 2 5 9" xfId="33527"/>
    <cellStyle name="Normal 3 2 2 3 3 2 6" xfId="7194"/>
    <cellStyle name="Normal 3 2 2 3 3 2 6 10" xfId="43484"/>
    <cellStyle name="Normal 3 2 2 3 3 2 6 11" xfId="47516"/>
    <cellStyle name="Normal 3 2 2 3 3 2 6 12" xfId="51595"/>
    <cellStyle name="Normal 3 2 2 3 3 2 6 2" xfId="11228"/>
    <cellStyle name="Normal 3 2 2 3 3 2 6 3" xfId="15260"/>
    <cellStyle name="Normal 3 2 2 3 3 2 6 4" xfId="19292"/>
    <cellStyle name="Normal 3 2 2 3 3 2 6 5" xfId="23324"/>
    <cellStyle name="Normal 3 2 2 3 3 2 6 6" xfId="27356"/>
    <cellStyle name="Normal 3 2 2 3 3 2 6 7" xfId="31388"/>
    <cellStyle name="Normal 3 2 2 3 3 2 6 8" xfId="35420"/>
    <cellStyle name="Normal 3 2 2 3 3 2 6 9" xfId="39452"/>
    <cellStyle name="Normal 3 2 2 3 3 2 7" xfId="9212"/>
    <cellStyle name="Normal 3 2 2 3 3 2 8" xfId="13244"/>
    <cellStyle name="Normal 3 2 2 3 3 2 9" xfId="17276"/>
    <cellStyle name="Normal 3 2 2 3 3 20" xfId="33335"/>
    <cellStyle name="Normal 3 2 2 3 3 21" xfId="37367"/>
    <cellStyle name="Normal 3 2 2 3 3 22" xfId="41399"/>
    <cellStyle name="Normal 3 2 2 3 3 23" xfId="45431"/>
    <cellStyle name="Normal 3 2 2 3 3 24" xfId="49509"/>
    <cellStyle name="Normal 3 2 2 3 3 3" xfId="1664"/>
    <cellStyle name="Normal 3 2 2 3 3 3 10" xfId="33625"/>
    <cellStyle name="Normal 3 2 2 3 3 3 11" xfId="37657"/>
    <cellStyle name="Normal 3 2 2 3 3 3 12" xfId="41689"/>
    <cellStyle name="Normal 3 2 2 3 3 3 13" xfId="45721"/>
    <cellStyle name="Normal 3 2 2 3 3 3 14" xfId="49799"/>
    <cellStyle name="Normal 3 2 2 3 3 3 2" xfId="5340"/>
    <cellStyle name="Normal 3 2 2 3 3 3 2 10" xfId="38608"/>
    <cellStyle name="Normal 3 2 2 3 3 3 2 11" xfId="42640"/>
    <cellStyle name="Normal 3 2 2 3 3 3 2 12" xfId="46672"/>
    <cellStyle name="Normal 3 2 2 3 3 3 2 13" xfId="50751"/>
    <cellStyle name="Normal 3 2 2 3 3 3 2 2" xfId="8366"/>
    <cellStyle name="Normal 3 2 2 3 3 3 2 2 10" xfId="44656"/>
    <cellStyle name="Normal 3 2 2 3 3 3 2 2 11" xfId="48688"/>
    <cellStyle name="Normal 3 2 2 3 3 3 2 2 12" xfId="52767"/>
    <cellStyle name="Normal 3 2 2 3 3 3 2 2 2" xfId="12400"/>
    <cellStyle name="Normal 3 2 2 3 3 3 2 2 3" xfId="16432"/>
    <cellStyle name="Normal 3 2 2 3 3 3 2 2 4" xfId="20464"/>
    <cellStyle name="Normal 3 2 2 3 3 3 2 2 5" xfId="24496"/>
    <cellStyle name="Normal 3 2 2 3 3 3 2 2 6" xfId="28528"/>
    <cellStyle name="Normal 3 2 2 3 3 3 2 2 7" xfId="32560"/>
    <cellStyle name="Normal 3 2 2 3 3 3 2 2 8" xfId="36592"/>
    <cellStyle name="Normal 3 2 2 3 3 3 2 2 9" xfId="40624"/>
    <cellStyle name="Normal 3 2 2 3 3 3 2 3" xfId="10384"/>
    <cellStyle name="Normal 3 2 2 3 3 3 2 4" xfId="14416"/>
    <cellStyle name="Normal 3 2 2 3 3 3 2 5" xfId="18448"/>
    <cellStyle name="Normal 3 2 2 3 3 3 2 6" xfId="22480"/>
    <cellStyle name="Normal 3 2 2 3 3 3 2 7" xfId="26512"/>
    <cellStyle name="Normal 3 2 2 3 3 3 2 8" xfId="30544"/>
    <cellStyle name="Normal 3 2 2 3 3 3 2 9" xfId="34576"/>
    <cellStyle name="Normal 3 2 2 3 3 3 3" xfId="7415"/>
    <cellStyle name="Normal 3 2 2 3 3 3 3 10" xfId="43705"/>
    <cellStyle name="Normal 3 2 2 3 3 3 3 11" xfId="47737"/>
    <cellStyle name="Normal 3 2 2 3 3 3 3 12" xfId="51816"/>
    <cellStyle name="Normal 3 2 2 3 3 3 3 2" xfId="11449"/>
    <cellStyle name="Normal 3 2 2 3 3 3 3 3" xfId="15481"/>
    <cellStyle name="Normal 3 2 2 3 3 3 3 4" xfId="19513"/>
    <cellStyle name="Normal 3 2 2 3 3 3 3 5" xfId="23545"/>
    <cellStyle name="Normal 3 2 2 3 3 3 3 6" xfId="27577"/>
    <cellStyle name="Normal 3 2 2 3 3 3 3 7" xfId="31609"/>
    <cellStyle name="Normal 3 2 2 3 3 3 3 8" xfId="35641"/>
    <cellStyle name="Normal 3 2 2 3 3 3 3 9" xfId="39673"/>
    <cellStyle name="Normal 3 2 2 3 3 3 4" xfId="9433"/>
    <cellStyle name="Normal 3 2 2 3 3 3 5" xfId="13465"/>
    <cellStyle name="Normal 3 2 2 3 3 3 6" xfId="17497"/>
    <cellStyle name="Normal 3 2 2 3 3 3 7" xfId="21529"/>
    <cellStyle name="Normal 3 2 2 3 3 3 8" xfId="25561"/>
    <cellStyle name="Normal 3 2 2 3 3 3 9" xfId="29593"/>
    <cellStyle name="Normal 3 2 2 3 3 4" xfId="1738"/>
    <cellStyle name="Normal 3 2 2 3 3 4 10" xfId="33694"/>
    <cellStyle name="Normal 3 2 2 3 3 4 11" xfId="37726"/>
    <cellStyle name="Normal 3 2 2 3 3 4 12" xfId="41758"/>
    <cellStyle name="Normal 3 2 2 3 3 4 13" xfId="45790"/>
    <cellStyle name="Normal 3 2 2 3 3 4 14" xfId="49868"/>
    <cellStyle name="Normal 3 2 2 3 3 4 2" xfId="5409"/>
    <cellStyle name="Normal 3 2 2 3 3 4 2 10" xfId="38677"/>
    <cellStyle name="Normal 3 2 2 3 3 4 2 11" xfId="42709"/>
    <cellStyle name="Normal 3 2 2 3 3 4 2 12" xfId="46741"/>
    <cellStyle name="Normal 3 2 2 3 3 4 2 13" xfId="50820"/>
    <cellStyle name="Normal 3 2 2 3 3 4 2 2" xfId="8435"/>
    <cellStyle name="Normal 3 2 2 3 3 4 2 2 10" xfId="44725"/>
    <cellStyle name="Normal 3 2 2 3 3 4 2 2 11" xfId="48757"/>
    <cellStyle name="Normal 3 2 2 3 3 4 2 2 12" xfId="52836"/>
    <cellStyle name="Normal 3 2 2 3 3 4 2 2 2" xfId="12469"/>
    <cellStyle name="Normal 3 2 2 3 3 4 2 2 3" xfId="16501"/>
    <cellStyle name="Normal 3 2 2 3 3 4 2 2 4" xfId="20533"/>
    <cellStyle name="Normal 3 2 2 3 3 4 2 2 5" xfId="24565"/>
    <cellStyle name="Normal 3 2 2 3 3 4 2 2 6" xfId="28597"/>
    <cellStyle name="Normal 3 2 2 3 3 4 2 2 7" xfId="32629"/>
    <cellStyle name="Normal 3 2 2 3 3 4 2 2 8" xfId="36661"/>
    <cellStyle name="Normal 3 2 2 3 3 4 2 2 9" xfId="40693"/>
    <cellStyle name="Normal 3 2 2 3 3 4 2 3" xfId="10453"/>
    <cellStyle name="Normal 3 2 2 3 3 4 2 4" xfId="14485"/>
    <cellStyle name="Normal 3 2 2 3 3 4 2 5" xfId="18517"/>
    <cellStyle name="Normal 3 2 2 3 3 4 2 6" xfId="22549"/>
    <cellStyle name="Normal 3 2 2 3 3 4 2 7" xfId="26581"/>
    <cellStyle name="Normal 3 2 2 3 3 4 2 8" xfId="30613"/>
    <cellStyle name="Normal 3 2 2 3 3 4 2 9" xfId="34645"/>
    <cellStyle name="Normal 3 2 2 3 3 4 3" xfId="7484"/>
    <cellStyle name="Normal 3 2 2 3 3 4 3 10" xfId="43774"/>
    <cellStyle name="Normal 3 2 2 3 3 4 3 11" xfId="47806"/>
    <cellStyle name="Normal 3 2 2 3 3 4 3 12" xfId="51885"/>
    <cellStyle name="Normal 3 2 2 3 3 4 3 2" xfId="11518"/>
    <cellStyle name="Normal 3 2 2 3 3 4 3 3" xfId="15550"/>
    <cellStyle name="Normal 3 2 2 3 3 4 3 4" xfId="19582"/>
    <cellStyle name="Normal 3 2 2 3 3 4 3 5" xfId="23614"/>
    <cellStyle name="Normal 3 2 2 3 3 4 3 6" xfId="27646"/>
    <cellStyle name="Normal 3 2 2 3 3 4 3 7" xfId="31678"/>
    <cellStyle name="Normal 3 2 2 3 3 4 3 8" xfId="35710"/>
    <cellStyle name="Normal 3 2 2 3 3 4 3 9" xfId="39742"/>
    <cellStyle name="Normal 3 2 2 3 3 4 4" xfId="9502"/>
    <cellStyle name="Normal 3 2 2 3 3 4 5" xfId="13534"/>
    <cellStyle name="Normal 3 2 2 3 3 4 6" xfId="17566"/>
    <cellStyle name="Normal 3 2 2 3 3 4 7" xfId="21598"/>
    <cellStyle name="Normal 3 2 2 3 3 4 8" xfId="25630"/>
    <cellStyle name="Normal 3 2 2 3 3 4 9" xfId="29662"/>
    <cellStyle name="Normal 3 2 2 3 3 5" xfId="4060"/>
    <cellStyle name="Normal 3 2 2 3 3 5 10" xfId="33917"/>
    <cellStyle name="Normal 3 2 2 3 3 5 11" xfId="37949"/>
    <cellStyle name="Normal 3 2 2 3 3 5 12" xfId="41981"/>
    <cellStyle name="Normal 3 2 2 3 3 5 13" xfId="46013"/>
    <cellStyle name="Normal 3 2 2 3 3 5 14" xfId="50091"/>
    <cellStyle name="Normal 3 2 2 3 3 5 2" xfId="6642"/>
    <cellStyle name="Normal 3 2 2 3 3 5 2 10" xfId="38900"/>
    <cellStyle name="Normal 3 2 2 3 3 5 2 11" xfId="42932"/>
    <cellStyle name="Normal 3 2 2 3 3 5 2 12" xfId="46964"/>
    <cellStyle name="Normal 3 2 2 3 3 5 2 13" xfId="51043"/>
    <cellStyle name="Normal 3 2 2 3 3 5 2 2" xfId="8658"/>
    <cellStyle name="Normal 3 2 2 3 3 5 2 2 10" xfId="44948"/>
    <cellStyle name="Normal 3 2 2 3 3 5 2 2 11" xfId="48980"/>
    <cellStyle name="Normal 3 2 2 3 3 5 2 2 12" xfId="53059"/>
    <cellStyle name="Normal 3 2 2 3 3 5 2 2 2" xfId="12692"/>
    <cellStyle name="Normal 3 2 2 3 3 5 2 2 3" xfId="16724"/>
    <cellStyle name="Normal 3 2 2 3 3 5 2 2 4" xfId="20756"/>
    <cellStyle name="Normal 3 2 2 3 3 5 2 2 5" xfId="24788"/>
    <cellStyle name="Normal 3 2 2 3 3 5 2 2 6" xfId="28820"/>
    <cellStyle name="Normal 3 2 2 3 3 5 2 2 7" xfId="32852"/>
    <cellStyle name="Normal 3 2 2 3 3 5 2 2 8" xfId="36884"/>
    <cellStyle name="Normal 3 2 2 3 3 5 2 2 9" xfId="40916"/>
    <cellStyle name="Normal 3 2 2 3 3 5 2 3" xfId="10676"/>
    <cellStyle name="Normal 3 2 2 3 3 5 2 4" xfId="14708"/>
    <cellStyle name="Normal 3 2 2 3 3 5 2 5" xfId="18740"/>
    <cellStyle name="Normal 3 2 2 3 3 5 2 6" xfId="22772"/>
    <cellStyle name="Normal 3 2 2 3 3 5 2 7" xfId="26804"/>
    <cellStyle name="Normal 3 2 2 3 3 5 2 8" xfId="30836"/>
    <cellStyle name="Normal 3 2 2 3 3 5 2 9" xfId="34868"/>
    <cellStyle name="Normal 3 2 2 3 3 5 3" xfId="7707"/>
    <cellStyle name="Normal 3 2 2 3 3 5 3 10" xfId="43997"/>
    <cellStyle name="Normal 3 2 2 3 3 5 3 11" xfId="48029"/>
    <cellStyle name="Normal 3 2 2 3 3 5 3 12" xfId="52108"/>
    <cellStyle name="Normal 3 2 2 3 3 5 3 2" xfId="11741"/>
    <cellStyle name="Normal 3 2 2 3 3 5 3 3" xfId="15773"/>
    <cellStyle name="Normal 3 2 2 3 3 5 3 4" xfId="19805"/>
    <cellStyle name="Normal 3 2 2 3 3 5 3 5" xfId="23837"/>
    <cellStyle name="Normal 3 2 2 3 3 5 3 6" xfId="27869"/>
    <cellStyle name="Normal 3 2 2 3 3 5 3 7" xfId="31901"/>
    <cellStyle name="Normal 3 2 2 3 3 5 3 8" xfId="35933"/>
    <cellStyle name="Normal 3 2 2 3 3 5 3 9" xfId="39965"/>
    <cellStyle name="Normal 3 2 2 3 3 5 4" xfId="9725"/>
    <cellStyle name="Normal 3 2 2 3 3 5 5" xfId="13757"/>
    <cellStyle name="Normal 3 2 2 3 3 5 6" xfId="17789"/>
    <cellStyle name="Normal 3 2 2 3 3 5 7" xfId="21821"/>
    <cellStyle name="Normal 3 2 2 3 3 5 8" xfId="25853"/>
    <cellStyle name="Normal 3 2 2 3 3 5 9" xfId="29885"/>
    <cellStyle name="Normal 3 2 2 3 3 6" xfId="4130"/>
    <cellStyle name="Normal 3 2 2 3 3 6 10" xfId="33986"/>
    <cellStyle name="Normal 3 2 2 3 3 6 11" xfId="38018"/>
    <cellStyle name="Normal 3 2 2 3 3 6 12" xfId="42050"/>
    <cellStyle name="Normal 3 2 2 3 3 6 13" xfId="46082"/>
    <cellStyle name="Normal 3 2 2 3 3 6 14" xfId="50160"/>
    <cellStyle name="Normal 3 2 2 3 3 6 2" xfId="6711"/>
    <cellStyle name="Normal 3 2 2 3 3 6 2 10" xfId="38969"/>
    <cellStyle name="Normal 3 2 2 3 3 6 2 11" xfId="43001"/>
    <cellStyle name="Normal 3 2 2 3 3 6 2 12" xfId="47033"/>
    <cellStyle name="Normal 3 2 2 3 3 6 2 13" xfId="51112"/>
    <cellStyle name="Normal 3 2 2 3 3 6 2 2" xfId="8727"/>
    <cellStyle name="Normal 3 2 2 3 3 6 2 2 10" xfId="45017"/>
    <cellStyle name="Normal 3 2 2 3 3 6 2 2 11" xfId="49049"/>
    <cellStyle name="Normal 3 2 2 3 3 6 2 2 12" xfId="53128"/>
    <cellStyle name="Normal 3 2 2 3 3 6 2 2 2" xfId="12761"/>
    <cellStyle name="Normal 3 2 2 3 3 6 2 2 3" xfId="16793"/>
    <cellStyle name="Normal 3 2 2 3 3 6 2 2 4" xfId="20825"/>
    <cellStyle name="Normal 3 2 2 3 3 6 2 2 5" xfId="24857"/>
    <cellStyle name="Normal 3 2 2 3 3 6 2 2 6" xfId="28889"/>
    <cellStyle name="Normal 3 2 2 3 3 6 2 2 7" xfId="32921"/>
    <cellStyle name="Normal 3 2 2 3 3 6 2 2 8" xfId="36953"/>
    <cellStyle name="Normal 3 2 2 3 3 6 2 2 9" xfId="40985"/>
    <cellStyle name="Normal 3 2 2 3 3 6 2 3" xfId="10745"/>
    <cellStyle name="Normal 3 2 2 3 3 6 2 4" xfId="14777"/>
    <cellStyle name="Normal 3 2 2 3 3 6 2 5" xfId="18809"/>
    <cellStyle name="Normal 3 2 2 3 3 6 2 6" xfId="22841"/>
    <cellStyle name="Normal 3 2 2 3 3 6 2 7" xfId="26873"/>
    <cellStyle name="Normal 3 2 2 3 3 6 2 8" xfId="30905"/>
    <cellStyle name="Normal 3 2 2 3 3 6 2 9" xfId="34937"/>
    <cellStyle name="Normal 3 2 2 3 3 6 3" xfId="7776"/>
    <cellStyle name="Normal 3 2 2 3 3 6 3 10" xfId="44066"/>
    <cellStyle name="Normal 3 2 2 3 3 6 3 11" xfId="48098"/>
    <cellStyle name="Normal 3 2 2 3 3 6 3 12" xfId="52177"/>
    <cellStyle name="Normal 3 2 2 3 3 6 3 2" xfId="11810"/>
    <cellStyle name="Normal 3 2 2 3 3 6 3 3" xfId="15842"/>
    <cellStyle name="Normal 3 2 2 3 3 6 3 4" xfId="19874"/>
    <cellStyle name="Normal 3 2 2 3 3 6 3 5" xfId="23906"/>
    <cellStyle name="Normal 3 2 2 3 3 6 3 6" xfId="27938"/>
    <cellStyle name="Normal 3 2 2 3 3 6 3 7" xfId="31970"/>
    <cellStyle name="Normal 3 2 2 3 3 6 3 8" xfId="36002"/>
    <cellStyle name="Normal 3 2 2 3 3 6 3 9" xfId="40034"/>
    <cellStyle name="Normal 3 2 2 3 3 6 4" xfId="9794"/>
    <cellStyle name="Normal 3 2 2 3 3 6 5" xfId="13826"/>
    <cellStyle name="Normal 3 2 2 3 3 6 6" xfId="17858"/>
    <cellStyle name="Normal 3 2 2 3 3 6 7" xfId="21890"/>
    <cellStyle name="Normal 3 2 2 3 3 6 8" xfId="25922"/>
    <cellStyle name="Normal 3 2 2 3 3 6 9" xfId="29954"/>
    <cellStyle name="Normal 3 2 2 3 3 7" xfId="4199"/>
    <cellStyle name="Normal 3 2 2 3 3 7 10" xfId="34055"/>
    <cellStyle name="Normal 3 2 2 3 3 7 11" xfId="38087"/>
    <cellStyle name="Normal 3 2 2 3 3 7 12" xfId="42119"/>
    <cellStyle name="Normal 3 2 2 3 3 7 13" xfId="46151"/>
    <cellStyle name="Normal 3 2 2 3 3 7 14" xfId="50229"/>
    <cellStyle name="Normal 3 2 2 3 3 7 2" xfId="6780"/>
    <cellStyle name="Normal 3 2 2 3 3 7 2 10" xfId="39038"/>
    <cellStyle name="Normal 3 2 2 3 3 7 2 11" xfId="43070"/>
    <cellStyle name="Normal 3 2 2 3 3 7 2 12" xfId="47102"/>
    <cellStyle name="Normal 3 2 2 3 3 7 2 13" xfId="51181"/>
    <cellStyle name="Normal 3 2 2 3 3 7 2 2" xfId="8796"/>
    <cellStyle name="Normal 3 2 2 3 3 7 2 2 10" xfId="45086"/>
    <cellStyle name="Normal 3 2 2 3 3 7 2 2 11" xfId="49118"/>
    <cellStyle name="Normal 3 2 2 3 3 7 2 2 12" xfId="53197"/>
    <cellStyle name="Normal 3 2 2 3 3 7 2 2 2" xfId="12830"/>
    <cellStyle name="Normal 3 2 2 3 3 7 2 2 3" xfId="16862"/>
    <cellStyle name="Normal 3 2 2 3 3 7 2 2 4" xfId="20894"/>
    <cellStyle name="Normal 3 2 2 3 3 7 2 2 5" xfId="24926"/>
    <cellStyle name="Normal 3 2 2 3 3 7 2 2 6" xfId="28958"/>
    <cellStyle name="Normal 3 2 2 3 3 7 2 2 7" xfId="32990"/>
    <cellStyle name="Normal 3 2 2 3 3 7 2 2 8" xfId="37022"/>
    <cellStyle name="Normal 3 2 2 3 3 7 2 2 9" xfId="41054"/>
    <cellStyle name="Normal 3 2 2 3 3 7 2 3" xfId="10814"/>
    <cellStyle name="Normal 3 2 2 3 3 7 2 4" xfId="14846"/>
    <cellStyle name="Normal 3 2 2 3 3 7 2 5" xfId="18878"/>
    <cellStyle name="Normal 3 2 2 3 3 7 2 6" xfId="22910"/>
    <cellStyle name="Normal 3 2 2 3 3 7 2 7" xfId="26942"/>
    <cellStyle name="Normal 3 2 2 3 3 7 2 8" xfId="30974"/>
    <cellStyle name="Normal 3 2 2 3 3 7 2 9" xfId="35006"/>
    <cellStyle name="Normal 3 2 2 3 3 7 3" xfId="7845"/>
    <cellStyle name="Normal 3 2 2 3 3 7 3 10" xfId="44135"/>
    <cellStyle name="Normal 3 2 2 3 3 7 3 11" xfId="48167"/>
    <cellStyle name="Normal 3 2 2 3 3 7 3 12" xfId="52246"/>
    <cellStyle name="Normal 3 2 2 3 3 7 3 2" xfId="11879"/>
    <cellStyle name="Normal 3 2 2 3 3 7 3 3" xfId="15911"/>
    <cellStyle name="Normal 3 2 2 3 3 7 3 4" xfId="19943"/>
    <cellStyle name="Normal 3 2 2 3 3 7 3 5" xfId="23975"/>
    <cellStyle name="Normal 3 2 2 3 3 7 3 6" xfId="28007"/>
    <cellStyle name="Normal 3 2 2 3 3 7 3 7" xfId="32039"/>
    <cellStyle name="Normal 3 2 2 3 3 7 3 8" xfId="36071"/>
    <cellStyle name="Normal 3 2 2 3 3 7 3 9" xfId="40103"/>
    <cellStyle name="Normal 3 2 2 3 3 7 4" xfId="9863"/>
    <cellStyle name="Normal 3 2 2 3 3 7 5" xfId="13895"/>
    <cellStyle name="Normal 3 2 2 3 3 7 6" xfId="17927"/>
    <cellStyle name="Normal 3 2 2 3 3 7 7" xfId="21959"/>
    <cellStyle name="Normal 3 2 2 3 3 7 8" xfId="25991"/>
    <cellStyle name="Normal 3 2 2 3 3 7 9" xfId="30023"/>
    <cellStyle name="Normal 3 2 2 3 3 8" xfId="4272"/>
    <cellStyle name="Normal 3 2 2 3 3 8 10" xfId="34124"/>
    <cellStyle name="Normal 3 2 2 3 3 8 11" xfId="38156"/>
    <cellStyle name="Normal 3 2 2 3 3 8 12" xfId="42188"/>
    <cellStyle name="Normal 3 2 2 3 3 8 13" xfId="46220"/>
    <cellStyle name="Normal 3 2 2 3 3 8 14" xfId="50298"/>
    <cellStyle name="Normal 3 2 2 3 3 8 2" xfId="6849"/>
    <cellStyle name="Normal 3 2 2 3 3 8 2 10" xfId="39107"/>
    <cellStyle name="Normal 3 2 2 3 3 8 2 11" xfId="43139"/>
    <cellStyle name="Normal 3 2 2 3 3 8 2 12" xfId="47171"/>
    <cellStyle name="Normal 3 2 2 3 3 8 2 13" xfId="51250"/>
    <cellStyle name="Normal 3 2 2 3 3 8 2 2" xfId="8865"/>
    <cellStyle name="Normal 3 2 2 3 3 8 2 2 10" xfId="45155"/>
    <cellStyle name="Normal 3 2 2 3 3 8 2 2 11" xfId="49187"/>
    <cellStyle name="Normal 3 2 2 3 3 8 2 2 12" xfId="53266"/>
    <cellStyle name="Normal 3 2 2 3 3 8 2 2 2" xfId="12899"/>
    <cellStyle name="Normal 3 2 2 3 3 8 2 2 3" xfId="16931"/>
    <cellStyle name="Normal 3 2 2 3 3 8 2 2 4" xfId="20963"/>
    <cellStyle name="Normal 3 2 2 3 3 8 2 2 5" xfId="24995"/>
    <cellStyle name="Normal 3 2 2 3 3 8 2 2 6" xfId="29027"/>
    <cellStyle name="Normal 3 2 2 3 3 8 2 2 7" xfId="33059"/>
    <cellStyle name="Normal 3 2 2 3 3 8 2 2 8" xfId="37091"/>
    <cellStyle name="Normal 3 2 2 3 3 8 2 2 9" xfId="41123"/>
    <cellStyle name="Normal 3 2 2 3 3 8 2 3" xfId="10883"/>
    <cellStyle name="Normal 3 2 2 3 3 8 2 4" xfId="14915"/>
    <cellStyle name="Normal 3 2 2 3 3 8 2 5" xfId="18947"/>
    <cellStyle name="Normal 3 2 2 3 3 8 2 6" xfId="22979"/>
    <cellStyle name="Normal 3 2 2 3 3 8 2 7" xfId="27011"/>
    <cellStyle name="Normal 3 2 2 3 3 8 2 8" xfId="31043"/>
    <cellStyle name="Normal 3 2 2 3 3 8 2 9" xfId="35075"/>
    <cellStyle name="Normal 3 2 2 3 3 8 3" xfId="7914"/>
    <cellStyle name="Normal 3 2 2 3 3 8 3 10" xfId="44204"/>
    <cellStyle name="Normal 3 2 2 3 3 8 3 11" xfId="48236"/>
    <cellStyle name="Normal 3 2 2 3 3 8 3 12" xfId="52315"/>
    <cellStyle name="Normal 3 2 2 3 3 8 3 2" xfId="11948"/>
    <cellStyle name="Normal 3 2 2 3 3 8 3 3" xfId="15980"/>
    <cellStyle name="Normal 3 2 2 3 3 8 3 4" xfId="20012"/>
    <cellStyle name="Normal 3 2 2 3 3 8 3 5" xfId="24044"/>
    <cellStyle name="Normal 3 2 2 3 3 8 3 6" xfId="28076"/>
    <cellStyle name="Normal 3 2 2 3 3 8 3 7" xfId="32108"/>
    <cellStyle name="Normal 3 2 2 3 3 8 3 8" xfId="36140"/>
    <cellStyle name="Normal 3 2 2 3 3 8 3 9" xfId="40172"/>
    <cellStyle name="Normal 3 2 2 3 3 8 4" xfId="9932"/>
    <cellStyle name="Normal 3 2 2 3 3 8 5" xfId="13964"/>
    <cellStyle name="Normal 3 2 2 3 3 8 6" xfId="17996"/>
    <cellStyle name="Normal 3 2 2 3 3 8 7" xfId="22028"/>
    <cellStyle name="Normal 3 2 2 3 3 8 8" xfId="26060"/>
    <cellStyle name="Normal 3 2 2 3 3 8 9" xfId="30092"/>
    <cellStyle name="Normal 3 2 2 3 3 9" xfId="4418"/>
    <cellStyle name="Normal 3 2 2 3 3 9 10" xfId="34262"/>
    <cellStyle name="Normal 3 2 2 3 3 9 11" xfId="38294"/>
    <cellStyle name="Normal 3 2 2 3 3 9 12" xfId="42326"/>
    <cellStyle name="Normal 3 2 2 3 3 9 13" xfId="46358"/>
    <cellStyle name="Normal 3 2 2 3 3 9 14" xfId="50437"/>
    <cellStyle name="Normal 3 2 2 3 3 9 2" xfId="6987"/>
    <cellStyle name="Normal 3 2 2 3 3 9 2 10" xfId="39245"/>
    <cellStyle name="Normal 3 2 2 3 3 9 2 11" xfId="43277"/>
    <cellStyle name="Normal 3 2 2 3 3 9 2 12" xfId="47309"/>
    <cellStyle name="Normal 3 2 2 3 3 9 2 13" xfId="51388"/>
    <cellStyle name="Normal 3 2 2 3 3 9 2 2" xfId="9003"/>
    <cellStyle name="Normal 3 2 2 3 3 9 2 2 10" xfId="45293"/>
    <cellStyle name="Normal 3 2 2 3 3 9 2 2 11" xfId="49325"/>
    <cellStyle name="Normal 3 2 2 3 3 9 2 2 12" xfId="53404"/>
    <cellStyle name="Normal 3 2 2 3 3 9 2 2 2" xfId="13037"/>
    <cellStyle name="Normal 3 2 2 3 3 9 2 2 3" xfId="17069"/>
    <cellStyle name="Normal 3 2 2 3 3 9 2 2 4" xfId="21101"/>
    <cellStyle name="Normal 3 2 2 3 3 9 2 2 5" xfId="25133"/>
    <cellStyle name="Normal 3 2 2 3 3 9 2 2 6" xfId="29165"/>
    <cellStyle name="Normal 3 2 2 3 3 9 2 2 7" xfId="33197"/>
    <cellStyle name="Normal 3 2 2 3 3 9 2 2 8" xfId="37229"/>
    <cellStyle name="Normal 3 2 2 3 3 9 2 2 9" xfId="41261"/>
    <cellStyle name="Normal 3 2 2 3 3 9 2 3" xfId="11021"/>
    <cellStyle name="Normal 3 2 2 3 3 9 2 4" xfId="15053"/>
    <cellStyle name="Normal 3 2 2 3 3 9 2 5" xfId="19085"/>
    <cellStyle name="Normal 3 2 2 3 3 9 2 6" xfId="23117"/>
    <cellStyle name="Normal 3 2 2 3 3 9 2 7" xfId="27149"/>
    <cellStyle name="Normal 3 2 2 3 3 9 2 8" xfId="31181"/>
    <cellStyle name="Normal 3 2 2 3 3 9 2 9" xfId="35213"/>
    <cellStyle name="Normal 3 2 2 3 3 9 3" xfId="8052"/>
    <cellStyle name="Normal 3 2 2 3 3 9 3 10" xfId="44342"/>
    <cellStyle name="Normal 3 2 2 3 3 9 3 11" xfId="48374"/>
    <cellStyle name="Normal 3 2 2 3 3 9 3 12" xfId="52453"/>
    <cellStyle name="Normal 3 2 2 3 3 9 3 2" xfId="12086"/>
    <cellStyle name="Normal 3 2 2 3 3 9 3 3" xfId="16118"/>
    <cellStyle name="Normal 3 2 2 3 3 9 3 4" xfId="20150"/>
    <cellStyle name="Normal 3 2 2 3 3 9 3 5" xfId="24182"/>
    <cellStyle name="Normal 3 2 2 3 3 9 3 6" xfId="28214"/>
    <cellStyle name="Normal 3 2 2 3 3 9 3 7" xfId="32246"/>
    <cellStyle name="Normal 3 2 2 3 3 9 3 8" xfId="36278"/>
    <cellStyle name="Normal 3 2 2 3 3 9 3 9" xfId="40310"/>
    <cellStyle name="Normal 3 2 2 3 3 9 4" xfId="10070"/>
    <cellStyle name="Normal 3 2 2 3 3 9 5" xfId="14102"/>
    <cellStyle name="Normal 3 2 2 3 3 9 6" xfId="18134"/>
    <cellStyle name="Normal 3 2 2 3 3 9 7" xfId="22166"/>
    <cellStyle name="Normal 3 2 2 3 3 9 8" xfId="26198"/>
    <cellStyle name="Normal 3 2 2 3 3 9 9" xfId="30230"/>
    <cellStyle name="Normal 3 2 2 3 4" xfId="57"/>
    <cellStyle name="Normal 3 2 2 3 4 10" xfId="335"/>
    <cellStyle name="Normal 3 2 2 3 4 10 10" xfId="37540"/>
    <cellStyle name="Normal 3 2 2 3 4 10 11" xfId="41572"/>
    <cellStyle name="Normal 3 2 2 3 4 10 12" xfId="45604"/>
    <cellStyle name="Normal 3 2 2 3 4 10 13" xfId="49682"/>
    <cellStyle name="Normal 3 2 2 3 4 10 2" xfId="7298"/>
    <cellStyle name="Normal 3 2 2 3 4 10 2 10" xfId="43588"/>
    <cellStyle name="Normal 3 2 2 3 4 10 2 11" xfId="47620"/>
    <cellStyle name="Normal 3 2 2 3 4 10 2 12" xfId="51699"/>
    <cellStyle name="Normal 3 2 2 3 4 10 2 2" xfId="11332"/>
    <cellStyle name="Normal 3 2 2 3 4 10 2 3" xfId="15364"/>
    <cellStyle name="Normal 3 2 2 3 4 10 2 4" xfId="19396"/>
    <cellStyle name="Normal 3 2 2 3 4 10 2 5" xfId="23428"/>
    <cellStyle name="Normal 3 2 2 3 4 10 2 6" xfId="27460"/>
    <cellStyle name="Normal 3 2 2 3 4 10 2 7" xfId="31492"/>
    <cellStyle name="Normal 3 2 2 3 4 10 2 8" xfId="35524"/>
    <cellStyle name="Normal 3 2 2 3 4 10 2 9" xfId="39556"/>
    <cellStyle name="Normal 3 2 2 3 4 10 3" xfId="9316"/>
    <cellStyle name="Normal 3 2 2 3 4 10 4" xfId="13348"/>
    <cellStyle name="Normal 3 2 2 3 4 10 5" xfId="17380"/>
    <cellStyle name="Normal 3 2 2 3 4 10 6" xfId="21412"/>
    <cellStyle name="Normal 3 2 2 3 4 10 7" xfId="25444"/>
    <cellStyle name="Normal 3 2 2 3 4 10 8" xfId="29476"/>
    <cellStyle name="Normal 3 2 2 3 4 10 9" xfId="33508"/>
    <cellStyle name="Normal 3 2 2 3 4 11" xfId="7106"/>
    <cellStyle name="Normal 3 2 2 3 4 11 10" xfId="43396"/>
    <cellStyle name="Normal 3 2 2 3 4 11 11" xfId="47428"/>
    <cellStyle name="Normal 3 2 2 3 4 11 12" xfId="51507"/>
    <cellStyle name="Normal 3 2 2 3 4 11 2" xfId="11140"/>
    <cellStyle name="Normal 3 2 2 3 4 11 3" xfId="15172"/>
    <cellStyle name="Normal 3 2 2 3 4 11 4" xfId="19204"/>
    <cellStyle name="Normal 3 2 2 3 4 11 5" xfId="23236"/>
    <cellStyle name="Normal 3 2 2 3 4 11 6" xfId="27268"/>
    <cellStyle name="Normal 3 2 2 3 4 11 7" xfId="31300"/>
    <cellStyle name="Normal 3 2 2 3 4 11 8" xfId="35332"/>
    <cellStyle name="Normal 3 2 2 3 4 11 9" xfId="39364"/>
    <cellStyle name="Normal 3 2 2 3 4 12" xfId="132"/>
    <cellStyle name="Normal 3 2 2 3 4 13" xfId="9124"/>
    <cellStyle name="Normal 3 2 2 3 4 14" xfId="13156"/>
    <cellStyle name="Normal 3 2 2 3 4 15" xfId="17188"/>
    <cellStyle name="Normal 3 2 2 3 4 16" xfId="21220"/>
    <cellStyle name="Normal 3 2 2 3 4 17" xfId="25252"/>
    <cellStyle name="Normal 3 2 2 3 4 18" xfId="29284"/>
    <cellStyle name="Normal 3 2 2 3 4 19" xfId="33316"/>
    <cellStyle name="Normal 3 2 2 3 4 2" xfId="211"/>
    <cellStyle name="Normal 3 2 2 3 4 2 10" xfId="21289"/>
    <cellStyle name="Normal 3 2 2 3 4 2 11" xfId="25321"/>
    <cellStyle name="Normal 3 2 2 3 4 2 12" xfId="29353"/>
    <cellStyle name="Normal 3 2 2 3 4 2 13" xfId="33385"/>
    <cellStyle name="Normal 3 2 2 3 4 2 14" xfId="37417"/>
    <cellStyle name="Normal 3 2 2 3 4 2 15" xfId="41449"/>
    <cellStyle name="Normal 3 2 2 3 4 2 16" xfId="45481"/>
    <cellStyle name="Normal 3 2 2 3 4 2 17" xfId="49559"/>
    <cellStyle name="Normal 3 2 2 3 4 2 2" xfId="4329"/>
    <cellStyle name="Normal 3 2 2 3 4 2 2 10" xfId="34174"/>
    <cellStyle name="Normal 3 2 2 3 4 2 2 11" xfId="38206"/>
    <cellStyle name="Normal 3 2 2 3 4 2 2 12" xfId="42238"/>
    <cellStyle name="Normal 3 2 2 3 4 2 2 13" xfId="46270"/>
    <cellStyle name="Normal 3 2 2 3 4 2 2 14" xfId="50349"/>
    <cellStyle name="Normal 3 2 2 3 4 2 2 2" xfId="6899"/>
    <cellStyle name="Normal 3 2 2 3 4 2 2 2 10" xfId="39157"/>
    <cellStyle name="Normal 3 2 2 3 4 2 2 2 11" xfId="43189"/>
    <cellStyle name="Normal 3 2 2 3 4 2 2 2 12" xfId="47221"/>
    <cellStyle name="Normal 3 2 2 3 4 2 2 2 13" xfId="51300"/>
    <cellStyle name="Normal 3 2 2 3 4 2 2 2 2" xfId="8915"/>
    <cellStyle name="Normal 3 2 2 3 4 2 2 2 2 10" xfId="45205"/>
    <cellStyle name="Normal 3 2 2 3 4 2 2 2 2 11" xfId="49237"/>
    <cellStyle name="Normal 3 2 2 3 4 2 2 2 2 12" xfId="53316"/>
    <cellStyle name="Normal 3 2 2 3 4 2 2 2 2 2" xfId="12949"/>
    <cellStyle name="Normal 3 2 2 3 4 2 2 2 2 3" xfId="16981"/>
    <cellStyle name="Normal 3 2 2 3 4 2 2 2 2 4" xfId="21013"/>
    <cellStyle name="Normal 3 2 2 3 4 2 2 2 2 5" xfId="25045"/>
    <cellStyle name="Normal 3 2 2 3 4 2 2 2 2 6" xfId="29077"/>
    <cellStyle name="Normal 3 2 2 3 4 2 2 2 2 7" xfId="33109"/>
    <cellStyle name="Normal 3 2 2 3 4 2 2 2 2 8" xfId="37141"/>
    <cellStyle name="Normal 3 2 2 3 4 2 2 2 2 9" xfId="41173"/>
    <cellStyle name="Normal 3 2 2 3 4 2 2 2 3" xfId="10933"/>
    <cellStyle name="Normal 3 2 2 3 4 2 2 2 4" xfId="14965"/>
    <cellStyle name="Normal 3 2 2 3 4 2 2 2 5" xfId="18997"/>
    <cellStyle name="Normal 3 2 2 3 4 2 2 2 6" xfId="23029"/>
    <cellStyle name="Normal 3 2 2 3 4 2 2 2 7" xfId="27061"/>
    <cellStyle name="Normal 3 2 2 3 4 2 2 2 8" xfId="31093"/>
    <cellStyle name="Normal 3 2 2 3 4 2 2 2 9" xfId="35125"/>
    <cellStyle name="Normal 3 2 2 3 4 2 2 3" xfId="7964"/>
    <cellStyle name="Normal 3 2 2 3 4 2 2 3 10" xfId="44254"/>
    <cellStyle name="Normal 3 2 2 3 4 2 2 3 11" xfId="48286"/>
    <cellStyle name="Normal 3 2 2 3 4 2 2 3 12" xfId="52365"/>
    <cellStyle name="Normal 3 2 2 3 4 2 2 3 2" xfId="11998"/>
    <cellStyle name="Normal 3 2 2 3 4 2 2 3 3" xfId="16030"/>
    <cellStyle name="Normal 3 2 2 3 4 2 2 3 4" xfId="20062"/>
    <cellStyle name="Normal 3 2 2 3 4 2 2 3 5" xfId="24094"/>
    <cellStyle name="Normal 3 2 2 3 4 2 2 3 6" xfId="28126"/>
    <cellStyle name="Normal 3 2 2 3 4 2 2 3 7" xfId="32158"/>
    <cellStyle name="Normal 3 2 2 3 4 2 2 3 8" xfId="36190"/>
    <cellStyle name="Normal 3 2 2 3 4 2 2 3 9" xfId="40222"/>
    <cellStyle name="Normal 3 2 2 3 4 2 2 4" xfId="9982"/>
    <cellStyle name="Normal 3 2 2 3 4 2 2 5" xfId="14014"/>
    <cellStyle name="Normal 3 2 2 3 4 2 2 6" xfId="18046"/>
    <cellStyle name="Normal 3 2 2 3 4 2 2 7" xfId="22078"/>
    <cellStyle name="Normal 3 2 2 3 4 2 2 8" xfId="26110"/>
    <cellStyle name="Normal 3 2 2 3 4 2 2 9" xfId="30142"/>
    <cellStyle name="Normal 3 2 2 3 4 2 3" xfId="4468"/>
    <cellStyle name="Normal 3 2 2 3 4 2 3 10" xfId="34312"/>
    <cellStyle name="Normal 3 2 2 3 4 2 3 11" xfId="38344"/>
    <cellStyle name="Normal 3 2 2 3 4 2 3 12" xfId="42376"/>
    <cellStyle name="Normal 3 2 2 3 4 2 3 13" xfId="46408"/>
    <cellStyle name="Normal 3 2 2 3 4 2 3 14" xfId="50487"/>
    <cellStyle name="Normal 3 2 2 3 4 2 3 2" xfId="7037"/>
    <cellStyle name="Normal 3 2 2 3 4 2 3 2 10" xfId="39295"/>
    <cellStyle name="Normal 3 2 2 3 4 2 3 2 11" xfId="43327"/>
    <cellStyle name="Normal 3 2 2 3 4 2 3 2 12" xfId="47359"/>
    <cellStyle name="Normal 3 2 2 3 4 2 3 2 13" xfId="51438"/>
    <cellStyle name="Normal 3 2 2 3 4 2 3 2 2" xfId="9053"/>
    <cellStyle name="Normal 3 2 2 3 4 2 3 2 2 10" xfId="45343"/>
    <cellStyle name="Normal 3 2 2 3 4 2 3 2 2 11" xfId="49375"/>
    <cellStyle name="Normal 3 2 2 3 4 2 3 2 2 12" xfId="53454"/>
    <cellStyle name="Normal 3 2 2 3 4 2 3 2 2 2" xfId="13087"/>
    <cellStyle name="Normal 3 2 2 3 4 2 3 2 2 3" xfId="17119"/>
    <cellStyle name="Normal 3 2 2 3 4 2 3 2 2 4" xfId="21151"/>
    <cellStyle name="Normal 3 2 2 3 4 2 3 2 2 5" xfId="25183"/>
    <cellStyle name="Normal 3 2 2 3 4 2 3 2 2 6" xfId="29215"/>
    <cellStyle name="Normal 3 2 2 3 4 2 3 2 2 7" xfId="33247"/>
    <cellStyle name="Normal 3 2 2 3 4 2 3 2 2 8" xfId="37279"/>
    <cellStyle name="Normal 3 2 2 3 4 2 3 2 2 9" xfId="41311"/>
    <cellStyle name="Normal 3 2 2 3 4 2 3 2 3" xfId="11071"/>
    <cellStyle name="Normal 3 2 2 3 4 2 3 2 4" xfId="15103"/>
    <cellStyle name="Normal 3 2 2 3 4 2 3 2 5" xfId="19135"/>
    <cellStyle name="Normal 3 2 2 3 4 2 3 2 6" xfId="23167"/>
    <cellStyle name="Normal 3 2 2 3 4 2 3 2 7" xfId="27199"/>
    <cellStyle name="Normal 3 2 2 3 4 2 3 2 8" xfId="31231"/>
    <cellStyle name="Normal 3 2 2 3 4 2 3 2 9" xfId="35263"/>
    <cellStyle name="Normal 3 2 2 3 4 2 3 3" xfId="8102"/>
    <cellStyle name="Normal 3 2 2 3 4 2 3 3 10" xfId="44392"/>
    <cellStyle name="Normal 3 2 2 3 4 2 3 3 11" xfId="48424"/>
    <cellStyle name="Normal 3 2 2 3 4 2 3 3 12" xfId="52503"/>
    <cellStyle name="Normal 3 2 2 3 4 2 3 3 2" xfId="12136"/>
    <cellStyle name="Normal 3 2 2 3 4 2 3 3 3" xfId="16168"/>
    <cellStyle name="Normal 3 2 2 3 4 2 3 3 4" xfId="20200"/>
    <cellStyle name="Normal 3 2 2 3 4 2 3 3 5" xfId="24232"/>
    <cellStyle name="Normal 3 2 2 3 4 2 3 3 6" xfId="28264"/>
    <cellStyle name="Normal 3 2 2 3 4 2 3 3 7" xfId="32296"/>
    <cellStyle name="Normal 3 2 2 3 4 2 3 3 8" xfId="36328"/>
    <cellStyle name="Normal 3 2 2 3 4 2 3 3 9" xfId="40360"/>
    <cellStyle name="Normal 3 2 2 3 4 2 3 4" xfId="10120"/>
    <cellStyle name="Normal 3 2 2 3 4 2 3 5" xfId="14152"/>
    <cellStyle name="Normal 3 2 2 3 4 2 3 6" xfId="18184"/>
    <cellStyle name="Normal 3 2 2 3 4 2 3 7" xfId="22216"/>
    <cellStyle name="Normal 3 2 2 3 4 2 3 8" xfId="26248"/>
    <cellStyle name="Normal 3 2 2 3 4 2 3 9" xfId="30280"/>
    <cellStyle name="Normal 3 2 2 3 4 2 4" xfId="4608"/>
    <cellStyle name="Normal 3 2 2 3 4 2 4 10" xfId="38482"/>
    <cellStyle name="Normal 3 2 2 3 4 2 4 11" xfId="42514"/>
    <cellStyle name="Normal 3 2 2 3 4 2 4 12" xfId="46546"/>
    <cellStyle name="Normal 3 2 2 3 4 2 4 13" xfId="50625"/>
    <cellStyle name="Normal 3 2 2 3 4 2 4 2" xfId="8240"/>
    <cellStyle name="Normal 3 2 2 3 4 2 4 2 10" xfId="44530"/>
    <cellStyle name="Normal 3 2 2 3 4 2 4 2 11" xfId="48562"/>
    <cellStyle name="Normal 3 2 2 3 4 2 4 2 12" xfId="52641"/>
    <cellStyle name="Normal 3 2 2 3 4 2 4 2 2" xfId="12274"/>
    <cellStyle name="Normal 3 2 2 3 4 2 4 2 3" xfId="16306"/>
    <cellStyle name="Normal 3 2 2 3 4 2 4 2 4" xfId="20338"/>
    <cellStyle name="Normal 3 2 2 3 4 2 4 2 5" xfId="24370"/>
    <cellStyle name="Normal 3 2 2 3 4 2 4 2 6" xfId="28402"/>
    <cellStyle name="Normal 3 2 2 3 4 2 4 2 7" xfId="32434"/>
    <cellStyle name="Normal 3 2 2 3 4 2 4 2 8" xfId="36466"/>
    <cellStyle name="Normal 3 2 2 3 4 2 4 2 9" xfId="40498"/>
    <cellStyle name="Normal 3 2 2 3 4 2 4 3" xfId="10258"/>
    <cellStyle name="Normal 3 2 2 3 4 2 4 4" xfId="14290"/>
    <cellStyle name="Normal 3 2 2 3 4 2 4 5" xfId="18322"/>
    <cellStyle name="Normal 3 2 2 3 4 2 4 6" xfId="22354"/>
    <cellStyle name="Normal 3 2 2 3 4 2 4 7" xfId="26386"/>
    <cellStyle name="Normal 3 2 2 3 4 2 4 8" xfId="30418"/>
    <cellStyle name="Normal 3 2 2 3 4 2 4 9" xfId="34450"/>
    <cellStyle name="Normal 3 2 2 3 4 2 5" xfId="1645"/>
    <cellStyle name="Normal 3 2 2 3 4 2 5 10" xfId="37638"/>
    <cellStyle name="Normal 3 2 2 3 4 2 5 11" xfId="41670"/>
    <cellStyle name="Normal 3 2 2 3 4 2 5 12" xfId="45702"/>
    <cellStyle name="Normal 3 2 2 3 4 2 5 13" xfId="49780"/>
    <cellStyle name="Normal 3 2 2 3 4 2 5 2" xfId="7396"/>
    <cellStyle name="Normal 3 2 2 3 4 2 5 2 10" xfId="43686"/>
    <cellStyle name="Normal 3 2 2 3 4 2 5 2 11" xfId="47718"/>
    <cellStyle name="Normal 3 2 2 3 4 2 5 2 12" xfId="51797"/>
    <cellStyle name="Normal 3 2 2 3 4 2 5 2 2" xfId="11430"/>
    <cellStyle name="Normal 3 2 2 3 4 2 5 2 3" xfId="15462"/>
    <cellStyle name="Normal 3 2 2 3 4 2 5 2 4" xfId="19494"/>
    <cellStyle name="Normal 3 2 2 3 4 2 5 2 5" xfId="23526"/>
    <cellStyle name="Normal 3 2 2 3 4 2 5 2 6" xfId="27558"/>
    <cellStyle name="Normal 3 2 2 3 4 2 5 2 7" xfId="31590"/>
    <cellStyle name="Normal 3 2 2 3 4 2 5 2 8" xfId="35622"/>
    <cellStyle name="Normal 3 2 2 3 4 2 5 2 9" xfId="39654"/>
    <cellStyle name="Normal 3 2 2 3 4 2 5 3" xfId="9414"/>
    <cellStyle name="Normal 3 2 2 3 4 2 5 4" xfId="13446"/>
    <cellStyle name="Normal 3 2 2 3 4 2 5 5" xfId="17478"/>
    <cellStyle name="Normal 3 2 2 3 4 2 5 6" xfId="21510"/>
    <cellStyle name="Normal 3 2 2 3 4 2 5 7" xfId="25542"/>
    <cellStyle name="Normal 3 2 2 3 4 2 5 8" xfId="29574"/>
    <cellStyle name="Normal 3 2 2 3 4 2 5 9" xfId="33606"/>
    <cellStyle name="Normal 3 2 2 3 4 2 6" xfId="7175"/>
    <cellStyle name="Normal 3 2 2 3 4 2 6 10" xfId="43465"/>
    <cellStyle name="Normal 3 2 2 3 4 2 6 11" xfId="47497"/>
    <cellStyle name="Normal 3 2 2 3 4 2 6 12" xfId="51576"/>
    <cellStyle name="Normal 3 2 2 3 4 2 6 2" xfId="11209"/>
    <cellStyle name="Normal 3 2 2 3 4 2 6 3" xfId="15241"/>
    <cellStyle name="Normal 3 2 2 3 4 2 6 4" xfId="19273"/>
    <cellStyle name="Normal 3 2 2 3 4 2 6 5" xfId="23305"/>
    <cellStyle name="Normal 3 2 2 3 4 2 6 6" xfId="27337"/>
    <cellStyle name="Normal 3 2 2 3 4 2 6 7" xfId="31369"/>
    <cellStyle name="Normal 3 2 2 3 4 2 6 8" xfId="35401"/>
    <cellStyle name="Normal 3 2 2 3 4 2 6 9" xfId="39433"/>
    <cellStyle name="Normal 3 2 2 3 4 2 7" xfId="9193"/>
    <cellStyle name="Normal 3 2 2 3 4 2 8" xfId="13225"/>
    <cellStyle name="Normal 3 2 2 3 4 2 9" xfId="17257"/>
    <cellStyle name="Normal 3 2 2 3 4 20" xfId="37348"/>
    <cellStyle name="Normal 3 2 2 3 4 21" xfId="41380"/>
    <cellStyle name="Normal 3 2 2 3 4 22" xfId="45412"/>
    <cellStyle name="Normal 3 2 2 3 4 23" xfId="49490"/>
    <cellStyle name="Normal 3 2 2 3 4 3" xfId="1719"/>
    <cellStyle name="Normal 3 2 2 3 4 3 10" xfId="33675"/>
    <cellStyle name="Normal 3 2 2 3 4 3 11" xfId="37707"/>
    <cellStyle name="Normal 3 2 2 3 4 3 12" xfId="41739"/>
    <cellStyle name="Normal 3 2 2 3 4 3 13" xfId="45771"/>
    <cellStyle name="Normal 3 2 2 3 4 3 14" xfId="49849"/>
    <cellStyle name="Normal 3 2 2 3 4 3 2" xfId="5390"/>
    <cellStyle name="Normal 3 2 2 3 4 3 2 10" xfId="38658"/>
    <cellStyle name="Normal 3 2 2 3 4 3 2 11" xfId="42690"/>
    <cellStyle name="Normal 3 2 2 3 4 3 2 12" xfId="46722"/>
    <cellStyle name="Normal 3 2 2 3 4 3 2 13" xfId="50801"/>
    <cellStyle name="Normal 3 2 2 3 4 3 2 2" xfId="8416"/>
    <cellStyle name="Normal 3 2 2 3 4 3 2 2 10" xfId="44706"/>
    <cellStyle name="Normal 3 2 2 3 4 3 2 2 11" xfId="48738"/>
    <cellStyle name="Normal 3 2 2 3 4 3 2 2 12" xfId="52817"/>
    <cellStyle name="Normal 3 2 2 3 4 3 2 2 2" xfId="12450"/>
    <cellStyle name="Normal 3 2 2 3 4 3 2 2 3" xfId="16482"/>
    <cellStyle name="Normal 3 2 2 3 4 3 2 2 4" xfId="20514"/>
    <cellStyle name="Normal 3 2 2 3 4 3 2 2 5" xfId="24546"/>
    <cellStyle name="Normal 3 2 2 3 4 3 2 2 6" xfId="28578"/>
    <cellStyle name="Normal 3 2 2 3 4 3 2 2 7" xfId="32610"/>
    <cellStyle name="Normal 3 2 2 3 4 3 2 2 8" xfId="36642"/>
    <cellStyle name="Normal 3 2 2 3 4 3 2 2 9" xfId="40674"/>
    <cellStyle name="Normal 3 2 2 3 4 3 2 3" xfId="10434"/>
    <cellStyle name="Normal 3 2 2 3 4 3 2 4" xfId="14466"/>
    <cellStyle name="Normal 3 2 2 3 4 3 2 5" xfId="18498"/>
    <cellStyle name="Normal 3 2 2 3 4 3 2 6" xfId="22530"/>
    <cellStyle name="Normal 3 2 2 3 4 3 2 7" xfId="26562"/>
    <cellStyle name="Normal 3 2 2 3 4 3 2 8" xfId="30594"/>
    <cellStyle name="Normal 3 2 2 3 4 3 2 9" xfId="34626"/>
    <cellStyle name="Normal 3 2 2 3 4 3 3" xfId="7465"/>
    <cellStyle name="Normal 3 2 2 3 4 3 3 10" xfId="43755"/>
    <cellStyle name="Normal 3 2 2 3 4 3 3 11" xfId="47787"/>
    <cellStyle name="Normal 3 2 2 3 4 3 3 12" xfId="51866"/>
    <cellStyle name="Normal 3 2 2 3 4 3 3 2" xfId="11499"/>
    <cellStyle name="Normal 3 2 2 3 4 3 3 3" xfId="15531"/>
    <cellStyle name="Normal 3 2 2 3 4 3 3 4" xfId="19563"/>
    <cellStyle name="Normal 3 2 2 3 4 3 3 5" xfId="23595"/>
    <cellStyle name="Normal 3 2 2 3 4 3 3 6" xfId="27627"/>
    <cellStyle name="Normal 3 2 2 3 4 3 3 7" xfId="31659"/>
    <cellStyle name="Normal 3 2 2 3 4 3 3 8" xfId="35691"/>
    <cellStyle name="Normal 3 2 2 3 4 3 3 9" xfId="39723"/>
    <cellStyle name="Normal 3 2 2 3 4 3 4" xfId="9483"/>
    <cellStyle name="Normal 3 2 2 3 4 3 5" xfId="13515"/>
    <cellStyle name="Normal 3 2 2 3 4 3 6" xfId="17547"/>
    <cellStyle name="Normal 3 2 2 3 4 3 7" xfId="21579"/>
    <cellStyle name="Normal 3 2 2 3 4 3 8" xfId="25611"/>
    <cellStyle name="Normal 3 2 2 3 4 3 9" xfId="29643"/>
    <cellStyle name="Normal 3 2 2 3 4 4" xfId="4041"/>
    <cellStyle name="Normal 3 2 2 3 4 4 10" xfId="33898"/>
    <cellStyle name="Normal 3 2 2 3 4 4 11" xfId="37930"/>
    <cellStyle name="Normal 3 2 2 3 4 4 12" xfId="41962"/>
    <cellStyle name="Normal 3 2 2 3 4 4 13" xfId="45994"/>
    <cellStyle name="Normal 3 2 2 3 4 4 14" xfId="50072"/>
    <cellStyle name="Normal 3 2 2 3 4 4 2" xfId="6623"/>
    <cellStyle name="Normal 3 2 2 3 4 4 2 10" xfId="38881"/>
    <cellStyle name="Normal 3 2 2 3 4 4 2 11" xfId="42913"/>
    <cellStyle name="Normal 3 2 2 3 4 4 2 12" xfId="46945"/>
    <cellStyle name="Normal 3 2 2 3 4 4 2 13" xfId="51024"/>
    <cellStyle name="Normal 3 2 2 3 4 4 2 2" xfId="8639"/>
    <cellStyle name="Normal 3 2 2 3 4 4 2 2 10" xfId="44929"/>
    <cellStyle name="Normal 3 2 2 3 4 4 2 2 11" xfId="48961"/>
    <cellStyle name="Normal 3 2 2 3 4 4 2 2 12" xfId="53040"/>
    <cellStyle name="Normal 3 2 2 3 4 4 2 2 2" xfId="12673"/>
    <cellStyle name="Normal 3 2 2 3 4 4 2 2 3" xfId="16705"/>
    <cellStyle name="Normal 3 2 2 3 4 4 2 2 4" xfId="20737"/>
    <cellStyle name="Normal 3 2 2 3 4 4 2 2 5" xfId="24769"/>
    <cellStyle name="Normal 3 2 2 3 4 4 2 2 6" xfId="28801"/>
    <cellStyle name="Normal 3 2 2 3 4 4 2 2 7" xfId="32833"/>
    <cellStyle name="Normal 3 2 2 3 4 4 2 2 8" xfId="36865"/>
    <cellStyle name="Normal 3 2 2 3 4 4 2 2 9" xfId="40897"/>
    <cellStyle name="Normal 3 2 2 3 4 4 2 3" xfId="10657"/>
    <cellStyle name="Normal 3 2 2 3 4 4 2 4" xfId="14689"/>
    <cellStyle name="Normal 3 2 2 3 4 4 2 5" xfId="18721"/>
    <cellStyle name="Normal 3 2 2 3 4 4 2 6" xfId="22753"/>
    <cellStyle name="Normal 3 2 2 3 4 4 2 7" xfId="26785"/>
    <cellStyle name="Normal 3 2 2 3 4 4 2 8" xfId="30817"/>
    <cellStyle name="Normal 3 2 2 3 4 4 2 9" xfId="34849"/>
    <cellStyle name="Normal 3 2 2 3 4 4 3" xfId="7688"/>
    <cellStyle name="Normal 3 2 2 3 4 4 3 10" xfId="43978"/>
    <cellStyle name="Normal 3 2 2 3 4 4 3 11" xfId="48010"/>
    <cellStyle name="Normal 3 2 2 3 4 4 3 12" xfId="52089"/>
    <cellStyle name="Normal 3 2 2 3 4 4 3 2" xfId="11722"/>
    <cellStyle name="Normal 3 2 2 3 4 4 3 3" xfId="15754"/>
    <cellStyle name="Normal 3 2 2 3 4 4 3 4" xfId="19786"/>
    <cellStyle name="Normal 3 2 2 3 4 4 3 5" xfId="23818"/>
    <cellStyle name="Normal 3 2 2 3 4 4 3 6" xfId="27850"/>
    <cellStyle name="Normal 3 2 2 3 4 4 3 7" xfId="31882"/>
    <cellStyle name="Normal 3 2 2 3 4 4 3 8" xfId="35914"/>
    <cellStyle name="Normal 3 2 2 3 4 4 3 9" xfId="39946"/>
    <cellStyle name="Normal 3 2 2 3 4 4 4" xfId="9706"/>
    <cellStyle name="Normal 3 2 2 3 4 4 5" xfId="13738"/>
    <cellStyle name="Normal 3 2 2 3 4 4 6" xfId="17770"/>
    <cellStyle name="Normal 3 2 2 3 4 4 7" xfId="21802"/>
    <cellStyle name="Normal 3 2 2 3 4 4 8" xfId="25834"/>
    <cellStyle name="Normal 3 2 2 3 4 4 9" xfId="29866"/>
    <cellStyle name="Normal 3 2 2 3 4 5" xfId="4111"/>
    <cellStyle name="Normal 3 2 2 3 4 5 10" xfId="33967"/>
    <cellStyle name="Normal 3 2 2 3 4 5 11" xfId="37999"/>
    <cellStyle name="Normal 3 2 2 3 4 5 12" xfId="42031"/>
    <cellStyle name="Normal 3 2 2 3 4 5 13" xfId="46063"/>
    <cellStyle name="Normal 3 2 2 3 4 5 14" xfId="50141"/>
    <cellStyle name="Normal 3 2 2 3 4 5 2" xfId="6692"/>
    <cellStyle name="Normal 3 2 2 3 4 5 2 10" xfId="38950"/>
    <cellStyle name="Normal 3 2 2 3 4 5 2 11" xfId="42982"/>
    <cellStyle name="Normal 3 2 2 3 4 5 2 12" xfId="47014"/>
    <cellStyle name="Normal 3 2 2 3 4 5 2 13" xfId="51093"/>
    <cellStyle name="Normal 3 2 2 3 4 5 2 2" xfId="8708"/>
    <cellStyle name="Normal 3 2 2 3 4 5 2 2 10" xfId="44998"/>
    <cellStyle name="Normal 3 2 2 3 4 5 2 2 11" xfId="49030"/>
    <cellStyle name="Normal 3 2 2 3 4 5 2 2 12" xfId="53109"/>
    <cellStyle name="Normal 3 2 2 3 4 5 2 2 2" xfId="12742"/>
    <cellStyle name="Normal 3 2 2 3 4 5 2 2 3" xfId="16774"/>
    <cellStyle name="Normal 3 2 2 3 4 5 2 2 4" xfId="20806"/>
    <cellStyle name="Normal 3 2 2 3 4 5 2 2 5" xfId="24838"/>
    <cellStyle name="Normal 3 2 2 3 4 5 2 2 6" xfId="28870"/>
    <cellStyle name="Normal 3 2 2 3 4 5 2 2 7" xfId="32902"/>
    <cellStyle name="Normal 3 2 2 3 4 5 2 2 8" xfId="36934"/>
    <cellStyle name="Normal 3 2 2 3 4 5 2 2 9" xfId="40966"/>
    <cellStyle name="Normal 3 2 2 3 4 5 2 3" xfId="10726"/>
    <cellStyle name="Normal 3 2 2 3 4 5 2 4" xfId="14758"/>
    <cellStyle name="Normal 3 2 2 3 4 5 2 5" xfId="18790"/>
    <cellStyle name="Normal 3 2 2 3 4 5 2 6" xfId="22822"/>
    <cellStyle name="Normal 3 2 2 3 4 5 2 7" xfId="26854"/>
    <cellStyle name="Normal 3 2 2 3 4 5 2 8" xfId="30886"/>
    <cellStyle name="Normal 3 2 2 3 4 5 2 9" xfId="34918"/>
    <cellStyle name="Normal 3 2 2 3 4 5 3" xfId="7757"/>
    <cellStyle name="Normal 3 2 2 3 4 5 3 10" xfId="44047"/>
    <cellStyle name="Normal 3 2 2 3 4 5 3 11" xfId="48079"/>
    <cellStyle name="Normal 3 2 2 3 4 5 3 12" xfId="52158"/>
    <cellStyle name="Normal 3 2 2 3 4 5 3 2" xfId="11791"/>
    <cellStyle name="Normal 3 2 2 3 4 5 3 3" xfId="15823"/>
    <cellStyle name="Normal 3 2 2 3 4 5 3 4" xfId="19855"/>
    <cellStyle name="Normal 3 2 2 3 4 5 3 5" xfId="23887"/>
    <cellStyle name="Normal 3 2 2 3 4 5 3 6" xfId="27919"/>
    <cellStyle name="Normal 3 2 2 3 4 5 3 7" xfId="31951"/>
    <cellStyle name="Normal 3 2 2 3 4 5 3 8" xfId="35983"/>
    <cellStyle name="Normal 3 2 2 3 4 5 3 9" xfId="40015"/>
    <cellStyle name="Normal 3 2 2 3 4 5 4" xfId="9775"/>
    <cellStyle name="Normal 3 2 2 3 4 5 5" xfId="13807"/>
    <cellStyle name="Normal 3 2 2 3 4 5 6" xfId="17839"/>
    <cellStyle name="Normal 3 2 2 3 4 5 7" xfId="21871"/>
    <cellStyle name="Normal 3 2 2 3 4 5 8" xfId="25903"/>
    <cellStyle name="Normal 3 2 2 3 4 5 9" xfId="29935"/>
    <cellStyle name="Normal 3 2 2 3 4 6" xfId="4180"/>
    <cellStyle name="Normal 3 2 2 3 4 6 10" xfId="34036"/>
    <cellStyle name="Normal 3 2 2 3 4 6 11" xfId="38068"/>
    <cellStyle name="Normal 3 2 2 3 4 6 12" xfId="42100"/>
    <cellStyle name="Normal 3 2 2 3 4 6 13" xfId="46132"/>
    <cellStyle name="Normal 3 2 2 3 4 6 14" xfId="50210"/>
    <cellStyle name="Normal 3 2 2 3 4 6 2" xfId="6761"/>
    <cellStyle name="Normal 3 2 2 3 4 6 2 10" xfId="39019"/>
    <cellStyle name="Normal 3 2 2 3 4 6 2 11" xfId="43051"/>
    <cellStyle name="Normal 3 2 2 3 4 6 2 12" xfId="47083"/>
    <cellStyle name="Normal 3 2 2 3 4 6 2 13" xfId="51162"/>
    <cellStyle name="Normal 3 2 2 3 4 6 2 2" xfId="8777"/>
    <cellStyle name="Normal 3 2 2 3 4 6 2 2 10" xfId="45067"/>
    <cellStyle name="Normal 3 2 2 3 4 6 2 2 11" xfId="49099"/>
    <cellStyle name="Normal 3 2 2 3 4 6 2 2 12" xfId="53178"/>
    <cellStyle name="Normal 3 2 2 3 4 6 2 2 2" xfId="12811"/>
    <cellStyle name="Normal 3 2 2 3 4 6 2 2 3" xfId="16843"/>
    <cellStyle name="Normal 3 2 2 3 4 6 2 2 4" xfId="20875"/>
    <cellStyle name="Normal 3 2 2 3 4 6 2 2 5" xfId="24907"/>
    <cellStyle name="Normal 3 2 2 3 4 6 2 2 6" xfId="28939"/>
    <cellStyle name="Normal 3 2 2 3 4 6 2 2 7" xfId="32971"/>
    <cellStyle name="Normal 3 2 2 3 4 6 2 2 8" xfId="37003"/>
    <cellStyle name="Normal 3 2 2 3 4 6 2 2 9" xfId="41035"/>
    <cellStyle name="Normal 3 2 2 3 4 6 2 3" xfId="10795"/>
    <cellStyle name="Normal 3 2 2 3 4 6 2 4" xfId="14827"/>
    <cellStyle name="Normal 3 2 2 3 4 6 2 5" xfId="18859"/>
    <cellStyle name="Normal 3 2 2 3 4 6 2 6" xfId="22891"/>
    <cellStyle name="Normal 3 2 2 3 4 6 2 7" xfId="26923"/>
    <cellStyle name="Normal 3 2 2 3 4 6 2 8" xfId="30955"/>
    <cellStyle name="Normal 3 2 2 3 4 6 2 9" xfId="34987"/>
    <cellStyle name="Normal 3 2 2 3 4 6 3" xfId="7826"/>
    <cellStyle name="Normal 3 2 2 3 4 6 3 10" xfId="44116"/>
    <cellStyle name="Normal 3 2 2 3 4 6 3 11" xfId="48148"/>
    <cellStyle name="Normal 3 2 2 3 4 6 3 12" xfId="52227"/>
    <cellStyle name="Normal 3 2 2 3 4 6 3 2" xfId="11860"/>
    <cellStyle name="Normal 3 2 2 3 4 6 3 3" xfId="15892"/>
    <cellStyle name="Normal 3 2 2 3 4 6 3 4" xfId="19924"/>
    <cellStyle name="Normal 3 2 2 3 4 6 3 5" xfId="23956"/>
    <cellStyle name="Normal 3 2 2 3 4 6 3 6" xfId="27988"/>
    <cellStyle name="Normal 3 2 2 3 4 6 3 7" xfId="32020"/>
    <cellStyle name="Normal 3 2 2 3 4 6 3 8" xfId="36052"/>
    <cellStyle name="Normal 3 2 2 3 4 6 3 9" xfId="40084"/>
    <cellStyle name="Normal 3 2 2 3 4 6 4" xfId="9844"/>
    <cellStyle name="Normal 3 2 2 3 4 6 5" xfId="13876"/>
    <cellStyle name="Normal 3 2 2 3 4 6 6" xfId="17908"/>
    <cellStyle name="Normal 3 2 2 3 4 6 7" xfId="21940"/>
    <cellStyle name="Normal 3 2 2 3 4 6 8" xfId="25972"/>
    <cellStyle name="Normal 3 2 2 3 4 6 9" xfId="30004"/>
    <cellStyle name="Normal 3 2 2 3 4 7" xfId="4253"/>
    <cellStyle name="Normal 3 2 2 3 4 7 10" xfId="34105"/>
    <cellStyle name="Normal 3 2 2 3 4 7 11" xfId="38137"/>
    <cellStyle name="Normal 3 2 2 3 4 7 12" xfId="42169"/>
    <cellStyle name="Normal 3 2 2 3 4 7 13" xfId="46201"/>
    <cellStyle name="Normal 3 2 2 3 4 7 14" xfId="50279"/>
    <cellStyle name="Normal 3 2 2 3 4 7 2" xfId="6830"/>
    <cellStyle name="Normal 3 2 2 3 4 7 2 10" xfId="39088"/>
    <cellStyle name="Normal 3 2 2 3 4 7 2 11" xfId="43120"/>
    <cellStyle name="Normal 3 2 2 3 4 7 2 12" xfId="47152"/>
    <cellStyle name="Normal 3 2 2 3 4 7 2 13" xfId="51231"/>
    <cellStyle name="Normal 3 2 2 3 4 7 2 2" xfId="8846"/>
    <cellStyle name="Normal 3 2 2 3 4 7 2 2 10" xfId="45136"/>
    <cellStyle name="Normal 3 2 2 3 4 7 2 2 11" xfId="49168"/>
    <cellStyle name="Normal 3 2 2 3 4 7 2 2 12" xfId="53247"/>
    <cellStyle name="Normal 3 2 2 3 4 7 2 2 2" xfId="12880"/>
    <cellStyle name="Normal 3 2 2 3 4 7 2 2 3" xfId="16912"/>
    <cellStyle name="Normal 3 2 2 3 4 7 2 2 4" xfId="20944"/>
    <cellStyle name="Normal 3 2 2 3 4 7 2 2 5" xfId="24976"/>
    <cellStyle name="Normal 3 2 2 3 4 7 2 2 6" xfId="29008"/>
    <cellStyle name="Normal 3 2 2 3 4 7 2 2 7" xfId="33040"/>
    <cellStyle name="Normal 3 2 2 3 4 7 2 2 8" xfId="37072"/>
    <cellStyle name="Normal 3 2 2 3 4 7 2 2 9" xfId="41104"/>
    <cellStyle name="Normal 3 2 2 3 4 7 2 3" xfId="10864"/>
    <cellStyle name="Normal 3 2 2 3 4 7 2 4" xfId="14896"/>
    <cellStyle name="Normal 3 2 2 3 4 7 2 5" xfId="18928"/>
    <cellStyle name="Normal 3 2 2 3 4 7 2 6" xfId="22960"/>
    <cellStyle name="Normal 3 2 2 3 4 7 2 7" xfId="26992"/>
    <cellStyle name="Normal 3 2 2 3 4 7 2 8" xfId="31024"/>
    <cellStyle name="Normal 3 2 2 3 4 7 2 9" xfId="35056"/>
    <cellStyle name="Normal 3 2 2 3 4 7 3" xfId="7895"/>
    <cellStyle name="Normal 3 2 2 3 4 7 3 10" xfId="44185"/>
    <cellStyle name="Normal 3 2 2 3 4 7 3 11" xfId="48217"/>
    <cellStyle name="Normal 3 2 2 3 4 7 3 12" xfId="52296"/>
    <cellStyle name="Normal 3 2 2 3 4 7 3 2" xfId="11929"/>
    <cellStyle name="Normal 3 2 2 3 4 7 3 3" xfId="15961"/>
    <cellStyle name="Normal 3 2 2 3 4 7 3 4" xfId="19993"/>
    <cellStyle name="Normal 3 2 2 3 4 7 3 5" xfId="24025"/>
    <cellStyle name="Normal 3 2 2 3 4 7 3 6" xfId="28057"/>
    <cellStyle name="Normal 3 2 2 3 4 7 3 7" xfId="32089"/>
    <cellStyle name="Normal 3 2 2 3 4 7 3 8" xfId="36121"/>
    <cellStyle name="Normal 3 2 2 3 4 7 3 9" xfId="40153"/>
    <cellStyle name="Normal 3 2 2 3 4 7 4" xfId="9913"/>
    <cellStyle name="Normal 3 2 2 3 4 7 5" xfId="13945"/>
    <cellStyle name="Normal 3 2 2 3 4 7 6" xfId="17977"/>
    <cellStyle name="Normal 3 2 2 3 4 7 7" xfId="22009"/>
    <cellStyle name="Normal 3 2 2 3 4 7 8" xfId="26041"/>
    <cellStyle name="Normal 3 2 2 3 4 7 9" xfId="30073"/>
    <cellStyle name="Normal 3 2 2 3 4 8" xfId="4399"/>
    <cellStyle name="Normal 3 2 2 3 4 8 10" xfId="34243"/>
    <cellStyle name="Normal 3 2 2 3 4 8 11" xfId="38275"/>
    <cellStyle name="Normal 3 2 2 3 4 8 12" xfId="42307"/>
    <cellStyle name="Normal 3 2 2 3 4 8 13" xfId="46339"/>
    <cellStyle name="Normal 3 2 2 3 4 8 14" xfId="50418"/>
    <cellStyle name="Normal 3 2 2 3 4 8 2" xfId="6968"/>
    <cellStyle name="Normal 3 2 2 3 4 8 2 10" xfId="39226"/>
    <cellStyle name="Normal 3 2 2 3 4 8 2 11" xfId="43258"/>
    <cellStyle name="Normal 3 2 2 3 4 8 2 12" xfId="47290"/>
    <cellStyle name="Normal 3 2 2 3 4 8 2 13" xfId="51369"/>
    <cellStyle name="Normal 3 2 2 3 4 8 2 2" xfId="8984"/>
    <cellStyle name="Normal 3 2 2 3 4 8 2 2 10" xfId="45274"/>
    <cellStyle name="Normal 3 2 2 3 4 8 2 2 11" xfId="49306"/>
    <cellStyle name="Normal 3 2 2 3 4 8 2 2 12" xfId="53385"/>
    <cellStyle name="Normal 3 2 2 3 4 8 2 2 2" xfId="13018"/>
    <cellStyle name="Normal 3 2 2 3 4 8 2 2 3" xfId="17050"/>
    <cellStyle name="Normal 3 2 2 3 4 8 2 2 4" xfId="21082"/>
    <cellStyle name="Normal 3 2 2 3 4 8 2 2 5" xfId="25114"/>
    <cellStyle name="Normal 3 2 2 3 4 8 2 2 6" xfId="29146"/>
    <cellStyle name="Normal 3 2 2 3 4 8 2 2 7" xfId="33178"/>
    <cellStyle name="Normal 3 2 2 3 4 8 2 2 8" xfId="37210"/>
    <cellStyle name="Normal 3 2 2 3 4 8 2 2 9" xfId="41242"/>
    <cellStyle name="Normal 3 2 2 3 4 8 2 3" xfId="11002"/>
    <cellStyle name="Normal 3 2 2 3 4 8 2 4" xfId="15034"/>
    <cellStyle name="Normal 3 2 2 3 4 8 2 5" xfId="19066"/>
    <cellStyle name="Normal 3 2 2 3 4 8 2 6" xfId="23098"/>
    <cellStyle name="Normal 3 2 2 3 4 8 2 7" xfId="27130"/>
    <cellStyle name="Normal 3 2 2 3 4 8 2 8" xfId="31162"/>
    <cellStyle name="Normal 3 2 2 3 4 8 2 9" xfId="35194"/>
    <cellStyle name="Normal 3 2 2 3 4 8 3" xfId="8033"/>
    <cellStyle name="Normal 3 2 2 3 4 8 3 10" xfId="44323"/>
    <cellStyle name="Normal 3 2 2 3 4 8 3 11" xfId="48355"/>
    <cellStyle name="Normal 3 2 2 3 4 8 3 12" xfId="52434"/>
    <cellStyle name="Normal 3 2 2 3 4 8 3 2" xfId="12067"/>
    <cellStyle name="Normal 3 2 2 3 4 8 3 3" xfId="16099"/>
    <cellStyle name="Normal 3 2 2 3 4 8 3 4" xfId="20131"/>
    <cellStyle name="Normal 3 2 2 3 4 8 3 5" xfId="24163"/>
    <cellStyle name="Normal 3 2 2 3 4 8 3 6" xfId="28195"/>
    <cellStyle name="Normal 3 2 2 3 4 8 3 7" xfId="32227"/>
    <cellStyle name="Normal 3 2 2 3 4 8 3 8" xfId="36259"/>
    <cellStyle name="Normal 3 2 2 3 4 8 3 9" xfId="40291"/>
    <cellStyle name="Normal 3 2 2 3 4 8 4" xfId="10051"/>
    <cellStyle name="Normal 3 2 2 3 4 8 5" xfId="14083"/>
    <cellStyle name="Normal 3 2 2 3 4 8 6" xfId="18115"/>
    <cellStyle name="Normal 3 2 2 3 4 8 7" xfId="22147"/>
    <cellStyle name="Normal 3 2 2 3 4 8 8" xfId="26179"/>
    <cellStyle name="Normal 3 2 2 3 4 8 9" xfId="30211"/>
    <cellStyle name="Normal 3 2 2 3 4 9" xfId="4537"/>
    <cellStyle name="Normal 3 2 2 3 4 9 10" xfId="38413"/>
    <cellStyle name="Normal 3 2 2 3 4 9 11" xfId="42445"/>
    <cellStyle name="Normal 3 2 2 3 4 9 12" xfId="46477"/>
    <cellStyle name="Normal 3 2 2 3 4 9 13" xfId="50556"/>
    <cellStyle name="Normal 3 2 2 3 4 9 2" xfId="8171"/>
    <cellStyle name="Normal 3 2 2 3 4 9 2 10" xfId="44461"/>
    <cellStyle name="Normal 3 2 2 3 4 9 2 11" xfId="48493"/>
    <cellStyle name="Normal 3 2 2 3 4 9 2 12" xfId="52572"/>
    <cellStyle name="Normal 3 2 2 3 4 9 2 2" xfId="12205"/>
    <cellStyle name="Normal 3 2 2 3 4 9 2 3" xfId="16237"/>
    <cellStyle name="Normal 3 2 2 3 4 9 2 4" xfId="20269"/>
    <cellStyle name="Normal 3 2 2 3 4 9 2 5" xfId="24301"/>
    <cellStyle name="Normal 3 2 2 3 4 9 2 6" xfId="28333"/>
    <cellStyle name="Normal 3 2 2 3 4 9 2 7" xfId="32365"/>
    <cellStyle name="Normal 3 2 2 3 4 9 2 8" xfId="36397"/>
    <cellStyle name="Normal 3 2 2 3 4 9 2 9" xfId="40429"/>
    <cellStyle name="Normal 3 2 2 3 4 9 3" xfId="10189"/>
    <cellStyle name="Normal 3 2 2 3 4 9 4" xfId="14221"/>
    <cellStyle name="Normal 3 2 2 3 4 9 5" xfId="18253"/>
    <cellStyle name="Normal 3 2 2 3 4 9 6" xfId="22285"/>
    <cellStyle name="Normal 3 2 2 3 4 9 7" xfId="26317"/>
    <cellStyle name="Normal 3 2 2 3 4 9 8" xfId="30349"/>
    <cellStyle name="Normal 3 2 2 3 4 9 9" xfId="34381"/>
    <cellStyle name="Normal 3 2 2 3 5" xfId="192"/>
    <cellStyle name="Normal 3 2 2 3 5 10" xfId="21273"/>
    <cellStyle name="Normal 3 2 2 3 5 11" xfId="25305"/>
    <cellStyle name="Normal 3 2 2 3 5 12" xfId="29337"/>
    <cellStyle name="Normal 3 2 2 3 5 13" xfId="33369"/>
    <cellStyle name="Normal 3 2 2 3 5 14" xfId="37401"/>
    <cellStyle name="Normal 3 2 2 3 5 15" xfId="41433"/>
    <cellStyle name="Normal 3 2 2 3 5 16" xfId="45465"/>
    <cellStyle name="Normal 3 2 2 3 5 17" xfId="49543"/>
    <cellStyle name="Normal 3 2 2 3 5 2" xfId="4311"/>
    <cellStyle name="Normal 3 2 2 3 5 2 10" xfId="34158"/>
    <cellStyle name="Normal 3 2 2 3 5 2 11" xfId="38190"/>
    <cellStyle name="Normal 3 2 2 3 5 2 12" xfId="42222"/>
    <cellStyle name="Normal 3 2 2 3 5 2 13" xfId="46254"/>
    <cellStyle name="Normal 3 2 2 3 5 2 14" xfId="50333"/>
    <cellStyle name="Normal 3 2 2 3 5 2 2" xfId="6883"/>
    <cellStyle name="Normal 3 2 2 3 5 2 2 10" xfId="39141"/>
    <cellStyle name="Normal 3 2 2 3 5 2 2 11" xfId="43173"/>
    <cellStyle name="Normal 3 2 2 3 5 2 2 12" xfId="47205"/>
    <cellStyle name="Normal 3 2 2 3 5 2 2 13" xfId="51284"/>
    <cellStyle name="Normal 3 2 2 3 5 2 2 2" xfId="8899"/>
    <cellStyle name="Normal 3 2 2 3 5 2 2 2 10" xfId="45189"/>
    <cellStyle name="Normal 3 2 2 3 5 2 2 2 11" xfId="49221"/>
    <cellStyle name="Normal 3 2 2 3 5 2 2 2 12" xfId="53300"/>
    <cellStyle name="Normal 3 2 2 3 5 2 2 2 2" xfId="12933"/>
    <cellStyle name="Normal 3 2 2 3 5 2 2 2 3" xfId="16965"/>
    <cellStyle name="Normal 3 2 2 3 5 2 2 2 4" xfId="20997"/>
    <cellStyle name="Normal 3 2 2 3 5 2 2 2 5" xfId="25029"/>
    <cellStyle name="Normal 3 2 2 3 5 2 2 2 6" xfId="29061"/>
    <cellStyle name="Normal 3 2 2 3 5 2 2 2 7" xfId="33093"/>
    <cellStyle name="Normal 3 2 2 3 5 2 2 2 8" xfId="37125"/>
    <cellStyle name="Normal 3 2 2 3 5 2 2 2 9" xfId="41157"/>
    <cellStyle name="Normal 3 2 2 3 5 2 2 3" xfId="10917"/>
    <cellStyle name="Normal 3 2 2 3 5 2 2 4" xfId="14949"/>
    <cellStyle name="Normal 3 2 2 3 5 2 2 5" xfId="18981"/>
    <cellStyle name="Normal 3 2 2 3 5 2 2 6" xfId="23013"/>
    <cellStyle name="Normal 3 2 2 3 5 2 2 7" xfId="27045"/>
    <cellStyle name="Normal 3 2 2 3 5 2 2 8" xfId="31077"/>
    <cellStyle name="Normal 3 2 2 3 5 2 2 9" xfId="35109"/>
    <cellStyle name="Normal 3 2 2 3 5 2 3" xfId="7948"/>
    <cellStyle name="Normal 3 2 2 3 5 2 3 10" xfId="44238"/>
    <cellStyle name="Normal 3 2 2 3 5 2 3 11" xfId="48270"/>
    <cellStyle name="Normal 3 2 2 3 5 2 3 12" xfId="52349"/>
    <cellStyle name="Normal 3 2 2 3 5 2 3 2" xfId="11982"/>
    <cellStyle name="Normal 3 2 2 3 5 2 3 3" xfId="16014"/>
    <cellStyle name="Normal 3 2 2 3 5 2 3 4" xfId="20046"/>
    <cellStyle name="Normal 3 2 2 3 5 2 3 5" xfId="24078"/>
    <cellStyle name="Normal 3 2 2 3 5 2 3 6" xfId="28110"/>
    <cellStyle name="Normal 3 2 2 3 5 2 3 7" xfId="32142"/>
    <cellStyle name="Normal 3 2 2 3 5 2 3 8" xfId="36174"/>
    <cellStyle name="Normal 3 2 2 3 5 2 3 9" xfId="40206"/>
    <cellStyle name="Normal 3 2 2 3 5 2 4" xfId="9966"/>
    <cellStyle name="Normal 3 2 2 3 5 2 5" xfId="13998"/>
    <cellStyle name="Normal 3 2 2 3 5 2 6" xfId="18030"/>
    <cellStyle name="Normal 3 2 2 3 5 2 7" xfId="22062"/>
    <cellStyle name="Normal 3 2 2 3 5 2 8" xfId="26094"/>
    <cellStyle name="Normal 3 2 2 3 5 2 9" xfId="30126"/>
    <cellStyle name="Normal 3 2 2 3 5 3" xfId="4452"/>
    <cellStyle name="Normal 3 2 2 3 5 3 10" xfId="34296"/>
    <cellStyle name="Normal 3 2 2 3 5 3 11" xfId="38328"/>
    <cellStyle name="Normal 3 2 2 3 5 3 12" xfId="42360"/>
    <cellStyle name="Normal 3 2 2 3 5 3 13" xfId="46392"/>
    <cellStyle name="Normal 3 2 2 3 5 3 14" xfId="50471"/>
    <cellStyle name="Normal 3 2 2 3 5 3 2" xfId="7021"/>
    <cellStyle name="Normal 3 2 2 3 5 3 2 10" xfId="39279"/>
    <cellStyle name="Normal 3 2 2 3 5 3 2 11" xfId="43311"/>
    <cellStyle name="Normal 3 2 2 3 5 3 2 12" xfId="47343"/>
    <cellStyle name="Normal 3 2 2 3 5 3 2 13" xfId="51422"/>
    <cellStyle name="Normal 3 2 2 3 5 3 2 2" xfId="9037"/>
    <cellStyle name="Normal 3 2 2 3 5 3 2 2 10" xfId="45327"/>
    <cellStyle name="Normal 3 2 2 3 5 3 2 2 11" xfId="49359"/>
    <cellStyle name="Normal 3 2 2 3 5 3 2 2 12" xfId="53438"/>
    <cellStyle name="Normal 3 2 2 3 5 3 2 2 2" xfId="13071"/>
    <cellStyle name="Normal 3 2 2 3 5 3 2 2 3" xfId="17103"/>
    <cellStyle name="Normal 3 2 2 3 5 3 2 2 4" xfId="21135"/>
    <cellStyle name="Normal 3 2 2 3 5 3 2 2 5" xfId="25167"/>
    <cellStyle name="Normal 3 2 2 3 5 3 2 2 6" xfId="29199"/>
    <cellStyle name="Normal 3 2 2 3 5 3 2 2 7" xfId="33231"/>
    <cellStyle name="Normal 3 2 2 3 5 3 2 2 8" xfId="37263"/>
    <cellStyle name="Normal 3 2 2 3 5 3 2 2 9" xfId="41295"/>
    <cellStyle name="Normal 3 2 2 3 5 3 2 3" xfId="11055"/>
    <cellStyle name="Normal 3 2 2 3 5 3 2 4" xfId="15087"/>
    <cellStyle name="Normal 3 2 2 3 5 3 2 5" xfId="19119"/>
    <cellStyle name="Normal 3 2 2 3 5 3 2 6" xfId="23151"/>
    <cellStyle name="Normal 3 2 2 3 5 3 2 7" xfId="27183"/>
    <cellStyle name="Normal 3 2 2 3 5 3 2 8" xfId="31215"/>
    <cellStyle name="Normal 3 2 2 3 5 3 2 9" xfId="35247"/>
    <cellStyle name="Normal 3 2 2 3 5 3 3" xfId="8086"/>
    <cellStyle name="Normal 3 2 2 3 5 3 3 10" xfId="44376"/>
    <cellStyle name="Normal 3 2 2 3 5 3 3 11" xfId="48408"/>
    <cellStyle name="Normal 3 2 2 3 5 3 3 12" xfId="52487"/>
    <cellStyle name="Normal 3 2 2 3 5 3 3 2" xfId="12120"/>
    <cellStyle name="Normal 3 2 2 3 5 3 3 3" xfId="16152"/>
    <cellStyle name="Normal 3 2 2 3 5 3 3 4" xfId="20184"/>
    <cellStyle name="Normal 3 2 2 3 5 3 3 5" xfId="24216"/>
    <cellStyle name="Normal 3 2 2 3 5 3 3 6" xfId="28248"/>
    <cellStyle name="Normal 3 2 2 3 5 3 3 7" xfId="32280"/>
    <cellStyle name="Normal 3 2 2 3 5 3 3 8" xfId="36312"/>
    <cellStyle name="Normal 3 2 2 3 5 3 3 9" xfId="40344"/>
    <cellStyle name="Normal 3 2 2 3 5 3 4" xfId="10104"/>
    <cellStyle name="Normal 3 2 2 3 5 3 5" xfId="14136"/>
    <cellStyle name="Normal 3 2 2 3 5 3 6" xfId="18168"/>
    <cellStyle name="Normal 3 2 2 3 5 3 7" xfId="22200"/>
    <cellStyle name="Normal 3 2 2 3 5 3 8" xfId="26232"/>
    <cellStyle name="Normal 3 2 2 3 5 3 9" xfId="30264"/>
    <cellStyle name="Normal 3 2 2 3 5 4" xfId="4592"/>
    <cellStyle name="Normal 3 2 2 3 5 4 10" xfId="38466"/>
    <cellStyle name="Normal 3 2 2 3 5 4 11" xfId="42498"/>
    <cellStyle name="Normal 3 2 2 3 5 4 12" xfId="46530"/>
    <cellStyle name="Normal 3 2 2 3 5 4 13" xfId="50609"/>
    <cellStyle name="Normal 3 2 2 3 5 4 2" xfId="8224"/>
    <cellStyle name="Normal 3 2 2 3 5 4 2 10" xfId="44514"/>
    <cellStyle name="Normal 3 2 2 3 5 4 2 11" xfId="48546"/>
    <cellStyle name="Normal 3 2 2 3 5 4 2 12" xfId="52625"/>
    <cellStyle name="Normal 3 2 2 3 5 4 2 2" xfId="12258"/>
    <cellStyle name="Normal 3 2 2 3 5 4 2 3" xfId="16290"/>
    <cellStyle name="Normal 3 2 2 3 5 4 2 4" xfId="20322"/>
    <cellStyle name="Normal 3 2 2 3 5 4 2 5" xfId="24354"/>
    <cellStyle name="Normal 3 2 2 3 5 4 2 6" xfId="28386"/>
    <cellStyle name="Normal 3 2 2 3 5 4 2 7" xfId="32418"/>
    <cellStyle name="Normal 3 2 2 3 5 4 2 8" xfId="36450"/>
    <cellStyle name="Normal 3 2 2 3 5 4 2 9" xfId="40482"/>
    <cellStyle name="Normal 3 2 2 3 5 4 3" xfId="10242"/>
    <cellStyle name="Normal 3 2 2 3 5 4 4" xfId="14274"/>
    <cellStyle name="Normal 3 2 2 3 5 4 5" xfId="18306"/>
    <cellStyle name="Normal 3 2 2 3 5 4 6" xfId="22338"/>
    <cellStyle name="Normal 3 2 2 3 5 4 7" xfId="26370"/>
    <cellStyle name="Normal 3 2 2 3 5 4 8" xfId="30402"/>
    <cellStyle name="Normal 3 2 2 3 5 4 9" xfId="34434"/>
    <cellStyle name="Normal 3 2 2 3 5 5" xfId="319"/>
    <cellStyle name="Normal 3 2 2 3 5 5 10" xfId="37524"/>
    <cellStyle name="Normal 3 2 2 3 5 5 11" xfId="41556"/>
    <cellStyle name="Normal 3 2 2 3 5 5 12" xfId="45588"/>
    <cellStyle name="Normal 3 2 2 3 5 5 13" xfId="49666"/>
    <cellStyle name="Normal 3 2 2 3 5 5 2" xfId="7282"/>
    <cellStyle name="Normal 3 2 2 3 5 5 2 10" xfId="43572"/>
    <cellStyle name="Normal 3 2 2 3 5 5 2 11" xfId="47604"/>
    <cellStyle name="Normal 3 2 2 3 5 5 2 12" xfId="51683"/>
    <cellStyle name="Normal 3 2 2 3 5 5 2 2" xfId="11316"/>
    <cellStyle name="Normal 3 2 2 3 5 5 2 3" xfId="15348"/>
    <cellStyle name="Normal 3 2 2 3 5 5 2 4" xfId="19380"/>
    <cellStyle name="Normal 3 2 2 3 5 5 2 5" xfId="23412"/>
    <cellStyle name="Normal 3 2 2 3 5 5 2 6" xfId="27444"/>
    <cellStyle name="Normal 3 2 2 3 5 5 2 7" xfId="31476"/>
    <cellStyle name="Normal 3 2 2 3 5 5 2 8" xfId="35508"/>
    <cellStyle name="Normal 3 2 2 3 5 5 2 9" xfId="39540"/>
    <cellStyle name="Normal 3 2 2 3 5 5 3" xfId="9300"/>
    <cellStyle name="Normal 3 2 2 3 5 5 4" xfId="13332"/>
    <cellStyle name="Normal 3 2 2 3 5 5 5" xfId="17364"/>
    <cellStyle name="Normal 3 2 2 3 5 5 6" xfId="21396"/>
    <cellStyle name="Normal 3 2 2 3 5 5 7" xfId="25428"/>
    <cellStyle name="Normal 3 2 2 3 5 5 8" xfId="29460"/>
    <cellStyle name="Normal 3 2 2 3 5 5 9" xfId="33492"/>
    <cellStyle name="Normal 3 2 2 3 5 6" xfId="7159"/>
    <cellStyle name="Normal 3 2 2 3 5 6 10" xfId="43449"/>
    <cellStyle name="Normal 3 2 2 3 5 6 11" xfId="47481"/>
    <cellStyle name="Normal 3 2 2 3 5 6 12" xfId="51560"/>
    <cellStyle name="Normal 3 2 2 3 5 6 2" xfId="11193"/>
    <cellStyle name="Normal 3 2 2 3 5 6 3" xfId="15225"/>
    <cellStyle name="Normal 3 2 2 3 5 6 4" xfId="19257"/>
    <cellStyle name="Normal 3 2 2 3 5 6 5" xfId="23289"/>
    <cellStyle name="Normal 3 2 2 3 5 6 6" xfId="27321"/>
    <cellStyle name="Normal 3 2 2 3 5 6 7" xfId="31353"/>
    <cellStyle name="Normal 3 2 2 3 5 6 8" xfId="35385"/>
    <cellStyle name="Normal 3 2 2 3 5 6 9" xfId="39417"/>
    <cellStyle name="Normal 3 2 2 3 5 7" xfId="9177"/>
    <cellStyle name="Normal 3 2 2 3 5 8" xfId="13209"/>
    <cellStyle name="Normal 3 2 2 3 5 9" xfId="17241"/>
    <cellStyle name="Normal 3 2 2 3 6" xfId="1629"/>
    <cellStyle name="Normal 3 2 2 3 6 10" xfId="33590"/>
    <cellStyle name="Normal 3 2 2 3 6 11" xfId="37622"/>
    <cellStyle name="Normal 3 2 2 3 6 12" xfId="41654"/>
    <cellStyle name="Normal 3 2 2 3 6 13" xfId="45686"/>
    <cellStyle name="Normal 3 2 2 3 6 14" xfId="49764"/>
    <cellStyle name="Normal 3 2 2 3 6 2" xfId="5318"/>
    <cellStyle name="Normal 3 2 2 3 6 2 10" xfId="38586"/>
    <cellStyle name="Normal 3 2 2 3 6 2 11" xfId="42618"/>
    <cellStyle name="Normal 3 2 2 3 6 2 12" xfId="46650"/>
    <cellStyle name="Normal 3 2 2 3 6 2 13" xfId="50729"/>
    <cellStyle name="Normal 3 2 2 3 6 2 2" xfId="8344"/>
    <cellStyle name="Normal 3 2 2 3 6 2 2 10" xfId="44634"/>
    <cellStyle name="Normal 3 2 2 3 6 2 2 11" xfId="48666"/>
    <cellStyle name="Normal 3 2 2 3 6 2 2 12" xfId="52745"/>
    <cellStyle name="Normal 3 2 2 3 6 2 2 2" xfId="12378"/>
    <cellStyle name="Normal 3 2 2 3 6 2 2 3" xfId="16410"/>
    <cellStyle name="Normal 3 2 2 3 6 2 2 4" xfId="20442"/>
    <cellStyle name="Normal 3 2 2 3 6 2 2 5" xfId="24474"/>
    <cellStyle name="Normal 3 2 2 3 6 2 2 6" xfId="28506"/>
    <cellStyle name="Normal 3 2 2 3 6 2 2 7" xfId="32538"/>
    <cellStyle name="Normal 3 2 2 3 6 2 2 8" xfId="36570"/>
    <cellStyle name="Normal 3 2 2 3 6 2 2 9" xfId="40602"/>
    <cellStyle name="Normal 3 2 2 3 6 2 3" xfId="10362"/>
    <cellStyle name="Normal 3 2 2 3 6 2 4" xfId="14394"/>
    <cellStyle name="Normal 3 2 2 3 6 2 5" xfId="18426"/>
    <cellStyle name="Normal 3 2 2 3 6 2 6" xfId="22458"/>
    <cellStyle name="Normal 3 2 2 3 6 2 7" xfId="26490"/>
    <cellStyle name="Normal 3 2 2 3 6 2 8" xfId="30522"/>
    <cellStyle name="Normal 3 2 2 3 6 2 9" xfId="34554"/>
    <cellStyle name="Normal 3 2 2 3 6 3" xfId="7380"/>
    <cellStyle name="Normal 3 2 2 3 6 3 10" xfId="43670"/>
    <cellStyle name="Normal 3 2 2 3 6 3 11" xfId="47702"/>
    <cellStyle name="Normal 3 2 2 3 6 3 12" xfId="51781"/>
    <cellStyle name="Normal 3 2 2 3 6 3 2" xfId="11414"/>
    <cellStyle name="Normal 3 2 2 3 6 3 3" xfId="15446"/>
    <cellStyle name="Normal 3 2 2 3 6 3 4" xfId="19478"/>
    <cellStyle name="Normal 3 2 2 3 6 3 5" xfId="23510"/>
    <cellStyle name="Normal 3 2 2 3 6 3 6" xfId="27542"/>
    <cellStyle name="Normal 3 2 2 3 6 3 7" xfId="31574"/>
    <cellStyle name="Normal 3 2 2 3 6 3 8" xfId="35606"/>
    <cellStyle name="Normal 3 2 2 3 6 3 9" xfId="39638"/>
    <cellStyle name="Normal 3 2 2 3 6 4" xfId="9398"/>
    <cellStyle name="Normal 3 2 2 3 6 5" xfId="13430"/>
    <cellStyle name="Normal 3 2 2 3 6 6" xfId="17462"/>
    <cellStyle name="Normal 3 2 2 3 6 7" xfId="21494"/>
    <cellStyle name="Normal 3 2 2 3 6 8" xfId="25526"/>
    <cellStyle name="Normal 3 2 2 3 6 9" xfId="29558"/>
    <cellStyle name="Normal 3 2 2 3 7" xfId="1703"/>
    <cellStyle name="Normal 3 2 2 3 7 10" xfId="33659"/>
    <cellStyle name="Normal 3 2 2 3 7 11" xfId="37691"/>
    <cellStyle name="Normal 3 2 2 3 7 12" xfId="41723"/>
    <cellStyle name="Normal 3 2 2 3 7 13" xfId="45755"/>
    <cellStyle name="Normal 3 2 2 3 7 14" xfId="49833"/>
    <cellStyle name="Normal 3 2 2 3 7 2" xfId="5374"/>
    <cellStyle name="Normal 3 2 2 3 7 2 10" xfId="38642"/>
    <cellStyle name="Normal 3 2 2 3 7 2 11" xfId="42674"/>
    <cellStyle name="Normal 3 2 2 3 7 2 12" xfId="46706"/>
    <cellStyle name="Normal 3 2 2 3 7 2 13" xfId="50785"/>
    <cellStyle name="Normal 3 2 2 3 7 2 2" xfId="8400"/>
    <cellStyle name="Normal 3 2 2 3 7 2 2 10" xfId="44690"/>
    <cellStyle name="Normal 3 2 2 3 7 2 2 11" xfId="48722"/>
    <cellStyle name="Normal 3 2 2 3 7 2 2 12" xfId="52801"/>
    <cellStyle name="Normal 3 2 2 3 7 2 2 2" xfId="12434"/>
    <cellStyle name="Normal 3 2 2 3 7 2 2 3" xfId="16466"/>
    <cellStyle name="Normal 3 2 2 3 7 2 2 4" xfId="20498"/>
    <cellStyle name="Normal 3 2 2 3 7 2 2 5" xfId="24530"/>
    <cellStyle name="Normal 3 2 2 3 7 2 2 6" xfId="28562"/>
    <cellStyle name="Normal 3 2 2 3 7 2 2 7" xfId="32594"/>
    <cellStyle name="Normal 3 2 2 3 7 2 2 8" xfId="36626"/>
    <cellStyle name="Normal 3 2 2 3 7 2 2 9" xfId="40658"/>
    <cellStyle name="Normal 3 2 2 3 7 2 3" xfId="10418"/>
    <cellStyle name="Normal 3 2 2 3 7 2 4" xfId="14450"/>
    <cellStyle name="Normal 3 2 2 3 7 2 5" xfId="18482"/>
    <cellStyle name="Normal 3 2 2 3 7 2 6" xfId="22514"/>
    <cellStyle name="Normal 3 2 2 3 7 2 7" xfId="26546"/>
    <cellStyle name="Normal 3 2 2 3 7 2 8" xfId="30578"/>
    <cellStyle name="Normal 3 2 2 3 7 2 9" xfId="34610"/>
    <cellStyle name="Normal 3 2 2 3 7 3" xfId="7449"/>
    <cellStyle name="Normal 3 2 2 3 7 3 10" xfId="43739"/>
    <cellStyle name="Normal 3 2 2 3 7 3 11" xfId="47771"/>
    <cellStyle name="Normal 3 2 2 3 7 3 12" xfId="51850"/>
    <cellStyle name="Normal 3 2 2 3 7 3 2" xfId="11483"/>
    <cellStyle name="Normal 3 2 2 3 7 3 3" xfId="15515"/>
    <cellStyle name="Normal 3 2 2 3 7 3 4" xfId="19547"/>
    <cellStyle name="Normal 3 2 2 3 7 3 5" xfId="23579"/>
    <cellStyle name="Normal 3 2 2 3 7 3 6" xfId="27611"/>
    <cellStyle name="Normal 3 2 2 3 7 3 7" xfId="31643"/>
    <cellStyle name="Normal 3 2 2 3 7 3 8" xfId="35675"/>
    <cellStyle name="Normal 3 2 2 3 7 3 9" xfId="39707"/>
    <cellStyle name="Normal 3 2 2 3 7 4" xfId="9467"/>
    <cellStyle name="Normal 3 2 2 3 7 5" xfId="13499"/>
    <cellStyle name="Normal 3 2 2 3 7 6" xfId="17531"/>
    <cellStyle name="Normal 3 2 2 3 7 7" xfId="21563"/>
    <cellStyle name="Normal 3 2 2 3 7 8" xfId="25595"/>
    <cellStyle name="Normal 3 2 2 3 7 9" xfId="29627"/>
    <cellStyle name="Normal 3 2 2 3 8" xfId="4025"/>
    <cellStyle name="Normal 3 2 2 3 8 10" xfId="33882"/>
    <cellStyle name="Normal 3 2 2 3 8 11" xfId="37914"/>
    <cellStyle name="Normal 3 2 2 3 8 12" xfId="41946"/>
    <cellStyle name="Normal 3 2 2 3 8 13" xfId="45978"/>
    <cellStyle name="Normal 3 2 2 3 8 14" xfId="50056"/>
    <cellStyle name="Normal 3 2 2 3 8 2" xfId="6607"/>
    <cellStyle name="Normal 3 2 2 3 8 2 10" xfId="38865"/>
    <cellStyle name="Normal 3 2 2 3 8 2 11" xfId="42897"/>
    <cellStyle name="Normal 3 2 2 3 8 2 12" xfId="46929"/>
    <cellStyle name="Normal 3 2 2 3 8 2 13" xfId="51008"/>
    <cellStyle name="Normal 3 2 2 3 8 2 2" xfId="8623"/>
    <cellStyle name="Normal 3 2 2 3 8 2 2 10" xfId="44913"/>
    <cellStyle name="Normal 3 2 2 3 8 2 2 11" xfId="48945"/>
    <cellStyle name="Normal 3 2 2 3 8 2 2 12" xfId="53024"/>
    <cellStyle name="Normal 3 2 2 3 8 2 2 2" xfId="12657"/>
    <cellStyle name="Normal 3 2 2 3 8 2 2 3" xfId="16689"/>
    <cellStyle name="Normal 3 2 2 3 8 2 2 4" xfId="20721"/>
    <cellStyle name="Normal 3 2 2 3 8 2 2 5" xfId="24753"/>
    <cellStyle name="Normal 3 2 2 3 8 2 2 6" xfId="28785"/>
    <cellStyle name="Normal 3 2 2 3 8 2 2 7" xfId="32817"/>
    <cellStyle name="Normal 3 2 2 3 8 2 2 8" xfId="36849"/>
    <cellStyle name="Normal 3 2 2 3 8 2 2 9" xfId="40881"/>
    <cellStyle name="Normal 3 2 2 3 8 2 3" xfId="10641"/>
    <cellStyle name="Normal 3 2 2 3 8 2 4" xfId="14673"/>
    <cellStyle name="Normal 3 2 2 3 8 2 5" xfId="18705"/>
    <cellStyle name="Normal 3 2 2 3 8 2 6" xfId="22737"/>
    <cellStyle name="Normal 3 2 2 3 8 2 7" xfId="26769"/>
    <cellStyle name="Normal 3 2 2 3 8 2 8" xfId="30801"/>
    <cellStyle name="Normal 3 2 2 3 8 2 9" xfId="34833"/>
    <cellStyle name="Normal 3 2 2 3 8 3" xfId="7672"/>
    <cellStyle name="Normal 3 2 2 3 8 3 10" xfId="43962"/>
    <cellStyle name="Normal 3 2 2 3 8 3 11" xfId="47994"/>
    <cellStyle name="Normal 3 2 2 3 8 3 12" xfId="52073"/>
    <cellStyle name="Normal 3 2 2 3 8 3 2" xfId="11706"/>
    <cellStyle name="Normal 3 2 2 3 8 3 3" xfId="15738"/>
    <cellStyle name="Normal 3 2 2 3 8 3 4" xfId="19770"/>
    <cellStyle name="Normal 3 2 2 3 8 3 5" xfId="23802"/>
    <cellStyle name="Normal 3 2 2 3 8 3 6" xfId="27834"/>
    <cellStyle name="Normal 3 2 2 3 8 3 7" xfId="31866"/>
    <cellStyle name="Normal 3 2 2 3 8 3 8" xfId="35898"/>
    <cellStyle name="Normal 3 2 2 3 8 3 9" xfId="39930"/>
    <cellStyle name="Normal 3 2 2 3 8 4" xfId="9690"/>
    <cellStyle name="Normal 3 2 2 3 8 5" xfId="13722"/>
    <cellStyle name="Normal 3 2 2 3 8 6" xfId="17754"/>
    <cellStyle name="Normal 3 2 2 3 8 7" xfId="21786"/>
    <cellStyle name="Normal 3 2 2 3 8 8" xfId="25818"/>
    <cellStyle name="Normal 3 2 2 3 8 9" xfId="29850"/>
    <cellStyle name="Normal 3 2 2 3 9" xfId="4095"/>
    <cellStyle name="Normal 3 2 2 3 9 10" xfId="33951"/>
    <cellStyle name="Normal 3 2 2 3 9 11" xfId="37983"/>
    <cellStyle name="Normal 3 2 2 3 9 12" xfId="42015"/>
    <cellStyle name="Normal 3 2 2 3 9 13" xfId="46047"/>
    <cellStyle name="Normal 3 2 2 3 9 14" xfId="50125"/>
    <cellStyle name="Normal 3 2 2 3 9 2" xfId="6676"/>
    <cellStyle name="Normal 3 2 2 3 9 2 10" xfId="38934"/>
    <cellStyle name="Normal 3 2 2 3 9 2 11" xfId="42966"/>
    <cellStyle name="Normal 3 2 2 3 9 2 12" xfId="46998"/>
    <cellStyle name="Normal 3 2 2 3 9 2 13" xfId="51077"/>
    <cellStyle name="Normal 3 2 2 3 9 2 2" xfId="8692"/>
    <cellStyle name="Normal 3 2 2 3 9 2 2 10" xfId="44982"/>
    <cellStyle name="Normal 3 2 2 3 9 2 2 11" xfId="49014"/>
    <cellStyle name="Normal 3 2 2 3 9 2 2 12" xfId="53093"/>
    <cellStyle name="Normal 3 2 2 3 9 2 2 2" xfId="12726"/>
    <cellStyle name="Normal 3 2 2 3 9 2 2 3" xfId="16758"/>
    <cellStyle name="Normal 3 2 2 3 9 2 2 4" xfId="20790"/>
    <cellStyle name="Normal 3 2 2 3 9 2 2 5" xfId="24822"/>
    <cellStyle name="Normal 3 2 2 3 9 2 2 6" xfId="28854"/>
    <cellStyle name="Normal 3 2 2 3 9 2 2 7" xfId="32886"/>
    <cellStyle name="Normal 3 2 2 3 9 2 2 8" xfId="36918"/>
    <cellStyle name="Normal 3 2 2 3 9 2 2 9" xfId="40950"/>
    <cellStyle name="Normal 3 2 2 3 9 2 3" xfId="10710"/>
    <cellStyle name="Normal 3 2 2 3 9 2 4" xfId="14742"/>
    <cellStyle name="Normal 3 2 2 3 9 2 5" xfId="18774"/>
    <cellStyle name="Normal 3 2 2 3 9 2 6" xfId="22806"/>
    <cellStyle name="Normal 3 2 2 3 9 2 7" xfId="26838"/>
    <cellStyle name="Normal 3 2 2 3 9 2 8" xfId="30870"/>
    <cellStyle name="Normal 3 2 2 3 9 2 9" xfId="34902"/>
    <cellStyle name="Normal 3 2 2 3 9 3" xfId="7741"/>
    <cellStyle name="Normal 3 2 2 3 9 3 10" xfId="44031"/>
    <cellStyle name="Normal 3 2 2 3 9 3 11" xfId="48063"/>
    <cellStyle name="Normal 3 2 2 3 9 3 12" xfId="52142"/>
    <cellStyle name="Normal 3 2 2 3 9 3 2" xfId="11775"/>
    <cellStyle name="Normal 3 2 2 3 9 3 3" xfId="15807"/>
    <cellStyle name="Normal 3 2 2 3 9 3 4" xfId="19839"/>
    <cellStyle name="Normal 3 2 2 3 9 3 5" xfId="23871"/>
    <cellStyle name="Normal 3 2 2 3 9 3 6" xfId="27903"/>
    <cellStyle name="Normal 3 2 2 3 9 3 7" xfId="31935"/>
    <cellStyle name="Normal 3 2 2 3 9 3 8" xfId="35967"/>
    <cellStyle name="Normal 3 2 2 3 9 3 9" xfId="39999"/>
    <cellStyle name="Normal 3 2 2 3 9 4" xfId="9759"/>
    <cellStyle name="Normal 3 2 2 3 9 5" xfId="13791"/>
    <cellStyle name="Normal 3 2 2 3 9 6" xfId="17823"/>
    <cellStyle name="Normal 3 2 2 3 9 7" xfId="21855"/>
    <cellStyle name="Normal 3 2 2 3 9 8" xfId="25887"/>
    <cellStyle name="Normal 3 2 2 3 9 9" xfId="29919"/>
    <cellStyle name="Normal 3 2 2 30" xfId="45390"/>
    <cellStyle name="Normal 3 2 2 31" xfId="49468"/>
    <cellStyle name="Normal 3 2 2 4" xfId="86"/>
    <cellStyle name="Normal 3 2 2 4 10" xfId="4566"/>
    <cellStyle name="Normal 3 2 2 4 10 10" xfId="38442"/>
    <cellStyle name="Normal 3 2 2 4 10 11" xfId="42474"/>
    <cellStyle name="Normal 3 2 2 4 10 12" xfId="46506"/>
    <cellStyle name="Normal 3 2 2 4 10 13" xfId="50585"/>
    <cellStyle name="Normal 3 2 2 4 10 2" xfId="8200"/>
    <cellStyle name="Normal 3 2 2 4 10 2 10" xfId="44490"/>
    <cellStyle name="Normal 3 2 2 4 10 2 11" xfId="48522"/>
    <cellStyle name="Normal 3 2 2 4 10 2 12" xfId="52601"/>
    <cellStyle name="Normal 3 2 2 4 10 2 2" xfId="12234"/>
    <cellStyle name="Normal 3 2 2 4 10 2 3" xfId="16266"/>
    <cellStyle name="Normal 3 2 2 4 10 2 4" xfId="20298"/>
    <cellStyle name="Normal 3 2 2 4 10 2 5" xfId="24330"/>
    <cellStyle name="Normal 3 2 2 4 10 2 6" xfId="28362"/>
    <cellStyle name="Normal 3 2 2 4 10 2 7" xfId="32394"/>
    <cellStyle name="Normal 3 2 2 4 10 2 8" xfId="36426"/>
    <cellStyle name="Normal 3 2 2 4 10 2 9" xfId="40458"/>
    <cellStyle name="Normal 3 2 2 4 10 3" xfId="10218"/>
    <cellStyle name="Normal 3 2 2 4 10 4" xfId="14250"/>
    <cellStyle name="Normal 3 2 2 4 10 5" xfId="18282"/>
    <cellStyle name="Normal 3 2 2 4 10 6" xfId="22314"/>
    <cellStyle name="Normal 3 2 2 4 10 7" xfId="26346"/>
    <cellStyle name="Normal 3 2 2 4 10 8" xfId="30378"/>
    <cellStyle name="Normal 3 2 2 4 10 9" xfId="34410"/>
    <cellStyle name="Normal 3 2 2 4 11" xfId="294"/>
    <cellStyle name="Normal 3 2 2 4 11 10" xfId="37499"/>
    <cellStyle name="Normal 3 2 2 4 11 11" xfId="41531"/>
    <cellStyle name="Normal 3 2 2 4 11 12" xfId="45563"/>
    <cellStyle name="Normal 3 2 2 4 11 13" xfId="49641"/>
    <cellStyle name="Normal 3 2 2 4 11 2" xfId="7257"/>
    <cellStyle name="Normal 3 2 2 4 11 2 10" xfId="43547"/>
    <cellStyle name="Normal 3 2 2 4 11 2 11" xfId="47579"/>
    <cellStyle name="Normal 3 2 2 4 11 2 12" xfId="51658"/>
    <cellStyle name="Normal 3 2 2 4 11 2 2" xfId="11291"/>
    <cellStyle name="Normal 3 2 2 4 11 2 3" xfId="15323"/>
    <cellStyle name="Normal 3 2 2 4 11 2 4" xfId="19355"/>
    <cellStyle name="Normal 3 2 2 4 11 2 5" xfId="23387"/>
    <cellStyle name="Normal 3 2 2 4 11 2 6" xfId="27419"/>
    <cellStyle name="Normal 3 2 2 4 11 2 7" xfId="31451"/>
    <cellStyle name="Normal 3 2 2 4 11 2 8" xfId="35483"/>
    <cellStyle name="Normal 3 2 2 4 11 2 9" xfId="39515"/>
    <cellStyle name="Normal 3 2 2 4 11 3" xfId="9275"/>
    <cellStyle name="Normal 3 2 2 4 11 4" xfId="13307"/>
    <cellStyle name="Normal 3 2 2 4 11 5" xfId="17339"/>
    <cellStyle name="Normal 3 2 2 4 11 6" xfId="21371"/>
    <cellStyle name="Normal 3 2 2 4 11 7" xfId="25403"/>
    <cellStyle name="Normal 3 2 2 4 11 8" xfId="29435"/>
    <cellStyle name="Normal 3 2 2 4 11 9" xfId="33467"/>
    <cellStyle name="Normal 3 2 2 4 12" xfId="7135"/>
    <cellStyle name="Normal 3 2 2 4 12 10" xfId="43425"/>
    <cellStyle name="Normal 3 2 2 4 12 11" xfId="47457"/>
    <cellStyle name="Normal 3 2 2 4 12 12" xfId="51536"/>
    <cellStyle name="Normal 3 2 2 4 12 2" xfId="11169"/>
    <cellStyle name="Normal 3 2 2 4 12 3" xfId="15201"/>
    <cellStyle name="Normal 3 2 2 4 12 4" xfId="19233"/>
    <cellStyle name="Normal 3 2 2 4 12 5" xfId="23265"/>
    <cellStyle name="Normal 3 2 2 4 12 6" xfId="27297"/>
    <cellStyle name="Normal 3 2 2 4 12 7" xfId="31329"/>
    <cellStyle name="Normal 3 2 2 4 12 8" xfId="35361"/>
    <cellStyle name="Normal 3 2 2 4 12 9" xfId="39393"/>
    <cellStyle name="Normal 3 2 2 4 13" xfId="161"/>
    <cellStyle name="Normal 3 2 2 4 14" xfId="9153"/>
    <cellStyle name="Normal 3 2 2 4 15" xfId="13185"/>
    <cellStyle name="Normal 3 2 2 4 16" xfId="17217"/>
    <cellStyle name="Normal 3 2 2 4 17" xfId="21249"/>
    <cellStyle name="Normal 3 2 2 4 18" xfId="25281"/>
    <cellStyle name="Normal 3 2 2 4 19" xfId="29313"/>
    <cellStyle name="Normal 3 2 2 4 2" xfId="240"/>
    <cellStyle name="Normal 3 2 2 4 2 10" xfId="21318"/>
    <cellStyle name="Normal 3 2 2 4 2 11" xfId="25350"/>
    <cellStyle name="Normal 3 2 2 4 2 12" xfId="29382"/>
    <cellStyle name="Normal 3 2 2 4 2 13" xfId="33414"/>
    <cellStyle name="Normal 3 2 2 4 2 14" xfId="37446"/>
    <cellStyle name="Normal 3 2 2 4 2 15" xfId="41478"/>
    <cellStyle name="Normal 3 2 2 4 2 16" xfId="45510"/>
    <cellStyle name="Normal 3 2 2 4 2 17" xfId="49588"/>
    <cellStyle name="Normal 3 2 2 4 2 2" xfId="4358"/>
    <cellStyle name="Normal 3 2 2 4 2 2 10" xfId="34203"/>
    <cellStyle name="Normal 3 2 2 4 2 2 11" xfId="38235"/>
    <cellStyle name="Normal 3 2 2 4 2 2 12" xfId="42267"/>
    <cellStyle name="Normal 3 2 2 4 2 2 13" xfId="46299"/>
    <cellStyle name="Normal 3 2 2 4 2 2 14" xfId="50378"/>
    <cellStyle name="Normal 3 2 2 4 2 2 2" xfId="6928"/>
    <cellStyle name="Normal 3 2 2 4 2 2 2 10" xfId="39186"/>
    <cellStyle name="Normal 3 2 2 4 2 2 2 11" xfId="43218"/>
    <cellStyle name="Normal 3 2 2 4 2 2 2 12" xfId="47250"/>
    <cellStyle name="Normal 3 2 2 4 2 2 2 13" xfId="51329"/>
    <cellStyle name="Normal 3 2 2 4 2 2 2 2" xfId="8944"/>
    <cellStyle name="Normal 3 2 2 4 2 2 2 2 10" xfId="45234"/>
    <cellStyle name="Normal 3 2 2 4 2 2 2 2 11" xfId="49266"/>
    <cellStyle name="Normal 3 2 2 4 2 2 2 2 12" xfId="53345"/>
    <cellStyle name="Normal 3 2 2 4 2 2 2 2 2" xfId="12978"/>
    <cellStyle name="Normal 3 2 2 4 2 2 2 2 3" xfId="17010"/>
    <cellStyle name="Normal 3 2 2 4 2 2 2 2 4" xfId="21042"/>
    <cellStyle name="Normal 3 2 2 4 2 2 2 2 5" xfId="25074"/>
    <cellStyle name="Normal 3 2 2 4 2 2 2 2 6" xfId="29106"/>
    <cellStyle name="Normal 3 2 2 4 2 2 2 2 7" xfId="33138"/>
    <cellStyle name="Normal 3 2 2 4 2 2 2 2 8" xfId="37170"/>
    <cellStyle name="Normal 3 2 2 4 2 2 2 2 9" xfId="41202"/>
    <cellStyle name="Normal 3 2 2 4 2 2 2 3" xfId="10962"/>
    <cellStyle name="Normal 3 2 2 4 2 2 2 4" xfId="14994"/>
    <cellStyle name="Normal 3 2 2 4 2 2 2 5" xfId="19026"/>
    <cellStyle name="Normal 3 2 2 4 2 2 2 6" xfId="23058"/>
    <cellStyle name="Normal 3 2 2 4 2 2 2 7" xfId="27090"/>
    <cellStyle name="Normal 3 2 2 4 2 2 2 8" xfId="31122"/>
    <cellStyle name="Normal 3 2 2 4 2 2 2 9" xfId="35154"/>
    <cellStyle name="Normal 3 2 2 4 2 2 3" xfId="7993"/>
    <cellStyle name="Normal 3 2 2 4 2 2 3 10" xfId="44283"/>
    <cellStyle name="Normal 3 2 2 4 2 2 3 11" xfId="48315"/>
    <cellStyle name="Normal 3 2 2 4 2 2 3 12" xfId="52394"/>
    <cellStyle name="Normal 3 2 2 4 2 2 3 2" xfId="12027"/>
    <cellStyle name="Normal 3 2 2 4 2 2 3 3" xfId="16059"/>
    <cellStyle name="Normal 3 2 2 4 2 2 3 4" xfId="20091"/>
    <cellStyle name="Normal 3 2 2 4 2 2 3 5" xfId="24123"/>
    <cellStyle name="Normal 3 2 2 4 2 2 3 6" xfId="28155"/>
    <cellStyle name="Normal 3 2 2 4 2 2 3 7" xfId="32187"/>
    <cellStyle name="Normal 3 2 2 4 2 2 3 8" xfId="36219"/>
    <cellStyle name="Normal 3 2 2 4 2 2 3 9" xfId="40251"/>
    <cellStyle name="Normal 3 2 2 4 2 2 4" xfId="10011"/>
    <cellStyle name="Normal 3 2 2 4 2 2 5" xfId="14043"/>
    <cellStyle name="Normal 3 2 2 4 2 2 6" xfId="18075"/>
    <cellStyle name="Normal 3 2 2 4 2 2 7" xfId="22107"/>
    <cellStyle name="Normal 3 2 2 4 2 2 8" xfId="26139"/>
    <cellStyle name="Normal 3 2 2 4 2 2 9" xfId="30171"/>
    <cellStyle name="Normal 3 2 2 4 2 3" xfId="4497"/>
    <cellStyle name="Normal 3 2 2 4 2 3 10" xfId="34341"/>
    <cellStyle name="Normal 3 2 2 4 2 3 11" xfId="38373"/>
    <cellStyle name="Normal 3 2 2 4 2 3 12" xfId="42405"/>
    <cellStyle name="Normal 3 2 2 4 2 3 13" xfId="46437"/>
    <cellStyle name="Normal 3 2 2 4 2 3 14" xfId="50516"/>
    <cellStyle name="Normal 3 2 2 4 2 3 2" xfId="7066"/>
    <cellStyle name="Normal 3 2 2 4 2 3 2 10" xfId="39324"/>
    <cellStyle name="Normal 3 2 2 4 2 3 2 11" xfId="43356"/>
    <cellStyle name="Normal 3 2 2 4 2 3 2 12" xfId="47388"/>
    <cellStyle name="Normal 3 2 2 4 2 3 2 13" xfId="51467"/>
    <cellStyle name="Normal 3 2 2 4 2 3 2 2" xfId="9082"/>
    <cellStyle name="Normal 3 2 2 4 2 3 2 2 10" xfId="45372"/>
    <cellStyle name="Normal 3 2 2 4 2 3 2 2 11" xfId="49404"/>
    <cellStyle name="Normal 3 2 2 4 2 3 2 2 12" xfId="53483"/>
    <cellStyle name="Normal 3 2 2 4 2 3 2 2 2" xfId="13116"/>
    <cellStyle name="Normal 3 2 2 4 2 3 2 2 3" xfId="17148"/>
    <cellStyle name="Normal 3 2 2 4 2 3 2 2 4" xfId="21180"/>
    <cellStyle name="Normal 3 2 2 4 2 3 2 2 5" xfId="25212"/>
    <cellStyle name="Normal 3 2 2 4 2 3 2 2 6" xfId="29244"/>
    <cellStyle name="Normal 3 2 2 4 2 3 2 2 7" xfId="33276"/>
    <cellStyle name="Normal 3 2 2 4 2 3 2 2 8" xfId="37308"/>
    <cellStyle name="Normal 3 2 2 4 2 3 2 2 9" xfId="41340"/>
    <cellStyle name="Normal 3 2 2 4 2 3 2 3" xfId="11100"/>
    <cellStyle name="Normal 3 2 2 4 2 3 2 4" xfId="15132"/>
    <cellStyle name="Normal 3 2 2 4 2 3 2 5" xfId="19164"/>
    <cellStyle name="Normal 3 2 2 4 2 3 2 6" xfId="23196"/>
    <cellStyle name="Normal 3 2 2 4 2 3 2 7" xfId="27228"/>
    <cellStyle name="Normal 3 2 2 4 2 3 2 8" xfId="31260"/>
    <cellStyle name="Normal 3 2 2 4 2 3 2 9" xfId="35292"/>
    <cellStyle name="Normal 3 2 2 4 2 3 3" xfId="8131"/>
    <cellStyle name="Normal 3 2 2 4 2 3 3 10" xfId="44421"/>
    <cellStyle name="Normal 3 2 2 4 2 3 3 11" xfId="48453"/>
    <cellStyle name="Normal 3 2 2 4 2 3 3 12" xfId="52532"/>
    <cellStyle name="Normal 3 2 2 4 2 3 3 2" xfId="12165"/>
    <cellStyle name="Normal 3 2 2 4 2 3 3 3" xfId="16197"/>
    <cellStyle name="Normal 3 2 2 4 2 3 3 4" xfId="20229"/>
    <cellStyle name="Normal 3 2 2 4 2 3 3 5" xfId="24261"/>
    <cellStyle name="Normal 3 2 2 4 2 3 3 6" xfId="28293"/>
    <cellStyle name="Normal 3 2 2 4 2 3 3 7" xfId="32325"/>
    <cellStyle name="Normal 3 2 2 4 2 3 3 8" xfId="36357"/>
    <cellStyle name="Normal 3 2 2 4 2 3 3 9" xfId="40389"/>
    <cellStyle name="Normal 3 2 2 4 2 3 4" xfId="10149"/>
    <cellStyle name="Normal 3 2 2 4 2 3 5" xfId="14181"/>
    <cellStyle name="Normal 3 2 2 4 2 3 6" xfId="18213"/>
    <cellStyle name="Normal 3 2 2 4 2 3 7" xfId="22245"/>
    <cellStyle name="Normal 3 2 2 4 2 3 8" xfId="26277"/>
    <cellStyle name="Normal 3 2 2 4 2 3 9" xfId="30309"/>
    <cellStyle name="Normal 3 2 2 4 2 4" xfId="4637"/>
    <cellStyle name="Normal 3 2 2 4 2 4 10" xfId="38511"/>
    <cellStyle name="Normal 3 2 2 4 2 4 11" xfId="42543"/>
    <cellStyle name="Normal 3 2 2 4 2 4 12" xfId="46575"/>
    <cellStyle name="Normal 3 2 2 4 2 4 13" xfId="50654"/>
    <cellStyle name="Normal 3 2 2 4 2 4 2" xfId="8269"/>
    <cellStyle name="Normal 3 2 2 4 2 4 2 10" xfId="44559"/>
    <cellStyle name="Normal 3 2 2 4 2 4 2 11" xfId="48591"/>
    <cellStyle name="Normal 3 2 2 4 2 4 2 12" xfId="52670"/>
    <cellStyle name="Normal 3 2 2 4 2 4 2 2" xfId="12303"/>
    <cellStyle name="Normal 3 2 2 4 2 4 2 3" xfId="16335"/>
    <cellStyle name="Normal 3 2 2 4 2 4 2 4" xfId="20367"/>
    <cellStyle name="Normal 3 2 2 4 2 4 2 5" xfId="24399"/>
    <cellStyle name="Normal 3 2 2 4 2 4 2 6" xfId="28431"/>
    <cellStyle name="Normal 3 2 2 4 2 4 2 7" xfId="32463"/>
    <cellStyle name="Normal 3 2 2 4 2 4 2 8" xfId="36495"/>
    <cellStyle name="Normal 3 2 2 4 2 4 2 9" xfId="40527"/>
    <cellStyle name="Normal 3 2 2 4 2 4 3" xfId="10287"/>
    <cellStyle name="Normal 3 2 2 4 2 4 4" xfId="14319"/>
    <cellStyle name="Normal 3 2 2 4 2 4 5" xfId="18351"/>
    <cellStyle name="Normal 3 2 2 4 2 4 6" xfId="22383"/>
    <cellStyle name="Normal 3 2 2 4 2 4 7" xfId="26415"/>
    <cellStyle name="Normal 3 2 2 4 2 4 8" xfId="30447"/>
    <cellStyle name="Normal 3 2 2 4 2 4 9" xfId="34479"/>
    <cellStyle name="Normal 3 2 2 4 2 5" xfId="364"/>
    <cellStyle name="Normal 3 2 2 4 2 5 10" xfId="37569"/>
    <cellStyle name="Normal 3 2 2 4 2 5 11" xfId="41601"/>
    <cellStyle name="Normal 3 2 2 4 2 5 12" xfId="45633"/>
    <cellStyle name="Normal 3 2 2 4 2 5 13" xfId="49711"/>
    <cellStyle name="Normal 3 2 2 4 2 5 2" xfId="7327"/>
    <cellStyle name="Normal 3 2 2 4 2 5 2 10" xfId="43617"/>
    <cellStyle name="Normal 3 2 2 4 2 5 2 11" xfId="47649"/>
    <cellStyle name="Normal 3 2 2 4 2 5 2 12" xfId="51728"/>
    <cellStyle name="Normal 3 2 2 4 2 5 2 2" xfId="11361"/>
    <cellStyle name="Normal 3 2 2 4 2 5 2 3" xfId="15393"/>
    <cellStyle name="Normal 3 2 2 4 2 5 2 4" xfId="19425"/>
    <cellStyle name="Normal 3 2 2 4 2 5 2 5" xfId="23457"/>
    <cellStyle name="Normal 3 2 2 4 2 5 2 6" xfId="27489"/>
    <cellStyle name="Normal 3 2 2 4 2 5 2 7" xfId="31521"/>
    <cellStyle name="Normal 3 2 2 4 2 5 2 8" xfId="35553"/>
    <cellStyle name="Normal 3 2 2 4 2 5 2 9" xfId="39585"/>
    <cellStyle name="Normal 3 2 2 4 2 5 3" xfId="9345"/>
    <cellStyle name="Normal 3 2 2 4 2 5 4" xfId="13377"/>
    <cellStyle name="Normal 3 2 2 4 2 5 5" xfId="17409"/>
    <cellStyle name="Normal 3 2 2 4 2 5 6" xfId="21441"/>
    <cellStyle name="Normal 3 2 2 4 2 5 7" xfId="25473"/>
    <cellStyle name="Normal 3 2 2 4 2 5 8" xfId="29505"/>
    <cellStyle name="Normal 3 2 2 4 2 5 9" xfId="33537"/>
    <cellStyle name="Normal 3 2 2 4 2 6" xfId="7204"/>
    <cellStyle name="Normal 3 2 2 4 2 6 10" xfId="43494"/>
    <cellStyle name="Normal 3 2 2 4 2 6 11" xfId="47526"/>
    <cellStyle name="Normal 3 2 2 4 2 6 12" xfId="51605"/>
    <cellStyle name="Normal 3 2 2 4 2 6 2" xfId="11238"/>
    <cellStyle name="Normal 3 2 2 4 2 6 3" xfId="15270"/>
    <cellStyle name="Normal 3 2 2 4 2 6 4" xfId="19302"/>
    <cellStyle name="Normal 3 2 2 4 2 6 5" xfId="23334"/>
    <cellStyle name="Normal 3 2 2 4 2 6 6" xfId="27366"/>
    <cellStyle name="Normal 3 2 2 4 2 6 7" xfId="31398"/>
    <cellStyle name="Normal 3 2 2 4 2 6 8" xfId="35430"/>
    <cellStyle name="Normal 3 2 2 4 2 6 9" xfId="39462"/>
    <cellStyle name="Normal 3 2 2 4 2 7" xfId="9222"/>
    <cellStyle name="Normal 3 2 2 4 2 8" xfId="13254"/>
    <cellStyle name="Normal 3 2 2 4 2 9" xfId="17286"/>
    <cellStyle name="Normal 3 2 2 4 20" xfId="33345"/>
    <cellStyle name="Normal 3 2 2 4 21" xfId="37377"/>
    <cellStyle name="Normal 3 2 2 4 22" xfId="41409"/>
    <cellStyle name="Normal 3 2 2 4 23" xfId="45441"/>
    <cellStyle name="Normal 3 2 2 4 24" xfId="49519"/>
    <cellStyle name="Normal 3 2 2 4 3" xfId="1674"/>
    <cellStyle name="Normal 3 2 2 4 3 10" xfId="33635"/>
    <cellStyle name="Normal 3 2 2 4 3 11" xfId="37667"/>
    <cellStyle name="Normal 3 2 2 4 3 12" xfId="41699"/>
    <cellStyle name="Normal 3 2 2 4 3 13" xfId="45731"/>
    <cellStyle name="Normal 3 2 2 4 3 14" xfId="49809"/>
    <cellStyle name="Normal 3 2 2 4 3 2" xfId="5350"/>
    <cellStyle name="Normal 3 2 2 4 3 2 10" xfId="38618"/>
    <cellStyle name="Normal 3 2 2 4 3 2 11" xfId="42650"/>
    <cellStyle name="Normal 3 2 2 4 3 2 12" xfId="46682"/>
    <cellStyle name="Normal 3 2 2 4 3 2 13" xfId="50761"/>
    <cellStyle name="Normal 3 2 2 4 3 2 2" xfId="8376"/>
    <cellStyle name="Normal 3 2 2 4 3 2 2 10" xfId="44666"/>
    <cellStyle name="Normal 3 2 2 4 3 2 2 11" xfId="48698"/>
    <cellStyle name="Normal 3 2 2 4 3 2 2 12" xfId="52777"/>
    <cellStyle name="Normal 3 2 2 4 3 2 2 2" xfId="12410"/>
    <cellStyle name="Normal 3 2 2 4 3 2 2 3" xfId="16442"/>
    <cellStyle name="Normal 3 2 2 4 3 2 2 4" xfId="20474"/>
    <cellStyle name="Normal 3 2 2 4 3 2 2 5" xfId="24506"/>
    <cellStyle name="Normal 3 2 2 4 3 2 2 6" xfId="28538"/>
    <cellStyle name="Normal 3 2 2 4 3 2 2 7" xfId="32570"/>
    <cellStyle name="Normal 3 2 2 4 3 2 2 8" xfId="36602"/>
    <cellStyle name="Normal 3 2 2 4 3 2 2 9" xfId="40634"/>
    <cellStyle name="Normal 3 2 2 4 3 2 3" xfId="10394"/>
    <cellStyle name="Normal 3 2 2 4 3 2 4" xfId="14426"/>
    <cellStyle name="Normal 3 2 2 4 3 2 5" xfId="18458"/>
    <cellStyle name="Normal 3 2 2 4 3 2 6" xfId="22490"/>
    <cellStyle name="Normal 3 2 2 4 3 2 7" xfId="26522"/>
    <cellStyle name="Normal 3 2 2 4 3 2 8" xfId="30554"/>
    <cellStyle name="Normal 3 2 2 4 3 2 9" xfId="34586"/>
    <cellStyle name="Normal 3 2 2 4 3 3" xfId="7425"/>
    <cellStyle name="Normal 3 2 2 4 3 3 10" xfId="43715"/>
    <cellStyle name="Normal 3 2 2 4 3 3 11" xfId="47747"/>
    <cellStyle name="Normal 3 2 2 4 3 3 12" xfId="51826"/>
    <cellStyle name="Normal 3 2 2 4 3 3 2" xfId="11459"/>
    <cellStyle name="Normal 3 2 2 4 3 3 3" xfId="15491"/>
    <cellStyle name="Normal 3 2 2 4 3 3 4" xfId="19523"/>
    <cellStyle name="Normal 3 2 2 4 3 3 5" xfId="23555"/>
    <cellStyle name="Normal 3 2 2 4 3 3 6" xfId="27587"/>
    <cellStyle name="Normal 3 2 2 4 3 3 7" xfId="31619"/>
    <cellStyle name="Normal 3 2 2 4 3 3 8" xfId="35651"/>
    <cellStyle name="Normal 3 2 2 4 3 3 9" xfId="39683"/>
    <cellStyle name="Normal 3 2 2 4 3 4" xfId="9443"/>
    <cellStyle name="Normal 3 2 2 4 3 5" xfId="13475"/>
    <cellStyle name="Normal 3 2 2 4 3 6" xfId="17507"/>
    <cellStyle name="Normal 3 2 2 4 3 7" xfId="21539"/>
    <cellStyle name="Normal 3 2 2 4 3 8" xfId="25571"/>
    <cellStyle name="Normal 3 2 2 4 3 9" xfId="29603"/>
    <cellStyle name="Normal 3 2 2 4 4" xfId="1748"/>
    <cellStyle name="Normal 3 2 2 4 4 10" xfId="33704"/>
    <cellStyle name="Normal 3 2 2 4 4 11" xfId="37736"/>
    <cellStyle name="Normal 3 2 2 4 4 12" xfId="41768"/>
    <cellStyle name="Normal 3 2 2 4 4 13" xfId="45800"/>
    <cellStyle name="Normal 3 2 2 4 4 14" xfId="49878"/>
    <cellStyle name="Normal 3 2 2 4 4 2" xfId="5419"/>
    <cellStyle name="Normal 3 2 2 4 4 2 10" xfId="38687"/>
    <cellStyle name="Normal 3 2 2 4 4 2 11" xfId="42719"/>
    <cellStyle name="Normal 3 2 2 4 4 2 12" xfId="46751"/>
    <cellStyle name="Normal 3 2 2 4 4 2 13" xfId="50830"/>
    <cellStyle name="Normal 3 2 2 4 4 2 2" xfId="8445"/>
    <cellStyle name="Normal 3 2 2 4 4 2 2 10" xfId="44735"/>
    <cellStyle name="Normal 3 2 2 4 4 2 2 11" xfId="48767"/>
    <cellStyle name="Normal 3 2 2 4 4 2 2 12" xfId="52846"/>
    <cellStyle name="Normal 3 2 2 4 4 2 2 2" xfId="12479"/>
    <cellStyle name="Normal 3 2 2 4 4 2 2 3" xfId="16511"/>
    <cellStyle name="Normal 3 2 2 4 4 2 2 4" xfId="20543"/>
    <cellStyle name="Normal 3 2 2 4 4 2 2 5" xfId="24575"/>
    <cellStyle name="Normal 3 2 2 4 4 2 2 6" xfId="28607"/>
    <cellStyle name="Normal 3 2 2 4 4 2 2 7" xfId="32639"/>
    <cellStyle name="Normal 3 2 2 4 4 2 2 8" xfId="36671"/>
    <cellStyle name="Normal 3 2 2 4 4 2 2 9" xfId="40703"/>
    <cellStyle name="Normal 3 2 2 4 4 2 3" xfId="10463"/>
    <cellStyle name="Normal 3 2 2 4 4 2 4" xfId="14495"/>
    <cellStyle name="Normal 3 2 2 4 4 2 5" xfId="18527"/>
    <cellStyle name="Normal 3 2 2 4 4 2 6" xfId="22559"/>
    <cellStyle name="Normal 3 2 2 4 4 2 7" xfId="26591"/>
    <cellStyle name="Normal 3 2 2 4 4 2 8" xfId="30623"/>
    <cellStyle name="Normal 3 2 2 4 4 2 9" xfId="34655"/>
    <cellStyle name="Normal 3 2 2 4 4 3" xfId="7494"/>
    <cellStyle name="Normal 3 2 2 4 4 3 10" xfId="43784"/>
    <cellStyle name="Normal 3 2 2 4 4 3 11" xfId="47816"/>
    <cellStyle name="Normal 3 2 2 4 4 3 12" xfId="51895"/>
    <cellStyle name="Normal 3 2 2 4 4 3 2" xfId="11528"/>
    <cellStyle name="Normal 3 2 2 4 4 3 3" xfId="15560"/>
    <cellStyle name="Normal 3 2 2 4 4 3 4" xfId="19592"/>
    <cellStyle name="Normal 3 2 2 4 4 3 5" xfId="23624"/>
    <cellStyle name="Normal 3 2 2 4 4 3 6" xfId="27656"/>
    <cellStyle name="Normal 3 2 2 4 4 3 7" xfId="31688"/>
    <cellStyle name="Normal 3 2 2 4 4 3 8" xfId="35720"/>
    <cellStyle name="Normal 3 2 2 4 4 3 9" xfId="39752"/>
    <cellStyle name="Normal 3 2 2 4 4 4" xfId="9512"/>
    <cellStyle name="Normal 3 2 2 4 4 5" xfId="13544"/>
    <cellStyle name="Normal 3 2 2 4 4 6" xfId="17576"/>
    <cellStyle name="Normal 3 2 2 4 4 7" xfId="21608"/>
    <cellStyle name="Normal 3 2 2 4 4 8" xfId="25640"/>
    <cellStyle name="Normal 3 2 2 4 4 9" xfId="29672"/>
    <cellStyle name="Normal 3 2 2 4 5" xfId="4070"/>
    <cellStyle name="Normal 3 2 2 4 5 10" xfId="33927"/>
    <cellStyle name="Normal 3 2 2 4 5 11" xfId="37959"/>
    <cellStyle name="Normal 3 2 2 4 5 12" xfId="41991"/>
    <cellStyle name="Normal 3 2 2 4 5 13" xfId="46023"/>
    <cellStyle name="Normal 3 2 2 4 5 14" xfId="50101"/>
    <cellStyle name="Normal 3 2 2 4 5 2" xfId="6652"/>
    <cellStyle name="Normal 3 2 2 4 5 2 10" xfId="38910"/>
    <cellStyle name="Normal 3 2 2 4 5 2 11" xfId="42942"/>
    <cellStyle name="Normal 3 2 2 4 5 2 12" xfId="46974"/>
    <cellStyle name="Normal 3 2 2 4 5 2 13" xfId="51053"/>
    <cellStyle name="Normal 3 2 2 4 5 2 2" xfId="8668"/>
    <cellStyle name="Normal 3 2 2 4 5 2 2 10" xfId="44958"/>
    <cellStyle name="Normal 3 2 2 4 5 2 2 11" xfId="48990"/>
    <cellStyle name="Normal 3 2 2 4 5 2 2 12" xfId="53069"/>
    <cellStyle name="Normal 3 2 2 4 5 2 2 2" xfId="12702"/>
    <cellStyle name="Normal 3 2 2 4 5 2 2 3" xfId="16734"/>
    <cellStyle name="Normal 3 2 2 4 5 2 2 4" xfId="20766"/>
    <cellStyle name="Normal 3 2 2 4 5 2 2 5" xfId="24798"/>
    <cellStyle name="Normal 3 2 2 4 5 2 2 6" xfId="28830"/>
    <cellStyle name="Normal 3 2 2 4 5 2 2 7" xfId="32862"/>
    <cellStyle name="Normal 3 2 2 4 5 2 2 8" xfId="36894"/>
    <cellStyle name="Normal 3 2 2 4 5 2 2 9" xfId="40926"/>
    <cellStyle name="Normal 3 2 2 4 5 2 3" xfId="10686"/>
    <cellStyle name="Normal 3 2 2 4 5 2 4" xfId="14718"/>
    <cellStyle name="Normal 3 2 2 4 5 2 5" xfId="18750"/>
    <cellStyle name="Normal 3 2 2 4 5 2 6" xfId="22782"/>
    <cellStyle name="Normal 3 2 2 4 5 2 7" xfId="26814"/>
    <cellStyle name="Normal 3 2 2 4 5 2 8" xfId="30846"/>
    <cellStyle name="Normal 3 2 2 4 5 2 9" xfId="34878"/>
    <cellStyle name="Normal 3 2 2 4 5 3" xfId="7717"/>
    <cellStyle name="Normal 3 2 2 4 5 3 10" xfId="44007"/>
    <cellStyle name="Normal 3 2 2 4 5 3 11" xfId="48039"/>
    <cellStyle name="Normal 3 2 2 4 5 3 12" xfId="52118"/>
    <cellStyle name="Normal 3 2 2 4 5 3 2" xfId="11751"/>
    <cellStyle name="Normal 3 2 2 4 5 3 3" xfId="15783"/>
    <cellStyle name="Normal 3 2 2 4 5 3 4" xfId="19815"/>
    <cellStyle name="Normal 3 2 2 4 5 3 5" xfId="23847"/>
    <cellStyle name="Normal 3 2 2 4 5 3 6" xfId="27879"/>
    <cellStyle name="Normal 3 2 2 4 5 3 7" xfId="31911"/>
    <cellStyle name="Normal 3 2 2 4 5 3 8" xfId="35943"/>
    <cellStyle name="Normal 3 2 2 4 5 3 9" xfId="39975"/>
    <cellStyle name="Normal 3 2 2 4 5 4" xfId="9735"/>
    <cellStyle name="Normal 3 2 2 4 5 5" xfId="13767"/>
    <cellStyle name="Normal 3 2 2 4 5 6" xfId="17799"/>
    <cellStyle name="Normal 3 2 2 4 5 7" xfId="21831"/>
    <cellStyle name="Normal 3 2 2 4 5 8" xfId="25863"/>
    <cellStyle name="Normal 3 2 2 4 5 9" xfId="29895"/>
    <cellStyle name="Normal 3 2 2 4 6" xfId="4140"/>
    <cellStyle name="Normal 3 2 2 4 6 10" xfId="33996"/>
    <cellStyle name="Normal 3 2 2 4 6 11" xfId="38028"/>
    <cellStyle name="Normal 3 2 2 4 6 12" xfId="42060"/>
    <cellStyle name="Normal 3 2 2 4 6 13" xfId="46092"/>
    <cellStyle name="Normal 3 2 2 4 6 14" xfId="50170"/>
    <cellStyle name="Normal 3 2 2 4 6 2" xfId="6721"/>
    <cellStyle name="Normal 3 2 2 4 6 2 10" xfId="38979"/>
    <cellStyle name="Normal 3 2 2 4 6 2 11" xfId="43011"/>
    <cellStyle name="Normal 3 2 2 4 6 2 12" xfId="47043"/>
    <cellStyle name="Normal 3 2 2 4 6 2 13" xfId="51122"/>
    <cellStyle name="Normal 3 2 2 4 6 2 2" xfId="8737"/>
    <cellStyle name="Normal 3 2 2 4 6 2 2 10" xfId="45027"/>
    <cellStyle name="Normal 3 2 2 4 6 2 2 11" xfId="49059"/>
    <cellStyle name="Normal 3 2 2 4 6 2 2 12" xfId="53138"/>
    <cellStyle name="Normal 3 2 2 4 6 2 2 2" xfId="12771"/>
    <cellStyle name="Normal 3 2 2 4 6 2 2 3" xfId="16803"/>
    <cellStyle name="Normal 3 2 2 4 6 2 2 4" xfId="20835"/>
    <cellStyle name="Normal 3 2 2 4 6 2 2 5" xfId="24867"/>
    <cellStyle name="Normal 3 2 2 4 6 2 2 6" xfId="28899"/>
    <cellStyle name="Normal 3 2 2 4 6 2 2 7" xfId="32931"/>
    <cellStyle name="Normal 3 2 2 4 6 2 2 8" xfId="36963"/>
    <cellStyle name="Normal 3 2 2 4 6 2 2 9" xfId="40995"/>
    <cellStyle name="Normal 3 2 2 4 6 2 3" xfId="10755"/>
    <cellStyle name="Normal 3 2 2 4 6 2 4" xfId="14787"/>
    <cellStyle name="Normal 3 2 2 4 6 2 5" xfId="18819"/>
    <cellStyle name="Normal 3 2 2 4 6 2 6" xfId="22851"/>
    <cellStyle name="Normal 3 2 2 4 6 2 7" xfId="26883"/>
    <cellStyle name="Normal 3 2 2 4 6 2 8" xfId="30915"/>
    <cellStyle name="Normal 3 2 2 4 6 2 9" xfId="34947"/>
    <cellStyle name="Normal 3 2 2 4 6 3" xfId="7786"/>
    <cellStyle name="Normal 3 2 2 4 6 3 10" xfId="44076"/>
    <cellStyle name="Normal 3 2 2 4 6 3 11" xfId="48108"/>
    <cellStyle name="Normal 3 2 2 4 6 3 12" xfId="52187"/>
    <cellStyle name="Normal 3 2 2 4 6 3 2" xfId="11820"/>
    <cellStyle name="Normal 3 2 2 4 6 3 3" xfId="15852"/>
    <cellStyle name="Normal 3 2 2 4 6 3 4" xfId="19884"/>
    <cellStyle name="Normal 3 2 2 4 6 3 5" xfId="23916"/>
    <cellStyle name="Normal 3 2 2 4 6 3 6" xfId="27948"/>
    <cellStyle name="Normal 3 2 2 4 6 3 7" xfId="31980"/>
    <cellStyle name="Normal 3 2 2 4 6 3 8" xfId="36012"/>
    <cellStyle name="Normal 3 2 2 4 6 3 9" xfId="40044"/>
    <cellStyle name="Normal 3 2 2 4 6 4" xfId="9804"/>
    <cellStyle name="Normal 3 2 2 4 6 5" xfId="13836"/>
    <cellStyle name="Normal 3 2 2 4 6 6" xfId="17868"/>
    <cellStyle name="Normal 3 2 2 4 6 7" xfId="21900"/>
    <cellStyle name="Normal 3 2 2 4 6 8" xfId="25932"/>
    <cellStyle name="Normal 3 2 2 4 6 9" xfId="29964"/>
    <cellStyle name="Normal 3 2 2 4 7" xfId="4209"/>
    <cellStyle name="Normal 3 2 2 4 7 10" xfId="34065"/>
    <cellStyle name="Normal 3 2 2 4 7 11" xfId="38097"/>
    <cellStyle name="Normal 3 2 2 4 7 12" xfId="42129"/>
    <cellStyle name="Normal 3 2 2 4 7 13" xfId="46161"/>
    <cellStyle name="Normal 3 2 2 4 7 14" xfId="50239"/>
    <cellStyle name="Normal 3 2 2 4 7 2" xfId="6790"/>
    <cellStyle name="Normal 3 2 2 4 7 2 10" xfId="39048"/>
    <cellStyle name="Normal 3 2 2 4 7 2 11" xfId="43080"/>
    <cellStyle name="Normal 3 2 2 4 7 2 12" xfId="47112"/>
    <cellStyle name="Normal 3 2 2 4 7 2 13" xfId="51191"/>
    <cellStyle name="Normal 3 2 2 4 7 2 2" xfId="8806"/>
    <cellStyle name="Normal 3 2 2 4 7 2 2 10" xfId="45096"/>
    <cellStyle name="Normal 3 2 2 4 7 2 2 11" xfId="49128"/>
    <cellStyle name="Normal 3 2 2 4 7 2 2 12" xfId="53207"/>
    <cellStyle name="Normal 3 2 2 4 7 2 2 2" xfId="12840"/>
    <cellStyle name="Normal 3 2 2 4 7 2 2 3" xfId="16872"/>
    <cellStyle name="Normal 3 2 2 4 7 2 2 4" xfId="20904"/>
    <cellStyle name="Normal 3 2 2 4 7 2 2 5" xfId="24936"/>
    <cellStyle name="Normal 3 2 2 4 7 2 2 6" xfId="28968"/>
    <cellStyle name="Normal 3 2 2 4 7 2 2 7" xfId="33000"/>
    <cellStyle name="Normal 3 2 2 4 7 2 2 8" xfId="37032"/>
    <cellStyle name="Normal 3 2 2 4 7 2 2 9" xfId="41064"/>
    <cellStyle name="Normal 3 2 2 4 7 2 3" xfId="10824"/>
    <cellStyle name="Normal 3 2 2 4 7 2 4" xfId="14856"/>
    <cellStyle name="Normal 3 2 2 4 7 2 5" xfId="18888"/>
    <cellStyle name="Normal 3 2 2 4 7 2 6" xfId="22920"/>
    <cellStyle name="Normal 3 2 2 4 7 2 7" xfId="26952"/>
    <cellStyle name="Normal 3 2 2 4 7 2 8" xfId="30984"/>
    <cellStyle name="Normal 3 2 2 4 7 2 9" xfId="35016"/>
    <cellStyle name="Normal 3 2 2 4 7 3" xfId="7855"/>
    <cellStyle name="Normal 3 2 2 4 7 3 10" xfId="44145"/>
    <cellStyle name="Normal 3 2 2 4 7 3 11" xfId="48177"/>
    <cellStyle name="Normal 3 2 2 4 7 3 12" xfId="52256"/>
    <cellStyle name="Normal 3 2 2 4 7 3 2" xfId="11889"/>
    <cellStyle name="Normal 3 2 2 4 7 3 3" xfId="15921"/>
    <cellStyle name="Normal 3 2 2 4 7 3 4" xfId="19953"/>
    <cellStyle name="Normal 3 2 2 4 7 3 5" xfId="23985"/>
    <cellStyle name="Normal 3 2 2 4 7 3 6" xfId="28017"/>
    <cellStyle name="Normal 3 2 2 4 7 3 7" xfId="32049"/>
    <cellStyle name="Normal 3 2 2 4 7 3 8" xfId="36081"/>
    <cellStyle name="Normal 3 2 2 4 7 3 9" xfId="40113"/>
    <cellStyle name="Normal 3 2 2 4 7 4" xfId="9873"/>
    <cellStyle name="Normal 3 2 2 4 7 5" xfId="13905"/>
    <cellStyle name="Normal 3 2 2 4 7 6" xfId="17937"/>
    <cellStyle name="Normal 3 2 2 4 7 7" xfId="21969"/>
    <cellStyle name="Normal 3 2 2 4 7 8" xfId="26001"/>
    <cellStyle name="Normal 3 2 2 4 7 9" xfId="30033"/>
    <cellStyle name="Normal 3 2 2 4 8" xfId="4282"/>
    <cellStyle name="Normal 3 2 2 4 8 10" xfId="34134"/>
    <cellStyle name="Normal 3 2 2 4 8 11" xfId="38166"/>
    <cellStyle name="Normal 3 2 2 4 8 12" xfId="42198"/>
    <cellStyle name="Normal 3 2 2 4 8 13" xfId="46230"/>
    <cellStyle name="Normal 3 2 2 4 8 14" xfId="50308"/>
    <cellStyle name="Normal 3 2 2 4 8 2" xfId="6859"/>
    <cellStyle name="Normal 3 2 2 4 8 2 10" xfId="39117"/>
    <cellStyle name="Normal 3 2 2 4 8 2 11" xfId="43149"/>
    <cellStyle name="Normal 3 2 2 4 8 2 12" xfId="47181"/>
    <cellStyle name="Normal 3 2 2 4 8 2 13" xfId="51260"/>
    <cellStyle name="Normal 3 2 2 4 8 2 2" xfId="8875"/>
    <cellStyle name="Normal 3 2 2 4 8 2 2 10" xfId="45165"/>
    <cellStyle name="Normal 3 2 2 4 8 2 2 11" xfId="49197"/>
    <cellStyle name="Normal 3 2 2 4 8 2 2 12" xfId="53276"/>
    <cellStyle name="Normal 3 2 2 4 8 2 2 2" xfId="12909"/>
    <cellStyle name="Normal 3 2 2 4 8 2 2 3" xfId="16941"/>
    <cellStyle name="Normal 3 2 2 4 8 2 2 4" xfId="20973"/>
    <cellStyle name="Normal 3 2 2 4 8 2 2 5" xfId="25005"/>
    <cellStyle name="Normal 3 2 2 4 8 2 2 6" xfId="29037"/>
    <cellStyle name="Normal 3 2 2 4 8 2 2 7" xfId="33069"/>
    <cellStyle name="Normal 3 2 2 4 8 2 2 8" xfId="37101"/>
    <cellStyle name="Normal 3 2 2 4 8 2 2 9" xfId="41133"/>
    <cellStyle name="Normal 3 2 2 4 8 2 3" xfId="10893"/>
    <cellStyle name="Normal 3 2 2 4 8 2 4" xfId="14925"/>
    <cellStyle name="Normal 3 2 2 4 8 2 5" xfId="18957"/>
    <cellStyle name="Normal 3 2 2 4 8 2 6" xfId="22989"/>
    <cellStyle name="Normal 3 2 2 4 8 2 7" xfId="27021"/>
    <cellStyle name="Normal 3 2 2 4 8 2 8" xfId="31053"/>
    <cellStyle name="Normal 3 2 2 4 8 2 9" xfId="35085"/>
    <cellStyle name="Normal 3 2 2 4 8 3" xfId="7924"/>
    <cellStyle name="Normal 3 2 2 4 8 3 10" xfId="44214"/>
    <cellStyle name="Normal 3 2 2 4 8 3 11" xfId="48246"/>
    <cellStyle name="Normal 3 2 2 4 8 3 12" xfId="52325"/>
    <cellStyle name="Normal 3 2 2 4 8 3 2" xfId="11958"/>
    <cellStyle name="Normal 3 2 2 4 8 3 3" xfId="15990"/>
    <cellStyle name="Normal 3 2 2 4 8 3 4" xfId="20022"/>
    <cellStyle name="Normal 3 2 2 4 8 3 5" xfId="24054"/>
    <cellStyle name="Normal 3 2 2 4 8 3 6" xfId="28086"/>
    <cellStyle name="Normal 3 2 2 4 8 3 7" xfId="32118"/>
    <cellStyle name="Normal 3 2 2 4 8 3 8" xfId="36150"/>
    <cellStyle name="Normal 3 2 2 4 8 3 9" xfId="40182"/>
    <cellStyle name="Normal 3 2 2 4 8 4" xfId="9942"/>
    <cellStyle name="Normal 3 2 2 4 8 5" xfId="13974"/>
    <cellStyle name="Normal 3 2 2 4 8 6" xfId="18006"/>
    <cellStyle name="Normal 3 2 2 4 8 7" xfId="22038"/>
    <cellStyle name="Normal 3 2 2 4 8 8" xfId="26070"/>
    <cellStyle name="Normal 3 2 2 4 8 9" xfId="30102"/>
    <cellStyle name="Normal 3 2 2 4 9" xfId="4428"/>
    <cellStyle name="Normal 3 2 2 4 9 10" xfId="34272"/>
    <cellStyle name="Normal 3 2 2 4 9 11" xfId="38304"/>
    <cellStyle name="Normal 3 2 2 4 9 12" xfId="42336"/>
    <cellStyle name="Normal 3 2 2 4 9 13" xfId="46368"/>
    <cellStyle name="Normal 3 2 2 4 9 14" xfId="50447"/>
    <cellStyle name="Normal 3 2 2 4 9 2" xfId="6997"/>
    <cellStyle name="Normal 3 2 2 4 9 2 10" xfId="39255"/>
    <cellStyle name="Normal 3 2 2 4 9 2 11" xfId="43287"/>
    <cellStyle name="Normal 3 2 2 4 9 2 12" xfId="47319"/>
    <cellStyle name="Normal 3 2 2 4 9 2 13" xfId="51398"/>
    <cellStyle name="Normal 3 2 2 4 9 2 2" xfId="9013"/>
    <cellStyle name="Normal 3 2 2 4 9 2 2 10" xfId="45303"/>
    <cellStyle name="Normal 3 2 2 4 9 2 2 11" xfId="49335"/>
    <cellStyle name="Normal 3 2 2 4 9 2 2 12" xfId="53414"/>
    <cellStyle name="Normal 3 2 2 4 9 2 2 2" xfId="13047"/>
    <cellStyle name="Normal 3 2 2 4 9 2 2 3" xfId="17079"/>
    <cellStyle name="Normal 3 2 2 4 9 2 2 4" xfId="21111"/>
    <cellStyle name="Normal 3 2 2 4 9 2 2 5" xfId="25143"/>
    <cellStyle name="Normal 3 2 2 4 9 2 2 6" xfId="29175"/>
    <cellStyle name="Normal 3 2 2 4 9 2 2 7" xfId="33207"/>
    <cellStyle name="Normal 3 2 2 4 9 2 2 8" xfId="37239"/>
    <cellStyle name="Normal 3 2 2 4 9 2 2 9" xfId="41271"/>
    <cellStyle name="Normal 3 2 2 4 9 2 3" xfId="11031"/>
    <cellStyle name="Normal 3 2 2 4 9 2 4" xfId="15063"/>
    <cellStyle name="Normal 3 2 2 4 9 2 5" xfId="19095"/>
    <cellStyle name="Normal 3 2 2 4 9 2 6" xfId="23127"/>
    <cellStyle name="Normal 3 2 2 4 9 2 7" xfId="27159"/>
    <cellStyle name="Normal 3 2 2 4 9 2 8" xfId="31191"/>
    <cellStyle name="Normal 3 2 2 4 9 2 9" xfId="35223"/>
    <cellStyle name="Normal 3 2 2 4 9 3" xfId="8062"/>
    <cellStyle name="Normal 3 2 2 4 9 3 10" xfId="44352"/>
    <cellStyle name="Normal 3 2 2 4 9 3 11" xfId="48384"/>
    <cellStyle name="Normal 3 2 2 4 9 3 12" xfId="52463"/>
    <cellStyle name="Normal 3 2 2 4 9 3 2" xfId="12096"/>
    <cellStyle name="Normal 3 2 2 4 9 3 3" xfId="16128"/>
    <cellStyle name="Normal 3 2 2 4 9 3 4" xfId="20160"/>
    <cellStyle name="Normal 3 2 2 4 9 3 5" xfId="24192"/>
    <cellStyle name="Normal 3 2 2 4 9 3 6" xfId="28224"/>
    <cellStyle name="Normal 3 2 2 4 9 3 7" xfId="32256"/>
    <cellStyle name="Normal 3 2 2 4 9 3 8" xfId="36288"/>
    <cellStyle name="Normal 3 2 2 4 9 3 9" xfId="40320"/>
    <cellStyle name="Normal 3 2 2 4 9 4" xfId="10080"/>
    <cellStyle name="Normal 3 2 2 4 9 5" xfId="14112"/>
    <cellStyle name="Normal 3 2 2 4 9 6" xfId="18144"/>
    <cellStyle name="Normal 3 2 2 4 9 7" xfId="22176"/>
    <cellStyle name="Normal 3 2 2 4 9 8" xfId="26208"/>
    <cellStyle name="Normal 3 2 2 4 9 9" xfId="30240"/>
    <cellStyle name="Normal 3 2 2 5" xfId="70"/>
    <cellStyle name="Normal 3 2 2 5 10" xfId="4550"/>
    <cellStyle name="Normal 3 2 2 5 10 10" xfId="38426"/>
    <cellStyle name="Normal 3 2 2 5 10 11" xfId="42458"/>
    <cellStyle name="Normal 3 2 2 5 10 12" xfId="46490"/>
    <cellStyle name="Normal 3 2 2 5 10 13" xfId="50569"/>
    <cellStyle name="Normal 3 2 2 5 10 2" xfId="8184"/>
    <cellStyle name="Normal 3 2 2 5 10 2 10" xfId="44474"/>
    <cellStyle name="Normal 3 2 2 5 10 2 11" xfId="48506"/>
    <cellStyle name="Normal 3 2 2 5 10 2 12" xfId="52585"/>
    <cellStyle name="Normal 3 2 2 5 10 2 2" xfId="12218"/>
    <cellStyle name="Normal 3 2 2 5 10 2 3" xfId="16250"/>
    <cellStyle name="Normal 3 2 2 5 10 2 4" xfId="20282"/>
    <cellStyle name="Normal 3 2 2 5 10 2 5" xfId="24314"/>
    <cellStyle name="Normal 3 2 2 5 10 2 6" xfId="28346"/>
    <cellStyle name="Normal 3 2 2 5 10 2 7" xfId="32378"/>
    <cellStyle name="Normal 3 2 2 5 10 2 8" xfId="36410"/>
    <cellStyle name="Normal 3 2 2 5 10 2 9" xfId="40442"/>
    <cellStyle name="Normal 3 2 2 5 10 3" xfId="10202"/>
    <cellStyle name="Normal 3 2 2 5 10 4" xfId="14234"/>
    <cellStyle name="Normal 3 2 2 5 10 5" xfId="18266"/>
    <cellStyle name="Normal 3 2 2 5 10 6" xfId="22298"/>
    <cellStyle name="Normal 3 2 2 5 10 7" xfId="26330"/>
    <cellStyle name="Normal 3 2 2 5 10 8" xfId="30362"/>
    <cellStyle name="Normal 3 2 2 5 10 9" xfId="34394"/>
    <cellStyle name="Normal 3 2 2 5 11" xfId="278"/>
    <cellStyle name="Normal 3 2 2 5 11 10" xfId="37483"/>
    <cellStyle name="Normal 3 2 2 5 11 11" xfId="41515"/>
    <cellStyle name="Normal 3 2 2 5 11 12" xfId="45547"/>
    <cellStyle name="Normal 3 2 2 5 11 13" xfId="49625"/>
    <cellStyle name="Normal 3 2 2 5 11 2" xfId="7241"/>
    <cellStyle name="Normal 3 2 2 5 11 2 10" xfId="43531"/>
    <cellStyle name="Normal 3 2 2 5 11 2 11" xfId="47563"/>
    <cellStyle name="Normal 3 2 2 5 11 2 12" xfId="51642"/>
    <cellStyle name="Normal 3 2 2 5 11 2 2" xfId="11275"/>
    <cellStyle name="Normal 3 2 2 5 11 2 3" xfId="15307"/>
    <cellStyle name="Normal 3 2 2 5 11 2 4" xfId="19339"/>
    <cellStyle name="Normal 3 2 2 5 11 2 5" xfId="23371"/>
    <cellStyle name="Normal 3 2 2 5 11 2 6" xfId="27403"/>
    <cellStyle name="Normal 3 2 2 5 11 2 7" xfId="31435"/>
    <cellStyle name="Normal 3 2 2 5 11 2 8" xfId="35467"/>
    <cellStyle name="Normal 3 2 2 5 11 2 9" xfId="39499"/>
    <cellStyle name="Normal 3 2 2 5 11 3" xfId="9259"/>
    <cellStyle name="Normal 3 2 2 5 11 4" xfId="13291"/>
    <cellStyle name="Normal 3 2 2 5 11 5" xfId="17323"/>
    <cellStyle name="Normal 3 2 2 5 11 6" xfId="21355"/>
    <cellStyle name="Normal 3 2 2 5 11 7" xfId="25387"/>
    <cellStyle name="Normal 3 2 2 5 11 8" xfId="29419"/>
    <cellStyle name="Normal 3 2 2 5 11 9" xfId="33451"/>
    <cellStyle name="Normal 3 2 2 5 12" xfId="7119"/>
    <cellStyle name="Normal 3 2 2 5 12 10" xfId="43409"/>
    <cellStyle name="Normal 3 2 2 5 12 11" xfId="47441"/>
    <cellStyle name="Normal 3 2 2 5 12 12" xfId="51520"/>
    <cellStyle name="Normal 3 2 2 5 12 2" xfId="11153"/>
    <cellStyle name="Normal 3 2 2 5 12 3" xfId="15185"/>
    <cellStyle name="Normal 3 2 2 5 12 4" xfId="19217"/>
    <cellStyle name="Normal 3 2 2 5 12 5" xfId="23249"/>
    <cellStyle name="Normal 3 2 2 5 12 6" xfId="27281"/>
    <cellStyle name="Normal 3 2 2 5 12 7" xfId="31313"/>
    <cellStyle name="Normal 3 2 2 5 12 8" xfId="35345"/>
    <cellStyle name="Normal 3 2 2 5 12 9" xfId="39377"/>
    <cellStyle name="Normal 3 2 2 5 13" xfId="145"/>
    <cellStyle name="Normal 3 2 2 5 14" xfId="9137"/>
    <cellStyle name="Normal 3 2 2 5 15" xfId="13169"/>
    <cellStyle name="Normal 3 2 2 5 16" xfId="17201"/>
    <cellStyle name="Normal 3 2 2 5 17" xfId="21233"/>
    <cellStyle name="Normal 3 2 2 5 18" xfId="25265"/>
    <cellStyle name="Normal 3 2 2 5 19" xfId="29297"/>
    <cellStyle name="Normal 3 2 2 5 2" xfId="224"/>
    <cellStyle name="Normal 3 2 2 5 2 10" xfId="21302"/>
    <cellStyle name="Normal 3 2 2 5 2 11" xfId="25334"/>
    <cellStyle name="Normal 3 2 2 5 2 12" xfId="29366"/>
    <cellStyle name="Normal 3 2 2 5 2 13" xfId="33398"/>
    <cellStyle name="Normal 3 2 2 5 2 14" xfId="37430"/>
    <cellStyle name="Normal 3 2 2 5 2 15" xfId="41462"/>
    <cellStyle name="Normal 3 2 2 5 2 16" xfId="45494"/>
    <cellStyle name="Normal 3 2 2 5 2 17" xfId="49572"/>
    <cellStyle name="Normal 3 2 2 5 2 2" xfId="4342"/>
    <cellStyle name="Normal 3 2 2 5 2 2 10" xfId="34187"/>
    <cellStyle name="Normal 3 2 2 5 2 2 11" xfId="38219"/>
    <cellStyle name="Normal 3 2 2 5 2 2 12" xfId="42251"/>
    <cellStyle name="Normal 3 2 2 5 2 2 13" xfId="46283"/>
    <cellStyle name="Normal 3 2 2 5 2 2 14" xfId="50362"/>
    <cellStyle name="Normal 3 2 2 5 2 2 2" xfId="6912"/>
    <cellStyle name="Normal 3 2 2 5 2 2 2 10" xfId="39170"/>
    <cellStyle name="Normal 3 2 2 5 2 2 2 11" xfId="43202"/>
    <cellStyle name="Normal 3 2 2 5 2 2 2 12" xfId="47234"/>
    <cellStyle name="Normal 3 2 2 5 2 2 2 13" xfId="51313"/>
    <cellStyle name="Normal 3 2 2 5 2 2 2 2" xfId="8928"/>
    <cellStyle name="Normal 3 2 2 5 2 2 2 2 10" xfId="45218"/>
    <cellStyle name="Normal 3 2 2 5 2 2 2 2 11" xfId="49250"/>
    <cellStyle name="Normal 3 2 2 5 2 2 2 2 12" xfId="53329"/>
    <cellStyle name="Normal 3 2 2 5 2 2 2 2 2" xfId="12962"/>
    <cellStyle name="Normal 3 2 2 5 2 2 2 2 3" xfId="16994"/>
    <cellStyle name="Normal 3 2 2 5 2 2 2 2 4" xfId="21026"/>
    <cellStyle name="Normal 3 2 2 5 2 2 2 2 5" xfId="25058"/>
    <cellStyle name="Normal 3 2 2 5 2 2 2 2 6" xfId="29090"/>
    <cellStyle name="Normal 3 2 2 5 2 2 2 2 7" xfId="33122"/>
    <cellStyle name="Normal 3 2 2 5 2 2 2 2 8" xfId="37154"/>
    <cellStyle name="Normal 3 2 2 5 2 2 2 2 9" xfId="41186"/>
    <cellStyle name="Normal 3 2 2 5 2 2 2 3" xfId="10946"/>
    <cellStyle name="Normal 3 2 2 5 2 2 2 4" xfId="14978"/>
    <cellStyle name="Normal 3 2 2 5 2 2 2 5" xfId="19010"/>
    <cellStyle name="Normal 3 2 2 5 2 2 2 6" xfId="23042"/>
    <cellStyle name="Normal 3 2 2 5 2 2 2 7" xfId="27074"/>
    <cellStyle name="Normal 3 2 2 5 2 2 2 8" xfId="31106"/>
    <cellStyle name="Normal 3 2 2 5 2 2 2 9" xfId="35138"/>
    <cellStyle name="Normal 3 2 2 5 2 2 3" xfId="7977"/>
    <cellStyle name="Normal 3 2 2 5 2 2 3 10" xfId="44267"/>
    <cellStyle name="Normal 3 2 2 5 2 2 3 11" xfId="48299"/>
    <cellStyle name="Normal 3 2 2 5 2 2 3 12" xfId="52378"/>
    <cellStyle name="Normal 3 2 2 5 2 2 3 2" xfId="12011"/>
    <cellStyle name="Normal 3 2 2 5 2 2 3 3" xfId="16043"/>
    <cellStyle name="Normal 3 2 2 5 2 2 3 4" xfId="20075"/>
    <cellStyle name="Normal 3 2 2 5 2 2 3 5" xfId="24107"/>
    <cellStyle name="Normal 3 2 2 5 2 2 3 6" xfId="28139"/>
    <cellStyle name="Normal 3 2 2 5 2 2 3 7" xfId="32171"/>
    <cellStyle name="Normal 3 2 2 5 2 2 3 8" xfId="36203"/>
    <cellStyle name="Normal 3 2 2 5 2 2 3 9" xfId="40235"/>
    <cellStyle name="Normal 3 2 2 5 2 2 4" xfId="9995"/>
    <cellStyle name="Normal 3 2 2 5 2 2 5" xfId="14027"/>
    <cellStyle name="Normal 3 2 2 5 2 2 6" xfId="18059"/>
    <cellStyle name="Normal 3 2 2 5 2 2 7" xfId="22091"/>
    <cellStyle name="Normal 3 2 2 5 2 2 8" xfId="26123"/>
    <cellStyle name="Normal 3 2 2 5 2 2 9" xfId="30155"/>
    <cellStyle name="Normal 3 2 2 5 2 3" xfId="4481"/>
    <cellStyle name="Normal 3 2 2 5 2 3 10" xfId="34325"/>
    <cellStyle name="Normal 3 2 2 5 2 3 11" xfId="38357"/>
    <cellStyle name="Normal 3 2 2 5 2 3 12" xfId="42389"/>
    <cellStyle name="Normal 3 2 2 5 2 3 13" xfId="46421"/>
    <cellStyle name="Normal 3 2 2 5 2 3 14" xfId="50500"/>
    <cellStyle name="Normal 3 2 2 5 2 3 2" xfId="7050"/>
    <cellStyle name="Normal 3 2 2 5 2 3 2 10" xfId="39308"/>
    <cellStyle name="Normal 3 2 2 5 2 3 2 11" xfId="43340"/>
    <cellStyle name="Normal 3 2 2 5 2 3 2 12" xfId="47372"/>
    <cellStyle name="Normal 3 2 2 5 2 3 2 13" xfId="51451"/>
    <cellStyle name="Normal 3 2 2 5 2 3 2 2" xfId="9066"/>
    <cellStyle name="Normal 3 2 2 5 2 3 2 2 10" xfId="45356"/>
    <cellStyle name="Normal 3 2 2 5 2 3 2 2 11" xfId="49388"/>
    <cellStyle name="Normal 3 2 2 5 2 3 2 2 12" xfId="53467"/>
    <cellStyle name="Normal 3 2 2 5 2 3 2 2 2" xfId="13100"/>
    <cellStyle name="Normal 3 2 2 5 2 3 2 2 3" xfId="17132"/>
    <cellStyle name="Normal 3 2 2 5 2 3 2 2 4" xfId="21164"/>
    <cellStyle name="Normal 3 2 2 5 2 3 2 2 5" xfId="25196"/>
    <cellStyle name="Normal 3 2 2 5 2 3 2 2 6" xfId="29228"/>
    <cellStyle name="Normal 3 2 2 5 2 3 2 2 7" xfId="33260"/>
    <cellStyle name="Normal 3 2 2 5 2 3 2 2 8" xfId="37292"/>
    <cellStyle name="Normal 3 2 2 5 2 3 2 2 9" xfId="41324"/>
    <cellStyle name="Normal 3 2 2 5 2 3 2 3" xfId="11084"/>
    <cellStyle name="Normal 3 2 2 5 2 3 2 4" xfId="15116"/>
    <cellStyle name="Normal 3 2 2 5 2 3 2 5" xfId="19148"/>
    <cellStyle name="Normal 3 2 2 5 2 3 2 6" xfId="23180"/>
    <cellStyle name="Normal 3 2 2 5 2 3 2 7" xfId="27212"/>
    <cellStyle name="Normal 3 2 2 5 2 3 2 8" xfId="31244"/>
    <cellStyle name="Normal 3 2 2 5 2 3 2 9" xfId="35276"/>
    <cellStyle name="Normal 3 2 2 5 2 3 3" xfId="8115"/>
    <cellStyle name="Normal 3 2 2 5 2 3 3 10" xfId="44405"/>
    <cellStyle name="Normal 3 2 2 5 2 3 3 11" xfId="48437"/>
    <cellStyle name="Normal 3 2 2 5 2 3 3 12" xfId="52516"/>
    <cellStyle name="Normal 3 2 2 5 2 3 3 2" xfId="12149"/>
    <cellStyle name="Normal 3 2 2 5 2 3 3 3" xfId="16181"/>
    <cellStyle name="Normal 3 2 2 5 2 3 3 4" xfId="20213"/>
    <cellStyle name="Normal 3 2 2 5 2 3 3 5" xfId="24245"/>
    <cellStyle name="Normal 3 2 2 5 2 3 3 6" xfId="28277"/>
    <cellStyle name="Normal 3 2 2 5 2 3 3 7" xfId="32309"/>
    <cellStyle name="Normal 3 2 2 5 2 3 3 8" xfId="36341"/>
    <cellStyle name="Normal 3 2 2 5 2 3 3 9" xfId="40373"/>
    <cellStyle name="Normal 3 2 2 5 2 3 4" xfId="10133"/>
    <cellStyle name="Normal 3 2 2 5 2 3 5" xfId="14165"/>
    <cellStyle name="Normal 3 2 2 5 2 3 6" xfId="18197"/>
    <cellStyle name="Normal 3 2 2 5 2 3 7" xfId="22229"/>
    <cellStyle name="Normal 3 2 2 5 2 3 8" xfId="26261"/>
    <cellStyle name="Normal 3 2 2 5 2 3 9" xfId="30293"/>
    <cellStyle name="Normal 3 2 2 5 2 4" xfId="4621"/>
    <cellStyle name="Normal 3 2 2 5 2 4 10" xfId="38495"/>
    <cellStyle name="Normal 3 2 2 5 2 4 11" xfId="42527"/>
    <cellStyle name="Normal 3 2 2 5 2 4 12" xfId="46559"/>
    <cellStyle name="Normal 3 2 2 5 2 4 13" xfId="50638"/>
    <cellStyle name="Normal 3 2 2 5 2 4 2" xfId="8253"/>
    <cellStyle name="Normal 3 2 2 5 2 4 2 10" xfId="44543"/>
    <cellStyle name="Normal 3 2 2 5 2 4 2 11" xfId="48575"/>
    <cellStyle name="Normal 3 2 2 5 2 4 2 12" xfId="52654"/>
    <cellStyle name="Normal 3 2 2 5 2 4 2 2" xfId="12287"/>
    <cellStyle name="Normal 3 2 2 5 2 4 2 3" xfId="16319"/>
    <cellStyle name="Normal 3 2 2 5 2 4 2 4" xfId="20351"/>
    <cellStyle name="Normal 3 2 2 5 2 4 2 5" xfId="24383"/>
    <cellStyle name="Normal 3 2 2 5 2 4 2 6" xfId="28415"/>
    <cellStyle name="Normal 3 2 2 5 2 4 2 7" xfId="32447"/>
    <cellStyle name="Normal 3 2 2 5 2 4 2 8" xfId="36479"/>
    <cellStyle name="Normal 3 2 2 5 2 4 2 9" xfId="40511"/>
    <cellStyle name="Normal 3 2 2 5 2 4 3" xfId="10271"/>
    <cellStyle name="Normal 3 2 2 5 2 4 4" xfId="14303"/>
    <cellStyle name="Normal 3 2 2 5 2 4 5" xfId="18335"/>
    <cellStyle name="Normal 3 2 2 5 2 4 6" xfId="22367"/>
    <cellStyle name="Normal 3 2 2 5 2 4 7" xfId="26399"/>
    <cellStyle name="Normal 3 2 2 5 2 4 8" xfId="30431"/>
    <cellStyle name="Normal 3 2 2 5 2 4 9" xfId="34463"/>
    <cellStyle name="Normal 3 2 2 5 2 5" xfId="348"/>
    <cellStyle name="Normal 3 2 2 5 2 5 10" xfId="37553"/>
    <cellStyle name="Normal 3 2 2 5 2 5 11" xfId="41585"/>
    <cellStyle name="Normal 3 2 2 5 2 5 12" xfId="45617"/>
    <cellStyle name="Normal 3 2 2 5 2 5 13" xfId="49695"/>
    <cellStyle name="Normal 3 2 2 5 2 5 2" xfId="7311"/>
    <cellStyle name="Normal 3 2 2 5 2 5 2 10" xfId="43601"/>
    <cellStyle name="Normal 3 2 2 5 2 5 2 11" xfId="47633"/>
    <cellStyle name="Normal 3 2 2 5 2 5 2 12" xfId="51712"/>
    <cellStyle name="Normal 3 2 2 5 2 5 2 2" xfId="11345"/>
    <cellStyle name="Normal 3 2 2 5 2 5 2 3" xfId="15377"/>
    <cellStyle name="Normal 3 2 2 5 2 5 2 4" xfId="19409"/>
    <cellStyle name="Normal 3 2 2 5 2 5 2 5" xfId="23441"/>
    <cellStyle name="Normal 3 2 2 5 2 5 2 6" xfId="27473"/>
    <cellStyle name="Normal 3 2 2 5 2 5 2 7" xfId="31505"/>
    <cellStyle name="Normal 3 2 2 5 2 5 2 8" xfId="35537"/>
    <cellStyle name="Normal 3 2 2 5 2 5 2 9" xfId="39569"/>
    <cellStyle name="Normal 3 2 2 5 2 5 3" xfId="9329"/>
    <cellStyle name="Normal 3 2 2 5 2 5 4" xfId="13361"/>
    <cellStyle name="Normal 3 2 2 5 2 5 5" xfId="17393"/>
    <cellStyle name="Normal 3 2 2 5 2 5 6" xfId="21425"/>
    <cellStyle name="Normal 3 2 2 5 2 5 7" xfId="25457"/>
    <cellStyle name="Normal 3 2 2 5 2 5 8" xfId="29489"/>
    <cellStyle name="Normal 3 2 2 5 2 5 9" xfId="33521"/>
    <cellStyle name="Normal 3 2 2 5 2 6" xfId="7188"/>
    <cellStyle name="Normal 3 2 2 5 2 6 10" xfId="43478"/>
    <cellStyle name="Normal 3 2 2 5 2 6 11" xfId="47510"/>
    <cellStyle name="Normal 3 2 2 5 2 6 12" xfId="51589"/>
    <cellStyle name="Normal 3 2 2 5 2 6 2" xfId="11222"/>
    <cellStyle name="Normal 3 2 2 5 2 6 3" xfId="15254"/>
    <cellStyle name="Normal 3 2 2 5 2 6 4" xfId="19286"/>
    <cellStyle name="Normal 3 2 2 5 2 6 5" xfId="23318"/>
    <cellStyle name="Normal 3 2 2 5 2 6 6" xfId="27350"/>
    <cellStyle name="Normal 3 2 2 5 2 6 7" xfId="31382"/>
    <cellStyle name="Normal 3 2 2 5 2 6 8" xfId="35414"/>
    <cellStyle name="Normal 3 2 2 5 2 6 9" xfId="39446"/>
    <cellStyle name="Normal 3 2 2 5 2 7" xfId="9206"/>
    <cellStyle name="Normal 3 2 2 5 2 8" xfId="13238"/>
    <cellStyle name="Normal 3 2 2 5 2 9" xfId="17270"/>
    <cellStyle name="Normal 3 2 2 5 20" xfId="33329"/>
    <cellStyle name="Normal 3 2 2 5 21" xfId="37361"/>
    <cellStyle name="Normal 3 2 2 5 22" xfId="41393"/>
    <cellStyle name="Normal 3 2 2 5 23" xfId="45425"/>
    <cellStyle name="Normal 3 2 2 5 24" xfId="49503"/>
    <cellStyle name="Normal 3 2 2 5 3" xfId="1658"/>
    <cellStyle name="Normal 3 2 2 5 3 10" xfId="33619"/>
    <cellStyle name="Normal 3 2 2 5 3 11" xfId="37651"/>
    <cellStyle name="Normal 3 2 2 5 3 12" xfId="41683"/>
    <cellStyle name="Normal 3 2 2 5 3 13" xfId="45715"/>
    <cellStyle name="Normal 3 2 2 5 3 14" xfId="49793"/>
    <cellStyle name="Normal 3 2 2 5 3 2" xfId="5334"/>
    <cellStyle name="Normal 3 2 2 5 3 2 10" xfId="38602"/>
    <cellStyle name="Normal 3 2 2 5 3 2 11" xfId="42634"/>
    <cellStyle name="Normal 3 2 2 5 3 2 12" xfId="46666"/>
    <cellStyle name="Normal 3 2 2 5 3 2 13" xfId="50745"/>
    <cellStyle name="Normal 3 2 2 5 3 2 2" xfId="8360"/>
    <cellStyle name="Normal 3 2 2 5 3 2 2 10" xfId="44650"/>
    <cellStyle name="Normal 3 2 2 5 3 2 2 11" xfId="48682"/>
    <cellStyle name="Normal 3 2 2 5 3 2 2 12" xfId="52761"/>
    <cellStyle name="Normal 3 2 2 5 3 2 2 2" xfId="12394"/>
    <cellStyle name="Normal 3 2 2 5 3 2 2 3" xfId="16426"/>
    <cellStyle name="Normal 3 2 2 5 3 2 2 4" xfId="20458"/>
    <cellStyle name="Normal 3 2 2 5 3 2 2 5" xfId="24490"/>
    <cellStyle name="Normal 3 2 2 5 3 2 2 6" xfId="28522"/>
    <cellStyle name="Normal 3 2 2 5 3 2 2 7" xfId="32554"/>
    <cellStyle name="Normal 3 2 2 5 3 2 2 8" xfId="36586"/>
    <cellStyle name="Normal 3 2 2 5 3 2 2 9" xfId="40618"/>
    <cellStyle name="Normal 3 2 2 5 3 2 3" xfId="10378"/>
    <cellStyle name="Normal 3 2 2 5 3 2 4" xfId="14410"/>
    <cellStyle name="Normal 3 2 2 5 3 2 5" xfId="18442"/>
    <cellStyle name="Normal 3 2 2 5 3 2 6" xfId="22474"/>
    <cellStyle name="Normal 3 2 2 5 3 2 7" xfId="26506"/>
    <cellStyle name="Normal 3 2 2 5 3 2 8" xfId="30538"/>
    <cellStyle name="Normal 3 2 2 5 3 2 9" xfId="34570"/>
    <cellStyle name="Normal 3 2 2 5 3 3" xfId="7409"/>
    <cellStyle name="Normal 3 2 2 5 3 3 10" xfId="43699"/>
    <cellStyle name="Normal 3 2 2 5 3 3 11" xfId="47731"/>
    <cellStyle name="Normal 3 2 2 5 3 3 12" xfId="51810"/>
    <cellStyle name="Normal 3 2 2 5 3 3 2" xfId="11443"/>
    <cellStyle name="Normal 3 2 2 5 3 3 3" xfId="15475"/>
    <cellStyle name="Normal 3 2 2 5 3 3 4" xfId="19507"/>
    <cellStyle name="Normal 3 2 2 5 3 3 5" xfId="23539"/>
    <cellStyle name="Normal 3 2 2 5 3 3 6" xfId="27571"/>
    <cellStyle name="Normal 3 2 2 5 3 3 7" xfId="31603"/>
    <cellStyle name="Normal 3 2 2 5 3 3 8" xfId="35635"/>
    <cellStyle name="Normal 3 2 2 5 3 3 9" xfId="39667"/>
    <cellStyle name="Normal 3 2 2 5 3 4" xfId="9427"/>
    <cellStyle name="Normal 3 2 2 5 3 5" xfId="13459"/>
    <cellStyle name="Normal 3 2 2 5 3 6" xfId="17491"/>
    <cellStyle name="Normal 3 2 2 5 3 7" xfId="21523"/>
    <cellStyle name="Normal 3 2 2 5 3 8" xfId="25555"/>
    <cellStyle name="Normal 3 2 2 5 3 9" xfId="29587"/>
    <cellStyle name="Normal 3 2 2 5 4" xfId="1732"/>
    <cellStyle name="Normal 3 2 2 5 4 10" xfId="33688"/>
    <cellStyle name="Normal 3 2 2 5 4 11" xfId="37720"/>
    <cellStyle name="Normal 3 2 2 5 4 12" xfId="41752"/>
    <cellStyle name="Normal 3 2 2 5 4 13" xfId="45784"/>
    <cellStyle name="Normal 3 2 2 5 4 14" xfId="49862"/>
    <cellStyle name="Normal 3 2 2 5 4 2" xfId="5403"/>
    <cellStyle name="Normal 3 2 2 5 4 2 10" xfId="38671"/>
    <cellStyle name="Normal 3 2 2 5 4 2 11" xfId="42703"/>
    <cellStyle name="Normal 3 2 2 5 4 2 12" xfId="46735"/>
    <cellStyle name="Normal 3 2 2 5 4 2 13" xfId="50814"/>
    <cellStyle name="Normal 3 2 2 5 4 2 2" xfId="8429"/>
    <cellStyle name="Normal 3 2 2 5 4 2 2 10" xfId="44719"/>
    <cellStyle name="Normal 3 2 2 5 4 2 2 11" xfId="48751"/>
    <cellStyle name="Normal 3 2 2 5 4 2 2 12" xfId="52830"/>
    <cellStyle name="Normal 3 2 2 5 4 2 2 2" xfId="12463"/>
    <cellStyle name="Normal 3 2 2 5 4 2 2 3" xfId="16495"/>
    <cellStyle name="Normal 3 2 2 5 4 2 2 4" xfId="20527"/>
    <cellStyle name="Normal 3 2 2 5 4 2 2 5" xfId="24559"/>
    <cellStyle name="Normal 3 2 2 5 4 2 2 6" xfId="28591"/>
    <cellStyle name="Normal 3 2 2 5 4 2 2 7" xfId="32623"/>
    <cellStyle name="Normal 3 2 2 5 4 2 2 8" xfId="36655"/>
    <cellStyle name="Normal 3 2 2 5 4 2 2 9" xfId="40687"/>
    <cellStyle name="Normal 3 2 2 5 4 2 3" xfId="10447"/>
    <cellStyle name="Normal 3 2 2 5 4 2 4" xfId="14479"/>
    <cellStyle name="Normal 3 2 2 5 4 2 5" xfId="18511"/>
    <cellStyle name="Normal 3 2 2 5 4 2 6" xfId="22543"/>
    <cellStyle name="Normal 3 2 2 5 4 2 7" xfId="26575"/>
    <cellStyle name="Normal 3 2 2 5 4 2 8" xfId="30607"/>
    <cellStyle name="Normal 3 2 2 5 4 2 9" xfId="34639"/>
    <cellStyle name="Normal 3 2 2 5 4 3" xfId="7478"/>
    <cellStyle name="Normal 3 2 2 5 4 3 10" xfId="43768"/>
    <cellStyle name="Normal 3 2 2 5 4 3 11" xfId="47800"/>
    <cellStyle name="Normal 3 2 2 5 4 3 12" xfId="51879"/>
    <cellStyle name="Normal 3 2 2 5 4 3 2" xfId="11512"/>
    <cellStyle name="Normal 3 2 2 5 4 3 3" xfId="15544"/>
    <cellStyle name="Normal 3 2 2 5 4 3 4" xfId="19576"/>
    <cellStyle name="Normal 3 2 2 5 4 3 5" xfId="23608"/>
    <cellStyle name="Normal 3 2 2 5 4 3 6" xfId="27640"/>
    <cellStyle name="Normal 3 2 2 5 4 3 7" xfId="31672"/>
    <cellStyle name="Normal 3 2 2 5 4 3 8" xfId="35704"/>
    <cellStyle name="Normal 3 2 2 5 4 3 9" xfId="39736"/>
    <cellStyle name="Normal 3 2 2 5 4 4" xfId="9496"/>
    <cellStyle name="Normal 3 2 2 5 4 5" xfId="13528"/>
    <cellStyle name="Normal 3 2 2 5 4 6" xfId="17560"/>
    <cellStyle name="Normal 3 2 2 5 4 7" xfId="21592"/>
    <cellStyle name="Normal 3 2 2 5 4 8" xfId="25624"/>
    <cellStyle name="Normal 3 2 2 5 4 9" xfId="29656"/>
    <cellStyle name="Normal 3 2 2 5 5" xfId="4054"/>
    <cellStyle name="Normal 3 2 2 5 5 10" xfId="33911"/>
    <cellStyle name="Normal 3 2 2 5 5 11" xfId="37943"/>
    <cellStyle name="Normal 3 2 2 5 5 12" xfId="41975"/>
    <cellStyle name="Normal 3 2 2 5 5 13" xfId="46007"/>
    <cellStyle name="Normal 3 2 2 5 5 14" xfId="50085"/>
    <cellStyle name="Normal 3 2 2 5 5 2" xfId="6636"/>
    <cellStyle name="Normal 3 2 2 5 5 2 10" xfId="38894"/>
    <cellStyle name="Normal 3 2 2 5 5 2 11" xfId="42926"/>
    <cellStyle name="Normal 3 2 2 5 5 2 12" xfId="46958"/>
    <cellStyle name="Normal 3 2 2 5 5 2 13" xfId="51037"/>
    <cellStyle name="Normal 3 2 2 5 5 2 2" xfId="8652"/>
    <cellStyle name="Normal 3 2 2 5 5 2 2 10" xfId="44942"/>
    <cellStyle name="Normal 3 2 2 5 5 2 2 11" xfId="48974"/>
    <cellStyle name="Normal 3 2 2 5 5 2 2 12" xfId="53053"/>
    <cellStyle name="Normal 3 2 2 5 5 2 2 2" xfId="12686"/>
    <cellStyle name="Normal 3 2 2 5 5 2 2 3" xfId="16718"/>
    <cellStyle name="Normal 3 2 2 5 5 2 2 4" xfId="20750"/>
    <cellStyle name="Normal 3 2 2 5 5 2 2 5" xfId="24782"/>
    <cellStyle name="Normal 3 2 2 5 5 2 2 6" xfId="28814"/>
    <cellStyle name="Normal 3 2 2 5 5 2 2 7" xfId="32846"/>
    <cellStyle name="Normal 3 2 2 5 5 2 2 8" xfId="36878"/>
    <cellStyle name="Normal 3 2 2 5 5 2 2 9" xfId="40910"/>
    <cellStyle name="Normal 3 2 2 5 5 2 3" xfId="10670"/>
    <cellStyle name="Normal 3 2 2 5 5 2 4" xfId="14702"/>
    <cellStyle name="Normal 3 2 2 5 5 2 5" xfId="18734"/>
    <cellStyle name="Normal 3 2 2 5 5 2 6" xfId="22766"/>
    <cellStyle name="Normal 3 2 2 5 5 2 7" xfId="26798"/>
    <cellStyle name="Normal 3 2 2 5 5 2 8" xfId="30830"/>
    <cellStyle name="Normal 3 2 2 5 5 2 9" xfId="34862"/>
    <cellStyle name="Normal 3 2 2 5 5 3" xfId="7701"/>
    <cellStyle name="Normal 3 2 2 5 5 3 10" xfId="43991"/>
    <cellStyle name="Normal 3 2 2 5 5 3 11" xfId="48023"/>
    <cellStyle name="Normal 3 2 2 5 5 3 12" xfId="52102"/>
    <cellStyle name="Normal 3 2 2 5 5 3 2" xfId="11735"/>
    <cellStyle name="Normal 3 2 2 5 5 3 3" xfId="15767"/>
    <cellStyle name="Normal 3 2 2 5 5 3 4" xfId="19799"/>
    <cellStyle name="Normal 3 2 2 5 5 3 5" xfId="23831"/>
    <cellStyle name="Normal 3 2 2 5 5 3 6" xfId="27863"/>
    <cellStyle name="Normal 3 2 2 5 5 3 7" xfId="31895"/>
    <cellStyle name="Normal 3 2 2 5 5 3 8" xfId="35927"/>
    <cellStyle name="Normal 3 2 2 5 5 3 9" xfId="39959"/>
    <cellStyle name="Normal 3 2 2 5 5 4" xfId="9719"/>
    <cellStyle name="Normal 3 2 2 5 5 5" xfId="13751"/>
    <cellStyle name="Normal 3 2 2 5 5 6" xfId="17783"/>
    <cellStyle name="Normal 3 2 2 5 5 7" xfId="21815"/>
    <cellStyle name="Normal 3 2 2 5 5 8" xfId="25847"/>
    <cellStyle name="Normal 3 2 2 5 5 9" xfId="29879"/>
    <cellStyle name="Normal 3 2 2 5 6" xfId="4124"/>
    <cellStyle name="Normal 3 2 2 5 6 10" xfId="33980"/>
    <cellStyle name="Normal 3 2 2 5 6 11" xfId="38012"/>
    <cellStyle name="Normal 3 2 2 5 6 12" xfId="42044"/>
    <cellStyle name="Normal 3 2 2 5 6 13" xfId="46076"/>
    <cellStyle name="Normal 3 2 2 5 6 14" xfId="50154"/>
    <cellStyle name="Normal 3 2 2 5 6 2" xfId="6705"/>
    <cellStyle name="Normal 3 2 2 5 6 2 10" xfId="38963"/>
    <cellStyle name="Normal 3 2 2 5 6 2 11" xfId="42995"/>
    <cellStyle name="Normal 3 2 2 5 6 2 12" xfId="47027"/>
    <cellStyle name="Normal 3 2 2 5 6 2 13" xfId="51106"/>
    <cellStyle name="Normal 3 2 2 5 6 2 2" xfId="8721"/>
    <cellStyle name="Normal 3 2 2 5 6 2 2 10" xfId="45011"/>
    <cellStyle name="Normal 3 2 2 5 6 2 2 11" xfId="49043"/>
    <cellStyle name="Normal 3 2 2 5 6 2 2 12" xfId="53122"/>
    <cellStyle name="Normal 3 2 2 5 6 2 2 2" xfId="12755"/>
    <cellStyle name="Normal 3 2 2 5 6 2 2 3" xfId="16787"/>
    <cellStyle name="Normal 3 2 2 5 6 2 2 4" xfId="20819"/>
    <cellStyle name="Normal 3 2 2 5 6 2 2 5" xfId="24851"/>
    <cellStyle name="Normal 3 2 2 5 6 2 2 6" xfId="28883"/>
    <cellStyle name="Normal 3 2 2 5 6 2 2 7" xfId="32915"/>
    <cellStyle name="Normal 3 2 2 5 6 2 2 8" xfId="36947"/>
    <cellStyle name="Normal 3 2 2 5 6 2 2 9" xfId="40979"/>
    <cellStyle name="Normal 3 2 2 5 6 2 3" xfId="10739"/>
    <cellStyle name="Normal 3 2 2 5 6 2 4" xfId="14771"/>
    <cellStyle name="Normal 3 2 2 5 6 2 5" xfId="18803"/>
    <cellStyle name="Normal 3 2 2 5 6 2 6" xfId="22835"/>
    <cellStyle name="Normal 3 2 2 5 6 2 7" xfId="26867"/>
    <cellStyle name="Normal 3 2 2 5 6 2 8" xfId="30899"/>
    <cellStyle name="Normal 3 2 2 5 6 2 9" xfId="34931"/>
    <cellStyle name="Normal 3 2 2 5 6 3" xfId="7770"/>
    <cellStyle name="Normal 3 2 2 5 6 3 10" xfId="44060"/>
    <cellStyle name="Normal 3 2 2 5 6 3 11" xfId="48092"/>
    <cellStyle name="Normal 3 2 2 5 6 3 12" xfId="52171"/>
    <cellStyle name="Normal 3 2 2 5 6 3 2" xfId="11804"/>
    <cellStyle name="Normal 3 2 2 5 6 3 3" xfId="15836"/>
    <cellStyle name="Normal 3 2 2 5 6 3 4" xfId="19868"/>
    <cellStyle name="Normal 3 2 2 5 6 3 5" xfId="23900"/>
    <cellStyle name="Normal 3 2 2 5 6 3 6" xfId="27932"/>
    <cellStyle name="Normal 3 2 2 5 6 3 7" xfId="31964"/>
    <cellStyle name="Normal 3 2 2 5 6 3 8" xfId="35996"/>
    <cellStyle name="Normal 3 2 2 5 6 3 9" xfId="40028"/>
    <cellStyle name="Normal 3 2 2 5 6 4" xfId="9788"/>
    <cellStyle name="Normal 3 2 2 5 6 5" xfId="13820"/>
    <cellStyle name="Normal 3 2 2 5 6 6" xfId="17852"/>
    <cellStyle name="Normal 3 2 2 5 6 7" xfId="21884"/>
    <cellStyle name="Normal 3 2 2 5 6 8" xfId="25916"/>
    <cellStyle name="Normal 3 2 2 5 6 9" xfId="29948"/>
    <cellStyle name="Normal 3 2 2 5 7" xfId="4193"/>
    <cellStyle name="Normal 3 2 2 5 7 10" xfId="34049"/>
    <cellStyle name="Normal 3 2 2 5 7 11" xfId="38081"/>
    <cellStyle name="Normal 3 2 2 5 7 12" xfId="42113"/>
    <cellStyle name="Normal 3 2 2 5 7 13" xfId="46145"/>
    <cellStyle name="Normal 3 2 2 5 7 14" xfId="50223"/>
    <cellStyle name="Normal 3 2 2 5 7 2" xfId="6774"/>
    <cellStyle name="Normal 3 2 2 5 7 2 10" xfId="39032"/>
    <cellStyle name="Normal 3 2 2 5 7 2 11" xfId="43064"/>
    <cellStyle name="Normal 3 2 2 5 7 2 12" xfId="47096"/>
    <cellStyle name="Normal 3 2 2 5 7 2 13" xfId="51175"/>
    <cellStyle name="Normal 3 2 2 5 7 2 2" xfId="8790"/>
    <cellStyle name="Normal 3 2 2 5 7 2 2 10" xfId="45080"/>
    <cellStyle name="Normal 3 2 2 5 7 2 2 11" xfId="49112"/>
    <cellStyle name="Normal 3 2 2 5 7 2 2 12" xfId="53191"/>
    <cellStyle name="Normal 3 2 2 5 7 2 2 2" xfId="12824"/>
    <cellStyle name="Normal 3 2 2 5 7 2 2 3" xfId="16856"/>
    <cellStyle name="Normal 3 2 2 5 7 2 2 4" xfId="20888"/>
    <cellStyle name="Normal 3 2 2 5 7 2 2 5" xfId="24920"/>
    <cellStyle name="Normal 3 2 2 5 7 2 2 6" xfId="28952"/>
    <cellStyle name="Normal 3 2 2 5 7 2 2 7" xfId="32984"/>
    <cellStyle name="Normal 3 2 2 5 7 2 2 8" xfId="37016"/>
    <cellStyle name="Normal 3 2 2 5 7 2 2 9" xfId="41048"/>
    <cellStyle name="Normal 3 2 2 5 7 2 3" xfId="10808"/>
    <cellStyle name="Normal 3 2 2 5 7 2 4" xfId="14840"/>
    <cellStyle name="Normal 3 2 2 5 7 2 5" xfId="18872"/>
    <cellStyle name="Normal 3 2 2 5 7 2 6" xfId="22904"/>
    <cellStyle name="Normal 3 2 2 5 7 2 7" xfId="26936"/>
    <cellStyle name="Normal 3 2 2 5 7 2 8" xfId="30968"/>
    <cellStyle name="Normal 3 2 2 5 7 2 9" xfId="35000"/>
    <cellStyle name="Normal 3 2 2 5 7 3" xfId="7839"/>
    <cellStyle name="Normal 3 2 2 5 7 3 10" xfId="44129"/>
    <cellStyle name="Normal 3 2 2 5 7 3 11" xfId="48161"/>
    <cellStyle name="Normal 3 2 2 5 7 3 12" xfId="52240"/>
    <cellStyle name="Normal 3 2 2 5 7 3 2" xfId="11873"/>
    <cellStyle name="Normal 3 2 2 5 7 3 3" xfId="15905"/>
    <cellStyle name="Normal 3 2 2 5 7 3 4" xfId="19937"/>
    <cellStyle name="Normal 3 2 2 5 7 3 5" xfId="23969"/>
    <cellStyle name="Normal 3 2 2 5 7 3 6" xfId="28001"/>
    <cellStyle name="Normal 3 2 2 5 7 3 7" xfId="32033"/>
    <cellStyle name="Normal 3 2 2 5 7 3 8" xfId="36065"/>
    <cellStyle name="Normal 3 2 2 5 7 3 9" xfId="40097"/>
    <cellStyle name="Normal 3 2 2 5 7 4" xfId="9857"/>
    <cellStyle name="Normal 3 2 2 5 7 5" xfId="13889"/>
    <cellStyle name="Normal 3 2 2 5 7 6" xfId="17921"/>
    <cellStyle name="Normal 3 2 2 5 7 7" xfId="21953"/>
    <cellStyle name="Normal 3 2 2 5 7 8" xfId="25985"/>
    <cellStyle name="Normal 3 2 2 5 7 9" xfId="30017"/>
    <cellStyle name="Normal 3 2 2 5 8" xfId="4266"/>
    <cellStyle name="Normal 3 2 2 5 8 10" xfId="34118"/>
    <cellStyle name="Normal 3 2 2 5 8 11" xfId="38150"/>
    <cellStyle name="Normal 3 2 2 5 8 12" xfId="42182"/>
    <cellStyle name="Normal 3 2 2 5 8 13" xfId="46214"/>
    <cellStyle name="Normal 3 2 2 5 8 14" xfId="50292"/>
    <cellStyle name="Normal 3 2 2 5 8 2" xfId="6843"/>
    <cellStyle name="Normal 3 2 2 5 8 2 10" xfId="39101"/>
    <cellStyle name="Normal 3 2 2 5 8 2 11" xfId="43133"/>
    <cellStyle name="Normal 3 2 2 5 8 2 12" xfId="47165"/>
    <cellStyle name="Normal 3 2 2 5 8 2 13" xfId="51244"/>
    <cellStyle name="Normal 3 2 2 5 8 2 2" xfId="8859"/>
    <cellStyle name="Normal 3 2 2 5 8 2 2 10" xfId="45149"/>
    <cellStyle name="Normal 3 2 2 5 8 2 2 11" xfId="49181"/>
    <cellStyle name="Normal 3 2 2 5 8 2 2 12" xfId="53260"/>
    <cellStyle name="Normal 3 2 2 5 8 2 2 2" xfId="12893"/>
    <cellStyle name="Normal 3 2 2 5 8 2 2 3" xfId="16925"/>
    <cellStyle name="Normal 3 2 2 5 8 2 2 4" xfId="20957"/>
    <cellStyle name="Normal 3 2 2 5 8 2 2 5" xfId="24989"/>
    <cellStyle name="Normal 3 2 2 5 8 2 2 6" xfId="29021"/>
    <cellStyle name="Normal 3 2 2 5 8 2 2 7" xfId="33053"/>
    <cellStyle name="Normal 3 2 2 5 8 2 2 8" xfId="37085"/>
    <cellStyle name="Normal 3 2 2 5 8 2 2 9" xfId="41117"/>
    <cellStyle name="Normal 3 2 2 5 8 2 3" xfId="10877"/>
    <cellStyle name="Normal 3 2 2 5 8 2 4" xfId="14909"/>
    <cellStyle name="Normal 3 2 2 5 8 2 5" xfId="18941"/>
    <cellStyle name="Normal 3 2 2 5 8 2 6" xfId="22973"/>
    <cellStyle name="Normal 3 2 2 5 8 2 7" xfId="27005"/>
    <cellStyle name="Normal 3 2 2 5 8 2 8" xfId="31037"/>
    <cellStyle name="Normal 3 2 2 5 8 2 9" xfId="35069"/>
    <cellStyle name="Normal 3 2 2 5 8 3" xfId="7908"/>
    <cellStyle name="Normal 3 2 2 5 8 3 10" xfId="44198"/>
    <cellStyle name="Normal 3 2 2 5 8 3 11" xfId="48230"/>
    <cellStyle name="Normal 3 2 2 5 8 3 12" xfId="52309"/>
    <cellStyle name="Normal 3 2 2 5 8 3 2" xfId="11942"/>
    <cellStyle name="Normal 3 2 2 5 8 3 3" xfId="15974"/>
    <cellStyle name="Normal 3 2 2 5 8 3 4" xfId="20006"/>
    <cellStyle name="Normal 3 2 2 5 8 3 5" xfId="24038"/>
    <cellStyle name="Normal 3 2 2 5 8 3 6" xfId="28070"/>
    <cellStyle name="Normal 3 2 2 5 8 3 7" xfId="32102"/>
    <cellStyle name="Normal 3 2 2 5 8 3 8" xfId="36134"/>
    <cellStyle name="Normal 3 2 2 5 8 3 9" xfId="40166"/>
    <cellStyle name="Normal 3 2 2 5 8 4" xfId="9926"/>
    <cellStyle name="Normal 3 2 2 5 8 5" xfId="13958"/>
    <cellStyle name="Normal 3 2 2 5 8 6" xfId="17990"/>
    <cellStyle name="Normal 3 2 2 5 8 7" xfId="22022"/>
    <cellStyle name="Normal 3 2 2 5 8 8" xfId="26054"/>
    <cellStyle name="Normal 3 2 2 5 8 9" xfId="30086"/>
    <cellStyle name="Normal 3 2 2 5 9" xfId="4412"/>
    <cellStyle name="Normal 3 2 2 5 9 10" xfId="34256"/>
    <cellStyle name="Normal 3 2 2 5 9 11" xfId="38288"/>
    <cellStyle name="Normal 3 2 2 5 9 12" xfId="42320"/>
    <cellStyle name="Normal 3 2 2 5 9 13" xfId="46352"/>
    <cellStyle name="Normal 3 2 2 5 9 14" xfId="50431"/>
    <cellStyle name="Normal 3 2 2 5 9 2" xfId="6981"/>
    <cellStyle name="Normal 3 2 2 5 9 2 10" xfId="39239"/>
    <cellStyle name="Normal 3 2 2 5 9 2 11" xfId="43271"/>
    <cellStyle name="Normal 3 2 2 5 9 2 12" xfId="47303"/>
    <cellStyle name="Normal 3 2 2 5 9 2 13" xfId="51382"/>
    <cellStyle name="Normal 3 2 2 5 9 2 2" xfId="8997"/>
    <cellStyle name="Normal 3 2 2 5 9 2 2 10" xfId="45287"/>
    <cellStyle name="Normal 3 2 2 5 9 2 2 11" xfId="49319"/>
    <cellStyle name="Normal 3 2 2 5 9 2 2 12" xfId="53398"/>
    <cellStyle name="Normal 3 2 2 5 9 2 2 2" xfId="13031"/>
    <cellStyle name="Normal 3 2 2 5 9 2 2 3" xfId="17063"/>
    <cellStyle name="Normal 3 2 2 5 9 2 2 4" xfId="21095"/>
    <cellStyle name="Normal 3 2 2 5 9 2 2 5" xfId="25127"/>
    <cellStyle name="Normal 3 2 2 5 9 2 2 6" xfId="29159"/>
    <cellStyle name="Normal 3 2 2 5 9 2 2 7" xfId="33191"/>
    <cellStyle name="Normal 3 2 2 5 9 2 2 8" xfId="37223"/>
    <cellStyle name="Normal 3 2 2 5 9 2 2 9" xfId="41255"/>
    <cellStyle name="Normal 3 2 2 5 9 2 3" xfId="11015"/>
    <cellStyle name="Normal 3 2 2 5 9 2 4" xfId="15047"/>
    <cellStyle name="Normal 3 2 2 5 9 2 5" xfId="19079"/>
    <cellStyle name="Normal 3 2 2 5 9 2 6" xfId="23111"/>
    <cellStyle name="Normal 3 2 2 5 9 2 7" xfId="27143"/>
    <cellStyle name="Normal 3 2 2 5 9 2 8" xfId="31175"/>
    <cellStyle name="Normal 3 2 2 5 9 2 9" xfId="35207"/>
    <cellStyle name="Normal 3 2 2 5 9 3" xfId="8046"/>
    <cellStyle name="Normal 3 2 2 5 9 3 10" xfId="44336"/>
    <cellStyle name="Normal 3 2 2 5 9 3 11" xfId="48368"/>
    <cellStyle name="Normal 3 2 2 5 9 3 12" xfId="52447"/>
    <cellStyle name="Normal 3 2 2 5 9 3 2" xfId="12080"/>
    <cellStyle name="Normal 3 2 2 5 9 3 3" xfId="16112"/>
    <cellStyle name="Normal 3 2 2 5 9 3 4" xfId="20144"/>
    <cellStyle name="Normal 3 2 2 5 9 3 5" xfId="24176"/>
    <cellStyle name="Normal 3 2 2 5 9 3 6" xfId="28208"/>
    <cellStyle name="Normal 3 2 2 5 9 3 7" xfId="32240"/>
    <cellStyle name="Normal 3 2 2 5 9 3 8" xfId="36272"/>
    <cellStyle name="Normal 3 2 2 5 9 3 9" xfId="40304"/>
    <cellStyle name="Normal 3 2 2 5 9 4" xfId="10064"/>
    <cellStyle name="Normal 3 2 2 5 9 5" xfId="14096"/>
    <cellStyle name="Normal 3 2 2 5 9 6" xfId="18128"/>
    <cellStyle name="Normal 3 2 2 5 9 7" xfId="22160"/>
    <cellStyle name="Normal 3 2 2 5 9 8" xfId="26192"/>
    <cellStyle name="Normal 3 2 2 5 9 9" xfId="30224"/>
    <cellStyle name="Normal 3 2 2 6" xfId="51"/>
    <cellStyle name="Normal 3 2 2 6 10" xfId="329"/>
    <cellStyle name="Normal 3 2 2 6 10 10" xfId="37534"/>
    <cellStyle name="Normal 3 2 2 6 10 11" xfId="41566"/>
    <cellStyle name="Normal 3 2 2 6 10 12" xfId="45598"/>
    <cellStyle name="Normal 3 2 2 6 10 13" xfId="49676"/>
    <cellStyle name="Normal 3 2 2 6 10 2" xfId="7292"/>
    <cellStyle name="Normal 3 2 2 6 10 2 10" xfId="43582"/>
    <cellStyle name="Normal 3 2 2 6 10 2 11" xfId="47614"/>
    <cellStyle name="Normal 3 2 2 6 10 2 12" xfId="51693"/>
    <cellStyle name="Normal 3 2 2 6 10 2 2" xfId="11326"/>
    <cellStyle name="Normal 3 2 2 6 10 2 3" xfId="15358"/>
    <cellStyle name="Normal 3 2 2 6 10 2 4" xfId="19390"/>
    <cellStyle name="Normal 3 2 2 6 10 2 5" xfId="23422"/>
    <cellStyle name="Normal 3 2 2 6 10 2 6" xfId="27454"/>
    <cellStyle name="Normal 3 2 2 6 10 2 7" xfId="31486"/>
    <cellStyle name="Normal 3 2 2 6 10 2 8" xfId="35518"/>
    <cellStyle name="Normal 3 2 2 6 10 2 9" xfId="39550"/>
    <cellStyle name="Normal 3 2 2 6 10 3" xfId="9310"/>
    <cellStyle name="Normal 3 2 2 6 10 4" xfId="13342"/>
    <cellStyle name="Normal 3 2 2 6 10 5" xfId="17374"/>
    <cellStyle name="Normal 3 2 2 6 10 6" xfId="21406"/>
    <cellStyle name="Normal 3 2 2 6 10 7" xfId="25438"/>
    <cellStyle name="Normal 3 2 2 6 10 8" xfId="29470"/>
    <cellStyle name="Normal 3 2 2 6 10 9" xfId="33502"/>
    <cellStyle name="Normal 3 2 2 6 11" xfId="7100"/>
    <cellStyle name="Normal 3 2 2 6 11 10" xfId="43390"/>
    <cellStyle name="Normal 3 2 2 6 11 11" xfId="47422"/>
    <cellStyle name="Normal 3 2 2 6 11 12" xfId="51501"/>
    <cellStyle name="Normal 3 2 2 6 11 2" xfId="11134"/>
    <cellStyle name="Normal 3 2 2 6 11 3" xfId="15166"/>
    <cellStyle name="Normal 3 2 2 6 11 4" xfId="19198"/>
    <cellStyle name="Normal 3 2 2 6 11 5" xfId="23230"/>
    <cellStyle name="Normal 3 2 2 6 11 6" xfId="27262"/>
    <cellStyle name="Normal 3 2 2 6 11 7" xfId="31294"/>
    <cellStyle name="Normal 3 2 2 6 11 8" xfId="35326"/>
    <cellStyle name="Normal 3 2 2 6 11 9" xfId="39358"/>
    <cellStyle name="Normal 3 2 2 6 12" xfId="126"/>
    <cellStyle name="Normal 3 2 2 6 13" xfId="9118"/>
    <cellStyle name="Normal 3 2 2 6 14" xfId="13150"/>
    <cellStyle name="Normal 3 2 2 6 15" xfId="17182"/>
    <cellStyle name="Normal 3 2 2 6 16" xfId="21214"/>
    <cellStyle name="Normal 3 2 2 6 17" xfId="25246"/>
    <cellStyle name="Normal 3 2 2 6 18" xfId="29278"/>
    <cellStyle name="Normal 3 2 2 6 19" xfId="33310"/>
    <cellStyle name="Normal 3 2 2 6 2" xfId="205"/>
    <cellStyle name="Normal 3 2 2 6 2 10" xfId="21283"/>
    <cellStyle name="Normal 3 2 2 6 2 11" xfId="25315"/>
    <cellStyle name="Normal 3 2 2 6 2 12" xfId="29347"/>
    <cellStyle name="Normal 3 2 2 6 2 13" xfId="33379"/>
    <cellStyle name="Normal 3 2 2 6 2 14" xfId="37411"/>
    <cellStyle name="Normal 3 2 2 6 2 15" xfId="41443"/>
    <cellStyle name="Normal 3 2 2 6 2 16" xfId="45475"/>
    <cellStyle name="Normal 3 2 2 6 2 17" xfId="49553"/>
    <cellStyle name="Normal 3 2 2 6 2 2" xfId="4323"/>
    <cellStyle name="Normal 3 2 2 6 2 2 10" xfId="34168"/>
    <cellStyle name="Normal 3 2 2 6 2 2 11" xfId="38200"/>
    <cellStyle name="Normal 3 2 2 6 2 2 12" xfId="42232"/>
    <cellStyle name="Normal 3 2 2 6 2 2 13" xfId="46264"/>
    <cellStyle name="Normal 3 2 2 6 2 2 14" xfId="50343"/>
    <cellStyle name="Normal 3 2 2 6 2 2 2" xfId="6893"/>
    <cellStyle name="Normal 3 2 2 6 2 2 2 10" xfId="39151"/>
    <cellStyle name="Normal 3 2 2 6 2 2 2 11" xfId="43183"/>
    <cellStyle name="Normal 3 2 2 6 2 2 2 12" xfId="47215"/>
    <cellStyle name="Normal 3 2 2 6 2 2 2 13" xfId="51294"/>
    <cellStyle name="Normal 3 2 2 6 2 2 2 2" xfId="8909"/>
    <cellStyle name="Normal 3 2 2 6 2 2 2 2 10" xfId="45199"/>
    <cellStyle name="Normal 3 2 2 6 2 2 2 2 11" xfId="49231"/>
    <cellStyle name="Normal 3 2 2 6 2 2 2 2 12" xfId="53310"/>
    <cellStyle name="Normal 3 2 2 6 2 2 2 2 2" xfId="12943"/>
    <cellStyle name="Normal 3 2 2 6 2 2 2 2 3" xfId="16975"/>
    <cellStyle name="Normal 3 2 2 6 2 2 2 2 4" xfId="21007"/>
    <cellStyle name="Normal 3 2 2 6 2 2 2 2 5" xfId="25039"/>
    <cellStyle name="Normal 3 2 2 6 2 2 2 2 6" xfId="29071"/>
    <cellStyle name="Normal 3 2 2 6 2 2 2 2 7" xfId="33103"/>
    <cellStyle name="Normal 3 2 2 6 2 2 2 2 8" xfId="37135"/>
    <cellStyle name="Normal 3 2 2 6 2 2 2 2 9" xfId="41167"/>
    <cellStyle name="Normal 3 2 2 6 2 2 2 3" xfId="10927"/>
    <cellStyle name="Normal 3 2 2 6 2 2 2 4" xfId="14959"/>
    <cellStyle name="Normal 3 2 2 6 2 2 2 5" xfId="18991"/>
    <cellStyle name="Normal 3 2 2 6 2 2 2 6" xfId="23023"/>
    <cellStyle name="Normal 3 2 2 6 2 2 2 7" xfId="27055"/>
    <cellStyle name="Normal 3 2 2 6 2 2 2 8" xfId="31087"/>
    <cellStyle name="Normal 3 2 2 6 2 2 2 9" xfId="35119"/>
    <cellStyle name="Normal 3 2 2 6 2 2 3" xfId="7958"/>
    <cellStyle name="Normal 3 2 2 6 2 2 3 10" xfId="44248"/>
    <cellStyle name="Normal 3 2 2 6 2 2 3 11" xfId="48280"/>
    <cellStyle name="Normal 3 2 2 6 2 2 3 12" xfId="52359"/>
    <cellStyle name="Normal 3 2 2 6 2 2 3 2" xfId="11992"/>
    <cellStyle name="Normal 3 2 2 6 2 2 3 3" xfId="16024"/>
    <cellStyle name="Normal 3 2 2 6 2 2 3 4" xfId="20056"/>
    <cellStyle name="Normal 3 2 2 6 2 2 3 5" xfId="24088"/>
    <cellStyle name="Normal 3 2 2 6 2 2 3 6" xfId="28120"/>
    <cellStyle name="Normal 3 2 2 6 2 2 3 7" xfId="32152"/>
    <cellStyle name="Normal 3 2 2 6 2 2 3 8" xfId="36184"/>
    <cellStyle name="Normal 3 2 2 6 2 2 3 9" xfId="40216"/>
    <cellStyle name="Normal 3 2 2 6 2 2 4" xfId="9976"/>
    <cellStyle name="Normal 3 2 2 6 2 2 5" xfId="14008"/>
    <cellStyle name="Normal 3 2 2 6 2 2 6" xfId="18040"/>
    <cellStyle name="Normal 3 2 2 6 2 2 7" xfId="22072"/>
    <cellStyle name="Normal 3 2 2 6 2 2 8" xfId="26104"/>
    <cellStyle name="Normal 3 2 2 6 2 2 9" xfId="30136"/>
    <cellStyle name="Normal 3 2 2 6 2 3" xfId="4462"/>
    <cellStyle name="Normal 3 2 2 6 2 3 10" xfId="34306"/>
    <cellStyle name="Normal 3 2 2 6 2 3 11" xfId="38338"/>
    <cellStyle name="Normal 3 2 2 6 2 3 12" xfId="42370"/>
    <cellStyle name="Normal 3 2 2 6 2 3 13" xfId="46402"/>
    <cellStyle name="Normal 3 2 2 6 2 3 14" xfId="50481"/>
    <cellStyle name="Normal 3 2 2 6 2 3 2" xfId="7031"/>
    <cellStyle name="Normal 3 2 2 6 2 3 2 10" xfId="39289"/>
    <cellStyle name="Normal 3 2 2 6 2 3 2 11" xfId="43321"/>
    <cellStyle name="Normal 3 2 2 6 2 3 2 12" xfId="47353"/>
    <cellStyle name="Normal 3 2 2 6 2 3 2 13" xfId="51432"/>
    <cellStyle name="Normal 3 2 2 6 2 3 2 2" xfId="9047"/>
    <cellStyle name="Normal 3 2 2 6 2 3 2 2 10" xfId="45337"/>
    <cellStyle name="Normal 3 2 2 6 2 3 2 2 11" xfId="49369"/>
    <cellStyle name="Normal 3 2 2 6 2 3 2 2 12" xfId="53448"/>
    <cellStyle name="Normal 3 2 2 6 2 3 2 2 2" xfId="13081"/>
    <cellStyle name="Normal 3 2 2 6 2 3 2 2 3" xfId="17113"/>
    <cellStyle name="Normal 3 2 2 6 2 3 2 2 4" xfId="21145"/>
    <cellStyle name="Normal 3 2 2 6 2 3 2 2 5" xfId="25177"/>
    <cellStyle name="Normal 3 2 2 6 2 3 2 2 6" xfId="29209"/>
    <cellStyle name="Normal 3 2 2 6 2 3 2 2 7" xfId="33241"/>
    <cellStyle name="Normal 3 2 2 6 2 3 2 2 8" xfId="37273"/>
    <cellStyle name="Normal 3 2 2 6 2 3 2 2 9" xfId="41305"/>
    <cellStyle name="Normal 3 2 2 6 2 3 2 3" xfId="11065"/>
    <cellStyle name="Normal 3 2 2 6 2 3 2 4" xfId="15097"/>
    <cellStyle name="Normal 3 2 2 6 2 3 2 5" xfId="19129"/>
    <cellStyle name="Normal 3 2 2 6 2 3 2 6" xfId="23161"/>
    <cellStyle name="Normal 3 2 2 6 2 3 2 7" xfId="27193"/>
    <cellStyle name="Normal 3 2 2 6 2 3 2 8" xfId="31225"/>
    <cellStyle name="Normal 3 2 2 6 2 3 2 9" xfId="35257"/>
    <cellStyle name="Normal 3 2 2 6 2 3 3" xfId="8096"/>
    <cellStyle name="Normal 3 2 2 6 2 3 3 10" xfId="44386"/>
    <cellStyle name="Normal 3 2 2 6 2 3 3 11" xfId="48418"/>
    <cellStyle name="Normal 3 2 2 6 2 3 3 12" xfId="52497"/>
    <cellStyle name="Normal 3 2 2 6 2 3 3 2" xfId="12130"/>
    <cellStyle name="Normal 3 2 2 6 2 3 3 3" xfId="16162"/>
    <cellStyle name="Normal 3 2 2 6 2 3 3 4" xfId="20194"/>
    <cellStyle name="Normal 3 2 2 6 2 3 3 5" xfId="24226"/>
    <cellStyle name="Normal 3 2 2 6 2 3 3 6" xfId="28258"/>
    <cellStyle name="Normal 3 2 2 6 2 3 3 7" xfId="32290"/>
    <cellStyle name="Normal 3 2 2 6 2 3 3 8" xfId="36322"/>
    <cellStyle name="Normal 3 2 2 6 2 3 3 9" xfId="40354"/>
    <cellStyle name="Normal 3 2 2 6 2 3 4" xfId="10114"/>
    <cellStyle name="Normal 3 2 2 6 2 3 5" xfId="14146"/>
    <cellStyle name="Normal 3 2 2 6 2 3 6" xfId="18178"/>
    <cellStyle name="Normal 3 2 2 6 2 3 7" xfId="22210"/>
    <cellStyle name="Normal 3 2 2 6 2 3 8" xfId="26242"/>
    <cellStyle name="Normal 3 2 2 6 2 3 9" xfId="30274"/>
    <cellStyle name="Normal 3 2 2 6 2 4" xfId="4602"/>
    <cellStyle name="Normal 3 2 2 6 2 4 10" xfId="38476"/>
    <cellStyle name="Normal 3 2 2 6 2 4 11" xfId="42508"/>
    <cellStyle name="Normal 3 2 2 6 2 4 12" xfId="46540"/>
    <cellStyle name="Normal 3 2 2 6 2 4 13" xfId="50619"/>
    <cellStyle name="Normal 3 2 2 6 2 4 2" xfId="8234"/>
    <cellStyle name="Normal 3 2 2 6 2 4 2 10" xfId="44524"/>
    <cellStyle name="Normal 3 2 2 6 2 4 2 11" xfId="48556"/>
    <cellStyle name="Normal 3 2 2 6 2 4 2 12" xfId="52635"/>
    <cellStyle name="Normal 3 2 2 6 2 4 2 2" xfId="12268"/>
    <cellStyle name="Normal 3 2 2 6 2 4 2 3" xfId="16300"/>
    <cellStyle name="Normal 3 2 2 6 2 4 2 4" xfId="20332"/>
    <cellStyle name="Normal 3 2 2 6 2 4 2 5" xfId="24364"/>
    <cellStyle name="Normal 3 2 2 6 2 4 2 6" xfId="28396"/>
    <cellStyle name="Normal 3 2 2 6 2 4 2 7" xfId="32428"/>
    <cellStyle name="Normal 3 2 2 6 2 4 2 8" xfId="36460"/>
    <cellStyle name="Normal 3 2 2 6 2 4 2 9" xfId="40492"/>
    <cellStyle name="Normal 3 2 2 6 2 4 3" xfId="10252"/>
    <cellStyle name="Normal 3 2 2 6 2 4 4" xfId="14284"/>
    <cellStyle name="Normal 3 2 2 6 2 4 5" xfId="18316"/>
    <cellStyle name="Normal 3 2 2 6 2 4 6" xfId="22348"/>
    <cellStyle name="Normal 3 2 2 6 2 4 7" xfId="26380"/>
    <cellStyle name="Normal 3 2 2 6 2 4 8" xfId="30412"/>
    <cellStyle name="Normal 3 2 2 6 2 4 9" xfId="34444"/>
    <cellStyle name="Normal 3 2 2 6 2 5" xfId="1639"/>
    <cellStyle name="Normal 3 2 2 6 2 5 10" xfId="37632"/>
    <cellStyle name="Normal 3 2 2 6 2 5 11" xfId="41664"/>
    <cellStyle name="Normal 3 2 2 6 2 5 12" xfId="45696"/>
    <cellStyle name="Normal 3 2 2 6 2 5 13" xfId="49774"/>
    <cellStyle name="Normal 3 2 2 6 2 5 2" xfId="7390"/>
    <cellStyle name="Normal 3 2 2 6 2 5 2 10" xfId="43680"/>
    <cellStyle name="Normal 3 2 2 6 2 5 2 11" xfId="47712"/>
    <cellStyle name="Normal 3 2 2 6 2 5 2 12" xfId="51791"/>
    <cellStyle name="Normal 3 2 2 6 2 5 2 2" xfId="11424"/>
    <cellStyle name="Normal 3 2 2 6 2 5 2 3" xfId="15456"/>
    <cellStyle name="Normal 3 2 2 6 2 5 2 4" xfId="19488"/>
    <cellStyle name="Normal 3 2 2 6 2 5 2 5" xfId="23520"/>
    <cellStyle name="Normal 3 2 2 6 2 5 2 6" xfId="27552"/>
    <cellStyle name="Normal 3 2 2 6 2 5 2 7" xfId="31584"/>
    <cellStyle name="Normal 3 2 2 6 2 5 2 8" xfId="35616"/>
    <cellStyle name="Normal 3 2 2 6 2 5 2 9" xfId="39648"/>
    <cellStyle name="Normal 3 2 2 6 2 5 3" xfId="9408"/>
    <cellStyle name="Normal 3 2 2 6 2 5 4" xfId="13440"/>
    <cellStyle name="Normal 3 2 2 6 2 5 5" xfId="17472"/>
    <cellStyle name="Normal 3 2 2 6 2 5 6" xfId="21504"/>
    <cellStyle name="Normal 3 2 2 6 2 5 7" xfId="25536"/>
    <cellStyle name="Normal 3 2 2 6 2 5 8" xfId="29568"/>
    <cellStyle name="Normal 3 2 2 6 2 5 9" xfId="33600"/>
    <cellStyle name="Normal 3 2 2 6 2 6" xfId="7169"/>
    <cellStyle name="Normal 3 2 2 6 2 6 10" xfId="43459"/>
    <cellStyle name="Normal 3 2 2 6 2 6 11" xfId="47491"/>
    <cellStyle name="Normal 3 2 2 6 2 6 12" xfId="51570"/>
    <cellStyle name="Normal 3 2 2 6 2 6 2" xfId="11203"/>
    <cellStyle name="Normal 3 2 2 6 2 6 3" xfId="15235"/>
    <cellStyle name="Normal 3 2 2 6 2 6 4" xfId="19267"/>
    <cellStyle name="Normal 3 2 2 6 2 6 5" xfId="23299"/>
    <cellStyle name="Normal 3 2 2 6 2 6 6" xfId="27331"/>
    <cellStyle name="Normal 3 2 2 6 2 6 7" xfId="31363"/>
    <cellStyle name="Normal 3 2 2 6 2 6 8" xfId="35395"/>
    <cellStyle name="Normal 3 2 2 6 2 6 9" xfId="39427"/>
    <cellStyle name="Normal 3 2 2 6 2 7" xfId="9187"/>
    <cellStyle name="Normal 3 2 2 6 2 8" xfId="13219"/>
    <cellStyle name="Normal 3 2 2 6 2 9" xfId="17251"/>
    <cellStyle name="Normal 3 2 2 6 20" xfId="37342"/>
    <cellStyle name="Normal 3 2 2 6 21" xfId="41374"/>
    <cellStyle name="Normal 3 2 2 6 22" xfId="45406"/>
    <cellStyle name="Normal 3 2 2 6 23" xfId="49484"/>
    <cellStyle name="Normal 3 2 2 6 3" xfId="1713"/>
    <cellStyle name="Normal 3 2 2 6 3 10" xfId="33669"/>
    <cellStyle name="Normal 3 2 2 6 3 11" xfId="37701"/>
    <cellStyle name="Normal 3 2 2 6 3 12" xfId="41733"/>
    <cellStyle name="Normal 3 2 2 6 3 13" xfId="45765"/>
    <cellStyle name="Normal 3 2 2 6 3 14" xfId="49843"/>
    <cellStyle name="Normal 3 2 2 6 3 2" xfId="5384"/>
    <cellStyle name="Normal 3 2 2 6 3 2 10" xfId="38652"/>
    <cellStyle name="Normal 3 2 2 6 3 2 11" xfId="42684"/>
    <cellStyle name="Normal 3 2 2 6 3 2 12" xfId="46716"/>
    <cellStyle name="Normal 3 2 2 6 3 2 13" xfId="50795"/>
    <cellStyle name="Normal 3 2 2 6 3 2 2" xfId="8410"/>
    <cellStyle name="Normal 3 2 2 6 3 2 2 10" xfId="44700"/>
    <cellStyle name="Normal 3 2 2 6 3 2 2 11" xfId="48732"/>
    <cellStyle name="Normal 3 2 2 6 3 2 2 12" xfId="52811"/>
    <cellStyle name="Normal 3 2 2 6 3 2 2 2" xfId="12444"/>
    <cellStyle name="Normal 3 2 2 6 3 2 2 3" xfId="16476"/>
    <cellStyle name="Normal 3 2 2 6 3 2 2 4" xfId="20508"/>
    <cellStyle name="Normal 3 2 2 6 3 2 2 5" xfId="24540"/>
    <cellStyle name="Normal 3 2 2 6 3 2 2 6" xfId="28572"/>
    <cellStyle name="Normal 3 2 2 6 3 2 2 7" xfId="32604"/>
    <cellStyle name="Normal 3 2 2 6 3 2 2 8" xfId="36636"/>
    <cellStyle name="Normal 3 2 2 6 3 2 2 9" xfId="40668"/>
    <cellStyle name="Normal 3 2 2 6 3 2 3" xfId="10428"/>
    <cellStyle name="Normal 3 2 2 6 3 2 4" xfId="14460"/>
    <cellStyle name="Normal 3 2 2 6 3 2 5" xfId="18492"/>
    <cellStyle name="Normal 3 2 2 6 3 2 6" xfId="22524"/>
    <cellStyle name="Normal 3 2 2 6 3 2 7" xfId="26556"/>
    <cellStyle name="Normal 3 2 2 6 3 2 8" xfId="30588"/>
    <cellStyle name="Normal 3 2 2 6 3 2 9" xfId="34620"/>
    <cellStyle name="Normal 3 2 2 6 3 3" xfId="7459"/>
    <cellStyle name="Normal 3 2 2 6 3 3 10" xfId="43749"/>
    <cellStyle name="Normal 3 2 2 6 3 3 11" xfId="47781"/>
    <cellStyle name="Normal 3 2 2 6 3 3 12" xfId="51860"/>
    <cellStyle name="Normal 3 2 2 6 3 3 2" xfId="11493"/>
    <cellStyle name="Normal 3 2 2 6 3 3 3" xfId="15525"/>
    <cellStyle name="Normal 3 2 2 6 3 3 4" xfId="19557"/>
    <cellStyle name="Normal 3 2 2 6 3 3 5" xfId="23589"/>
    <cellStyle name="Normal 3 2 2 6 3 3 6" xfId="27621"/>
    <cellStyle name="Normal 3 2 2 6 3 3 7" xfId="31653"/>
    <cellStyle name="Normal 3 2 2 6 3 3 8" xfId="35685"/>
    <cellStyle name="Normal 3 2 2 6 3 3 9" xfId="39717"/>
    <cellStyle name="Normal 3 2 2 6 3 4" xfId="9477"/>
    <cellStyle name="Normal 3 2 2 6 3 5" xfId="13509"/>
    <cellStyle name="Normal 3 2 2 6 3 6" xfId="17541"/>
    <cellStyle name="Normal 3 2 2 6 3 7" xfId="21573"/>
    <cellStyle name="Normal 3 2 2 6 3 8" xfId="25605"/>
    <cellStyle name="Normal 3 2 2 6 3 9" xfId="29637"/>
    <cellStyle name="Normal 3 2 2 6 4" xfId="4035"/>
    <cellStyle name="Normal 3 2 2 6 4 10" xfId="33892"/>
    <cellStyle name="Normal 3 2 2 6 4 11" xfId="37924"/>
    <cellStyle name="Normal 3 2 2 6 4 12" xfId="41956"/>
    <cellStyle name="Normal 3 2 2 6 4 13" xfId="45988"/>
    <cellStyle name="Normal 3 2 2 6 4 14" xfId="50066"/>
    <cellStyle name="Normal 3 2 2 6 4 2" xfId="6617"/>
    <cellStyle name="Normal 3 2 2 6 4 2 10" xfId="38875"/>
    <cellStyle name="Normal 3 2 2 6 4 2 11" xfId="42907"/>
    <cellStyle name="Normal 3 2 2 6 4 2 12" xfId="46939"/>
    <cellStyle name="Normal 3 2 2 6 4 2 13" xfId="51018"/>
    <cellStyle name="Normal 3 2 2 6 4 2 2" xfId="8633"/>
    <cellStyle name="Normal 3 2 2 6 4 2 2 10" xfId="44923"/>
    <cellStyle name="Normal 3 2 2 6 4 2 2 11" xfId="48955"/>
    <cellStyle name="Normal 3 2 2 6 4 2 2 12" xfId="53034"/>
    <cellStyle name="Normal 3 2 2 6 4 2 2 2" xfId="12667"/>
    <cellStyle name="Normal 3 2 2 6 4 2 2 3" xfId="16699"/>
    <cellStyle name="Normal 3 2 2 6 4 2 2 4" xfId="20731"/>
    <cellStyle name="Normal 3 2 2 6 4 2 2 5" xfId="24763"/>
    <cellStyle name="Normal 3 2 2 6 4 2 2 6" xfId="28795"/>
    <cellStyle name="Normal 3 2 2 6 4 2 2 7" xfId="32827"/>
    <cellStyle name="Normal 3 2 2 6 4 2 2 8" xfId="36859"/>
    <cellStyle name="Normal 3 2 2 6 4 2 2 9" xfId="40891"/>
    <cellStyle name="Normal 3 2 2 6 4 2 3" xfId="10651"/>
    <cellStyle name="Normal 3 2 2 6 4 2 4" xfId="14683"/>
    <cellStyle name="Normal 3 2 2 6 4 2 5" xfId="18715"/>
    <cellStyle name="Normal 3 2 2 6 4 2 6" xfId="22747"/>
    <cellStyle name="Normal 3 2 2 6 4 2 7" xfId="26779"/>
    <cellStyle name="Normal 3 2 2 6 4 2 8" xfId="30811"/>
    <cellStyle name="Normal 3 2 2 6 4 2 9" xfId="34843"/>
    <cellStyle name="Normal 3 2 2 6 4 3" xfId="7682"/>
    <cellStyle name="Normal 3 2 2 6 4 3 10" xfId="43972"/>
    <cellStyle name="Normal 3 2 2 6 4 3 11" xfId="48004"/>
    <cellStyle name="Normal 3 2 2 6 4 3 12" xfId="52083"/>
    <cellStyle name="Normal 3 2 2 6 4 3 2" xfId="11716"/>
    <cellStyle name="Normal 3 2 2 6 4 3 3" xfId="15748"/>
    <cellStyle name="Normal 3 2 2 6 4 3 4" xfId="19780"/>
    <cellStyle name="Normal 3 2 2 6 4 3 5" xfId="23812"/>
    <cellStyle name="Normal 3 2 2 6 4 3 6" xfId="27844"/>
    <cellStyle name="Normal 3 2 2 6 4 3 7" xfId="31876"/>
    <cellStyle name="Normal 3 2 2 6 4 3 8" xfId="35908"/>
    <cellStyle name="Normal 3 2 2 6 4 3 9" xfId="39940"/>
    <cellStyle name="Normal 3 2 2 6 4 4" xfId="9700"/>
    <cellStyle name="Normal 3 2 2 6 4 5" xfId="13732"/>
    <cellStyle name="Normal 3 2 2 6 4 6" xfId="17764"/>
    <cellStyle name="Normal 3 2 2 6 4 7" xfId="21796"/>
    <cellStyle name="Normal 3 2 2 6 4 8" xfId="25828"/>
    <cellStyle name="Normal 3 2 2 6 4 9" xfId="29860"/>
    <cellStyle name="Normal 3 2 2 6 5" xfId="4105"/>
    <cellStyle name="Normal 3 2 2 6 5 10" xfId="33961"/>
    <cellStyle name="Normal 3 2 2 6 5 11" xfId="37993"/>
    <cellStyle name="Normal 3 2 2 6 5 12" xfId="42025"/>
    <cellStyle name="Normal 3 2 2 6 5 13" xfId="46057"/>
    <cellStyle name="Normal 3 2 2 6 5 14" xfId="50135"/>
    <cellStyle name="Normal 3 2 2 6 5 2" xfId="6686"/>
    <cellStyle name="Normal 3 2 2 6 5 2 10" xfId="38944"/>
    <cellStyle name="Normal 3 2 2 6 5 2 11" xfId="42976"/>
    <cellStyle name="Normal 3 2 2 6 5 2 12" xfId="47008"/>
    <cellStyle name="Normal 3 2 2 6 5 2 13" xfId="51087"/>
    <cellStyle name="Normal 3 2 2 6 5 2 2" xfId="8702"/>
    <cellStyle name="Normal 3 2 2 6 5 2 2 10" xfId="44992"/>
    <cellStyle name="Normal 3 2 2 6 5 2 2 11" xfId="49024"/>
    <cellStyle name="Normal 3 2 2 6 5 2 2 12" xfId="53103"/>
    <cellStyle name="Normal 3 2 2 6 5 2 2 2" xfId="12736"/>
    <cellStyle name="Normal 3 2 2 6 5 2 2 3" xfId="16768"/>
    <cellStyle name="Normal 3 2 2 6 5 2 2 4" xfId="20800"/>
    <cellStyle name="Normal 3 2 2 6 5 2 2 5" xfId="24832"/>
    <cellStyle name="Normal 3 2 2 6 5 2 2 6" xfId="28864"/>
    <cellStyle name="Normal 3 2 2 6 5 2 2 7" xfId="32896"/>
    <cellStyle name="Normal 3 2 2 6 5 2 2 8" xfId="36928"/>
    <cellStyle name="Normal 3 2 2 6 5 2 2 9" xfId="40960"/>
    <cellStyle name="Normal 3 2 2 6 5 2 3" xfId="10720"/>
    <cellStyle name="Normal 3 2 2 6 5 2 4" xfId="14752"/>
    <cellStyle name="Normal 3 2 2 6 5 2 5" xfId="18784"/>
    <cellStyle name="Normal 3 2 2 6 5 2 6" xfId="22816"/>
    <cellStyle name="Normal 3 2 2 6 5 2 7" xfId="26848"/>
    <cellStyle name="Normal 3 2 2 6 5 2 8" xfId="30880"/>
    <cellStyle name="Normal 3 2 2 6 5 2 9" xfId="34912"/>
    <cellStyle name="Normal 3 2 2 6 5 3" xfId="7751"/>
    <cellStyle name="Normal 3 2 2 6 5 3 10" xfId="44041"/>
    <cellStyle name="Normal 3 2 2 6 5 3 11" xfId="48073"/>
    <cellStyle name="Normal 3 2 2 6 5 3 12" xfId="52152"/>
    <cellStyle name="Normal 3 2 2 6 5 3 2" xfId="11785"/>
    <cellStyle name="Normal 3 2 2 6 5 3 3" xfId="15817"/>
    <cellStyle name="Normal 3 2 2 6 5 3 4" xfId="19849"/>
    <cellStyle name="Normal 3 2 2 6 5 3 5" xfId="23881"/>
    <cellStyle name="Normal 3 2 2 6 5 3 6" xfId="27913"/>
    <cellStyle name="Normal 3 2 2 6 5 3 7" xfId="31945"/>
    <cellStyle name="Normal 3 2 2 6 5 3 8" xfId="35977"/>
    <cellStyle name="Normal 3 2 2 6 5 3 9" xfId="40009"/>
    <cellStyle name="Normal 3 2 2 6 5 4" xfId="9769"/>
    <cellStyle name="Normal 3 2 2 6 5 5" xfId="13801"/>
    <cellStyle name="Normal 3 2 2 6 5 6" xfId="17833"/>
    <cellStyle name="Normal 3 2 2 6 5 7" xfId="21865"/>
    <cellStyle name="Normal 3 2 2 6 5 8" xfId="25897"/>
    <cellStyle name="Normal 3 2 2 6 5 9" xfId="29929"/>
    <cellStyle name="Normal 3 2 2 6 6" xfId="4174"/>
    <cellStyle name="Normal 3 2 2 6 6 10" xfId="34030"/>
    <cellStyle name="Normal 3 2 2 6 6 11" xfId="38062"/>
    <cellStyle name="Normal 3 2 2 6 6 12" xfId="42094"/>
    <cellStyle name="Normal 3 2 2 6 6 13" xfId="46126"/>
    <cellStyle name="Normal 3 2 2 6 6 14" xfId="50204"/>
    <cellStyle name="Normal 3 2 2 6 6 2" xfId="6755"/>
    <cellStyle name="Normal 3 2 2 6 6 2 10" xfId="39013"/>
    <cellStyle name="Normal 3 2 2 6 6 2 11" xfId="43045"/>
    <cellStyle name="Normal 3 2 2 6 6 2 12" xfId="47077"/>
    <cellStyle name="Normal 3 2 2 6 6 2 13" xfId="51156"/>
    <cellStyle name="Normal 3 2 2 6 6 2 2" xfId="8771"/>
    <cellStyle name="Normal 3 2 2 6 6 2 2 10" xfId="45061"/>
    <cellStyle name="Normal 3 2 2 6 6 2 2 11" xfId="49093"/>
    <cellStyle name="Normal 3 2 2 6 6 2 2 12" xfId="53172"/>
    <cellStyle name="Normal 3 2 2 6 6 2 2 2" xfId="12805"/>
    <cellStyle name="Normal 3 2 2 6 6 2 2 3" xfId="16837"/>
    <cellStyle name="Normal 3 2 2 6 6 2 2 4" xfId="20869"/>
    <cellStyle name="Normal 3 2 2 6 6 2 2 5" xfId="24901"/>
    <cellStyle name="Normal 3 2 2 6 6 2 2 6" xfId="28933"/>
    <cellStyle name="Normal 3 2 2 6 6 2 2 7" xfId="32965"/>
    <cellStyle name="Normal 3 2 2 6 6 2 2 8" xfId="36997"/>
    <cellStyle name="Normal 3 2 2 6 6 2 2 9" xfId="41029"/>
    <cellStyle name="Normal 3 2 2 6 6 2 3" xfId="10789"/>
    <cellStyle name="Normal 3 2 2 6 6 2 4" xfId="14821"/>
    <cellStyle name="Normal 3 2 2 6 6 2 5" xfId="18853"/>
    <cellStyle name="Normal 3 2 2 6 6 2 6" xfId="22885"/>
    <cellStyle name="Normal 3 2 2 6 6 2 7" xfId="26917"/>
    <cellStyle name="Normal 3 2 2 6 6 2 8" xfId="30949"/>
    <cellStyle name="Normal 3 2 2 6 6 2 9" xfId="34981"/>
    <cellStyle name="Normal 3 2 2 6 6 3" xfId="7820"/>
    <cellStyle name="Normal 3 2 2 6 6 3 10" xfId="44110"/>
    <cellStyle name="Normal 3 2 2 6 6 3 11" xfId="48142"/>
    <cellStyle name="Normal 3 2 2 6 6 3 12" xfId="52221"/>
    <cellStyle name="Normal 3 2 2 6 6 3 2" xfId="11854"/>
    <cellStyle name="Normal 3 2 2 6 6 3 3" xfId="15886"/>
    <cellStyle name="Normal 3 2 2 6 6 3 4" xfId="19918"/>
    <cellStyle name="Normal 3 2 2 6 6 3 5" xfId="23950"/>
    <cellStyle name="Normal 3 2 2 6 6 3 6" xfId="27982"/>
    <cellStyle name="Normal 3 2 2 6 6 3 7" xfId="32014"/>
    <cellStyle name="Normal 3 2 2 6 6 3 8" xfId="36046"/>
    <cellStyle name="Normal 3 2 2 6 6 3 9" xfId="40078"/>
    <cellStyle name="Normal 3 2 2 6 6 4" xfId="9838"/>
    <cellStyle name="Normal 3 2 2 6 6 5" xfId="13870"/>
    <cellStyle name="Normal 3 2 2 6 6 6" xfId="17902"/>
    <cellStyle name="Normal 3 2 2 6 6 7" xfId="21934"/>
    <cellStyle name="Normal 3 2 2 6 6 8" xfId="25966"/>
    <cellStyle name="Normal 3 2 2 6 6 9" xfId="29998"/>
    <cellStyle name="Normal 3 2 2 6 7" xfId="4247"/>
    <cellStyle name="Normal 3 2 2 6 7 10" xfId="34099"/>
    <cellStyle name="Normal 3 2 2 6 7 11" xfId="38131"/>
    <cellStyle name="Normal 3 2 2 6 7 12" xfId="42163"/>
    <cellStyle name="Normal 3 2 2 6 7 13" xfId="46195"/>
    <cellStyle name="Normal 3 2 2 6 7 14" xfId="50273"/>
    <cellStyle name="Normal 3 2 2 6 7 2" xfId="6824"/>
    <cellStyle name="Normal 3 2 2 6 7 2 10" xfId="39082"/>
    <cellStyle name="Normal 3 2 2 6 7 2 11" xfId="43114"/>
    <cellStyle name="Normal 3 2 2 6 7 2 12" xfId="47146"/>
    <cellStyle name="Normal 3 2 2 6 7 2 13" xfId="51225"/>
    <cellStyle name="Normal 3 2 2 6 7 2 2" xfId="8840"/>
    <cellStyle name="Normal 3 2 2 6 7 2 2 10" xfId="45130"/>
    <cellStyle name="Normal 3 2 2 6 7 2 2 11" xfId="49162"/>
    <cellStyle name="Normal 3 2 2 6 7 2 2 12" xfId="53241"/>
    <cellStyle name="Normal 3 2 2 6 7 2 2 2" xfId="12874"/>
    <cellStyle name="Normal 3 2 2 6 7 2 2 3" xfId="16906"/>
    <cellStyle name="Normal 3 2 2 6 7 2 2 4" xfId="20938"/>
    <cellStyle name="Normal 3 2 2 6 7 2 2 5" xfId="24970"/>
    <cellStyle name="Normal 3 2 2 6 7 2 2 6" xfId="29002"/>
    <cellStyle name="Normal 3 2 2 6 7 2 2 7" xfId="33034"/>
    <cellStyle name="Normal 3 2 2 6 7 2 2 8" xfId="37066"/>
    <cellStyle name="Normal 3 2 2 6 7 2 2 9" xfId="41098"/>
    <cellStyle name="Normal 3 2 2 6 7 2 3" xfId="10858"/>
    <cellStyle name="Normal 3 2 2 6 7 2 4" xfId="14890"/>
    <cellStyle name="Normal 3 2 2 6 7 2 5" xfId="18922"/>
    <cellStyle name="Normal 3 2 2 6 7 2 6" xfId="22954"/>
    <cellStyle name="Normal 3 2 2 6 7 2 7" xfId="26986"/>
    <cellStyle name="Normal 3 2 2 6 7 2 8" xfId="31018"/>
    <cellStyle name="Normal 3 2 2 6 7 2 9" xfId="35050"/>
    <cellStyle name="Normal 3 2 2 6 7 3" xfId="7889"/>
    <cellStyle name="Normal 3 2 2 6 7 3 10" xfId="44179"/>
    <cellStyle name="Normal 3 2 2 6 7 3 11" xfId="48211"/>
    <cellStyle name="Normal 3 2 2 6 7 3 12" xfId="52290"/>
    <cellStyle name="Normal 3 2 2 6 7 3 2" xfId="11923"/>
    <cellStyle name="Normal 3 2 2 6 7 3 3" xfId="15955"/>
    <cellStyle name="Normal 3 2 2 6 7 3 4" xfId="19987"/>
    <cellStyle name="Normal 3 2 2 6 7 3 5" xfId="24019"/>
    <cellStyle name="Normal 3 2 2 6 7 3 6" xfId="28051"/>
    <cellStyle name="Normal 3 2 2 6 7 3 7" xfId="32083"/>
    <cellStyle name="Normal 3 2 2 6 7 3 8" xfId="36115"/>
    <cellStyle name="Normal 3 2 2 6 7 3 9" xfId="40147"/>
    <cellStyle name="Normal 3 2 2 6 7 4" xfId="9907"/>
    <cellStyle name="Normal 3 2 2 6 7 5" xfId="13939"/>
    <cellStyle name="Normal 3 2 2 6 7 6" xfId="17971"/>
    <cellStyle name="Normal 3 2 2 6 7 7" xfId="22003"/>
    <cellStyle name="Normal 3 2 2 6 7 8" xfId="26035"/>
    <cellStyle name="Normal 3 2 2 6 7 9" xfId="30067"/>
    <cellStyle name="Normal 3 2 2 6 8" xfId="4393"/>
    <cellStyle name="Normal 3 2 2 6 8 10" xfId="34237"/>
    <cellStyle name="Normal 3 2 2 6 8 11" xfId="38269"/>
    <cellStyle name="Normal 3 2 2 6 8 12" xfId="42301"/>
    <cellStyle name="Normal 3 2 2 6 8 13" xfId="46333"/>
    <cellStyle name="Normal 3 2 2 6 8 14" xfId="50412"/>
    <cellStyle name="Normal 3 2 2 6 8 2" xfId="6962"/>
    <cellStyle name="Normal 3 2 2 6 8 2 10" xfId="39220"/>
    <cellStyle name="Normal 3 2 2 6 8 2 11" xfId="43252"/>
    <cellStyle name="Normal 3 2 2 6 8 2 12" xfId="47284"/>
    <cellStyle name="Normal 3 2 2 6 8 2 13" xfId="51363"/>
    <cellStyle name="Normal 3 2 2 6 8 2 2" xfId="8978"/>
    <cellStyle name="Normal 3 2 2 6 8 2 2 10" xfId="45268"/>
    <cellStyle name="Normal 3 2 2 6 8 2 2 11" xfId="49300"/>
    <cellStyle name="Normal 3 2 2 6 8 2 2 12" xfId="53379"/>
    <cellStyle name="Normal 3 2 2 6 8 2 2 2" xfId="13012"/>
    <cellStyle name="Normal 3 2 2 6 8 2 2 3" xfId="17044"/>
    <cellStyle name="Normal 3 2 2 6 8 2 2 4" xfId="21076"/>
    <cellStyle name="Normal 3 2 2 6 8 2 2 5" xfId="25108"/>
    <cellStyle name="Normal 3 2 2 6 8 2 2 6" xfId="29140"/>
    <cellStyle name="Normal 3 2 2 6 8 2 2 7" xfId="33172"/>
    <cellStyle name="Normal 3 2 2 6 8 2 2 8" xfId="37204"/>
    <cellStyle name="Normal 3 2 2 6 8 2 2 9" xfId="41236"/>
    <cellStyle name="Normal 3 2 2 6 8 2 3" xfId="10996"/>
    <cellStyle name="Normal 3 2 2 6 8 2 4" xfId="15028"/>
    <cellStyle name="Normal 3 2 2 6 8 2 5" xfId="19060"/>
    <cellStyle name="Normal 3 2 2 6 8 2 6" xfId="23092"/>
    <cellStyle name="Normal 3 2 2 6 8 2 7" xfId="27124"/>
    <cellStyle name="Normal 3 2 2 6 8 2 8" xfId="31156"/>
    <cellStyle name="Normal 3 2 2 6 8 2 9" xfId="35188"/>
    <cellStyle name="Normal 3 2 2 6 8 3" xfId="8027"/>
    <cellStyle name="Normal 3 2 2 6 8 3 10" xfId="44317"/>
    <cellStyle name="Normal 3 2 2 6 8 3 11" xfId="48349"/>
    <cellStyle name="Normal 3 2 2 6 8 3 12" xfId="52428"/>
    <cellStyle name="Normal 3 2 2 6 8 3 2" xfId="12061"/>
    <cellStyle name="Normal 3 2 2 6 8 3 3" xfId="16093"/>
    <cellStyle name="Normal 3 2 2 6 8 3 4" xfId="20125"/>
    <cellStyle name="Normal 3 2 2 6 8 3 5" xfId="24157"/>
    <cellStyle name="Normal 3 2 2 6 8 3 6" xfId="28189"/>
    <cellStyle name="Normal 3 2 2 6 8 3 7" xfId="32221"/>
    <cellStyle name="Normal 3 2 2 6 8 3 8" xfId="36253"/>
    <cellStyle name="Normal 3 2 2 6 8 3 9" xfId="40285"/>
    <cellStyle name="Normal 3 2 2 6 8 4" xfId="10045"/>
    <cellStyle name="Normal 3 2 2 6 8 5" xfId="14077"/>
    <cellStyle name="Normal 3 2 2 6 8 6" xfId="18109"/>
    <cellStyle name="Normal 3 2 2 6 8 7" xfId="22141"/>
    <cellStyle name="Normal 3 2 2 6 8 8" xfId="26173"/>
    <cellStyle name="Normal 3 2 2 6 8 9" xfId="30205"/>
    <cellStyle name="Normal 3 2 2 6 9" xfId="4531"/>
    <cellStyle name="Normal 3 2 2 6 9 10" xfId="38407"/>
    <cellStyle name="Normal 3 2 2 6 9 11" xfId="42439"/>
    <cellStyle name="Normal 3 2 2 6 9 12" xfId="46471"/>
    <cellStyle name="Normal 3 2 2 6 9 13" xfId="50550"/>
    <cellStyle name="Normal 3 2 2 6 9 2" xfId="8165"/>
    <cellStyle name="Normal 3 2 2 6 9 2 10" xfId="44455"/>
    <cellStyle name="Normal 3 2 2 6 9 2 11" xfId="48487"/>
    <cellStyle name="Normal 3 2 2 6 9 2 12" xfId="52566"/>
    <cellStyle name="Normal 3 2 2 6 9 2 2" xfId="12199"/>
    <cellStyle name="Normal 3 2 2 6 9 2 3" xfId="16231"/>
    <cellStyle name="Normal 3 2 2 6 9 2 4" xfId="20263"/>
    <cellStyle name="Normal 3 2 2 6 9 2 5" xfId="24295"/>
    <cellStyle name="Normal 3 2 2 6 9 2 6" xfId="28327"/>
    <cellStyle name="Normal 3 2 2 6 9 2 7" xfId="32359"/>
    <cellStyle name="Normal 3 2 2 6 9 2 8" xfId="36391"/>
    <cellStyle name="Normal 3 2 2 6 9 2 9" xfId="40423"/>
    <cellStyle name="Normal 3 2 2 6 9 3" xfId="10183"/>
    <cellStyle name="Normal 3 2 2 6 9 4" xfId="14215"/>
    <cellStyle name="Normal 3 2 2 6 9 5" xfId="18247"/>
    <cellStyle name="Normal 3 2 2 6 9 6" xfId="22279"/>
    <cellStyle name="Normal 3 2 2 6 9 7" xfId="26311"/>
    <cellStyle name="Normal 3 2 2 6 9 8" xfId="30343"/>
    <cellStyle name="Normal 3 2 2 6 9 9" xfId="34375"/>
    <cellStyle name="Normal 3 2 2 7" xfId="186"/>
    <cellStyle name="Normal 3 2 2 7 10" xfId="21267"/>
    <cellStyle name="Normal 3 2 2 7 11" xfId="25299"/>
    <cellStyle name="Normal 3 2 2 7 12" xfId="29331"/>
    <cellStyle name="Normal 3 2 2 7 13" xfId="33363"/>
    <cellStyle name="Normal 3 2 2 7 14" xfId="37395"/>
    <cellStyle name="Normal 3 2 2 7 15" xfId="41427"/>
    <cellStyle name="Normal 3 2 2 7 16" xfId="45459"/>
    <cellStyle name="Normal 3 2 2 7 17" xfId="49537"/>
    <cellStyle name="Normal 3 2 2 7 2" xfId="4305"/>
    <cellStyle name="Normal 3 2 2 7 2 10" xfId="34152"/>
    <cellStyle name="Normal 3 2 2 7 2 11" xfId="38184"/>
    <cellStyle name="Normal 3 2 2 7 2 12" xfId="42216"/>
    <cellStyle name="Normal 3 2 2 7 2 13" xfId="46248"/>
    <cellStyle name="Normal 3 2 2 7 2 14" xfId="50327"/>
    <cellStyle name="Normal 3 2 2 7 2 2" xfId="6877"/>
    <cellStyle name="Normal 3 2 2 7 2 2 10" xfId="39135"/>
    <cellStyle name="Normal 3 2 2 7 2 2 11" xfId="43167"/>
    <cellStyle name="Normal 3 2 2 7 2 2 12" xfId="47199"/>
    <cellStyle name="Normal 3 2 2 7 2 2 13" xfId="51278"/>
    <cellStyle name="Normal 3 2 2 7 2 2 2" xfId="8893"/>
    <cellStyle name="Normal 3 2 2 7 2 2 2 10" xfId="45183"/>
    <cellStyle name="Normal 3 2 2 7 2 2 2 11" xfId="49215"/>
    <cellStyle name="Normal 3 2 2 7 2 2 2 12" xfId="53294"/>
    <cellStyle name="Normal 3 2 2 7 2 2 2 2" xfId="12927"/>
    <cellStyle name="Normal 3 2 2 7 2 2 2 3" xfId="16959"/>
    <cellStyle name="Normal 3 2 2 7 2 2 2 4" xfId="20991"/>
    <cellStyle name="Normal 3 2 2 7 2 2 2 5" xfId="25023"/>
    <cellStyle name="Normal 3 2 2 7 2 2 2 6" xfId="29055"/>
    <cellStyle name="Normal 3 2 2 7 2 2 2 7" xfId="33087"/>
    <cellStyle name="Normal 3 2 2 7 2 2 2 8" xfId="37119"/>
    <cellStyle name="Normal 3 2 2 7 2 2 2 9" xfId="41151"/>
    <cellStyle name="Normal 3 2 2 7 2 2 3" xfId="10911"/>
    <cellStyle name="Normal 3 2 2 7 2 2 4" xfId="14943"/>
    <cellStyle name="Normal 3 2 2 7 2 2 5" xfId="18975"/>
    <cellStyle name="Normal 3 2 2 7 2 2 6" xfId="23007"/>
    <cellStyle name="Normal 3 2 2 7 2 2 7" xfId="27039"/>
    <cellStyle name="Normal 3 2 2 7 2 2 8" xfId="31071"/>
    <cellStyle name="Normal 3 2 2 7 2 2 9" xfId="35103"/>
    <cellStyle name="Normal 3 2 2 7 2 3" xfId="7942"/>
    <cellStyle name="Normal 3 2 2 7 2 3 10" xfId="44232"/>
    <cellStyle name="Normal 3 2 2 7 2 3 11" xfId="48264"/>
    <cellStyle name="Normal 3 2 2 7 2 3 12" xfId="52343"/>
    <cellStyle name="Normal 3 2 2 7 2 3 2" xfId="11976"/>
    <cellStyle name="Normal 3 2 2 7 2 3 3" xfId="16008"/>
    <cellStyle name="Normal 3 2 2 7 2 3 4" xfId="20040"/>
    <cellStyle name="Normal 3 2 2 7 2 3 5" xfId="24072"/>
    <cellStyle name="Normal 3 2 2 7 2 3 6" xfId="28104"/>
    <cellStyle name="Normal 3 2 2 7 2 3 7" xfId="32136"/>
    <cellStyle name="Normal 3 2 2 7 2 3 8" xfId="36168"/>
    <cellStyle name="Normal 3 2 2 7 2 3 9" xfId="40200"/>
    <cellStyle name="Normal 3 2 2 7 2 4" xfId="9960"/>
    <cellStyle name="Normal 3 2 2 7 2 5" xfId="13992"/>
    <cellStyle name="Normal 3 2 2 7 2 6" xfId="18024"/>
    <cellStyle name="Normal 3 2 2 7 2 7" xfId="22056"/>
    <cellStyle name="Normal 3 2 2 7 2 8" xfId="26088"/>
    <cellStyle name="Normal 3 2 2 7 2 9" xfId="30120"/>
    <cellStyle name="Normal 3 2 2 7 3" xfId="4446"/>
    <cellStyle name="Normal 3 2 2 7 3 10" xfId="34290"/>
    <cellStyle name="Normal 3 2 2 7 3 11" xfId="38322"/>
    <cellStyle name="Normal 3 2 2 7 3 12" xfId="42354"/>
    <cellStyle name="Normal 3 2 2 7 3 13" xfId="46386"/>
    <cellStyle name="Normal 3 2 2 7 3 14" xfId="50465"/>
    <cellStyle name="Normal 3 2 2 7 3 2" xfId="7015"/>
    <cellStyle name="Normal 3 2 2 7 3 2 10" xfId="39273"/>
    <cellStyle name="Normal 3 2 2 7 3 2 11" xfId="43305"/>
    <cellStyle name="Normal 3 2 2 7 3 2 12" xfId="47337"/>
    <cellStyle name="Normal 3 2 2 7 3 2 13" xfId="51416"/>
    <cellStyle name="Normal 3 2 2 7 3 2 2" xfId="9031"/>
    <cellStyle name="Normal 3 2 2 7 3 2 2 10" xfId="45321"/>
    <cellStyle name="Normal 3 2 2 7 3 2 2 11" xfId="49353"/>
    <cellStyle name="Normal 3 2 2 7 3 2 2 12" xfId="53432"/>
    <cellStyle name="Normal 3 2 2 7 3 2 2 2" xfId="13065"/>
    <cellStyle name="Normal 3 2 2 7 3 2 2 3" xfId="17097"/>
    <cellStyle name="Normal 3 2 2 7 3 2 2 4" xfId="21129"/>
    <cellStyle name="Normal 3 2 2 7 3 2 2 5" xfId="25161"/>
    <cellStyle name="Normal 3 2 2 7 3 2 2 6" xfId="29193"/>
    <cellStyle name="Normal 3 2 2 7 3 2 2 7" xfId="33225"/>
    <cellStyle name="Normal 3 2 2 7 3 2 2 8" xfId="37257"/>
    <cellStyle name="Normal 3 2 2 7 3 2 2 9" xfId="41289"/>
    <cellStyle name="Normal 3 2 2 7 3 2 3" xfId="11049"/>
    <cellStyle name="Normal 3 2 2 7 3 2 4" xfId="15081"/>
    <cellStyle name="Normal 3 2 2 7 3 2 5" xfId="19113"/>
    <cellStyle name="Normal 3 2 2 7 3 2 6" xfId="23145"/>
    <cellStyle name="Normal 3 2 2 7 3 2 7" xfId="27177"/>
    <cellStyle name="Normal 3 2 2 7 3 2 8" xfId="31209"/>
    <cellStyle name="Normal 3 2 2 7 3 2 9" xfId="35241"/>
    <cellStyle name="Normal 3 2 2 7 3 3" xfId="8080"/>
    <cellStyle name="Normal 3 2 2 7 3 3 10" xfId="44370"/>
    <cellStyle name="Normal 3 2 2 7 3 3 11" xfId="48402"/>
    <cellStyle name="Normal 3 2 2 7 3 3 12" xfId="52481"/>
    <cellStyle name="Normal 3 2 2 7 3 3 2" xfId="12114"/>
    <cellStyle name="Normal 3 2 2 7 3 3 3" xfId="16146"/>
    <cellStyle name="Normal 3 2 2 7 3 3 4" xfId="20178"/>
    <cellStyle name="Normal 3 2 2 7 3 3 5" xfId="24210"/>
    <cellStyle name="Normal 3 2 2 7 3 3 6" xfId="28242"/>
    <cellStyle name="Normal 3 2 2 7 3 3 7" xfId="32274"/>
    <cellStyle name="Normal 3 2 2 7 3 3 8" xfId="36306"/>
    <cellStyle name="Normal 3 2 2 7 3 3 9" xfId="40338"/>
    <cellStyle name="Normal 3 2 2 7 3 4" xfId="10098"/>
    <cellStyle name="Normal 3 2 2 7 3 5" xfId="14130"/>
    <cellStyle name="Normal 3 2 2 7 3 6" xfId="18162"/>
    <cellStyle name="Normal 3 2 2 7 3 7" xfId="22194"/>
    <cellStyle name="Normal 3 2 2 7 3 8" xfId="26226"/>
    <cellStyle name="Normal 3 2 2 7 3 9" xfId="30258"/>
    <cellStyle name="Normal 3 2 2 7 4" xfId="4586"/>
    <cellStyle name="Normal 3 2 2 7 4 10" xfId="38460"/>
    <cellStyle name="Normal 3 2 2 7 4 11" xfId="42492"/>
    <cellStyle name="Normal 3 2 2 7 4 12" xfId="46524"/>
    <cellStyle name="Normal 3 2 2 7 4 13" xfId="50603"/>
    <cellStyle name="Normal 3 2 2 7 4 2" xfId="8218"/>
    <cellStyle name="Normal 3 2 2 7 4 2 10" xfId="44508"/>
    <cellStyle name="Normal 3 2 2 7 4 2 11" xfId="48540"/>
    <cellStyle name="Normal 3 2 2 7 4 2 12" xfId="52619"/>
    <cellStyle name="Normal 3 2 2 7 4 2 2" xfId="12252"/>
    <cellStyle name="Normal 3 2 2 7 4 2 3" xfId="16284"/>
    <cellStyle name="Normal 3 2 2 7 4 2 4" xfId="20316"/>
    <cellStyle name="Normal 3 2 2 7 4 2 5" xfId="24348"/>
    <cellStyle name="Normal 3 2 2 7 4 2 6" xfId="28380"/>
    <cellStyle name="Normal 3 2 2 7 4 2 7" xfId="32412"/>
    <cellStyle name="Normal 3 2 2 7 4 2 8" xfId="36444"/>
    <cellStyle name="Normal 3 2 2 7 4 2 9" xfId="40476"/>
    <cellStyle name="Normal 3 2 2 7 4 3" xfId="10236"/>
    <cellStyle name="Normal 3 2 2 7 4 4" xfId="14268"/>
    <cellStyle name="Normal 3 2 2 7 4 5" xfId="18300"/>
    <cellStyle name="Normal 3 2 2 7 4 6" xfId="22332"/>
    <cellStyle name="Normal 3 2 2 7 4 7" xfId="26364"/>
    <cellStyle name="Normal 3 2 2 7 4 8" xfId="30396"/>
    <cellStyle name="Normal 3 2 2 7 4 9" xfId="34428"/>
    <cellStyle name="Normal 3 2 2 7 5" xfId="909"/>
    <cellStyle name="Normal 3 2 2 7 6" xfId="7153"/>
    <cellStyle name="Normal 3 2 2 7 6 10" xfId="43443"/>
    <cellStyle name="Normal 3 2 2 7 6 11" xfId="47475"/>
    <cellStyle name="Normal 3 2 2 7 6 12" xfId="51554"/>
    <cellStyle name="Normal 3 2 2 7 6 2" xfId="11187"/>
    <cellStyle name="Normal 3 2 2 7 6 3" xfId="15219"/>
    <cellStyle name="Normal 3 2 2 7 6 4" xfId="19251"/>
    <cellStyle name="Normal 3 2 2 7 6 5" xfId="23283"/>
    <cellStyle name="Normal 3 2 2 7 6 6" xfId="27315"/>
    <cellStyle name="Normal 3 2 2 7 6 7" xfId="31347"/>
    <cellStyle name="Normal 3 2 2 7 6 8" xfId="35379"/>
    <cellStyle name="Normal 3 2 2 7 6 9" xfId="39411"/>
    <cellStyle name="Normal 3 2 2 7 7" xfId="9171"/>
    <cellStyle name="Normal 3 2 2 7 8" xfId="13203"/>
    <cellStyle name="Normal 3 2 2 7 9" xfId="17235"/>
    <cellStyle name="Normal 3 2 2 8" xfId="313"/>
    <cellStyle name="Normal 3 2 2 8 10" xfId="33486"/>
    <cellStyle name="Normal 3 2 2 8 11" xfId="37518"/>
    <cellStyle name="Normal 3 2 2 8 12" xfId="41550"/>
    <cellStyle name="Normal 3 2 2 8 13" xfId="45582"/>
    <cellStyle name="Normal 3 2 2 8 14" xfId="49660"/>
    <cellStyle name="Normal 3 2 2 8 2" xfId="4655"/>
    <cellStyle name="Normal 3 2 2 8 2 10" xfId="38529"/>
    <cellStyle name="Normal 3 2 2 8 2 11" xfId="42561"/>
    <cellStyle name="Normal 3 2 2 8 2 12" xfId="46593"/>
    <cellStyle name="Normal 3 2 2 8 2 13" xfId="50672"/>
    <cellStyle name="Normal 3 2 2 8 2 2" xfId="8287"/>
    <cellStyle name="Normal 3 2 2 8 2 2 10" xfId="44577"/>
    <cellStyle name="Normal 3 2 2 8 2 2 11" xfId="48609"/>
    <cellStyle name="Normal 3 2 2 8 2 2 12" xfId="52688"/>
    <cellStyle name="Normal 3 2 2 8 2 2 2" xfId="12321"/>
    <cellStyle name="Normal 3 2 2 8 2 2 3" xfId="16353"/>
    <cellStyle name="Normal 3 2 2 8 2 2 4" xfId="20385"/>
    <cellStyle name="Normal 3 2 2 8 2 2 5" xfId="24417"/>
    <cellStyle name="Normal 3 2 2 8 2 2 6" xfId="28449"/>
    <cellStyle name="Normal 3 2 2 8 2 2 7" xfId="32481"/>
    <cellStyle name="Normal 3 2 2 8 2 2 8" xfId="36513"/>
    <cellStyle name="Normal 3 2 2 8 2 2 9" xfId="40545"/>
    <cellStyle name="Normal 3 2 2 8 2 3" xfId="10305"/>
    <cellStyle name="Normal 3 2 2 8 2 4" xfId="14337"/>
    <cellStyle name="Normal 3 2 2 8 2 5" xfId="18369"/>
    <cellStyle name="Normal 3 2 2 8 2 6" xfId="22401"/>
    <cellStyle name="Normal 3 2 2 8 2 7" xfId="26433"/>
    <cellStyle name="Normal 3 2 2 8 2 8" xfId="30465"/>
    <cellStyle name="Normal 3 2 2 8 2 9" xfId="34497"/>
    <cellStyle name="Normal 3 2 2 8 3" xfId="7276"/>
    <cellStyle name="Normal 3 2 2 8 3 10" xfId="43566"/>
    <cellStyle name="Normal 3 2 2 8 3 11" xfId="47598"/>
    <cellStyle name="Normal 3 2 2 8 3 12" xfId="51677"/>
    <cellStyle name="Normal 3 2 2 8 3 2" xfId="11310"/>
    <cellStyle name="Normal 3 2 2 8 3 3" xfId="15342"/>
    <cellStyle name="Normal 3 2 2 8 3 4" xfId="19374"/>
    <cellStyle name="Normal 3 2 2 8 3 5" xfId="23406"/>
    <cellStyle name="Normal 3 2 2 8 3 6" xfId="27438"/>
    <cellStyle name="Normal 3 2 2 8 3 7" xfId="31470"/>
    <cellStyle name="Normal 3 2 2 8 3 8" xfId="35502"/>
    <cellStyle name="Normal 3 2 2 8 3 9" xfId="39534"/>
    <cellStyle name="Normal 3 2 2 8 4" xfId="9294"/>
    <cellStyle name="Normal 3 2 2 8 5" xfId="13326"/>
    <cellStyle name="Normal 3 2 2 8 6" xfId="17358"/>
    <cellStyle name="Normal 3 2 2 8 7" xfId="21390"/>
    <cellStyle name="Normal 3 2 2 8 8" xfId="25422"/>
    <cellStyle name="Normal 3 2 2 8 9" xfId="29454"/>
    <cellStyle name="Normal 3 2 2 9" xfId="1623"/>
    <cellStyle name="Normal 3 2 2 9 10" xfId="33584"/>
    <cellStyle name="Normal 3 2 2 9 11" xfId="37616"/>
    <cellStyle name="Normal 3 2 2 9 12" xfId="41648"/>
    <cellStyle name="Normal 3 2 2 9 13" xfId="45680"/>
    <cellStyle name="Normal 3 2 2 9 14" xfId="49758"/>
    <cellStyle name="Normal 3 2 2 9 2" xfId="5312"/>
    <cellStyle name="Normal 3 2 2 9 2 10" xfId="38580"/>
    <cellStyle name="Normal 3 2 2 9 2 11" xfId="42612"/>
    <cellStyle name="Normal 3 2 2 9 2 12" xfId="46644"/>
    <cellStyle name="Normal 3 2 2 9 2 13" xfId="50723"/>
    <cellStyle name="Normal 3 2 2 9 2 2" xfId="8338"/>
    <cellStyle name="Normal 3 2 2 9 2 2 10" xfId="44628"/>
    <cellStyle name="Normal 3 2 2 9 2 2 11" xfId="48660"/>
    <cellStyle name="Normal 3 2 2 9 2 2 12" xfId="52739"/>
    <cellStyle name="Normal 3 2 2 9 2 2 2" xfId="12372"/>
    <cellStyle name="Normal 3 2 2 9 2 2 3" xfId="16404"/>
    <cellStyle name="Normal 3 2 2 9 2 2 4" xfId="20436"/>
    <cellStyle name="Normal 3 2 2 9 2 2 5" xfId="24468"/>
    <cellStyle name="Normal 3 2 2 9 2 2 6" xfId="28500"/>
    <cellStyle name="Normal 3 2 2 9 2 2 7" xfId="32532"/>
    <cellStyle name="Normal 3 2 2 9 2 2 8" xfId="36564"/>
    <cellStyle name="Normal 3 2 2 9 2 2 9" xfId="40596"/>
    <cellStyle name="Normal 3 2 2 9 2 3" xfId="10356"/>
    <cellStyle name="Normal 3 2 2 9 2 4" xfId="14388"/>
    <cellStyle name="Normal 3 2 2 9 2 5" xfId="18420"/>
    <cellStyle name="Normal 3 2 2 9 2 6" xfId="22452"/>
    <cellStyle name="Normal 3 2 2 9 2 7" xfId="26484"/>
    <cellStyle name="Normal 3 2 2 9 2 8" xfId="30516"/>
    <cellStyle name="Normal 3 2 2 9 2 9" xfId="34548"/>
    <cellStyle name="Normal 3 2 2 9 3" xfId="7374"/>
    <cellStyle name="Normal 3 2 2 9 3 10" xfId="43664"/>
    <cellStyle name="Normal 3 2 2 9 3 11" xfId="47696"/>
    <cellStyle name="Normal 3 2 2 9 3 12" xfId="51775"/>
    <cellStyle name="Normal 3 2 2 9 3 2" xfId="11408"/>
    <cellStyle name="Normal 3 2 2 9 3 3" xfId="15440"/>
    <cellStyle name="Normal 3 2 2 9 3 4" xfId="19472"/>
    <cellStyle name="Normal 3 2 2 9 3 5" xfId="23504"/>
    <cellStyle name="Normal 3 2 2 9 3 6" xfId="27536"/>
    <cellStyle name="Normal 3 2 2 9 3 7" xfId="31568"/>
    <cellStyle name="Normal 3 2 2 9 3 8" xfId="35600"/>
    <cellStyle name="Normal 3 2 2 9 3 9" xfId="39632"/>
    <cellStyle name="Normal 3 2 2 9 4" xfId="9392"/>
    <cellStyle name="Normal 3 2 2 9 5" xfId="13424"/>
    <cellStyle name="Normal 3 2 2 9 6" xfId="17456"/>
    <cellStyle name="Normal 3 2 2 9 7" xfId="21488"/>
    <cellStyle name="Normal 3 2 2 9 8" xfId="25520"/>
    <cellStyle name="Normal 3 2 2 9 9" xfId="29552"/>
    <cellStyle name="Normal 3 2 20" xfId="7082"/>
    <cellStyle name="Normal 3 2 20 10" xfId="43372"/>
    <cellStyle name="Normal 3 2 20 11" xfId="47404"/>
    <cellStyle name="Normal 3 2 20 12" xfId="51483"/>
    <cellStyle name="Normal 3 2 20 2" xfId="11116"/>
    <cellStyle name="Normal 3 2 20 3" xfId="15148"/>
    <cellStyle name="Normal 3 2 20 4" xfId="19180"/>
    <cellStyle name="Normal 3 2 20 5" xfId="23212"/>
    <cellStyle name="Normal 3 2 20 6" xfId="27244"/>
    <cellStyle name="Normal 3 2 20 7" xfId="31276"/>
    <cellStyle name="Normal 3 2 20 8" xfId="35308"/>
    <cellStyle name="Normal 3 2 20 9" xfId="39340"/>
    <cellStyle name="Normal 3 2 21" xfId="105"/>
    <cellStyle name="Normal 3 2 22" xfId="9100"/>
    <cellStyle name="Normal 3 2 23" xfId="13132"/>
    <cellStyle name="Normal 3 2 24" xfId="17164"/>
    <cellStyle name="Normal 3 2 25" xfId="21196"/>
    <cellStyle name="Normal 3 2 26" xfId="25228"/>
    <cellStyle name="Normal 3 2 27" xfId="29260"/>
    <cellStyle name="Normal 3 2 28" xfId="33292"/>
    <cellStyle name="Normal 3 2 29" xfId="37324"/>
    <cellStyle name="Normal 3 2 3" xfId="36"/>
    <cellStyle name="Normal 3 2 3 10" xfId="4023"/>
    <cellStyle name="Normal 3 2 3 10 10" xfId="33880"/>
    <cellStyle name="Normal 3 2 3 10 11" xfId="37912"/>
    <cellStyle name="Normal 3 2 3 10 12" xfId="41944"/>
    <cellStyle name="Normal 3 2 3 10 13" xfId="45976"/>
    <cellStyle name="Normal 3 2 3 10 14" xfId="50054"/>
    <cellStyle name="Normal 3 2 3 10 2" xfId="6605"/>
    <cellStyle name="Normal 3 2 3 10 2 10" xfId="38863"/>
    <cellStyle name="Normal 3 2 3 10 2 11" xfId="42895"/>
    <cellStyle name="Normal 3 2 3 10 2 12" xfId="46927"/>
    <cellStyle name="Normal 3 2 3 10 2 13" xfId="51006"/>
    <cellStyle name="Normal 3 2 3 10 2 2" xfId="8621"/>
    <cellStyle name="Normal 3 2 3 10 2 2 10" xfId="44911"/>
    <cellStyle name="Normal 3 2 3 10 2 2 11" xfId="48943"/>
    <cellStyle name="Normal 3 2 3 10 2 2 12" xfId="53022"/>
    <cellStyle name="Normal 3 2 3 10 2 2 2" xfId="12655"/>
    <cellStyle name="Normal 3 2 3 10 2 2 3" xfId="16687"/>
    <cellStyle name="Normal 3 2 3 10 2 2 4" xfId="20719"/>
    <cellStyle name="Normal 3 2 3 10 2 2 5" xfId="24751"/>
    <cellStyle name="Normal 3 2 3 10 2 2 6" xfId="28783"/>
    <cellStyle name="Normal 3 2 3 10 2 2 7" xfId="32815"/>
    <cellStyle name="Normal 3 2 3 10 2 2 8" xfId="36847"/>
    <cellStyle name="Normal 3 2 3 10 2 2 9" xfId="40879"/>
    <cellStyle name="Normal 3 2 3 10 2 3" xfId="10639"/>
    <cellStyle name="Normal 3 2 3 10 2 4" xfId="14671"/>
    <cellStyle name="Normal 3 2 3 10 2 5" xfId="18703"/>
    <cellStyle name="Normal 3 2 3 10 2 6" xfId="22735"/>
    <cellStyle name="Normal 3 2 3 10 2 7" xfId="26767"/>
    <cellStyle name="Normal 3 2 3 10 2 8" xfId="30799"/>
    <cellStyle name="Normal 3 2 3 10 2 9" xfId="34831"/>
    <cellStyle name="Normal 3 2 3 10 3" xfId="7670"/>
    <cellStyle name="Normal 3 2 3 10 3 10" xfId="43960"/>
    <cellStyle name="Normal 3 2 3 10 3 11" xfId="47992"/>
    <cellStyle name="Normal 3 2 3 10 3 12" xfId="52071"/>
    <cellStyle name="Normal 3 2 3 10 3 2" xfId="11704"/>
    <cellStyle name="Normal 3 2 3 10 3 3" xfId="15736"/>
    <cellStyle name="Normal 3 2 3 10 3 4" xfId="19768"/>
    <cellStyle name="Normal 3 2 3 10 3 5" xfId="23800"/>
    <cellStyle name="Normal 3 2 3 10 3 6" xfId="27832"/>
    <cellStyle name="Normal 3 2 3 10 3 7" xfId="31864"/>
    <cellStyle name="Normal 3 2 3 10 3 8" xfId="35896"/>
    <cellStyle name="Normal 3 2 3 10 3 9" xfId="39928"/>
    <cellStyle name="Normal 3 2 3 10 4" xfId="9688"/>
    <cellStyle name="Normal 3 2 3 10 5" xfId="13720"/>
    <cellStyle name="Normal 3 2 3 10 6" xfId="17752"/>
    <cellStyle name="Normal 3 2 3 10 7" xfId="21784"/>
    <cellStyle name="Normal 3 2 3 10 8" xfId="25816"/>
    <cellStyle name="Normal 3 2 3 10 9" xfId="29848"/>
    <cellStyle name="Normal 3 2 3 11" xfId="4093"/>
    <cellStyle name="Normal 3 2 3 11 10" xfId="33949"/>
    <cellStyle name="Normal 3 2 3 11 11" xfId="37981"/>
    <cellStyle name="Normal 3 2 3 11 12" xfId="42013"/>
    <cellStyle name="Normal 3 2 3 11 13" xfId="46045"/>
    <cellStyle name="Normal 3 2 3 11 14" xfId="50123"/>
    <cellStyle name="Normal 3 2 3 11 2" xfId="6674"/>
    <cellStyle name="Normal 3 2 3 11 2 10" xfId="38932"/>
    <cellStyle name="Normal 3 2 3 11 2 11" xfId="42964"/>
    <cellStyle name="Normal 3 2 3 11 2 12" xfId="46996"/>
    <cellStyle name="Normal 3 2 3 11 2 13" xfId="51075"/>
    <cellStyle name="Normal 3 2 3 11 2 2" xfId="8690"/>
    <cellStyle name="Normal 3 2 3 11 2 2 10" xfId="44980"/>
    <cellStyle name="Normal 3 2 3 11 2 2 11" xfId="49012"/>
    <cellStyle name="Normal 3 2 3 11 2 2 12" xfId="53091"/>
    <cellStyle name="Normal 3 2 3 11 2 2 2" xfId="12724"/>
    <cellStyle name="Normal 3 2 3 11 2 2 3" xfId="16756"/>
    <cellStyle name="Normal 3 2 3 11 2 2 4" xfId="20788"/>
    <cellStyle name="Normal 3 2 3 11 2 2 5" xfId="24820"/>
    <cellStyle name="Normal 3 2 3 11 2 2 6" xfId="28852"/>
    <cellStyle name="Normal 3 2 3 11 2 2 7" xfId="32884"/>
    <cellStyle name="Normal 3 2 3 11 2 2 8" xfId="36916"/>
    <cellStyle name="Normal 3 2 3 11 2 2 9" xfId="40948"/>
    <cellStyle name="Normal 3 2 3 11 2 3" xfId="10708"/>
    <cellStyle name="Normal 3 2 3 11 2 4" xfId="14740"/>
    <cellStyle name="Normal 3 2 3 11 2 5" xfId="18772"/>
    <cellStyle name="Normal 3 2 3 11 2 6" xfId="22804"/>
    <cellStyle name="Normal 3 2 3 11 2 7" xfId="26836"/>
    <cellStyle name="Normal 3 2 3 11 2 8" xfId="30868"/>
    <cellStyle name="Normal 3 2 3 11 2 9" xfId="34900"/>
    <cellStyle name="Normal 3 2 3 11 3" xfId="7739"/>
    <cellStyle name="Normal 3 2 3 11 3 10" xfId="44029"/>
    <cellStyle name="Normal 3 2 3 11 3 11" xfId="48061"/>
    <cellStyle name="Normal 3 2 3 11 3 12" xfId="52140"/>
    <cellStyle name="Normal 3 2 3 11 3 2" xfId="11773"/>
    <cellStyle name="Normal 3 2 3 11 3 3" xfId="15805"/>
    <cellStyle name="Normal 3 2 3 11 3 4" xfId="19837"/>
    <cellStyle name="Normal 3 2 3 11 3 5" xfId="23869"/>
    <cellStyle name="Normal 3 2 3 11 3 6" xfId="27901"/>
    <cellStyle name="Normal 3 2 3 11 3 7" xfId="31933"/>
    <cellStyle name="Normal 3 2 3 11 3 8" xfId="35965"/>
    <cellStyle name="Normal 3 2 3 11 3 9" xfId="39997"/>
    <cellStyle name="Normal 3 2 3 11 4" xfId="9757"/>
    <cellStyle name="Normal 3 2 3 11 5" xfId="13789"/>
    <cellStyle name="Normal 3 2 3 11 6" xfId="17821"/>
    <cellStyle name="Normal 3 2 3 11 7" xfId="21853"/>
    <cellStyle name="Normal 3 2 3 11 8" xfId="25885"/>
    <cellStyle name="Normal 3 2 3 11 9" xfId="29917"/>
    <cellStyle name="Normal 3 2 3 12" xfId="4162"/>
    <cellStyle name="Normal 3 2 3 12 10" xfId="34018"/>
    <cellStyle name="Normal 3 2 3 12 11" xfId="38050"/>
    <cellStyle name="Normal 3 2 3 12 12" xfId="42082"/>
    <cellStyle name="Normal 3 2 3 12 13" xfId="46114"/>
    <cellStyle name="Normal 3 2 3 12 14" xfId="50192"/>
    <cellStyle name="Normal 3 2 3 12 2" xfId="6743"/>
    <cellStyle name="Normal 3 2 3 12 2 10" xfId="39001"/>
    <cellStyle name="Normal 3 2 3 12 2 11" xfId="43033"/>
    <cellStyle name="Normal 3 2 3 12 2 12" xfId="47065"/>
    <cellStyle name="Normal 3 2 3 12 2 13" xfId="51144"/>
    <cellStyle name="Normal 3 2 3 12 2 2" xfId="8759"/>
    <cellStyle name="Normal 3 2 3 12 2 2 10" xfId="45049"/>
    <cellStyle name="Normal 3 2 3 12 2 2 11" xfId="49081"/>
    <cellStyle name="Normal 3 2 3 12 2 2 12" xfId="53160"/>
    <cellStyle name="Normal 3 2 3 12 2 2 2" xfId="12793"/>
    <cellStyle name="Normal 3 2 3 12 2 2 3" xfId="16825"/>
    <cellStyle name="Normal 3 2 3 12 2 2 4" xfId="20857"/>
    <cellStyle name="Normal 3 2 3 12 2 2 5" xfId="24889"/>
    <cellStyle name="Normal 3 2 3 12 2 2 6" xfId="28921"/>
    <cellStyle name="Normal 3 2 3 12 2 2 7" xfId="32953"/>
    <cellStyle name="Normal 3 2 3 12 2 2 8" xfId="36985"/>
    <cellStyle name="Normal 3 2 3 12 2 2 9" xfId="41017"/>
    <cellStyle name="Normal 3 2 3 12 2 3" xfId="10777"/>
    <cellStyle name="Normal 3 2 3 12 2 4" xfId="14809"/>
    <cellStyle name="Normal 3 2 3 12 2 5" xfId="18841"/>
    <cellStyle name="Normal 3 2 3 12 2 6" xfId="22873"/>
    <cellStyle name="Normal 3 2 3 12 2 7" xfId="26905"/>
    <cellStyle name="Normal 3 2 3 12 2 8" xfId="30937"/>
    <cellStyle name="Normal 3 2 3 12 2 9" xfId="34969"/>
    <cellStyle name="Normal 3 2 3 12 3" xfId="7808"/>
    <cellStyle name="Normal 3 2 3 12 3 10" xfId="44098"/>
    <cellStyle name="Normal 3 2 3 12 3 11" xfId="48130"/>
    <cellStyle name="Normal 3 2 3 12 3 12" xfId="52209"/>
    <cellStyle name="Normal 3 2 3 12 3 2" xfId="11842"/>
    <cellStyle name="Normal 3 2 3 12 3 3" xfId="15874"/>
    <cellStyle name="Normal 3 2 3 12 3 4" xfId="19906"/>
    <cellStyle name="Normal 3 2 3 12 3 5" xfId="23938"/>
    <cellStyle name="Normal 3 2 3 12 3 6" xfId="27970"/>
    <cellStyle name="Normal 3 2 3 12 3 7" xfId="32002"/>
    <cellStyle name="Normal 3 2 3 12 3 8" xfId="36034"/>
    <cellStyle name="Normal 3 2 3 12 3 9" xfId="40066"/>
    <cellStyle name="Normal 3 2 3 12 4" xfId="9826"/>
    <cellStyle name="Normal 3 2 3 12 5" xfId="13858"/>
    <cellStyle name="Normal 3 2 3 12 6" xfId="17890"/>
    <cellStyle name="Normal 3 2 3 12 7" xfId="21922"/>
    <cellStyle name="Normal 3 2 3 12 8" xfId="25954"/>
    <cellStyle name="Normal 3 2 3 12 9" xfId="29986"/>
    <cellStyle name="Normal 3 2 3 13" xfId="4232"/>
    <cellStyle name="Normal 3 2 3 13 10" xfId="34087"/>
    <cellStyle name="Normal 3 2 3 13 11" xfId="38119"/>
    <cellStyle name="Normal 3 2 3 13 12" xfId="42151"/>
    <cellStyle name="Normal 3 2 3 13 13" xfId="46183"/>
    <cellStyle name="Normal 3 2 3 13 14" xfId="50261"/>
    <cellStyle name="Normal 3 2 3 13 2" xfId="6812"/>
    <cellStyle name="Normal 3 2 3 13 2 10" xfId="39070"/>
    <cellStyle name="Normal 3 2 3 13 2 11" xfId="43102"/>
    <cellStyle name="Normal 3 2 3 13 2 12" xfId="47134"/>
    <cellStyle name="Normal 3 2 3 13 2 13" xfId="51213"/>
    <cellStyle name="Normal 3 2 3 13 2 2" xfId="8828"/>
    <cellStyle name="Normal 3 2 3 13 2 2 10" xfId="45118"/>
    <cellStyle name="Normal 3 2 3 13 2 2 11" xfId="49150"/>
    <cellStyle name="Normal 3 2 3 13 2 2 12" xfId="53229"/>
    <cellStyle name="Normal 3 2 3 13 2 2 2" xfId="12862"/>
    <cellStyle name="Normal 3 2 3 13 2 2 3" xfId="16894"/>
    <cellStyle name="Normal 3 2 3 13 2 2 4" xfId="20926"/>
    <cellStyle name="Normal 3 2 3 13 2 2 5" xfId="24958"/>
    <cellStyle name="Normal 3 2 3 13 2 2 6" xfId="28990"/>
    <cellStyle name="Normal 3 2 3 13 2 2 7" xfId="33022"/>
    <cellStyle name="Normal 3 2 3 13 2 2 8" xfId="37054"/>
    <cellStyle name="Normal 3 2 3 13 2 2 9" xfId="41086"/>
    <cellStyle name="Normal 3 2 3 13 2 3" xfId="10846"/>
    <cellStyle name="Normal 3 2 3 13 2 4" xfId="14878"/>
    <cellStyle name="Normal 3 2 3 13 2 5" xfId="18910"/>
    <cellStyle name="Normal 3 2 3 13 2 6" xfId="22942"/>
    <cellStyle name="Normal 3 2 3 13 2 7" xfId="26974"/>
    <cellStyle name="Normal 3 2 3 13 2 8" xfId="31006"/>
    <cellStyle name="Normal 3 2 3 13 2 9" xfId="35038"/>
    <cellStyle name="Normal 3 2 3 13 3" xfId="7877"/>
    <cellStyle name="Normal 3 2 3 13 3 10" xfId="44167"/>
    <cellStyle name="Normal 3 2 3 13 3 11" xfId="48199"/>
    <cellStyle name="Normal 3 2 3 13 3 12" xfId="52278"/>
    <cellStyle name="Normal 3 2 3 13 3 2" xfId="11911"/>
    <cellStyle name="Normal 3 2 3 13 3 3" xfId="15943"/>
    <cellStyle name="Normal 3 2 3 13 3 4" xfId="19975"/>
    <cellStyle name="Normal 3 2 3 13 3 5" xfId="24007"/>
    <cellStyle name="Normal 3 2 3 13 3 6" xfId="28039"/>
    <cellStyle name="Normal 3 2 3 13 3 7" xfId="32071"/>
    <cellStyle name="Normal 3 2 3 13 3 8" xfId="36103"/>
    <cellStyle name="Normal 3 2 3 13 3 9" xfId="40135"/>
    <cellStyle name="Normal 3 2 3 13 4" xfId="9895"/>
    <cellStyle name="Normal 3 2 3 13 5" xfId="13927"/>
    <cellStyle name="Normal 3 2 3 13 6" xfId="17959"/>
    <cellStyle name="Normal 3 2 3 13 7" xfId="21991"/>
    <cellStyle name="Normal 3 2 3 13 8" xfId="26023"/>
    <cellStyle name="Normal 3 2 3 13 9" xfId="30055"/>
    <cellStyle name="Normal 3 2 3 14" xfId="4381"/>
    <cellStyle name="Normal 3 2 3 14 10" xfId="34225"/>
    <cellStyle name="Normal 3 2 3 14 11" xfId="38257"/>
    <cellStyle name="Normal 3 2 3 14 12" xfId="42289"/>
    <cellStyle name="Normal 3 2 3 14 13" xfId="46321"/>
    <cellStyle name="Normal 3 2 3 14 14" xfId="50400"/>
    <cellStyle name="Normal 3 2 3 14 2" xfId="6950"/>
    <cellStyle name="Normal 3 2 3 14 2 10" xfId="39208"/>
    <cellStyle name="Normal 3 2 3 14 2 11" xfId="43240"/>
    <cellStyle name="Normal 3 2 3 14 2 12" xfId="47272"/>
    <cellStyle name="Normal 3 2 3 14 2 13" xfId="51351"/>
    <cellStyle name="Normal 3 2 3 14 2 2" xfId="8966"/>
    <cellStyle name="Normal 3 2 3 14 2 2 10" xfId="45256"/>
    <cellStyle name="Normal 3 2 3 14 2 2 11" xfId="49288"/>
    <cellStyle name="Normal 3 2 3 14 2 2 12" xfId="53367"/>
    <cellStyle name="Normal 3 2 3 14 2 2 2" xfId="13000"/>
    <cellStyle name="Normal 3 2 3 14 2 2 3" xfId="17032"/>
    <cellStyle name="Normal 3 2 3 14 2 2 4" xfId="21064"/>
    <cellStyle name="Normal 3 2 3 14 2 2 5" xfId="25096"/>
    <cellStyle name="Normal 3 2 3 14 2 2 6" xfId="29128"/>
    <cellStyle name="Normal 3 2 3 14 2 2 7" xfId="33160"/>
    <cellStyle name="Normal 3 2 3 14 2 2 8" xfId="37192"/>
    <cellStyle name="Normal 3 2 3 14 2 2 9" xfId="41224"/>
    <cellStyle name="Normal 3 2 3 14 2 3" xfId="10984"/>
    <cellStyle name="Normal 3 2 3 14 2 4" xfId="15016"/>
    <cellStyle name="Normal 3 2 3 14 2 5" xfId="19048"/>
    <cellStyle name="Normal 3 2 3 14 2 6" xfId="23080"/>
    <cellStyle name="Normal 3 2 3 14 2 7" xfId="27112"/>
    <cellStyle name="Normal 3 2 3 14 2 8" xfId="31144"/>
    <cellStyle name="Normal 3 2 3 14 2 9" xfId="35176"/>
    <cellStyle name="Normal 3 2 3 14 3" xfId="8015"/>
    <cellStyle name="Normal 3 2 3 14 3 10" xfId="44305"/>
    <cellStyle name="Normal 3 2 3 14 3 11" xfId="48337"/>
    <cellStyle name="Normal 3 2 3 14 3 12" xfId="52416"/>
    <cellStyle name="Normal 3 2 3 14 3 2" xfId="12049"/>
    <cellStyle name="Normal 3 2 3 14 3 3" xfId="16081"/>
    <cellStyle name="Normal 3 2 3 14 3 4" xfId="20113"/>
    <cellStyle name="Normal 3 2 3 14 3 5" xfId="24145"/>
    <cellStyle name="Normal 3 2 3 14 3 6" xfId="28177"/>
    <cellStyle name="Normal 3 2 3 14 3 7" xfId="32209"/>
    <cellStyle name="Normal 3 2 3 14 3 8" xfId="36241"/>
    <cellStyle name="Normal 3 2 3 14 3 9" xfId="40273"/>
    <cellStyle name="Normal 3 2 3 14 4" xfId="10033"/>
    <cellStyle name="Normal 3 2 3 14 5" xfId="14065"/>
    <cellStyle name="Normal 3 2 3 14 6" xfId="18097"/>
    <cellStyle name="Normal 3 2 3 14 7" xfId="22129"/>
    <cellStyle name="Normal 3 2 3 14 8" xfId="26161"/>
    <cellStyle name="Normal 3 2 3 14 9" xfId="30193"/>
    <cellStyle name="Normal 3 2 3 15" xfId="4519"/>
    <cellStyle name="Normal 3 2 3 15 10" xfId="38395"/>
    <cellStyle name="Normal 3 2 3 15 11" xfId="42427"/>
    <cellStyle name="Normal 3 2 3 15 12" xfId="46459"/>
    <cellStyle name="Normal 3 2 3 15 13" xfId="50538"/>
    <cellStyle name="Normal 3 2 3 15 2" xfId="8153"/>
    <cellStyle name="Normal 3 2 3 15 2 10" xfId="44443"/>
    <cellStyle name="Normal 3 2 3 15 2 11" xfId="48475"/>
    <cellStyle name="Normal 3 2 3 15 2 12" xfId="52554"/>
    <cellStyle name="Normal 3 2 3 15 2 2" xfId="12187"/>
    <cellStyle name="Normal 3 2 3 15 2 3" xfId="16219"/>
    <cellStyle name="Normal 3 2 3 15 2 4" xfId="20251"/>
    <cellStyle name="Normal 3 2 3 15 2 5" xfId="24283"/>
    <cellStyle name="Normal 3 2 3 15 2 6" xfId="28315"/>
    <cellStyle name="Normal 3 2 3 15 2 7" xfId="32347"/>
    <cellStyle name="Normal 3 2 3 15 2 8" xfId="36379"/>
    <cellStyle name="Normal 3 2 3 15 2 9" xfId="40411"/>
    <cellStyle name="Normal 3 2 3 15 3" xfId="10171"/>
    <cellStyle name="Normal 3 2 3 15 4" xfId="14203"/>
    <cellStyle name="Normal 3 2 3 15 5" xfId="18235"/>
    <cellStyle name="Normal 3 2 3 15 6" xfId="22267"/>
    <cellStyle name="Normal 3 2 3 15 7" xfId="26299"/>
    <cellStyle name="Normal 3 2 3 15 8" xfId="30331"/>
    <cellStyle name="Normal 3 2 3 15 9" xfId="34363"/>
    <cellStyle name="Normal 3 2 3 16" xfId="263"/>
    <cellStyle name="Normal 3 2 3 16 10" xfId="37468"/>
    <cellStyle name="Normal 3 2 3 16 11" xfId="41500"/>
    <cellStyle name="Normal 3 2 3 16 12" xfId="45532"/>
    <cellStyle name="Normal 3 2 3 16 13" xfId="49610"/>
    <cellStyle name="Normal 3 2 3 16 2" xfId="7226"/>
    <cellStyle name="Normal 3 2 3 16 2 10" xfId="43516"/>
    <cellStyle name="Normal 3 2 3 16 2 11" xfId="47548"/>
    <cellStyle name="Normal 3 2 3 16 2 12" xfId="51627"/>
    <cellStyle name="Normal 3 2 3 16 2 2" xfId="11260"/>
    <cellStyle name="Normal 3 2 3 16 2 3" xfId="15292"/>
    <cellStyle name="Normal 3 2 3 16 2 4" xfId="19324"/>
    <cellStyle name="Normal 3 2 3 16 2 5" xfId="23356"/>
    <cellStyle name="Normal 3 2 3 16 2 6" xfId="27388"/>
    <cellStyle name="Normal 3 2 3 16 2 7" xfId="31420"/>
    <cellStyle name="Normal 3 2 3 16 2 8" xfId="35452"/>
    <cellStyle name="Normal 3 2 3 16 2 9" xfId="39484"/>
    <cellStyle name="Normal 3 2 3 16 3" xfId="9244"/>
    <cellStyle name="Normal 3 2 3 16 4" xfId="13276"/>
    <cellStyle name="Normal 3 2 3 16 5" xfId="17308"/>
    <cellStyle name="Normal 3 2 3 16 6" xfId="21340"/>
    <cellStyle name="Normal 3 2 3 16 7" xfId="25372"/>
    <cellStyle name="Normal 3 2 3 16 8" xfId="29404"/>
    <cellStyle name="Normal 3 2 3 16 9" xfId="33436"/>
    <cellStyle name="Normal 3 2 3 17" xfId="7088"/>
    <cellStyle name="Normal 3 2 3 17 10" xfId="43378"/>
    <cellStyle name="Normal 3 2 3 17 11" xfId="47410"/>
    <cellStyle name="Normal 3 2 3 17 12" xfId="51489"/>
    <cellStyle name="Normal 3 2 3 17 2" xfId="11122"/>
    <cellStyle name="Normal 3 2 3 17 3" xfId="15154"/>
    <cellStyle name="Normal 3 2 3 17 4" xfId="19186"/>
    <cellStyle name="Normal 3 2 3 17 5" xfId="23218"/>
    <cellStyle name="Normal 3 2 3 17 6" xfId="27250"/>
    <cellStyle name="Normal 3 2 3 17 7" xfId="31282"/>
    <cellStyle name="Normal 3 2 3 17 8" xfId="35314"/>
    <cellStyle name="Normal 3 2 3 17 9" xfId="39346"/>
    <cellStyle name="Normal 3 2 3 18" xfId="111"/>
    <cellStyle name="Normal 3 2 3 19" xfId="9106"/>
    <cellStyle name="Normal 3 2 3 2" xfId="45"/>
    <cellStyle name="Normal 3 2 3 2 10" xfId="4168"/>
    <cellStyle name="Normal 3 2 3 2 10 10" xfId="34024"/>
    <cellStyle name="Normal 3 2 3 2 10 11" xfId="38056"/>
    <cellStyle name="Normal 3 2 3 2 10 12" xfId="42088"/>
    <cellStyle name="Normal 3 2 3 2 10 13" xfId="46120"/>
    <cellStyle name="Normal 3 2 3 2 10 14" xfId="50198"/>
    <cellStyle name="Normal 3 2 3 2 10 2" xfId="6749"/>
    <cellStyle name="Normal 3 2 3 2 10 2 10" xfId="39007"/>
    <cellStyle name="Normal 3 2 3 2 10 2 11" xfId="43039"/>
    <cellStyle name="Normal 3 2 3 2 10 2 12" xfId="47071"/>
    <cellStyle name="Normal 3 2 3 2 10 2 13" xfId="51150"/>
    <cellStyle name="Normal 3 2 3 2 10 2 2" xfId="8765"/>
    <cellStyle name="Normal 3 2 3 2 10 2 2 10" xfId="45055"/>
    <cellStyle name="Normal 3 2 3 2 10 2 2 11" xfId="49087"/>
    <cellStyle name="Normal 3 2 3 2 10 2 2 12" xfId="53166"/>
    <cellStyle name="Normal 3 2 3 2 10 2 2 2" xfId="12799"/>
    <cellStyle name="Normal 3 2 3 2 10 2 2 3" xfId="16831"/>
    <cellStyle name="Normal 3 2 3 2 10 2 2 4" xfId="20863"/>
    <cellStyle name="Normal 3 2 3 2 10 2 2 5" xfId="24895"/>
    <cellStyle name="Normal 3 2 3 2 10 2 2 6" xfId="28927"/>
    <cellStyle name="Normal 3 2 3 2 10 2 2 7" xfId="32959"/>
    <cellStyle name="Normal 3 2 3 2 10 2 2 8" xfId="36991"/>
    <cellStyle name="Normal 3 2 3 2 10 2 2 9" xfId="41023"/>
    <cellStyle name="Normal 3 2 3 2 10 2 3" xfId="10783"/>
    <cellStyle name="Normal 3 2 3 2 10 2 4" xfId="14815"/>
    <cellStyle name="Normal 3 2 3 2 10 2 5" xfId="18847"/>
    <cellStyle name="Normal 3 2 3 2 10 2 6" xfId="22879"/>
    <cellStyle name="Normal 3 2 3 2 10 2 7" xfId="26911"/>
    <cellStyle name="Normal 3 2 3 2 10 2 8" xfId="30943"/>
    <cellStyle name="Normal 3 2 3 2 10 2 9" xfId="34975"/>
    <cellStyle name="Normal 3 2 3 2 10 3" xfId="7814"/>
    <cellStyle name="Normal 3 2 3 2 10 3 10" xfId="44104"/>
    <cellStyle name="Normal 3 2 3 2 10 3 11" xfId="48136"/>
    <cellStyle name="Normal 3 2 3 2 10 3 12" xfId="52215"/>
    <cellStyle name="Normal 3 2 3 2 10 3 2" xfId="11848"/>
    <cellStyle name="Normal 3 2 3 2 10 3 3" xfId="15880"/>
    <cellStyle name="Normal 3 2 3 2 10 3 4" xfId="19912"/>
    <cellStyle name="Normal 3 2 3 2 10 3 5" xfId="23944"/>
    <cellStyle name="Normal 3 2 3 2 10 3 6" xfId="27976"/>
    <cellStyle name="Normal 3 2 3 2 10 3 7" xfId="32008"/>
    <cellStyle name="Normal 3 2 3 2 10 3 8" xfId="36040"/>
    <cellStyle name="Normal 3 2 3 2 10 3 9" xfId="40072"/>
    <cellStyle name="Normal 3 2 3 2 10 4" xfId="9832"/>
    <cellStyle name="Normal 3 2 3 2 10 5" xfId="13864"/>
    <cellStyle name="Normal 3 2 3 2 10 6" xfId="17896"/>
    <cellStyle name="Normal 3 2 3 2 10 7" xfId="21928"/>
    <cellStyle name="Normal 3 2 3 2 10 8" xfId="25960"/>
    <cellStyle name="Normal 3 2 3 2 10 9" xfId="29992"/>
    <cellStyle name="Normal 3 2 3 2 11" xfId="4241"/>
    <cellStyle name="Normal 3 2 3 2 11 10" xfId="34093"/>
    <cellStyle name="Normal 3 2 3 2 11 11" xfId="38125"/>
    <cellStyle name="Normal 3 2 3 2 11 12" xfId="42157"/>
    <cellStyle name="Normal 3 2 3 2 11 13" xfId="46189"/>
    <cellStyle name="Normal 3 2 3 2 11 14" xfId="50267"/>
    <cellStyle name="Normal 3 2 3 2 11 2" xfId="6818"/>
    <cellStyle name="Normal 3 2 3 2 11 2 10" xfId="39076"/>
    <cellStyle name="Normal 3 2 3 2 11 2 11" xfId="43108"/>
    <cellStyle name="Normal 3 2 3 2 11 2 12" xfId="47140"/>
    <cellStyle name="Normal 3 2 3 2 11 2 13" xfId="51219"/>
    <cellStyle name="Normal 3 2 3 2 11 2 2" xfId="8834"/>
    <cellStyle name="Normal 3 2 3 2 11 2 2 10" xfId="45124"/>
    <cellStyle name="Normal 3 2 3 2 11 2 2 11" xfId="49156"/>
    <cellStyle name="Normal 3 2 3 2 11 2 2 12" xfId="53235"/>
    <cellStyle name="Normal 3 2 3 2 11 2 2 2" xfId="12868"/>
    <cellStyle name="Normal 3 2 3 2 11 2 2 3" xfId="16900"/>
    <cellStyle name="Normal 3 2 3 2 11 2 2 4" xfId="20932"/>
    <cellStyle name="Normal 3 2 3 2 11 2 2 5" xfId="24964"/>
    <cellStyle name="Normal 3 2 3 2 11 2 2 6" xfId="28996"/>
    <cellStyle name="Normal 3 2 3 2 11 2 2 7" xfId="33028"/>
    <cellStyle name="Normal 3 2 3 2 11 2 2 8" xfId="37060"/>
    <cellStyle name="Normal 3 2 3 2 11 2 2 9" xfId="41092"/>
    <cellStyle name="Normal 3 2 3 2 11 2 3" xfId="10852"/>
    <cellStyle name="Normal 3 2 3 2 11 2 4" xfId="14884"/>
    <cellStyle name="Normal 3 2 3 2 11 2 5" xfId="18916"/>
    <cellStyle name="Normal 3 2 3 2 11 2 6" xfId="22948"/>
    <cellStyle name="Normal 3 2 3 2 11 2 7" xfId="26980"/>
    <cellStyle name="Normal 3 2 3 2 11 2 8" xfId="31012"/>
    <cellStyle name="Normal 3 2 3 2 11 2 9" xfId="35044"/>
    <cellStyle name="Normal 3 2 3 2 11 3" xfId="7883"/>
    <cellStyle name="Normal 3 2 3 2 11 3 10" xfId="44173"/>
    <cellStyle name="Normal 3 2 3 2 11 3 11" xfId="48205"/>
    <cellStyle name="Normal 3 2 3 2 11 3 12" xfId="52284"/>
    <cellStyle name="Normal 3 2 3 2 11 3 2" xfId="11917"/>
    <cellStyle name="Normal 3 2 3 2 11 3 3" xfId="15949"/>
    <cellStyle name="Normal 3 2 3 2 11 3 4" xfId="19981"/>
    <cellStyle name="Normal 3 2 3 2 11 3 5" xfId="24013"/>
    <cellStyle name="Normal 3 2 3 2 11 3 6" xfId="28045"/>
    <cellStyle name="Normal 3 2 3 2 11 3 7" xfId="32077"/>
    <cellStyle name="Normal 3 2 3 2 11 3 8" xfId="36109"/>
    <cellStyle name="Normal 3 2 3 2 11 3 9" xfId="40141"/>
    <cellStyle name="Normal 3 2 3 2 11 4" xfId="9901"/>
    <cellStyle name="Normal 3 2 3 2 11 5" xfId="13933"/>
    <cellStyle name="Normal 3 2 3 2 11 6" xfId="17965"/>
    <cellStyle name="Normal 3 2 3 2 11 7" xfId="21997"/>
    <cellStyle name="Normal 3 2 3 2 11 8" xfId="26029"/>
    <cellStyle name="Normal 3 2 3 2 11 9" xfId="30061"/>
    <cellStyle name="Normal 3 2 3 2 12" xfId="4387"/>
    <cellStyle name="Normal 3 2 3 2 12 10" xfId="34231"/>
    <cellStyle name="Normal 3 2 3 2 12 11" xfId="38263"/>
    <cellStyle name="Normal 3 2 3 2 12 12" xfId="42295"/>
    <cellStyle name="Normal 3 2 3 2 12 13" xfId="46327"/>
    <cellStyle name="Normal 3 2 3 2 12 14" xfId="50406"/>
    <cellStyle name="Normal 3 2 3 2 12 2" xfId="6956"/>
    <cellStyle name="Normal 3 2 3 2 12 2 10" xfId="39214"/>
    <cellStyle name="Normal 3 2 3 2 12 2 11" xfId="43246"/>
    <cellStyle name="Normal 3 2 3 2 12 2 12" xfId="47278"/>
    <cellStyle name="Normal 3 2 3 2 12 2 13" xfId="51357"/>
    <cellStyle name="Normal 3 2 3 2 12 2 2" xfId="8972"/>
    <cellStyle name="Normal 3 2 3 2 12 2 2 10" xfId="45262"/>
    <cellStyle name="Normal 3 2 3 2 12 2 2 11" xfId="49294"/>
    <cellStyle name="Normal 3 2 3 2 12 2 2 12" xfId="53373"/>
    <cellStyle name="Normal 3 2 3 2 12 2 2 2" xfId="13006"/>
    <cellStyle name="Normal 3 2 3 2 12 2 2 3" xfId="17038"/>
    <cellStyle name="Normal 3 2 3 2 12 2 2 4" xfId="21070"/>
    <cellStyle name="Normal 3 2 3 2 12 2 2 5" xfId="25102"/>
    <cellStyle name="Normal 3 2 3 2 12 2 2 6" xfId="29134"/>
    <cellStyle name="Normal 3 2 3 2 12 2 2 7" xfId="33166"/>
    <cellStyle name="Normal 3 2 3 2 12 2 2 8" xfId="37198"/>
    <cellStyle name="Normal 3 2 3 2 12 2 2 9" xfId="41230"/>
    <cellStyle name="Normal 3 2 3 2 12 2 3" xfId="10990"/>
    <cellStyle name="Normal 3 2 3 2 12 2 4" xfId="15022"/>
    <cellStyle name="Normal 3 2 3 2 12 2 5" xfId="19054"/>
    <cellStyle name="Normal 3 2 3 2 12 2 6" xfId="23086"/>
    <cellStyle name="Normal 3 2 3 2 12 2 7" xfId="27118"/>
    <cellStyle name="Normal 3 2 3 2 12 2 8" xfId="31150"/>
    <cellStyle name="Normal 3 2 3 2 12 2 9" xfId="35182"/>
    <cellStyle name="Normal 3 2 3 2 12 3" xfId="8021"/>
    <cellStyle name="Normal 3 2 3 2 12 3 10" xfId="44311"/>
    <cellStyle name="Normal 3 2 3 2 12 3 11" xfId="48343"/>
    <cellStyle name="Normal 3 2 3 2 12 3 12" xfId="52422"/>
    <cellStyle name="Normal 3 2 3 2 12 3 2" xfId="12055"/>
    <cellStyle name="Normal 3 2 3 2 12 3 3" xfId="16087"/>
    <cellStyle name="Normal 3 2 3 2 12 3 4" xfId="20119"/>
    <cellStyle name="Normal 3 2 3 2 12 3 5" xfId="24151"/>
    <cellStyle name="Normal 3 2 3 2 12 3 6" xfId="28183"/>
    <cellStyle name="Normal 3 2 3 2 12 3 7" xfId="32215"/>
    <cellStyle name="Normal 3 2 3 2 12 3 8" xfId="36247"/>
    <cellStyle name="Normal 3 2 3 2 12 3 9" xfId="40279"/>
    <cellStyle name="Normal 3 2 3 2 12 4" xfId="10039"/>
    <cellStyle name="Normal 3 2 3 2 12 5" xfId="14071"/>
    <cellStyle name="Normal 3 2 3 2 12 6" xfId="18103"/>
    <cellStyle name="Normal 3 2 3 2 12 7" xfId="22135"/>
    <cellStyle name="Normal 3 2 3 2 12 8" xfId="26167"/>
    <cellStyle name="Normal 3 2 3 2 12 9" xfId="30199"/>
    <cellStyle name="Normal 3 2 3 2 13" xfId="4525"/>
    <cellStyle name="Normal 3 2 3 2 13 10" xfId="38401"/>
    <cellStyle name="Normal 3 2 3 2 13 11" xfId="42433"/>
    <cellStyle name="Normal 3 2 3 2 13 12" xfId="46465"/>
    <cellStyle name="Normal 3 2 3 2 13 13" xfId="50544"/>
    <cellStyle name="Normal 3 2 3 2 13 2" xfId="8159"/>
    <cellStyle name="Normal 3 2 3 2 13 2 10" xfId="44449"/>
    <cellStyle name="Normal 3 2 3 2 13 2 11" xfId="48481"/>
    <cellStyle name="Normal 3 2 3 2 13 2 12" xfId="52560"/>
    <cellStyle name="Normal 3 2 3 2 13 2 2" xfId="12193"/>
    <cellStyle name="Normal 3 2 3 2 13 2 3" xfId="16225"/>
    <cellStyle name="Normal 3 2 3 2 13 2 4" xfId="20257"/>
    <cellStyle name="Normal 3 2 3 2 13 2 5" xfId="24289"/>
    <cellStyle name="Normal 3 2 3 2 13 2 6" xfId="28321"/>
    <cellStyle name="Normal 3 2 3 2 13 2 7" xfId="32353"/>
    <cellStyle name="Normal 3 2 3 2 13 2 8" xfId="36385"/>
    <cellStyle name="Normal 3 2 3 2 13 2 9" xfId="40417"/>
    <cellStyle name="Normal 3 2 3 2 13 3" xfId="10177"/>
    <cellStyle name="Normal 3 2 3 2 13 4" xfId="14209"/>
    <cellStyle name="Normal 3 2 3 2 13 5" xfId="18241"/>
    <cellStyle name="Normal 3 2 3 2 13 6" xfId="22273"/>
    <cellStyle name="Normal 3 2 3 2 13 7" xfId="26305"/>
    <cellStyle name="Normal 3 2 3 2 13 8" xfId="30337"/>
    <cellStyle name="Normal 3 2 3 2 13 9" xfId="34369"/>
    <cellStyle name="Normal 3 2 3 2 14" xfId="269"/>
    <cellStyle name="Normal 3 2 3 2 14 10" xfId="37474"/>
    <cellStyle name="Normal 3 2 3 2 14 11" xfId="41506"/>
    <cellStyle name="Normal 3 2 3 2 14 12" xfId="45538"/>
    <cellStyle name="Normal 3 2 3 2 14 13" xfId="49616"/>
    <cellStyle name="Normal 3 2 3 2 14 2" xfId="7232"/>
    <cellStyle name="Normal 3 2 3 2 14 2 10" xfId="43522"/>
    <cellStyle name="Normal 3 2 3 2 14 2 11" xfId="47554"/>
    <cellStyle name="Normal 3 2 3 2 14 2 12" xfId="51633"/>
    <cellStyle name="Normal 3 2 3 2 14 2 2" xfId="11266"/>
    <cellStyle name="Normal 3 2 3 2 14 2 3" xfId="15298"/>
    <cellStyle name="Normal 3 2 3 2 14 2 4" xfId="19330"/>
    <cellStyle name="Normal 3 2 3 2 14 2 5" xfId="23362"/>
    <cellStyle name="Normal 3 2 3 2 14 2 6" xfId="27394"/>
    <cellStyle name="Normal 3 2 3 2 14 2 7" xfId="31426"/>
    <cellStyle name="Normal 3 2 3 2 14 2 8" xfId="35458"/>
    <cellStyle name="Normal 3 2 3 2 14 2 9" xfId="39490"/>
    <cellStyle name="Normal 3 2 3 2 14 3" xfId="9250"/>
    <cellStyle name="Normal 3 2 3 2 14 4" xfId="13282"/>
    <cellStyle name="Normal 3 2 3 2 14 5" xfId="17314"/>
    <cellStyle name="Normal 3 2 3 2 14 6" xfId="21346"/>
    <cellStyle name="Normal 3 2 3 2 14 7" xfId="25378"/>
    <cellStyle name="Normal 3 2 3 2 14 8" xfId="29410"/>
    <cellStyle name="Normal 3 2 3 2 14 9" xfId="33442"/>
    <cellStyle name="Normal 3 2 3 2 15" xfId="7094"/>
    <cellStyle name="Normal 3 2 3 2 15 10" xfId="43384"/>
    <cellStyle name="Normal 3 2 3 2 15 11" xfId="47416"/>
    <cellStyle name="Normal 3 2 3 2 15 12" xfId="51495"/>
    <cellStyle name="Normal 3 2 3 2 15 2" xfId="11128"/>
    <cellStyle name="Normal 3 2 3 2 15 3" xfId="15160"/>
    <cellStyle name="Normal 3 2 3 2 15 4" xfId="19192"/>
    <cellStyle name="Normal 3 2 3 2 15 5" xfId="23224"/>
    <cellStyle name="Normal 3 2 3 2 15 6" xfId="27256"/>
    <cellStyle name="Normal 3 2 3 2 15 7" xfId="31288"/>
    <cellStyle name="Normal 3 2 3 2 15 8" xfId="35320"/>
    <cellStyle name="Normal 3 2 3 2 15 9" xfId="39352"/>
    <cellStyle name="Normal 3 2 3 2 16" xfId="120"/>
    <cellStyle name="Normal 3 2 3 2 17" xfId="9112"/>
    <cellStyle name="Normal 3 2 3 2 18" xfId="13144"/>
    <cellStyle name="Normal 3 2 3 2 19" xfId="17176"/>
    <cellStyle name="Normal 3 2 3 2 2" xfId="96"/>
    <cellStyle name="Normal 3 2 3 2 2 10" xfId="4576"/>
    <cellStyle name="Normal 3 2 3 2 2 10 10" xfId="38452"/>
    <cellStyle name="Normal 3 2 3 2 2 10 11" xfId="42484"/>
    <cellStyle name="Normal 3 2 3 2 2 10 12" xfId="46516"/>
    <cellStyle name="Normal 3 2 3 2 2 10 13" xfId="50595"/>
    <cellStyle name="Normal 3 2 3 2 2 10 2" xfId="8210"/>
    <cellStyle name="Normal 3 2 3 2 2 10 2 10" xfId="44500"/>
    <cellStyle name="Normal 3 2 3 2 2 10 2 11" xfId="48532"/>
    <cellStyle name="Normal 3 2 3 2 2 10 2 12" xfId="52611"/>
    <cellStyle name="Normal 3 2 3 2 2 10 2 2" xfId="12244"/>
    <cellStyle name="Normal 3 2 3 2 2 10 2 3" xfId="16276"/>
    <cellStyle name="Normal 3 2 3 2 2 10 2 4" xfId="20308"/>
    <cellStyle name="Normal 3 2 3 2 2 10 2 5" xfId="24340"/>
    <cellStyle name="Normal 3 2 3 2 2 10 2 6" xfId="28372"/>
    <cellStyle name="Normal 3 2 3 2 2 10 2 7" xfId="32404"/>
    <cellStyle name="Normal 3 2 3 2 2 10 2 8" xfId="36436"/>
    <cellStyle name="Normal 3 2 3 2 2 10 2 9" xfId="40468"/>
    <cellStyle name="Normal 3 2 3 2 2 10 3" xfId="10228"/>
    <cellStyle name="Normal 3 2 3 2 2 10 4" xfId="14260"/>
    <cellStyle name="Normal 3 2 3 2 2 10 5" xfId="18292"/>
    <cellStyle name="Normal 3 2 3 2 2 10 6" xfId="22324"/>
    <cellStyle name="Normal 3 2 3 2 2 10 7" xfId="26356"/>
    <cellStyle name="Normal 3 2 3 2 2 10 8" xfId="30388"/>
    <cellStyle name="Normal 3 2 3 2 2 10 9" xfId="34420"/>
    <cellStyle name="Normal 3 2 3 2 2 11" xfId="304"/>
    <cellStyle name="Normal 3 2 3 2 2 11 10" xfId="37509"/>
    <cellStyle name="Normal 3 2 3 2 2 11 11" xfId="41541"/>
    <cellStyle name="Normal 3 2 3 2 2 11 12" xfId="45573"/>
    <cellStyle name="Normal 3 2 3 2 2 11 13" xfId="49651"/>
    <cellStyle name="Normal 3 2 3 2 2 11 2" xfId="7267"/>
    <cellStyle name="Normal 3 2 3 2 2 11 2 10" xfId="43557"/>
    <cellStyle name="Normal 3 2 3 2 2 11 2 11" xfId="47589"/>
    <cellStyle name="Normal 3 2 3 2 2 11 2 12" xfId="51668"/>
    <cellStyle name="Normal 3 2 3 2 2 11 2 2" xfId="11301"/>
    <cellStyle name="Normal 3 2 3 2 2 11 2 3" xfId="15333"/>
    <cellStyle name="Normal 3 2 3 2 2 11 2 4" xfId="19365"/>
    <cellStyle name="Normal 3 2 3 2 2 11 2 5" xfId="23397"/>
    <cellStyle name="Normal 3 2 3 2 2 11 2 6" xfId="27429"/>
    <cellStyle name="Normal 3 2 3 2 2 11 2 7" xfId="31461"/>
    <cellStyle name="Normal 3 2 3 2 2 11 2 8" xfId="35493"/>
    <cellStyle name="Normal 3 2 3 2 2 11 2 9" xfId="39525"/>
    <cellStyle name="Normal 3 2 3 2 2 11 3" xfId="9285"/>
    <cellStyle name="Normal 3 2 3 2 2 11 4" xfId="13317"/>
    <cellStyle name="Normal 3 2 3 2 2 11 5" xfId="17349"/>
    <cellStyle name="Normal 3 2 3 2 2 11 6" xfId="21381"/>
    <cellStyle name="Normal 3 2 3 2 2 11 7" xfId="25413"/>
    <cellStyle name="Normal 3 2 3 2 2 11 8" xfId="29445"/>
    <cellStyle name="Normal 3 2 3 2 2 11 9" xfId="33477"/>
    <cellStyle name="Normal 3 2 3 2 2 12" xfId="7145"/>
    <cellStyle name="Normal 3 2 3 2 2 12 10" xfId="43435"/>
    <cellStyle name="Normal 3 2 3 2 2 12 11" xfId="47467"/>
    <cellStyle name="Normal 3 2 3 2 2 12 12" xfId="51546"/>
    <cellStyle name="Normal 3 2 3 2 2 12 2" xfId="11179"/>
    <cellStyle name="Normal 3 2 3 2 2 12 3" xfId="15211"/>
    <cellStyle name="Normal 3 2 3 2 2 12 4" xfId="19243"/>
    <cellStyle name="Normal 3 2 3 2 2 12 5" xfId="23275"/>
    <cellStyle name="Normal 3 2 3 2 2 12 6" xfId="27307"/>
    <cellStyle name="Normal 3 2 3 2 2 12 7" xfId="31339"/>
    <cellStyle name="Normal 3 2 3 2 2 12 8" xfId="35371"/>
    <cellStyle name="Normal 3 2 3 2 2 12 9" xfId="39403"/>
    <cellStyle name="Normal 3 2 3 2 2 13" xfId="171"/>
    <cellStyle name="Normal 3 2 3 2 2 14" xfId="9163"/>
    <cellStyle name="Normal 3 2 3 2 2 15" xfId="13195"/>
    <cellStyle name="Normal 3 2 3 2 2 16" xfId="17227"/>
    <cellStyle name="Normal 3 2 3 2 2 17" xfId="21259"/>
    <cellStyle name="Normal 3 2 3 2 2 18" xfId="25291"/>
    <cellStyle name="Normal 3 2 3 2 2 19" xfId="29323"/>
    <cellStyle name="Normal 3 2 3 2 2 2" xfId="250"/>
    <cellStyle name="Normal 3 2 3 2 2 2 10" xfId="21328"/>
    <cellStyle name="Normal 3 2 3 2 2 2 11" xfId="25360"/>
    <cellStyle name="Normal 3 2 3 2 2 2 12" xfId="29392"/>
    <cellStyle name="Normal 3 2 3 2 2 2 13" xfId="33424"/>
    <cellStyle name="Normal 3 2 3 2 2 2 14" xfId="37456"/>
    <cellStyle name="Normal 3 2 3 2 2 2 15" xfId="41488"/>
    <cellStyle name="Normal 3 2 3 2 2 2 16" xfId="45520"/>
    <cellStyle name="Normal 3 2 3 2 2 2 17" xfId="49598"/>
    <cellStyle name="Normal 3 2 3 2 2 2 2" xfId="4368"/>
    <cellStyle name="Normal 3 2 3 2 2 2 2 10" xfId="34213"/>
    <cellStyle name="Normal 3 2 3 2 2 2 2 11" xfId="38245"/>
    <cellStyle name="Normal 3 2 3 2 2 2 2 12" xfId="42277"/>
    <cellStyle name="Normal 3 2 3 2 2 2 2 13" xfId="46309"/>
    <cellStyle name="Normal 3 2 3 2 2 2 2 14" xfId="50388"/>
    <cellStyle name="Normal 3 2 3 2 2 2 2 2" xfId="6938"/>
    <cellStyle name="Normal 3 2 3 2 2 2 2 2 10" xfId="39196"/>
    <cellStyle name="Normal 3 2 3 2 2 2 2 2 11" xfId="43228"/>
    <cellStyle name="Normal 3 2 3 2 2 2 2 2 12" xfId="47260"/>
    <cellStyle name="Normal 3 2 3 2 2 2 2 2 13" xfId="51339"/>
    <cellStyle name="Normal 3 2 3 2 2 2 2 2 2" xfId="8954"/>
    <cellStyle name="Normal 3 2 3 2 2 2 2 2 2 10" xfId="45244"/>
    <cellStyle name="Normal 3 2 3 2 2 2 2 2 2 11" xfId="49276"/>
    <cellStyle name="Normal 3 2 3 2 2 2 2 2 2 12" xfId="53355"/>
    <cellStyle name="Normal 3 2 3 2 2 2 2 2 2 2" xfId="12988"/>
    <cellStyle name="Normal 3 2 3 2 2 2 2 2 2 3" xfId="17020"/>
    <cellStyle name="Normal 3 2 3 2 2 2 2 2 2 4" xfId="21052"/>
    <cellStyle name="Normal 3 2 3 2 2 2 2 2 2 5" xfId="25084"/>
    <cellStyle name="Normal 3 2 3 2 2 2 2 2 2 6" xfId="29116"/>
    <cellStyle name="Normal 3 2 3 2 2 2 2 2 2 7" xfId="33148"/>
    <cellStyle name="Normal 3 2 3 2 2 2 2 2 2 8" xfId="37180"/>
    <cellStyle name="Normal 3 2 3 2 2 2 2 2 2 9" xfId="41212"/>
    <cellStyle name="Normal 3 2 3 2 2 2 2 2 3" xfId="10972"/>
    <cellStyle name="Normal 3 2 3 2 2 2 2 2 4" xfId="15004"/>
    <cellStyle name="Normal 3 2 3 2 2 2 2 2 5" xfId="19036"/>
    <cellStyle name="Normal 3 2 3 2 2 2 2 2 6" xfId="23068"/>
    <cellStyle name="Normal 3 2 3 2 2 2 2 2 7" xfId="27100"/>
    <cellStyle name="Normal 3 2 3 2 2 2 2 2 8" xfId="31132"/>
    <cellStyle name="Normal 3 2 3 2 2 2 2 2 9" xfId="35164"/>
    <cellStyle name="Normal 3 2 3 2 2 2 2 3" xfId="8003"/>
    <cellStyle name="Normal 3 2 3 2 2 2 2 3 10" xfId="44293"/>
    <cellStyle name="Normal 3 2 3 2 2 2 2 3 11" xfId="48325"/>
    <cellStyle name="Normal 3 2 3 2 2 2 2 3 12" xfId="52404"/>
    <cellStyle name="Normal 3 2 3 2 2 2 2 3 2" xfId="12037"/>
    <cellStyle name="Normal 3 2 3 2 2 2 2 3 3" xfId="16069"/>
    <cellStyle name="Normal 3 2 3 2 2 2 2 3 4" xfId="20101"/>
    <cellStyle name="Normal 3 2 3 2 2 2 2 3 5" xfId="24133"/>
    <cellStyle name="Normal 3 2 3 2 2 2 2 3 6" xfId="28165"/>
    <cellStyle name="Normal 3 2 3 2 2 2 2 3 7" xfId="32197"/>
    <cellStyle name="Normal 3 2 3 2 2 2 2 3 8" xfId="36229"/>
    <cellStyle name="Normal 3 2 3 2 2 2 2 3 9" xfId="40261"/>
    <cellStyle name="Normal 3 2 3 2 2 2 2 4" xfId="10021"/>
    <cellStyle name="Normal 3 2 3 2 2 2 2 5" xfId="14053"/>
    <cellStyle name="Normal 3 2 3 2 2 2 2 6" xfId="18085"/>
    <cellStyle name="Normal 3 2 3 2 2 2 2 7" xfId="22117"/>
    <cellStyle name="Normal 3 2 3 2 2 2 2 8" xfId="26149"/>
    <cellStyle name="Normal 3 2 3 2 2 2 2 9" xfId="30181"/>
    <cellStyle name="Normal 3 2 3 2 2 2 3" xfId="4507"/>
    <cellStyle name="Normal 3 2 3 2 2 2 3 10" xfId="34351"/>
    <cellStyle name="Normal 3 2 3 2 2 2 3 11" xfId="38383"/>
    <cellStyle name="Normal 3 2 3 2 2 2 3 12" xfId="42415"/>
    <cellStyle name="Normal 3 2 3 2 2 2 3 13" xfId="46447"/>
    <cellStyle name="Normal 3 2 3 2 2 2 3 14" xfId="50526"/>
    <cellStyle name="Normal 3 2 3 2 2 2 3 2" xfId="7076"/>
    <cellStyle name="Normal 3 2 3 2 2 2 3 2 10" xfId="39334"/>
    <cellStyle name="Normal 3 2 3 2 2 2 3 2 11" xfId="43366"/>
    <cellStyle name="Normal 3 2 3 2 2 2 3 2 12" xfId="47398"/>
    <cellStyle name="Normal 3 2 3 2 2 2 3 2 13" xfId="51477"/>
    <cellStyle name="Normal 3 2 3 2 2 2 3 2 2" xfId="9092"/>
    <cellStyle name="Normal 3 2 3 2 2 2 3 2 2 10" xfId="45382"/>
    <cellStyle name="Normal 3 2 3 2 2 2 3 2 2 11" xfId="49414"/>
    <cellStyle name="Normal 3 2 3 2 2 2 3 2 2 12" xfId="53493"/>
    <cellStyle name="Normal 3 2 3 2 2 2 3 2 2 2" xfId="13126"/>
    <cellStyle name="Normal 3 2 3 2 2 2 3 2 2 3" xfId="17158"/>
    <cellStyle name="Normal 3 2 3 2 2 2 3 2 2 4" xfId="21190"/>
    <cellStyle name="Normal 3 2 3 2 2 2 3 2 2 5" xfId="25222"/>
    <cellStyle name="Normal 3 2 3 2 2 2 3 2 2 6" xfId="29254"/>
    <cellStyle name="Normal 3 2 3 2 2 2 3 2 2 7" xfId="33286"/>
    <cellStyle name="Normal 3 2 3 2 2 2 3 2 2 8" xfId="37318"/>
    <cellStyle name="Normal 3 2 3 2 2 2 3 2 2 9" xfId="41350"/>
    <cellStyle name="Normal 3 2 3 2 2 2 3 2 3" xfId="11110"/>
    <cellStyle name="Normal 3 2 3 2 2 2 3 2 4" xfId="15142"/>
    <cellStyle name="Normal 3 2 3 2 2 2 3 2 5" xfId="19174"/>
    <cellStyle name="Normal 3 2 3 2 2 2 3 2 6" xfId="23206"/>
    <cellStyle name="Normal 3 2 3 2 2 2 3 2 7" xfId="27238"/>
    <cellStyle name="Normal 3 2 3 2 2 2 3 2 8" xfId="31270"/>
    <cellStyle name="Normal 3 2 3 2 2 2 3 2 9" xfId="35302"/>
    <cellStyle name="Normal 3 2 3 2 2 2 3 3" xfId="8141"/>
    <cellStyle name="Normal 3 2 3 2 2 2 3 3 10" xfId="44431"/>
    <cellStyle name="Normal 3 2 3 2 2 2 3 3 11" xfId="48463"/>
    <cellStyle name="Normal 3 2 3 2 2 2 3 3 12" xfId="52542"/>
    <cellStyle name="Normal 3 2 3 2 2 2 3 3 2" xfId="12175"/>
    <cellStyle name="Normal 3 2 3 2 2 2 3 3 3" xfId="16207"/>
    <cellStyle name="Normal 3 2 3 2 2 2 3 3 4" xfId="20239"/>
    <cellStyle name="Normal 3 2 3 2 2 2 3 3 5" xfId="24271"/>
    <cellStyle name="Normal 3 2 3 2 2 2 3 3 6" xfId="28303"/>
    <cellStyle name="Normal 3 2 3 2 2 2 3 3 7" xfId="32335"/>
    <cellStyle name="Normal 3 2 3 2 2 2 3 3 8" xfId="36367"/>
    <cellStyle name="Normal 3 2 3 2 2 2 3 3 9" xfId="40399"/>
    <cellStyle name="Normal 3 2 3 2 2 2 3 4" xfId="10159"/>
    <cellStyle name="Normal 3 2 3 2 2 2 3 5" xfId="14191"/>
    <cellStyle name="Normal 3 2 3 2 2 2 3 6" xfId="18223"/>
    <cellStyle name="Normal 3 2 3 2 2 2 3 7" xfId="22255"/>
    <cellStyle name="Normal 3 2 3 2 2 2 3 8" xfId="26287"/>
    <cellStyle name="Normal 3 2 3 2 2 2 3 9" xfId="30319"/>
    <cellStyle name="Normal 3 2 3 2 2 2 4" xfId="4647"/>
    <cellStyle name="Normal 3 2 3 2 2 2 4 10" xfId="38521"/>
    <cellStyle name="Normal 3 2 3 2 2 2 4 11" xfId="42553"/>
    <cellStyle name="Normal 3 2 3 2 2 2 4 12" xfId="46585"/>
    <cellStyle name="Normal 3 2 3 2 2 2 4 13" xfId="50664"/>
    <cellStyle name="Normal 3 2 3 2 2 2 4 2" xfId="8279"/>
    <cellStyle name="Normal 3 2 3 2 2 2 4 2 10" xfId="44569"/>
    <cellStyle name="Normal 3 2 3 2 2 2 4 2 11" xfId="48601"/>
    <cellStyle name="Normal 3 2 3 2 2 2 4 2 12" xfId="52680"/>
    <cellStyle name="Normal 3 2 3 2 2 2 4 2 2" xfId="12313"/>
    <cellStyle name="Normal 3 2 3 2 2 2 4 2 3" xfId="16345"/>
    <cellStyle name="Normal 3 2 3 2 2 2 4 2 4" xfId="20377"/>
    <cellStyle name="Normal 3 2 3 2 2 2 4 2 5" xfId="24409"/>
    <cellStyle name="Normal 3 2 3 2 2 2 4 2 6" xfId="28441"/>
    <cellStyle name="Normal 3 2 3 2 2 2 4 2 7" xfId="32473"/>
    <cellStyle name="Normal 3 2 3 2 2 2 4 2 8" xfId="36505"/>
    <cellStyle name="Normal 3 2 3 2 2 2 4 2 9" xfId="40537"/>
    <cellStyle name="Normal 3 2 3 2 2 2 4 3" xfId="10297"/>
    <cellStyle name="Normal 3 2 3 2 2 2 4 4" xfId="14329"/>
    <cellStyle name="Normal 3 2 3 2 2 2 4 5" xfId="18361"/>
    <cellStyle name="Normal 3 2 3 2 2 2 4 6" xfId="22393"/>
    <cellStyle name="Normal 3 2 3 2 2 2 4 7" xfId="26425"/>
    <cellStyle name="Normal 3 2 3 2 2 2 4 8" xfId="30457"/>
    <cellStyle name="Normal 3 2 3 2 2 2 4 9" xfId="34489"/>
    <cellStyle name="Normal 3 2 3 2 2 2 5" xfId="374"/>
    <cellStyle name="Normal 3 2 3 2 2 2 5 10" xfId="37579"/>
    <cellStyle name="Normal 3 2 3 2 2 2 5 11" xfId="41611"/>
    <cellStyle name="Normal 3 2 3 2 2 2 5 12" xfId="45643"/>
    <cellStyle name="Normal 3 2 3 2 2 2 5 13" xfId="49721"/>
    <cellStyle name="Normal 3 2 3 2 2 2 5 2" xfId="7337"/>
    <cellStyle name="Normal 3 2 3 2 2 2 5 2 10" xfId="43627"/>
    <cellStyle name="Normal 3 2 3 2 2 2 5 2 11" xfId="47659"/>
    <cellStyle name="Normal 3 2 3 2 2 2 5 2 12" xfId="51738"/>
    <cellStyle name="Normal 3 2 3 2 2 2 5 2 2" xfId="11371"/>
    <cellStyle name="Normal 3 2 3 2 2 2 5 2 3" xfId="15403"/>
    <cellStyle name="Normal 3 2 3 2 2 2 5 2 4" xfId="19435"/>
    <cellStyle name="Normal 3 2 3 2 2 2 5 2 5" xfId="23467"/>
    <cellStyle name="Normal 3 2 3 2 2 2 5 2 6" xfId="27499"/>
    <cellStyle name="Normal 3 2 3 2 2 2 5 2 7" xfId="31531"/>
    <cellStyle name="Normal 3 2 3 2 2 2 5 2 8" xfId="35563"/>
    <cellStyle name="Normal 3 2 3 2 2 2 5 2 9" xfId="39595"/>
    <cellStyle name="Normal 3 2 3 2 2 2 5 3" xfId="9355"/>
    <cellStyle name="Normal 3 2 3 2 2 2 5 4" xfId="13387"/>
    <cellStyle name="Normal 3 2 3 2 2 2 5 5" xfId="17419"/>
    <cellStyle name="Normal 3 2 3 2 2 2 5 6" xfId="21451"/>
    <cellStyle name="Normal 3 2 3 2 2 2 5 7" xfId="25483"/>
    <cellStyle name="Normal 3 2 3 2 2 2 5 8" xfId="29515"/>
    <cellStyle name="Normal 3 2 3 2 2 2 5 9" xfId="33547"/>
    <cellStyle name="Normal 3 2 3 2 2 2 6" xfId="7214"/>
    <cellStyle name="Normal 3 2 3 2 2 2 6 10" xfId="43504"/>
    <cellStyle name="Normal 3 2 3 2 2 2 6 11" xfId="47536"/>
    <cellStyle name="Normal 3 2 3 2 2 2 6 12" xfId="51615"/>
    <cellStyle name="Normal 3 2 3 2 2 2 6 2" xfId="11248"/>
    <cellStyle name="Normal 3 2 3 2 2 2 6 3" xfId="15280"/>
    <cellStyle name="Normal 3 2 3 2 2 2 6 4" xfId="19312"/>
    <cellStyle name="Normal 3 2 3 2 2 2 6 5" xfId="23344"/>
    <cellStyle name="Normal 3 2 3 2 2 2 6 6" xfId="27376"/>
    <cellStyle name="Normal 3 2 3 2 2 2 6 7" xfId="31408"/>
    <cellStyle name="Normal 3 2 3 2 2 2 6 8" xfId="35440"/>
    <cellStyle name="Normal 3 2 3 2 2 2 6 9" xfId="39472"/>
    <cellStyle name="Normal 3 2 3 2 2 2 7" xfId="9232"/>
    <cellStyle name="Normal 3 2 3 2 2 2 8" xfId="13264"/>
    <cellStyle name="Normal 3 2 3 2 2 2 9" xfId="17296"/>
    <cellStyle name="Normal 3 2 3 2 2 20" xfId="33355"/>
    <cellStyle name="Normal 3 2 3 2 2 21" xfId="37387"/>
    <cellStyle name="Normal 3 2 3 2 2 22" xfId="41419"/>
    <cellStyle name="Normal 3 2 3 2 2 23" xfId="45451"/>
    <cellStyle name="Normal 3 2 3 2 2 24" xfId="49529"/>
    <cellStyle name="Normal 3 2 3 2 2 3" xfId="1684"/>
    <cellStyle name="Normal 3 2 3 2 2 3 10" xfId="33645"/>
    <cellStyle name="Normal 3 2 3 2 2 3 11" xfId="37677"/>
    <cellStyle name="Normal 3 2 3 2 2 3 12" xfId="41709"/>
    <cellStyle name="Normal 3 2 3 2 2 3 13" xfId="45741"/>
    <cellStyle name="Normal 3 2 3 2 2 3 14" xfId="49819"/>
    <cellStyle name="Normal 3 2 3 2 2 3 2" xfId="5360"/>
    <cellStyle name="Normal 3 2 3 2 2 3 2 10" xfId="38628"/>
    <cellStyle name="Normal 3 2 3 2 2 3 2 11" xfId="42660"/>
    <cellStyle name="Normal 3 2 3 2 2 3 2 12" xfId="46692"/>
    <cellStyle name="Normal 3 2 3 2 2 3 2 13" xfId="50771"/>
    <cellStyle name="Normal 3 2 3 2 2 3 2 2" xfId="8386"/>
    <cellStyle name="Normal 3 2 3 2 2 3 2 2 10" xfId="44676"/>
    <cellStyle name="Normal 3 2 3 2 2 3 2 2 11" xfId="48708"/>
    <cellStyle name="Normal 3 2 3 2 2 3 2 2 12" xfId="52787"/>
    <cellStyle name="Normal 3 2 3 2 2 3 2 2 2" xfId="12420"/>
    <cellStyle name="Normal 3 2 3 2 2 3 2 2 3" xfId="16452"/>
    <cellStyle name="Normal 3 2 3 2 2 3 2 2 4" xfId="20484"/>
    <cellStyle name="Normal 3 2 3 2 2 3 2 2 5" xfId="24516"/>
    <cellStyle name="Normal 3 2 3 2 2 3 2 2 6" xfId="28548"/>
    <cellStyle name="Normal 3 2 3 2 2 3 2 2 7" xfId="32580"/>
    <cellStyle name="Normal 3 2 3 2 2 3 2 2 8" xfId="36612"/>
    <cellStyle name="Normal 3 2 3 2 2 3 2 2 9" xfId="40644"/>
    <cellStyle name="Normal 3 2 3 2 2 3 2 3" xfId="10404"/>
    <cellStyle name="Normal 3 2 3 2 2 3 2 4" xfId="14436"/>
    <cellStyle name="Normal 3 2 3 2 2 3 2 5" xfId="18468"/>
    <cellStyle name="Normal 3 2 3 2 2 3 2 6" xfId="22500"/>
    <cellStyle name="Normal 3 2 3 2 2 3 2 7" xfId="26532"/>
    <cellStyle name="Normal 3 2 3 2 2 3 2 8" xfId="30564"/>
    <cellStyle name="Normal 3 2 3 2 2 3 2 9" xfId="34596"/>
    <cellStyle name="Normal 3 2 3 2 2 3 3" xfId="7435"/>
    <cellStyle name="Normal 3 2 3 2 2 3 3 10" xfId="43725"/>
    <cellStyle name="Normal 3 2 3 2 2 3 3 11" xfId="47757"/>
    <cellStyle name="Normal 3 2 3 2 2 3 3 12" xfId="51836"/>
    <cellStyle name="Normal 3 2 3 2 2 3 3 2" xfId="11469"/>
    <cellStyle name="Normal 3 2 3 2 2 3 3 3" xfId="15501"/>
    <cellStyle name="Normal 3 2 3 2 2 3 3 4" xfId="19533"/>
    <cellStyle name="Normal 3 2 3 2 2 3 3 5" xfId="23565"/>
    <cellStyle name="Normal 3 2 3 2 2 3 3 6" xfId="27597"/>
    <cellStyle name="Normal 3 2 3 2 2 3 3 7" xfId="31629"/>
    <cellStyle name="Normal 3 2 3 2 2 3 3 8" xfId="35661"/>
    <cellStyle name="Normal 3 2 3 2 2 3 3 9" xfId="39693"/>
    <cellStyle name="Normal 3 2 3 2 2 3 4" xfId="9453"/>
    <cellStyle name="Normal 3 2 3 2 2 3 5" xfId="13485"/>
    <cellStyle name="Normal 3 2 3 2 2 3 6" xfId="17517"/>
    <cellStyle name="Normal 3 2 3 2 2 3 7" xfId="21549"/>
    <cellStyle name="Normal 3 2 3 2 2 3 8" xfId="25581"/>
    <cellStyle name="Normal 3 2 3 2 2 3 9" xfId="29613"/>
    <cellStyle name="Normal 3 2 3 2 2 4" xfId="1758"/>
    <cellStyle name="Normal 3 2 3 2 2 4 10" xfId="33714"/>
    <cellStyle name="Normal 3 2 3 2 2 4 11" xfId="37746"/>
    <cellStyle name="Normal 3 2 3 2 2 4 12" xfId="41778"/>
    <cellStyle name="Normal 3 2 3 2 2 4 13" xfId="45810"/>
    <cellStyle name="Normal 3 2 3 2 2 4 14" xfId="49888"/>
    <cellStyle name="Normal 3 2 3 2 2 4 2" xfId="5429"/>
    <cellStyle name="Normal 3 2 3 2 2 4 2 10" xfId="38697"/>
    <cellStyle name="Normal 3 2 3 2 2 4 2 11" xfId="42729"/>
    <cellStyle name="Normal 3 2 3 2 2 4 2 12" xfId="46761"/>
    <cellStyle name="Normal 3 2 3 2 2 4 2 13" xfId="50840"/>
    <cellStyle name="Normal 3 2 3 2 2 4 2 2" xfId="8455"/>
    <cellStyle name="Normal 3 2 3 2 2 4 2 2 10" xfId="44745"/>
    <cellStyle name="Normal 3 2 3 2 2 4 2 2 11" xfId="48777"/>
    <cellStyle name="Normal 3 2 3 2 2 4 2 2 12" xfId="52856"/>
    <cellStyle name="Normal 3 2 3 2 2 4 2 2 2" xfId="12489"/>
    <cellStyle name="Normal 3 2 3 2 2 4 2 2 3" xfId="16521"/>
    <cellStyle name="Normal 3 2 3 2 2 4 2 2 4" xfId="20553"/>
    <cellStyle name="Normal 3 2 3 2 2 4 2 2 5" xfId="24585"/>
    <cellStyle name="Normal 3 2 3 2 2 4 2 2 6" xfId="28617"/>
    <cellStyle name="Normal 3 2 3 2 2 4 2 2 7" xfId="32649"/>
    <cellStyle name="Normal 3 2 3 2 2 4 2 2 8" xfId="36681"/>
    <cellStyle name="Normal 3 2 3 2 2 4 2 2 9" xfId="40713"/>
    <cellStyle name="Normal 3 2 3 2 2 4 2 3" xfId="10473"/>
    <cellStyle name="Normal 3 2 3 2 2 4 2 4" xfId="14505"/>
    <cellStyle name="Normal 3 2 3 2 2 4 2 5" xfId="18537"/>
    <cellStyle name="Normal 3 2 3 2 2 4 2 6" xfId="22569"/>
    <cellStyle name="Normal 3 2 3 2 2 4 2 7" xfId="26601"/>
    <cellStyle name="Normal 3 2 3 2 2 4 2 8" xfId="30633"/>
    <cellStyle name="Normal 3 2 3 2 2 4 2 9" xfId="34665"/>
    <cellStyle name="Normal 3 2 3 2 2 4 3" xfId="7504"/>
    <cellStyle name="Normal 3 2 3 2 2 4 3 10" xfId="43794"/>
    <cellStyle name="Normal 3 2 3 2 2 4 3 11" xfId="47826"/>
    <cellStyle name="Normal 3 2 3 2 2 4 3 12" xfId="51905"/>
    <cellStyle name="Normal 3 2 3 2 2 4 3 2" xfId="11538"/>
    <cellStyle name="Normal 3 2 3 2 2 4 3 3" xfId="15570"/>
    <cellStyle name="Normal 3 2 3 2 2 4 3 4" xfId="19602"/>
    <cellStyle name="Normal 3 2 3 2 2 4 3 5" xfId="23634"/>
    <cellStyle name="Normal 3 2 3 2 2 4 3 6" xfId="27666"/>
    <cellStyle name="Normal 3 2 3 2 2 4 3 7" xfId="31698"/>
    <cellStyle name="Normal 3 2 3 2 2 4 3 8" xfId="35730"/>
    <cellStyle name="Normal 3 2 3 2 2 4 3 9" xfId="39762"/>
    <cellStyle name="Normal 3 2 3 2 2 4 4" xfId="9522"/>
    <cellStyle name="Normal 3 2 3 2 2 4 5" xfId="13554"/>
    <cellStyle name="Normal 3 2 3 2 2 4 6" xfId="17586"/>
    <cellStyle name="Normal 3 2 3 2 2 4 7" xfId="21618"/>
    <cellStyle name="Normal 3 2 3 2 2 4 8" xfId="25650"/>
    <cellStyle name="Normal 3 2 3 2 2 4 9" xfId="29682"/>
    <cellStyle name="Normal 3 2 3 2 2 5" xfId="4080"/>
    <cellStyle name="Normal 3 2 3 2 2 5 10" xfId="33937"/>
    <cellStyle name="Normal 3 2 3 2 2 5 11" xfId="37969"/>
    <cellStyle name="Normal 3 2 3 2 2 5 12" xfId="42001"/>
    <cellStyle name="Normal 3 2 3 2 2 5 13" xfId="46033"/>
    <cellStyle name="Normal 3 2 3 2 2 5 14" xfId="50111"/>
    <cellStyle name="Normal 3 2 3 2 2 5 2" xfId="6662"/>
    <cellStyle name="Normal 3 2 3 2 2 5 2 10" xfId="38920"/>
    <cellStyle name="Normal 3 2 3 2 2 5 2 11" xfId="42952"/>
    <cellStyle name="Normal 3 2 3 2 2 5 2 12" xfId="46984"/>
    <cellStyle name="Normal 3 2 3 2 2 5 2 13" xfId="51063"/>
    <cellStyle name="Normal 3 2 3 2 2 5 2 2" xfId="8678"/>
    <cellStyle name="Normal 3 2 3 2 2 5 2 2 10" xfId="44968"/>
    <cellStyle name="Normal 3 2 3 2 2 5 2 2 11" xfId="49000"/>
    <cellStyle name="Normal 3 2 3 2 2 5 2 2 12" xfId="53079"/>
    <cellStyle name="Normal 3 2 3 2 2 5 2 2 2" xfId="12712"/>
    <cellStyle name="Normal 3 2 3 2 2 5 2 2 3" xfId="16744"/>
    <cellStyle name="Normal 3 2 3 2 2 5 2 2 4" xfId="20776"/>
    <cellStyle name="Normal 3 2 3 2 2 5 2 2 5" xfId="24808"/>
    <cellStyle name="Normal 3 2 3 2 2 5 2 2 6" xfId="28840"/>
    <cellStyle name="Normal 3 2 3 2 2 5 2 2 7" xfId="32872"/>
    <cellStyle name="Normal 3 2 3 2 2 5 2 2 8" xfId="36904"/>
    <cellStyle name="Normal 3 2 3 2 2 5 2 2 9" xfId="40936"/>
    <cellStyle name="Normal 3 2 3 2 2 5 2 3" xfId="10696"/>
    <cellStyle name="Normal 3 2 3 2 2 5 2 4" xfId="14728"/>
    <cellStyle name="Normal 3 2 3 2 2 5 2 5" xfId="18760"/>
    <cellStyle name="Normal 3 2 3 2 2 5 2 6" xfId="22792"/>
    <cellStyle name="Normal 3 2 3 2 2 5 2 7" xfId="26824"/>
    <cellStyle name="Normal 3 2 3 2 2 5 2 8" xfId="30856"/>
    <cellStyle name="Normal 3 2 3 2 2 5 2 9" xfId="34888"/>
    <cellStyle name="Normal 3 2 3 2 2 5 3" xfId="7727"/>
    <cellStyle name="Normal 3 2 3 2 2 5 3 10" xfId="44017"/>
    <cellStyle name="Normal 3 2 3 2 2 5 3 11" xfId="48049"/>
    <cellStyle name="Normal 3 2 3 2 2 5 3 12" xfId="52128"/>
    <cellStyle name="Normal 3 2 3 2 2 5 3 2" xfId="11761"/>
    <cellStyle name="Normal 3 2 3 2 2 5 3 3" xfId="15793"/>
    <cellStyle name="Normal 3 2 3 2 2 5 3 4" xfId="19825"/>
    <cellStyle name="Normal 3 2 3 2 2 5 3 5" xfId="23857"/>
    <cellStyle name="Normal 3 2 3 2 2 5 3 6" xfId="27889"/>
    <cellStyle name="Normal 3 2 3 2 2 5 3 7" xfId="31921"/>
    <cellStyle name="Normal 3 2 3 2 2 5 3 8" xfId="35953"/>
    <cellStyle name="Normal 3 2 3 2 2 5 3 9" xfId="39985"/>
    <cellStyle name="Normal 3 2 3 2 2 5 4" xfId="9745"/>
    <cellStyle name="Normal 3 2 3 2 2 5 5" xfId="13777"/>
    <cellStyle name="Normal 3 2 3 2 2 5 6" xfId="17809"/>
    <cellStyle name="Normal 3 2 3 2 2 5 7" xfId="21841"/>
    <cellStyle name="Normal 3 2 3 2 2 5 8" xfId="25873"/>
    <cellStyle name="Normal 3 2 3 2 2 5 9" xfId="29905"/>
    <cellStyle name="Normal 3 2 3 2 2 6" xfId="4150"/>
    <cellStyle name="Normal 3 2 3 2 2 6 10" xfId="34006"/>
    <cellStyle name="Normal 3 2 3 2 2 6 11" xfId="38038"/>
    <cellStyle name="Normal 3 2 3 2 2 6 12" xfId="42070"/>
    <cellStyle name="Normal 3 2 3 2 2 6 13" xfId="46102"/>
    <cellStyle name="Normal 3 2 3 2 2 6 14" xfId="50180"/>
    <cellStyle name="Normal 3 2 3 2 2 6 2" xfId="6731"/>
    <cellStyle name="Normal 3 2 3 2 2 6 2 10" xfId="38989"/>
    <cellStyle name="Normal 3 2 3 2 2 6 2 11" xfId="43021"/>
    <cellStyle name="Normal 3 2 3 2 2 6 2 12" xfId="47053"/>
    <cellStyle name="Normal 3 2 3 2 2 6 2 13" xfId="51132"/>
    <cellStyle name="Normal 3 2 3 2 2 6 2 2" xfId="8747"/>
    <cellStyle name="Normal 3 2 3 2 2 6 2 2 10" xfId="45037"/>
    <cellStyle name="Normal 3 2 3 2 2 6 2 2 11" xfId="49069"/>
    <cellStyle name="Normal 3 2 3 2 2 6 2 2 12" xfId="53148"/>
    <cellStyle name="Normal 3 2 3 2 2 6 2 2 2" xfId="12781"/>
    <cellStyle name="Normal 3 2 3 2 2 6 2 2 3" xfId="16813"/>
    <cellStyle name="Normal 3 2 3 2 2 6 2 2 4" xfId="20845"/>
    <cellStyle name="Normal 3 2 3 2 2 6 2 2 5" xfId="24877"/>
    <cellStyle name="Normal 3 2 3 2 2 6 2 2 6" xfId="28909"/>
    <cellStyle name="Normal 3 2 3 2 2 6 2 2 7" xfId="32941"/>
    <cellStyle name="Normal 3 2 3 2 2 6 2 2 8" xfId="36973"/>
    <cellStyle name="Normal 3 2 3 2 2 6 2 2 9" xfId="41005"/>
    <cellStyle name="Normal 3 2 3 2 2 6 2 3" xfId="10765"/>
    <cellStyle name="Normal 3 2 3 2 2 6 2 4" xfId="14797"/>
    <cellStyle name="Normal 3 2 3 2 2 6 2 5" xfId="18829"/>
    <cellStyle name="Normal 3 2 3 2 2 6 2 6" xfId="22861"/>
    <cellStyle name="Normal 3 2 3 2 2 6 2 7" xfId="26893"/>
    <cellStyle name="Normal 3 2 3 2 2 6 2 8" xfId="30925"/>
    <cellStyle name="Normal 3 2 3 2 2 6 2 9" xfId="34957"/>
    <cellStyle name="Normal 3 2 3 2 2 6 3" xfId="7796"/>
    <cellStyle name="Normal 3 2 3 2 2 6 3 10" xfId="44086"/>
    <cellStyle name="Normal 3 2 3 2 2 6 3 11" xfId="48118"/>
    <cellStyle name="Normal 3 2 3 2 2 6 3 12" xfId="52197"/>
    <cellStyle name="Normal 3 2 3 2 2 6 3 2" xfId="11830"/>
    <cellStyle name="Normal 3 2 3 2 2 6 3 3" xfId="15862"/>
    <cellStyle name="Normal 3 2 3 2 2 6 3 4" xfId="19894"/>
    <cellStyle name="Normal 3 2 3 2 2 6 3 5" xfId="23926"/>
    <cellStyle name="Normal 3 2 3 2 2 6 3 6" xfId="27958"/>
    <cellStyle name="Normal 3 2 3 2 2 6 3 7" xfId="31990"/>
    <cellStyle name="Normal 3 2 3 2 2 6 3 8" xfId="36022"/>
    <cellStyle name="Normal 3 2 3 2 2 6 3 9" xfId="40054"/>
    <cellStyle name="Normal 3 2 3 2 2 6 4" xfId="9814"/>
    <cellStyle name="Normal 3 2 3 2 2 6 5" xfId="13846"/>
    <cellStyle name="Normal 3 2 3 2 2 6 6" xfId="17878"/>
    <cellStyle name="Normal 3 2 3 2 2 6 7" xfId="21910"/>
    <cellStyle name="Normal 3 2 3 2 2 6 8" xfId="25942"/>
    <cellStyle name="Normal 3 2 3 2 2 6 9" xfId="29974"/>
    <cellStyle name="Normal 3 2 3 2 2 7" xfId="4219"/>
    <cellStyle name="Normal 3 2 3 2 2 7 10" xfId="34075"/>
    <cellStyle name="Normal 3 2 3 2 2 7 11" xfId="38107"/>
    <cellStyle name="Normal 3 2 3 2 2 7 12" xfId="42139"/>
    <cellStyle name="Normal 3 2 3 2 2 7 13" xfId="46171"/>
    <cellStyle name="Normal 3 2 3 2 2 7 14" xfId="50249"/>
    <cellStyle name="Normal 3 2 3 2 2 7 2" xfId="6800"/>
    <cellStyle name="Normal 3 2 3 2 2 7 2 10" xfId="39058"/>
    <cellStyle name="Normal 3 2 3 2 2 7 2 11" xfId="43090"/>
    <cellStyle name="Normal 3 2 3 2 2 7 2 12" xfId="47122"/>
    <cellStyle name="Normal 3 2 3 2 2 7 2 13" xfId="51201"/>
    <cellStyle name="Normal 3 2 3 2 2 7 2 2" xfId="8816"/>
    <cellStyle name="Normal 3 2 3 2 2 7 2 2 10" xfId="45106"/>
    <cellStyle name="Normal 3 2 3 2 2 7 2 2 11" xfId="49138"/>
    <cellStyle name="Normal 3 2 3 2 2 7 2 2 12" xfId="53217"/>
    <cellStyle name="Normal 3 2 3 2 2 7 2 2 2" xfId="12850"/>
    <cellStyle name="Normal 3 2 3 2 2 7 2 2 3" xfId="16882"/>
    <cellStyle name="Normal 3 2 3 2 2 7 2 2 4" xfId="20914"/>
    <cellStyle name="Normal 3 2 3 2 2 7 2 2 5" xfId="24946"/>
    <cellStyle name="Normal 3 2 3 2 2 7 2 2 6" xfId="28978"/>
    <cellStyle name="Normal 3 2 3 2 2 7 2 2 7" xfId="33010"/>
    <cellStyle name="Normal 3 2 3 2 2 7 2 2 8" xfId="37042"/>
    <cellStyle name="Normal 3 2 3 2 2 7 2 2 9" xfId="41074"/>
    <cellStyle name="Normal 3 2 3 2 2 7 2 3" xfId="10834"/>
    <cellStyle name="Normal 3 2 3 2 2 7 2 4" xfId="14866"/>
    <cellStyle name="Normal 3 2 3 2 2 7 2 5" xfId="18898"/>
    <cellStyle name="Normal 3 2 3 2 2 7 2 6" xfId="22930"/>
    <cellStyle name="Normal 3 2 3 2 2 7 2 7" xfId="26962"/>
    <cellStyle name="Normal 3 2 3 2 2 7 2 8" xfId="30994"/>
    <cellStyle name="Normal 3 2 3 2 2 7 2 9" xfId="35026"/>
    <cellStyle name="Normal 3 2 3 2 2 7 3" xfId="7865"/>
    <cellStyle name="Normal 3 2 3 2 2 7 3 10" xfId="44155"/>
    <cellStyle name="Normal 3 2 3 2 2 7 3 11" xfId="48187"/>
    <cellStyle name="Normal 3 2 3 2 2 7 3 12" xfId="52266"/>
    <cellStyle name="Normal 3 2 3 2 2 7 3 2" xfId="11899"/>
    <cellStyle name="Normal 3 2 3 2 2 7 3 3" xfId="15931"/>
    <cellStyle name="Normal 3 2 3 2 2 7 3 4" xfId="19963"/>
    <cellStyle name="Normal 3 2 3 2 2 7 3 5" xfId="23995"/>
    <cellStyle name="Normal 3 2 3 2 2 7 3 6" xfId="28027"/>
    <cellStyle name="Normal 3 2 3 2 2 7 3 7" xfId="32059"/>
    <cellStyle name="Normal 3 2 3 2 2 7 3 8" xfId="36091"/>
    <cellStyle name="Normal 3 2 3 2 2 7 3 9" xfId="40123"/>
    <cellStyle name="Normal 3 2 3 2 2 7 4" xfId="9883"/>
    <cellStyle name="Normal 3 2 3 2 2 7 5" xfId="13915"/>
    <cellStyle name="Normal 3 2 3 2 2 7 6" xfId="17947"/>
    <cellStyle name="Normal 3 2 3 2 2 7 7" xfId="21979"/>
    <cellStyle name="Normal 3 2 3 2 2 7 8" xfId="26011"/>
    <cellStyle name="Normal 3 2 3 2 2 7 9" xfId="30043"/>
    <cellStyle name="Normal 3 2 3 2 2 8" xfId="4292"/>
    <cellStyle name="Normal 3 2 3 2 2 8 10" xfId="34144"/>
    <cellStyle name="Normal 3 2 3 2 2 8 11" xfId="38176"/>
    <cellStyle name="Normal 3 2 3 2 2 8 12" xfId="42208"/>
    <cellStyle name="Normal 3 2 3 2 2 8 13" xfId="46240"/>
    <cellStyle name="Normal 3 2 3 2 2 8 14" xfId="50318"/>
    <cellStyle name="Normal 3 2 3 2 2 8 2" xfId="6869"/>
    <cellStyle name="Normal 3 2 3 2 2 8 2 10" xfId="39127"/>
    <cellStyle name="Normal 3 2 3 2 2 8 2 11" xfId="43159"/>
    <cellStyle name="Normal 3 2 3 2 2 8 2 12" xfId="47191"/>
    <cellStyle name="Normal 3 2 3 2 2 8 2 13" xfId="51270"/>
    <cellStyle name="Normal 3 2 3 2 2 8 2 2" xfId="8885"/>
    <cellStyle name="Normal 3 2 3 2 2 8 2 2 10" xfId="45175"/>
    <cellStyle name="Normal 3 2 3 2 2 8 2 2 11" xfId="49207"/>
    <cellStyle name="Normal 3 2 3 2 2 8 2 2 12" xfId="53286"/>
    <cellStyle name="Normal 3 2 3 2 2 8 2 2 2" xfId="12919"/>
    <cellStyle name="Normal 3 2 3 2 2 8 2 2 3" xfId="16951"/>
    <cellStyle name="Normal 3 2 3 2 2 8 2 2 4" xfId="20983"/>
    <cellStyle name="Normal 3 2 3 2 2 8 2 2 5" xfId="25015"/>
    <cellStyle name="Normal 3 2 3 2 2 8 2 2 6" xfId="29047"/>
    <cellStyle name="Normal 3 2 3 2 2 8 2 2 7" xfId="33079"/>
    <cellStyle name="Normal 3 2 3 2 2 8 2 2 8" xfId="37111"/>
    <cellStyle name="Normal 3 2 3 2 2 8 2 2 9" xfId="41143"/>
    <cellStyle name="Normal 3 2 3 2 2 8 2 3" xfId="10903"/>
    <cellStyle name="Normal 3 2 3 2 2 8 2 4" xfId="14935"/>
    <cellStyle name="Normal 3 2 3 2 2 8 2 5" xfId="18967"/>
    <cellStyle name="Normal 3 2 3 2 2 8 2 6" xfId="22999"/>
    <cellStyle name="Normal 3 2 3 2 2 8 2 7" xfId="27031"/>
    <cellStyle name="Normal 3 2 3 2 2 8 2 8" xfId="31063"/>
    <cellStyle name="Normal 3 2 3 2 2 8 2 9" xfId="35095"/>
    <cellStyle name="Normal 3 2 3 2 2 8 3" xfId="7934"/>
    <cellStyle name="Normal 3 2 3 2 2 8 3 10" xfId="44224"/>
    <cellStyle name="Normal 3 2 3 2 2 8 3 11" xfId="48256"/>
    <cellStyle name="Normal 3 2 3 2 2 8 3 12" xfId="52335"/>
    <cellStyle name="Normal 3 2 3 2 2 8 3 2" xfId="11968"/>
    <cellStyle name="Normal 3 2 3 2 2 8 3 3" xfId="16000"/>
    <cellStyle name="Normal 3 2 3 2 2 8 3 4" xfId="20032"/>
    <cellStyle name="Normal 3 2 3 2 2 8 3 5" xfId="24064"/>
    <cellStyle name="Normal 3 2 3 2 2 8 3 6" xfId="28096"/>
    <cellStyle name="Normal 3 2 3 2 2 8 3 7" xfId="32128"/>
    <cellStyle name="Normal 3 2 3 2 2 8 3 8" xfId="36160"/>
    <cellStyle name="Normal 3 2 3 2 2 8 3 9" xfId="40192"/>
    <cellStyle name="Normal 3 2 3 2 2 8 4" xfId="9952"/>
    <cellStyle name="Normal 3 2 3 2 2 8 5" xfId="13984"/>
    <cellStyle name="Normal 3 2 3 2 2 8 6" xfId="18016"/>
    <cellStyle name="Normal 3 2 3 2 2 8 7" xfId="22048"/>
    <cellStyle name="Normal 3 2 3 2 2 8 8" xfId="26080"/>
    <cellStyle name="Normal 3 2 3 2 2 8 9" xfId="30112"/>
    <cellStyle name="Normal 3 2 3 2 2 9" xfId="4438"/>
    <cellStyle name="Normal 3 2 3 2 2 9 10" xfId="34282"/>
    <cellStyle name="Normal 3 2 3 2 2 9 11" xfId="38314"/>
    <cellStyle name="Normal 3 2 3 2 2 9 12" xfId="42346"/>
    <cellStyle name="Normal 3 2 3 2 2 9 13" xfId="46378"/>
    <cellStyle name="Normal 3 2 3 2 2 9 14" xfId="50457"/>
    <cellStyle name="Normal 3 2 3 2 2 9 2" xfId="7007"/>
    <cellStyle name="Normal 3 2 3 2 2 9 2 10" xfId="39265"/>
    <cellStyle name="Normal 3 2 3 2 2 9 2 11" xfId="43297"/>
    <cellStyle name="Normal 3 2 3 2 2 9 2 12" xfId="47329"/>
    <cellStyle name="Normal 3 2 3 2 2 9 2 13" xfId="51408"/>
    <cellStyle name="Normal 3 2 3 2 2 9 2 2" xfId="9023"/>
    <cellStyle name="Normal 3 2 3 2 2 9 2 2 10" xfId="45313"/>
    <cellStyle name="Normal 3 2 3 2 2 9 2 2 11" xfId="49345"/>
    <cellStyle name="Normal 3 2 3 2 2 9 2 2 12" xfId="53424"/>
    <cellStyle name="Normal 3 2 3 2 2 9 2 2 2" xfId="13057"/>
    <cellStyle name="Normal 3 2 3 2 2 9 2 2 3" xfId="17089"/>
    <cellStyle name="Normal 3 2 3 2 2 9 2 2 4" xfId="21121"/>
    <cellStyle name="Normal 3 2 3 2 2 9 2 2 5" xfId="25153"/>
    <cellStyle name="Normal 3 2 3 2 2 9 2 2 6" xfId="29185"/>
    <cellStyle name="Normal 3 2 3 2 2 9 2 2 7" xfId="33217"/>
    <cellStyle name="Normal 3 2 3 2 2 9 2 2 8" xfId="37249"/>
    <cellStyle name="Normal 3 2 3 2 2 9 2 2 9" xfId="41281"/>
    <cellStyle name="Normal 3 2 3 2 2 9 2 3" xfId="11041"/>
    <cellStyle name="Normal 3 2 3 2 2 9 2 4" xfId="15073"/>
    <cellStyle name="Normal 3 2 3 2 2 9 2 5" xfId="19105"/>
    <cellStyle name="Normal 3 2 3 2 2 9 2 6" xfId="23137"/>
    <cellStyle name="Normal 3 2 3 2 2 9 2 7" xfId="27169"/>
    <cellStyle name="Normal 3 2 3 2 2 9 2 8" xfId="31201"/>
    <cellStyle name="Normal 3 2 3 2 2 9 2 9" xfId="35233"/>
    <cellStyle name="Normal 3 2 3 2 2 9 3" xfId="8072"/>
    <cellStyle name="Normal 3 2 3 2 2 9 3 10" xfId="44362"/>
    <cellStyle name="Normal 3 2 3 2 2 9 3 11" xfId="48394"/>
    <cellStyle name="Normal 3 2 3 2 2 9 3 12" xfId="52473"/>
    <cellStyle name="Normal 3 2 3 2 2 9 3 2" xfId="12106"/>
    <cellStyle name="Normal 3 2 3 2 2 9 3 3" xfId="16138"/>
    <cellStyle name="Normal 3 2 3 2 2 9 3 4" xfId="20170"/>
    <cellStyle name="Normal 3 2 3 2 2 9 3 5" xfId="24202"/>
    <cellStyle name="Normal 3 2 3 2 2 9 3 6" xfId="28234"/>
    <cellStyle name="Normal 3 2 3 2 2 9 3 7" xfId="32266"/>
    <cellStyle name="Normal 3 2 3 2 2 9 3 8" xfId="36298"/>
    <cellStyle name="Normal 3 2 3 2 2 9 3 9" xfId="40330"/>
    <cellStyle name="Normal 3 2 3 2 2 9 4" xfId="10090"/>
    <cellStyle name="Normal 3 2 3 2 2 9 5" xfId="14122"/>
    <cellStyle name="Normal 3 2 3 2 2 9 6" xfId="18154"/>
    <cellStyle name="Normal 3 2 3 2 2 9 7" xfId="22186"/>
    <cellStyle name="Normal 3 2 3 2 2 9 8" xfId="26218"/>
    <cellStyle name="Normal 3 2 3 2 2 9 9" xfId="30250"/>
    <cellStyle name="Normal 3 2 3 2 20" xfId="21208"/>
    <cellStyle name="Normal 3 2 3 2 21" xfId="25240"/>
    <cellStyle name="Normal 3 2 3 2 22" xfId="29272"/>
    <cellStyle name="Normal 3 2 3 2 23" xfId="33304"/>
    <cellStyle name="Normal 3 2 3 2 24" xfId="37336"/>
    <cellStyle name="Normal 3 2 3 2 25" xfId="41368"/>
    <cellStyle name="Normal 3 2 3 2 26" xfId="45400"/>
    <cellStyle name="Normal 3 2 3 2 27" xfId="49478"/>
    <cellStyle name="Normal 3 2 3 2 3" xfId="80"/>
    <cellStyle name="Normal 3 2 3 2 3 10" xfId="4560"/>
    <cellStyle name="Normal 3 2 3 2 3 10 10" xfId="38436"/>
    <cellStyle name="Normal 3 2 3 2 3 10 11" xfId="42468"/>
    <cellStyle name="Normal 3 2 3 2 3 10 12" xfId="46500"/>
    <cellStyle name="Normal 3 2 3 2 3 10 13" xfId="50579"/>
    <cellStyle name="Normal 3 2 3 2 3 10 2" xfId="8194"/>
    <cellStyle name="Normal 3 2 3 2 3 10 2 10" xfId="44484"/>
    <cellStyle name="Normal 3 2 3 2 3 10 2 11" xfId="48516"/>
    <cellStyle name="Normal 3 2 3 2 3 10 2 12" xfId="52595"/>
    <cellStyle name="Normal 3 2 3 2 3 10 2 2" xfId="12228"/>
    <cellStyle name="Normal 3 2 3 2 3 10 2 3" xfId="16260"/>
    <cellStyle name="Normal 3 2 3 2 3 10 2 4" xfId="20292"/>
    <cellStyle name="Normal 3 2 3 2 3 10 2 5" xfId="24324"/>
    <cellStyle name="Normal 3 2 3 2 3 10 2 6" xfId="28356"/>
    <cellStyle name="Normal 3 2 3 2 3 10 2 7" xfId="32388"/>
    <cellStyle name="Normal 3 2 3 2 3 10 2 8" xfId="36420"/>
    <cellStyle name="Normal 3 2 3 2 3 10 2 9" xfId="40452"/>
    <cellStyle name="Normal 3 2 3 2 3 10 3" xfId="10212"/>
    <cellStyle name="Normal 3 2 3 2 3 10 4" xfId="14244"/>
    <cellStyle name="Normal 3 2 3 2 3 10 5" xfId="18276"/>
    <cellStyle name="Normal 3 2 3 2 3 10 6" xfId="22308"/>
    <cellStyle name="Normal 3 2 3 2 3 10 7" xfId="26340"/>
    <cellStyle name="Normal 3 2 3 2 3 10 8" xfId="30372"/>
    <cellStyle name="Normal 3 2 3 2 3 10 9" xfId="34404"/>
    <cellStyle name="Normal 3 2 3 2 3 11" xfId="288"/>
    <cellStyle name="Normal 3 2 3 2 3 11 10" xfId="37493"/>
    <cellStyle name="Normal 3 2 3 2 3 11 11" xfId="41525"/>
    <cellStyle name="Normal 3 2 3 2 3 11 12" xfId="45557"/>
    <cellStyle name="Normal 3 2 3 2 3 11 13" xfId="49635"/>
    <cellStyle name="Normal 3 2 3 2 3 11 2" xfId="7251"/>
    <cellStyle name="Normal 3 2 3 2 3 11 2 10" xfId="43541"/>
    <cellStyle name="Normal 3 2 3 2 3 11 2 11" xfId="47573"/>
    <cellStyle name="Normal 3 2 3 2 3 11 2 12" xfId="51652"/>
    <cellStyle name="Normal 3 2 3 2 3 11 2 2" xfId="11285"/>
    <cellStyle name="Normal 3 2 3 2 3 11 2 3" xfId="15317"/>
    <cellStyle name="Normal 3 2 3 2 3 11 2 4" xfId="19349"/>
    <cellStyle name="Normal 3 2 3 2 3 11 2 5" xfId="23381"/>
    <cellStyle name="Normal 3 2 3 2 3 11 2 6" xfId="27413"/>
    <cellStyle name="Normal 3 2 3 2 3 11 2 7" xfId="31445"/>
    <cellStyle name="Normal 3 2 3 2 3 11 2 8" xfId="35477"/>
    <cellStyle name="Normal 3 2 3 2 3 11 2 9" xfId="39509"/>
    <cellStyle name="Normal 3 2 3 2 3 11 3" xfId="9269"/>
    <cellStyle name="Normal 3 2 3 2 3 11 4" xfId="13301"/>
    <cellStyle name="Normal 3 2 3 2 3 11 5" xfId="17333"/>
    <cellStyle name="Normal 3 2 3 2 3 11 6" xfId="21365"/>
    <cellStyle name="Normal 3 2 3 2 3 11 7" xfId="25397"/>
    <cellStyle name="Normal 3 2 3 2 3 11 8" xfId="29429"/>
    <cellStyle name="Normal 3 2 3 2 3 11 9" xfId="33461"/>
    <cellStyle name="Normal 3 2 3 2 3 12" xfId="7129"/>
    <cellStyle name="Normal 3 2 3 2 3 12 10" xfId="43419"/>
    <cellStyle name="Normal 3 2 3 2 3 12 11" xfId="47451"/>
    <cellStyle name="Normal 3 2 3 2 3 12 12" xfId="51530"/>
    <cellStyle name="Normal 3 2 3 2 3 12 2" xfId="11163"/>
    <cellStyle name="Normal 3 2 3 2 3 12 3" xfId="15195"/>
    <cellStyle name="Normal 3 2 3 2 3 12 4" xfId="19227"/>
    <cellStyle name="Normal 3 2 3 2 3 12 5" xfId="23259"/>
    <cellStyle name="Normal 3 2 3 2 3 12 6" xfId="27291"/>
    <cellStyle name="Normal 3 2 3 2 3 12 7" xfId="31323"/>
    <cellStyle name="Normal 3 2 3 2 3 12 8" xfId="35355"/>
    <cellStyle name="Normal 3 2 3 2 3 12 9" xfId="39387"/>
    <cellStyle name="Normal 3 2 3 2 3 13" xfId="155"/>
    <cellStyle name="Normal 3 2 3 2 3 14" xfId="9147"/>
    <cellStyle name="Normal 3 2 3 2 3 15" xfId="13179"/>
    <cellStyle name="Normal 3 2 3 2 3 16" xfId="17211"/>
    <cellStyle name="Normal 3 2 3 2 3 17" xfId="21243"/>
    <cellStyle name="Normal 3 2 3 2 3 18" xfId="25275"/>
    <cellStyle name="Normal 3 2 3 2 3 19" xfId="29307"/>
    <cellStyle name="Normal 3 2 3 2 3 2" xfId="234"/>
    <cellStyle name="Normal 3 2 3 2 3 2 10" xfId="21312"/>
    <cellStyle name="Normal 3 2 3 2 3 2 11" xfId="25344"/>
    <cellStyle name="Normal 3 2 3 2 3 2 12" xfId="29376"/>
    <cellStyle name="Normal 3 2 3 2 3 2 13" xfId="33408"/>
    <cellStyle name="Normal 3 2 3 2 3 2 14" xfId="37440"/>
    <cellStyle name="Normal 3 2 3 2 3 2 15" xfId="41472"/>
    <cellStyle name="Normal 3 2 3 2 3 2 16" xfId="45504"/>
    <cellStyle name="Normal 3 2 3 2 3 2 17" xfId="49582"/>
    <cellStyle name="Normal 3 2 3 2 3 2 2" xfId="4352"/>
    <cellStyle name="Normal 3 2 3 2 3 2 2 10" xfId="34197"/>
    <cellStyle name="Normal 3 2 3 2 3 2 2 11" xfId="38229"/>
    <cellStyle name="Normal 3 2 3 2 3 2 2 12" xfId="42261"/>
    <cellStyle name="Normal 3 2 3 2 3 2 2 13" xfId="46293"/>
    <cellStyle name="Normal 3 2 3 2 3 2 2 14" xfId="50372"/>
    <cellStyle name="Normal 3 2 3 2 3 2 2 2" xfId="6922"/>
    <cellStyle name="Normal 3 2 3 2 3 2 2 2 10" xfId="39180"/>
    <cellStyle name="Normal 3 2 3 2 3 2 2 2 11" xfId="43212"/>
    <cellStyle name="Normal 3 2 3 2 3 2 2 2 12" xfId="47244"/>
    <cellStyle name="Normal 3 2 3 2 3 2 2 2 13" xfId="51323"/>
    <cellStyle name="Normal 3 2 3 2 3 2 2 2 2" xfId="8938"/>
    <cellStyle name="Normal 3 2 3 2 3 2 2 2 2 10" xfId="45228"/>
    <cellStyle name="Normal 3 2 3 2 3 2 2 2 2 11" xfId="49260"/>
    <cellStyle name="Normal 3 2 3 2 3 2 2 2 2 12" xfId="53339"/>
    <cellStyle name="Normal 3 2 3 2 3 2 2 2 2 2" xfId="12972"/>
    <cellStyle name="Normal 3 2 3 2 3 2 2 2 2 3" xfId="17004"/>
    <cellStyle name="Normal 3 2 3 2 3 2 2 2 2 4" xfId="21036"/>
    <cellStyle name="Normal 3 2 3 2 3 2 2 2 2 5" xfId="25068"/>
    <cellStyle name="Normal 3 2 3 2 3 2 2 2 2 6" xfId="29100"/>
    <cellStyle name="Normal 3 2 3 2 3 2 2 2 2 7" xfId="33132"/>
    <cellStyle name="Normal 3 2 3 2 3 2 2 2 2 8" xfId="37164"/>
    <cellStyle name="Normal 3 2 3 2 3 2 2 2 2 9" xfId="41196"/>
    <cellStyle name="Normal 3 2 3 2 3 2 2 2 3" xfId="10956"/>
    <cellStyle name="Normal 3 2 3 2 3 2 2 2 4" xfId="14988"/>
    <cellStyle name="Normal 3 2 3 2 3 2 2 2 5" xfId="19020"/>
    <cellStyle name="Normal 3 2 3 2 3 2 2 2 6" xfId="23052"/>
    <cellStyle name="Normal 3 2 3 2 3 2 2 2 7" xfId="27084"/>
    <cellStyle name="Normal 3 2 3 2 3 2 2 2 8" xfId="31116"/>
    <cellStyle name="Normal 3 2 3 2 3 2 2 2 9" xfId="35148"/>
    <cellStyle name="Normal 3 2 3 2 3 2 2 3" xfId="7987"/>
    <cellStyle name="Normal 3 2 3 2 3 2 2 3 10" xfId="44277"/>
    <cellStyle name="Normal 3 2 3 2 3 2 2 3 11" xfId="48309"/>
    <cellStyle name="Normal 3 2 3 2 3 2 2 3 12" xfId="52388"/>
    <cellStyle name="Normal 3 2 3 2 3 2 2 3 2" xfId="12021"/>
    <cellStyle name="Normal 3 2 3 2 3 2 2 3 3" xfId="16053"/>
    <cellStyle name="Normal 3 2 3 2 3 2 2 3 4" xfId="20085"/>
    <cellStyle name="Normal 3 2 3 2 3 2 2 3 5" xfId="24117"/>
    <cellStyle name="Normal 3 2 3 2 3 2 2 3 6" xfId="28149"/>
    <cellStyle name="Normal 3 2 3 2 3 2 2 3 7" xfId="32181"/>
    <cellStyle name="Normal 3 2 3 2 3 2 2 3 8" xfId="36213"/>
    <cellStyle name="Normal 3 2 3 2 3 2 2 3 9" xfId="40245"/>
    <cellStyle name="Normal 3 2 3 2 3 2 2 4" xfId="10005"/>
    <cellStyle name="Normal 3 2 3 2 3 2 2 5" xfId="14037"/>
    <cellStyle name="Normal 3 2 3 2 3 2 2 6" xfId="18069"/>
    <cellStyle name="Normal 3 2 3 2 3 2 2 7" xfId="22101"/>
    <cellStyle name="Normal 3 2 3 2 3 2 2 8" xfId="26133"/>
    <cellStyle name="Normal 3 2 3 2 3 2 2 9" xfId="30165"/>
    <cellStyle name="Normal 3 2 3 2 3 2 3" xfId="4491"/>
    <cellStyle name="Normal 3 2 3 2 3 2 3 10" xfId="34335"/>
    <cellStyle name="Normal 3 2 3 2 3 2 3 11" xfId="38367"/>
    <cellStyle name="Normal 3 2 3 2 3 2 3 12" xfId="42399"/>
    <cellStyle name="Normal 3 2 3 2 3 2 3 13" xfId="46431"/>
    <cellStyle name="Normal 3 2 3 2 3 2 3 14" xfId="50510"/>
    <cellStyle name="Normal 3 2 3 2 3 2 3 2" xfId="7060"/>
    <cellStyle name="Normal 3 2 3 2 3 2 3 2 10" xfId="39318"/>
    <cellStyle name="Normal 3 2 3 2 3 2 3 2 11" xfId="43350"/>
    <cellStyle name="Normal 3 2 3 2 3 2 3 2 12" xfId="47382"/>
    <cellStyle name="Normal 3 2 3 2 3 2 3 2 13" xfId="51461"/>
    <cellStyle name="Normal 3 2 3 2 3 2 3 2 2" xfId="9076"/>
    <cellStyle name="Normal 3 2 3 2 3 2 3 2 2 10" xfId="45366"/>
    <cellStyle name="Normal 3 2 3 2 3 2 3 2 2 11" xfId="49398"/>
    <cellStyle name="Normal 3 2 3 2 3 2 3 2 2 12" xfId="53477"/>
    <cellStyle name="Normal 3 2 3 2 3 2 3 2 2 2" xfId="13110"/>
    <cellStyle name="Normal 3 2 3 2 3 2 3 2 2 3" xfId="17142"/>
    <cellStyle name="Normal 3 2 3 2 3 2 3 2 2 4" xfId="21174"/>
    <cellStyle name="Normal 3 2 3 2 3 2 3 2 2 5" xfId="25206"/>
    <cellStyle name="Normal 3 2 3 2 3 2 3 2 2 6" xfId="29238"/>
    <cellStyle name="Normal 3 2 3 2 3 2 3 2 2 7" xfId="33270"/>
    <cellStyle name="Normal 3 2 3 2 3 2 3 2 2 8" xfId="37302"/>
    <cellStyle name="Normal 3 2 3 2 3 2 3 2 2 9" xfId="41334"/>
    <cellStyle name="Normal 3 2 3 2 3 2 3 2 3" xfId="11094"/>
    <cellStyle name="Normal 3 2 3 2 3 2 3 2 4" xfId="15126"/>
    <cellStyle name="Normal 3 2 3 2 3 2 3 2 5" xfId="19158"/>
    <cellStyle name="Normal 3 2 3 2 3 2 3 2 6" xfId="23190"/>
    <cellStyle name="Normal 3 2 3 2 3 2 3 2 7" xfId="27222"/>
    <cellStyle name="Normal 3 2 3 2 3 2 3 2 8" xfId="31254"/>
    <cellStyle name="Normal 3 2 3 2 3 2 3 2 9" xfId="35286"/>
    <cellStyle name="Normal 3 2 3 2 3 2 3 3" xfId="8125"/>
    <cellStyle name="Normal 3 2 3 2 3 2 3 3 10" xfId="44415"/>
    <cellStyle name="Normal 3 2 3 2 3 2 3 3 11" xfId="48447"/>
    <cellStyle name="Normal 3 2 3 2 3 2 3 3 12" xfId="52526"/>
    <cellStyle name="Normal 3 2 3 2 3 2 3 3 2" xfId="12159"/>
    <cellStyle name="Normal 3 2 3 2 3 2 3 3 3" xfId="16191"/>
    <cellStyle name="Normal 3 2 3 2 3 2 3 3 4" xfId="20223"/>
    <cellStyle name="Normal 3 2 3 2 3 2 3 3 5" xfId="24255"/>
    <cellStyle name="Normal 3 2 3 2 3 2 3 3 6" xfId="28287"/>
    <cellStyle name="Normal 3 2 3 2 3 2 3 3 7" xfId="32319"/>
    <cellStyle name="Normal 3 2 3 2 3 2 3 3 8" xfId="36351"/>
    <cellStyle name="Normal 3 2 3 2 3 2 3 3 9" xfId="40383"/>
    <cellStyle name="Normal 3 2 3 2 3 2 3 4" xfId="10143"/>
    <cellStyle name="Normal 3 2 3 2 3 2 3 5" xfId="14175"/>
    <cellStyle name="Normal 3 2 3 2 3 2 3 6" xfId="18207"/>
    <cellStyle name="Normal 3 2 3 2 3 2 3 7" xfId="22239"/>
    <cellStyle name="Normal 3 2 3 2 3 2 3 8" xfId="26271"/>
    <cellStyle name="Normal 3 2 3 2 3 2 3 9" xfId="30303"/>
    <cellStyle name="Normal 3 2 3 2 3 2 4" xfId="4631"/>
    <cellStyle name="Normal 3 2 3 2 3 2 4 10" xfId="38505"/>
    <cellStyle name="Normal 3 2 3 2 3 2 4 11" xfId="42537"/>
    <cellStyle name="Normal 3 2 3 2 3 2 4 12" xfId="46569"/>
    <cellStyle name="Normal 3 2 3 2 3 2 4 13" xfId="50648"/>
    <cellStyle name="Normal 3 2 3 2 3 2 4 2" xfId="8263"/>
    <cellStyle name="Normal 3 2 3 2 3 2 4 2 10" xfId="44553"/>
    <cellStyle name="Normal 3 2 3 2 3 2 4 2 11" xfId="48585"/>
    <cellStyle name="Normal 3 2 3 2 3 2 4 2 12" xfId="52664"/>
    <cellStyle name="Normal 3 2 3 2 3 2 4 2 2" xfId="12297"/>
    <cellStyle name="Normal 3 2 3 2 3 2 4 2 3" xfId="16329"/>
    <cellStyle name="Normal 3 2 3 2 3 2 4 2 4" xfId="20361"/>
    <cellStyle name="Normal 3 2 3 2 3 2 4 2 5" xfId="24393"/>
    <cellStyle name="Normal 3 2 3 2 3 2 4 2 6" xfId="28425"/>
    <cellStyle name="Normal 3 2 3 2 3 2 4 2 7" xfId="32457"/>
    <cellStyle name="Normal 3 2 3 2 3 2 4 2 8" xfId="36489"/>
    <cellStyle name="Normal 3 2 3 2 3 2 4 2 9" xfId="40521"/>
    <cellStyle name="Normal 3 2 3 2 3 2 4 3" xfId="10281"/>
    <cellStyle name="Normal 3 2 3 2 3 2 4 4" xfId="14313"/>
    <cellStyle name="Normal 3 2 3 2 3 2 4 5" xfId="18345"/>
    <cellStyle name="Normal 3 2 3 2 3 2 4 6" xfId="22377"/>
    <cellStyle name="Normal 3 2 3 2 3 2 4 7" xfId="26409"/>
    <cellStyle name="Normal 3 2 3 2 3 2 4 8" xfId="30441"/>
    <cellStyle name="Normal 3 2 3 2 3 2 4 9" xfId="34473"/>
    <cellStyle name="Normal 3 2 3 2 3 2 5" xfId="358"/>
    <cellStyle name="Normal 3 2 3 2 3 2 5 10" xfId="37563"/>
    <cellStyle name="Normal 3 2 3 2 3 2 5 11" xfId="41595"/>
    <cellStyle name="Normal 3 2 3 2 3 2 5 12" xfId="45627"/>
    <cellStyle name="Normal 3 2 3 2 3 2 5 13" xfId="49705"/>
    <cellStyle name="Normal 3 2 3 2 3 2 5 2" xfId="7321"/>
    <cellStyle name="Normal 3 2 3 2 3 2 5 2 10" xfId="43611"/>
    <cellStyle name="Normal 3 2 3 2 3 2 5 2 11" xfId="47643"/>
    <cellStyle name="Normal 3 2 3 2 3 2 5 2 12" xfId="51722"/>
    <cellStyle name="Normal 3 2 3 2 3 2 5 2 2" xfId="11355"/>
    <cellStyle name="Normal 3 2 3 2 3 2 5 2 3" xfId="15387"/>
    <cellStyle name="Normal 3 2 3 2 3 2 5 2 4" xfId="19419"/>
    <cellStyle name="Normal 3 2 3 2 3 2 5 2 5" xfId="23451"/>
    <cellStyle name="Normal 3 2 3 2 3 2 5 2 6" xfId="27483"/>
    <cellStyle name="Normal 3 2 3 2 3 2 5 2 7" xfId="31515"/>
    <cellStyle name="Normal 3 2 3 2 3 2 5 2 8" xfId="35547"/>
    <cellStyle name="Normal 3 2 3 2 3 2 5 2 9" xfId="39579"/>
    <cellStyle name="Normal 3 2 3 2 3 2 5 3" xfId="9339"/>
    <cellStyle name="Normal 3 2 3 2 3 2 5 4" xfId="13371"/>
    <cellStyle name="Normal 3 2 3 2 3 2 5 5" xfId="17403"/>
    <cellStyle name="Normal 3 2 3 2 3 2 5 6" xfId="21435"/>
    <cellStyle name="Normal 3 2 3 2 3 2 5 7" xfId="25467"/>
    <cellStyle name="Normal 3 2 3 2 3 2 5 8" xfId="29499"/>
    <cellStyle name="Normal 3 2 3 2 3 2 5 9" xfId="33531"/>
    <cellStyle name="Normal 3 2 3 2 3 2 6" xfId="7198"/>
    <cellStyle name="Normal 3 2 3 2 3 2 6 10" xfId="43488"/>
    <cellStyle name="Normal 3 2 3 2 3 2 6 11" xfId="47520"/>
    <cellStyle name="Normal 3 2 3 2 3 2 6 12" xfId="51599"/>
    <cellStyle name="Normal 3 2 3 2 3 2 6 2" xfId="11232"/>
    <cellStyle name="Normal 3 2 3 2 3 2 6 3" xfId="15264"/>
    <cellStyle name="Normal 3 2 3 2 3 2 6 4" xfId="19296"/>
    <cellStyle name="Normal 3 2 3 2 3 2 6 5" xfId="23328"/>
    <cellStyle name="Normal 3 2 3 2 3 2 6 6" xfId="27360"/>
    <cellStyle name="Normal 3 2 3 2 3 2 6 7" xfId="31392"/>
    <cellStyle name="Normal 3 2 3 2 3 2 6 8" xfId="35424"/>
    <cellStyle name="Normal 3 2 3 2 3 2 6 9" xfId="39456"/>
    <cellStyle name="Normal 3 2 3 2 3 2 7" xfId="9216"/>
    <cellStyle name="Normal 3 2 3 2 3 2 8" xfId="13248"/>
    <cellStyle name="Normal 3 2 3 2 3 2 9" xfId="17280"/>
    <cellStyle name="Normal 3 2 3 2 3 20" xfId="33339"/>
    <cellStyle name="Normal 3 2 3 2 3 21" xfId="37371"/>
    <cellStyle name="Normal 3 2 3 2 3 22" xfId="41403"/>
    <cellStyle name="Normal 3 2 3 2 3 23" xfId="45435"/>
    <cellStyle name="Normal 3 2 3 2 3 24" xfId="49513"/>
    <cellStyle name="Normal 3 2 3 2 3 3" xfId="1668"/>
    <cellStyle name="Normal 3 2 3 2 3 3 10" xfId="33629"/>
    <cellStyle name="Normal 3 2 3 2 3 3 11" xfId="37661"/>
    <cellStyle name="Normal 3 2 3 2 3 3 12" xfId="41693"/>
    <cellStyle name="Normal 3 2 3 2 3 3 13" xfId="45725"/>
    <cellStyle name="Normal 3 2 3 2 3 3 14" xfId="49803"/>
    <cellStyle name="Normal 3 2 3 2 3 3 2" xfId="5344"/>
    <cellStyle name="Normal 3 2 3 2 3 3 2 10" xfId="38612"/>
    <cellStyle name="Normal 3 2 3 2 3 3 2 11" xfId="42644"/>
    <cellStyle name="Normal 3 2 3 2 3 3 2 12" xfId="46676"/>
    <cellStyle name="Normal 3 2 3 2 3 3 2 13" xfId="50755"/>
    <cellStyle name="Normal 3 2 3 2 3 3 2 2" xfId="8370"/>
    <cellStyle name="Normal 3 2 3 2 3 3 2 2 10" xfId="44660"/>
    <cellStyle name="Normal 3 2 3 2 3 3 2 2 11" xfId="48692"/>
    <cellStyle name="Normal 3 2 3 2 3 3 2 2 12" xfId="52771"/>
    <cellStyle name="Normal 3 2 3 2 3 3 2 2 2" xfId="12404"/>
    <cellStyle name="Normal 3 2 3 2 3 3 2 2 3" xfId="16436"/>
    <cellStyle name="Normal 3 2 3 2 3 3 2 2 4" xfId="20468"/>
    <cellStyle name="Normal 3 2 3 2 3 3 2 2 5" xfId="24500"/>
    <cellStyle name="Normal 3 2 3 2 3 3 2 2 6" xfId="28532"/>
    <cellStyle name="Normal 3 2 3 2 3 3 2 2 7" xfId="32564"/>
    <cellStyle name="Normal 3 2 3 2 3 3 2 2 8" xfId="36596"/>
    <cellStyle name="Normal 3 2 3 2 3 3 2 2 9" xfId="40628"/>
    <cellStyle name="Normal 3 2 3 2 3 3 2 3" xfId="10388"/>
    <cellStyle name="Normal 3 2 3 2 3 3 2 4" xfId="14420"/>
    <cellStyle name="Normal 3 2 3 2 3 3 2 5" xfId="18452"/>
    <cellStyle name="Normal 3 2 3 2 3 3 2 6" xfId="22484"/>
    <cellStyle name="Normal 3 2 3 2 3 3 2 7" xfId="26516"/>
    <cellStyle name="Normal 3 2 3 2 3 3 2 8" xfId="30548"/>
    <cellStyle name="Normal 3 2 3 2 3 3 2 9" xfId="34580"/>
    <cellStyle name="Normal 3 2 3 2 3 3 3" xfId="7419"/>
    <cellStyle name="Normal 3 2 3 2 3 3 3 10" xfId="43709"/>
    <cellStyle name="Normal 3 2 3 2 3 3 3 11" xfId="47741"/>
    <cellStyle name="Normal 3 2 3 2 3 3 3 12" xfId="51820"/>
    <cellStyle name="Normal 3 2 3 2 3 3 3 2" xfId="11453"/>
    <cellStyle name="Normal 3 2 3 2 3 3 3 3" xfId="15485"/>
    <cellStyle name="Normal 3 2 3 2 3 3 3 4" xfId="19517"/>
    <cellStyle name="Normal 3 2 3 2 3 3 3 5" xfId="23549"/>
    <cellStyle name="Normal 3 2 3 2 3 3 3 6" xfId="27581"/>
    <cellStyle name="Normal 3 2 3 2 3 3 3 7" xfId="31613"/>
    <cellStyle name="Normal 3 2 3 2 3 3 3 8" xfId="35645"/>
    <cellStyle name="Normal 3 2 3 2 3 3 3 9" xfId="39677"/>
    <cellStyle name="Normal 3 2 3 2 3 3 4" xfId="9437"/>
    <cellStyle name="Normal 3 2 3 2 3 3 5" xfId="13469"/>
    <cellStyle name="Normal 3 2 3 2 3 3 6" xfId="17501"/>
    <cellStyle name="Normal 3 2 3 2 3 3 7" xfId="21533"/>
    <cellStyle name="Normal 3 2 3 2 3 3 8" xfId="25565"/>
    <cellStyle name="Normal 3 2 3 2 3 3 9" xfId="29597"/>
    <cellStyle name="Normal 3 2 3 2 3 4" xfId="1742"/>
    <cellStyle name="Normal 3 2 3 2 3 4 10" xfId="33698"/>
    <cellStyle name="Normal 3 2 3 2 3 4 11" xfId="37730"/>
    <cellStyle name="Normal 3 2 3 2 3 4 12" xfId="41762"/>
    <cellStyle name="Normal 3 2 3 2 3 4 13" xfId="45794"/>
    <cellStyle name="Normal 3 2 3 2 3 4 14" xfId="49872"/>
    <cellStyle name="Normal 3 2 3 2 3 4 2" xfId="5413"/>
    <cellStyle name="Normal 3 2 3 2 3 4 2 10" xfId="38681"/>
    <cellStyle name="Normal 3 2 3 2 3 4 2 11" xfId="42713"/>
    <cellStyle name="Normal 3 2 3 2 3 4 2 12" xfId="46745"/>
    <cellStyle name="Normal 3 2 3 2 3 4 2 13" xfId="50824"/>
    <cellStyle name="Normal 3 2 3 2 3 4 2 2" xfId="8439"/>
    <cellStyle name="Normal 3 2 3 2 3 4 2 2 10" xfId="44729"/>
    <cellStyle name="Normal 3 2 3 2 3 4 2 2 11" xfId="48761"/>
    <cellStyle name="Normal 3 2 3 2 3 4 2 2 12" xfId="52840"/>
    <cellStyle name="Normal 3 2 3 2 3 4 2 2 2" xfId="12473"/>
    <cellStyle name="Normal 3 2 3 2 3 4 2 2 3" xfId="16505"/>
    <cellStyle name="Normal 3 2 3 2 3 4 2 2 4" xfId="20537"/>
    <cellStyle name="Normal 3 2 3 2 3 4 2 2 5" xfId="24569"/>
    <cellStyle name="Normal 3 2 3 2 3 4 2 2 6" xfId="28601"/>
    <cellStyle name="Normal 3 2 3 2 3 4 2 2 7" xfId="32633"/>
    <cellStyle name="Normal 3 2 3 2 3 4 2 2 8" xfId="36665"/>
    <cellStyle name="Normal 3 2 3 2 3 4 2 2 9" xfId="40697"/>
    <cellStyle name="Normal 3 2 3 2 3 4 2 3" xfId="10457"/>
    <cellStyle name="Normal 3 2 3 2 3 4 2 4" xfId="14489"/>
    <cellStyle name="Normal 3 2 3 2 3 4 2 5" xfId="18521"/>
    <cellStyle name="Normal 3 2 3 2 3 4 2 6" xfId="22553"/>
    <cellStyle name="Normal 3 2 3 2 3 4 2 7" xfId="26585"/>
    <cellStyle name="Normal 3 2 3 2 3 4 2 8" xfId="30617"/>
    <cellStyle name="Normal 3 2 3 2 3 4 2 9" xfId="34649"/>
    <cellStyle name="Normal 3 2 3 2 3 4 3" xfId="7488"/>
    <cellStyle name="Normal 3 2 3 2 3 4 3 10" xfId="43778"/>
    <cellStyle name="Normal 3 2 3 2 3 4 3 11" xfId="47810"/>
    <cellStyle name="Normal 3 2 3 2 3 4 3 12" xfId="51889"/>
    <cellStyle name="Normal 3 2 3 2 3 4 3 2" xfId="11522"/>
    <cellStyle name="Normal 3 2 3 2 3 4 3 3" xfId="15554"/>
    <cellStyle name="Normal 3 2 3 2 3 4 3 4" xfId="19586"/>
    <cellStyle name="Normal 3 2 3 2 3 4 3 5" xfId="23618"/>
    <cellStyle name="Normal 3 2 3 2 3 4 3 6" xfId="27650"/>
    <cellStyle name="Normal 3 2 3 2 3 4 3 7" xfId="31682"/>
    <cellStyle name="Normal 3 2 3 2 3 4 3 8" xfId="35714"/>
    <cellStyle name="Normal 3 2 3 2 3 4 3 9" xfId="39746"/>
    <cellStyle name="Normal 3 2 3 2 3 4 4" xfId="9506"/>
    <cellStyle name="Normal 3 2 3 2 3 4 5" xfId="13538"/>
    <cellStyle name="Normal 3 2 3 2 3 4 6" xfId="17570"/>
    <cellStyle name="Normal 3 2 3 2 3 4 7" xfId="21602"/>
    <cellStyle name="Normal 3 2 3 2 3 4 8" xfId="25634"/>
    <cellStyle name="Normal 3 2 3 2 3 4 9" xfId="29666"/>
    <cellStyle name="Normal 3 2 3 2 3 5" xfId="4064"/>
    <cellStyle name="Normal 3 2 3 2 3 5 10" xfId="33921"/>
    <cellStyle name="Normal 3 2 3 2 3 5 11" xfId="37953"/>
    <cellStyle name="Normal 3 2 3 2 3 5 12" xfId="41985"/>
    <cellStyle name="Normal 3 2 3 2 3 5 13" xfId="46017"/>
    <cellStyle name="Normal 3 2 3 2 3 5 14" xfId="50095"/>
    <cellStyle name="Normal 3 2 3 2 3 5 2" xfId="6646"/>
    <cellStyle name="Normal 3 2 3 2 3 5 2 10" xfId="38904"/>
    <cellStyle name="Normal 3 2 3 2 3 5 2 11" xfId="42936"/>
    <cellStyle name="Normal 3 2 3 2 3 5 2 12" xfId="46968"/>
    <cellStyle name="Normal 3 2 3 2 3 5 2 13" xfId="51047"/>
    <cellStyle name="Normal 3 2 3 2 3 5 2 2" xfId="8662"/>
    <cellStyle name="Normal 3 2 3 2 3 5 2 2 10" xfId="44952"/>
    <cellStyle name="Normal 3 2 3 2 3 5 2 2 11" xfId="48984"/>
    <cellStyle name="Normal 3 2 3 2 3 5 2 2 12" xfId="53063"/>
    <cellStyle name="Normal 3 2 3 2 3 5 2 2 2" xfId="12696"/>
    <cellStyle name="Normal 3 2 3 2 3 5 2 2 3" xfId="16728"/>
    <cellStyle name="Normal 3 2 3 2 3 5 2 2 4" xfId="20760"/>
    <cellStyle name="Normal 3 2 3 2 3 5 2 2 5" xfId="24792"/>
    <cellStyle name="Normal 3 2 3 2 3 5 2 2 6" xfId="28824"/>
    <cellStyle name="Normal 3 2 3 2 3 5 2 2 7" xfId="32856"/>
    <cellStyle name="Normal 3 2 3 2 3 5 2 2 8" xfId="36888"/>
    <cellStyle name="Normal 3 2 3 2 3 5 2 2 9" xfId="40920"/>
    <cellStyle name="Normal 3 2 3 2 3 5 2 3" xfId="10680"/>
    <cellStyle name="Normal 3 2 3 2 3 5 2 4" xfId="14712"/>
    <cellStyle name="Normal 3 2 3 2 3 5 2 5" xfId="18744"/>
    <cellStyle name="Normal 3 2 3 2 3 5 2 6" xfId="22776"/>
    <cellStyle name="Normal 3 2 3 2 3 5 2 7" xfId="26808"/>
    <cellStyle name="Normal 3 2 3 2 3 5 2 8" xfId="30840"/>
    <cellStyle name="Normal 3 2 3 2 3 5 2 9" xfId="34872"/>
    <cellStyle name="Normal 3 2 3 2 3 5 3" xfId="7711"/>
    <cellStyle name="Normal 3 2 3 2 3 5 3 10" xfId="44001"/>
    <cellStyle name="Normal 3 2 3 2 3 5 3 11" xfId="48033"/>
    <cellStyle name="Normal 3 2 3 2 3 5 3 12" xfId="52112"/>
    <cellStyle name="Normal 3 2 3 2 3 5 3 2" xfId="11745"/>
    <cellStyle name="Normal 3 2 3 2 3 5 3 3" xfId="15777"/>
    <cellStyle name="Normal 3 2 3 2 3 5 3 4" xfId="19809"/>
    <cellStyle name="Normal 3 2 3 2 3 5 3 5" xfId="23841"/>
    <cellStyle name="Normal 3 2 3 2 3 5 3 6" xfId="27873"/>
    <cellStyle name="Normal 3 2 3 2 3 5 3 7" xfId="31905"/>
    <cellStyle name="Normal 3 2 3 2 3 5 3 8" xfId="35937"/>
    <cellStyle name="Normal 3 2 3 2 3 5 3 9" xfId="39969"/>
    <cellStyle name="Normal 3 2 3 2 3 5 4" xfId="9729"/>
    <cellStyle name="Normal 3 2 3 2 3 5 5" xfId="13761"/>
    <cellStyle name="Normal 3 2 3 2 3 5 6" xfId="17793"/>
    <cellStyle name="Normal 3 2 3 2 3 5 7" xfId="21825"/>
    <cellStyle name="Normal 3 2 3 2 3 5 8" xfId="25857"/>
    <cellStyle name="Normal 3 2 3 2 3 5 9" xfId="29889"/>
    <cellStyle name="Normal 3 2 3 2 3 6" xfId="4134"/>
    <cellStyle name="Normal 3 2 3 2 3 6 10" xfId="33990"/>
    <cellStyle name="Normal 3 2 3 2 3 6 11" xfId="38022"/>
    <cellStyle name="Normal 3 2 3 2 3 6 12" xfId="42054"/>
    <cellStyle name="Normal 3 2 3 2 3 6 13" xfId="46086"/>
    <cellStyle name="Normal 3 2 3 2 3 6 14" xfId="50164"/>
    <cellStyle name="Normal 3 2 3 2 3 6 2" xfId="6715"/>
    <cellStyle name="Normal 3 2 3 2 3 6 2 10" xfId="38973"/>
    <cellStyle name="Normal 3 2 3 2 3 6 2 11" xfId="43005"/>
    <cellStyle name="Normal 3 2 3 2 3 6 2 12" xfId="47037"/>
    <cellStyle name="Normal 3 2 3 2 3 6 2 13" xfId="51116"/>
    <cellStyle name="Normal 3 2 3 2 3 6 2 2" xfId="8731"/>
    <cellStyle name="Normal 3 2 3 2 3 6 2 2 10" xfId="45021"/>
    <cellStyle name="Normal 3 2 3 2 3 6 2 2 11" xfId="49053"/>
    <cellStyle name="Normal 3 2 3 2 3 6 2 2 12" xfId="53132"/>
    <cellStyle name="Normal 3 2 3 2 3 6 2 2 2" xfId="12765"/>
    <cellStyle name="Normal 3 2 3 2 3 6 2 2 3" xfId="16797"/>
    <cellStyle name="Normal 3 2 3 2 3 6 2 2 4" xfId="20829"/>
    <cellStyle name="Normal 3 2 3 2 3 6 2 2 5" xfId="24861"/>
    <cellStyle name="Normal 3 2 3 2 3 6 2 2 6" xfId="28893"/>
    <cellStyle name="Normal 3 2 3 2 3 6 2 2 7" xfId="32925"/>
    <cellStyle name="Normal 3 2 3 2 3 6 2 2 8" xfId="36957"/>
    <cellStyle name="Normal 3 2 3 2 3 6 2 2 9" xfId="40989"/>
    <cellStyle name="Normal 3 2 3 2 3 6 2 3" xfId="10749"/>
    <cellStyle name="Normal 3 2 3 2 3 6 2 4" xfId="14781"/>
    <cellStyle name="Normal 3 2 3 2 3 6 2 5" xfId="18813"/>
    <cellStyle name="Normal 3 2 3 2 3 6 2 6" xfId="22845"/>
    <cellStyle name="Normal 3 2 3 2 3 6 2 7" xfId="26877"/>
    <cellStyle name="Normal 3 2 3 2 3 6 2 8" xfId="30909"/>
    <cellStyle name="Normal 3 2 3 2 3 6 2 9" xfId="34941"/>
    <cellStyle name="Normal 3 2 3 2 3 6 3" xfId="7780"/>
    <cellStyle name="Normal 3 2 3 2 3 6 3 10" xfId="44070"/>
    <cellStyle name="Normal 3 2 3 2 3 6 3 11" xfId="48102"/>
    <cellStyle name="Normal 3 2 3 2 3 6 3 12" xfId="52181"/>
    <cellStyle name="Normal 3 2 3 2 3 6 3 2" xfId="11814"/>
    <cellStyle name="Normal 3 2 3 2 3 6 3 3" xfId="15846"/>
    <cellStyle name="Normal 3 2 3 2 3 6 3 4" xfId="19878"/>
    <cellStyle name="Normal 3 2 3 2 3 6 3 5" xfId="23910"/>
    <cellStyle name="Normal 3 2 3 2 3 6 3 6" xfId="27942"/>
    <cellStyle name="Normal 3 2 3 2 3 6 3 7" xfId="31974"/>
    <cellStyle name="Normal 3 2 3 2 3 6 3 8" xfId="36006"/>
    <cellStyle name="Normal 3 2 3 2 3 6 3 9" xfId="40038"/>
    <cellStyle name="Normal 3 2 3 2 3 6 4" xfId="9798"/>
    <cellStyle name="Normal 3 2 3 2 3 6 5" xfId="13830"/>
    <cellStyle name="Normal 3 2 3 2 3 6 6" xfId="17862"/>
    <cellStyle name="Normal 3 2 3 2 3 6 7" xfId="21894"/>
    <cellStyle name="Normal 3 2 3 2 3 6 8" xfId="25926"/>
    <cellStyle name="Normal 3 2 3 2 3 6 9" xfId="29958"/>
    <cellStyle name="Normal 3 2 3 2 3 7" xfId="4203"/>
    <cellStyle name="Normal 3 2 3 2 3 7 10" xfId="34059"/>
    <cellStyle name="Normal 3 2 3 2 3 7 11" xfId="38091"/>
    <cellStyle name="Normal 3 2 3 2 3 7 12" xfId="42123"/>
    <cellStyle name="Normal 3 2 3 2 3 7 13" xfId="46155"/>
    <cellStyle name="Normal 3 2 3 2 3 7 14" xfId="50233"/>
    <cellStyle name="Normal 3 2 3 2 3 7 2" xfId="6784"/>
    <cellStyle name="Normal 3 2 3 2 3 7 2 10" xfId="39042"/>
    <cellStyle name="Normal 3 2 3 2 3 7 2 11" xfId="43074"/>
    <cellStyle name="Normal 3 2 3 2 3 7 2 12" xfId="47106"/>
    <cellStyle name="Normal 3 2 3 2 3 7 2 13" xfId="51185"/>
    <cellStyle name="Normal 3 2 3 2 3 7 2 2" xfId="8800"/>
    <cellStyle name="Normal 3 2 3 2 3 7 2 2 10" xfId="45090"/>
    <cellStyle name="Normal 3 2 3 2 3 7 2 2 11" xfId="49122"/>
    <cellStyle name="Normal 3 2 3 2 3 7 2 2 12" xfId="53201"/>
    <cellStyle name="Normal 3 2 3 2 3 7 2 2 2" xfId="12834"/>
    <cellStyle name="Normal 3 2 3 2 3 7 2 2 3" xfId="16866"/>
    <cellStyle name="Normal 3 2 3 2 3 7 2 2 4" xfId="20898"/>
    <cellStyle name="Normal 3 2 3 2 3 7 2 2 5" xfId="24930"/>
    <cellStyle name="Normal 3 2 3 2 3 7 2 2 6" xfId="28962"/>
    <cellStyle name="Normal 3 2 3 2 3 7 2 2 7" xfId="32994"/>
    <cellStyle name="Normal 3 2 3 2 3 7 2 2 8" xfId="37026"/>
    <cellStyle name="Normal 3 2 3 2 3 7 2 2 9" xfId="41058"/>
    <cellStyle name="Normal 3 2 3 2 3 7 2 3" xfId="10818"/>
    <cellStyle name="Normal 3 2 3 2 3 7 2 4" xfId="14850"/>
    <cellStyle name="Normal 3 2 3 2 3 7 2 5" xfId="18882"/>
    <cellStyle name="Normal 3 2 3 2 3 7 2 6" xfId="22914"/>
    <cellStyle name="Normal 3 2 3 2 3 7 2 7" xfId="26946"/>
    <cellStyle name="Normal 3 2 3 2 3 7 2 8" xfId="30978"/>
    <cellStyle name="Normal 3 2 3 2 3 7 2 9" xfId="35010"/>
    <cellStyle name="Normal 3 2 3 2 3 7 3" xfId="7849"/>
    <cellStyle name="Normal 3 2 3 2 3 7 3 10" xfId="44139"/>
    <cellStyle name="Normal 3 2 3 2 3 7 3 11" xfId="48171"/>
    <cellStyle name="Normal 3 2 3 2 3 7 3 12" xfId="52250"/>
    <cellStyle name="Normal 3 2 3 2 3 7 3 2" xfId="11883"/>
    <cellStyle name="Normal 3 2 3 2 3 7 3 3" xfId="15915"/>
    <cellStyle name="Normal 3 2 3 2 3 7 3 4" xfId="19947"/>
    <cellStyle name="Normal 3 2 3 2 3 7 3 5" xfId="23979"/>
    <cellStyle name="Normal 3 2 3 2 3 7 3 6" xfId="28011"/>
    <cellStyle name="Normal 3 2 3 2 3 7 3 7" xfId="32043"/>
    <cellStyle name="Normal 3 2 3 2 3 7 3 8" xfId="36075"/>
    <cellStyle name="Normal 3 2 3 2 3 7 3 9" xfId="40107"/>
    <cellStyle name="Normal 3 2 3 2 3 7 4" xfId="9867"/>
    <cellStyle name="Normal 3 2 3 2 3 7 5" xfId="13899"/>
    <cellStyle name="Normal 3 2 3 2 3 7 6" xfId="17931"/>
    <cellStyle name="Normal 3 2 3 2 3 7 7" xfId="21963"/>
    <cellStyle name="Normal 3 2 3 2 3 7 8" xfId="25995"/>
    <cellStyle name="Normal 3 2 3 2 3 7 9" xfId="30027"/>
    <cellStyle name="Normal 3 2 3 2 3 8" xfId="4276"/>
    <cellStyle name="Normal 3 2 3 2 3 8 10" xfId="34128"/>
    <cellStyle name="Normal 3 2 3 2 3 8 11" xfId="38160"/>
    <cellStyle name="Normal 3 2 3 2 3 8 12" xfId="42192"/>
    <cellStyle name="Normal 3 2 3 2 3 8 13" xfId="46224"/>
    <cellStyle name="Normal 3 2 3 2 3 8 14" xfId="50302"/>
    <cellStyle name="Normal 3 2 3 2 3 8 2" xfId="6853"/>
    <cellStyle name="Normal 3 2 3 2 3 8 2 10" xfId="39111"/>
    <cellStyle name="Normal 3 2 3 2 3 8 2 11" xfId="43143"/>
    <cellStyle name="Normal 3 2 3 2 3 8 2 12" xfId="47175"/>
    <cellStyle name="Normal 3 2 3 2 3 8 2 13" xfId="51254"/>
    <cellStyle name="Normal 3 2 3 2 3 8 2 2" xfId="8869"/>
    <cellStyle name="Normal 3 2 3 2 3 8 2 2 10" xfId="45159"/>
    <cellStyle name="Normal 3 2 3 2 3 8 2 2 11" xfId="49191"/>
    <cellStyle name="Normal 3 2 3 2 3 8 2 2 12" xfId="53270"/>
    <cellStyle name="Normal 3 2 3 2 3 8 2 2 2" xfId="12903"/>
    <cellStyle name="Normal 3 2 3 2 3 8 2 2 3" xfId="16935"/>
    <cellStyle name="Normal 3 2 3 2 3 8 2 2 4" xfId="20967"/>
    <cellStyle name="Normal 3 2 3 2 3 8 2 2 5" xfId="24999"/>
    <cellStyle name="Normal 3 2 3 2 3 8 2 2 6" xfId="29031"/>
    <cellStyle name="Normal 3 2 3 2 3 8 2 2 7" xfId="33063"/>
    <cellStyle name="Normal 3 2 3 2 3 8 2 2 8" xfId="37095"/>
    <cellStyle name="Normal 3 2 3 2 3 8 2 2 9" xfId="41127"/>
    <cellStyle name="Normal 3 2 3 2 3 8 2 3" xfId="10887"/>
    <cellStyle name="Normal 3 2 3 2 3 8 2 4" xfId="14919"/>
    <cellStyle name="Normal 3 2 3 2 3 8 2 5" xfId="18951"/>
    <cellStyle name="Normal 3 2 3 2 3 8 2 6" xfId="22983"/>
    <cellStyle name="Normal 3 2 3 2 3 8 2 7" xfId="27015"/>
    <cellStyle name="Normal 3 2 3 2 3 8 2 8" xfId="31047"/>
    <cellStyle name="Normal 3 2 3 2 3 8 2 9" xfId="35079"/>
    <cellStyle name="Normal 3 2 3 2 3 8 3" xfId="7918"/>
    <cellStyle name="Normal 3 2 3 2 3 8 3 10" xfId="44208"/>
    <cellStyle name="Normal 3 2 3 2 3 8 3 11" xfId="48240"/>
    <cellStyle name="Normal 3 2 3 2 3 8 3 12" xfId="52319"/>
    <cellStyle name="Normal 3 2 3 2 3 8 3 2" xfId="11952"/>
    <cellStyle name="Normal 3 2 3 2 3 8 3 3" xfId="15984"/>
    <cellStyle name="Normal 3 2 3 2 3 8 3 4" xfId="20016"/>
    <cellStyle name="Normal 3 2 3 2 3 8 3 5" xfId="24048"/>
    <cellStyle name="Normal 3 2 3 2 3 8 3 6" xfId="28080"/>
    <cellStyle name="Normal 3 2 3 2 3 8 3 7" xfId="32112"/>
    <cellStyle name="Normal 3 2 3 2 3 8 3 8" xfId="36144"/>
    <cellStyle name="Normal 3 2 3 2 3 8 3 9" xfId="40176"/>
    <cellStyle name="Normal 3 2 3 2 3 8 4" xfId="9936"/>
    <cellStyle name="Normal 3 2 3 2 3 8 5" xfId="13968"/>
    <cellStyle name="Normal 3 2 3 2 3 8 6" xfId="18000"/>
    <cellStyle name="Normal 3 2 3 2 3 8 7" xfId="22032"/>
    <cellStyle name="Normal 3 2 3 2 3 8 8" xfId="26064"/>
    <cellStyle name="Normal 3 2 3 2 3 8 9" xfId="30096"/>
    <cellStyle name="Normal 3 2 3 2 3 9" xfId="4422"/>
    <cellStyle name="Normal 3 2 3 2 3 9 10" xfId="34266"/>
    <cellStyle name="Normal 3 2 3 2 3 9 11" xfId="38298"/>
    <cellStyle name="Normal 3 2 3 2 3 9 12" xfId="42330"/>
    <cellStyle name="Normal 3 2 3 2 3 9 13" xfId="46362"/>
    <cellStyle name="Normal 3 2 3 2 3 9 14" xfId="50441"/>
    <cellStyle name="Normal 3 2 3 2 3 9 2" xfId="6991"/>
    <cellStyle name="Normal 3 2 3 2 3 9 2 10" xfId="39249"/>
    <cellStyle name="Normal 3 2 3 2 3 9 2 11" xfId="43281"/>
    <cellStyle name="Normal 3 2 3 2 3 9 2 12" xfId="47313"/>
    <cellStyle name="Normal 3 2 3 2 3 9 2 13" xfId="51392"/>
    <cellStyle name="Normal 3 2 3 2 3 9 2 2" xfId="9007"/>
    <cellStyle name="Normal 3 2 3 2 3 9 2 2 10" xfId="45297"/>
    <cellStyle name="Normal 3 2 3 2 3 9 2 2 11" xfId="49329"/>
    <cellStyle name="Normal 3 2 3 2 3 9 2 2 12" xfId="53408"/>
    <cellStyle name="Normal 3 2 3 2 3 9 2 2 2" xfId="13041"/>
    <cellStyle name="Normal 3 2 3 2 3 9 2 2 3" xfId="17073"/>
    <cellStyle name="Normal 3 2 3 2 3 9 2 2 4" xfId="21105"/>
    <cellStyle name="Normal 3 2 3 2 3 9 2 2 5" xfId="25137"/>
    <cellStyle name="Normal 3 2 3 2 3 9 2 2 6" xfId="29169"/>
    <cellStyle name="Normal 3 2 3 2 3 9 2 2 7" xfId="33201"/>
    <cellStyle name="Normal 3 2 3 2 3 9 2 2 8" xfId="37233"/>
    <cellStyle name="Normal 3 2 3 2 3 9 2 2 9" xfId="41265"/>
    <cellStyle name="Normal 3 2 3 2 3 9 2 3" xfId="11025"/>
    <cellStyle name="Normal 3 2 3 2 3 9 2 4" xfId="15057"/>
    <cellStyle name="Normal 3 2 3 2 3 9 2 5" xfId="19089"/>
    <cellStyle name="Normal 3 2 3 2 3 9 2 6" xfId="23121"/>
    <cellStyle name="Normal 3 2 3 2 3 9 2 7" xfId="27153"/>
    <cellStyle name="Normal 3 2 3 2 3 9 2 8" xfId="31185"/>
    <cellStyle name="Normal 3 2 3 2 3 9 2 9" xfId="35217"/>
    <cellStyle name="Normal 3 2 3 2 3 9 3" xfId="8056"/>
    <cellStyle name="Normal 3 2 3 2 3 9 3 10" xfId="44346"/>
    <cellStyle name="Normal 3 2 3 2 3 9 3 11" xfId="48378"/>
    <cellStyle name="Normal 3 2 3 2 3 9 3 12" xfId="52457"/>
    <cellStyle name="Normal 3 2 3 2 3 9 3 2" xfId="12090"/>
    <cellStyle name="Normal 3 2 3 2 3 9 3 3" xfId="16122"/>
    <cellStyle name="Normal 3 2 3 2 3 9 3 4" xfId="20154"/>
    <cellStyle name="Normal 3 2 3 2 3 9 3 5" xfId="24186"/>
    <cellStyle name="Normal 3 2 3 2 3 9 3 6" xfId="28218"/>
    <cellStyle name="Normal 3 2 3 2 3 9 3 7" xfId="32250"/>
    <cellStyle name="Normal 3 2 3 2 3 9 3 8" xfId="36282"/>
    <cellStyle name="Normal 3 2 3 2 3 9 3 9" xfId="40314"/>
    <cellStyle name="Normal 3 2 3 2 3 9 4" xfId="10074"/>
    <cellStyle name="Normal 3 2 3 2 3 9 5" xfId="14106"/>
    <cellStyle name="Normal 3 2 3 2 3 9 6" xfId="18138"/>
    <cellStyle name="Normal 3 2 3 2 3 9 7" xfId="22170"/>
    <cellStyle name="Normal 3 2 3 2 3 9 8" xfId="26202"/>
    <cellStyle name="Normal 3 2 3 2 3 9 9" xfId="30234"/>
    <cellStyle name="Normal 3 2 3 2 4" xfId="61"/>
    <cellStyle name="Normal 3 2 3 2 4 10" xfId="339"/>
    <cellStyle name="Normal 3 2 3 2 4 10 10" xfId="37544"/>
    <cellStyle name="Normal 3 2 3 2 4 10 11" xfId="41576"/>
    <cellStyle name="Normal 3 2 3 2 4 10 12" xfId="45608"/>
    <cellStyle name="Normal 3 2 3 2 4 10 13" xfId="49686"/>
    <cellStyle name="Normal 3 2 3 2 4 10 2" xfId="7302"/>
    <cellStyle name="Normal 3 2 3 2 4 10 2 10" xfId="43592"/>
    <cellStyle name="Normal 3 2 3 2 4 10 2 11" xfId="47624"/>
    <cellStyle name="Normal 3 2 3 2 4 10 2 12" xfId="51703"/>
    <cellStyle name="Normal 3 2 3 2 4 10 2 2" xfId="11336"/>
    <cellStyle name="Normal 3 2 3 2 4 10 2 3" xfId="15368"/>
    <cellStyle name="Normal 3 2 3 2 4 10 2 4" xfId="19400"/>
    <cellStyle name="Normal 3 2 3 2 4 10 2 5" xfId="23432"/>
    <cellStyle name="Normal 3 2 3 2 4 10 2 6" xfId="27464"/>
    <cellStyle name="Normal 3 2 3 2 4 10 2 7" xfId="31496"/>
    <cellStyle name="Normal 3 2 3 2 4 10 2 8" xfId="35528"/>
    <cellStyle name="Normal 3 2 3 2 4 10 2 9" xfId="39560"/>
    <cellStyle name="Normal 3 2 3 2 4 10 3" xfId="9320"/>
    <cellStyle name="Normal 3 2 3 2 4 10 4" xfId="13352"/>
    <cellStyle name="Normal 3 2 3 2 4 10 5" xfId="17384"/>
    <cellStyle name="Normal 3 2 3 2 4 10 6" xfId="21416"/>
    <cellStyle name="Normal 3 2 3 2 4 10 7" xfId="25448"/>
    <cellStyle name="Normal 3 2 3 2 4 10 8" xfId="29480"/>
    <cellStyle name="Normal 3 2 3 2 4 10 9" xfId="33512"/>
    <cellStyle name="Normal 3 2 3 2 4 11" xfId="7110"/>
    <cellStyle name="Normal 3 2 3 2 4 11 10" xfId="43400"/>
    <cellStyle name="Normal 3 2 3 2 4 11 11" xfId="47432"/>
    <cellStyle name="Normal 3 2 3 2 4 11 12" xfId="51511"/>
    <cellStyle name="Normal 3 2 3 2 4 11 2" xfId="11144"/>
    <cellStyle name="Normal 3 2 3 2 4 11 3" xfId="15176"/>
    <cellStyle name="Normal 3 2 3 2 4 11 4" xfId="19208"/>
    <cellStyle name="Normal 3 2 3 2 4 11 5" xfId="23240"/>
    <cellStyle name="Normal 3 2 3 2 4 11 6" xfId="27272"/>
    <cellStyle name="Normal 3 2 3 2 4 11 7" xfId="31304"/>
    <cellStyle name="Normal 3 2 3 2 4 11 8" xfId="35336"/>
    <cellStyle name="Normal 3 2 3 2 4 11 9" xfId="39368"/>
    <cellStyle name="Normal 3 2 3 2 4 12" xfId="136"/>
    <cellStyle name="Normal 3 2 3 2 4 13" xfId="9128"/>
    <cellStyle name="Normal 3 2 3 2 4 14" xfId="13160"/>
    <cellStyle name="Normal 3 2 3 2 4 15" xfId="17192"/>
    <cellStyle name="Normal 3 2 3 2 4 16" xfId="21224"/>
    <cellStyle name="Normal 3 2 3 2 4 17" xfId="25256"/>
    <cellStyle name="Normal 3 2 3 2 4 18" xfId="29288"/>
    <cellStyle name="Normal 3 2 3 2 4 19" xfId="33320"/>
    <cellStyle name="Normal 3 2 3 2 4 2" xfId="215"/>
    <cellStyle name="Normal 3 2 3 2 4 2 10" xfId="21293"/>
    <cellStyle name="Normal 3 2 3 2 4 2 11" xfId="25325"/>
    <cellStyle name="Normal 3 2 3 2 4 2 12" xfId="29357"/>
    <cellStyle name="Normal 3 2 3 2 4 2 13" xfId="33389"/>
    <cellStyle name="Normal 3 2 3 2 4 2 14" xfId="37421"/>
    <cellStyle name="Normal 3 2 3 2 4 2 15" xfId="41453"/>
    <cellStyle name="Normal 3 2 3 2 4 2 16" xfId="45485"/>
    <cellStyle name="Normal 3 2 3 2 4 2 17" xfId="49563"/>
    <cellStyle name="Normal 3 2 3 2 4 2 2" xfId="4333"/>
    <cellStyle name="Normal 3 2 3 2 4 2 2 10" xfId="34178"/>
    <cellStyle name="Normal 3 2 3 2 4 2 2 11" xfId="38210"/>
    <cellStyle name="Normal 3 2 3 2 4 2 2 12" xfId="42242"/>
    <cellStyle name="Normal 3 2 3 2 4 2 2 13" xfId="46274"/>
    <cellStyle name="Normal 3 2 3 2 4 2 2 14" xfId="50353"/>
    <cellStyle name="Normal 3 2 3 2 4 2 2 2" xfId="6903"/>
    <cellStyle name="Normal 3 2 3 2 4 2 2 2 10" xfId="39161"/>
    <cellStyle name="Normal 3 2 3 2 4 2 2 2 11" xfId="43193"/>
    <cellStyle name="Normal 3 2 3 2 4 2 2 2 12" xfId="47225"/>
    <cellStyle name="Normal 3 2 3 2 4 2 2 2 13" xfId="51304"/>
    <cellStyle name="Normal 3 2 3 2 4 2 2 2 2" xfId="8919"/>
    <cellStyle name="Normal 3 2 3 2 4 2 2 2 2 10" xfId="45209"/>
    <cellStyle name="Normal 3 2 3 2 4 2 2 2 2 11" xfId="49241"/>
    <cellStyle name="Normal 3 2 3 2 4 2 2 2 2 12" xfId="53320"/>
    <cellStyle name="Normal 3 2 3 2 4 2 2 2 2 2" xfId="12953"/>
    <cellStyle name="Normal 3 2 3 2 4 2 2 2 2 3" xfId="16985"/>
    <cellStyle name="Normal 3 2 3 2 4 2 2 2 2 4" xfId="21017"/>
    <cellStyle name="Normal 3 2 3 2 4 2 2 2 2 5" xfId="25049"/>
    <cellStyle name="Normal 3 2 3 2 4 2 2 2 2 6" xfId="29081"/>
    <cellStyle name="Normal 3 2 3 2 4 2 2 2 2 7" xfId="33113"/>
    <cellStyle name="Normal 3 2 3 2 4 2 2 2 2 8" xfId="37145"/>
    <cellStyle name="Normal 3 2 3 2 4 2 2 2 2 9" xfId="41177"/>
    <cellStyle name="Normal 3 2 3 2 4 2 2 2 3" xfId="10937"/>
    <cellStyle name="Normal 3 2 3 2 4 2 2 2 4" xfId="14969"/>
    <cellStyle name="Normal 3 2 3 2 4 2 2 2 5" xfId="19001"/>
    <cellStyle name="Normal 3 2 3 2 4 2 2 2 6" xfId="23033"/>
    <cellStyle name="Normal 3 2 3 2 4 2 2 2 7" xfId="27065"/>
    <cellStyle name="Normal 3 2 3 2 4 2 2 2 8" xfId="31097"/>
    <cellStyle name="Normal 3 2 3 2 4 2 2 2 9" xfId="35129"/>
    <cellStyle name="Normal 3 2 3 2 4 2 2 3" xfId="7968"/>
    <cellStyle name="Normal 3 2 3 2 4 2 2 3 10" xfId="44258"/>
    <cellStyle name="Normal 3 2 3 2 4 2 2 3 11" xfId="48290"/>
    <cellStyle name="Normal 3 2 3 2 4 2 2 3 12" xfId="52369"/>
    <cellStyle name="Normal 3 2 3 2 4 2 2 3 2" xfId="12002"/>
    <cellStyle name="Normal 3 2 3 2 4 2 2 3 3" xfId="16034"/>
    <cellStyle name="Normal 3 2 3 2 4 2 2 3 4" xfId="20066"/>
    <cellStyle name="Normal 3 2 3 2 4 2 2 3 5" xfId="24098"/>
    <cellStyle name="Normal 3 2 3 2 4 2 2 3 6" xfId="28130"/>
    <cellStyle name="Normal 3 2 3 2 4 2 2 3 7" xfId="32162"/>
    <cellStyle name="Normal 3 2 3 2 4 2 2 3 8" xfId="36194"/>
    <cellStyle name="Normal 3 2 3 2 4 2 2 3 9" xfId="40226"/>
    <cellStyle name="Normal 3 2 3 2 4 2 2 4" xfId="9986"/>
    <cellStyle name="Normal 3 2 3 2 4 2 2 5" xfId="14018"/>
    <cellStyle name="Normal 3 2 3 2 4 2 2 6" xfId="18050"/>
    <cellStyle name="Normal 3 2 3 2 4 2 2 7" xfId="22082"/>
    <cellStyle name="Normal 3 2 3 2 4 2 2 8" xfId="26114"/>
    <cellStyle name="Normal 3 2 3 2 4 2 2 9" xfId="30146"/>
    <cellStyle name="Normal 3 2 3 2 4 2 3" xfId="4472"/>
    <cellStyle name="Normal 3 2 3 2 4 2 3 10" xfId="34316"/>
    <cellStyle name="Normal 3 2 3 2 4 2 3 11" xfId="38348"/>
    <cellStyle name="Normal 3 2 3 2 4 2 3 12" xfId="42380"/>
    <cellStyle name="Normal 3 2 3 2 4 2 3 13" xfId="46412"/>
    <cellStyle name="Normal 3 2 3 2 4 2 3 14" xfId="50491"/>
    <cellStyle name="Normal 3 2 3 2 4 2 3 2" xfId="7041"/>
    <cellStyle name="Normal 3 2 3 2 4 2 3 2 10" xfId="39299"/>
    <cellStyle name="Normal 3 2 3 2 4 2 3 2 11" xfId="43331"/>
    <cellStyle name="Normal 3 2 3 2 4 2 3 2 12" xfId="47363"/>
    <cellStyle name="Normal 3 2 3 2 4 2 3 2 13" xfId="51442"/>
    <cellStyle name="Normal 3 2 3 2 4 2 3 2 2" xfId="9057"/>
    <cellStyle name="Normal 3 2 3 2 4 2 3 2 2 10" xfId="45347"/>
    <cellStyle name="Normal 3 2 3 2 4 2 3 2 2 11" xfId="49379"/>
    <cellStyle name="Normal 3 2 3 2 4 2 3 2 2 12" xfId="53458"/>
    <cellStyle name="Normal 3 2 3 2 4 2 3 2 2 2" xfId="13091"/>
    <cellStyle name="Normal 3 2 3 2 4 2 3 2 2 3" xfId="17123"/>
    <cellStyle name="Normal 3 2 3 2 4 2 3 2 2 4" xfId="21155"/>
    <cellStyle name="Normal 3 2 3 2 4 2 3 2 2 5" xfId="25187"/>
    <cellStyle name="Normal 3 2 3 2 4 2 3 2 2 6" xfId="29219"/>
    <cellStyle name="Normal 3 2 3 2 4 2 3 2 2 7" xfId="33251"/>
    <cellStyle name="Normal 3 2 3 2 4 2 3 2 2 8" xfId="37283"/>
    <cellStyle name="Normal 3 2 3 2 4 2 3 2 2 9" xfId="41315"/>
    <cellStyle name="Normal 3 2 3 2 4 2 3 2 3" xfId="11075"/>
    <cellStyle name="Normal 3 2 3 2 4 2 3 2 4" xfId="15107"/>
    <cellStyle name="Normal 3 2 3 2 4 2 3 2 5" xfId="19139"/>
    <cellStyle name="Normal 3 2 3 2 4 2 3 2 6" xfId="23171"/>
    <cellStyle name="Normal 3 2 3 2 4 2 3 2 7" xfId="27203"/>
    <cellStyle name="Normal 3 2 3 2 4 2 3 2 8" xfId="31235"/>
    <cellStyle name="Normal 3 2 3 2 4 2 3 2 9" xfId="35267"/>
    <cellStyle name="Normal 3 2 3 2 4 2 3 3" xfId="8106"/>
    <cellStyle name="Normal 3 2 3 2 4 2 3 3 10" xfId="44396"/>
    <cellStyle name="Normal 3 2 3 2 4 2 3 3 11" xfId="48428"/>
    <cellStyle name="Normal 3 2 3 2 4 2 3 3 12" xfId="52507"/>
    <cellStyle name="Normal 3 2 3 2 4 2 3 3 2" xfId="12140"/>
    <cellStyle name="Normal 3 2 3 2 4 2 3 3 3" xfId="16172"/>
    <cellStyle name="Normal 3 2 3 2 4 2 3 3 4" xfId="20204"/>
    <cellStyle name="Normal 3 2 3 2 4 2 3 3 5" xfId="24236"/>
    <cellStyle name="Normal 3 2 3 2 4 2 3 3 6" xfId="28268"/>
    <cellStyle name="Normal 3 2 3 2 4 2 3 3 7" xfId="32300"/>
    <cellStyle name="Normal 3 2 3 2 4 2 3 3 8" xfId="36332"/>
    <cellStyle name="Normal 3 2 3 2 4 2 3 3 9" xfId="40364"/>
    <cellStyle name="Normal 3 2 3 2 4 2 3 4" xfId="10124"/>
    <cellStyle name="Normal 3 2 3 2 4 2 3 5" xfId="14156"/>
    <cellStyle name="Normal 3 2 3 2 4 2 3 6" xfId="18188"/>
    <cellStyle name="Normal 3 2 3 2 4 2 3 7" xfId="22220"/>
    <cellStyle name="Normal 3 2 3 2 4 2 3 8" xfId="26252"/>
    <cellStyle name="Normal 3 2 3 2 4 2 3 9" xfId="30284"/>
    <cellStyle name="Normal 3 2 3 2 4 2 4" xfId="4612"/>
    <cellStyle name="Normal 3 2 3 2 4 2 4 10" xfId="38486"/>
    <cellStyle name="Normal 3 2 3 2 4 2 4 11" xfId="42518"/>
    <cellStyle name="Normal 3 2 3 2 4 2 4 12" xfId="46550"/>
    <cellStyle name="Normal 3 2 3 2 4 2 4 13" xfId="50629"/>
    <cellStyle name="Normal 3 2 3 2 4 2 4 2" xfId="8244"/>
    <cellStyle name="Normal 3 2 3 2 4 2 4 2 10" xfId="44534"/>
    <cellStyle name="Normal 3 2 3 2 4 2 4 2 11" xfId="48566"/>
    <cellStyle name="Normal 3 2 3 2 4 2 4 2 12" xfId="52645"/>
    <cellStyle name="Normal 3 2 3 2 4 2 4 2 2" xfId="12278"/>
    <cellStyle name="Normal 3 2 3 2 4 2 4 2 3" xfId="16310"/>
    <cellStyle name="Normal 3 2 3 2 4 2 4 2 4" xfId="20342"/>
    <cellStyle name="Normal 3 2 3 2 4 2 4 2 5" xfId="24374"/>
    <cellStyle name="Normal 3 2 3 2 4 2 4 2 6" xfId="28406"/>
    <cellStyle name="Normal 3 2 3 2 4 2 4 2 7" xfId="32438"/>
    <cellStyle name="Normal 3 2 3 2 4 2 4 2 8" xfId="36470"/>
    <cellStyle name="Normal 3 2 3 2 4 2 4 2 9" xfId="40502"/>
    <cellStyle name="Normal 3 2 3 2 4 2 4 3" xfId="10262"/>
    <cellStyle name="Normal 3 2 3 2 4 2 4 4" xfId="14294"/>
    <cellStyle name="Normal 3 2 3 2 4 2 4 5" xfId="18326"/>
    <cellStyle name="Normal 3 2 3 2 4 2 4 6" xfId="22358"/>
    <cellStyle name="Normal 3 2 3 2 4 2 4 7" xfId="26390"/>
    <cellStyle name="Normal 3 2 3 2 4 2 4 8" xfId="30422"/>
    <cellStyle name="Normal 3 2 3 2 4 2 4 9" xfId="34454"/>
    <cellStyle name="Normal 3 2 3 2 4 2 5" xfId="1649"/>
    <cellStyle name="Normal 3 2 3 2 4 2 5 10" xfId="37642"/>
    <cellStyle name="Normal 3 2 3 2 4 2 5 11" xfId="41674"/>
    <cellStyle name="Normal 3 2 3 2 4 2 5 12" xfId="45706"/>
    <cellStyle name="Normal 3 2 3 2 4 2 5 13" xfId="49784"/>
    <cellStyle name="Normal 3 2 3 2 4 2 5 2" xfId="7400"/>
    <cellStyle name="Normal 3 2 3 2 4 2 5 2 10" xfId="43690"/>
    <cellStyle name="Normal 3 2 3 2 4 2 5 2 11" xfId="47722"/>
    <cellStyle name="Normal 3 2 3 2 4 2 5 2 12" xfId="51801"/>
    <cellStyle name="Normal 3 2 3 2 4 2 5 2 2" xfId="11434"/>
    <cellStyle name="Normal 3 2 3 2 4 2 5 2 3" xfId="15466"/>
    <cellStyle name="Normal 3 2 3 2 4 2 5 2 4" xfId="19498"/>
    <cellStyle name="Normal 3 2 3 2 4 2 5 2 5" xfId="23530"/>
    <cellStyle name="Normal 3 2 3 2 4 2 5 2 6" xfId="27562"/>
    <cellStyle name="Normal 3 2 3 2 4 2 5 2 7" xfId="31594"/>
    <cellStyle name="Normal 3 2 3 2 4 2 5 2 8" xfId="35626"/>
    <cellStyle name="Normal 3 2 3 2 4 2 5 2 9" xfId="39658"/>
    <cellStyle name="Normal 3 2 3 2 4 2 5 3" xfId="9418"/>
    <cellStyle name="Normal 3 2 3 2 4 2 5 4" xfId="13450"/>
    <cellStyle name="Normal 3 2 3 2 4 2 5 5" xfId="17482"/>
    <cellStyle name="Normal 3 2 3 2 4 2 5 6" xfId="21514"/>
    <cellStyle name="Normal 3 2 3 2 4 2 5 7" xfId="25546"/>
    <cellStyle name="Normal 3 2 3 2 4 2 5 8" xfId="29578"/>
    <cellStyle name="Normal 3 2 3 2 4 2 5 9" xfId="33610"/>
    <cellStyle name="Normal 3 2 3 2 4 2 6" xfId="7179"/>
    <cellStyle name="Normal 3 2 3 2 4 2 6 10" xfId="43469"/>
    <cellStyle name="Normal 3 2 3 2 4 2 6 11" xfId="47501"/>
    <cellStyle name="Normal 3 2 3 2 4 2 6 12" xfId="51580"/>
    <cellStyle name="Normal 3 2 3 2 4 2 6 2" xfId="11213"/>
    <cellStyle name="Normal 3 2 3 2 4 2 6 3" xfId="15245"/>
    <cellStyle name="Normal 3 2 3 2 4 2 6 4" xfId="19277"/>
    <cellStyle name="Normal 3 2 3 2 4 2 6 5" xfId="23309"/>
    <cellStyle name="Normal 3 2 3 2 4 2 6 6" xfId="27341"/>
    <cellStyle name="Normal 3 2 3 2 4 2 6 7" xfId="31373"/>
    <cellStyle name="Normal 3 2 3 2 4 2 6 8" xfId="35405"/>
    <cellStyle name="Normal 3 2 3 2 4 2 6 9" xfId="39437"/>
    <cellStyle name="Normal 3 2 3 2 4 2 7" xfId="9197"/>
    <cellStyle name="Normal 3 2 3 2 4 2 8" xfId="13229"/>
    <cellStyle name="Normal 3 2 3 2 4 2 9" xfId="17261"/>
    <cellStyle name="Normal 3 2 3 2 4 20" xfId="37352"/>
    <cellStyle name="Normal 3 2 3 2 4 21" xfId="41384"/>
    <cellStyle name="Normal 3 2 3 2 4 22" xfId="45416"/>
    <cellStyle name="Normal 3 2 3 2 4 23" xfId="49494"/>
    <cellStyle name="Normal 3 2 3 2 4 3" xfId="1723"/>
    <cellStyle name="Normal 3 2 3 2 4 3 10" xfId="33679"/>
    <cellStyle name="Normal 3 2 3 2 4 3 11" xfId="37711"/>
    <cellStyle name="Normal 3 2 3 2 4 3 12" xfId="41743"/>
    <cellStyle name="Normal 3 2 3 2 4 3 13" xfId="45775"/>
    <cellStyle name="Normal 3 2 3 2 4 3 14" xfId="49853"/>
    <cellStyle name="Normal 3 2 3 2 4 3 2" xfId="5394"/>
    <cellStyle name="Normal 3 2 3 2 4 3 2 10" xfId="38662"/>
    <cellStyle name="Normal 3 2 3 2 4 3 2 11" xfId="42694"/>
    <cellStyle name="Normal 3 2 3 2 4 3 2 12" xfId="46726"/>
    <cellStyle name="Normal 3 2 3 2 4 3 2 13" xfId="50805"/>
    <cellStyle name="Normal 3 2 3 2 4 3 2 2" xfId="8420"/>
    <cellStyle name="Normal 3 2 3 2 4 3 2 2 10" xfId="44710"/>
    <cellStyle name="Normal 3 2 3 2 4 3 2 2 11" xfId="48742"/>
    <cellStyle name="Normal 3 2 3 2 4 3 2 2 12" xfId="52821"/>
    <cellStyle name="Normal 3 2 3 2 4 3 2 2 2" xfId="12454"/>
    <cellStyle name="Normal 3 2 3 2 4 3 2 2 3" xfId="16486"/>
    <cellStyle name="Normal 3 2 3 2 4 3 2 2 4" xfId="20518"/>
    <cellStyle name="Normal 3 2 3 2 4 3 2 2 5" xfId="24550"/>
    <cellStyle name="Normal 3 2 3 2 4 3 2 2 6" xfId="28582"/>
    <cellStyle name="Normal 3 2 3 2 4 3 2 2 7" xfId="32614"/>
    <cellStyle name="Normal 3 2 3 2 4 3 2 2 8" xfId="36646"/>
    <cellStyle name="Normal 3 2 3 2 4 3 2 2 9" xfId="40678"/>
    <cellStyle name="Normal 3 2 3 2 4 3 2 3" xfId="10438"/>
    <cellStyle name="Normal 3 2 3 2 4 3 2 4" xfId="14470"/>
    <cellStyle name="Normal 3 2 3 2 4 3 2 5" xfId="18502"/>
    <cellStyle name="Normal 3 2 3 2 4 3 2 6" xfId="22534"/>
    <cellStyle name="Normal 3 2 3 2 4 3 2 7" xfId="26566"/>
    <cellStyle name="Normal 3 2 3 2 4 3 2 8" xfId="30598"/>
    <cellStyle name="Normal 3 2 3 2 4 3 2 9" xfId="34630"/>
    <cellStyle name="Normal 3 2 3 2 4 3 3" xfId="7469"/>
    <cellStyle name="Normal 3 2 3 2 4 3 3 10" xfId="43759"/>
    <cellStyle name="Normal 3 2 3 2 4 3 3 11" xfId="47791"/>
    <cellStyle name="Normal 3 2 3 2 4 3 3 12" xfId="51870"/>
    <cellStyle name="Normal 3 2 3 2 4 3 3 2" xfId="11503"/>
    <cellStyle name="Normal 3 2 3 2 4 3 3 3" xfId="15535"/>
    <cellStyle name="Normal 3 2 3 2 4 3 3 4" xfId="19567"/>
    <cellStyle name="Normal 3 2 3 2 4 3 3 5" xfId="23599"/>
    <cellStyle name="Normal 3 2 3 2 4 3 3 6" xfId="27631"/>
    <cellStyle name="Normal 3 2 3 2 4 3 3 7" xfId="31663"/>
    <cellStyle name="Normal 3 2 3 2 4 3 3 8" xfId="35695"/>
    <cellStyle name="Normal 3 2 3 2 4 3 3 9" xfId="39727"/>
    <cellStyle name="Normal 3 2 3 2 4 3 4" xfId="9487"/>
    <cellStyle name="Normal 3 2 3 2 4 3 5" xfId="13519"/>
    <cellStyle name="Normal 3 2 3 2 4 3 6" xfId="17551"/>
    <cellStyle name="Normal 3 2 3 2 4 3 7" xfId="21583"/>
    <cellStyle name="Normal 3 2 3 2 4 3 8" xfId="25615"/>
    <cellStyle name="Normal 3 2 3 2 4 3 9" xfId="29647"/>
    <cellStyle name="Normal 3 2 3 2 4 4" xfId="4045"/>
    <cellStyle name="Normal 3 2 3 2 4 4 10" xfId="33902"/>
    <cellStyle name="Normal 3 2 3 2 4 4 11" xfId="37934"/>
    <cellStyle name="Normal 3 2 3 2 4 4 12" xfId="41966"/>
    <cellStyle name="Normal 3 2 3 2 4 4 13" xfId="45998"/>
    <cellStyle name="Normal 3 2 3 2 4 4 14" xfId="50076"/>
    <cellStyle name="Normal 3 2 3 2 4 4 2" xfId="6627"/>
    <cellStyle name="Normal 3 2 3 2 4 4 2 10" xfId="38885"/>
    <cellStyle name="Normal 3 2 3 2 4 4 2 11" xfId="42917"/>
    <cellStyle name="Normal 3 2 3 2 4 4 2 12" xfId="46949"/>
    <cellStyle name="Normal 3 2 3 2 4 4 2 13" xfId="51028"/>
    <cellStyle name="Normal 3 2 3 2 4 4 2 2" xfId="8643"/>
    <cellStyle name="Normal 3 2 3 2 4 4 2 2 10" xfId="44933"/>
    <cellStyle name="Normal 3 2 3 2 4 4 2 2 11" xfId="48965"/>
    <cellStyle name="Normal 3 2 3 2 4 4 2 2 12" xfId="53044"/>
    <cellStyle name="Normal 3 2 3 2 4 4 2 2 2" xfId="12677"/>
    <cellStyle name="Normal 3 2 3 2 4 4 2 2 3" xfId="16709"/>
    <cellStyle name="Normal 3 2 3 2 4 4 2 2 4" xfId="20741"/>
    <cellStyle name="Normal 3 2 3 2 4 4 2 2 5" xfId="24773"/>
    <cellStyle name="Normal 3 2 3 2 4 4 2 2 6" xfId="28805"/>
    <cellStyle name="Normal 3 2 3 2 4 4 2 2 7" xfId="32837"/>
    <cellStyle name="Normal 3 2 3 2 4 4 2 2 8" xfId="36869"/>
    <cellStyle name="Normal 3 2 3 2 4 4 2 2 9" xfId="40901"/>
    <cellStyle name="Normal 3 2 3 2 4 4 2 3" xfId="10661"/>
    <cellStyle name="Normal 3 2 3 2 4 4 2 4" xfId="14693"/>
    <cellStyle name="Normal 3 2 3 2 4 4 2 5" xfId="18725"/>
    <cellStyle name="Normal 3 2 3 2 4 4 2 6" xfId="22757"/>
    <cellStyle name="Normal 3 2 3 2 4 4 2 7" xfId="26789"/>
    <cellStyle name="Normal 3 2 3 2 4 4 2 8" xfId="30821"/>
    <cellStyle name="Normal 3 2 3 2 4 4 2 9" xfId="34853"/>
    <cellStyle name="Normal 3 2 3 2 4 4 3" xfId="7692"/>
    <cellStyle name="Normal 3 2 3 2 4 4 3 10" xfId="43982"/>
    <cellStyle name="Normal 3 2 3 2 4 4 3 11" xfId="48014"/>
    <cellStyle name="Normal 3 2 3 2 4 4 3 12" xfId="52093"/>
    <cellStyle name="Normal 3 2 3 2 4 4 3 2" xfId="11726"/>
    <cellStyle name="Normal 3 2 3 2 4 4 3 3" xfId="15758"/>
    <cellStyle name="Normal 3 2 3 2 4 4 3 4" xfId="19790"/>
    <cellStyle name="Normal 3 2 3 2 4 4 3 5" xfId="23822"/>
    <cellStyle name="Normal 3 2 3 2 4 4 3 6" xfId="27854"/>
    <cellStyle name="Normal 3 2 3 2 4 4 3 7" xfId="31886"/>
    <cellStyle name="Normal 3 2 3 2 4 4 3 8" xfId="35918"/>
    <cellStyle name="Normal 3 2 3 2 4 4 3 9" xfId="39950"/>
    <cellStyle name="Normal 3 2 3 2 4 4 4" xfId="9710"/>
    <cellStyle name="Normal 3 2 3 2 4 4 5" xfId="13742"/>
    <cellStyle name="Normal 3 2 3 2 4 4 6" xfId="17774"/>
    <cellStyle name="Normal 3 2 3 2 4 4 7" xfId="21806"/>
    <cellStyle name="Normal 3 2 3 2 4 4 8" xfId="25838"/>
    <cellStyle name="Normal 3 2 3 2 4 4 9" xfId="29870"/>
    <cellStyle name="Normal 3 2 3 2 4 5" xfId="4115"/>
    <cellStyle name="Normal 3 2 3 2 4 5 10" xfId="33971"/>
    <cellStyle name="Normal 3 2 3 2 4 5 11" xfId="38003"/>
    <cellStyle name="Normal 3 2 3 2 4 5 12" xfId="42035"/>
    <cellStyle name="Normal 3 2 3 2 4 5 13" xfId="46067"/>
    <cellStyle name="Normal 3 2 3 2 4 5 14" xfId="50145"/>
    <cellStyle name="Normal 3 2 3 2 4 5 2" xfId="6696"/>
    <cellStyle name="Normal 3 2 3 2 4 5 2 10" xfId="38954"/>
    <cellStyle name="Normal 3 2 3 2 4 5 2 11" xfId="42986"/>
    <cellStyle name="Normal 3 2 3 2 4 5 2 12" xfId="47018"/>
    <cellStyle name="Normal 3 2 3 2 4 5 2 13" xfId="51097"/>
    <cellStyle name="Normal 3 2 3 2 4 5 2 2" xfId="8712"/>
    <cellStyle name="Normal 3 2 3 2 4 5 2 2 10" xfId="45002"/>
    <cellStyle name="Normal 3 2 3 2 4 5 2 2 11" xfId="49034"/>
    <cellStyle name="Normal 3 2 3 2 4 5 2 2 12" xfId="53113"/>
    <cellStyle name="Normal 3 2 3 2 4 5 2 2 2" xfId="12746"/>
    <cellStyle name="Normal 3 2 3 2 4 5 2 2 3" xfId="16778"/>
    <cellStyle name="Normal 3 2 3 2 4 5 2 2 4" xfId="20810"/>
    <cellStyle name="Normal 3 2 3 2 4 5 2 2 5" xfId="24842"/>
    <cellStyle name="Normal 3 2 3 2 4 5 2 2 6" xfId="28874"/>
    <cellStyle name="Normal 3 2 3 2 4 5 2 2 7" xfId="32906"/>
    <cellStyle name="Normal 3 2 3 2 4 5 2 2 8" xfId="36938"/>
    <cellStyle name="Normal 3 2 3 2 4 5 2 2 9" xfId="40970"/>
    <cellStyle name="Normal 3 2 3 2 4 5 2 3" xfId="10730"/>
    <cellStyle name="Normal 3 2 3 2 4 5 2 4" xfId="14762"/>
    <cellStyle name="Normal 3 2 3 2 4 5 2 5" xfId="18794"/>
    <cellStyle name="Normal 3 2 3 2 4 5 2 6" xfId="22826"/>
    <cellStyle name="Normal 3 2 3 2 4 5 2 7" xfId="26858"/>
    <cellStyle name="Normal 3 2 3 2 4 5 2 8" xfId="30890"/>
    <cellStyle name="Normal 3 2 3 2 4 5 2 9" xfId="34922"/>
    <cellStyle name="Normal 3 2 3 2 4 5 3" xfId="7761"/>
    <cellStyle name="Normal 3 2 3 2 4 5 3 10" xfId="44051"/>
    <cellStyle name="Normal 3 2 3 2 4 5 3 11" xfId="48083"/>
    <cellStyle name="Normal 3 2 3 2 4 5 3 12" xfId="52162"/>
    <cellStyle name="Normal 3 2 3 2 4 5 3 2" xfId="11795"/>
    <cellStyle name="Normal 3 2 3 2 4 5 3 3" xfId="15827"/>
    <cellStyle name="Normal 3 2 3 2 4 5 3 4" xfId="19859"/>
    <cellStyle name="Normal 3 2 3 2 4 5 3 5" xfId="23891"/>
    <cellStyle name="Normal 3 2 3 2 4 5 3 6" xfId="27923"/>
    <cellStyle name="Normal 3 2 3 2 4 5 3 7" xfId="31955"/>
    <cellStyle name="Normal 3 2 3 2 4 5 3 8" xfId="35987"/>
    <cellStyle name="Normal 3 2 3 2 4 5 3 9" xfId="40019"/>
    <cellStyle name="Normal 3 2 3 2 4 5 4" xfId="9779"/>
    <cellStyle name="Normal 3 2 3 2 4 5 5" xfId="13811"/>
    <cellStyle name="Normal 3 2 3 2 4 5 6" xfId="17843"/>
    <cellStyle name="Normal 3 2 3 2 4 5 7" xfId="21875"/>
    <cellStyle name="Normal 3 2 3 2 4 5 8" xfId="25907"/>
    <cellStyle name="Normal 3 2 3 2 4 5 9" xfId="29939"/>
    <cellStyle name="Normal 3 2 3 2 4 6" xfId="4184"/>
    <cellStyle name="Normal 3 2 3 2 4 6 10" xfId="34040"/>
    <cellStyle name="Normal 3 2 3 2 4 6 11" xfId="38072"/>
    <cellStyle name="Normal 3 2 3 2 4 6 12" xfId="42104"/>
    <cellStyle name="Normal 3 2 3 2 4 6 13" xfId="46136"/>
    <cellStyle name="Normal 3 2 3 2 4 6 14" xfId="50214"/>
    <cellStyle name="Normal 3 2 3 2 4 6 2" xfId="6765"/>
    <cellStyle name="Normal 3 2 3 2 4 6 2 10" xfId="39023"/>
    <cellStyle name="Normal 3 2 3 2 4 6 2 11" xfId="43055"/>
    <cellStyle name="Normal 3 2 3 2 4 6 2 12" xfId="47087"/>
    <cellStyle name="Normal 3 2 3 2 4 6 2 13" xfId="51166"/>
    <cellStyle name="Normal 3 2 3 2 4 6 2 2" xfId="8781"/>
    <cellStyle name="Normal 3 2 3 2 4 6 2 2 10" xfId="45071"/>
    <cellStyle name="Normal 3 2 3 2 4 6 2 2 11" xfId="49103"/>
    <cellStyle name="Normal 3 2 3 2 4 6 2 2 12" xfId="53182"/>
    <cellStyle name="Normal 3 2 3 2 4 6 2 2 2" xfId="12815"/>
    <cellStyle name="Normal 3 2 3 2 4 6 2 2 3" xfId="16847"/>
    <cellStyle name="Normal 3 2 3 2 4 6 2 2 4" xfId="20879"/>
    <cellStyle name="Normal 3 2 3 2 4 6 2 2 5" xfId="24911"/>
    <cellStyle name="Normal 3 2 3 2 4 6 2 2 6" xfId="28943"/>
    <cellStyle name="Normal 3 2 3 2 4 6 2 2 7" xfId="32975"/>
    <cellStyle name="Normal 3 2 3 2 4 6 2 2 8" xfId="37007"/>
    <cellStyle name="Normal 3 2 3 2 4 6 2 2 9" xfId="41039"/>
    <cellStyle name="Normal 3 2 3 2 4 6 2 3" xfId="10799"/>
    <cellStyle name="Normal 3 2 3 2 4 6 2 4" xfId="14831"/>
    <cellStyle name="Normal 3 2 3 2 4 6 2 5" xfId="18863"/>
    <cellStyle name="Normal 3 2 3 2 4 6 2 6" xfId="22895"/>
    <cellStyle name="Normal 3 2 3 2 4 6 2 7" xfId="26927"/>
    <cellStyle name="Normal 3 2 3 2 4 6 2 8" xfId="30959"/>
    <cellStyle name="Normal 3 2 3 2 4 6 2 9" xfId="34991"/>
    <cellStyle name="Normal 3 2 3 2 4 6 3" xfId="7830"/>
    <cellStyle name="Normal 3 2 3 2 4 6 3 10" xfId="44120"/>
    <cellStyle name="Normal 3 2 3 2 4 6 3 11" xfId="48152"/>
    <cellStyle name="Normal 3 2 3 2 4 6 3 12" xfId="52231"/>
    <cellStyle name="Normal 3 2 3 2 4 6 3 2" xfId="11864"/>
    <cellStyle name="Normal 3 2 3 2 4 6 3 3" xfId="15896"/>
    <cellStyle name="Normal 3 2 3 2 4 6 3 4" xfId="19928"/>
    <cellStyle name="Normal 3 2 3 2 4 6 3 5" xfId="23960"/>
    <cellStyle name="Normal 3 2 3 2 4 6 3 6" xfId="27992"/>
    <cellStyle name="Normal 3 2 3 2 4 6 3 7" xfId="32024"/>
    <cellStyle name="Normal 3 2 3 2 4 6 3 8" xfId="36056"/>
    <cellStyle name="Normal 3 2 3 2 4 6 3 9" xfId="40088"/>
    <cellStyle name="Normal 3 2 3 2 4 6 4" xfId="9848"/>
    <cellStyle name="Normal 3 2 3 2 4 6 5" xfId="13880"/>
    <cellStyle name="Normal 3 2 3 2 4 6 6" xfId="17912"/>
    <cellStyle name="Normal 3 2 3 2 4 6 7" xfId="21944"/>
    <cellStyle name="Normal 3 2 3 2 4 6 8" xfId="25976"/>
    <cellStyle name="Normal 3 2 3 2 4 6 9" xfId="30008"/>
    <cellStyle name="Normal 3 2 3 2 4 7" xfId="4257"/>
    <cellStyle name="Normal 3 2 3 2 4 7 10" xfId="34109"/>
    <cellStyle name="Normal 3 2 3 2 4 7 11" xfId="38141"/>
    <cellStyle name="Normal 3 2 3 2 4 7 12" xfId="42173"/>
    <cellStyle name="Normal 3 2 3 2 4 7 13" xfId="46205"/>
    <cellStyle name="Normal 3 2 3 2 4 7 14" xfId="50283"/>
    <cellStyle name="Normal 3 2 3 2 4 7 2" xfId="6834"/>
    <cellStyle name="Normal 3 2 3 2 4 7 2 10" xfId="39092"/>
    <cellStyle name="Normal 3 2 3 2 4 7 2 11" xfId="43124"/>
    <cellStyle name="Normal 3 2 3 2 4 7 2 12" xfId="47156"/>
    <cellStyle name="Normal 3 2 3 2 4 7 2 13" xfId="51235"/>
    <cellStyle name="Normal 3 2 3 2 4 7 2 2" xfId="8850"/>
    <cellStyle name="Normal 3 2 3 2 4 7 2 2 10" xfId="45140"/>
    <cellStyle name="Normal 3 2 3 2 4 7 2 2 11" xfId="49172"/>
    <cellStyle name="Normal 3 2 3 2 4 7 2 2 12" xfId="53251"/>
    <cellStyle name="Normal 3 2 3 2 4 7 2 2 2" xfId="12884"/>
    <cellStyle name="Normal 3 2 3 2 4 7 2 2 3" xfId="16916"/>
    <cellStyle name="Normal 3 2 3 2 4 7 2 2 4" xfId="20948"/>
    <cellStyle name="Normal 3 2 3 2 4 7 2 2 5" xfId="24980"/>
    <cellStyle name="Normal 3 2 3 2 4 7 2 2 6" xfId="29012"/>
    <cellStyle name="Normal 3 2 3 2 4 7 2 2 7" xfId="33044"/>
    <cellStyle name="Normal 3 2 3 2 4 7 2 2 8" xfId="37076"/>
    <cellStyle name="Normal 3 2 3 2 4 7 2 2 9" xfId="41108"/>
    <cellStyle name="Normal 3 2 3 2 4 7 2 3" xfId="10868"/>
    <cellStyle name="Normal 3 2 3 2 4 7 2 4" xfId="14900"/>
    <cellStyle name="Normal 3 2 3 2 4 7 2 5" xfId="18932"/>
    <cellStyle name="Normal 3 2 3 2 4 7 2 6" xfId="22964"/>
    <cellStyle name="Normal 3 2 3 2 4 7 2 7" xfId="26996"/>
    <cellStyle name="Normal 3 2 3 2 4 7 2 8" xfId="31028"/>
    <cellStyle name="Normal 3 2 3 2 4 7 2 9" xfId="35060"/>
    <cellStyle name="Normal 3 2 3 2 4 7 3" xfId="7899"/>
    <cellStyle name="Normal 3 2 3 2 4 7 3 10" xfId="44189"/>
    <cellStyle name="Normal 3 2 3 2 4 7 3 11" xfId="48221"/>
    <cellStyle name="Normal 3 2 3 2 4 7 3 12" xfId="52300"/>
    <cellStyle name="Normal 3 2 3 2 4 7 3 2" xfId="11933"/>
    <cellStyle name="Normal 3 2 3 2 4 7 3 3" xfId="15965"/>
    <cellStyle name="Normal 3 2 3 2 4 7 3 4" xfId="19997"/>
    <cellStyle name="Normal 3 2 3 2 4 7 3 5" xfId="24029"/>
    <cellStyle name="Normal 3 2 3 2 4 7 3 6" xfId="28061"/>
    <cellStyle name="Normal 3 2 3 2 4 7 3 7" xfId="32093"/>
    <cellStyle name="Normal 3 2 3 2 4 7 3 8" xfId="36125"/>
    <cellStyle name="Normal 3 2 3 2 4 7 3 9" xfId="40157"/>
    <cellStyle name="Normal 3 2 3 2 4 7 4" xfId="9917"/>
    <cellStyle name="Normal 3 2 3 2 4 7 5" xfId="13949"/>
    <cellStyle name="Normal 3 2 3 2 4 7 6" xfId="17981"/>
    <cellStyle name="Normal 3 2 3 2 4 7 7" xfId="22013"/>
    <cellStyle name="Normal 3 2 3 2 4 7 8" xfId="26045"/>
    <cellStyle name="Normal 3 2 3 2 4 7 9" xfId="30077"/>
    <cellStyle name="Normal 3 2 3 2 4 8" xfId="4403"/>
    <cellStyle name="Normal 3 2 3 2 4 8 10" xfId="34247"/>
    <cellStyle name="Normal 3 2 3 2 4 8 11" xfId="38279"/>
    <cellStyle name="Normal 3 2 3 2 4 8 12" xfId="42311"/>
    <cellStyle name="Normal 3 2 3 2 4 8 13" xfId="46343"/>
    <cellStyle name="Normal 3 2 3 2 4 8 14" xfId="50422"/>
    <cellStyle name="Normal 3 2 3 2 4 8 2" xfId="6972"/>
    <cellStyle name="Normal 3 2 3 2 4 8 2 10" xfId="39230"/>
    <cellStyle name="Normal 3 2 3 2 4 8 2 11" xfId="43262"/>
    <cellStyle name="Normal 3 2 3 2 4 8 2 12" xfId="47294"/>
    <cellStyle name="Normal 3 2 3 2 4 8 2 13" xfId="51373"/>
    <cellStyle name="Normal 3 2 3 2 4 8 2 2" xfId="8988"/>
    <cellStyle name="Normal 3 2 3 2 4 8 2 2 10" xfId="45278"/>
    <cellStyle name="Normal 3 2 3 2 4 8 2 2 11" xfId="49310"/>
    <cellStyle name="Normal 3 2 3 2 4 8 2 2 12" xfId="53389"/>
    <cellStyle name="Normal 3 2 3 2 4 8 2 2 2" xfId="13022"/>
    <cellStyle name="Normal 3 2 3 2 4 8 2 2 3" xfId="17054"/>
    <cellStyle name="Normal 3 2 3 2 4 8 2 2 4" xfId="21086"/>
    <cellStyle name="Normal 3 2 3 2 4 8 2 2 5" xfId="25118"/>
    <cellStyle name="Normal 3 2 3 2 4 8 2 2 6" xfId="29150"/>
    <cellStyle name="Normal 3 2 3 2 4 8 2 2 7" xfId="33182"/>
    <cellStyle name="Normal 3 2 3 2 4 8 2 2 8" xfId="37214"/>
    <cellStyle name="Normal 3 2 3 2 4 8 2 2 9" xfId="41246"/>
    <cellStyle name="Normal 3 2 3 2 4 8 2 3" xfId="11006"/>
    <cellStyle name="Normal 3 2 3 2 4 8 2 4" xfId="15038"/>
    <cellStyle name="Normal 3 2 3 2 4 8 2 5" xfId="19070"/>
    <cellStyle name="Normal 3 2 3 2 4 8 2 6" xfId="23102"/>
    <cellStyle name="Normal 3 2 3 2 4 8 2 7" xfId="27134"/>
    <cellStyle name="Normal 3 2 3 2 4 8 2 8" xfId="31166"/>
    <cellStyle name="Normal 3 2 3 2 4 8 2 9" xfId="35198"/>
    <cellStyle name="Normal 3 2 3 2 4 8 3" xfId="8037"/>
    <cellStyle name="Normal 3 2 3 2 4 8 3 10" xfId="44327"/>
    <cellStyle name="Normal 3 2 3 2 4 8 3 11" xfId="48359"/>
    <cellStyle name="Normal 3 2 3 2 4 8 3 12" xfId="52438"/>
    <cellStyle name="Normal 3 2 3 2 4 8 3 2" xfId="12071"/>
    <cellStyle name="Normal 3 2 3 2 4 8 3 3" xfId="16103"/>
    <cellStyle name="Normal 3 2 3 2 4 8 3 4" xfId="20135"/>
    <cellStyle name="Normal 3 2 3 2 4 8 3 5" xfId="24167"/>
    <cellStyle name="Normal 3 2 3 2 4 8 3 6" xfId="28199"/>
    <cellStyle name="Normal 3 2 3 2 4 8 3 7" xfId="32231"/>
    <cellStyle name="Normal 3 2 3 2 4 8 3 8" xfId="36263"/>
    <cellStyle name="Normal 3 2 3 2 4 8 3 9" xfId="40295"/>
    <cellStyle name="Normal 3 2 3 2 4 8 4" xfId="10055"/>
    <cellStyle name="Normal 3 2 3 2 4 8 5" xfId="14087"/>
    <cellStyle name="Normal 3 2 3 2 4 8 6" xfId="18119"/>
    <cellStyle name="Normal 3 2 3 2 4 8 7" xfId="22151"/>
    <cellStyle name="Normal 3 2 3 2 4 8 8" xfId="26183"/>
    <cellStyle name="Normal 3 2 3 2 4 8 9" xfId="30215"/>
    <cellStyle name="Normal 3 2 3 2 4 9" xfId="4541"/>
    <cellStyle name="Normal 3 2 3 2 4 9 10" xfId="38417"/>
    <cellStyle name="Normal 3 2 3 2 4 9 11" xfId="42449"/>
    <cellStyle name="Normal 3 2 3 2 4 9 12" xfId="46481"/>
    <cellStyle name="Normal 3 2 3 2 4 9 13" xfId="50560"/>
    <cellStyle name="Normal 3 2 3 2 4 9 2" xfId="8175"/>
    <cellStyle name="Normal 3 2 3 2 4 9 2 10" xfId="44465"/>
    <cellStyle name="Normal 3 2 3 2 4 9 2 11" xfId="48497"/>
    <cellStyle name="Normal 3 2 3 2 4 9 2 12" xfId="52576"/>
    <cellStyle name="Normal 3 2 3 2 4 9 2 2" xfId="12209"/>
    <cellStyle name="Normal 3 2 3 2 4 9 2 3" xfId="16241"/>
    <cellStyle name="Normal 3 2 3 2 4 9 2 4" xfId="20273"/>
    <cellStyle name="Normal 3 2 3 2 4 9 2 5" xfId="24305"/>
    <cellStyle name="Normal 3 2 3 2 4 9 2 6" xfId="28337"/>
    <cellStyle name="Normal 3 2 3 2 4 9 2 7" xfId="32369"/>
    <cellStyle name="Normal 3 2 3 2 4 9 2 8" xfId="36401"/>
    <cellStyle name="Normal 3 2 3 2 4 9 2 9" xfId="40433"/>
    <cellStyle name="Normal 3 2 3 2 4 9 3" xfId="10193"/>
    <cellStyle name="Normal 3 2 3 2 4 9 4" xfId="14225"/>
    <cellStyle name="Normal 3 2 3 2 4 9 5" xfId="18257"/>
    <cellStyle name="Normal 3 2 3 2 4 9 6" xfId="22289"/>
    <cellStyle name="Normal 3 2 3 2 4 9 7" xfId="26321"/>
    <cellStyle name="Normal 3 2 3 2 4 9 8" xfId="30353"/>
    <cellStyle name="Normal 3 2 3 2 4 9 9" xfId="34385"/>
    <cellStyle name="Normal 3 2 3 2 5" xfId="199"/>
    <cellStyle name="Normal 3 2 3 2 5 10" xfId="21277"/>
    <cellStyle name="Normal 3 2 3 2 5 11" xfId="25309"/>
    <cellStyle name="Normal 3 2 3 2 5 12" xfId="29341"/>
    <cellStyle name="Normal 3 2 3 2 5 13" xfId="33373"/>
    <cellStyle name="Normal 3 2 3 2 5 14" xfId="37405"/>
    <cellStyle name="Normal 3 2 3 2 5 15" xfId="41437"/>
    <cellStyle name="Normal 3 2 3 2 5 16" xfId="45469"/>
    <cellStyle name="Normal 3 2 3 2 5 17" xfId="49547"/>
    <cellStyle name="Normal 3 2 3 2 5 2" xfId="4317"/>
    <cellStyle name="Normal 3 2 3 2 5 2 10" xfId="34162"/>
    <cellStyle name="Normal 3 2 3 2 5 2 11" xfId="38194"/>
    <cellStyle name="Normal 3 2 3 2 5 2 12" xfId="42226"/>
    <cellStyle name="Normal 3 2 3 2 5 2 13" xfId="46258"/>
    <cellStyle name="Normal 3 2 3 2 5 2 14" xfId="50337"/>
    <cellStyle name="Normal 3 2 3 2 5 2 2" xfId="6887"/>
    <cellStyle name="Normal 3 2 3 2 5 2 2 10" xfId="39145"/>
    <cellStyle name="Normal 3 2 3 2 5 2 2 11" xfId="43177"/>
    <cellStyle name="Normal 3 2 3 2 5 2 2 12" xfId="47209"/>
    <cellStyle name="Normal 3 2 3 2 5 2 2 13" xfId="51288"/>
    <cellStyle name="Normal 3 2 3 2 5 2 2 2" xfId="8903"/>
    <cellStyle name="Normal 3 2 3 2 5 2 2 2 10" xfId="45193"/>
    <cellStyle name="Normal 3 2 3 2 5 2 2 2 11" xfId="49225"/>
    <cellStyle name="Normal 3 2 3 2 5 2 2 2 12" xfId="53304"/>
    <cellStyle name="Normal 3 2 3 2 5 2 2 2 2" xfId="12937"/>
    <cellStyle name="Normal 3 2 3 2 5 2 2 2 3" xfId="16969"/>
    <cellStyle name="Normal 3 2 3 2 5 2 2 2 4" xfId="21001"/>
    <cellStyle name="Normal 3 2 3 2 5 2 2 2 5" xfId="25033"/>
    <cellStyle name="Normal 3 2 3 2 5 2 2 2 6" xfId="29065"/>
    <cellStyle name="Normal 3 2 3 2 5 2 2 2 7" xfId="33097"/>
    <cellStyle name="Normal 3 2 3 2 5 2 2 2 8" xfId="37129"/>
    <cellStyle name="Normal 3 2 3 2 5 2 2 2 9" xfId="41161"/>
    <cellStyle name="Normal 3 2 3 2 5 2 2 3" xfId="10921"/>
    <cellStyle name="Normal 3 2 3 2 5 2 2 4" xfId="14953"/>
    <cellStyle name="Normal 3 2 3 2 5 2 2 5" xfId="18985"/>
    <cellStyle name="Normal 3 2 3 2 5 2 2 6" xfId="23017"/>
    <cellStyle name="Normal 3 2 3 2 5 2 2 7" xfId="27049"/>
    <cellStyle name="Normal 3 2 3 2 5 2 2 8" xfId="31081"/>
    <cellStyle name="Normal 3 2 3 2 5 2 2 9" xfId="35113"/>
    <cellStyle name="Normal 3 2 3 2 5 2 3" xfId="7952"/>
    <cellStyle name="Normal 3 2 3 2 5 2 3 10" xfId="44242"/>
    <cellStyle name="Normal 3 2 3 2 5 2 3 11" xfId="48274"/>
    <cellStyle name="Normal 3 2 3 2 5 2 3 12" xfId="52353"/>
    <cellStyle name="Normal 3 2 3 2 5 2 3 2" xfId="11986"/>
    <cellStyle name="Normal 3 2 3 2 5 2 3 3" xfId="16018"/>
    <cellStyle name="Normal 3 2 3 2 5 2 3 4" xfId="20050"/>
    <cellStyle name="Normal 3 2 3 2 5 2 3 5" xfId="24082"/>
    <cellStyle name="Normal 3 2 3 2 5 2 3 6" xfId="28114"/>
    <cellStyle name="Normal 3 2 3 2 5 2 3 7" xfId="32146"/>
    <cellStyle name="Normal 3 2 3 2 5 2 3 8" xfId="36178"/>
    <cellStyle name="Normal 3 2 3 2 5 2 3 9" xfId="40210"/>
    <cellStyle name="Normal 3 2 3 2 5 2 4" xfId="9970"/>
    <cellStyle name="Normal 3 2 3 2 5 2 5" xfId="14002"/>
    <cellStyle name="Normal 3 2 3 2 5 2 6" xfId="18034"/>
    <cellStyle name="Normal 3 2 3 2 5 2 7" xfId="22066"/>
    <cellStyle name="Normal 3 2 3 2 5 2 8" xfId="26098"/>
    <cellStyle name="Normal 3 2 3 2 5 2 9" xfId="30130"/>
    <cellStyle name="Normal 3 2 3 2 5 3" xfId="4456"/>
    <cellStyle name="Normal 3 2 3 2 5 3 10" xfId="34300"/>
    <cellStyle name="Normal 3 2 3 2 5 3 11" xfId="38332"/>
    <cellStyle name="Normal 3 2 3 2 5 3 12" xfId="42364"/>
    <cellStyle name="Normal 3 2 3 2 5 3 13" xfId="46396"/>
    <cellStyle name="Normal 3 2 3 2 5 3 14" xfId="50475"/>
    <cellStyle name="Normal 3 2 3 2 5 3 2" xfId="7025"/>
    <cellStyle name="Normal 3 2 3 2 5 3 2 10" xfId="39283"/>
    <cellStyle name="Normal 3 2 3 2 5 3 2 11" xfId="43315"/>
    <cellStyle name="Normal 3 2 3 2 5 3 2 12" xfId="47347"/>
    <cellStyle name="Normal 3 2 3 2 5 3 2 13" xfId="51426"/>
    <cellStyle name="Normal 3 2 3 2 5 3 2 2" xfId="9041"/>
    <cellStyle name="Normal 3 2 3 2 5 3 2 2 10" xfId="45331"/>
    <cellStyle name="Normal 3 2 3 2 5 3 2 2 11" xfId="49363"/>
    <cellStyle name="Normal 3 2 3 2 5 3 2 2 12" xfId="53442"/>
    <cellStyle name="Normal 3 2 3 2 5 3 2 2 2" xfId="13075"/>
    <cellStyle name="Normal 3 2 3 2 5 3 2 2 3" xfId="17107"/>
    <cellStyle name="Normal 3 2 3 2 5 3 2 2 4" xfId="21139"/>
    <cellStyle name="Normal 3 2 3 2 5 3 2 2 5" xfId="25171"/>
    <cellStyle name="Normal 3 2 3 2 5 3 2 2 6" xfId="29203"/>
    <cellStyle name="Normal 3 2 3 2 5 3 2 2 7" xfId="33235"/>
    <cellStyle name="Normal 3 2 3 2 5 3 2 2 8" xfId="37267"/>
    <cellStyle name="Normal 3 2 3 2 5 3 2 2 9" xfId="41299"/>
    <cellStyle name="Normal 3 2 3 2 5 3 2 3" xfId="11059"/>
    <cellStyle name="Normal 3 2 3 2 5 3 2 4" xfId="15091"/>
    <cellStyle name="Normal 3 2 3 2 5 3 2 5" xfId="19123"/>
    <cellStyle name="Normal 3 2 3 2 5 3 2 6" xfId="23155"/>
    <cellStyle name="Normal 3 2 3 2 5 3 2 7" xfId="27187"/>
    <cellStyle name="Normal 3 2 3 2 5 3 2 8" xfId="31219"/>
    <cellStyle name="Normal 3 2 3 2 5 3 2 9" xfId="35251"/>
    <cellStyle name="Normal 3 2 3 2 5 3 3" xfId="8090"/>
    <cellStyle name="Normal 3 2 3 2 5 3 3 10" xfId="44380"/>
    <cellStyle name="Normal 3 2 3 2 5 3 3 11" xfId="48412"/>
    <cellStyle name="Normal 3 2 3 2 5 3 3 12" xfId="52491"/>
    <cellStyle name="Normal 3 2 3 2 5 3 3 2" xfId="12124"/>
    <cellStyle name="Normal 3 2 3 2 5 3 3 3" xfId="16156"/>
    <cellStyle name="Normal 3 2 3 2 5 3 3 4" xfId="20188"/>
    <cellStyle name="Normal 3 2 3 2 5 3 3 5" xfId="24220"/>
    <cellStyle name="Normal 3 2 3 2 5 3 3 6" xfId="28252"/>
    <cellStyle name="Normal 3 2 3 2 5 3 3 7" xfId="32284"/>
    <cellStyle name="Normal 3 2 3 2 5 3 3 8" xfId="36316"/>
    <cellStyle name="Normal 3 2 3 2 5 3 3 9" xfId="40348"/>
    <cellStyle name="Normal 3 2 3 2 5 3 4" xfId="10108"/>
    <cellStyle name="Normal 3 2 3 2 5 3 5" xfId="14140"/>
    <cellStyle name="Normal 3 2 3 2 5 3 6" xfId="18172"/>
    <cellStyle name="Normal 3 2 3 2 5 3 7" xfId="22204"/>
    <cellStyle name="Normal 3 2 3 2 5 3 8" xfId="26236"/>
    <cellStyle name="Normal 3 2 3 2 5 3 9" xfId="30268"/>
    <cellStyle name="Normal 3 2 3 2 5 4" xfId="4596"/>
    <cellStyle name="Normal 3 2 3 2 5 4 10" xfId="38470"/>
    <cellStyle name="Normal 3 2 3 2 5 4 11" xfId="42502"/>
    <cellStyle name="Normal 3 2 3 2 5 4 12" xfId="46534"/>
    <cellStyle name="Normal 3 2 3 2 5 4 13" xfId="50613"/>
    <cellStyle name="Normal 3 2 3 2 5 4 2" xfId="8228"/>
    <cellStyle name="Normal 3 2 3 2 5 4 2 10" xfId="44518"/>
    <cellStyle name="Normal 3 2 3 2 5 4 2 11" xfId="48550"/>
    <cellStyle name="Normal 3 2 3 2 5 4 2 12" xfId="52629"/>
    <cellStyle name="Normal 3 2 3 2 5 4 2 2" xfId="12262"/>
    <cellStyle name="Normal 3 2 3 2 5 4 2 3" xfId="16294"/>
    <cellStyle name="Normal 3 2 3 2 5 4 2 4" xfId="20326"/>
    <cellStyle name="Normal 3 2 3 2 5 4 2 5" xfId="24358"/>
    <cellStyle name="Normal 3 2 3 2 5 4 2 6" xfId="28390"/>
    <cellStyle name="Normal 3 2 3 2 5 4 2 7" xfId="32422"/>
    <cellStyle name="Normal 3 2 3 2 5 4 2 8" xfId="36454"/>
    <cellStyle name="Normal 3 2 3 2 5 4 2 9" xfId="40486"/>
    <cellStyle name="Normal 3 2 3 2 5 4 3" xfId="10246"/>
    <cellStyle name="Normal 3 2 3 2 5 4 4" xfId="14278"/>
    <cellStyle name="Normal 3 2 3 2 5 4 5" xfId="18310"/>
    <cellStyle name="Normal 3 2 3 2 5 4 6" xfId="22342"/>
    <cellStyle name="Normal 3 2 3 2 5 4 7" xfId="26374"/>
    <cellStyle name="Normal 3 2 3 2 5 4 8" xfId="30406"/>
    <cellStyle name="Normal 3 2 3 2 5 4 9" xfId="34438"/>
    <cellStyle name="Normal 3 2 3 2 5 5" xfId="323"/>
    <cellStyle name="Normal 3 2 3 2 5 5 10" xfId="37528"/>
    <cellStyle name="Normal 3 2 3 2 5 5 11" xfId="41560"/>
    <cellStyle name="Normal 3 2 3 2 5 5 12" xfId="45592"/>
    <cellStyle name="Normal 3 2 3 2 5 5 13" xfId="49670"/>
    <cellStyle name="Normal 3 2 3 2 5 5 2" xfId="7286"/>
    <cellStyle name="Normal 3 2 3 2 5 5 2 10" xfId="43576"/>
    <cellStyle name="Normal 3 2 3 2 5 5 2 11" xfId="47608"/>
    <cellStyle name="Normal 3 2 3 2 5 5 2 12" xfId="51687"/>
    <cellStyle name="Normal 3 2 3 2 5 5 2 2" xfId="11320"/>
    <cellStyle name="Normal 3 2 3 2 5 5 2 3" xfId="15352"/>
    <cellStyle name="Normal 3 2 3 2 5 5 2 4" xfId="19384"/>
    <cellStyle name="Normal 3 2 3 2 5 5 2 5" xfId="23416"/>
    <cellStyle name="Normal 3 2 3 2 5 5 2 6" xfId="27448"/>
    <cellStyle name="Normal 3 2 3 2 5 5 2 7" xfId="31480"/>
    <cellStyle name="Normal 3 2 3 2 5 5 2 8" xfId="35512"/>
    <cellStyle name="Normal 3 2 3 2 5 5 2 9" xfId="39544"/>
    <cellStyle name="Normal 3 2 3 2 5 5 3" xfId="9304"/>
    <cellStyle name="Normal 3 2 3 2 5 5 4" xfId="13336"/>
    <cellStyle name="Normal 3 2 3 2 5 5 5" xfId="17368"/>
    <cellStyle name="Normal 3 2 3 2 5 5 6" xfId="21400"/>
    <cellStyle name="Normal 3 2 3 2 5 5 7" xfId="25432"/>
    <cellStyle name="Normal 3 2 3 2 5 5 8" xfId="29464"/>
    <cellStyle name="Normal 3 2 3 2 5 5 9" xfId="33496"/>
    <cellStyle name="Normal 3 2 3 2 5 6" xfId="7163"/>
    <cellStyle name="Normal 3 2 3 2 5 6 10" xfId="43453"/>
    <cellStyle name="Normal 3 2 3 2 5 6 11" xfId="47485"/>
    <cellStyle name="Normal 3 2 3 2 5 6 12" xfId="51564"/>
    <cellStyle name="Normal 3 2 3 2 5 6 2" xfId="11197"/>
    <cellStyle name="Normal 3 2 3 2 5 6 3" xfId="15229"/>
    <cellStyle name="Normal 3 2 3 2 5 6 4" xfId="19261"/>
    <cellStyle name="Normal 3 2 3 2 5 6 5" xfId="23293"/>
    <cellStyle name="Normal 3 2 3 2 5 6 6" xfId="27325"/>
    <cellStyle name="Normal 3 2 3 2 5 6 7" xfId="31357"/>
    <cellStyle name="Normal 3 2 3 2 5 6 8" xfId="35389"/>
    <cellStyle name="Normal 3 2 3 2 5 6 9" xfId="39421"/>
    <cellStyle name="Normal 3 2 3 2 5 7" xfId="9181"/>
    <cellStyle name="Normal 3 2 3 2 5 8" xfId="13213"/>
    <cellStyle name="Normal 3 2 3 2 5 9" xfId="17245"/>
    <cellStyle name="Normal 3 2 3 2 6" xfId="1633"/>
    <cellStyle name="Normal 3 2 3 2 6 10" xfId="33594"/>
    <cellStyle name="Normal 3 2 3 2 6 11" xfId="37626"/>
    <cellStyle name="Normal 3 2 3 2 6 12" xfId="41658"/>
    <cellStyle name="Normal 3 2 3 2 6 13" xfId="45690"/>
    <cellStyle name="Normal 3 2 3 2 6 14" xfId="49768"/>
    <cellStyle name="Normal 3 2 3 2 6 2" xfId="5322"/>
    <cellStyle name="Normal 3 2 3 2 6 2 10" xfId="38590"/>
    <cellStyle name="Normal 3 2 3 2 6 2 11" xfId="42622"/>
    <cellStyle name="Normal 3 2 3 2 6 2 12" xfId="46654"/>
    <cellStyle name="Normal 3 2 3 2 6 2 13" xfId="50733"/>
    <cellStyle name="Normal 3 2 3 2 6 2 2" xfId="8348"/>
    <cellStyle name="Normal 3 2 3 2 6 2 2 10" xfId="44638"/>
    <cellStyle name="Normal 3 2 3 2 6 2 2 11" xfId="48670"/>
    <cellStyle name="Normal 3 2 3 2 6 2 2 12" xfId="52749"/>
    <cellStyle name="Normal 3 2 3 2 6 2 2 2" xfId="12382"/>
    <cellStyle name="Normal 3 2 3 2 6 2 2 3" xfId="16414"/>
    <cellStyle name="Normal 3 2 3 2 6 2 2 4" xfId="20446"/>
    <cellStyle name="Normal 3 2 3 2 6 2 2 5" xfId="24478"/>
    <cellStyle name="Normal 3 2 3 2 6 2 2 6" xfId="28510"/>
    <cellStyle name="Normal 3 2 3 2 6 2 2 7" xfId="32542"/>
    <cellStyle name="Normal 3 2 3 2 6 2 2 8" xfId="36574"/>
    <cellStyle name="Normal 3 2 3 2 6 2 2 9" xfId="40606"/>
    <cellStyle name="Normal 3 2 3 2 6 2 3" xfId="10366"/>
    <cellStyle name="Normal 3 2 3 2 6 2 4" xfId="14398"/>
    <cellStyle name="Normal 3 2 3 2 6 2 5" xfId="18430"/>
    <cellStyle name="Normal 3 2 3 2 6 2 6" xfId="22462"/>
    <cellStyle name="Normal 3 2 3 2 6 2 7" xfId="26494"/>
    <cellStyle name="Normal 3 2 3 2 6 2 8" xfId="30526"/>
    <cellStyle name="Normal 3 2 3 2 6 2 9" xfId="34558"/>
    <cellStyle name="Normal 3 2 3 2 6 3" xfId="7384"/>
    <cellStyle name="Normal 3 2 3 2 6 3 10" xfId="43674"/>
    <cellStyle name="Normal 3 2 3 2 6 3 11" xfId="47706"/>
    <cellStyle name="Normal 3 2 3 2 6 3 12" xfId="51785"/>
    <cellStyle name="Normal 3 2 3 2 6 3 2" xfId="11418"/>
    <cellStyle name="Normal 3 2 3 2 6 3 3" xfId="15450"/>
    <cellStyle name="Normal 3 2 3 2 6 3 4" xfId="19482"/>
    <cellStyle name="Normal 3 2 3 2 6 3 5" xfId="23514"/>
    <cellStyle name="Normal 3 2 3 2 6 3 6" xfId="27546"/>
    <cellStyle name="Normal 3 2 3 2 6 3 7" xfId="31578"/>
    <cellStyle name="Normal 3 2 3 2 6 3 8" xfId="35610"/>
    <cellStyle name="Normal 3 2 3 2 6 3 9" xfId="39642"/>
    <cellStyle name="Normal 3 2 3 2 6 4" xfId="9402"/>
    <cellStyle name="Normal 3 2 3 2 6 5" xfId="13434"/>
    <cellStyle name="Normal 3 2 3 2 6 6" xfId="17466"/>
    <cellStyle name="Normal 3 2 3 2 6 7" xfId="21498"/>
    <cellStyle name="Normal 3 2 3 2 6 8" xfId="25530"/>
    <cellStyle name="Normal 3 2 3 2 6 9" xfId="29562"/>
    <cellStyle name="Normal 3 2 3 2 7" xfId="1707"/>
    <cellStyle name="Normal 3 2 3 2 7 10" xfId="33663"/>
    <cellStyle name="Normal 3 2 3 2 7 11" xfId="37695"/>
    <cellStyle name="Normal 3 2 3 2 7 12" xfId="41727"/>
    <cellStyle name="Normal 3 2 3 2 7 13" xfId="45759"/>
    <cellStyle name="Normal 3 2 3 2 7 14" xfId="49837"/>
    <cellStyle name="Normal 3 2 3 2 7 2" xfId="5378"/>
    <cellStyle name="Normal 3 2 3 2 7 2 10" xfId="38646"/>
    <cellStyle name="Normal 3 2 3 2 7 2 11" xfId="42678"/>
    <cellStyle name="Normal 3 2 3 2 7 2 12" xfId="46710"/>
    <cellStyle name="Normal 3 2 3 2 7 2 13" xfId="50789"/>
    <cellStyle name="Normal 3 2 3 2 7 2 2" xfId="8404"/>
    <cellStyle name="Normal 3 2 3 2 7 2 2 10" xfId="44694"/>
    <cellStyle name="Normal 3 2 3 2 7 2 2 11" xfId="48726"/>
    <cellStyle name="Normal 3 2 3 2 7 2 2 12" xfId="52805"/>
    <cellStyle name="Normal 3 2 3 2 7 2 2 2" xfId="12438"/>
    <cellStyle name="Normal 3 2 3 2 7 2 2 3" xfId="16470"/>
    <cellStyle name="Normal 3 2 3 2 7 2 2 4" xfId="20502"/>
    <cellStyle name="Normal 3 2 3 2 7 2 2 5" xfId="24534"/>
    <cellStyle name="Normal 3 2 3 2 7 2 2 6" xfId="28566"/>
    <cellStyle name="Normal 3 2 3 2 7 2 2 7" xfId="32598"/>
    <cellStyle name="Normal 3 2 3 2 7 2 2 8" xfId="36630"/>
    <cellStyle name="Normal 3 2 3 2 7 2 2 9" xfId="40662"/>
    <cellStyle name="Normal 3 2 3 2 7 2 3" xfId="10422"/>
    <cellStyle name="Normal 3 2 3 2 7 2 4" xfId="14454"/>
    <cellStyle name="Normal 3 2 3 2 7 2 5" xfId="18486"/>
    <cellStyle name="Normal 3 2 3 2 7 2 6" xfId="22518"/>
    <cellStyle name="Normal 3 2 3 2 7 2 7" xfId="26550"/>
    <cellStyle name="Normal 3 2 3 2 7 2 8" xfId="30582"/>
    <cellStyle name="Normal 3 2 3 2 7 2 9" xfId="34614"/>
    <cellStyle name="Normal 3 2 3 2 7 3" xfId="7453"/>
    <cellStyle name="Normal 3 2 3 2 7 3 10" xfId="43743"/>
    <cellStyle name="Normal 3 2 3 2 7 3 11" xfId="47775"/>
    <cellStyle name="Normal 3 2 3 2 7 3 12" xfId="51854"/>
    <cellStyle name="Normal 3 2 3 2 7 3 2" xfId="11487"/>
    <cellStyle name="Normal 3 2 3 2 7 3 3" xfId="15519"/>
    <cellStyle name="Normal 3 2 3 2 7 3 4" xfId="19551"/>
    <cellStyle name="Normal 3 2 3 2 7 3 5" xfId="23583"/>
    <cellStyle name="Normal 3 2 3 2 7 3 6" xfId="27615"/>
    <cellStyle name="Normal 3 2 3 2 7 3 7" xfId="31647"/>
    <cellStyle name="Normal 3 2 3 2 7 3 8" xfId="35679"/>
    <cellStyle name="Normal 3 2 3 2 7 3 9" xfId="39711"/>
    <cellStyle name="Normal 3 2 3 2 7 4" xfId="9471"/>
    <cellStyle name="Normal 3 2 3 2 7 5" xfId="13503"/>
    <cellStyle name="Normal 3 2 3 2 7 6" xfId="17535"/>
    <cellStyle name="Normal 3 2 3 2 7 7" xfId="21567"/>
    <cellStyle name="Normal 3 2 3 2 7 8" xfId="25599"/>
    <cellStyle name="Normal 3 2 3 2 7 9" xfId="29631"/>
    <cellStyle name="Normal 3 2 3 2 8" xfId="4029"/>
    <cellStyle name="Normal 3 2 3 2 8 10" xfId="33886"/>
    <cellStyle name="Normal 3 2 3 2 8 11" xfId="37918"/>
    <cellStyle name="Normal 3 2 3 2 8 12" xfId="41950"/>
    <cellStyle name="Normal 3 2 3 2 8 13" xfId="45982"/>
    <cellStyle name="Normal 3 2 3 2 8 14" xfId="50060"/>
    <cellStyle name="Normal 3 2 3 2 8 2" xfId="6611"/>
    <cellStyle name="Normal 3 2 3 2 8 2 10" xfId="38869"/>
    <cellStyle name="Normal 3 2 3 2 8 2 11" xfId="42901"/>
    <cellStyle name="Normal 3 2 3 2 8 2 12" xfId="46933"/>
    <cellStyle name="Normal 3 2 3 2 8 2 13" xfId="51012"/>
    <cellStyle name="Normal 3 2 3 2 8 2 2" xfId="8627"/>
    <cellStyle name="Normal 3 2 3 2 8 2 2 10" xfId="44917"/>
    <cellStyle name="Normal 3 2 3 2 8 2 2 11" xfId="48949"/>
    <cellStyle name="Normal 3 2 3 2 8 2 2 12" xfId="53028"/>
    <cellStyle name="Normal 3 2 3 2 8 2 2 2" xfId="12661"/>
    <cellStyle name="Normal 3 2 3 2 8 2 2 3" xfId="16693"/>
    <cellStyle name="Normal 3 2 3 2 8 2 2 4" xfId="20725"/>
    <cellStyle name="Normal 3 2 3 2 8 2 2 5" xfId="24757"/>
    <cellStyle name="Normal 3 2 3 2 8 2 2 6" xfId="28789"/>
    <cellStyle name="Normal 3 2 3 2 8 2 2 7" xfId="32821"/>
    <cellStyle name="Normal 3 2 3 2 8 2 2 8" xfId="36853"/>
    <cellStyle name="Normal 3 2 3 2 8 2 2 9" xfId="40885"/>
    <cellStyle name="Normal 3 2 3 2 8 2 3" xfId="10645"/>
    <cellStyle name="Normal 3 2 3 2 8 2 4" xfId="14677"/>
    <cellStyle name="Normal 3 2 3 2 8 2 5" xfId="18709"/>
    <cellStyle name="Normal 3 2 3 2 8 2 6" xfId="22741"/>
    <cellStyle name="Normal 3 2 3 2 8 2 7" xfId="26773"/>
    <cellStyle name="Normal 3 2 3 2 8 2 8" xfId="30805"/>
    <cellStyle name="Normal 3 2 3 2 8 2 9" xfId="34837"/>
    <cellStyle name="Normal 3 2 3 2 8 3" xfId="7676"/>
    <cellStyle name="Normal 3 2 3 2 8 3 10" xfId="43966"/>
    <cellStyle name="Normal 3 2 3 2 8 3 11" xfId="47998"/>
    <cellStyle name="Normal 3 2 3 2 8 3 12" xfId="52077"/>
    <cellStyle name="Normal 3 2 3 2 8 3 2" xfId="11710"/>
    <cellStyle name="Normal 3 2 3 2 8 3 3" xfId="15742"/>
    <cellStyle name="Normal 3 2 3 2 8 3 4" xfId="19774"/>
    <cellStyle name="Normal 3 2 3 2 8 3 5" xfId="23806"/>
    <cellStyle name="Normal 3 2 3 2 8 3 6" xfId="27838"/>
    <cellStyle name="Normal 3 2 3 2 8 3 7" xfId="31870"/>
    <cellStyle name="Normal 3 2 3 2 8 3 8" xfId="35902"/>
    <cellStyle name="Normal 3 2 3 2 8 3 9" xfId="39934"/>
    <cellStyle name="Normal 3 2 3 2 8 4" xfId="9694"/>
    <cellStyle name="Normal 3 2 3 2 8 5" xfId="13726"/>
    <cellStyle name="Normal 3 2 3 2 8 6" xfId="17758"/>
    <cellStyle name="Normal 3 2 3 2 8 7" xfId="21790"/>
    <cellStyle name="Normal 3 2 3 2 8 8" xfId="25822"/>
    <cellStyle name="Normal 3 2 3 2 8 9" xfId="29854"/>
    <cellStyle name="Normal 3 2 3 2 9" xfId="4099"/>
    <cellStyle name="Normal 3 2 3 2 9 10" xfId="33955"/>
    <cellStyle name="Normal 3 2 3 2 9 11" xfId="37987"/>
    <cellStyle name="Normal 3 2 3 2 9 12" xfId="42019"/>
    <cellStyle name="Normal 3 2 3 2 9 13" xfId="46051"/>
    <cellStyle name="Normal 3 2 3 2 9 14" xfId="50129"/>
    <cellStyle name="Normal 3 2 3 2 9 2" xfId="6680"/>
    <cellStyle name="Normal 3 2 3 2 9 2 10" xfId="38938"/>
    <cellStyle name="Normal 3 2 3 2 9 2 11" xfId="42970"/>
    <cellStyle name="Normal 3 2 3 2 9 2 12" xfId="47002"/>
    <cellStyle name="Normal 3 2 3 2 9 2 13" xfId="51081"/>
    <cellStyle name="Normal 3 2 3 2 9 2 2" xfId="8696"/>
    <cellStyle name="Normal 3 2 3 2 9 2 2 10" xfId="44986"/>
    <cellStyle name="Normal 3 2 3 2 9 2 2 11" xfId="49018"/>
    <cellStyle name="Normal 3 2 3 2 9 2 2 12" xfId="53097"/>
    <cellStyle name="Normal 3 2 3 2 9 2 2 2" xfId="12730"/>
    <cellStyle name="Normal 3 2 3 2 9 2 2 3" xfId="16762"/>
    <cellStyle name="Normal 3 2 3 2 9 2 2 4" xfId="20794"/>
    <cellStyle name="Normal 3 2 3 2 9 2 2 5" xfId="24826"/>
    <cellStyle name="Normal 3 2 3 2 9 2 2 6" xfId="28858"/>
    <cellStyle name="Normal 3 2 3 2 9 2 2 7" xfId="32890"/>
    <cellStyle name="Normal 3 2 3 2 9 2 2 8" xfId="36922"/>
    <cellStyle name="Normal 3 2 3 2 9 2 2 9" xfId="40954"/>
    <cellStyle name="Normal 3 2 3 2 9 2 3" xfId="10714"/>
    <cellStyle name="Normal 3 2 3 2 9 2 4" xfId="14746"/>
    <cellStyle name="Normal 3 2 3 2 9 2 5" xfId="18778"/>
    <cellStyle name="Normal 3 2 3 2 9 2 6" xfId="22810"/>
    <cellStyle name="Normal 3 2 3 2 9 2 7" xfId="26842"/>
    <cellStyle name="Normal 3 2 3 2 9 2 8" xfId="30874"/>
    <cellStyle name="Normal 3 2 3 2 9 2 9" xfId="34906"/>
    <cellStyle name="Normal 3 2 3 2 9 3" xfId="7745"/>
    <cellStyle name="Normal 3 2 3 2 9 3 10" xfId="44035"/>
    <cellStyle name="Normal 3 2 3 2 9 3 11" xfId="48067"/>
    <cellStyle name="Normal 3 2 3 2 9 3 12" xfId="52146"/>
    <cellStyle name="Normal 3 2 3 2 9 3 2" xfId="11779"/>
    <cellStyle name="Normal 3 2 3 2 9 3 3" xfId="15811"/>
    <cellStyle name="Normal 3 2 3 2 9 3 4" xfId="19843"/>
    <cellStyle name="Normal 3 2 3 2 9 3 5" xfId="23875"/>
    <cellStyle name="Normal 3 2 3 2 9 3 6" xfId="27907"/>
    <cellStyle name="Normal 3 2 3 2 9 3 7" xfId="31939"/>
    <cellStyle name="Normal 3 2 3 2 9 3 8" xfId="35971"/>
    <cellStyle name="Normal 3 2 3 2 9 3 9" xfId="40003"/>
    <cellStyle name="Normal 3 2 3 2 9 4" xfId="9763"/>
    <cellStyle name="Normal 3 2 3 2 9 5" xfId="13795"/>
    <cellStyle name="Normal 3 2 3 2 9 6" xfId="17827"/>
    <cellStyle name="Normal 3 2 3 2 9 7" xfId="21859"/>
    <cellStyle name="Normal 3 2 3 2 9 8" xfId="25891"/>
    <cellStyle name="Normal 3 2 3 2 9 9" xfId="29923"/>
    <cellStyle name="Normal 3 2 3 20" xfId="13138"/>
    <cellStyle name="Normal 3 2 3 21" xfId="17170"/>
    <cellStyle name="Normal 3 2 3 22" xfId="21202"/>
    <cellStyle name="Normal 3 2 3 23" xfId="25234"/>
    <cellStyle name="Normal 3 2 3 24" xfId="29266"/>
    <cellStyle name="Normal 3 2 3 25" xfId="33298"/>
    <cellStyle name="Normal 3 2 3 26" xfId="37330"/>
    <cellStyle name="Normal 3 2 3 27" xfId="41362"/>
    <cellStyle name="Normal 3 2 3 28" xfId="45394"/>
    <cellStyle name="Normal 3 2 3 29" xfId="49472"/>
    <cellStyle name="Normal 3 2 3 3" xfId="90"/>
    <cellStyle name="Normal 3 2 3 3 10" xfId="4570"/>
    <cellStyle name="Normal 3 2 3 3 10 10" xfId="38446"/>
    <cellStyle name="Normal 3 2 3 3 10 11" xfId="42478"/>
    <cellStyle name="Normal 3 2 3 3 10 12" xfId="46510"/>
    <cellStyle name="Normal 3 2 3 3 10 13" xfId="50589"/>
    <cellStyle name="Normal 3 2 3 3 10 2" xfId="8204"/>
    <cellStyle name="Normal 3 2 3 3 10 2 10" xfId="44494"/>
    <cellStyle name="Normal 3 2 3 3 10 2 11" xfId="48526"/>
    <cellStyle name="Normal 3 2 3 3 10 2 12" xfId="52605"/>
    <cellStyle name="Normal 3 2 3 3 10 2 2" xfId="12238"/>
    <cellStyle name="Normal 3 2 3 3 10 2 3" xfId="16270"/>
    <cellStyle name="Normal 3 2 3 3 10 2 4" xfId="20302"/>
    <cellStyle name="Normal 3 2 3 3 10 2 5" xfId="24334"/>
    <cellStyle name="Normal 3 2 3 3 10 2 6" xfId="28366"/>
    <cellStyle name="Normal 3 2 3 3 10 2 7" xfId="32398"/>
    <cellStyle name="Normal 3 2 3 3 10 2 8" xfId="36430"/>
    <cellStyle name="Normal 3 2 3 3 10 2 9" xfId="40462"/>
    <cellStyle name="Normal 3 2 3 3 10 3" xfId="10222"/>
    <cellStyle name="Normal 3 2 3 3 10 4" xfId="14254"/>
    <cellStyle name="Normal 3 2 3 3 10 5" xfId="18286"/>
    <cellStyle name="Normal 3 2 3 3 10 6" xfId="22318"/>
    <cellStyle name="Normal 3 2 3 3 10 7" xfId="26350"/>
    <cellStyle name="Normal 3 2 3 3 10 8" xfId="30382"/>
    <cellStyle name="Normal 3 2 3 3 10 9" xfId="34414"/>
    <cellStyle name="Normal 3 2 3 3 11" xfId="298"/>
    <cellStyle name="Normal 3 2 3 3 11 10" xfId="37503"/>
    <cellStyle name="Normal 3 2 3 3 11 11" xfId="41535"/>
    <cellStyle name="Normal 3 2 3 3 11 12" xfId="45567"/>
    <cellStyle name="Normal 3 2 3 3 11 13" xfId="49645"/>
    <cellStyle name="Normal 3 2 3 3 11 2" xfId="7261"/>
    <cellStyle name="Normal 3 2 3 3 11 2 10" xfId="43551"/>
    <cellStyle name="Normal 3 2 3 3 11 2 11" xfId="47583"/>
    <cellStyle name="Normal 3 2 3 3 11 2 12" xfId="51662"/>
    <cellStyle name="Normal 3 2 3 3 11 2 2" xfId="11295"/>
    <cellStyle name="Normal 3 2 3 3 11 2 3" xfId="15327"/>
    <cellStyle name="Normal 3 2 3 3 11 2 4" xfId="19359"/>
    <cellStyle name="Normal 3 2 3 3 11 2 5" xfId="23391"/>
    <cellStyle name="Normal 3 2 3 3 11 2 6" xfId="27423"/>
    <cellStyle name="Normal 3 2 3 3 11 2 7" xfId="31455"/>
    <cellStyle name="Normal 3 2 3 3 11 2 8" xfId="35487"/>
    <cellStyle name="Normal 3 2 3 3 11 2 9" xfId="39519"/>
    <cellStyle name="Normal 3 2 3 3 11 3" xfId="9279"/>
    <cellStyle name="Normal 3 2 3 3 11 4" xfId="13311"/>
    <cellStyle name="Normal 3 2 3 3 11 5" xfId="17343"/>
    <cellStyle name="Normal 3 2 3 3 11 6" xfId="21375"/>
    <cellStyle name="Normal 3 2 3 3 11 7" xfId="25407"/>
    <cellStyle name="Normal 3 2 3 3 11 8" xfId="29439"/>
    <cellStyle name="Normal 3 2 3 3 11 9" xfId="33471"/>
    <cellStyle name="Normal 3 2 3 3 12" xfId="7139"/>
    <cellStyle name="Normal 3 2 3 3 12 10" xfId="43429"/>
    <cellStyle name="Normal 3 2 3 3 12 11" xfId="47461"/>
    <cellStyle name="Normal 3 2 3 3 12 12" xfId="51540"/>
    <cellStyle name="Normal 3 2 3 3 12 2" xfId="11173"/>
    <cellStyle name="Normal 3 2 3 3 12 3" xfId="15205"/>
    <cellStyle name="Normal 3 2 3 3 12 4" xfId="19237"/>
    <cellStyle name="Normal 3 2 3 3 12 5" xfId="23269"/>
    <cellStyle name="Normal 3 2 3 3 12 6" xfId="27301"/>
    <cellStyle name="Normal 3 2 3 3 12 7" xfId="31333"/>
    <cellStyle name="Normal 3 2 3 3 12 8" xfId="35365"/>
    <cellStyle name="Normal 3 2 3 3 12 9" xfId="39397"/>
    <cellStyle name="Normal 3 2 3 3 13" xfId="165"/>
    <cellStyle name="Normal 3 2 3 3 14" xfId="9157"/>
    <cellStyle name="Normal 3 2 3 3 15" xfId="13189"/>
    <cellStyle name="Normal 3 2 3 3 16" xfId="17221"/>
    <cellStyle name="Normal 3 2 3 3 17" xfId="21253"/>
    <cellStyle name="Normal 3 2 3 3 18" xfId="25285"/>
    <cellStyle name="Normal 3 2 3 3 19" xfId="29317"/>
    <cellStyle name="Normal 3 2 3 3 2" xfId="244"/>
    <cellStyle name="Normal 3 2 3 3 2 10" xfId="21322"/>
    <cellStyle name="Normal 3 2 3 3 2 11" xfId="25354"/>
    <cellStyle name="Normal 3 2 3 3 2 12" xfId="29386"/>
    <cellStyle name="Normal 3 2 3 3 2 13" xfId="33418"/>
    <cellStyle name="Normal 3 2 3 3 2 14" xfId="37450"/>
    <cellStyle name="Normal 3 2 3 3 2 15" xfId="41482"/>
    <cellStyle name="Normal 3 2 3 3 2 16" xfId="45514"/>
    <cellStyle name="Normal 3 2 3 3 2 17" xfId="49592"/>
    <cellStyle name="Normal 3 2 3 3 2 2" xfId="4362"/>
    <cellStyle name="Normal 3 2 3 3 2 2 10" xfId="34207"/>
    <cellStyle name="Normal 3 2 3 3 2 2 11" xfId="38239"/>
    <cellStyle name="Normal 3 2 3 3 2 2 12" xfId="42271"/>
    <cellStyle name="Normal 3 2 3 3 2 2 13" xfId="46303"/>
    <cellStyle name="Normal 3 2 3 3 2 2 14" xfId="50382"/>
    <cellStyle name="Normal 3 2 3 3 2 2 2" xfId="6932"/>
    <cellStyle name="Normal 3 2 3 3 2 2 2 10" xfId="39190"/>
    <cellStyle name="Normal 3 2 3 3 2 2 2 11" xfId="43222"/>
    <cellStyle name="Normal 3 2 3 3 2 2 2 12" xfId="47254"/>
    <cellStyle name="Normal 3 2 3 3 2 2 2 13" xfId="51333"/>
    <cellStyle name="Normal 3 2 3 3 2 2 2 2" xfId="8948"/>
    <cellStyle name="Normal 3 2 3 3 2 2 2 2 10" xfId="45238"/>
    <cellStyle name="Normal 3 2 3 3 2 2 2 2 11" xfId="49270"/>
    <cellStyle name="Normal 3 2 3 3 2 2 2 2 12" xfId="53349"/>
    <cellStyle name="Normal 3 2 3 3 2 2 2 2 2" xfId="12982"/>
    <cellStyle name="Normal 3 2 3 3 2 2 2 2 3" xfId="17014"/>
    <cellStyle name="Normal 3 2 3 3 2 2 2 2 4" xfId="21046"/>
    <cellStyle name="Normal 3 2 3 3 2 2 2 2 5" xfId="25078"/>
    <cellStyle name="Normal 3 2 3 3 2 2 2 2 6" xfId="29110"/>
    <cellStyle name="Normal 3 2 3 3 2 2 2 2 7" xfId="33142"/>
    <cellStyle name="Normal 3 2 3 3 2 2 2 2 8" xfId="37174"/>
    <cellStyle name="Normal 3 2 3 3 2 2 2 2 9" xfId="41206"/>
    <cellStyle name="Normal 3 2 3 3 2 2 2 3" xfId="10966"/>
    <cellStyle name="Normal 3 2 3 3 2 2 2 4" xfId="14998"/>
    <cellStyle name="Normal 3 2 3 3 2 2 2 5" xfId="19030"/>
    <cellStyle name="Normal 3 2 3 3 2 2 2 6" xfId="23062"/>
    <cellStyle name="Normal 3 2 3 3 2 2 2 7" xfId="27094"/>
    <cellStyle name="Normal 3 2 3 3 2 2 2 8" xfId="31126"/>
    <cellStyle name="Normal 3 2 3 3 2 2 2 9" xfId="35158"/>
    <cellStyle name="Normal 3 2 3 3 2 2 3" xfId="7997"/>
    <cellStyle name="Normal 3 2 3 3 2 2 3 10" xfId="44287"/>
    <cellStyle name="Normal 3 2 3 3 2 2 3 11" xfId="48319"/>
    <cellStyle name="Normal 3 2 3 3 2 2 3 12" xfId="52398"/>
    <cellStyle name="Normal 3 2 3 3 2 2 3 2" xfId="12031"/>
    <cellStyle name="Normal 3 2 3 3 2 2 3 3" xfId="16063"/>
    <cellStyle name="Normal 3 2 3 3 2 2 3 4" xfId="20095"/>
    <cellStyle name="Normal 3 2 3 3 2 2 3 5" xfId="24127"/>
    <cellStyle name="Normal 3 2 3 3 2 2 3 6" xfId="28159"/>
    <cellStyle name="Normal 3 2 3 3 2 2 3 7" xfId="32191"/>
    <cellStyle name="Normal 3 2 3 3 2 2 3 8" xfId="36223"/>
    <cellStyle name="Normal 3 2 3 3 2 2 3 9" xfId="40255"/>
    <cellStyle name="Normal 3 2 3 3 2 2 4" xfId="10015"/>
    <cellStyle name="Normal 3 2 3 3 2 2 5" xfId="14047"/>
    <cellStyle name="Normal 3 2 3 3 2 2 6" xfId="18079"/>
    <cellStyle name="Normal 3 2 3 3 2 2 7" xfId="22111"/>
    <cellStyle name="Normal 3 2 3 3 2 2 8" xfId="26143"/>
    <cellStyle name="Normal 3 2 3 3 2 2 9" xfId="30175"/>
    <cellStyle name="Normal 3 2 3 3 2 3" xfId="4501"/>
    <cellStyle name="Normal 3 2 3 3 2 3 10" xfId="34345"/>
    <cellStyle name="Normal 3 2 3 3 2 3 11" xfId="38377"/>
    <cellStyle name="Normal 3 2 3 3 2 3 12" xfId="42409"/>
    <cellStyle name="Normal 3 2 3 3 2 3 13" xfId="46441"/>
    <cellStyle name="Normal 3 2 3 3 2 3 14" xfId="50520"/>
    <cellStyle name="Normal 3 2 3 3 2 3 2" xfId="7070"/>
    <cellStyle name="Normal 3 2 3 3 2 3 2 10" xfId="39328"/>
    <cellStyle name="Normal 3 2 3 3 2 3 2 11" xfId="43360"/>
    <cellStyle name="Normal 3 2 3 3 2 3 2 12" xfId="47392"/>
    <cellStyle name="Normal 3 2 3 3 2 3 2 13" xfId="51471"/>
    <cellStyle name="Normal 3 2 3 3 2 3 2 2" xfId="9086"/>
    <cellStyle name="Normal 3 2 3 3 2 3 2 2 10" xfId="45376"/>
    <cellStyle name="Normal 3 2 3 3 2 3 2 2 11" xfId="49408"/>
    <cellStyle name="Normal 3 2 3 3 2 3 2 2 12" xfId="53487"/>
    <cellStyle name="Normal 3 2 3 3 2 3 2 2 2" xfId="13120"/>
    <cellStyle name="Normal 3 2 3 3 2 3 2 2 3" xfId="17152"/>
    <cellStyle name="Normal 3 2 3 3 2 3 2 2 4" xfId="21184"/>
    <cellStyle name="Normal 3 2 3 3 2 3 2 2 5" xfId="25216"/>
    <cellStyle name="Normal 3 2 3 3 2 3 2 2 6" xfId="29248"/>
    <cellStyle name="Normal 3 2 3 3 2 3 2 2 7" xfId="33280"/>
    <cellStyle name="Normal 3 2 3 3 2 3 2 2 8" xfId="37312"/>
    <cellStyle name="Normal 3 2 3 3 2 3 2 2 9" xfId="41344"/>
    <cellStyle name="Normal 3 2 3 3 2 3 2 3" xfId="11104"/>
    <cellStyle name="Normal 3 2 3 3 2 3 2 4" xfId="15136"/>
    <cellStyle name="Normal 3 2 3 3 2 3 2 5" xfId="19168"/>
    <cellStyle name="Normal 3 2 3 3 2 3 2 6" xfId="23200"/>
    <cellStyle name="Normal 3 2 3 3 2 3 2 7" xfId="27232"/>
    <cellStyle name="Normal 3 2 3 3 2 3 2 8" xfId="31264"/>
    <cellStyle name="Normal 3 2 3 3 2 3 2 9" xfId="35296"/>
    <cellStyle name="Normal 3 2 3 3 2 3 3" xfId="8135"/>
    <cellStyle name="Normal 3 2 3 3 2 3 3 10" xfId="44425"/>
    <cellStyle name="Normal 3 2 3 3 2 3 3 11" xfId="48457"/>
    <cellStyle name="Normal 3 2 3 3 2 3 3 12" xfId="52536"/>
    <cellStyle name="Normal 3 2 3 3 2 3 3 2" xfId="12169"/>
    <cellStyle name="Normal 3 2 3 3 2 3 3 3" xfId="16201"/>
    <cellStyle name="Normal 3 2 3 3 2 3 3 4" xfId="20233"/>
    <cellStyle name="Normal 3 2 3 3 2 3 3 5" xfId="24265"/>
    <cellStyle name="Normal 3 2 3 3 2 3 3 6" xfId="28297"/>
    <cellStyle name="Normal 3 2 3 3 2 3 3 7" xfId="32329"/>
    <cellStyle name="Normal 3 2 3 3 2 3 3 8" xfId="36361"/>
    <cellStyle name="Normal 3 2 3 3 2 3 3 9" xfId="40393"/>
    <cellStyle name="Normal 3 2 3 3 2 3 4" xfId="10153"/>
    <cellStyle name="Normal 3 2 3 3 2 3 5" xfId="14185"/>
    <cellStyle name="Normal 3 2 3 3 2 3 6" xfId="18217"/>
    <cellStyle name="Normal 3 2 3 3 2 3 7" xfId="22249"/>
    <cellStyle name="Normal 3 2 3 3 2 3 8" xfId="26281"/>
    <cellStyle name="Normal 3 2 3 3 2 3 9" xfId="30313"/>
    <cellStyle name="Normal 3 2 3 3 2 4" xfId="4641"/>
    <cellStyle name="Normal 3 2 3 3 2 4 10" xfId="38515"/>
    <cellStyle name="Normal 3 2 3 3 2 4 11" xfId="42547"/>
    <cellStyle name="Normal 3 2 3 3 2 4 12" xfId="46579"/>
    <cellStyle name="Normal 3 2 3 3 2 4 13" xfId="50658"/>
    <cellStyle name="Normal 3 2 3 3 2 4 2" xfId="8273"/>
    <cellStyle name="Normal 3 2 3 3 2 4 2 10" xfId="44563"/>
    <cellStyle name="Normal 3 2 3 3 2 4 2 11" xfId="48595"/>
    <cellStyle name="Normal 3 2 3 3 2 4 2 12" xfId="52674"/>
    <cellStyle name="Normal 3 2 3 3 2 4 2 2" xfId="12307"/>
    <cellStyle name="Normal 3 2 3 3 2 4 2 3" xfId="16339"/>
    <cellStyle name="Normal 3 2 3 3 2 4 2 4" xfId="20371"/>
    <cellStyle name="Normal 3 2 3 3 2 4 2 5" xfId="24403"/>
    <cellStyle name="Normal 3 2 3 3 2 4 2 6" xfId="28435"/>
    <cellStyle name="Normal 3 2 3 3 2 4 2 7" xfId="32467"/>
    <cellStyle name="Normal 3 2 3 3 2 4 2 8" xfId="36499"/>
    <cellStyle name="Normal 3 2 3 3 2 4 2 9" xfId="40531"/>
    <cellStyle name="Normal 3 2 3 3 2 4 3" xfId="10291"/>
    <cellStyle name="Normal 3 2 3 3 2 4 4" xfId="14323"/>
    <cellStyle name="Normal 3 2 3 3 2 4 5" xfId="18355"/>
    <cellStyle name="Normal 3 2 3 3 2 4 6" xfId="22387"/>
    <cellStyle name="Normal 3 2 3 3 2 4 7" xfId="26419"/>
    <cellStyle name="Normal 3 2 3 3 2 4 8" xfId="30451"/>
    <cellStyle name="Normal 3 2 3 3 2 4 9" xfId="34483"/>
    <cellStyle name="Normal 3 2 3 3 2 5" xfId="368"/>
    <cellStyle name="Normal 3 2 3 3 2 5 10" xfId="37573"/>
    <cellStyle name="Normal 3 2 3 3 2 5 11" xfId="41605"/>
    <cellStyle name="Normal 3 2 3 3 2 5 12" xfId="45637"/>
    <cellStyle name="Normal 3 2 3 3 2 5 13" xfId="49715"/>
    <cellStyle name="Normal 3 2 3 3 2 5 2" xfId="7331"/>
    <cellStyle name="Normal 3 2 3 3 2 5 2 10" xfId="43621"/>
    <cellStyle name="Normal 3 2 3 3 2 5 2 11" xfId="47653"/>
    <cellStyle name="Normal 3 2 3 3 2 5 2 12" xfId="51732"/>
    <cellStyle name="Normal 3 2 3 3 2 5 2 2" xfId="11365"/>
    <cellStyle name="Normal 3 2 3 3 2 5 2 3" xfId="15397"/>
    <cellStyle name="Normal 3 2 3 3 2 5 2 4" xfId="19429"/>
    <cellStyle name="Normal 3 2 3 3 2 5 2 5" xfId="23461"/>
    <cellStyle name="Normal 3 2 3 3 2 5 2 6" xfId="27493"/>
    <cellStyle name="Normal 3 2 3 3 2 5 2 7" xfId="31525"/>
    <cellStyle name="Normal 3 2 3 3 2 5 2 8" xfId="35557"/>
    <cellStyle name="Normal 3 2 3 3 2 5 2 9" xfId="39589"/>
    <cellStyle name="Normal 3 2 3 3 2 5 3" xfId="9349"/>
    <cellStyle name="Normal 3 2 3 3 2 5 4" xfId="13381"/>
    <cellStyle name="Normal 3 2 3 3 2 5 5" xfId="17413"/>
    <cellStyle name="Normal 3 2 3 3 2 5 6" xfId="21445"/>
    <cellStyle name="Normal 3 2 3 3 2 5 7" xfId="25477"/>
    <cellStyle name="Normal 3 2 3 3 2 5 8" xfId="29509"/>
    <cellStyle name="Normal 3 2 3 3 2 5 9" xfId="33541"/>
    <cellStyle name="Normal 3 2 3 3 2 6" xfId="7208"/>
    <cellStyle name="Normal 3 2 3 3 2 6 10" xfId="43498"/>
    <cellStyle name="Normal 3 2 3 3 2 6 11" xfId="47530"/>
    <cellStyle name="Normal 3 2 3 3 2 6 12" xfId="51609"/>
    <cellStyle name="Normal 3 2 3 3 2 6 2" xfId="11242"/>
    <cellStyle name="Normal 3 2 3 3 2 6 3" xfId="15274"/>
    <cellStyle name="Normal 3 2 3 3 2 6 4" xfId="19306"/>
    <cellStyle name="Normal 3 2 3 3 2 6 5" xfId="23338"/>
    <cellStyle name="Normal 3 2 3 3 2 6 6" xfId="27370"/>
    <cellStyle name="Normal 3 2 3 3 2 6 7" xfId="31402"/>
    <cellStyle name="Normal 3 2 3 3 2 6 8" xfId="35434"/>
    <cellStyle name="Normal 3 2 3 3 2 6 9" xfId="39466"/>
    <cellStyle name="Normal 3 2 3 3 2 7" xfId="9226"/>
    <cellStyle name="Normal 3 2 3 3 2 8" xfId="13258"/>
    <cellStyle name="Normal 3 2 3 3 2 9" xfId="17290"/>
    <cellStyle name="Normal 3 2 3 3 20" xfId="33349"/>
    <cellStyle name="Normal 3 2 3 3 21" xfId="37381"/>
    <cellStyle name="Normal 3 2 3 3 22" xfId="41413"/>
    <cellStyle name="Normal 3 2 3 3 23" xfId="45445"/>
    <cellStyle name="Normal 3 2 3 3 24" xfId="49523"/>
    <cellStyle name="Normal 3 2 3 3 3" xfId="1678"/>
    <cellStyle name="Normal 3 2 3 3 3 10" xfId="33639"/>
    <cellStyle name="Normal 3 2 3 3 3 11" xfId="37671"/>
    <cellStyle name="Normal 3 2 3 3 3 12" xfId="41703"/>
    <cellStyle name="Normal 3 2 3 3 3 13" xfId="45735"/>
    <cellStyle name="Normal 3 2 3 3 3 14" xfId="49813"/>
    <cellStyle name="Normal 3 2 3 3 3 2" xfId="5354"/>
    <cellStyle name="Normal 3 2 3 3 3 2 10" xfId="38622"/>
    <cellStyle name="Normal 3 2 3 3 3 2 11" xfId="42654"/>
    <cellStyle name="Normal 3 2 3 3 3 2 12" xfId="46686"/>
    <cellStyle name="Normal 3 2 3 3 3 2 13" xfId="50765"/>
    <cellStyle name="Normal 3 2 3 3 3 2 2" xfId="8380"/>
    <cellStyle name="Normal 3 2 3 3 3 2 2 10" xfId="44670"/>
    <cellStyle name="Normal 3 2 3 3 3 2 2 11" xfId="48702"/>
    <cellStyle name="Normal 3 2 3 3 3 2 2 12" xfId="52781"/>
    <cellStyle name="Normal 3 2 3 3 3 2 2 2" xfId="12414"/>
    <cellStyle name="Normal 3 2 3 3 3 2 2 3" xfId="16446"/>
    <cellStyle name="Normal 3 2 3 3 3 2 2 4" xfId="20478"/>
    <cellStyle name="Normal 3 2 3 3 3 2 2 5" xfId="24510"/>
    <cellStyle name="Normal 3 2 3 3 3 2 2 6" xfId="28542"/>
    <cellStyle name="Normal 3 2 3 3 3 2 2 7" xfId="32574"/>
    <cellStyle name="Normal 3 2 3 3 3 2 2 8" xfId="36606"/>
    <cellStyle name="Normal 3 2 3 3 3 2 2 9" xfId="40638"/>
    <cellStyle name="Normal 3 2 3 3 3 2 3" xfId="10398"/>
    <cellStyle name="Normal 3 2 3 3 3 2 4" xfId="14430"/>
    <cellStyle name="Normal 3 2 3 3 3 2 5" xfId="18462"/>
    <cellStyle name="Normal 3 2 3 3 3 2 6" xfId="22494"/>
    <cellStyle name="Normal 3 2 3 3 3 2 7" xfId="26526"/>
    <cellStyle name="Normal 3 2 3 3 3 2 8" xfId="30558"/>
    <cellStyle name="Normal 3 2 3 3 3 2 9" xfId="34590"/>
    <cellStyle name="Normal 3 2 3 3 3 3" xfId="7429"/>
    <cellStyle name="Normal 3 2 3 3 3 3 10" xfId="43719"/>
    <cellStyle name="Normal 3 2 3 3 3 3 11" xfId="47751"/>
    <cellStyle name="Normal 3 2 3 3 3 3 12" xfId="51830"/>
    <cellStyle name="Normal 3 2 3 3 3 3 2" xfId="11463"/>
    <cellStyle name="Normal 3 2 3 3 3 3 3" xfId="15495"/>
    <cellStyle name="Normal 3 2 3 3 3 3 4" xfId="19527"/>
    <cellStyle name="Normal 3 2 3 3 3 3 5" xfId="23559"/>
    <cellStyle name="Normal 3 2 3 3 3 3 6" xfId="27591"/>
    <cellStyle name="Normal 3 2 3 3 3 3 7" xfId="31623"/>
    <cellStyle name="Normal 3 2 3 3 3 3 8" xfId="35655"/>
    <cellStyle name="Normal 3 2 3 3 3 3 9" xfId="39687"/>
    <cellStyle name="Normal 3 2 3 3 3 4" xfId="9447"/>
    <cellStyle name="Normal 3 2 3 3 3 5" xfId="13479"/>
    <cellStyle name="Normal 3 2 3 3 3 6" xfId="17511"/>
    <cellStyle name="Normal 3 2 3 3 3 7" xfId="21543"/>
    <cellStyle name="Normal 3 2 3 3 3 8" xfId="25575"/>
    <cellStyle name="Normal 3 2 3 3 3 9" xfId="29607"/>
    <cellStyle name="Normal 3 2 3 3 4" xfId="1752"/>
    <cellStyle name="Normal 3 2 3 3 4 10" xfId="33708"/>
    <cellStyle name="Normal 3 2 3 3 4 11" xfId="37740"/>
    <cellStyle name="Normal 3 2 3 3 4 12" xfId="41772"/>
    <cellStyle name="Normal 3 2 3 3 4 13" xfId="45804"/>
    <cellStyle name="Normal 3 2 3 3 4 14" xfId="49882"/>
    <cellStyle name="Normal 3 2 3 3 4 2" xfId="5423"/>
    <cellStyle name="Normal 3 2 3 3 4 2 10" xfId="38691"/>
    <cellStyle name="Normal 3 2 3 3 4 2 11" xfId="42723"/>
    <cellStyle name="Normal 3 2 3 3 4 2 12" xfId="46755"/>
    <cellStyle name="Normal 3 2 3 3 4 2 13" xfId="50834"/>
    <cellStyle name="Normal 3 2 3 3 4 2 2" xfId="8449"/>
    <cellStyle name="Normal 3 2 3 3 4 2 2 10" xfId="44739"/>
    <cellStyle name="Normal 3 2 3 3 4 2 2 11" xfId="48771"/>
    <cellStyle name="Normal 3 2 3 3 4 2 2 12" xfId="52850"/>
    <cellStyle name="Normal 3 2 3 3 4 2 2 2" xfId="12483"/>
    <cellStyle name="Normal 3 2 3 3 4 2 2 3" xfId="16515"/>
    <cellStyle name="Normal 3 2 3 3 4 2 2 4" xfId="20547"/>
    <cellStyle name="Normal 3 2 3 3 4 2 2 5" xfId="24579"/>
    <cellStyle name="Normal 3 2 3 3 4 2 2 6" xfId="28611"/>
    <cellStyle name="Normal 3 2 3 3 4 2 2 7" xfId="32643"/>
    <cellStyle name="Normal 3 2 3 3 4 2 2 8" xfId="36675"/>
    <cellStyle name="Normal 3 2 3 3 4 2 2 9" xfId="40707"/>
    <cellStyle name="Normal 3 2 3 3 4 2 3" xfId="10467"/>
    <cellStyle name="Normal 3 2 3 3 4 2 4" xfId="14499"/>
    <cellStyle name="Normal 3 2 3 3 4 2 5" xfId="18531"/>
    <cellStyle name="Normal 3 2 3 3 4 2 6" xfId="22563"/>
    <cellStyle name="Normal 3 2 3 3 4 2 7" xfId="26595"/>
    <cellStyle name="Normal 3 2 3 3 4 2 8" xfId="30627"/>
    <cellStyle name="Normal 3 2 3 3 4 2 9" xfId="34659"/>
    <cellStyle name="Normal 3 2 3 3 4 3" xfId="7498"/>
    <cellStyle name="Normal 3 2 3 3 4 3 10" xfId="43788"/>
    <cellStyle name="Normal 3 2 3 3 4 3 11" xfId="47820"/>
    <cellStyle name="Normal 3 2 3 3 4 3 12" xfId="51899"/>
    <cellStyle name="Normal 3 2 3 3 4 3 2" xfId="11532"/>
    <cellStyle name="Normal 3 2 3 3 4 3 3" xfId="15564"/>
    <cellStyle name="Normal 3 2 3 3 4 3 4" xfId="19596"/>
    <cellStyle name="Normal 3 2 3 3 4 3 5" xfId="23628"/>
    <cellStyle name="Normal 3 2 3 3 4 3 6" xfId="27660"/>
    <cellStyle name="Normal 3 2 3 3 4 3 7" xfId="31692"/>
    <cellStyle name="Normal 3 2 3 3 4 3 8" xfId="35724"/>
    <cellStyle name="Normal 3 2 3 3 4 3 9" xfId="39756"/>
    <cellStyle name="Normal 3 2 3 3 4 4" xfId="9516"/>
    <cellStyle name="Normal 3 2 3 3 4 5" xfId="13548"/>
    <cellStyle name="Normal 3 2 3 3 4 6" xfId="17580"/>
    <cellStyle name="Normal 3 2 3 3 4 7" xfId="21612"/>
    <cellStyle name="Normal 3 2 3 3 4 8" xfId="25644"/>
    <cellStyle name="Normal 3 2 3 3 4 9" xfId="29676"/>
    <cellStyle name="Normal 3 2 3 3 5" xfId="4074"/>
    <cellStyle name="Normal 3 2 3 3 5 10" xfId="33931"/>
    <cellStyle name="Normal 3 2 3 3 5 11" xfId="37963"/>
    <cellStyle name="Normal 3 2 3 3 5 12" xfId="41995"/>
    <cellStyle name="Normal 3 2 3 3 5 13" xfId="46027"/>
    <cellStyle name="Normal 3 2 3 3 5 14" xfId="50105"/>
    <cellStyle name="Normal 3 2 3 3 5 2" xfId="6656"/>
    <cellStyle name="Normal 3 2 3 3 5 2 10" xfId="38914"/>
    <cellStyle name="Normal 3 2 3 3 5 2 11" xfId="42946"/>
    <cellStyle name="Normal 3 2 3 3 5 2 12" xfId="46978"/>
    <cellStyle name="Normal 3 2 3 3 5 2 13" xfId="51057"/>
    <cellStyle name="Normal 3 2 3 3 5 2 2" xfId="8672"/>
    <cellStyle name="Normal 3 2 3 3 5 2 2 10" xfId="44962"/>
    <cellStyle name="Normal 3 2 3 3 5 2 2 11" xfId="48994"/>
    <cellStyle name="Normal 3 2 3 3 5 2 2 12" xfId="53073"/>
    <cellStyle name="Normal 3 2 3 3 5 2 2 2" xfId="12706"/>
    <cellStyle name="Normal 3 2 3 3 5 2 2 3" xfId="16738"/>
    <cellStyle name="Normal 3 2 3 3 5 2 2 4" xfId="20770"/>
    <cellStyle name="Normal 3 2 3 3 5 2 2 5" xfId="24802"/>
    <cellStyle name="Normal 3 2 3 3 5 2 2 6" xfId="28834"/>
    <cellStyle name="Normal 3 2 3 3 5 2 2 7" xfId="32866"/>
    <cellStyle name="Normal 3 2 3 3 5 2 2 8" xfId="36898"/>
    <cellStyle name="Normal 3 2 3 3 5 2 2 9" xfId="40930"/>
    <cellStyle name="Normal 3 2 3 3 5 2 3" xfId="10690"/>
    <cellStyle name="Normal 3 2 3 3 5 2 4" xfId="14722"/>
    <cellStyle name="Normal 3 2 3 3 5 2 5" xfId="18754"/>
    <cellStyle name="Normal 3 2 3 3 5 2 6" xfId="22786"/>
    <cellStyle name="Normal 3 2 3 3 5 2 7" xfId="26818"/>
    <cellStyle name="Normal 3 2 3 3 5 2 8" xfId="30850"/>
    <cellStyle name="Normal 3 2 3 3 5 2 9" xfId="34882"/>
    <cellStyle name="Normal 3 2 3 3 5 3" xfId="7721"/>
    <cellStyle name="Normal 3 2 3 3 5 3 10" xfId="44011"/>
    <cellStyle name="Normal 3 2 3 3 5 3 11" xfId="48043"/>
    <cellStyle name="Normal 3 2 3 3 5 3 12" xfId="52122"/>
    <cellStyle name="Normal 3 2 3 3 5 3 2" xfId="11755"/>
    <cellStyle name="Normal 3 2 3 3 5 3 3" xfId="15787"/>
    <cellStyle name="Normal 3 2 3 3 5 3 4" xfId="19819"/>
    <cellStyle name="Normal 3 2 3 3 5 3 5" xfId="23851"/>
    <cellStyle name="Normal 3 2 3 3 5 3 6" xfId="27883"/>
    <cellStyle name="Normal 3 2 3 3 5 3 7" xfId="31915"/>
    <cellStyle name="Normal 3 2 3 3 5 3 8" xfId="35947"/>
    <cellStyle name="Normal 3 2 3 3 5 3 9" xfId="39979"/>
    <cellStyle name="Normal 3 2 3 3 5 4" xfId="9739"/>
    <cellStyle name="Normal 3 2 3 3 5 5" xfId="13771"/>
    <cellStyle name="Normal 3 2 3 3 5 6" xfId="17803"/>
    <cellStyle name="Normal 3 2 3 3 5 7" xfId="21835"/>
    <cellStyle name="Normal 3 2 3 3 5 8" xfId="25867"/>
    <cellStyle name="Normal 3 2 3 3 5 9" xfId="29899"/>
    <cellStyle name="Normal 3 2 3 3 6" xfId="4144"/>
    <cellStyle name="Normal 3 2 3 3 6 10" xfId="34000"/>
    <cellStyle name="Normal 3 2 3 3 6 11" xfId="38032"/>
    <cellStyle name="Normal 3 2 3 3 6 12" xfId="42064"/>
    <cellStyle name="Normal 3 2 3 3 6 13" xfId="46096"/>
    <cellStyle name="Normal 3 2 3 3 6 14" xfId="50174"/>
    <cellStyle name="Normal 3 2 3 3 6 2" xfId="6725"/>
    <cellStyle name="Normal 3 2 3 3 6 2 10" xfId="38983"/>
    <cellStyle name="Normal 3 2 3 3 6 2 11" xfId="43015"/>
    <cellStyle name="Normal 3 2 3 3 6 2 12" xfId="47047"/>
    <cellStyle name="Normal 3 2 3 3 6 2 13" xfId="51126"/>
    <cellStyle name="Normal 3 2 3 3 6 2 2" xfId="8741"/>
    <cellStyle name="Normal 3 2 3 3 6 2 2 10" xfId="45031"/>
    <cellStyle name="Normal 3 2 3 3 6 2 2 11" xfId="49063"/>
    <cellStyle name="Normal 3 2 3 3 6 2 2 12" xfId="53142"/>
    <cellStyle name="Normal 3 2 3 3 6 2 2 2" xfId="12775"/>
    <cellStyle name="Normal 3 2 3 3 6 2 2 3" xfId="16807"/>
    <cellStyle name="Normal 3 2 3 3 6 2 2 4" xfId="20839"/>
    <cellStyle name="Normal 3 2 3 3 6 2 2 5" xfId="24871"/>
    <cellStyle name="Normal 3 2 3 3 6 2 2 6" xfId="28903"/>
    <cellStyle name="Normal 3 2 3 3 6 2 2 7" xfId="32935"/>
    <cellStyle name="Normal 3 2 3 3 6 2 2 8" xfId="36967"/>
    <cellStyle name="Normal 3 2 3 3 6 2 2 9" xfId="40999"/>
    <cellStyle name="Normal 3 2 3 3 6 2 3" xfId="10759"/>
    <cellStyle name="Normal 3 2 3 3 6 2 4" xfId="14791"/>
    <cellStyle name="Normal 3 2 3 3 6 2 5" xfId="18823"/>
    <cellStyle name="Normal 3 2 3 3 6 2 6" xfId="22855"/>
    <cellStyle name="Normal 3 2 3 3 6 2 7" xfId="26887"/>
    <cellStyle name="Normal 3 2 3 3 6 2 8" xfId="30919"/>
    <cellStyle name="Normal 3 2 3 3 6 2 9" xfId="34951"/>
    <cellStyle name="Normal 3 2 3 3 6 3" xfId="7790"/>
    <cellStyle name="Normal 3 2 3 3 6 3 10" xfId="44080"/>
    <cellStyle name="Normal 3 2 3 3 6 3 11" xfId="48112"/>
    <cellStyle name="Normal 3 2 3 3 6 3 12" xfId="52191"/>
    <cellStyle name="Normal 3 2 3 3 6 3 2" xfId="11824"/>
    <cellStyle name="Normal 3 2 3 3 6 3 3" xfId="15856"/>
    <cellStyle name="Normal 3 2 3 3 6 3 4" xfId="19888"/>
    <cellStyle name="Normal 3 2 3 3 6 3 5" xfId="23920"/>
    <cellStyle name="Normal 3 2 3 3 6 3 6" xfId="27952"/>
    <cellStyle name="Normal 3 2 3 3 6 3 7" xfId="31984"/>
    <cellStyle name="Normal 3 2 3 3 6 3 8" xfId="36016"/>
    <cellStyle name="Normal 3 2 3 3 6 3 9" xfId="40048"/>
    <cellStyle name="Normal 3 2 3 3 6 4" xfId="9808"/>
    <cellStyle name="Normal 3 2 3 3 6 5" xfId="13840"/>
    <cellStyle name="Normal 3 2 3 3 6 6" xfId="17872"/>
    <cellStyle name="Normal 3 2 3 3 6 7" xfId="21904"/>
    <cellStyle name="Normal 3 2 3 3 6 8" xfId="25936"/>
    <cellStyle name="Normal 3 2 3 3 6 9" xfId="29968"/>
    <cellStyle name="Normal 3 2 3 3 7" xfId="4213"/>
    <cellStyle name="Normal 3 2 3 3 7 10" xfId="34069"/>
    <cellStyle name="Normal 3 2 3 3 7 11" xfId="38101"/>
    <cellStyle name="Normal 3 2 3 3 7 12" xfId="42133"/>
    <cellStyle name="Normal 3 2 3 3 7 13" xfId="46165"/>
    <cellStyle name="Normal 3 2 3 3 7 14" xfId="50243"/>
    <cellStyle name="Normal 3 2 3 3 7 2" xfId="6794"/>
    <cellStyle name="Normal 3 2 3 3 7 2 10" xfId="39052"/>
    <cellStyle name="Normal 3 2 3 3 7 2 11" xfId="43084"/>
    <cellStyle name="Normal 3 2 3 3 7 2 12" xfId="47116"/>
    <cellStyle name="Normal 3 2 3 3 7 2 13" xfId="51195"/>
    <cellStyle name="Normal 3 2 3 3 7 2 2" xfId="8810"/>
    <cellStyle name="Normal 3 2 3 3 7 2 2 10" xfId="45100"/>
    <cellStyle name="Normal 3 2 3 3 7 2 2 11" xfId="49132"/>
    <cellStyle name="Normal 3 2 3 3 7 2 2 12" xfId="53211"/>
    <cellStyle name="Normal 3 2 3 3 7 2 2 2" xfId="12844"/>
    <cellStyle name="Normal 3 2 3 3 7 2 2 3" xfId="16876"/>
    <cellStyle name="Normal 3 2 3 3 7 2 2 4" xfId="20908"/>
    <cellStyle name="Normal 3 2 3 3 7 2 2 5" xfId="24940"/>
    <cellStyle name="Normal 3 2 3 3 7 2 2 6" xfId="28972"/>
    <cellStyle name="Normal 3 2 3 3 7 2 2 7" xfId="33004"/>
    <cellStyle name="Normal 3 2 3 3 7 2 2 8" xfId="37036"/>
    <cellStyle name="Normal 3 2 3 3 7 2 2 9" xfId="41068"/>
    <cellStyle name="Normal 3 2 3 3 7 2 3" xfId="10828"/>
    <cellStyle name="Normal 3 2 3 3 7 2 4" xfId="14860"/>
    <cellStyle name="Normal 3 2 3 3 7 2 5" xfId="18892"/>
    <cellStyle name="Normal 3 2 3 3 7 2 6" xfId="22924"/>
    <cellStyle name="Normal 3 2 3 3 7 2 7" xfId="26956"/>
    <cellStyle name="Normal 3 2 3 3 7 2 8" xfId="30988"/>
    <cellStyle name="Normal 3 2 3 3 7 2 9" xfId="35020"/>
    <cellStyle name="Normal 3 2 3 3 7 3" xfId="7859"/>
    <cellStyle name="Normal 3 2 3 3 7 3 10" xfId="44149"/>
    <cellStyle name="Normal 3 2 3 3 7 3 11" xfId="48181"/>
    <cellStyle name="Normal 3 2 3 3 7 3 12" xfId="52260"/>
    <cellStyle name="Normal 3 2 3 3 7 3 2" xfId="11893"/>
    <cellStyle name="Normal 3 2 3 3 7 3 3" xfId="15925"/>
    <cellStyle name="Normal 3 2 3 3 7 3 4" xfId="19957"/>
    <cellStyle name="Normal 3 2 3 3 7 3 5" xfId="23989"/>
    <cellStyle name="Normal 3 2 3 3 7 3 6" xfId="28021"/>
    <cellStyle name="Normal 3 2 3 3 7 3 7" xfId="32053"/>
    <cellStyle name="Normal 3 2 3 3 7 3 8" xfId="36085"/>
    <cellStyle name="Normal 3 2 3 3 7 3 9" xfId="40117"/>
    <cellStyle name="Normal 3 2 3 3 7 4" xfId="9877"/>
    <cellStyle name="Normal 3 2 3 3 7 5" xfId="13909"/>
    <cellStyle name="Normal 3 2 3 3 7 6" xfId="17941"/>
    <cellStyle name="Normal 3 2 3 3 7 7" xfId="21973"/>
    <cellStyle name="Normal 3 2 3 3 7 8" xfId="26005"/>
    <cellStyle name="Normal 3 2 3 3 7 9" xfId="30037"/>
    <cellStyle name="Normal 3 2 3 3 8" xfId="4286"/>
    <cellStyle name="Normal 3 2 3 3 8 10" xfId="34138"/>
    <cellStyle name="Normal 3 2 3 3 8 11" xfId="38170"/>
    <cellStyle name="Normal 3 2 3 3 8 12" xfId="42202"/>
    <cellStyle name="Normal 3 2 3 3 8 13" xfId="46234"/>
    <cellStyle name="Normal 3 2 3 3 8 14" xfId="50312"/>
    <cellStyle name="Normal 3 2 3 3 8 2" xfId="6863"/>
    <cellStyle name="Normal 3 2 3 3 8 2 10" xfId="39121"/>
    <cellStyle name="Normal 3 2 3 3 8 2 11" xfId="43153"/>
    <cellStyle name="Normal 3 2 3 3 8 2 12" xfId="47185"/>
    <cellStyle name="Normal 3 2 3 3 8 2 13" xfId="51264"/>
    <cellStyle name="Normal 3 2 3 3 8 2 2" xfId="8879"/>
    <cellStyle name="Normal 3 2 3 3 8 2 2 10" xfId="45169"/>
    <cellStyle name="Normal 3 2 3 3 8 2 2 11" xfId="49201"/>
    <cellStyle name="Normal 3 2 3 3 8 2 2 12" xfId="53280"/>
    <cellStyle name="Normal 3 2 3 3 8 2 2 2" xfId="12913"/>
    <cellStyle name="Normal 3 2 3 3 8 2 2 3" xfId="16945"/>
    <cellStyle name="Normal 3 2 3 3 8 2 2 4" xfId="20977"/>
    <cellStyle name="Normal 3 2 3 3 8 2 2 5" xfId="25009"/>
    <cellStyle name="Normal 3 2 3 3 8 2 2 6" xfId="29041"/>
    <cellStyle name="Normal 3 2 3 3 8 2 2 7" xfId="33073"/>
    <cellStyle name="Normal 3 2 3 3 8 2 2 8" xfId="37105"/>
    <cellStyle name="Normal 3 2 3 3 8 2 2 9" xfId="41137"/>
    <cellStyle name="Normal 3 2 3 3 8 2 3" xfId="10897"/>
    <cellStyle name="Normal 3 2 3 3 8 2 4" xfId="14929"/>
    <cellStyle name="Normal 3 2 3 3 8 2 5" xfId="18961"/>
    <cellStyle name="Normal 3 2 3 3 8 2 6" xfId="22993"/>
    <cellStyle name="Normal 3 2 3 3 8 2 7" xfId="27025"/>
    <cellStyle name="Normal 3 2 3 3 8 2 8" xfId="31057"/>
    <cellStyle name="Normal 3 2 3 3 8 2 9" xfId="35089"/>
    <cellStyle name="Normal 3 2 3 3 8 3" xfId="7928"/>
    <cellStyle name="Normal 3 2 3 3 8 3 10" xfId="44218"/>
    <cellStyle name="Normal 3 2 3 3 8 3 11" xfId="48250"/>
    <cellStyle name="Normal 3 2 3 3 8 3 12" xfId="52329"/>
    <cellStyle name="Normal 3 2 3 3 8 3 2" xfId="11962"/>
    <cellStyle name="Normal 3 2 3 3 8 3 3" xfId="15994"/>
    <cellStyle name="Normal 3 2 3 3 8 3 4" xfId="20026"/>
    <cellStyle name="Normal 3 2 3 3 8 3 5" xfId="24058"/>
    <cellStyle name="Normal 3 2 3 3 8 3 6" xfId="28090"/>
    <cellStyle name="Normal 3 2 3 3 8 3 7" xfId="32122"/>
    <cellStyle name="Normal 3 2 3 3 8 3 8" xfId="36154"/>
    <cellStyle name="Normal 3 2 3 3 8 3 9" xfId="40186"/>
    <cellStyle name="Normal 3 2 3 3 8 4" xfId="9946"/>
    <cellStyle name="Normal 3 2 3 3 8 5" xfId="13978"/>
    <cellStyle name="Normal 3 2 3 3 8 6" xfId="18010"/>
    <cellStyle name="Normal 3 2 3 3 8 7" xfId="22042"/>
    <cellStyle name="Normal 3 2 3 3 8 8" xfId="26074"/>
    <cellStyle name="Normal 3 2 3 3 8 9" xfId="30106"/>
    <cellStyle name="Normal 3 2 3 3 9" xfId="4432"/>
    <cellStyle name="Normal 3 2 3 3 9 10" xfId="34276"/>
    <cellStyle name="Normal 3 2 3 3 9 11" xfId="38308"/>
    <cellStyle name="Normal 3 2 3 3 9 12" xfId="42340"/>
    <cellStyle name="Normal 3 2 3 3 9 13" xfId="46372"/>
    <cellStyle name="Normal 3 2 3 3 9 14" xfId="50451"/>
    <cellStyle name="Normal 3 2 3 3 9 2" xfId="7001"/>
    <cellStyle name="Normal 3 2 3 3 9 2 10" xfId="39259"/>
    <cellStyle name="Normal 3 2 3 3 9 2 11" xfId="43291"/>
    <cellStyle name="Normal 3 2 3 3 9 2 12" xfId="47323"/>
    <cellStyle name="Normal 3 2 3 3 9 2 13" xfId="51402"/>
    <cellStyle name="Normal 3 2 3 3 9 2 2" xfId="9017"/>
    <cellStyle name="Normal 3 2 3 3 9 2 2 10" xfId="45307"/>
    <cellStyle name="Normal 3 2 3 3 9 2 2 11" xfId="49339"/>
    <cellStyle name="Normal 3 2 3 3 9 2 2 12" xfId="53418"/>
    <cellStyle name="Normal 3 2 3 3 9 2 2 2" xfId="13051"/>
    <cellStyle name="Normal 3 2 3 3 9 2 2 3" xfId="17083"/>
    <cellStyle name="Normal 3 2 3 3 9 2 2 4" xfId="21115"/>
    <cellStyle name="Normal 3 2 3 3 9 2 2 5" xfId="25147"/>
    <cellStyle name="Normal 3 2 3 3 9 2 2 6" xfId="29179"/>
    <cellStyle name="Normal 3 2 3 3 9 2 2 7" xfId="33211"/>
    <cellStyle name="Normal 3 2 3 3 9 2 2 8" xfId="37243"/>
    <cellStyle name="Normal 3 2 3 3 9 2 2 9" xfId="41275"/>
    <cellStyle name="Normal 3 2 3 3 9 2 3" xfId="11035"/>
    <cellStyle name="Normal 3 2 3 3 9 2 4" xfId="15067"/>
    <cellStyle name="Normal 3 2 3 3 9 2 5" xfId="19099"/>
    <cellStyle name="Normal 3 2 3 3 9 2 6" xfId="23131"/>
    <cellStyle name="Normal 3 2 3 3 9 2 7" xfId="27163"/>
    <cellStyle name="Normal 3 2 3 3 9 2 8" xfId="31195"/>
    <cellStyle name="Normal 3 2 3 3 9 2 9" xfId="35227"/>
    <cellStyle name="Normal 3 2 3 3 9 3" xfId="8066"/>
    <cellStyle name="Normal 3 2 3 3 9 3 10" xfId="44356"/>
    <cellStyle name="Normal 3 2 3 3 9 3 11" xfId="48388"/>
    <cellStyle name="Normal 3 2 3 3 9 3 12" xfId="52467"/>
    <cellStyle name="Normal 3 2 3 3 9 3 2" xfId="12100"/>
    <cellStyle name="Normal 3 2 3 3 9 3 3" xfId="16132"/>
    <cellStyle name="Normal 3 2 3 3 9 3 4" xfId="20164"/>
    <cellStyle name="Normal 3 2 3 3 9 3 5" xfId="24196"/>
    <cellStyle name="Normal 3 2 3 3 9 3 6" xfId="28228"/>
    <cellStyle name="Normal 3 2 3 3 9 3 7" xfId="32260"/>
    <cellStyle name="Normal 3 2 3 3 9 3 8" xfId="36292"/>
    <cellStyle name="Normal 3 2 3 3 9 3 9" xfId="40324"/>
    <cellStyle name="Normal 3 2 3 3 9 4" xfId="10084"/>
    <cellStyle name="Normal 3 2 3 3 9 5" xfId="14116"/>
    <cellStyle name="Normal 3 2 3 3 9 6" xfId="18148"/>
    <cellStyle name="Normal 3 2 3 3 9 7" xfId="22180"/>
    <cellStyle name="Normal 3 2 3 3 9 8" xfId="26212"/>
    <cellStyle name="Normal 3 2 3 3 9 9" xfId="30244"/>
    <cellStyle name="Normal 3 2 3 4" xfId="74"/>
    <cellStyle name="Normal 3 2 3 4 10" xfId="4554"/>
    <cellStyle name="Normal 3 2 3 4 10 10" xfId="38430"/>
    <cellStyle name="Normal 3 2 3 4 10 11" xfId="42462"/>
    <cellStyle name="Normal 3 2 3 4 10 12" xfId="46494"/>
    <cellStyle name="Normal 3 2 3 4 10 13" xfId="50573"/>
    <cellStyle name="Normal 3 2 3 4 10 2" xfId="8188"/>
    <cellStyle name="Normal 3 2 3 4 10 2 10" xfId="44478"/>
    <cellStyle name="Normal 3 2 3 4 10 2 11" xfId="48510"/>
    <cellStyle name="Normal 3 2 3 4 10 2 12" xfId="52589"/>
    <cellStyle name="Normal 3 2 3 4 10 2 2" xfId="12222"/>
    <cellStyle name="Normal 3 2 3 4 10 2 3" xfId="16254"/>
    <cellStyle name="Normal 3 2 3 4 10 2 4" xfId="20286"/>
    <cellStyle name="Normal 3 2 3 4 10 2 5" xfId="24318"/>
    <cellStyle name="Normal 3 2 3 4 10 2 6" xfId="28350"/>
    <cellStyle name="Normal 3 2 3 4 10 2 7" xfId="32382"/>
    <cellStyle name="Normal 3 2 3 4 10 2 8" xfId="36414"/>
    <cellStyle name="Normal 3 2 3 4 10 2 9" xfId="40446"/>
    <cellStyle name="Normal 3 2 3 4 10 3" xfId="10206"/>
    <cellStyle name="Normal 3 2 3 4 10 4" xfId="14238"/>
    <cellStyle name="Normal 3 2 3 4 10 5" xfId="18270"/>
    <cellStyle name="Normal 3 2 3 4 10 6" xfId="22302"/>
    <cellStyle name="Normal 3 2 3 4 10 7" xfId="26334"/>
    <cellStyle name="Normal 3 2 3 4 10 8" xfId="30366"/>
    <cellStyle name="Normal 3 2 3 4 10 9" xfId="34398"/>
    <cellStyle name="Normal 3 2 3 4 11" xfId="282"/>
    <cellStyle name="Normal 3 2 3 4 11 10" xfId="37487"/>
    <cellStyle name="Normal 3 2 3 4 11 11" xfId="41519"/>
    <cellStyle name="Normal 3 2 3 4 11 12" xfId="45551"/>
    <cellStyle name="Normal 3 2 3 4 11 13" xfId="49629"/>
    <cellStyle name="Normal 3 2 3 4 11 2" xfId="7245"/>
    <cellStyle name="Normal 3 2 3 4 11 2 10" xfId="43535"/>
    <cellStyle name="Normal 3 2 3 4 11 2 11" xfId="47567"/>
    <cellStyle name="Normal 3 2 3 4 11 2 12" xfId="51646"/>
    <cellStyle name="Normal 3 2 3 4 11 2 2" xfId="11279"/>
    <cellStyle name="Normal 3 2 3 4 11 2 3" xfId="15311"/>
    <cellStyle name="Normal 3 2 3 4 11 2 4" xfId="19343"/>
    <cellStyle name="Normal 3 2 3 4 11 2 5" xfId="23375"/>
    <cellStyle name="Normal 3 2 3 4 11 2 6" xfId="27407"/>
    <cellStyle name="Normal 3 2 3 4 11 2 7" xfId="31439"/>
    <cellStyle name="Normal 3 2 3 4 11 2 8" xfId="35471"/>
    <cellStyle name="Normal 3 2 3 4 11 2 9" xfId="39503"/>
    <cellStyle name="Normal 3 2 3 4 11 3" xfId="9263"/>
    <cellStyle name="Normal 3 2 3 4 11 4" xfId="13295"/>
    <cellStyle name="Normal 3 2 3 4 11 5" xfId="17327"/>
    <cellStyle name="Normal 3 2 3 4 11 6" xfId="21359"/>
    <cellStyle name="Normal 3 2 3 4 11 7" xfId="25391"/>
    <cellStyle name="Normal 3 2 3 4 11 8" xfId="29423"/>
    <cellStyle name="Normal 3 2 3 4 11 9" xfId="33455"/>
    <cellStyle name="Normal 3 2 3 4 12" xfId="7123"/>
    <cellStyle name="Normal 3 2 3 4 12 10" xfId="43413"/>
    <cellStyle name="Normal 3 2 3 4 12 11" xfId="47445"/>
    <cellStyle name="Normal 3 2 3 4 12 12" xfId="51524"/>
    <cellStyle name="Normal 3 2 3 4 12 2" xfId="11157"/>
    <cellStyle name="Normal 3 2 3 4 12 3" xfId="15189"/>
    <cellStyle name="Normal 3 2 3 4 12 4" xfId="19221"/>
    <cellStyle name="Normal 3 2 3 4 12 5" xfId="23253"/>
    <cellStyle name="Normal 3 2 3 4 12 6" xfId="27285"/>
    <cellStyle name="Normal 3 2 3 4 12 7" xfId="31317"/>
    <cellStyle name="Normal 3 2 3 4 12 8" xfId="35349"/>
    <cellStyle name="Normal 3 2 3 4 12 9" xfId="39381"/>
    <cellStyle name="Normal 3 2 3 4 13" xfId="149"/>
    <cellStyle name="Normal 3 2 3 4 14" xfId="9141"/>
    <cellStyle name="Normal 3 2 3 4 15" xfId="13173"/>
    <cellStyle name="Normal 3 2 3 4 16" xfId="17205"/>
    <cellStyle name="Normal 3 2 3 4 17" xfId="21237"/>
    <cellStyle name="Normal 3 2 3 4 18" xfId="25269"/>
    <cellStyle name="Normal 3 2 3 4 19" xfId="29301"/>
    <cellStyle name="Normal 3 2 3 4 2" xfId="228"/>
    <cellStyle name="Normal 3 2 3 4 2 10" xfId="21306"/>
    <cellStyle name="Normal 3 2 3 4 2 11" xfId="25338"/>
    <cellStyle name="Normal 3 2 3 4 2 12" xfId="29370"/>
    <cellStyle name="Normal 3 2 3 4 2 13" xfId="33402"/>
    <cellStyle name="Normal 3 2 3 4 2 14" xfId="37434"/>
    <cellStyle name="Normal 3 2 3 4 2 15" xfId="41466"/>
    <cellStyle name="Normal 3 2 3 4 2 16" xfId="45498"/>
    <cellStyle name="Normal 3 2 3 4 2 17" xfId="49576"/>
    <cellStyle name="Normal 3 2 3 4 2 2" xfId="4346"/>
    <cellStyle name="Normal 3 2 3 4 2 2 10" xfId="34191"/>
    <cellStyle name="Normal 3 2 3 4 2 2 11" xfId="38223"/>
    <cellStyle name="Normal 3 2 3 4 2 2 12" xfId="42255"/>
    <cellStyle name="Normal 3 2 3 4 2 2 13" xfId="46287"/>
    <cellStyle name="Normal 3 2 3 4 2 2 14" xfId="50366"/>
    <cellStyle name="Normal 3 2 3 4 2 2 2" xfId="6916"/>
    <cellStyle name="Normal 3 2 3 4 2 2 2 10" xfId="39174"/>
    <cellStyle name="Normal 3 2 3 4 2 2 2 11" xfId="43206"/>
    <cellStyle name="Normal 3 2 3 4 2 2 2 12" xfId="47238"/>
    <cellStyle name="Normal 3 2 3 4 2 2 2 13" xfId="51317"/>
    <cellStyle name="Normal 3 2 3 4 2 2 2 2" xfId="8932"/>
    <cellStyle name="Normal 3 2 3 4 2 2 2 2 10" xfId="45222"/>
    <cellStyle name="Normal 3 2 3 4 2 2 2 2 11" xfId="49254"/>
    <cellStyle name="Normal 3 2 3 4 2 2 2 2 12" xfId="53333"/>
    <cellStyle name="Normal 3 2 3 4 2 2 2 2 2" xfId="12966"/>
    <cellStyle name="Normal 3 2 3 4 2 2 2 2 3" xfId="16998"/>
    <cellStyle name="Normal 3 2 3 4 2 2 2 2 4" xfId="21030"/>
    <cellStyle name="Normal 3 2 3 4 2 2 2 2 5" xfId="25062"/>
    <cellStyle name="Normal 3 2 3 4 2 2 2 2 6" xfId="29094"/>
    <cellStyle name="Normal 3 2 3 4 2 2 2 2 7" xfId="33126"/>
    <cellStyle name="Normal 3 2 3 4 2 2 2 2 8" xfId="37158"/>
    <cellStyle name="Normal 3 2 3 4 2 2 2 2 9" xfId="41190"/>
    <cellStyle name="Normal 3 2 3 4 2 2 2 3" xfId="10950"/>
    <cellStyle name="Normal 3 2 3 4 2 2 2 4" xfId="14982"/>
    <cellStyle name="Normal 3 2 3 4 2 2 2 5" xfId="19014"/>
    <cellStyle name="Normal 3 2 3 4 2 2 2 6" xfId="23046"/>
    <cellStyle name="Normal 3 2 3 4 2 2 2 7" xfId="27078"/>
    <cellStyle name="Normal 3 2 3 4 2 2 2 8" xfId="31110"/>
    <cellStyle name="Normal 3 2 3 4 2 2 2 9" xfId="35142"/>
    <cellStyle name="Normal 3 2 3 4 2 2 3" xfId="7981"/>
    <cellStyle name="Normal 3 2 3 4 2 2 3 10" xfId="44271"/>
    <cellStyle name="Normal 3 2 3 4 2 2 3 11" xfId="48303"/>
    <cellStyle name="Normal 3 2 3 4 2 2 3 12" xfId="52382"/>
    <cellStyle name="Normal 3 2 3 4 2 2 3 2" xfId="12015"/>
    <cellStyle name="Normal 3 2 3 4 2 2 3 3" xfId="16047"/>
    <cellStyle name="Normal 3 2 3 4 2 2 3 4" xfId="20079"/>
    <cellStyle name="Normal 3 2 3 4 2 2 3 5" xfId="24111"/>
    <cellStyle name="Normal 3 2 3 4 2 2 3 6" xfId="28143"/>
    <cellStyle name="Normal 3 2 3 4 2 2 3 7" xfId="32175"/>
    <cellStyle name="Normal 3 2 3 4 2 2 3 8" xfId="36207"/>
    <cellStyle name="Normal 3 2 3 4 2 2 3 9" xfId="40239"/>
    <cellStyle name="Normal 3 2 3 4 2 2 4" xfId="9999"/>
    <cellStyle name="Normal 3 2 3 4 2 2 5" xfId="14031"/>
    <cellStyle name="Normal 3 2 3 4 2 2 6" xfId="18063"/>
    <cellStyle name="Normal 3 2 3 4 2 2 7" xfId="22095"/>
    <cellStyle name="Normal 3 2 3 4 2 2 8" xfId="26127"/>
    <cellStyle name="Normal 3 2 3 4 2 2 9" xfId="30159"/>
    <cellStyle name="Normal 3 2 3 4 2 3" xfId="4485"/>
    <cellStyle name="Normal 3 2 3 4 2 3 10" xfId="34329"/>
    <cellStyle name="Normal 3 2 3 4 2 3 11" xfId="38361"/>
    <cellStyle name="Normal 3 2 3 4 2 3 12" xfId="42393"/>
    <cellStyle name="Normal 3 2 3 4 2 3 13" xfId="46425"/>
    <cellStyle name="Normal 3 2 3 4 2 3 14" xfId="50504"/>
    <cellStyle name="Normal 3 2 3 4 2 3 2" xfId="7054"/>
    <cellStyle name="Normal 3 2 3 4 2 3 2 10" xfId="39312"/>
    <cellStyle name="Normal 3 2 3 4 2 3 2 11" xfId="43344"/>
    <cellStyle name="Normal 3 2 3 4 2 3 2 12" xfId="47376"/>
    <cellStyle name="Normal 3 2 3 4 2 3 2 13" xfId="51455"/>
    <cellStyle name="Normal 3 2 3 4 2 3 2 2" xfId="9070"/>
    <cellStyle name="Normal 3 2 3 4 2 3 2 2 10" xfId="45360"/>
    <cellStyle name="Normal 3 2 3 4 2 3 2 2 11" xfId="49392"/>
    <cellStyle name="Normal 3 2 3 4 2 3 2 2 12" xfId="53471"/>
    <cellStyle name="Normal 3 2 3 4 2 3 2 2 2" xfId="13104"/>
    <cellStyle name="Normal 3 2 3 4 2 3 2 2 3" xfId="17136"/>
    <cellStyle name="Normal 3 2 3 4 2 3 2 2 4" xfId="21168"/>
    <cellStyle name="Normal 3 2 3 4 2 3 2 2 5" xfId="25200"/>
    <cellStyle name="Normal 3 2 3 4 2 3 2 2 6" xfId="29232"/>
    <cellStyle name="Normal 3 2 3 4 2 3 2 2 7" xfId="33264"/>
    <cellStyle name="Normal 3 2 3 4 2 3 2 2 8" xfId="37296"/>
    <cellStyle name="Normal 3 2 3 4 2 3 2 2 9" xfId="41328"/>
    <cellStyle name="Normal 3 2 3 4 2 3 2 3" xfId="11088"/>
    <cellStyle name="Normal 3 2 3 4 2 3 2 4" xfId="15120"/>
    <cellStyle name="Normal 3 2 3 4 2 3 2 5" xfId="19152"/>
    <cellStyle name="Normal 3 2 3 4 2 3 2 6" xfId="23184"/>
    <cellStyle name="Normal 3 2 3 4 2 3 2 7" xfId="27216"/>
    <cellStyle name="Normal 3 2 3 4 2 3 2 8" xfId="31248"/>
    <cellStyle name="Normal 3 2 3 4 2 3 2 9" xfId="35280"/>
    <cellStyle name="Normal 3 2 3 4 2 3 3" xfId="8119"/>
    <cellStyle name="Normal 3 2 3 4 2 3 3 10" xfId="44409"/>
    <cellStyle name="Normal 3 2 3 4 2 3 3 11" xfId="48441"/>
    <cellStyle name="Normal 3 2 3 4 2 3 3 12" xfId="52520"/>
    <cellStyle name="Normal 3 2 3 4 2 3 3 2" xfId="12153"/>
    <cellStyle name="Normal 3 2 3 4 2 3 3 3" xfId="16185"/>
    <cellStyle name="Normal 3 2 3 4 2 3 3 4" xfId="20217"/>
    <cellStyle name="Normal 3 2 3 4 2 3 3 5" xfId="24249"/>
    <cellStyle name="Normal 3 2 3 4 2 3 3 6" xfId="28281"/>
    <cellStyle name="Normal 3 2 3 4 2 3 3 7" xfId="32313"/>
    <cellStyle name="Normal 3 2 3 4 2 3 3 8" xfId="36345"/>
    <cellStyle name="Normal 3 2 3 4 2 3 3 9" xfId="40377"/>
    <cellStyle name="Normal 3 2 3 4 2 3 4" xfId="10137"/>
    <cellStyle name="Normal 3 2 3 4 2 3 5" xfId="14169"/>
    <cellStyle name="Normal 3 2 3 4 2 3 6" xfId="18201"/>
    <cellStyle name="Normal 3 2 3 4 2 3 7" xfId="22233"/>
    <cellStyle name="Normal 3 2 3 4 2 3 8" xfId="26265"/>
    <cellStyle name="Normal 3 2 3 4 2 3 9" xfId="30297"/>
    <cellStyle name="Normal 3 2 3 4 2 4" xfId="4625"/>
    <cellStyle name="Normal 3 2 3 4 2 4 10" xfId="38499"/>
    <cellStyle name="Normal 3 2 3 4 2 4 11" xfId="42531"/>
    <cellStyle name="Normal 3 2 3 4 2 4 12" xfId="46563"/>
    <cellStyle name="Normal 3 2 3 4 2 4 13" xfId="50642"/>
    <cellStyle name="Normal 3 2 3 4 2 4 2" xfId="8257"/>
    <cellStyle name="Normal 3 2 3 4 2 4 2 10" xfId="44547"/>
    <cellStyle name="Normal 3 2 3 4 2 4 2 11" xfId="48579"/>
    <cellStyle name="Normal 3 2 3 4 2 4 2 12" xfId="52658"/>
    <cellStyle name="Normal 3 2 3 4 2 4 2 2" xfId="12291"/>
    <cellStyle name="Normal 3 2 3 4 2 4 2 3" xfId="16323"/>
    <cellStyle name="Normal 3 2 3 4 2 4 2 4" xfId="20355"/>
    <cellStyle name="Normal 3 2 3 4 2 4 2 5" xfId="24387"/>
    <cellStyle name="Normal 3 2 3 4 2 4 2 6" xfId="28419"/>
    <cellStyle name="Normal 3 2 3 4 2 4 2 7" xfId="32451"/>
    <cellStyle name="Normal 3 2 3 4 2 4 2 8" xfId="36483"/>
    <cellStyle name="Normal 3 2 3 4 2 4 2 9" xfId="40515"/>
    <cellStyle name="Normal 3 2 3 4 2 4 3" xfId="10275"/>
    <cellStyle name="Normal 3 2 3 4 2 4 4" xfId="14307"/>
    <cellStyle name="Normal 3 2 3 4 2 4 5" xfId="18339"/>
    <cellStyle name="Normal 3 2 3 4 2 4 6" xfId="22371"/>
    <cellStyle name="Normal 3 2 3 4 2 4 7" xfId="26403"/>
    <cellStyle name="Normal 3 2 3 4 2 4 8" xfId="30435"/>
    <cellStyle name="Normal 3 2 3 4 2 4 9" xfId="34467"/>
    <cellStyle name="Normal 3 2 3 4 2 5" xfId="352"/>
    <cellStyle name="Normal 3 2 3 4 2 5 10" xfId="37557"/>
    <cellStyle name="Normal 3 2 3 4 2 5 11" xfId="41589"/>
    <cellStyle name="Normal 3 2 3 4 2 5 12" xfId="45621"/>
    <cellStyle name="Normal 3 2 3 4 2 5 13" xfId="49699"/>
    <cellStyle name="Normal 3 2 3 4 2 5 2" xfId="7315"/>
    <cellStyle name="Normal 3 2 3 4 2 5 2 10" xfId="43605"/>
    <cellStyle name="Normal 3 2 3 4 2 5 2 11" xfId="47637"/>
    <cellStyle name="Normal 3 2 3 4 2 5 2 12" xfId="51716"/>
    <cellStyle name="Normal 3 2 3 4 2 5 2 2" xfId="11349"/>
    <cellStyle name="Normal 3 2 3 4 2 5 2 3" xfId="15381"/>
    <cellStyle name="Normal 3 2 3 4 2 5 2 4" xfId="19413"/>
    <cellStyle name="Normal 3 2 3 4 2 5 2 5" xfId="23445"/>
    <cellStyle name="Normal 3 2 3 4 2 5 2 6" xfId="27477"/>
    <cellStyle name="Normal 3 2 3 4 2 5 2 7" xfId="31509"/>
    <cellStyle name="Normal 3 2 3 4 2 5 2 8" xfId="35541"/>
    <cellStyle name="Normal 3 2 3 4 2 5 2 9" xfId="39573"/>
    <cellStyle name="Normal 3 2 3 4 2 5 3" xfId="9333"/>
    <cellStyle name="Normal 3 2 3 4 2 5 4" xfId="13365"/>
    <cellStyle name="Normal 3 2 3 4 2 5 5" xfId="17397"/>
    <cellStyle name="Normal 3 2 3 4 2 5 6" xfId="21429"/>
    <cellStyle name="Normal 3 2 3 4 2 5 7" xfId="25461"/>
    <cellStyle name="Normal 3 2 3 4 2 5 8" xfId="29493"/>
    <cellStyle name="Normal 3 2 3 4 2 5 9" xfId="33525"/>
    <cellStyle name="Normal 3 2 3 4 2 6" xfId="7192"/>
    <cellStyle name="Normal 3 2 3 4 2 6 10" xfId="43482"/>
    <cellStyle name="Normal 3 2 3 4 2 6 11" xfId="47514"/>
    <cellStyle name="Normal 3 2 3 4 2 6 12" xfId="51593"/>
    <cellStyle name="Normal 3 2 3 4 2 6 2" xfId="11226"/>
    <cellStyle name="Normal 3 2 3 4 2 6 3" xfId="15258"/>
    <cellStyle name="Normal 3 2 3 4 2 6 4" xfId="19290"/>
    <cellStyle name="Normal 3 2 3 4 2 6 5" xfId="23322"/>
    <cellStyle name="Normal 3 2 3 4 2 6 6" xfId="27354"/>
    <cellStyle name="Normal 3 2 3 4 2 6 7" xfId="31386"/>
    <cellStyle name="Normal 3 2 3 4 2 6 8" xfId="35418"/>
    <cellStyle name="Normal 3 2 3 4 2 6 9" xfId="39450"/>
    <cellStyle name="Normal 3 2 3 4 2 7" xfId="9210"/>
    <cellStyle name="Normal 3 2 3 4 2 8" xfId="13242"/>
    <cellStyle name="Normal 3 2 3 4 2 9" xfId="17274"/>
    <cellStyle name="Normal 3 2 3 4 20" xfId="33333"/>
    <cellStyle name="Normal 3 2 3 4 21" xfId="37365"/>
    <cellStyle name="Normal 3 2 3 4 22" xfId="41397"/>
    <cellStyle name="Normal 3 2 3 4 23" xfId="45429"/>
    <cellStyle name="Normal 3 2 3 4 24" xfId="49507"/>
    <cellStyle name="Normal 3 2 3 4 3" xfId="1662"/>
    <cellStyle name="Normal 3 2 3 4 3 10" xfId="33623"/>
    <cellStyle name="Normal 3 2 3 4 3 11" xfId="37655"/>
    <cellStyle name="Normal 3 2 3 4 3 12" xfId="41687"/>
    <cellStyle name="Normal 3 2 3 4 3 13" xfId="45719"/>
    <cellStyle name="Normal 3 2 3 4 3 14" xfId="49797"/>
    <cellStyle name="Normal 3 2 3 4 3 2" xfId="5338"/>
    <cellStyle name="Normal 3 2 3 4 3 2 10" xfId="38606"/>
    <cellStyle name="Normal 3 2 3 4 3 2 11" xfId="42638"/>
    <cellStyle name="Normal 3 2 3 4 3 2 12" xfId="46670"/>
    <cellStyle name="Normal 3 2 3 4 3 2 13" xfId="50749"/>
    <cellStyle name="Normal 3 2 3 4 3 2 2" xfId="8364"/>
    <cellStyle name="Normal 3 2 3 4 3 2 2 10" xfId="44654"/>
    <cellStyle name="Normal 3 2 3 4 3 2 2 11" xfId="48686"/>
    <cellStyle name="Normal 3 2 3 4 3 2 2 12" xfId="52765"/>
    <cellStyle name="Normal 3 2 3 4 3 2 2 2" xfId="12398"/>
    <cellStyle name="Normal 3 2 3 4 3 2 2 3" xfId="16430"/>
    <cellStyle name="Normal 3 2 3 4 3 2 2 4" xfId="20462"/>
    <cellStyle name="Normal 3 2 3 4 3 2 2 5" xfId="24494"/>
    <cellStyle name="Normal 3 2 3 4 3 2 2 6" xfId="28526"/>
    <cellStyle name="Normal 3 2 3 4 3 2 2 7" xfId="32558"/>
    <cellStyle name="Normal 3 2 3 4 3 2 2 8" xfId="36590"/>
    <cellStyle name="Normal 3 2 3 4 3 2 2 9" xfId="40622"/>
    <cellStyle name="Normal 3 2 3 4 3 2 3" xfId="10382"/>
    <cellStyle name="Normal 3 2 3 4 3 2 4" xfId="14414"/>
    <cellStyle name="Normal 3 2 3 4 3 2 5" xfId="18446"/>
    <cellStyle name="Normal 3 2 3 4 3 2 6" xfId="22478"/>
    <cellStyle name="Normal 3 2 3 4 3 2 7" xfId="26510"/>
    <cellStyle name="Normal 3 2 3 4 3 2 8" xfId="30542"/>
    <cellStyle name="Normal 3 2 3 4 3 2 9" xfId="34574"/>
    <cellStyle name="Normal 3 2 3 4 3 3" xfId="7413"/>
    <cellStyle name="Normal 3 2 3 4 3 3 10" xfId="43703"/>
    <cellStyle name="Normal 3 2 3 4 3 3 11" xfId="47735"/>
    <cellStyle name="Normal 3 2 3 4 3 3 12" xfId="51814"/>
    <cellStyle name="Normal 3 2 3 4 3 3 2" xfId="11447"/>
    <cellStyle name="Normal 3 2 3 4 3 3 3" xfId="15479"/>
    <cellStyle name="Normal 3 2 3 4 3 3 4" xfId="19511"/>
    <cellStyle name="Normal 3 2 3 4 3 3 5" xfId="23543"/>
    <cellStyle name="Normal 3 2 3 4 3 3 6" xfId="27575"/>
    <cellStyle name="Normal 3 2 3 4 3 3 7" xfId="31607"/>
    <cellStyle name="Normal 3 2 3 4 3 3 8" xfId="35639"/>
    <cellStyle name="Normal 3 2 3 4 3 3 9" xfId="39671"/>
    <cellStyle name="Normal 3 2 3 4 3 4" xfId="9431"/>
    <cellStyle name="Normal 3 2 3 4 3 5" xfId="13463"/>
    <cellStyle name="Normal 3 2 3 4 3 6" xfId="17495"/>
    <cellStyle name="Normal 3 2 3 4 3 7" xfId="21527"/>
    <cellStyle name="Normal 3 2 3 4 3 8" xfId="25559"/>
    <cellStyle name="Normal 3 2 3 4 3 9" xfId="29591"/>
    <cellStyle name="Normal 3 2 3 4 4" xfId="1736"/>
    <cellStyle name="Normal 3 2 3 4 4 10" xfId="33692"/>
    <cellStyle name="Normal 3 2 3 4 4 11" xfId="37724"/>
    <cellStyle name="Normal 3 2 3 4 4 12" xfId="41756"/>
    <cellStyle name="Normal 3 2 3 4 4 13" xfId="45788"/>
    <cellStyle name="Normal 3 2 3 4 4 14" xfId="49866"/>
    <cellStyle name="Normal 3 2 3 4 4 2" xfId="5407"/>
    <cellStyle name="Normal 3 2 3 4 4 2 10" xfId="38675"/>
    <cellStyle name="Normal 3 2 3 4 4 2 11" xfId="42707"/>
    <cellStyle name="Normal 3 2 3 4 4 2 12" xfId="46739"/>
    <cellStyle name="Normal 3 2 3 4 4 2 13" xfId="50818"/>
    <cellStyle name="Normal 3 2 3 4 4 2 2" xfId="8433"/>
    <cellStyle name="Normal 3 2 3 4 4 2 2 10" xfId="44723"/>
    <cellStyle name="Normal 3 2 3 4 4 2 2 11" xfId="48755"/>
    <cellStyle name="Normal 3 2 3 4 4 2 2 12" xfId="52834"/>
    <cellStyle name="Normal 3 2 3 4 4 2 2 2" xfId="12467"/>
    <cellStyle name="Normal 3 2 3 4 4 2 2 3" xfId="16499"/>
    <cellStyle name="Normal 3 2 3 4 4 2 2 4" xfId="20531"/>
    <cellStyle name="Normal 3 2 3 4 4 2 2 5" xfId="24563"/>
    <cellStyle name="Normal 3 2 3 4 4 2 2 6" xfId="28595"/>
    <cellStyle name="Normal 3 2 3 4 4 2 2 7" xfId="32627"/>
    <cellStyle name="Normal 3 2 3 4 4 2 2 8" xfId="36659"/>
    <cellStyle name="Normal 3 2 3 4 4 2 2 9" xfId="40691"/>
    <cellStyle name="Normal 3 2 3 4 4 2 3" xfId="10451"/>
    <cellStyle name="Normal 3 2 3 4 4 2 4" xfId="14483"/>
    <cellStyle name="Normal 3 2 3 4 4 2 5" xfId="18515"/>
    <cellStyle name="Normal 3 2 3 4 4 2 6" xfId="22547"/>
    <cellStyle name="Normal 3 2 3 4 4 2 7" xfId="26579"/>
    <cellStyle name="Normal 3 2 3 4 4 2 8" xfId="30611"/>
    <cellStyle name="Normal 3 2 3 4 4 2 9" xfId="34643"/>
    <cellStyle name="Normal 3 2 3 4 4 3" xfId="7482"/>
    <cellStyle name="Normal 3 2 3 4 4 3 10" xfId="43772"/>
    <cellStyle name="Normal 3 2 3 4 4 3 11" xfId="47804"/>
    <cellStyle name="Normal 3 2 3 4 4 3 12" xfId="51883"/>
    <cellStyle name="Normal 3 2 3 4 4 3 2" xfId="11516"/>
    <cellStyle name="Normal 3 2 3 4 4 3 3" xfId="15548"/>
    <cellStyle name="Normal 3 2 3 4 4 3 4" xfId="19580"/>
    <cellStyle name="Normal 3 2 3 4 4 3 5" xfId="23612"/>
    <cellStyle name="Normal 3 2 3 4 4 3 6" xfId="27644"/>
    <cellStyle name="Normal 3 2 3 4 4 3 7" xfId="31676"/>
    <cellStyle name="Normal 3 2 3 4 4 3 8" xfId="35708"/>
    <cellStyle name="Normal 3 2 3 4 4 3 9" xfId="39740"/>
    <cellStyle name="Normal 3 2 3 4 4 4" xfId="9500"/>
    <cellStyle name="Normal 3 2 3 4 4 5" xfId="13532"/>
    <cellStyle name="Normal 3 2 3 4 4 6" xfId="17564"/>
    <cellStyle name="Normal 3 2 3 4 4 7" xfId="21596"/>
    <cellStyle name="Normal 3 2 3 4 4 8" xfId="25628"/>
    <cellStyle name="Normal 3 2 3 4 4 9" xfId="29660"/>
    <cellStyle name="Normal 3 2 3 4 5" xfId="4058"/>
    <cellStyle name="Normal 3 2 3 4 5 10" xfId="33915"/>
    <cellStyle name="Normal 3 2 3 4 5 11" xfId="37947"/>
    <cellStyle name="Normal 3 2 3 4 5 12" xfId="41979"/>
    <cellStyle name="Normal 3 2 3 4 5 13" xfId="46011"/>
    <cellStyle name="Normal 3 2 3 4 5 14" xfId="50089"/>
    <cellStyle name="Normal 3 2 3 4 5 2" xfId="6640"/>
    <cellStyle name="Normal 3 2 3 4 5 2 10" xfId="38898"/>
    <cellStyle name="Normal 3 2 3 4 5 2 11" xfId="42930"/>
    <cellStyle name="Normal 3 2 3 4 5 2 12" xfId="46962"/>
    <cellStyle name="Normal 3 2 3 4 5 2 13" xfId="51041"/>
    <cellStyle name="Normal 3 2 3 4 5 2 2" xfId="8656"/>
    <cellStyle name="Normal 3 2 3 4 5 2 2 10" xfId="44946"/>
    <cellStyle name="Normal 3 2 3 4 5 2 2 11" xfId="48978"/>
    <cellStyle name="Normal 3 2 3 4 5 2 2 12" xfId="53057"/>
    <cellStyle name="Normal 3 2 3 4 5 2 2 2" xfId="12690"/>
    <cellStyle name="Normal 3 2 3 4 5 2 2 3" xfId="16722"/>
    <cellStyle name="Normal 3 2 3 4 5 2 2 4" xfId="20754"/>
    <cellStyle name="Normal 3 2 3 4 5 2 2 5" xfId="24786"/>
    <cellStyle name="Normal 3 2 3 4 5 2 2 6" xfId="28818"/>
    <cellStyle name="Normal 3 2 3 4 5 2 2 7" xfId="32850"/>
    <cellStyle name="Normal 3 2 3 4 5 2 2 8" xfId="36882"/>
    <cellStyle name="Normal 3 2 3 4 5 2 2 9" xfId="40914"/>
    <cellStyle name="Normal 3 2 3 4 5 2 3" xfId="10674"/>
    <cellStyle name="Normal 3 2 3 4 5 2 4" xfId="14706"/>
    <cellStyle name="Normal 3 2 3 4 5 2 5" xfId="18738"/>
    <cellStyle name="Normal 3 2 3 4 5 2 6" xfId="22770"/>
    <cellStyle name="Normal 3 2 3 4 5 2 7" xfId="26802"/>
    <cellStyle name="Normal 3 2 3 4 5 2 8" xfId="30834"/>
    <cellStyle name="Normal 3 2 3 4 5 2 9" xfId="34866"/>
    <cellStyle name="Normal 3 2 3 4 5 3" xfId="7705"/>
    <cellStyle name="Normal 3 2 3 4 5 3 10" xfId="43995"/>
    <cellStyle name="Normal 3 2 3 4 5 3 11" xfId="48027"/>
    <cellStyle name="Normal 3 2 3 4 5 3 12" xfId="52106"/>
    <cellStyle name="Normal 3 2 3 4 5 3 2" xfId="11739"/>
    <cellStyle name="Normal 3 2 3 4 5 3 3" xfId="15771"/>
    <cellStyle name="Normal 3 2 3 4 5 3 4" xfId="19803"/>
    <cellStyle name="Normal 3 2 3 4 5 3 5" xfId="23835"/>
    <cellStyle name="Normal 3 2 3 4 5 3 6" xfId="27867"/>
    <cellStyle name="Normal 3 2 3 4 5 3 7" xfId="31899"/>
    <cellStyle name="Normal 3 2 3 4 5 3 8" xfId="35931"/>
    <cellStyle name="Normal 3 2 3 4 5 3 9" xfId="39963"/>
    <cellStyle name="Normal 3 2 3 4 5 4" xfId="9723"/>
    <cellStyle name="Normal 3 2 3 4 5 5" xfId="13755"/>
    <cellStyle name="Normal 3 2 3 4 5 6" xfId="17787"/>
    <cellStyle name="Normal 3 2 3 4 5 7" xfId="21819"/>
    <cellStyle name="Normal 3 2 3 4 5 8" xfId="25851"/>
    <cellStyle name="Normal 3 2 3 4 5 9" xfId="29883"/>
    <cellStyle name="Normal 3 2 3 4 6" xfId="4128"/>
    <cellStyle name="Normal 3 2 3 4 6 10" xfId="33984"/>
    <cellStyle name="Normal 3 2 3 4 6 11" xfId="38016"/>
    <cellStyle name="Normal 3 2 3 4 6 12" xfId="42048"/>
    <cellStyle name="Normal 3 2 3 4 6 13" xfId="46080"/>
    <cellStyle name="Normal 3 2 3 4 6 14" xfId="50158"/>
    <cellStyle name="Normal 3 2 3 4 6 2" xfId="6709"/>
    <cellStyle name="Normal 3 2 3 4 6 2 10" xfId="38967"/>
    <cellStyle name="Normal 3 2 3 4 6 2 11" xfId="42999"/>
    <cellStyle name="Normal 3 2 3 4 6 2 12" xfId="47031"/>
    <cellStyle name="Normal 3 2 3 4 6 2 13" xfId="51110"/>
    <cellStyle name="Normal 3 2 3 4 6 2 2" xfId="8725"/>
    <cellStyle name="Normal 3 2 3 4 6 2 2 10" xfId="45015"/>
    <cellStyle name="Normal 3 2 3 4 6 2 2 11" xfId="49047"/>
    <cellStyle name="Normal 3 2 3 4 6 2 2 12" xfId="53126"/>
    <cellStyle name="Normal 3 2 3 4 6 2 2 2" xfId="12759"/>
    <cellStyle name="Normal 3 2 3 4 6 2 2 3" xfId="16791"/>
    <cellStyle name="Normal 3 2 3 4 6 2 2 4" xfId="20823"/>
    <cellStyle name="Normal 3 2 3 4 6 2 2 5" xfId="24855"/>
    <cellStyle name="Normal 3 2 3 4 6 2 2 6" xfId="28887"/>
    <cellStyle name="Normal 3 2 3 4 6 2 2 7" xfId="32919"/>
    <cellStyle name="Normal 3 2 3 4 6 2 2 8" xfId="36951"/>
    <cellStyle name="Normal 3 2 3 4 6 2 2 9" xfId="40983"/>
    <cellStyle name="Normal 3 2 3 4 6 2 3" xfId="10743"/>
    <cellStyle name="Normal 3 2 3 4 6 2 4" xfId="14775"/>
    <cellStyle name="Normal 3 2 3 4 6 2 5" xfId="18807"/>
    <cellStyle name="Normal 3 2 3 4 6 2 6" xfId="22839"/>
    <cellStyle name="Normal 3 2 3 4 6 2 7" xfId="26871"/>
    <cellStyle name="Normal 3 2 3 4 6 2 8" xfId="30903"/>
    <cellStyle name="Normal 3 2 3 4 6 2 9" xfId="34935"/>
    <cellStyle name="Normal 3 2 3 4 6 3" xfId="7774"/>
    <cellStyle name="Normal 3 2 3 4 6 3 10" xfId="44064"/>
    <cellStyle name="Normal 3 2 3 4 6 3 11" xfId="48096"/>
    <cellStyle name="Normal 3 2 3 4 6 3 12" xfId="52175"/>
    <cellStyle name="Normal 3 2 3 4 6 3 2" xfId="11808"/>
    <cellStyle name="Normal 3 2 3 4 6 3 3" xfId="15840"/>
    <cellStyle name="Normal 3 2 3 4 6 3 4" xfId="19872"/>
    <cellStyle name="Normal 3 2 3 4 6 3 5" xfId="23904"/>
    <cellStyle name="Normal 3 2 3 4 6 3 6" xfId="27936"/>
    <cellStyle name="Normal 3 2 3 4 6 3 7" xfId="31968"/>
    <cellStyle name="Normal 3 2 3 4 6 3 8" xfId="36000"/>
    <cellStyle name="Normal 3 2 3 4 6 3 9" xfId="40032"/>
    <cellStyle name="Normal 3 2 3 4 6 4" xfId="9792"/>
    <cellStyle name="Normal 3 2 3 4 6 5" xfId="13824"/>
    <cellStyle name="Normal 3 2 3 4 6 6" xfId="17856"/>
    <cellStyle name="Normal 3 2 3 4 6 7" xfId="21888"/>
    <cellStyle name="Normal 3 2 3 4 6 8" xfId="25920"/>
    <cellStyle name="Normal 3 2 3 4 6 9" xfId="29952"/>
    <cellStyle name="Normal 3 2 3 4 7" xfId="4197"/>
    <cellStyle name="Normal 3 2 3 4 7 10" xfId="34053"/>
    <cellStyle name="Normal 3 2 3 4 7 11" xfId="38085"/>
    <cellStyle name="Normal 3 2 3 4 7 12" xfId="42117"/>
    <cellStyle name="Normal 3 2 3 4 7 13" xfId="46149"/>
    <cellStyle name="Normal 3 2 3 4 7 14" xfId="50227"/>
    <cellStyle name="Normal 3 2 3 4 7 2" xfId="6778"/>
    <cellStyle name="Normal 3 2 3 4 7 2 10" xfId="39036"/>
    <cellStyle name="Normal 3 2 3 4 7 2 11" xfId="43068"/>
    <cellStyle name="Normal 3 2 3 4 7 2 12" xfId="47100"/>
    <cellStyle name="Normal 3 2 3 4 7 2 13" xfId="51179"/>
    <cellStyle name="Normal 3 2 3 4 7 2 2" xfId="8794"/>
    <cellStyle name="Normal 3 2 3 4 7 2 2 10" xfId="45084"/>
    <cellStyle name="Normal 3 2 3 4 7 2 2 11" xfId="49116"/>
    <cellStyle name="Normal 3 2 3 4 7 2 2 12" xfId="53195"/>
    <cellStyle name="Normal 3 2 3 4 7 2 2 2" xfId="12828"/>
    <cellStyle name="Normal 3 2 3 4 7 2 2 3" xfId="16860"/>
    <cellStyle name="Normal 3 2 3 4 7 2 2 4" xfId="20892"/>
    <cellStyle name="Normal 3 2 3 4 7 2 2 5" xfId="24924"/>
    <cellStyle name="Normal 3 2 3 4 7 2 2 6" xfId="28956"/>
    <cellStyle name="Normal 3 2 3 4 7 2 2 7" xfId="32988"/>
    <cellStyle name="Normal 3 2 3 4 7 2 2 8" xfId="37020"/>
    <cellStyle name="Normal 3 2 3 4 7 2 2 9" xfId="41052"/>
    <cellStyle name="Normal 3 2 3 4 7 2 3" xfId="10812"/>
    <cellStyle name="Normal 3 2 3 4 7 2 4" xfId="14844"/>
    <cellStyle name="Normal 3 2 3 4 7 2 5" xfId="18876"/>
    <cellStyle name="Normal 3 2 3 4 7 2 6" xfId="22908"/>
    <cellStyle name="Normal 3 2 3 4 7 2 7" xfId="26940"/>
    <cellStyle name="Normal 3 2 3 4 7 2 8" xfId="30972"/>
    <cellStyle name="Normal 3 2 3 4 7 2 9" xfId="35004"/>
    <cellStyle name="Normal 3 2 3 4 7 3" xfId="7843"/>
    <cellStyle name="Normal 3 2 3 4 7 3 10" xfId="44133"/>
    <cellStyle name="Normal 3 2 3 4 7 3 11" xfId="48165"/>
    <cellStyle name="Normal 3 2 3 4 7 3 12" xfId="52244"/>
    <cellStyle name="Normal 3 2 3 4 7 3 2" xfId="11877"/>
    <cellStyle name="Normal 3 2 3 4 7 3 3" xfId="15909"/>
    <cellStyle name="Normal 3 2 3 4 7 3 4" xfId="19941"/>
    <cellStyle name="Normal 3 2 3 4 7 3 5" xfId="23973"/>
    <cellStyle name="Normal 3 2 3 4 7 3 6" xfId="28005"/>
    <cellStyle name="Normal 3 2 3 4 7 3 7" xfId="32037"/>
    <cellStyle name="Normal 3 2 3 4 7 3 8" xfId="36069"/>
    <cellStyle name="Normal 3 2 3 4 7 3 9" xfId="40101"/>
    <cellStyle name="Normal 3 2 3 4 7 4" xfId="9861"/>
    <cellStyle name="Normal 3 2 3 4 7 5" xfId="13893"/>
    <cellStyle name="Normal 3 2 3 4 7 6" xfId="17925"/>
    <cellStyle name="Normal 3 2 3 4 7 7" xfId="21957"/>
    <cellStyle name="Normal 3 2 3 4 7 8" xfId="25989"/>
    <cellStyle name="Normal 3 2 3 4 7 9" xfId="30021"/>
    <cellStyle name="Normal 3 2 3 4 8" xfId="4270"/>
    <cellStyle name="Normal 3 2 3 4 8 10" xfId="34122"/>
    <cellStyle name="Normal 3 2 3 4 8 11" xfId="38154"/>
    <cellStyle name="Normal 3 2 3 4 8 12" xfId="42186"/>
    <cellStyle name="Normal 3 2 3 4 8 13" xfId="46218"/>
    <cellStyle name="Normal 3 2 3 4 8 14" xfId="50296"/>
    <cellStyle name="Normal 3 2 3 4 8 2" xfId="6847"/>
    <cellStyle name="Normal 3 2 3 4 8 2 10" xfId="39105"/>
    <cellStyle name="Normal 3 2 3 4 8 2 11" xfId="43137"/>
    <cellStyle name="Normal 3 2 3 4 8 2 12" xfId="47169"/>
    <cellStyle name="Normal 3 2 3 4 8 2 13" xfId="51248"/>
    <cellStyle name="Normal 3 2 3 4 8 2 2" xfId="8863"/>
    <cellStyle name="Normal 3 2 3 4 8 2 2 10" xfId="45153"/>
    <cellStyle name="Normal 3 2 3 4 8 2 2 11" xfId="49185"/>
    <cellStyle name="Normal 3 2 3 4 8 2 2 12" xfId="53264"/>
    <cellStyle name="Normal 3 2 3 4 8 2 2 2" xfId="12897"/>
    <cellStyle name="Normal 3 2 3 4 8 2 2 3" xfId="16929"/>
    <cellStyle name="Normal 3 2 3 4 8 2 2 4" xfId="20961"/>
    <cellStyle name="Normal 3 2 3 4 8 2 2 5" xfId="24993"/>
    <cellStyle name="Normal 3 2 3 4 8 2 2 6" xfId="29025"/>
    <cellStyle name="Normal 3 2 3 4 8 2 2 7" xfId="33057"/>
    <cellStyle name="Normal 3 2 3 4 8 2 2 8" xfId="37089"/>
    <cellStyle name="Normal 3 2 3 4 8 2 2 9" xfId="41121"/>
    <cellStyle name="Normal 3 2 3 4 8 2 3" xfId="10881"/>
    <cellStyle name="Normal 3 2 3 4 8 2 4" xfId="14913"/>
    <cellStyle name="Normal 3 2 3 4 8 2 5" xfId="18945"/>
    <cellStyle name="Normal 3 2 3 4 8 2 6" xfId="22977"/>
    <cellStyle name="Normal 3 2 3 4 8 2 7" xfId="27009"/>
    <cellStyle name="Normal 3 2 3 4 8 2 8" xfId="31041"/>
    <cellStyle name="Normal 3 2 3 4 8 2 9" xfId="35073"/>
    <cellStyle name="Normal 3 2 3 4 8 3" xfId="7912"/>
    <cellStyle name="Normal 3 2 3 4 8 3 10" xfId="44202"/>
    <cellStyle name="Normal 3 2 3 4 8 3 11" xfId="48234"/>
    <cellStyle name="Normal 3 2 3 4 8 3 12" xfId="52313"/>
    <cellStyle name="Normal 3 2 3 4 8 3 2" xfId="11946"/>
    <cellStyle name="Normal 3 2 3 4 8 3 3" xfId="15978"/>
    <cellStyle name="Normal 3 2 3 4 8 3 4" xfId="20010"/>
    <cellStyle name="Normal 3 2 3 4 8 3 5" xfId="24042"/>
    <cellStyle name="Normal 3 2 3 4 8 3 6" xfId="28074"/>
    <cellStyle name="Normal 3 2 3 4 8 3 7" xfId="32106"/>
    <cellStyle name="Normal 3 2 3 4 8 3 8" xfId="36138"/>
    <cellStyle name="Normal 3 2 3 4 8 3 9" xfId="40170"/>
    <cellStyle name="Normal 3 2 3 4 8 4" xfId="9930"/>
    <cellStyle name="Normal 3 2 3 4 8 5" xfId="13962"/>
    <cellStyle name="Normal 3 2 3 4 8 6" xfId="17994"/>
    <cellStyle name="Normal 3 2 3 4 8 7" xfId="22026"/>
    <cellStyle name="Normal 3 2 3 4 8 8" xfId="26058"/>
    <cellStyle name="Normal 3 2 3 4 8 9" xfId="30090"/>
    <cellStyle name="Normal 3 2 3 4 9" xfId="4416"/>
    <cellStyle name="Normal 3 2 3 4 9 10" xfId="34260"/>
    <cellStyle name="Normal 3 2 3 4 9 11" xfId="38292"/>
    <cellStyle name="Normal 3 2 3 4 9 12" xfId="42324"/>
    <cellStyle name="Normal 3 2 3 4 9 13" xfId="46356"/>
    <cellStyle name="Normal 3 2 3 4 9 14" xfId="50435"/>
    <cellStyle name="Normal 3 2 3 4 9 2" xfId="6985"/>
    <cellStyle name="Normal 3 2 3 4 9 2 10" xfId="39243"/>
    <cellStyle name="Normal 3 2 3 4 9 2 11" xfId="43275"/>
    <cellStyle name="Normal 3 2 3 4 9 2 12" xfId="47307"/>
    <cellStyle name="Normal 3 2 3 4 9 2 13" xfId="51386"/>
    <cellStyle name="Normal 3 2 3 4 9 2 2" xfId="9001"/>
    <cellStyle name="Normal 3 2 3 4 9 2 2 10" xfId="45291"/>
    <cellStyle name="Normal 3 2 3 4 9 2 2 11" xfId="49323"/>
    <cellStyle name="Normal 3 2 3 4 9 2 2 12" xfId="53402"/>
    <cellStyle name="Normal 3 2 3 4 9 2 2 2" xfId="13035"/>
    <cellStyle name="Normal 3 2 3 4 9 2 2 3" xfId="17067"/>
    <cellStyle name="Normal 3 2 3 4 9 2 2 4" xfId="21099"/>
    <cellStyle name="Normal 3 2 3 4 9 2 2 5" xfId="25131"/>
    <cellStyle name="Normal 3 2 3 4 9 2 2 6" xfId="29163"/>
    <cellStyle name="Normal 3 2 3 4 9 2 2 7" xfId="33195"/>
    <cellStyle name="Normal 3 2 3 4 9 2 2 8" xfId="37227"/>
    <cellStyle name="Normal 3 2 3 4 9 2 2 9" xfId="41259"/>
    <cellStyle name="Normal 3 2 3 4 9 2 3" xfId="11019"/>
    <cellStyle name="Normal 3 2 3 4 9 2 4" xfId="15051"/>
    <cellStyle name="Normal 3 2 3 4 9 2 5" xfId="19083"/>
    <cellStyle name="Normal 3 2 3 4 9 2 6" xfId="23115"/>
    <cellStyle name="Normal 3 2 3 4 9 2 7" xfId="27147"/>
    <cellStyle name="Normal 3 2 3 4 9 2 8" xfId="31179"/>
    <cellStyle name="Normal 3 2 3 4 9 2 9" xfId="35211"/>
    <cellStyle name="Normal 3 2 3 4 9 3" xfId="8050"/>
    <cellStyle name="Normal 3 2 3 4 9 3 10" xfId="44340"/>
    <cellStyle name="Normal 3 2 3 4 9 3 11" xfId="48372"/>
    <cellStyle name="Normal 3 2 3 4 9 3 12" xfId="52451"/>
    <cellStyle name="Normal 3 2 3 4 9 3 2" xfId="12084"/>
    <cellStyle name="Normal 3 2 3 4 9 3 3" xfId="16116"/>
    <cellStyle name="Normal 3 2 3 4 9 3 4" xfId="20148"/>
    <cellStyle name="Normal 3 2 3 4 9 3 5" xfId="24180"/>
    <cellStyle name="Normal 3 2 3 4 9 3 6" xfId="28212"/>
    <cellStyle name="Normal 3 2 3 4 9 3 7" xfId="32244"/>
    <cellStyle name="Normal 3 2 3 4 9 3 8" xfId="36276"/>
    <cellStyle name="Normal 3 2 3 4 9 3 9" xfId="40308"/>
    <cellStyle name="Normal 3 2 3 4 9 4" xfId="10068"/>
    <cellStyle name="Normal 3 2 3 4 9 5" xfId="14100"/>
    <cellStyle name="Normal 3 2 3 4 9 6" xfId="18132"/>
    <cellStyle name="Normal 3 2 3 4 9 7" xfId="22164"/>
    <cellStyle name="Normal 3 2 3 4 9 8" xfId="26196"/>
    <cellStyle name="Normal 3 2 3 4 9 9" xfId="30228"/>
    <cellStyle name="Normal 3 2 3 5" xfId="55"/>
    <cellStyle name="Normal 3 2 3 5 10" xfId="333"/>
    <cellStyle name="Normal 3 2 3 5 10 10" xfId="37538"/>
    <cellStyle name="Normal 3 2 3 5 10 11" xfId="41570"/>
    <cellStyle name="Normal 3 2 3 5 10 12" xfId="45602"/>
    <cellStyle name="Normal 3 2 3 5 10 13" xfId="49680"/>
    <cellStyle name="Normal 3 2 3 5 10 2" xfId="7296"/>
    <cellStyle name="Normal 3 2 3 5 10 2 10" xfId="43586"/>
    <cellStyle name="Normal 3 2 3 5 10 2 11" xfId="47618"/>
    <cellStyle name="Normal 3 2 3 5 10 2 12" xfId="51697"/>
    <cellStyle name="Normal 3 2 3 5 10 2 2" xfId="11330"/>
    <cellStyle name="Normal 3 2 3 5 10 2 3" xfId="15362"/>
    <cellStyle name="Normal 3 2 3 5 10 2 4" xfId="19394"/>
    <cellStyle name="Normal 3 2 3 5 10 2 5" xfId="23426"/>
    <cellStyle name="Normal 3 2 3 5 10 2 6" xfId="27458"/>
    <cellStyle name="Normal 3 2 3 5 10 2 7" xfId="31490"/>
    <cellStyle name="Normal 3 2 3 5 10 2 8" xfId="35522"/>
    <cellStyle name="Normal 3 2 3 5 10 2 9" xfId="39554"/>
    <cellStyle name="Normal 3 2 3 5 10 3" xfId="9314"/>
    <cellStyle name="Normal 3 2 3 5 10 4" xfId="13346"/>
    <cellStyle name="Normal 3 2 3 5 10 5" xfId="17378"/>
    <cellStyle name="Normal 3 2 3 5 10 6" xfId="21410"/>
    <cellStyle name="Normal 3 2 3 5 10 7" xfId="25442"/>
    <cellStyle name="Normal 3 2 3 5 10 8" xfId="29474"/>
    <cellStyle name="Normal 3 2 3 5 10 9" xfId="33506"/>
    <cellStyle name="Normal 3 2 3 5 11" xfId="7104"/>
    <cellStyle name="Normal 3 2 3 5 11 10" xfId="43394"/>
    <cellStyle name="Normal 3 2 3 5 11 11" xfId="47426"/>
    <cellStyle name="Normal 3 2 3 5 11 12" xfId="51505"/>
    <cellStyle name="Normal 3 2 3 5 11 2" xfId="11138"/>
    <cellStyle name="Normal 3 2 3 5 11 3" xfId="15170"/>
    <cellStyle name="Normal 3 2 3 5 11 4" xfId="19202"/>
    <cellStyle name="Normal 3 2 3 5 11 5" xfId="23234"/>
    <cellStyle name="Normal 3 2 3 5 11 6" xfId="27266"/>
    <cellStyle name="Normal 3 2 3 5 11 7" xfId="31298"/>
    <cellStyle name="Normal 3 2 3 5 11 8" xfId="35330"/>
    <cellStyle name="Normal 3 2 3 5 11 9" xfId="39362"/>
    <cellStyle name="Normal 3 2 3 5 12" xfId="130"/>
    <cellStyle name="Normal 3 2 3 5 13" xfId="9122"/>
    <cellStyle name="Normal 3 2 3 5 14" xfId="13154"/>
    <cellStyle name="Normal 3 2 3 5 15" xfId="17186"/>
    <cellStyle name="Normal 3 2 3 5 16" xfId="21218"/>
    <cellStyle name="Normal 3 2 3 5 17" xfId="25250"/>
    <cellStyle name="Normal 3 2 3 5 18" xfId="29282"/>
    <cellStyle name="Normal 3 2 3 5 19" xfId="33314"/>
    <cellStyle name="Normal 3 2 3 5 2" xfId="209"/>
    <cellStyle name="Normal 3 2 3 5 2 10" xfId="21287"/>
    <cellStyle name="Normal 3 2 3 5 2 11" xfId="25319"/>
    <cellStyle name="Normal 3 2 3 5 2 12" xfId="29351"/>
    <cellStyle name="Normal 3 2 3 5 2 13" xfId="33383"/>
    <cellStyle name="Normal 3 2 3 5 2 14" xfId="37415"/>
    <cellStyle name="Normal 3 2 3 5 2 15" xfId="41447"/>
    <cellStyle name="Normal 3 2 3 5 2 16" xfId="45479"/>
    <cellStyle name="Normal 3 2 3 5 2 17" xfId="49557"/>
    <cellStyle name="Normal 3 2 3 5 2 2" xfId="4327"/>
    <cellStyle name="Normal 3 2 3 5 2 2 10" xfId="34172"/>
    <cellStyle name="Normal 3 2 3 5 2 2 11" xfId="38204"/>
    <cellStyle name="Normal 3 2 3 5 2 2 12" xfId="42236"/>
    <cellStyle name="Normal 3 2 3 5 2 2 13" xfId="46268"/>
    <cellStyle name="Normal 3 2 3 5 2 2 14" xfId="50347"/>
    <cellStyle name="Normal 3 2 3 5 2 2 2" xfId="6897"/>
    <cellStyle name="Normal 3 2 3 5 2 2 2 10" xfId="39155"/>
    <cellStyle name="Normal 3 2 3 5 2 2 2 11" xfId="43187"/>
    <cellStyle name="Normal 3 2 3 5 2 2 2 12" xfId="47219"/>
    <cellStyle name="Normal 3 2 3 5 2 2 2 13" xfId="51298"/>
    <cellStyle name="Normal 3 2 3 5 2 2 2 2" xfId="8913"/>
    <cellStyle name="Normal 3 2 3 5 2 2 2 2 10" xfId="45203"/>
    <cellStyle name="Normal 3 2 3 5 2 2 2 2 11" xfId="49235"/>
    <cellStyle name="Normal 3 2 3 5 2 2 2 2 12" xfId="53314"/>
    <cellStyle name="Normal 3 2 3 5 2 2 2 2 2" xfId="12947"/>
    <cellStyle name="Normal 3 2 3 5 2 2 2 2 3" xfId="16979"/>
    <cellStyle name="Normal 3 2 3 5 2 2 2 2 4" xfId="21011"/>
    <cellStyle name="Normal 3 2 3 5 2 2 2 2 5" xfId="25043"/>
    <cellStyle name="Normal 3 2 3 5 2 2 2 2 6" xfId="29075"/>
    <cellStyle name="Normal 3 2 3 5 2 2 2 2 7" xfId="33107"/>
    <cellStyle name="Normal 3 2 3 5 2 2 2 2 8" xfId="37139"/>
    <cellStyle name="Normal 3 2 3 5 2 2 2 2 9" xfId="41171"/>
    <cellStyle name="Normal 3 2 3 5 2 2 2 3" xfId="10931"/>
    <cellStyle name="Normal 3 2 3 5 2 2 2 4" xfId="14963"/>
    <cellStyle name="Normal 3 2 3 5 2 2 2 5" xfId="18995"/>
    <cellStyle name="Normal 3 2 3 5 2 2 2 6" xfId="23027"/>
    <cellStyle name="Normal 3 2 3 5 2 2 2 7" xfId="27059"/>
    <cellStyle name="Normal 3 2 3 5 2 2 2 8" xfId="31091"/>
    <cellStyle name="Normal 3 2 3 5 2 2 2 9" xfId="35123"/>
    <cellStyle name="Normal 3 2 3 5 2 2 3" xfId="7962"/>
    <cellStyle name="Normal 3 2 3 5 2 2 3 10" xfId="44252"/>
    <cellStyle name="Normal 3 2 3 5 2 2 3 11" xfId="48284"/>
    <cellStyle name="Normal 3 2 3 5 2 2 3 12" xfId="52363"/>
    <cellStyle name="Normal 3 2 3 5 2 2 3 2" xfId="11996"/>
    <cellStyle name="Normal 3 2 3 5 2 2 3 3" xfId="16028"/>
    <cellStyle name="Normal 3 2 3 5 2 2 3 4" xfId="20060"/>
    <cellStyle name="Normal 3 2 3 5 2 2 3 5" xfId="24092"/>
    <cellStyle name="Normal 3 2 3 5 2 2 3 6" xfId="28124"/>
    <cellStyle name="Normal 3 2 3 5 2 2 3 7" xfId="32156"/>
    <cellStyle name="Normal 3 2 3 5 2 2 3 8" xfId="36188"/>
    <cellStyle name="Normal 3 2 3 5 2 2 3 9" xfId="40220"/>
    <cellStyle name="Normal 3 2 3 5 2 2 4" xfId="9980"/>
    <cellStyle name="Normal 3 2 3 5 2 2 5" xfId="14012"/>
    <cellStyle name="Normal 3 2 3 5 2 2 6" xfId="18044"/>
    <cellStyle name="Normal 3 2 3 5 2 2 7" xfId="22076"/>
    <cellStyle name="Normal 3 2 3 5 2 2 8" xfId="26108"/>
    <cellStyle name="Normal 3 2 3 5 2 2 9" xfId="30140"/>
    <cellStyle name="Normal 3 2 3 5 2 3" xfId="4466"/>
    <cellStyle name="Normal 3 2 3 5 2 3 10" xfId="34310"/>
    <cellStyle name="Normal 3 2 3 5 2 3 11" xfId="38342"/>
    <cellStyle name="Normal 3 2 3 5 2 3 12" xfId="42374"/>
    <cellStyle name="Normal 3 2 3 5 2 3 13" xfId="46406"/>
    <cellStyle name="Normal 3 2 3 5 2 3 14" xfId="50485"/>
    <cellStyle name="Normal 3 2 3 5 2 3 2" xfId="7035"/>
    <cellStyle name="Normal 3 2 3 5 2 3 2 10" xfId="39293"/>
    <cellStyle name="Normal 3 2 3 5 2 3 2 11" xfId="43325"/>
    <cellStyle name="Normal 3 2 3 5 2 3 2 12" xfId="47357"/>
    <cellStyle name="Normal 3 2 3 5 2 3 2 13" xfId="51436"/>
    <cellStyle name="Normal 3 2 3 5 2 3 2 2" xfId="9051"/>
    <cellStyle name="Normal 3 2 3 5 2 3 2 2 10" xfId="45341"/>
    <cellStyle name="Normal 3 2 3 5 2 3 2 2 11" xfId="49373"/>
    <cellStyle name="Normal 3 2 3 5 2 3 2 2 12" xfId="53452"/>
    <cellStyle name="Normal 3 2 3 5 2 3 2 2 2" xfId="13085"/>
    <cellStyle name="Normal 3 2 3 5 2 3 2 2 3" xfId="17117"/>
    <cellStyle name="Normal 3 2 3 5 2 3 2 2 4" xfId="21149"/>
    <cellStyle name="Normal 3 2 3 5 2 3 2 2 5" xfId="25181"/>
    <cellStyle name="Normal 3 2 3 5 2 3 2 2 6" xfId="29213"/>
    <cellStyle name="Normal 3 2 3 5 2 3 2 2 7" xfId="33245"/>
    <cellStyle name="Normal 3 2 3 5 2 3 2 2 8" xfId="37277"/>
    <cellStyle name="Normal 3 2 3 5 2 3 2 2 9" xfId="41309"/>
    <cellStyle name="Normal 3 2 3 5 2 3 2 3" xfId="11069"/>
    <cellStyle name="Normal 3 2 3 5 2 3 2 4" xfId="15101"/>
    <cellStyle name="Normal 3 2 3 5 2 3 2 5" xfId="19133"/>
    <cellStyle name="Normal 3 2 3 5 2 3 2 6" xfId="23165"/>
    <cellStyle name="Normal 3 2 3 5 2 3 2 7" xfId="27197"/>
    <cellStyle name="Normal 3 2 3 5 2 3 2 8" xfId="31229"/>
    <cellStyle name="Normal 3 2 3 5 2 3 2 9" xfId="35261"/>
    <cellStyle name="Normal 3 2 3 5 2 3 3" xfId="8100"/>
    <cellStyle name="Normal 3 2 3 5 2 3 3 10" xfId="44390"/>
    <cellStyle name="Normal 3 2 3 5 2 3 3 11" xfId="48422"/>
    <cellStyle name="Normal 3 2 3 5 2 3 3 12" xfId="52501"/>
    <cellStyle name="Normal 3 2 3 5 2 3 3 2" xfId="12134"/>
    <cellStyle name="Normal 3 2 3 5 2 3 3 3" xfId="16166"/>
    <cellStyle name="Normal 3 2 3 5 2 3 3 4" xfId="20198"/>
    <cellStyle name="Normal 3 2 3 5 2 3 3 5" xfId="24230"/>
    <cellStyle name="Normal 3 2 3 5 2 3 3 6" xfId="28262"/>
    <cellStyle name="Normal 3 2 3 5 2 3 3 7" xfId="32294"/>
    <cellStyle name="Normal 3 2 3 5 2 3 3 8" xfId="36326"/>
    <cellStyle name="Normal 3 2 3 5 2 3 3 9" xfId="40358"/>
    <cellStyle name="Normal 3 2 3 5 2 3 4" xfId="10118"/>
    <cellStyle name="Normal 3 2 3 5 2 3 5" xfId="14150"/>
    <cellStyle name="Normal 3 2 3 5 2 3 6" xfId="18182"/>
    <cellStyle name="Normal 3 2 3 5 2 3 7" xfId="22214"/>
    <cellStyle name="Normal 3 2 3 5 2 3 8" xfId="26246"/>
    <cellStyle name="Normal 3 2 3 5 2 3 9" xfId="30278"/>
    <cellStyle name="Normal 3 2 3 5 2 4" xfId="4606"/>
    <cellStyle name="Normal 3 2 3 5 2 4 10" xfId="38480"/>
    <cellStyle name="Normal 3 2 3 5 2 4 11" xfId="42512"/>
    <cellStyle name="Normal 3 2 3 5 2 4 12" xfId="46544"/>
    <cellStyle name="Normal 3 2 3 5 2 4 13" xfId="50623"/>
    <cellStyle name="Normal 3 2 3 5 2 4 2" xfId="8238"/>
    <cellStyle name="Normal 3 2 3 5 2 4 2 10" xfId="44528"/>
    <cellStyle name="Normal 3 2 3 5 2 4 2 11" xfId="48560"/>
    <cellStyle name="Normal 3 2 3 5 2 4 2 12" xfId="52639"/>
    <cellStyle name="Normal 3 2 3 5 2 4 2 2" xfId="12272"/>
    <cellStyle name="Normal 3 2 3 5 2 4 2 3" xfId="16304"/>
    <cellStyle name="Normal 3 2 3 5 2 4 2 4" xfId="20336"/>
    <cellStyle name="Normal 3 2 3 5 2 4 2 5" xfId="24368"/>
    <cellStyle name="Normal 3 2 3 5 2 4 2 6" xfId="28400"/>
    <cellStyle name="Normal 3 2 3 5 2 4 2 7" xfId="32432"/>
    <cellStyle name="Normal 3 2 3 5 2 4 2 8" xfId="36464"/>
    <cellStyle name="Normal 3 2 3 5 2 4 2 9" xfId="40496"/>
    <cellStyle name="Normal 3 2 3 5 2 4 3" xfId="10256"/>
    <cellStyle name="Normal 3 2 3 5 2 4 4" xfId="14288"/>
    <cellStyle name="Normal 3 2 3 5 2 4 5" xfId="18320"/>
    <cellStyle name="Normal 3 2 3 5 2 4 6" xfId="22352"/>
    <cellStyle name="Normal 3 2 3 5 2 4 7" xfId="26384"/>
    <cellStyle name="Normal 3 2 3 5 2 4 8" xfId="30416"/>
    <cellStyle name="Normal 3 2 3 5 2 4 9" xfId="34448"/>
    <cellStyle name="Normal 3 2 3 5 2 5" xfId="1643"/>
    <cellStyle name="Normal 3 2 3 5 2 5 10" xfId="37636"/>
    <cellStyle name="Normal 3 2 3 5 2 5 11" xfId="41668"/>
    <cellStyle name="Normal 3 2 3 5 2 5 12" xfId="45700"/>
    <cellStyle name="Normal 3 2 3 5 2 5 13" xfId="49778"/>
    <cellStyle name="Normal 3 2 3 5 2 5 2" xfId="7394"/>
    <cellStyle name="Normal 3 2 3 5 2 5 2 10" xfId="43684"/>
    <cellStyle name="Normal 3 2 3 5 2 5 2 11" xfId="47716"/>
    <cellStyle name="Normal 3 2 3 5 2 5 2 12" xfId="51795"/>
    <cellStyle name="Normal 3 2 3 5 2 5 2 2" xfId="11428"/>
    <cellStyle name="Normal 3 2 3 5 2 5 2 3" xfId="15460"/>
    <cellStyle name="Normal 3 2 3 5 2 5 2 4" xfId="19492"/>
    <cellStyle name="Normal 3 2 3 5 2 5 2 5" xfId="23524"/>
    <cellStyle name="Normal 3 2 3 5 2 5 2 6" xfId="27556"/>
    <cellStyle name="Normal 3 2 3 5 2 5 2 7" xfId="31588"/>
    <cellStyle name="Normal 3 2 3 5 2 5 2 8" xfId="35620"/>
    <cellStyle name="Normal 3 2 3 5 2 5 2 9" xfId="39652"/>
    <cellStyle name="Normal 3 2 3 5 2 5 3" xfId="9412"/>
    <cellStyle name="Normal 3 2 3 5 2 5 4" xfId="13444"/>
    <cellStyle name="Normal 3 2 3 5 2 5 5" xfId="17476"/>
    <cellStyle name="Normal 3 2 3 5 2 5 6" xfId="21508"/>
    <cellStyle name="Normal 3 2 3 5 2 5 7" xfId="25540"/>
    <cellStyle name="Normal 3 2 3 5 2 5 8" xfId="29572"/>
    <cellStyle name="Normal 3 2 3 5 2 5 9" xfId="33604"/>
    <cellStyle name="Normal 3 2 3 5 2 6" xfId="7173"/>
    <cellStyle name="Normal 3 2 3 5 2 6 10" xfId="43463"/>
    <cellStyle name="Normal 3 2 3 5 2 6 11" xfId="47495"/>
    <cellStyle name="Normal 3 2 3 5 2 6 12" xfId="51574"/>
    <cellStyle name="Normal 3 2 3 5 2 6 2" xfId="11207"/>
    <cellStyle name="Normal 3 2 3 5 2 6 3" xfId="15239"/>
    <cellStyle name="Normal 3 2 3 5 2 6 4" xfId="19271"/>
    <cellStyle name="Normal 3 2 3 5 2 6 5" xfId="23303"/>
    <cellStyle name="Normal 3 2 3 5 2 6 6" xfId="27335"/>
    <cellStyle name="Normal 3 2 3 5 2 6 7" xfId="31367"/>
    <cellStyle name="Normal 3 2 3 5 2 6 8" xfId="35399"/>
    <cellStyle name="Normal 3 2 3 5 2 6 9" xfId="39431"/>
    <cellStyle name="Normal 3 2 3 5 2 7" xfId="9191"/>
    <cellStyle name="Normal 3 2 3 5 2 8" xfId="13223"/>
    <cellStyle name="Normal 3 2 3 5 2 9" xfId="17255"/>
    <cellStyle name="Normal 3 2 3 5 20" xfId="37346"/>
    <cellStyle name="Normal 3 2 3 5 21" xfId="41378"/>
    <cellStyle name="Normal 3 2 3 5 22" xfId="45410"/>
    <cellStyle name="Normal 3 2 3 5 23" xfId="49488"/>
    <cellStyle name="Normal 3 2 3 5 3" xfId="1717"/>
    <cellStyle name="Normal 3 2 3 5 3 10" xfId="33673"/>
    <cellStyle name="Normal 3 2 3 5 3 11" xfId="37705"/>
    <cellStyle name="Normal 3 2 3 5 3 12" xfId="41737"/>
    <cellStyle name="Normal 3 2 3 5 3 13" xfId="45769"/>
    <cellStyle name="Normal 3 2 3 5 3 14" xfId="49847"/>
    <cellStyle name="Normal 3 2 3 5 3 2" xfId="5388"/>
    <cellStyle name="Normal 3 2 3 5 3 2 10" xfId="38656"/>
    <cellStyle name="Normal 3 2 3 5 3 2 11" xfId="42688"/>
    <cellStyle name="Normal 3 2 3 5 3 2 12" xfId="46720"/>
    <cellStyle name="Normal 3 2 3 5 3 2 13" xfId="50799"/>
    <cellStyle name="Normal 3 2 3 5 3 2 2" xfId="8414"/>
    <cellStyle name="Normal 3 2 3 5 3 2 2 10" xfId="44704"/>
    <cellStyle name="Normal 3 2 3 5 3 2 2 11" xfId="48736"/>
    <cellStyle name="Normal 3 2 3 5 3 2 2 12" xfId="52815"/>
    <cellStyle name="Normal 3 2 3 5 3 2 2 2" xfId="12448"/>
    <cellStyle name="Normal 3 2 3 5 3 2 2 3" xfId="16480"/>
    <cellStyle name="Normal 3 2 3 5 3 2 2 4" xfId="20512"/>
    <cellStyle name="Normal 3 2 3 5 3 2 2 5" xfId="24544"/>
    <cellStyle name="Normal 3 2 3 5 3 2 2 6" xfId="28576"/>
    <cellStyle name="Normal 3 2 3 5 3 2 2 7" xfId="32608"/>
    <cellStyle name="Normal 3 2 3 5 3 2 2 8" xfId="36640"/>
    <cellStyle name="Normal 3 2 3 5 3 2 2 9" xfId="40672"/>
    <cellStyle name="Normal 3 2 3 5 3 2 3" xfId="10432"/>
    <cellStyle name="Normal 3 2 3 5 3 2 4" xfId="14464"/>
    <cellStyle name="Normal 3 2 3 5 3 2 5" xfId="18496"/>
    <cellStyle name="Normal 3 2 3 5 3 2 6" xfId="22528"/>
    <cellStyle name="Normal 3 2 3 5 3 2 7" xfId="26560"/>
    <cellStyle name="Normal 3 2 3 5 3 2 8" xfId="30592"/>
    <cellStyle name="Normal 3 2 3 5 3 2 9" xfId="34624"/>
    <cellStyle name="Normal 3 2 3 5 3 3" xfId="7463"/>
    <cellStyle name="Normal 3 2 3 5 3 3 10" xfId="43753"/>
    <cellStyle name="Normal 3 2 3 5 3 3 11" xfId="47785"/>
    <cellStyle name="Normal 3 2 3 5 3 3 12" xfId="51864"/>
    <cellStyle name="Normal 3 2 3 5 3 3 2" xfId="11497"/>
    <cellStyle name="Normal 3 2 3 5 3 3 3" xfId="15529"/>
    <cellStyle name="Normal 3 2 3 5 3 3 4" xfId="19561"/>
    <cellStyle name="Normal 3 2 3 5 3 3 5" xfId="23593"/>
    <cellStyle name="Normal 3 2 3 5 3 3 6" xfId="27625"/>
    <cellStyle name="Normal 3 2 3 5 3 3 7" xfId="31657"/>
    <cellStyle name="Normal 3 2 3 5 3 3 8" xfId="35689"/>
    <cellStyle name="Normal 3 2 3 5 3 3 9" xfId="39721"/>
    <cellStyle name="Normal 3 2 3 5 3 4" xfId="9481"/>
    <cellStyle name="Normal 3 2 3 5 3 5" xfId="13513"/>
    <cellStyle name="Normal 3 2 3 5 3 6" xfId="17545"/>
    <cellStyle name="Normal 3 2 3 5 3 7" xfId="21577"/>
    <cellStyle name="Normal 3 2 3 5 3 8" xfId="25609"/>
    <cellStyle name="Normal 3 2 3 5 3 9" xfId="29641"/>
    <cellStyle name="Normal 3 2 3 5 4" xfId="4039"/>
    <cellStyle name="Normal 3 2 3 5 4 10" xfId="33896"/>
    <cellStyle name="Normal 3 2 3 5 4 11" xfId="37928"/>
    <cellStyle name="Normal 3 2 3 5 4 12" xfId="41960"/>
    <cellStyle name="Normal 3 2 3 5 4 13" xfId="45992"/>
    <cellStyle name="Normal 3 2 3 5 4 14" xfId="50070"/>
    <cellStyle name="Normal 3 2 3 5 4 2" xfId="6621"/>
    <cellStyle name="Normal 3 2 3 5 4 2 10" xfId="38879"/>
    <cellStyle name="Normal 3 2 3 5 4 2 11" xfId="42911"/>
    <cellStyle name="Normal 3 2 3 5 4 2 12" xfId="46943"/>
    <cellStyle name="Normal 3 2 3 5 4 2 13" xfId="51022"/>
    <cellStyle name="Normal 3 2 3 5 4 2 2" xfId="8637"/>
    <cellStyle name="Normal 3 2 3 5 4 2 2 10" xfId="44927"/>
    <cellStyle name="Normal 3 2 3 5 4 2 2 11" xfId="48959"/>
    <cellStyle name="Normal 3 2 3 5 4 2 2 12" xfId="53038"/>
    <cellStyle name="Normal 3 2 3 5 4 2 2 2" xfId="12671"/>
    <cellStyle name="Normal 3 2 3 5 4 2 2 3" xfId="16703"/>
    <cellStyle name="Normal 3 2 3 5 4 2 2 4" xfId="20735"/>
    <cellStyle name="Normal 3 2 3 5 4 2 2 5" xfId="24767"/>
    <cellStyle name="Normal 3 2 3 5 4 2 2 6" xfId="28799"/>
    <cellStyle name="Normal 3 2 3 5 4 2 2 7" xfId="32831"/>
    <cellStyle name="Normal 3 2 3 5 4 2 2 8" xfId="36863"/>
    <cellStyle name="Normal 3 2 3 5 4 2 2 9" xfId="40895"/>
    <cellStyle name="Normal 3 2 3 5 4 2 3" xfId="10655"/>
    <cellStyle name="Normal 3 2 3 5 4 2 4" xfId="14687"/>
    <cellStyle name="Normal 3 2 3 5 4 2 5" xfId="18719"/>
    <cellStyle name="Normal 3 2 3 5 4 2 6" xfId="22751"/>
    <cellStyle name="Normal 3 2 3 5 4 2 7" xfId="26783"/>
    <cellStyle name="Normal 3 2 3 5 4 2 8" xfId="30815"/>
    <cellStyle name="Normal 3 2 3 5 4 2 9" xfId="34847"/>
    <cellStyle name="Normal 3 2 3 5 4 3" xfId="7686"/>
    <cellStyle name="Normal 3 2 3 5 4 3 10" xfId="43976"/>
    <cellStyle name="Normal 3 2 3 5 4 3 11" xfId="48008"/>
    <cellStyle name="Normal 3 2 3 5 4 3 12" xfId="52087"/>
    <cellStyle name="Normal 3 2 3 5 4 3 2" xfId="11720"/>
    <cellStyle name="Normal 3 2 3 5 4 3 3" xfId="15752"/>
    <cellStyle name="Normal 3 2 3 5 4 3 4" xfId="19784"/>
    <cellStyle name="Normal 3 2 3 5 4 3 5" xfId="23816"/>
    <cellStyle name="Normal 3 2 3 5 4 3 6" xfId="27848"/>
    <cellStyle name="Normal 3 2 3 5 4 3 7" xfId="31880"/>
    <cellStyle name="Normal 3 2 3 5 4 3 8" xfId="35912"/>
    <cellStyle name="Normal 3 2 3 5 4 3 9" xfId="39944"/>
    <cellStyle name="Normal 3 2 3 5 4 4" xfId="9704"/>
    <cellStyle name="Normal 3 2 3 5 4 5" xfId="13736"/>
    <cellStyle name="Normal 3 2 3 5 4 6" xfId="17768"/>
    <cellStyle name="Normal 3 2 3 5 4 7" xfId="21800"/>
    <cellStyle name="Normal 3 2 3 5 4 8" xfId="25832"/>
    <cellStyle name="Normal 3 2 3 5 4 9" xfId="29864"/>
    <cellStyle name="Normal 3 2 3 5 5" xfId="4109"/>
    <cellStyle name="Normal 3 2 3 5 5 10" xfId="33965"/>
    <cellStyle name="Normal 3 2 3 5 5 11" xfId="37997"/>
    <cellStyle name="Normal 3 2 3 5 5 12" xfId="42029"/>
    <cellStyle name="Normal 3 2 3 5 5 13" xfId="46061"/>
    <cellStyle name="Normal 3 2 3 5 5 14" xfId="50139"/>
    <cellStyle name="Normal 3 2 3 5 5 2" xfId="6690"/>
    <cellStyle name="Normal 3 2 3 5 5 2 10" xfId="38948"/>
    <cellStyle name="Normal 3 2 3 5 5 2 11" xfId="42980"/>
    <cellStyle name="Normal 3 2 3 5 5 2 12" xfId="47012"/>
    <cellStyle name="Normal 3 2 3 5 5 2 13" xfId="51091"/>
    <cellStyle name="Normal 3 2 3 5 5 2 2" xfId="8706"/>
    <cellStyle name="Normal 3 2 3 5 5 2 2 10" xfId="44996"/>
    <cellStyle name="Normal 3 2 3 5 5 2 2 11" xfId="49028"/>
    <cellStyle name="Normal 3 2 3 5 5 2 2 12" xfId="53107"/>
    <cellStyle name="Normal 3 2 3 5 5 2 2 2" xfId="12740"/>
    <cellStyle name="Normal 3 2 3 5 5 2 2 3" xfId="16772"/>
    <cellStyle name="Normal 3 2 3 5 5 2 2 4" xfId="20804"/>
    <cellStyle name="Normal 3 2 3 5 5 2 2 5" xfId="24836"/>
    <cellStyle name="Normal 3 2 3 5 5 2 2 6" xfId="28868"/>
    <cellStyle name="Normal 3 2 3 5 5 2 2 7" xfId="32900"/>
    <cellStyle name="Normal 3 2 3 5 5 2 2 8" xfId="36932"/>
    <cellStyle name="Normal 3 2 3 5 5 2 2 9" xfId="40964"/>
    <cellStyle name="Normal 3 2 3 5 5 2 3" xfId="10724"/>
    <cellStyle name="Normal 3 2 3 5 5 2 4" xfId="14756"/>
    <cellStyle name="Normal 3 2 3 5 5 2 5" xfId="18788"/>
    <cellStyle name="Normal 3 2 3 5 5 2 6" xfId="22820"/>
    <cellStyle name="Normal 3 2 3 5 5 2 7" xfId="26852"/>
    <cellStyle name="Normal 3 2 3 5 5 2 8" xfId="30884"/>
    <cellStyle name="Normal 3 2 3 5 5 2 9" xfId="34916"/>
    <cellStyle name="Normal 3 2 3 5 5 3" xfId="7755"/>
    <cellStyle name="Normal 3 2 3 5 5 3 10" xfId="44045"/>
    <cellStyle name="Normal 3 2 3 5 5 3 11" xfId="48077"/>
    <cellStyle name="Normal 3 2 3 5 5 3 12" xfId="52156"/>
    <cellStyle name="Normal 3 2 3 5 5 3 2" xfId="11789"/>
    <cellStyle name="Normal 3 2 3 5 5 3 3" xfId="15821"/>
    <cellStyle name="Normal 3 2 3 5 5 3 4" xfId="19853"/>
    <cellStyle name="Normal 3 2 3 5 5 3 5" xfId="23885"/>
    <cellStyle name="Normal 3 2 3 5 5 3 6" xfId="27917"/>
    <cellStyle name="Normal 3 2 3 5 5 3 7" xfId="31949"/>
    <cellStyle name="Normal 3 2 3 5 5 3 8" xfId="35981"/>
    <cellStyle name="Normal 3 2 3 5 5 3 9" xfId="40013"/>
    <cellStyle name="Normal 3 2 3 5 5 4" xfId="9773"/>
    <cellStyle name="Normal 3 2 3 5 5 5" xfId="13805"/>
    <cellStyle name="Normal 3 2 3 5 5 6" xfId="17837"/>
    <cellStyle name="Normal 3 2 3 5 5 7" xfId="21869"/>
    <cellStyle name="Normal 3 2 3 5 5 8" xfId="25901"/>
    <cellStyle name="Normal 3 2 3 5 5 9" xfId="29933"/>
    <cellStyle name="Normal 3 2 3 5 6" xfId="4178"/>
    <cellStyle name="Normal 3 2 3 5 6 10" xfId="34034"/>
    <cellStyle name="Normal 3 2 3 5 6 11" xfId="38066"/>
    <cellStyle name="Normal 3 2 3 5 6 12" xfId="42098"/>
    <cellStyle name="Normal 3 2 3 5 6 13" xfId="46130"/>
    <cellStyle name="Normal 3 2 3 5 6 14" xfId="50208"/>
    <cellStyle name="Normal 3 2 3 5 6 2" xfId="6759"/>
    <cellStyle name="Normal 3 2 3 5 6 2 10" xfId="39017"/>
    <cellStyle name="Normal 3 2 3 5 6 2 11" xfId="43049"/>
    <cellStyle name="Normal 3 2 3 5 6 2 12" xfId="47081"/>
    <cellStyle name="Normal 3 2 3 5 6 2 13" xfId="51160"/>
    <cellStyle name="Normal 3 2 3 5 6 2 2" xfId="8775"/>
    <cellStyle name="Normal 3 2 3 5 6 2 2 10" xfId="45065"/>
    <cellStyle name="Normal 3 2 3 5 6 2 2 11" xfId="49097"/>
    <cellStyle name="Normal 3 2 3 5 6 2 2 12" xfId="53176"/>
    <cellStyle name="Normal 3 2 3 5 6 2 2 2" xfId="12809"/>
    <cellStyle name="Normal 3 2 3 5 6 2 2 3" xfId="16841"/>
    <cellStyle name="Normal 3 2 3 5 6 2 2 4" xfId="20873"/>
    <cellStyle name="Normal 3 2 3 5 6 2 2 5" xfId="24905"/>
    <cellStyle name="Normal 3 2 3 5 6 2 2 6" xfId="28937"/>
    <cellStyle name="Normal 3 2 3 5 6 2 2 7" xfId="32969"/>
    <cellStyle name="Normal 3 2 3 5 6 2 2 8" xfId="37001"/>
    <cellStyle name="Normal 3 2 3 5 6 2 2 9" xfId="41033"/>
    <cellStyle name="Normal 3 2 3 5 6 2 3" xfId="10793"/>
    <cellStyle name="Normal 3 2 3 5 6 2 4" xfId="14825"/>
    <cellStyle name="Normal 3 2 3 5 6 2 5" xfId="18857"/>
    <cellStyle name="Normal 3 2 3 5 6 2 6" xfId="22889"/>
    <cellStyle name="Normal 3 2 3 5 6 2 7" xfId="26921"/>
    <cellStyle name="Normal 3 2 3 5 6 2 8" xfId="30953"/>
    <cellStyle name="Normal 3 2 3 5 6 2 9" xfId="34985"/>
    <cellStyle name="Normal 3 2 3 5 6 3" xfId="7824"/>
    <cellStyle name="Normal 3 2 3 5 6 3 10" xfId="44114"/>
    <cellStyle name="Normal 3 2 3 5 6 3 11" xfId="48146"/>
    <cellStyle name="Normal 3 2 3 5 6 3 12" xfId="52225"/>
    <cellStyle name="Normal 3 2 3 5 6 3 2" xfId="11858"/>
    <cellStyle name="Normal 3 2 3 5 6 3 3" xfId="15890"/>
    <cellStyle name="Normal 3 2 3 5 6 3 4" xfId="19922"/>
    <cellStyle name="Normal 3 2 3 5 6 3 5" xfId="23954"/>
    <cellStyle name="Normal 3 2 3 5 6 3 6" xfId="27986"/>
    <cellStyle name="Normal 3 2 3 5 6 3 7" xfId="32018"/>
    <cellStyle name="Normal 3 2 3 5 6 3 8" xfId="36050"/>
    <cellStyle name="Normal 3 2 3 5 6 3 9" xfId="40082"/>
    <cellStyle name="Normal 3 2 3 5 6 4" xfId="9842"/>
    <cellStyle name="Normal 3 2 3 5 6 5" xfId="13874"/>
    <cellStyle name="Normal 3 2 3 5 6 6" xfId="17906"/>
    <cellStyle name="Normal 3 2 3 5 6 7" xfId="21938"/>
    <cellStyle name="Normal 3 2 3 5 6 8" xfId="25970"/>
    <cellStyle name="Normal 3 2 3 5 6 9" xfId="30002"/>
    <cellStyle name="Normal 3 2 3 5 7" xfId="4251"/>
    <cellStyle name="Normal 3 2 3 5 7 10" xfId="34103"/>
    <cellStyle name="Normal 3 2 3 5 7 11" xfId="38135"/>
    <cellStyle name="Normal 3 2 3 5 7 12" xfId="42167"/>
    <cellStyle name="Normal 3 2 3 5 7 13" xfId="46199"/>
    <cellStyle name="Normal 3 2 3 5 7 14" xfId="50277"/>
    <cellStyle name="Normal 3 2 3 5 7 2" xfId="6828"/>
    <cellStyle name="Normal 3 2 3 5 7 2 10" xfId="39086"/>
    <cellStyle name="Normal 3 2 3 5 7 2 11" xfId="43118"/>
    <cellStyle name="Normal 3 2 3 5 7 2 12" xfId="47150"/>
    <cellStyle name="Normal 3 2 3 5 7 2 13" xfId="51229"/>
    <cellStyle name="Normal 3 2 3 5 7 2 2" xfId="8844"/>
    <cellStyle name="Normal 3 2 3 5 7 2 2 10" xfId="45134"/>
    <cellStyle name="Normal 3 2 3 5 7 2 2 11" xfId="49166"/>
    <cellStyle name="Normal 3 2 3 5 7 2 2 12" xfId="53245"/>
    <cellStyle name="Normal 3 2 3 5 7 2 2 2" xfId="12878"/>
    <cellStyle name="Normal 3 2 3 5 7 2 2 3" xfId="16910"/>
    <cellStyle name="Normal 3 2 3 5 7 2 2 4" xfId="20942"/>
    <cellStyle name="Normal 3 2 3 5 7 2 2 5" xfId="24974"/>
    <cellStyle name="Normal 3 2 3 5 7 2 2 6" xfId="29006"/>
    <cellStyle name="Normal 3 2 3 5 7 2 2 7" xfId="33038"/>
    <cellStyle name="Normal 3 2 3 5 7 2 2 8" xfId="37070"/>
    <cellStyle name="Normal 3 2 3 5 7 2 2 9" xfId="41102"/>
    <cellStyle name="Normal 3 2 3 5 7 2 3" xfId="10862"/>
    <cellStyle name="Normal 3 2 3 5 7 2 4" xfId="14894"/>
    <cellStyle name="Normal 3 2 3 5 7 2 5" xfId="18926"/>
    <cellStyle name="Normal 3 2 3 5 7 2 6" xfId="22958"/>
    <cellStyle name="Normal 3 2 3 5 7 2 7" xfId="26990"/>
    <cellStyle name="Normal 3 2 3 5 7 2 8" xfId="31022"/>
    <cellStyle name="Normal 3 2 3 5 7 2 9" xfId="35054"/>
    <cellStyle name="Normal 3 2 3 5 7 3" xfId="7893"/>
    <cellStyle name="Normal 3 2 3 5 7 3 10" xfId="44183"/>
    <cellStyle name="Normal 3 2 3 5 7 3 11" xfId="48215"/>
    <cellStyle name="Normal 3 2 3 5 7 3 12" xfId="52294"/>
    <cellStyle name="Normal 3 2 3 5 7 3 2" xfId="11927"/>
    <cellStyle name="Normal 3 2 3 5 7 3 3" xfId="15959"/>
    <cellStyle name="Normal 3 2 3 5 7 3 4" xfId="19991"/>
    <cellStyle name="Normal 3 2 3 5 7 3 5" xfId="24023"/>
    <cellStyle name="Normal 3 2 3 5 7 3 6" xfId="28055"/>
    <cellStyle name="Normal 3 2 3 5 7 3 7" xfId="32087"/>
    <cellStyle name="Normal 3 2 3 5 7 3 8" xfId="36119"/>
    <cellStyle name="Normal 3 2 3 5 7 3 9" xfId="40151"/>
    <cellStyle name="Normal 3 2 3 5 7 4" xfId="9911"/>
    <cellStyle name="Normal 3 2 3 5 7 5" xfId="13943"/>
    <cellStyle name="Normal 3 2 3 5 7 6" xfId="17975"/>
    <cellStyle name="Normal 3 2 3 5 7 7" xfId="22007"/>
    <cellStyle name="Normal 3 2 3 5 7 8" xfId="26039"/>
    <cellStyle name="Normal 3 2 3 5 7 9" xfId="30071"/>
    <cellStyle name="Normal 3 2 3 5 8" xfId="4397"/>
    <cellStyle name="Normal 3 2 3 5 8 10" xfId="34241"/>
    <cellStyle name="Normal 3 2 3 5 8 11" xfId="38273"/>
    <cellStyle name="Normal 3 2 3 5 8 12" xfId="42305"/>
    <cellStyle name="Normal 3 2 3 5 8 13" xfId="46337"/>
    <cellStyle name="Normal 3 2 3 5 8 14" xfId="50416"/>
    <cellStyle name="Normal 3 2 3 5 8 2" xfId="6966"/>
    <cellStyle name="Normal 3 2 3 5 8 2 10" xfId="39224"/>
    <cellStyle name="Normal 3 2 3 5 8 2 11" xfId="43256"/>
    <cellStyle name="Normal 3 2 3 5 8 2 12" xfId="47288"/>
    <cellStyle name="Normal 3 2 3 5 8 2 13" xfId="51367"/>
    <cellStyle name="Normal 3 2 3 5 8 2 2" xfId="8982"/>
    <cellStyle name="Normal 3 2 3 5 8 2 2 10" xfId="45272"/>
    <cellStyle name="Normal 3 2 3 5 8 2 2 11" xfId="49304"/>
    <cellStyle name="Normal 3 2 3 5 8 2 2 12" xfId="53383"/>
    <cellStyle name="Normal 3 2 3 5 8 2 2 2" xfId="13016"/>
    <cellStyle name="Normal 3 2 3 5 8 2 2 3" xfId="17048"/>
    <cellStyle name="Normal 3 2 3 5 8 2 2 4" xfId="21080"/>
    <cellStyle name="Normal 3 2 3 5 8 2 2 5" xfId="25112"/>
    <cellStyle name="Normal 3 2 3 5 8 2 2 6" xfId="29144"/>
    <cellStyle name="Normal 3 2 3 5 8 2 2 7" xfId="33176"/>
    <cellStyle name="Normal 3 2 3 5 8 2 2 8" xfId="37208"/>
    <cellStyle name="Normal 3 2 3 5 8 2 2 9" xfId="41240"/>
    <cellStyle name="Normal 3 2 3 5 8 2 3" xfId="11000"/>
    <cellStyle name="Normal 3 2 3 5 8 2 4" xfId="15032"/>
    <cellStyle name="Normal 3 2 3 5 8 2 5" xfId="19064"/>
    <cellStyle name="Normal 3 2 3 5 8 2 6" xfId="23096"/>
    <cellStyle name="Normal 3 2 3 5 8 2 7" xfId="27128"/>
    <cellStyle name="Normal 3 2 3 5 8 2 8" xfId="31160"/>
    <cellStyle name="Normal 3 2 3 5 8 2 9" xfId="35192"/>
    <cellStyle name="Normal 3 2 3 5 8 3" xfId="8031"/>
    <cellStyle name="Normal 3 2 3 5 8 3 10" xfId="44321"/>
    <cellStyle name="Normal 3 2 3 5 8 3 11" xfId="48353"/>
    <cellStyle name="Normal 3 2 3 5 8 3 12" xfId="52432"/>
    <cellStyle name="Normal 3 2 3 5 8 3 2" xfId="12065"/>
    <cellStyle name="Normal 3 2 3 5 8 3 3" xfId="16097"/>
    <cellStyle name="Normal 3 2 3 5 8 3 4" xfId="20129"/>
    <cellStyle name="Normal 3 2 3 5 8 3 5" xfId="24161"/>
    <cellStyle name="Normal 3 2 3 5 8 3 6" xfId="28193"/>
    <cellStyle name="Normal 3 2 3 5 8 3 7" xfId="32225"/>
    <cellStyle name="Normal 3 2 3 5 8 3 8" xfId="36257"/>
    <cellStyle name="Normal 3 2 3 5 8 3 9" xfId="40289"/>
    <cellStyle name="Normal 3 2 3 5 8 4" xfId="10049"/>
    <cellStyle name="Normal 3 2 3 5 8 5" xfId="14081"/>
    <cellStyle name="Normal 3 2 3 5 8 6" xfId="18113"/>
    <cellStyle name="Normal 3 2 3 5 8 7" xfId="22145"/>
    <cellStyle name="Normal 3 2 3 5 8 8" xfId="26177"/>
    <cellStyle name="Normal 3 2 3 5 8 9" xfId="30209"/>
    <cellStyle name="Normal 3 2 3 5 9" xfId="4535"/>
    <cellStyle name="Normal 3 2 3 5 9 10" xfId="38411"/>
    <cellStyle name="Normal 3 2 3 5 9 11" xfId="42443"/>
    <cellStyle name="Normal 3 2 3 5 9 12" xfId="46475"/>
    <cellStyle name="Normal 3 2 3 5 9 13" xfId="50554"/>
    <cellStyle name="Normal 3 2 3 5 9 2" xfId="8169"/>
    <cellStyle name="Normal 3 2 3 5 9 2 10" xfId="44459"/>
    <cellStyle name="Normal 3 2 3 5 9 2 11" xfId="48491"/>
    <cellStyle name="Normal 3 2 3 5 9 2 12" xfId="52570"/>
    <cellStyle name="Normal 3 2 3 5 9 2 2" xfId="12203"/>
    <cellStyle name="Normal 3 2 3 5 9 2 3" xfId="16235"/>
    <cellStyle name="Normal 3 2 3 5 9 2 4" xfId="20267"/>
    <cellStyle name="Normal 3 2 3 5 9 2 5" xfId="24299"/>
    <cellStyle name="Normal 3 2 3 5 9 2 6" xfId="28331"/>
    <cellStyle name="Normal 3 2 3 5 9 2 7" xfId="32363"/>
    <cellStyle name="Normal 3 2 3 5 9 2 8" xfId="36395"/>
    <cellStyle name="Normal 3 2 3 5 9 2 9" xfId="40427"/>
    <cellStyle name="Normal 3 2 3 5 9 3" xfId="10187"/>
    <cellStyle name="Normal 3 2 3 5 9 4" xfId="14219"/>
    <cellStyle name="Normal 3 2 3 5 9 5" xfId="18251"/>
    <cellStyle name="Normal 3 2 3 5 9 6" xfId="22283"/>
    <cellStyle name="Normal 3 2 3 5 9 7" xfId="26315"/>
    <cellStyle name="Normal 3 2 3 5 9 8" xfId="30347"/>
    <cellStyle name="Normal 3 2 3 5 9 9" xfId="34379"/>
    <cellStyle name="Normal 3 2 3 6" xfId="190"/>
    <cellStyle name="Normal 3 2 3 6 10" xfId="21271"/>
    <cellStyle name="Normal 3 2 3 6 11" xfId="25303"/>
    <cellStyle name="Normal 3 2 3 6 12" xfId="29335"/>
    <cellStyle name="Normal 3 2 3 6 13" xfId="33367"/>
    <cellStyle name="Normal 3 2 3 6 14" xfId="37399"/>
    <cellStyle name="Normal 3 2 3 6 15" xfId="41431"/>
    <cellStyle name="Normal 3 2 3 6 16" xfId="45463"/>
    <cellStyle name="Normal 3 2 3 6 17" xfId="49541"/>
    <cellStyle name="Normal 3 2 3 6 2" xfId="4309"/>
    <cellStyle name="Normal 3 2 3 6 2 10" xfId="34156"/>
    <cellStyle name="Normal 3 2 3 6 2 11" xfId="38188"/>
    <cellStyle name="Normal 3 2 3 6 2 12" xfId="42220"/>
    <cellStyle name="Normal 3 2 3 6 2 13" xfId="46252"/>
    <cellStyle name="Normal 3 2 3 6 2 14" xfId="50331"/>
    <cellStyle name="Normal 3 2 3 6 2 2" xfId="6881"/>
    <cellStyle name="Normal 3 2 3 6 2 2 10" xfId="39139"/>
    <cellStyle name="Normal 3 2 3 6 2 2 11" xfId="43171"/>
    <cellStyle name="Normal 3 2 3 6 2 2 12" xfId="47203"/>
    <cellStyle name="Normal 3 2 3 6 2 2 13" xfId="51282"/>
    <cellStyle name="Normal 3 2 3 6 2 2 2" xfId="8897"/>
    <cellStyle name="Normal 3 2 3 6 2 2 2 10" xfId="45187"/>
    <cellStyle name="Normal 3 2 3 6 2 2 2 11" xfId="49219"/>
    <cellStyle name="Normal 3 2 3 6 2 2 2 12" xfId="53298"/>
    <cellStyle name="Normal 3 2 3 6 2 2 2 2" xfId="12931"/>
    <cellStyle name="Normal 3 2 3 6 2 2 2 3" xfId="16963"/>
    <cellStyle name="Normal 3 2 3 6 2 2 2 4" xfId="20995"/>
    <cellStyle name="Normal 3 2 3 6 2 2 2 5" xfId="25027"/>
    <cellStyle name="Normal 3 2 3 6 2 2 2 6" xfId="29059"/>
    <cellStyle name="Normal 3 2 3 6 2 2 2 7" xfId="33091"/>
    <cellStyle name="Normal 3 2 3 6 2 2 2 8" xfId="37123"/>
    <cellStyle name="Normal 3 2 3 6 2 2 2 9" xfId="41155"/>
    <cellStyle name="Normal 3 2 3 6 2 2 3" xfId="10915"/>
    <cellStyle name="Normal 3 2 3 6 2 2 4" xfId="14947"/>
    <cellStyle name="Normal 3 2 3 6 2 2 5" xfId="18979"/>
    <cellStyle name="Normal 3 2 3 6 2 2 6" xfId="23011"/>
    <cellStyle name="Normal 3 2 3 6 2 2 7" xfId="27043"/>
    <cellStyle name="Normal 3 2 3 6 2 2 8" xfId="31075"/>
    <cellStyle name="Normal 3 2 3 6 2 2 9" xfId="35107"/>
    <cellStyle name="Normal 3 2 3 6 2 3" xfId="7946"/>
    <cellStyle name="Normal 3 2 3 6 2 3 10" xfId="44236"/>
    <cellStyle name="Normal 3 2 3 6 2 3 11" xfId="48268"/>
    <cellStyle name="Normal 3 2 3 6 2 3 12" xfId="52347"/>
    <cellStyle name="Normal 3 2 3 6 2 3 2" xfId="11980"/>
    <cellStyle name="Normal 3 2 3 6 2 3 3" xfId="16012"/>
    <cellStyle name="Normal 3 2 3 6 2 3 4" xfId="20044"/>
    <cellStyle name="Normal 3 2 3 6 2 3 5" xfId="24076"/>
    <cellStyle name="Normal 3 2 3 6 2 3 6" xfId="28108"/>
    <cellStyle name="Normal 3 2 3 6 2 3 7" xfId="32140"/>
    <cellStyle name="Normal 3 2 3 6 2 3 8" xfId="36172"/>
    <cellStyle name="Normal 3 2 3 6 2 3 9" xfId="40204"/>
    <cellStyle name="Normal 3 2 3 6 2 4" xfId="9964"/>
    <cellStyle name="Normal 3 2 3 6 2 5" xfId="13996"/>
    <cellStyle name="Normal 3 2 3 6 2 6" xfId="18028"/>
    <cellStyle name="Normal 3 2 3 6 2 7" xfId="22060"/>
    <cellStyle name="Normal 3 2 3 6 2 8" xfId="26092"/>
    <cellStyle name="Normal 3 2 3 6 2 9" xfId="30124"/>
    <cellStyle name="Normal 3 2 3 6 3" xfId="4450"/>
    <cellStyle name="Normal 3 2 3 6 3 10" xfId="34294"/>
    <cellStyle name="Normal 3 2 3 6 3 11" xfId="38326"/>
    <cellStyle name="Normal 3 2 3 6 3 12" xfId="42358"/>
    <cellStyle name="Normal 3 2 3 6 3 13" xfId="46390"/>
    <cellStyle name="Normal 3 2 3 6 3 14" xfId="50469"/>
    <cellStyle name="Normal 3 2 3 6 3 2" xfId="7019"/>
    <cellStyle name="Normal 3 2 3 6 3 2 10" xfId="39277"/>
    <cellStyle name="Normal 3 2 3 6 3 2 11" xfId="43309"/>
    <cellStyle name="Normal 3 2 3 6 3 2 12" xfId="47341"/>
    <cellStyle name="Normal 3 2 3 6 3 2 13" xfId="51420"/>
    <cellStyle name="Normal 3 2 3 6 3 2 2" xfId="9035"/>
    <cellStyle name="Normal 3 2 3 6 3 2 2 10" xfId="45325"/>
    <cellStyle name="Normal 3 2 3 6 3 2 2 11" xfId="49357"/>
    <cellStyle name="Normal 3 2 3 6 3 2 2 12" xfId="53436"/>
    <cellStyle name="Normal 3 2 3 6 3 2 2 2" xfId="13069"/>
    <cellStyle name="Normal 3 2 3 6 3 2 2 3" xfId="17101"/>
    <cellStyle name="Normal 3 2 3 6 3 2 2 4" xfId="21133"/>
    <cellStyle name="Normal 3 2 3 6 3 2 2 5" xfId="25165"/>
    <cellStyle name="Normal 3 2 3 6 3 2 2 6" xfId="29197"/>
    <cellStyle name="Normal 3 2 3 6 3 2 2 7" xfId="33229"/>
    <cellStyle name="Normal 3 2 3 6 3 2 2 8" xfId="37261"/>
    <cellStyle name="Normal 3 2 3 6 3 2 2 9" xfId="41293"/>
    <cellStyle name="Normal 3 2 3 6 3 2 3" xfId="11053"/>
    <cellStyle name="Normal 3 2 3 6 3 2 4" xfId="15085"/>
    <cellStyle name="Normal 3 2 3 6 3 2 5" xfId="19117"/>
    <cellStyle name="Normal 3 2 3 6 3 2 6" xfId="23149"/>
    <cellStyle name="Normal 3 2 3 6 3 2 7" xfId="27181"/>
    <cellStyle name="Normal 3 2 3 6 3 2 8" xfId="31213"/>
    <cellStyle name="Normal 3 2 3 6 3 2 9" xfId="35245"/>
    <cellStyle name="Normal 3 2 3 6 3 3" xfId="8084"/>
    <cellStyle name="Normal 3 2 3 6 3 3 10" xfId="44374"/>
    <cellStyle name="Normal 3 2 3 6 3 3 11" xfId="48406"/>
    <cellStyle name="Normal 3 2 3 6 3 3 12" xfId="52485"/>
    <cellStyle name="Normal 3 2 3 6 3 3 2" xfId="12118"/>
    <cellStyle name="Normal 3 2 3 6 3 3 3" xfId="16150"/>
    <cellStyle name="Normal 3 2 3 6 3 3 4" xfId="20182"/>
    <cellStyle name="Normal 3 2 3 6 3 3 5" xfId="24214"/>
    <cellStyle name="Normal 3 2 3 6 3 3 6" xfId="28246"/>
    <cellStyle name="Normal 3 2 3 6 3 3 7" xfId="32278"/>
    <cellStyle name="Normal 3 2 3 6 3 3 8" xfId="36310"/>
    <cellStyle name="Normal 3 2 3 6 3 3 9" xfId="40342"/>
    <cellStyle name="Normal 3 2 3 6 3 4" xfId="10102"/>
    <cellStyle name="Normal 3 2 3 6 3 5" xfId="14134"/>
    <cellStyle name="Normal 3 2 3 6 3 6" xfId="18166"/>
    <cellStyle name="Normal 3 2 3 6 3 7" xfId="22198"/>
    <cellStyle name="Normal 3 2 3 6 3 8" xfId="26230"/>
    <cellStyle name="Normal 3 2 3 6 3 9" xfId="30262"/>
    <cellStyle name="Normal 3 2 3 6 4" xfId="4590"/>
    <cellStyle name="Normal 3 2 3 6 4 10" xfId="38464"/>
    <cellStyle name="Normal 3 2 3 6 4 11" xfId="42496"/>
    <cellStyle name="Normal 3 2 3 6 4 12" xfId="46528"/>
    <cellStyle name="Normal 3 2 3 6 4 13" xfId="50607"/>
    <cellStyle name="Normal 3 2 3 6 4 2" xfId="8222"/>
    <cellStyle name="Normal 3 2 3 6 4 2 10" xfId="44512"/>
    <cellStyle name="Normal 3 2 3 6 4 2 11" xfId="48544"/>
    <cellStyle name="Normal 3 2 3 6 4 2 12" xfId="52623"/>
    <cellStyle name="Normal 3 2 3 6 4 2 2" xfId="12256"/>
    <cellStyle name="Normal 3 2 3 6 4 2 3" xfId="16288"/>
    <cellStyle name="Normal 3 2 3 6 4 2 4" xfId="20320"/>
    <cellStyle name="Normal 3 2 3 6 4 2 5" xfId="24352"/>
    <cellStyle name="Normal 3 2 3 6 4 2 6" xfId="28384"/>
    <cellStyle name="Normal 3 2 3 6 4 2 7" xfId="32416"/>
    <cellStyle name="Normal 3 2 3 6 4 2 8" xfId="36448"/>
    <cellStyle name="Normal 3 2 3 6 4 2 9" xfId="40480"/>
    <cellStyle name="Normal 3 2 3 6 4 3" xfId="10240"/>
    <cellStyle name="Normal 3 2 3 6 4 4" xfId="14272"/>
    <cellStyle name="Normal 3 2 3 6 4 5" xfId="18304"/>
    <cellStyle name="Normal 3 2 3 6 4 6" xfId="22336"/>
    <cellStyle name="Normal 3 2 3 6 4 7" xfId="26368"/>
    <cellStyle name="Normal 3 2 3 6 4 8" xfId="30400"/>
    <cellStyle name="Normal 3 2 3 6 4 9" xfId="34432"/>
    <cellStyle name="Normal 3 2 3 6 5" xfId="1290"/>
    <cellStyle name="Normal 3 2 3 6 6" xfId="7157"/>
    <cellStyle name="Normal 3 2 3 6 6 10" xfId="43447"/>
    <cellStyle name="Normal 3 2 3 6 6 11" xfId="47479"/>
    <cellStyle name="Normal 3 2 3 6 6 12" xfId="51558"/>
    <cellStyle name="Normal 3 2 3 6 6 2" xfId="11191"/>
    <cellStyle name="Normal 3 2 3 6 6 3" xfId="15223"/>
    <cellStyle name="Normal 3 2 3 6 6 4" xfId="19255"/>
    <cellStyle name="Normal 3 2 3 6 6 5" xfId="23287"/>
    <cellStyle name="Normal 3 2 3 6 6 6" xfId="27319"/>
    <cellStyle name="Normal 3 2 3 6 6 7" xfId="31351"/>
    <cellStyle name="Normal 3 2 3 6 6 8" xfId="35383"/>
    <cellStyle name="Normal 3 2 3 6 6 9" xfId="39415"/>
    <cellStyle name="Normal 3 2 3 6 7" xfId="9175"/>
    <cellStyle name="Normal 3 2 3 6 8" xfId="13207"/>
    <cellStyle name="Normal 3 2 3 6 9" xfId="17239"/>
    <cellStyle name="Normal 3 2 3 7" xfId="317"/>
    <cellStyle name="Normal 3 2 3 7 10" xfId="33490"/>
    <cellStyle name="Normal 3 2 3 7 11" xfId="37522"/>
    <cellStyle name="Normal 3 2 3 7 12" xfId="41554"/>
    <cellStyle name="Normal 3 2 3 7 13" xfId="45586"/>
    <cellStyle name="Normal 3 2 3 7 14" xfId="49664"/>
    <cellStyle name="Normal 3 2 3 7 2" xfId="4658"/>
    <cellStyle name="Normal 3 2 3 7 2 10" xfId="38532"/>
    <cellStyle name="Normal 3 2 3 7 2 11" xfId="42564"/>
    <cellStyle name="Normal 3 2 3 7 2 12" xfId="46596"/>
    <cellStyle name="Normal 3 2 3 7 2 13" xfId="50675"/>
    <cellStyle name="Normal 3 2 3 7 2 2" xfId="8290"/>
    <cellStyle name="Normal 3 2 3 7 2 2 10" xfId="44580"/>
    <cellStyle name="Normal 3 2 3 7 2 2 11" xfId="48612"/>
    <cellStyle name="Normal 3 2 3 7 2 2 12" xfId="52691"/>
    <cellStyle name="Normal 3 2 3 7 2 2 2" xfId="12324"/>
    <cellStyle name="Normal 3 2 3 7 2 2 3" xfId="16356"/>
    <cellStyle name="Normal 3 2 3 7 2 2 4" xfId="20388"/>
    <cellStyle name="Normal 3 2 3 7 2 2 5" xfId="24420"/>
    <cellStyle name="Normal 3 2 3 7 2 2 6" xfId="28452"/>
    <cellStyle name="Normal 3 2 3 7 2 2 7" xfId="32484"/>
    <cellStyle name="Normal 3 2 3 7 2 2 8" xfId="36516"/>
    <cellStyle name="Normal 3 2 3 7 2 2 9" xfId="40548"/>
    <cellStyle name="Normal 3 2 3 7 2 3" xfId="10308"/>
    <cellStyle name="Normal 3 2 3 7 2 4" xfId="14340"/>
    <cellStyle name="Normal 3 2 3 7 2 5" xfId="18372"/>
    <cellStyle name="Normal 3 2 3 7 2 6" xfId="22404"/>
    <cellStyle name="Normal 3 2 3 7 2 7" xfId="26436"/>
    <cellStyle name="Normal 3 2 3 7 2 8" xfId="30468"/>
    <cellStyle name="Normal 3 2 3 7 2 9" xfId="34500"/>
    <cellStyle name="Normal 3 2 3 7 3" xfId="7280"/>
    <cellStyle name="Normal 3 2 3 7 3 10" xfId="43570"/>
    <cellStyle name="Normal 3 2 3 7 3 11" xfId="47602"/>
    <cellStyle name="Normal 3 2 3 7 3 12" xfId="51681"/>
    <cellStyle name="Normal 3 2 3 7 3 2" xfId="11314"/>
    <cellStyle name="Normal 3 2 3 7 3 3" xfId="15346"/>
    <cellStyle name="Normal 3 2 3 7 3 4" xfId="19378"/>
    <cellStyle name="Normal 3 2 3 7 3 5" xfId="23410"/>
    <cellStyle name="Normal 3 2 3 7 3 6" xfId="27442"/>
    <cellStyle name="Normal 3 2 3 7 3 7" xfId="31474"/>
    <cellStyle name="Normal 3 2 3 7 3 8" xfId="35506"/>
    <cellStyle name="Normal 3 2 3 7 3 9" xfId="39538"/>
    <cellStyle name="Normal 3 2 3 7 4" xfId="9298"/>
    <cellStyle name="Normal 3 2 3 7 5" xfId="13330"/>
    <cellStyle name="Normal 3 2 3 7 6" xfId="17362"/>
    <cellStyle name="Normal 3 2 3 7 7" xfId="21394"/>
    <cellStyle name="Normal 3 2 3 7 8" xfId="25426"/>
    <cellStyle name="Normal 3 2 3 7 9" xfId="29458"/>
    <cellStyle name="Normal 3 2 3 8" xfId="1627"/>
    <cellStyle name="Normal 3 2 3 8 10" xfId="33588"/>
    <cellStyle name="Normal 3 2 3 8 11" xfId="37620"/>
    <cellStyle name="Normal 3 2 3 8 12" xfId="41652"/>
    <cellStyle name="Normal 3 2 3 8 13" xfId="45684"/>
    <cellStyle name="Normal 3 2 3 8 14" xfId="49762"/>
    <cellStyle name="Normal 3 2 3 8 2" xfId="5316"/>
    <cellStyle name="Normal 3 2 3 8 2 10" xfId="38584"/>
    <cellStyle name="Normal 3 2 3 8 2 11" xfId="42616"/>
    <cellStyle name="Normal 3 2 3 8 2 12" xfId="46648"/>
    <cellStyle name="Normal 3 2 3 8 2 13" xfId="50727"/>
    <cellStyle name="Normal 3 2 3 8 2 2" xfId="8342"/>
    <cellStyle name="Normal 3 2 3 8 2 2 10" xfId="44632"/>
    <cellStyle name="Normal 3 2 3 8 2 2 11" xfId="48664"/>
    <cellStyle name="Normal 3 2 3 8 2 2 12" xfId="52743"/>
    <cellStyle name="Normal 3 2 3 8 2 2 2" xfId="12376"/>
    <cellStyle name="Normal 3 2 3 8 2 2 3" xfId="16408"/>
    <cellStyle name="Normal 3 2 3 8 2 2 4" xfId="20440"/>
    <cellStyle name="Normal 3 2 3 8 2 2 5" xfId="24472"/>
    <cellStyle name="Normal 3 2 3 8 2 2 6" xfId="28504"/>
    <cellStyle name="Normal 3 2 3 8 2 2 7" xfId="32536"/>
    <cellStyle name="Normal 3 2 3 8 2 2 8" xfId="36568"/>
    <cellStyle name="Normal 3 2 3 8 2 2 9" xfId="40600"/>
    <cellStyle name="Normal 3 2 3 8 2 3" xfId="10360"/>
    <cellStyle name="Normal 3 2 3 8 2 4" xfId="14392"/>
    <cellStyle name="Normal 3 2 3 8 2 5" xfId="18424"/>
    <cellStyle name="Normal 3 2 3 8 2 6" xfId="22456"/>
    <cellStyle name="Normal 3 2 3 8 2 7" xfId="26488"/>
    <cellStyle name="Normal 3 2 3 8 2 8" xfId="30520"/>
    <cellStyle name="Normal 3 2 3 8 2 9" xfId="34552"/>
    <cellStyle name="Normal 3 2 3 8 3" xfId="7378"/>
    <cellStyle name="Normal 3 2 3 8 3 10" xfId="43668"/>
    <cellStyle name="Normal 3 2 3 8 3 11" xfId="47700"/>
    <cellStyle name="Normal 3 2 3 8 3 12" xfId="51779"/>
    <cellStyle name="Normal 3 2 3 8 3 2" xfId="11412"/>
    <cellStyle name="Normal 3 2 3 8 3 3" xfId="15444"/>
    <cellStyle name="Normal 3 2 3 8 3 4" xfId="19476"/>
    <cellStyle name="Normal 3 2 3 8 3 5" xfId="23508"/>
    <cellStyle name="Normal 3 2 3 8 3 6" xfId="27540"/>
    <cellStyle name="Normal 3 2 3 8 3 7" xfId="31572"/>
    <cellStyle name="Normal 3 2 3 8 3 8" xfId="35604"/>
    <cellStyle name="Normal 3 2 3 8 3 9" xfId="39636"/>
    <cellStyle name="Normal 3 2 3 8 4" xfId="9396"/>
    <cellStyle name="Normal 3 2 3 8 5" xfId="13428"/>
    <cellStyle name="Normal 3 2 3 8 6" xfId="17460"/>
    <cellStyle name="Normal 3 2 3 8 7" xfId="21492"/>
    <cellStyle name="Normal 3 2 3 8 8" xfId="25524"/>
    <cellStyle name="Normal 3 2 3 8 9" xfId="29556"/>
    <cellStyle name="Normal 3 2 3 9" xfId="1701"/>
    <cellStyle name="Normal 3 2 3 9 10" xfId="33657"/>
    <cellStyle name="Normal 3 2 3 9 11" xfId="37689"/>
    <cellStyle name="Normal 3 2 3 9 12" xfId="41721"/>
    <cellStyle name="Normal 3 2 3 9 13" xfId="45753"/>
    <cellStyle name="Normal 3 2 3 9 14" xfId="49831"/>
    <cellStyle name="Normal 3 2 3 9 2" xfId="5372"/>
    <cellStyle name="Normal 3 2 3 9 2 10" xfId="38640"/>
    <cellStyle name="Normal 3 2 3 9 2 11" xfId="42672"/>
    <cellStyle name="Normal 3 2 3 9 2 12" xfId="46704"/>
    <cellStyle name="Normal 3 2 3 9 2 13" xfId="50783"/>
    <cellStyle name="Normal 3 2 3 9 2 2" xfId="8398"/>
    <cellStyle name="Normal 3 2 3 9 2 2 10" xfId="44688"/>
    <cellStyle name="Normal 3 2 3 9 2 2 11" xfId="48720"/>
    <cellStyle name="Normal 3 2 3 9 2 2 12" xfId="52799"/>
    <cellStyle name="Normal 3 2 3 9 2 2 2" xfId="12432"/>
    <cellStyle name="Normal 3 2 3 9 2 2 3" xfId="16464"/>
    <cellStyle name="Normal 3 2 3 9 2 2 4" xfId="20496"/>
    <cellStyle name="Normal 3 2 3 9 2 2 5" xfId="24528"/>
    <cellStyle name="Normal 3 2 3 9 2 2 6" xfId="28560"/>
    <cellStyle name="Normal 3 2 3 9 2 2 7" xfId="32592"/>
    <cellStyle name="Normal 3 2 3 9 2 2 8" xfId="36624"/>
    <cellStyle name="Normal 3 2 3 9 2 2 9" xfId="40656"/>
    <cellStyle name="Normal 3 2 3 9 2 3" xfId="10416"/>
    <cellStyle name="Normal 3 2 3 9 2 4" xfId="14448"/>
    <cellStyle name="Normal 3 2 3 9 2 5" xfId="18480"/>
    <cellStyle name="Normal 3 2 3 9 2 6" xfId="22512"/>
    <cellStyle name="Normal 3 2 3 9 2 7" xfId="26544"/>
    <cellStyle name="Normal 3 2 3 9 2 8" xfId="30576"/>
    <cellStyle name="Normal 3 2 3 9 2 9" xfId="34608"/>
    <cellStyle name="Normal 3 2 3 9 3" xfId="7447"/>
    <cellStyle name="Normal 3 2 3 9 3 10" xfId="43737"/>
    <cellStyle name="Normal 3 2 3 9 3 11" xfId="47769"/>
    <cellStyle name="Normal 3 2 3 9 3 12" xfId="51848"/>
    <cellStyle name="Normal 3 2 3 9 3 2" xfId="11481"/>
    <cellStyle name="Normal 3 2 3 9 3 3" xfId="15513"/>
    <cellStyle name="Normal 3 2 3 9 3 4" xfId="19545"/>
    <cellStyle name="Normal 3 2 3 9 3 5" xfId="23577"/>
    <cellStyle name="Normal 3 2 3 9 3 6" xfId="27609"/>
    <cellStyle name="Normal 3 2 3 9 3 7" xfId="31641"/>
    <cellStyle name="Normal 3 2 3 9 3 8" xfId="35673"/>
    <cellStyle name="Normal 3 2 3 9 3 9" xfId="39705"/>
    <cellStyle name="Normal 3 2 3 9 4" xfId="9465"/>
    <cellStyle name="Normal 3 2 3 9 5" xfId="13497"/>
    <cellStyle name="Normal 3 2 3 9 6" xfId="17529"/>
    <cellStyle name="Normal 3 2 3 9 7" xfId="21561"/>
    <cellStyle name="Normal 3 2 3 9 8" xfId="25593"/>
    <cellStyle name="Normal 3 2 3 9 9" xfId="29625"/>
    <cellStyle name="Normal 3 2 30" xfId="41356"/>
    <cellStyle name="Normal 3 2 31" xfId="45388"/>
    <cellStyle name="Normal 3 2 32" xfId="49466"/>
    <cellStyle name="Normal 3 2 4" xfId="42"/>
    <cellStyle name="Normal 3 2 4 10" xfId="4166"/>
    <cellStyle name="Normal 3 2 4 10 10" xfId="34022"/>
    <cellStyle name="Normal 3 2 4 10 11" xfId="38054"/>
    <cellStyle name="Normal 3 2 4 10 12" xfId="42086"/>
    <cellStyle name="Normal 3 2 4 10 13" xfId="46118"/>
    <cellStyle name="Normal 3 2 4 10 14" xfId="50196"/>
    <cellStyle name="Normal 3 2 4 10 2" xfId="6747"/>
    <cellStyle name="Normal 3 2 4 10 2 10" xfId="39005"/>
    <cellStyle name="Normal 3 2 4 10 2 11" xfId="43037"/>
    <cellStyle name="Normal 3 2 4 10 2 12" xfId="47069"/>
    <cellStyle name="Normal 3 2 4 10 2 13" xfId="51148"/>
    <cellStyle name="Normal 3 2 4 10 2 2" xfId="8763"/>
    <cellStyle name="Normal 3 2 4 10 2 2 10" xfId="45053"/>
    <cellStyle name="Normal 3 2 4 10 2 2 11" xfId="49085"/>
    <cellStyle name="Normal 3 2 4 10 2 2 12" xfId="53164"/>
    <cellStyle name="Normal 3 2 4 10 2 2 2" xfId="12797"/>
    <cellStyle name="Normal 3 2 4 10 2 2 3" xfId="16829"/>
    <cellStyle name="Normal 3 2 4 10 2 2 4" xfId="20861"/>
    <cellStyle name="Normal 3 2 4 10 2 2 5" xfId="24893"/>
    <cellStyle name="Normal 3 2 4 10 2 2 6" xfId="28925"/>
    <cellStyle name="Normal 3 2 4 10 2 2 7" xfId="32957"/>
    <cellStyle name="Normal 3 2 4 10 2 2 8" xfId="36989"/>
    <cellStyle name="Normal 3 2 4 10 2 2 9" xfId="41021"/>
    <cellStyle name="Normal 3 2 4 10 2 3" xfId="10781"/>
    <cellStyle name="Normal 3 2 4 10 2 4" xfId="14813"/>
    <cellStyle name="Normal 3 2 4 10 2 5" xfId="18845"/>
    <cellStyle name="Normal 3 2 4 10 2 6" xfId="22877"/>
    <cellStyle name="Normal 3 2 4 10 2 7" xfId="26909"/>
    <cellStyle name="Normal 3 2 4 10 2 8" xfId="30941"/>
    <cellStyle name="Normal 3 2 4 10 2 9" xfId="34973"/>
    <cellStyle name="Normal 3 2 4 10 3" xfId="7812"/>
    <cellStyle name="Normal 3 2 4 10 3 10" xfId="44102"/>
    <cellStyle name="Normal 3 2 4 10 3 11" xfId="48134"/>
    <cellStyle name="Normal 3 2 4 10 3 12" xfId="52213"/>
    <cellStyle name="Normal 3 2 4 10 3 2" xfId="11846"/>
    <cellStyle name="Normal 3 2 4 10 3 3" xfId="15878"/>
    <cellStyle name="Normal 3 2 4 10 3 4" xfId="19910"/>
    <cellStyle name="Normal 3 2 4 10 3 5" xfId="23942"/>
    <cellStyle name="Normal 3 2 4 10 3 6" xfId="27974"/>
    <cellStyle name="Normal 3 2 4 10 3 7" xfId="32006"/>
    <cellStyle name="Normal 3 2 4 10 3 8" xfId="36038"/>
    <cellStyle name="Normal 3 2 4 10 3 9" xfId="40070"/>
    <cellStyle name="Normal 3 2 4 10 4" xfId="9830"/>
    <cellStyle name="Normal 3 2 4 10 5" xfId="13862"/>
    <cellStyle name="Normal 3 2 4 10 6" xfId="17894"/>
    <cellStyle name="Normal 3 2 4 10 7" xfId="21926"/>
    <cellStyle name="Normal 3 2 4 10 8" xfId="25958"/>
    <cellStyle name="Normal 3 2 4 10 9" xfId="29990"/>
    <cellStyle name="Normal 3 2 4 11" xfId="4238"/>
    <cellStyle name="Normal 3 2 4 11 10" xfId="34091"/>
    <cellStyle name="Normal 3 2 4 11 11" xfId="38123"/>
    <cellStyle name="Normal 3 2 4 11 12" xfId="42155"/>
    <cellStyle name="Normal 3 2 4 11 13" xfId="46187"/>
    <cellStyle name="Normal 3 2 4 11 14" xfId="50265"/>
    <cellStyle name="Normal 3 2 4 11 2" xfId="6816"/>
    <cellStyle name="Normal 3 2 4 11 2 10" xfId="39074"/>
    <cellStyle name="Normal 3 2 4 11 2 11" xfId="43106"/>
    <cellStyle name="Normal 3 2 4 11 2 12" xfId="47138"/>
    <cellStyle name="Normal 3 2 4 11 2 13" xfId="51217"/>
    <cellStyle name="Normal 3 2 4 11 2 2" xfId="8832"/>
    <cellStyle name="Normal 3 2 4 11 2 2 10" xfId="45122"/>
    <cellStyle name="Normal 3 2 4 11 2 2 11" xfId="49154"/>
    <cellStyle name="Normal 3 2 4 11 2 2 12" xfId="53233"/>
    <cellStyle name="Normal 3 2 4 11 2 2 2" xfId="12866"/>
    <cellStyle name="Normal 3 2 4 11 2 2 3" xfId="16898"/>
    <cellStyle name="Normal 3 2 4 11 2 2 4" xfId="20930"/>
    <cellStyle name="Normal 3 2 4 11 2 2 5" xfId="24962"/>
    <cellStyle name="Normal 3 2 4 11 2 2 6" xfId="28994"/>
    <cellStyle name="Normal 3 2 4 11 2 2 7" xfId="33026"/>
    <cellStyle name="Normal 3 2 4 11 2 2 8" xfId="37058"/>
    <cellStyle name="Normal 3 2 4 11 2 2 9" xfId="41090"/>
    <cellStyle name="Normal 3 2 4 11 2 3" xfId="10850"/>
    <cellStyle name="Normal 3 2 4 11 2 4" xfId="14882"/>
    <cellStyle name="Normal 3 2 4 11 2 5" xfId="18914"/>
    <cellStyle name="Normal 3 2 4 11 2 6" xfId="22946"/>
    <cellStyle name="Normal 3 2 4 11 2 7" xfId="26978"/>
    <cellStyle name="Normal 3 2 4 11 2 8" xfId="31010"/>
    <cellStyle name="Normal 3 2 4 11 2 9" xfId="35042"/>
    <cellStyle name="Normal 3 2 4 11 3" xfId="7881"/>
    <cellStyle name="Normal 3 2 4 11 3 10" xfId="44171"/>
    <cellStyle name="Normal 3 2 4 11 3 11" xfId="48203"/>
    <cellStyle name="Normal 3 2 4 11 3 12" xfId="52282"/>
    <cellStyle name="Normal 3 2 4 11 3 2" xfId="11915"/>
    <cellStyle name="Normal 3 2 4 11 3 3" xfId="15947"/>
    <cellStyle name="Normal 3 2 4 11 3 4" xfId="19979"/>
    <cellStyle name="Normal 3 2 4 11 3 5" xfId="24011"/>
    <cellStyle name="Normal 3 2 4 11 3 6" xfId="28043"/>
    <cellStyle name="Normal 3 2 4 11 3 7" xfId="32075"/>
    <cellStyle name="Normal 3 2 4 11 3 8" xfId="36107"/>
    <cellStyle name="Normal 3 2 4 11 3 9" xfId="40139"/>
    <cellStyle name="Normal 3 2 4 11 4" xfId="9899"/>
    <cellStyle name="Normal 3 2 4 11 5" xfId="13931"/>
    <cellStyle name="Normal 3 2 4 11 6" xfId="17963"/>
    <cellStyle name="Normal 3 2 4 11 7" xfId="21995"/>
    <cellStyle name="Normal 3 2 4 11 8" xfId="26027"/>
    <cellStyle name="Normal 3 2 4 11 9" xfId="30059"/>
    <cellStyle name="Normal 3 2 4 12" xfId="4385"/>
    <cellStyle name="Normal 3 2 4 12 10" xfId="34229"/>
    <cellStyle name="Normal 3 2 4 12 11" xfId="38261"/>
    <cellStyle name="Normal 3 2 4 12 12" xfId="42293"/>
    <cellStyle name="Normal 3 2 4 12 13" xfId="46325"/>
    <cellStyle name="Normal 3 2 4 12 14" xfId="50404"/>
    <cellStyle name="Normal 3 2 4 12 2" xfId="6954"/>
    <cellStyle name="Normal 3 2 4 12 2 10" xfId="39212"/>
    <cellStyle name="Normal 3 2 4 12 2 11" xfId="43244"/>
    <cellStyle name="Normal 3 2 4 12 2 12" xfId="47276"/>
    <cellStyle name="Normal 3 2 4 12 2 13" xfId="51355"/>
    <cellStyle name="Normal 3 2 4 12 2 2" xfId="8970"/>
    <cellStyle name="Normal 3 2 4 12 2 2 10" xfId="45260"/>
    <cellStyle name="Normal 3 2 4 12 2 2 11" xfId="49292"/>
    <cellStyle name="Normal 3 2 4 12 2 2 12" xfId="53371"/>
    <cellStyle name="Normal 3 2 4 12 2 2 2" xfId="13004"/>
    <cellStyle name="Normal 3 2 4 12 2 2 3" xfId="17036"/>
    <cellStyle name="Normal 3 2 4 12 2 2 4" xfId="21068"/>
    <cellStyle name="Normal 3 2 4 12 2 2 5" xfId="25100"/>
    <cellStyle name="Normal 3 2 4 12 2 2 6" xfId="29132"/>
    <cellStyle name="Normal 3 2 4 12 2 2 7" xfId="33164"/>
    <cellStyle name="Normal 3 2 4 12 2 2 8" xfId="37196"/>
    <cellStyle name="Normal 3 2 4 12 2 2 9" xfId="41228"/>
    <cellStyle name="Normal 3 2 4 12 2 3" xfId="10988"/>
    <cellStyle name="Normal 3 2 4 12 2 4" xfId="15020"/>
    <cellStyle name="Normal 3 2 4 12 2 5" xfId="19052"/>
    <cellStyle name="Normal 3 2 4 12 2 6" xfId="23084"/>
    <cellStyle name="Normal 3 2 4 12 2 7" xfId="27116"/>
    <cellStyle name="Normal 3 2 4 12 2 8" xfId="31148"/>
    <cellStyle name="Normal 3 2 4 12 2 9" xfId="35180"/>
    <cellStyle name="Normal 3 2 4 12 3" xfId="8019"/>
    <cellStyle name="Normal 3 2 4 12 3 10" xfId="44309"/>
    <cellStyle name="Normal 3 2 4 12 3 11" xfId="48341"/>
    <cellStyle name="Normal 3 2 4 12 3 12" xfId="52420"/>
    <cellStyle name="Normal 3 2 4 12 3 2" xfId="12053"/>
    <cellStyle name="Normal 3 2 4 12 3 3" xfId="16085"/>
    <cellStyle name="Normal 3 2 4 12 3 4" xfId="20117"/>
    <cellStyle name="Normal 3 2 4 12 3 5" xfId="24149"/>
    <cellStyle name="Normal 3 2 4 12 3 6" xfId="28181"/>
    <cellStyle name="Normal 3 2 4 12 3 7" xfId="32213"/>
    <cellStyle name="Normal 3 2 4 12 3 8" xfId="36245"/>
    <cellStyle name="Normal 3 2 4 12 3 9" xfId="40277"/>
    <cellStyle name="Normal 3 2 4 12 4" xfId="10037"/>
    <cellStyle name="Normal 3 2 4 12 5" xfId="14069"/>
    <cellStyle name="Normal 3 2 4 12 6" xfId="18101"/>
    <cellStyle name="Normal 3 2 4 12 7" xfId="22133"/>
    <cellStyle name="Normal 3 2 4 12 8" xfId="26165"/>
    <cellStyle name="Normal 3 2 4 12 9" xfId="30197"/>
    <cellStyle name="Normal 3 2 4 13" xfId="4523"/>
    <cellStyle name="Normal 3 2 4 13 10" xfId="38399"/>
    <cellStyle name="Normal 3 2 4 13 11" xfId="42431"/>
    <cellStyle name="Normal 3 2 4 13 12" xfId="46463"/>
    <cellStyle name="Normal 3 2 4 13 13" xfId="50542"/>
    <cellStyle name="Normal 3 2 4 13 2" xfId="8157"/>
    <cellStyle name="Normal 3 2 4 13 2 10" xfId="44447"/>
    <cellStyle name="Normal 3 2 4 13 2 11" xfId="48479"/>
    <cellStyle name="Normal 3 2 4 13 2 12" xfId="52558"/>
    <cellStyle name="Normal 3 2 4 13 2 2" xfId="12191"/>
    <cellStyle name="Normal 3 2 4 13 2 3" xfId="16223"/>
    <cellStyle name="Normal 3 2 4 13 2 4" xfId="20255"/>
    <cellStyle name="Normal 3 2 4 13 2 5" xfId="24287"/>
    <cellStyle name="Normal 3 2 4 13 2 6" xfId="28319"/>
    <cellStyle name="Normal 3 2 4 13 2 7" xfId="32351"/>
    <cellStyle name="Normal 3 2 4 13 2 8" xfId="36383"/>
    <cellStyle name="Normal 3 2 4 13 2 9" xfId="40415"/>
    <cellStyle name="Normal 3 2 4 13 3" xfId="10175"/>
    <cellStyle name="Normal 3 2 4 13 4" xfId="14207"/>
    <cellStyle name="Normal 3 2 4 13 5" xfId="18239"/>
    <cellStyle name="Normal 3 2 4 13 6" xfId="22271"/>
    <cellStyle name="Normal 3 2 4 13 7" xfId="26303"/>
    <cellStyle name="Normal 3 2 4 13 8" xfId="30335"/>
    <cellStyle name="Normal 3 2 4 13 9" xfId="34367"/>
    <cellStyle name="Normal 3 2 4 14" xfId="267"/>
    <cellStyle name="Normal 3 2 4 14 10" xfId="37472"/>
    <cellStyle name="Normal 3 2 4 14 11" xfId="41504"/>
    <cellStyle name="Normal 3 2 4 14 12" xfId="45536"/>
    <cellStyle name="Normal 3 2 4 14 13" xfId="49614"/>
    <cellStyle name="Normal 3 2 4 14 2" xfId="7230"/>
    <cellStyle name="Normal 3 2 4 14 2 10" xfId="43520"/>
    <cellStyle name="Normal 3 2 4 14 2 11" xfId="47552"/>
    <cellStyle name="Normal 3 2 4 14 2 12" xfId="51631"/>
    <cellStyle name="Normal 3 2 4 14 2 2" xfId="11264"/>
    <cellStyle name="Normal 3 2 4 14 2 3" xfId="15296"/>
    <cellStyle name="Normal 3 2 4 14 2 4" xfId="19328"/>
    <cellStyle name="Normal 3 2 4 14 2 5" xfId="23360"/>
    <cellStyle name="Normal 3 2 4 14 2 6" xfId="27392"/>
    <cellStyle name="Normal 3 2 4 14 2 7" xfId="31424"/>
    <cellStyle name="Normal 3 2 4 14 2 8" xfId="35456"/>
    <cellStyle name="Normal 3 2 4 14 2 9" xfId="39488"/>
    <cellStyle name="Normal 3 2 4 14 3" xfId="9248"/>
    <cellStyle name="Normal 3 2 4 14 4" xfId="13280"/>
    <cellStyle name="Normal 3 2 4 14 5" xfId="17312"/>
    <cellStyle name="Normal 3 2 4 14 6" xfId="21344"/>
    <cellStyle name="Normal 3 2 4 14 7" xfId="25376"/>
    <cellStyle name="Normal 3 2 4 14 8" xfId="29408"/>
    <cellStyle name="Normal 3 2 4 14 9" xfId="33440"/>
    <cellStyle name="Normal 3 2 4 15" xfId="7092"/>
    <cellStyle name="Normal 3 2 4 15 10" xfId="43382"/>
    <cellStyle name="Normal 3 2 4 15 11" xfId="47414"/>
    <cellStyle name="Normal 3 2 4 15 12" xfId="51493"/>
    <cellStyle name="Normal 3 2 4 15 2" xfId="11126"/>
    <cellStyle name="Normal 3 2 4 15 3" xfId="15158"/>
    <cellStyle name="Normal 3 2 4 15 4" xfId="19190"/>
    <cellStyle name="Normal 3 2 4 15 5" xfId="23222"/>
    <cellStyle name="Normal 3 2 4 15 6" xfId="27254"/>
    <cellStyle name="Normal 3 2 4 15 7" xfId="31286"/>
    <cellStyle name="Normal 3 2 4 15 8" xfId="35318"/>
    <cellStyle name="Normal 3 2 4 15 9" xfId="39350"/>
    <cellStyle name="Normal 3 2 4 16" xfId="117"/>
    <cellStyle name="Normal 3 2 4 17" xfId="9110"/>
    <cellStyle name="Normal 3 2 4 18" xfId="13142"/>
    <cellStyle name="Normal 3 2 4 19" xfId="17174"/>
    <cellStyle name="Normal 3 2 4 2" xfId="94"/>
    <cellStyle name="Normal 3 2 4 2 10" xfId="4574"/>
    <cellStyle name="Normal 3 2 4 2 10 10" xfId="38450"/>
    <cellStyle name="Normal 3 2 4 2 10 11" xfId="42482"/>
    <cellStyle name="Normal 3 2 4 2 10 12" xfId="46514"/>
    <cellStyle name="Normal 3 2 4 2 10 13" xfId="50593"/>
    <cellStyle name="Normal 3 2 4 2 10 2" xfId="8208"/>
    <cellStyle name="Normal 3 2 4 2 10 2 10" xfId="44498"/>
    <cellStyle name="Normal 3 2 4 2 10 2 11" xfId="48530"/>
    <cellStyle name="Normal 3 2 4 2 10 2 12" xfId="52609"/>
    <cellStyle name="Normal 3 2 4 2 10 2 2" xfId="12242"/>
    <cellStyle name="Normal 3 2 4 2 10 2 3" xfId="16274"/>
    <cellStyle name="Normal 3 2 4 2 10 2 4" xfId="20306"/>
    <cellStyle name="Normal 3 2 4 2 10 2 5" xfId="24338"/>
    <cellStyle name="Normal 3 2 4 2 10 2 6" xfId="28370"/>
    <cellStyle name="Normal 3 2 4 2 10 2 7" xfId="32402"/>
    <cellStyle name="Normal 3 2 4 2 10 2 8" xfId="36434"/>
    <cellStyle name="Normal 3 2 4 2 10 2 9" xfId="40466"/>
    <cellStyle name="Normal 3 2 4 2 10 3" xfId="10226"/>
    <cellStyle name="Normal 3 2 4 2 10 4" xfId="14258"/>
    <cellStyle name="Normal 3 2 4 2 10 5" xfId="18290"/>
    <cellStyle name="Normal 3 2 4 2 10 6" xfId="22322"/>
    <cellStyle name="Normal 3 2 4 2 10 7" xfId="26354"/>
    <cellStyle name="Normal 3 2 4 2 10 8" xfId="30386"/>
    <cellStyle name="Normal 3 2 4 2 10 9" xfId="34418"/>
    <cellStyle name="Normal 3 2 4 2 11" xfId="302"/>
    <cellStyle name="Normal 3 2 4 2 11 10" xfId="37507"/>
    <cellStyle name="Normal 3 2 4 2 11 11" xfId="41539"/>
    <cellStyle name="Normal 3 2 4 2 11 12" xfId="45571"/>
    <cellStyle name="Normal 3 2 4 2 11 13" xfId="49649"/>
    <cellStyle name="Normal 3 2 4 2 11 2" xfId="7265"/>
    <cellStyle name="Normal 3 2 4 2 11 2 10" xfId="43555"/>
    <cellStyle name="Normal 3 2 4 2 11 2 11" xfId="47587"/>
    <cellStyle name="Normal 3 2 4 2 11 2 12" xfId="51666"/>
    <cellStyle name="Normal 3 2 4 2 11 2 2" xfId="11299"/>
    <cellStyle name="Normal 3 2 4 2 11 2 3" xfId="15331"/>
    <cellStyle name="Normal 3 2 4 2 11 2 4" xfId="19363"/>
    <cellStyle name="Normal 3 2 4 2 11 2 5" xfId="23395"/>
    <cellStyle name="Normal 3 2 4 2 11 2 6" xfId="27427"/>
    <cellStyle name="Normal 3 2 4 2 11 2 7" xfId="31459"/>
    <cellStyle name="Normal 3 2 4 2 11 2 8" xfId="35491"/>
    <cellStyle name="Normal 3 2 4 2 11 2 9" xfId="39523"/>
    <cellStyle name="Normal 3 2 4 2 11 3" xfId="9283"/>
    <cellStyle name="Normal 3 2 4 2 11 4" xfId="13315"/>
    <cellStyle name="Normal 3 2 4 2 11 5" xfId="17347"/>
    <cellStyle name="Normal 3 2 4 2 11 6" xfId="21379"/>
    <cellStyle name="Normal 3 2 4 2 11 7" xfId="25411"/>
    <cellStyle name="Normal 3 2 4 2 11 8" xfId="29443"/>
    <cellStyle name="Normal 3 2 4 2 11 9" xfId="33475"/>
    <cellStyle name="Normal 3 2 4 2 12" xfId="7143"/>
    <cellStyle name="Normal 3 2 4 2 12 10" xfId="43433"/>
    <cellStyle name="Normal 3 2 4 2 12 11" xfId="47465"/>
    <cellStyle name="Normal 3 2 4 2 12 12" xfId="51544"/>
    <cellStyle name="Normal 3 2 4 2 12 2" xfId="11177"/>
    <cellStyle name="Normal 3 2 4 2 12 3" xfId="15209"/>
    <cellStyle name="Normal 3 2 4 2 12 4" xfId="19241"/>
    <cellStyle name="Normal 3 2 4 2 12 5" xfId="23273"/>
    <cellStyle name="Normal 3 2 4 2 12 6" xfId="27305"/>
    <cellStyle name="Normal 3 2 4 2 12 7" xfId="31337"/>
    <cellStyle name="Normal 3 2 4 2 12 8" xfId="35369"/>
    <cellStyle name="Normal 3 2 4 2 12 9" xfId="39401"/>
    <cellStyle name="Normal 3 2 4 2 13" xfId="169"/>
    <cellStyle name="Normal 3 2 4 2 14" xfId="9161"/>
    <cellStyle name="Normal 3 2 4 2 15" xfId="13193"/>
    <cellStyle name="Normal 3 2 4 2 16" xfId="17225"/>
    <cellStyle name="Normal 3 2 4 2 17" xfId="21257"/>
    <cellStyle name="Normal 3 2 4 2 18" xfId="25289"/>
    <cellStyle name="Normal 3 2 4 2 19" xfId="29321"/>
    <cellStyle name="Normal 3 2 4 2 2" xfId="248"/>
    <cellStyle name="Normal 3 2 4 2 2 10" xfId="21326"/>
    <cellStyle name="Normal 3 2 4 2 2 11" xfId="25358"/>
    <cellStyle name="Normal 3 2 4 2 2 12" xfId="29390"/>
    <cellStyle name="Normal 3 2 4 2 2 13" xfId="33422"/>
    <cellStyle name="Normal 3 2 4 2 2 14" xfId="37454"/>
    <cellStyle name="Normal 3 2 4 2 2 15" xfId="41486"/>
    <cellStyle name="Normal 3 2 4 2 2 16" xfId="45518"/>
    <cellStyle name="Normal 3 2 4 2 2 17" xfId="49596"/>
    <cellStyle name="Normal 3 2 4 2 2 2" xfId="4366"/>
    <cellStyle name="Normal 3 2 4 2 2 2 10" xfId="34211"/>
    <cellStyle name="Normal 3 2 4 2 2 2 11" xfId="38243"/>
    <cellStyle name="Normal 3 2 4 2 2 2 12" xfId="42275"/>
    <cellStyle name="Normal 3 2 4 2 2 2 13" xfId="46307"/>
    <cellStyle name="Normal 3 2 4 2 2 2 14" xfId="50386"/>
    <cellStyle name="Normal 3 2 4 2 2 2 2" xfId="6936"/>
    <cellStyle name="Normal 3 2 4 2 2 2 2 10" xfId="39194"/>
    <cellStyle name="Normal 3 2 4 2 2 2 2 11" xfId="43226"/>
    <cellStyle name="Normal 3 2 4 2 2 2 2 12" xfId="47258"/>
    <cellStyle name="Normal 3 2 4 2 2 2 2 13" xfId="51337"/>
    <cellStyle name="Normal 3 2 4 2 2 2 2 2" xfId="8952"/>
    <cellStyle name="Normal 3 2 4 2 2 2 2 2 10" xfId="45242"/>
    <cellStyle name="Normal 3 2 4 2 2 2 2 2 11" xfId="49274"/>
    <cellStyle name="Normal 3 2 4 2 2 2 2 2 12" xfId="53353"/>
    <cellStyle name="Normal 3 2 4 2 2 2 2 2 2" xfId="12986"/>
    <cellStyle name="Normal 3 2 4 2 2 2 2 2 3" xfId="17018"/>
    <cellStyle name="Normal 3 2 4 2 2 2 2 2 4" xfId="21050"/>
    <cellStyle name="Normal 3 2 4 2 2 2 2 2 5" xfId="25082"/>
    <cellStyle name="Normal 3 2 4 2 2 2 2 2 6" xfId="29114"/>
    <cellStyle name="Normal 3 2 4 2 2 2 2 2 7" xfId="33146"/>
    <cellStyle name="Normal 3 2 4 2 2 2 2 2 8" xfId="37178"/>
    <cellStyle name="Normal 3 2 4 2 2 2 2 2 9" xfId="41210"/>
    <cellStyle name="Normal 3 2 4 2 2 2 2 3" xfId="10970"/>
    <cellStyle name="Normal 3 2 4 2 2 2 2 4" xfId="15002"/>
    <cellStyle name="Normal 3 2 4 2 2 2 2 5" xfId="19034"/>
    <cellStyle name="Normal 3 2 4 2 2 2 2 6" xfId="23066"/>
    <cellStyle name="Normal 3 2 4 2 2 2 2 7" xfId="27098"/>
    <cellStyle name="Normal 3 2 4 2 2 2 2 8" xfId="31130"/>
    <cellStyle name="Normal 3 2 4 2 2 2 2 9" xfId="35162"/>
    <cellStyle name="Normal 3 2 4 2 2 2 3" xfId="8001"/>
    <cellStyle name="Normal 3 2 4 2 2 2 3 10" xfId="44291"/>
    <cellStyle name="Normal 3 2 4 2 2 2 3 11" xfId="48323"/>
    <cellStyle name="Normal 3 2 4 2 2 2 3 12" xfId="52402"/>
    <cellStyle name="Normal 3 2 4 2 2 2 3 2" xfId="12035"/>
    <cellStyle name="Normal 3 2 4 2 2 2 3 3" xfId="16067"/>
    <cellStyle name="Normal 3 2 4 2 2 2 3 4" xfId="20099"/>
    <cellStyle name="Normal 3 2 4 2 2 2 3 5" xfId="24131"/>
    <cellStyle name="Normal 3 2 4 2 2 2 3 6" xfId="28163"/>
    <cellStyle name="Normal 3 2 4 2 2 2 3 7" xfId="32195"/>
    <cellStyle name="Normal 3 2 4 2 2 2 3 8" xfId="36227"/>
    <cellStyle name="Normal 3 2 4 2 2 2 3 9" xfId="40259"/>
    <cellStyle name="Normal 3 2 4 2 2 2 4" xfId="10019"/>
    <cellStyle name="Normal 3 2 4 2 2 2 5" xfId="14051"/>
    <cellStyle name="Normal 3 2 4 2 2 2 6" xfId="18083"/>
    <cellStyle name="Normal 3 2 4 2 2 2 7" xfId="22115"/>
    <cellStyle name="Normal 3 2 4 2 2 2 8" xfId="26147"/>
    <cellStyle name="Normal 3 2 4 2 2 2 9" xfId="30179"/>
    <cellStyle name="Normal 3 2 4 2 2 3" xfId="4505"/>
    <cellStyle name="Normal 3 2 4 2 2 3 10" xfId="34349"/>
    <cellStyle name="Normal 3 2 4 2 2 3 11" xfId="38381"/>
    <cellStyle name="Normal 3 2 4 2 2 3 12" xfId="42413"/>
    <cellStyle name="Normal 3 2 4 2 2 3 13" xfId="46445"/>
    <cellStyle name="Normal 3 2 4 2 2 3 14" xfId="50524"/>
    <cellStyle name="Normal 3 2 4 2 2 3 2" xfId="7074"/>
    <cellStyle name="Normal 3 2 4 2 2 3 2 10" xfId="39332"/>
    <cellStyle name="Normal 3 2 4 2 2 3 2 11" xfId="43364"/>
    <cellStyle name="Normal 3 2 4 2 2 3 2 12" xfId="47396"/>
    <cellStyle name="Normal 3 2 4 2 2 3 2 13" xfId="51475"/>
    <cellStyle name="Normal 3 2 4 2 2 3 2 2" xfId="9090"/>
    <cellStyle name="Normal 3 2 4 2 2 3 2 2 10" xfId="45380"/>
    <cellStyle name="Normal 3 2 4 2 2 3 2 2 11" xfId="49412"/>
    <cellStyle name="Normal 3 2 4 2 2 3 2 2 12" xfId="53491"/>
    <cellStyle name="Normal 3 2 4 2 2 3 2 2 2" xfId="13124"/>
    <cellStyle name="Normal 3 2 4 2 2 3 2 2 3" xfId="17156"/>
    <cellStyle name="Normal 3 2 4 2 2 3 2 2 4" xfId="21188"/>
    <cellStyle name="Normal 3 2 4 2 2 3 2 2 5" xfId="25220"/>
    <cellStyle name="Normal 3 2 4 2 2 3 2 2 6" xfId="29252"/>
    <cellStyle name="Normal 3 2 4 2 2 3 2 2 7" xfId="33284"/>
    <cellStyle name="Normal 3 2 4 2 2 3 2 2 8" xfId="37316"/>
    <cellStyle name="Normal 3 2 4 2 2 3 2 2 9" xfId="41348"/>
    <cellStyle name="Normal 3 2 4 2 2 3 2 3" xfId="11108"/>
    <cellStyle name="Normal 3 2 4 2 2 3 2 4" xfId="15140"/>
    <cellStyle name="Normal 3 2 4 2 2 3 2 5" xfId="19172"/>
    <cellStyle name="Normal 3 2 4 2 2 3 2 6" xfId="23204"/>
    <cellStyle name="Normal 3 2 4 2 2 3 2 7" xfId="27236"/>
    <cellStyle name="Normal 3 2 4 2 2 3 2 8" xfId="31268"/>
    <cellStyle name="Normal 3 2 4 2 2 3 2 9" xfId="35300"/>
    <cellStyle name="Normal 3 2 4 2 2 3 3" xfId="8139"/>
    <cellStyle name="Normal 3 2 4 2 2 3 3 10" xfId="44429"/>
    <cellStyle name="Normal 3 2 4 2 2 3 3 11" xfId="48461"/>
    <cellStyle name="Normal 3 2 4 2 2 3 3 12" xfId="52540"/>
    <cellStyle name="Normal 3 2 4 2 2 3 3 2" xfId="12173"/>
    <cellStyle name="Normal 3 2 4 2 2 3 3 3" xfId="16205"/>
    <cellStyle name="Normal 3 2 4 2 2 3 3 4" xfId="20237"/>
    <cellStyle name="Normal 3 2 4 2 2 3 3 5" xfId="24269"/>
    <cellStyle name="Normal 3 2 4 2 2 3 3 6" xfId="28301"/>
    <cellStyle name="Normal 3 2 4 2 2 3 3 7" xfId="32333"/>
    <cellStyle name="Normal 3 2 4 2 2 3 3 8" xfId="36365"/>
    <cellStyle name="Normal 3 2 4 2 2 3 3 9" xfId="40397"/>
    <cellStyle name="Normal 3 2 4 2 2 3 4" xfId="10157"/>
    <cellStyle name="Normal 3 2 4 2 2 3 5" xfId="14189"/>
    <cellStyle name="Normal 3 2 4 2 2 3 6" xfId="18221"/>
    <cellStyle name="Normal 3 2 4 2 2 3 7" xfId="22253"/>
    <cellStyle name="Normal 3 2 4 2 2 3 8" xfId="26285"/>
    <cellStyle name="Normal 3 2 4 2 2 3 9" xfId="30317"/>
    <cellStyle name="Normal 3 2 4 2 2 4" xfId="4645"/>
    <cellStyle name="Normal 3 2 4 2 2 4 10" xfId="38519"/>
    <cellStyle name="Normal 3 2 4 2 2 4 11" xfId="42551"/>
    <cellStyle name="Normal 3 2 4 2 2 4 12" xfId="46583"/>
    <cellStyle name="Normal 3 2 4 2 2 4 13" xfId="50662"/>
    <cellStyle name="Normal 3 2 4 2 2 4 2" xfId="8277"/>
    <cellStyle name="Normal 3 2 4 2 2 4 2 10" xfId="44567"/>
    <cellStyle name="Normal 3 2 4 2 2 4 2 11" xfId="48599"/>
    <cellStyle name="Normal 3 2 4 2 2 4 2 12" xfId="52678"/>
    <cellStyle name="Normal 3 2 4 2 2 4 2 2" xfId="12311"/>
    <cellStyle name="Normal 3 2 4 2 2 4 2 3" xfId="16343"/>
    <cellStyle name="Normal 3 2 4 2 2 4 2 4" xfId="20375"/>
    <cellStyle name="Normal 3 2 4 2 2 4 2 5" xfId="24407"/>
    <cellStyle name="Normal 3 2 4 2 2 4 2 6" xfId="28439"/>
    <cellStyle name="Normal 3 2 4 2 2 4 2 7" xfId="32471"/>
    <cellStyle name="Normal 3 2 4 2 2 4 2 8" xfId="36503"/>
    <cellStyle name="Normal 3 2 4 2 2 4 2 9" xfId="40535"/>
    <cellStyle name="Normal 3 2 4 2 2 4 3" xfId="10295"/>
    <cellStyle name="Normal 3 2 4 2 2 4 4" xfId="14327"/>
    <cellStyle name="Normal 3 2 4 2 2 4 5" xfId="18359"/>
    <cellStyle name="Normal 3 2 4 2 2 4 6" xfId="22391"/>
    <cellStyle name="Normal 3 2 4 2 2 4 7" xfId="26423"/>
    <cellStyle name="Normal 3 2 4 2 2 4 8" xfId="30455"/>
    <cellStyle name="Normal 3 2 4 2 2 4 9" xfId="34487"/>
    <cellStyle name="Normal 3 2 4 2 2 5" xfId="372"/>
    <cellStyle name="Normal 3 2 4 2 2 5 10" xfId="37577"/>
    <cellStyle name="Normal 3 2 4 2 2 5 11" xfId="41609"/>
    <cellStyle name="Normal 3 2 4 2 2 5 12" xfId="45641"/>
    <cellStyle name="Normal 3 2 4 2 2 5 13" xfId="49719"/>
    <cellStyle name="Normal 3 2 4 2 2 5 2" xfId="7335"/>
    <cellStyle name="Normal 3 2 4 2 2 5 2 10" xfId="43625"/>
    <cellStyle name="Normal 3 2 4 2 2 5 2 11" xfId="47657"/>
    <cellStyle name="Normal 3 2 4 2 2 5 2 12" xfId="51736"/>
    <cellStyle name="Normal 3 2 4 2 2 5 2 2" xfId="11369"/>
    <cellStyle name="Normal 3 2 4 2 2 5 2 3" xfId="15401"/>
    <cellStyle name="Normal 3 2 4 2 2 5 2 4" xfId="19433"/>
    <cellStyle name="Normal 3 2 4 2 2 5 2 5" xfId="23465"/>
    <cellStyle name="Normal 3 2 4 2 2 5 2 6" xfId="27497"/>
    <cellStyle name="Normal 3 2 4 2 2 5 2 7" xfId="31529"/>
    <cellStyle name="Normal 3 2 4 2 2 5 2 8" xfId="35561"/>
    <cellStyle name="Normal 3 2 4 2 2 5 2 9" xfId="39593"/>
    <cellStyle name="Normal 3 2 4 2 2 5 3" xfId="9353"/>
    <cellStyle name="Normal 3 2 4 2 2 5 4" xfId="13385"/>
    <cellStyle name="Normal 3 2 4 2 2 5 5" xfId="17417"/>
    <cellStyle name="Normal 3 2 4 2 2 5 6" xfId="21449"/>
    <cellStyle name="Normal 3 2 4 2 2 5 7" xfId="25481"/>
    <cellStyle name="Normal 3 2 4 2 2 5 8" xfId="29513"/>
    <cellStyle name="Normal 3 2 4 2 2 5 9" xfId="33545"/>
    <cellStyle name="Normal 3 2 4 2 2 6" xfId="7212"/>
    <cellStyle name="Normal 3 2 4 2 2 6 10" xfId="43502"/>
    <cellStyle name="Normal 3 2 4 2 2 6 11" xfId="47534"/>
    <cellStyle name="Normal 3 2 4 2 2 6 12" xfId="51613"/>
    <cellStyle name="Normal 3 2 4 2 2 6 2" xfId="11246"/>
    <cellStyle name="Normal 3 2 4 2 2 6 3" xfId="15278"/>
    <cellStyle name="Normal 3 2 4 2 2 6 4" xfId="19310"/>
    <cellStyle name="Normal 3 2 4 2 2 6 5" xfId="23342"/>
    <cellStyle name="Normal 3 2 4 2 2 6 6" xfId="27374"/>
    <cellStyle name="Normal 3 2 4 2 2 6 7" xfId="31406"/>
    <cellStyle name="Normal 3 2 4 2 2 6 8" xfId="35438"/>
    <cellStyle name="Normal 3 2 4 2 2 6 9" xfId="39470"/>
    <cellStyle name="Normal 3 2 4 2 2 7" xfId="9230"/>
    <cellStyle name="Normal 3 2 4 2 2 8" xfId="13262"/>
    <cellStyle name="Normal 3 2 4 2 2 9" xfId="17294"/>
    <cellStyle name="Normal 3 2 4 2 20" xfId="33353"/>
    <cellStyle name="Normal 3 2 4 2 21" xfId="37385"/>
    <cellStyle name="Normal 3 2 4 2 22" xfId="41417"/>
    <cellStyle name="Normal 3 2 4 2 23" xfId="45449"/>
    <cellStyle name="Normal 3 2 4 2 24" xfId="49527"/>
    <cellStyle name="Normal 3 2 4 2 3" xfId="1682"/>
    <cellStyle name="Normal 3 2 4 2 3 10" xfId="33643"/>
    <cellStyle name="Normal 3 2 4 2 3 11" xfId="37675"/>
    <cellStyle name="Normal 3 2 4 2 3 12" xfId="41707"/>
    <cellStyle name="Normal 3 2 4 2 3 13" xfId="45739"/>
    <cellStyle name="Normal 3 2 4 2 3 14" xfId="49817"/>
    <cellStyle name="Normal 3 2 4 2 3 2" xfId="5358"/>
    <cellStyle name="Normal 3 2 4 2 3 2 10" xfId="38626"/>
    <cellStyle name="Normal 3 2 4 2 3 2 11" xfId="42658"/>
    <cellStyle name="Normal 3 2 4 2 3 2 12" xfId="46690"/>
    <cellStyle name="Normal 3 2 4 2 3 2 13" xfId="50769"/>
    <cellStyle name="Normal 3 2 4 2 3 2 2" xfId="8384"/>
    <cellStyle name="Normal 3 2 4 2 3 2 2 10" xfId="44674"/>
    <cellStyle name="Normal 3 2 4 2 3 2 2 11" xfId="48706"/>
    <cellStyle name="Normal 3 2 4 2 3 2 2 12" xfId="52785"/>
    <cellStyle name="Normal 3 2 4 2 3 2 2 2" xfId="12418"/>
    <cellStyle name="Normal 3 2 4 2 3 2 2 3" xfId="16450"/>
    <cellStyle name="Normal 3 2 4 2 3 2 2 4" xfId="20482"/>
    <cellStyle name="Normal 3 2 4 2 3 2 2 5" xfId="24514"/>
    <cellStyle name="Normal 3 2 4 2 3 2 2 6" xfId="28546"/>
    <cellStyle name="Normal 3 2 4 2 3 2 2 7" xfId="32578"/>
    <cellStyle name="Normal 3 2 4 2 3 2 2 8" xfId="36610"/>
    <cellStyle name="Normal 3 2 4 2 3 2 2 9" xfId="40642"/>
    <cellStyle name="Normal 3 2 4 2 3 2 3" xfId="10402"/>
    <cellStyle name="Normal 3 2 4 2 3 2 4" xfId="14434"/>
    <cellStyle name="Normal 3 2 4 2 3 2 5" xfId="18466"/>
    <cellStyle name="Normal 3 2 4 2 3 2 6" xfId="22498"/>
    <cellStyle name="Normal 3 2 4 2 3 2 7" xfId="26530"/>
    <cellStyle name="Normal 3 2 4 2 3 2 8" xfId="30562"/>
    <cellStyle name="Normal 3 2 4 2 3 2 9" xfId="34594"/>
    <cellStyle name="Normal 3 2 4 2 3 3" xfId="7433"/>
    <cellStyle name="Normal 3 2 4 2 3 3 10" xfId="43723"/>
    <cellStyle name="Normal 3 2 4 2 3 3 11" xfId="47755"/>
    <cellStyle name="Normal 3 2 4 2 3 3 12" xfId="51834"/>
    <cellStyle name="Normal 3 2 4 2 3 3 2" xfId="11467"/>
    <cellStyle name="Normal 3 2 4 2 3 3 3" xfId="15499"/>
    <cellStyle name="Normal 3 2 4 2 3 3 4" xfId="19531"/>
    <cellStyle name="Normal 3 2 4 2 3 3 5" xfId="23563"/>
    <cellStyle name="Normal 3 2 4 2 3 3 6" xfId="27595"/>
    <cellStyle name="Normal 3 2 4 2 3 3 7" xfId="31627"/>
    <cellStyle name="Normal 3 2 4 2 3 3 8" xfId="35659"/>
    <cellStyle name="Normal 3 2 4 2 3 3 9" xfId="39691"/>
    <cellStyle name="Normal 3 2 4 2 3 4" xfId="9451"/>
    <cellStyle name="Normal 3 2 4 2 3 5" xfId="13483"/>
    <cellStyle name="Normal 3 2 4 2 3 6" xfId="17515"/>
    <cellStyle name="Normal 3 2 4 2 3 7" xfId="21547"/>
    <cellStyle name="Normal 3 2 4 2 3 8" xfId="25579"/>
    <cellStyle name="Normal 3 2 4 2 3 9" xfId="29611"/>
    <cellStyle name="Normal 3 2 4 2 4" xfId="1756"/>
    <cellStyle name="Normal 3 2 4 2 4 10" xfId="33712"/>
    <cellStyle name="Normal 3 2 4 2 4 11" xfId="37744"/>
    <cellStyle name="Normal 3 2 4 2 4 12" xfId="41776"/>
    <cellStyle name="Normal 3 2 4 2 4 13" xfId="45808"/>
    <cellStyle name="Normal 3 2 4 2 4 14" xfId="49886"/>
    <cellStyle name="Normal 3 2 4 2 4 2" xfId="5427"/>
    <cellStyle name="Normal 3 2 4 2 4 2 10" xfId="38695"/>
    <cellStyle name="Normal 3 2 4 2 4 2 11" xfId="42727"/>
    <cellStyle name="Normal 3 2 4 2 4 2 12" xfId="46759"/>
    <cellStyle name="Normal 3 2 4 2 4 2 13" xfId="50838"/>
    <cellStyle name="Normal 3 2 4 2 4 2 2" xfId="8453"/>
    <cellStyle name="Normal 3 2 4 2 4 2 2 10" xfId="44743"/>
    <cellStyle name="Normal 3 2 4 2 4 2 2 11" xfId="48775"/>
    <cellStyle name="Normal 3 2 4 2 4 2 2 12" xfId="52854"/>
    <cellStyle name="Normal 3 2 4 2 4 2 2 2" xfId="12487"/>
    <cellStyle name="Normal 3 2 4 2 4 2 2 3" xfId="16519"/>
    <cellStyle name="Normal 3 2 4 2 4 2 2 4" xfId="20551"/>
    <cellStyle name="Normal 3 2 4 2 4 2 2 5" xfId="24583"/>
    <cellStyle name="Normal 3 2 4 2 4 2 2 6" xfId="28615"/>
    <cellStyle name="Normal 3 2 4 2 4 2 2 7" xfId="32647"/>
    <cellStyle name="Normal 3 2 4 2 4 2 2 8" xfId="36679"/>
    <cellStyle name="Normal 3 2 4 2 4 2 2 9" xfId="40711"/>
    <cellStyle name="Normal 3 2 4 2 4 2 3" xfId="10471"/>
    <cellStyle name="Normal 3 2 4 2 4 2 4" xfId="14503"/>
    <cellStyle name="Normal 3 2 4 2 4 2 5" xfId="18535"/>
    <cellStyle name="Normal 3 2 4 2 4 2 6" xfId="22567"/>
    <cellStyle name="Normal 3 2 4 2 4 2 7" xfId="26599"/>
    <cellStyle name="Normal 3 2 4 2 4 2 8" xfId="30631"/>
    <cellStyle name="Normal 3 2 4 2 4 2 9" xfId="34663"/>
    <cellStyle name="Normal 3 2 4 2 4 3" xfId="7502"/>
    <cellStyle name="Normal 3 2 4 2 4 3 10" xfId="43792"/>
    <cellStyle name="Normal 3 2 4 2 4 3 11" xfId="47824"/>
    <cellStyle name="Normal 3 2 4 2 4 3 12" xfId="51903"/>
    <cellStyle name="Normal 3 2 4 2 4 3 2" xfId="11536"/>
    <cellStyle name="Normal 3 2 4 2 4 3 3" xfId="15568"/>
    <cellStyle name="Normal 3 2 4 2 4 3 4" xfId="19600"/>
    <cellStyle name="Normal 3 2 4 2 4 3 5" xfId="23632"/>
    <cellStyle name="Normal 3 2 4 2 4 3 6" xfId="27664"/>
    <cellStyle name="Normal 3 2 4 2 4 3 7" xfId="31696"/>
    <cellStyle name="Normal 3 2 4 2 4 3 8" xfId="35728"/>
    <cellStyle name="Normal 3 2 4 2 4 3 9" xfId="39760"/>
    <cellStyle name="Normal 3 2 4 2 4 4" xfId="9520"/>
    <cellStyle name="Normal 3 2 4 2 4 5" xfId="13552"/>
    <cellStyle name="Normal 3 2 4 2 4 6" xfId="17584"/>
    <cellStyle name="Normal 3 2 4 2 4 7" xfId="21616"/>
    <cellStyle name="Normal 3 2 4 2 4 8" xfId="25648"/>
    <cellStyle name="Normal 3 2 4 2 4 9" xfId="29680"/>
    <cellStyle name="Normal 3 2 4 2 5" xfId="4078"/>
    <cellStyle name="Normal 3 2 4 2 5 10" xfId="33935"/>
    <cellStyle name="Normal 3 2 4 2 5 11" xfId="37967"/>
    <cellStyle name="Normal 3 2 4 2 5 12" xfId="41999"/>
    <cellStyle name="Normal 3 2 4 2 5 13" xfId="46031"/>
    <cellStyle name="Normal 3 2 4 2 5 14" xfId="50109"/>
    <cellStyle name="Normal 3 2 4 2 5 2" xfId="6660"/>
    <cellStyle name="Normal 3 2 4 2 5 2 10" xfId="38918"/>
    <cellStyle name="Normal 3 2 4 2 5 2 11" xfId="42950"/>
    <cellStyle name="Normal 3 2 4 2 5 2 12" xfId="46982"/>
    <cellStyle name="Normal 3 2 4 2 5 2 13" xfId="51061"/>
    <cellStyle name="Normal 3 2 4 2 5 2 2" xfId="8676"/>
    <cellStyle name="Normal 3 2 4 2 5 2 2 10" xfId="44966"/>
    <cellStyle name="Normal 3 2 4 2 5 2 2 11" xfId="48998"/>
    <cellStyle name="Normal 3 2 4 2 5 2 2 12" xfId="53077"/>
    <cellStyle name="Normal 3 2 4 2 5 2 2 2" xfId="12710"/>
    <cellStyle name="Normal 3 2 4 2 5 2 2 3" xfId="16742"/>
    <cellStyle name="Normal 3 2 4 2 5 2 2 4" xfId="20774"/>
    <cellStyle name="Normal 3 2 4 2 5 2 2 5" xfId="24806"/>
    <cellStyle name="Normal 3 2 4 2 5 2 2 6" xfId="28838"/>
    <cellStyle name="Normal 3 2 4 2 5 2 2 7" xfId="32870"/>
    <cellStyle name="Normal 3 2 4 2 5 2 2 8" xfId="36902"/>
    <cellStyle name="Normal 3 2 4 2 5 2 2 9" xfId="40934"/>
    <cellStyle name="Normal 3 2 4 2 5 2 3" xfId="10694"/>
    <cellStyle name="Normal 3 2 4 2 5 2 4" xfId="14726"/>
    <cellStyle name="Normal 3 2 4 2 5 2 5" xfId="18758"/>
    <cellStyle name="Normal 3 2 4 2 5 2 6" xfId="22790"/>
    <cellStyle name="Normal 3 2 4 2 5 2 7" xfId="26822"/>
    <cellStyle name="Normal 3 2 4 2 5 2 8" xfId="30854"/>
    <cellStyle name="Normal 3 2 4 2 5 2 9" xfId="34886"/>
    <cellStyle name="Normal 3 2 4 2 5 3" xfId="7725"/>
    <cellStyle name="Normal 3 2 4 2 5 3 10" xfId="44015"/>
    <cellStyle name="Normal 3 2 4 2 5 3 11" xfId="48047"/>
    <cellStyle name="Normal 3 2 4 2 5 3 12" xfId="52126"/>
    <cellStyle name="Normal 3 2 4 2 5 3 2" xfId="11759"/>
    <cellStyle name="Normal 3 2 4 2 5 3 3" xfId="15791"/>
    <cellStyle name="Normal 3 2 4 2 5 3 4" xfId="19823"/>
    <cellStyle name="Normal 3 2 4 2 5 3 5" xfId="23855"/>
    <cellStyle name="Normal 3 2 4 2 5 3 6" xfId="27887"/>
    <cellStyle name="Normal 3 2 4 2 5 3 7" xfId="31919"/>
    <cellStyle name="Normal 3 2 4 2 5 3 8" xfId="35951"/>
    <cellStyle name="Normal 3 2 4 2 5 3 9" xfId="39983"/>
    <cellStyle name="Normal 3 2 4 2 5 4" xfId="9743"/>
    <cellStyle name="Normal 3 2 4 2 5 5" xfId="13775"/>
    <cellStyle name="Normal 3 2 4 2 5 6" xfId="17807"/>
    <cellStyle name="Normal 3 2 4 2 5 7" xfId="21839"/>
    <cellStyle name="Normal 3 2 4 2 5 8" xfId="25871"/>
    <cellStyle name="Normal 3 2 4 2 5 9" xfId="29903"/>
    <cellStyle name="Normal 3 2 4 2 6" xfId="4148"/>
    <cellStyle name="Normal 3 2 4 2 6 10" xfId="34004"/>
    <cellStyle name="Normal 3 2 4 2 6 11" xfId="38036"/>
    <cellStyle name="Normal 3 2 4 2 6 12" xfId="42068"/>
    <cellStyle name="Normal 3 2 4 2 6 13" xfId="46100"/>
    <cellStyle name="Normal 3 2 4 2 6 14" xfId="50178"/>
    <cellStyle name="Normal 3 2 4 2 6 2" xfId="6729"/>
    <cellStyle name="Normal 3 2 4 2 6 2 10" xfId="38987"/>
    <cellStyle name="Normal 3 2 4 2 6 2 11" xfId="43019"/>
    <cellStyle name="Normal 3 2 4 2 6 2 12" xfId="47051"/>
    <cellStyle name="Normal 3 2 4 2 6 2 13" xfId="51130"/>
    <cellStyle name="Normal 3 2 4 2 6 2 2" xfId="8745"/>
    <cellStyle name="Normal 3 2 4 2 6 2 2 10" xfId="45035"/>
    <cellStyle name="Normal 3 2 4 2 6 2 2 11" xfId="49067"/>
    <cellStyle name="Normal 3 2 4 2 6 2 2 12" xfId="53146"/>
    <cellStyle name="Normal 3 2 4 2 6 2 2 2" xfId="12779"/>
    <cellStyle name="Normal 3 2 4 2 6 2 2 3" xfId="16811"/>
    <cellStyle name="Normal 3 2 4 2 6 2 2 4" xfId="20843"/>
    <cellStyle name="Normal 3 2 4 2 6 2 2 5" xfId="24875"/>
    <cellStyle name="Normal 3 2 4 2 6 2 2 6" xfId="28907"/>
    <cellStyle name="Normal 3 2 4 2 6 2 2 7" xfId="32939"/>
    <cellStyle name="Normal 3 2 4 2 6 2 2 8" xfId="36971"/>
    <cellStyle name="Normal 3 2 4 2 6 2 2 9" xfId="41003"/>
    <cellStyle name="Normal 3 2 4 2 6 2 3" xfId="10763"/>
    <cellStyle name="Normal 3 2 4 2 6 2 4" xfId="14795"/>
    <cellStyle name="Normal 3 2 4 2 6 2 5" xfId="18827"/>
    <cellStyle name="Normal 3 2 4 2 6 2 6" xfId="22859"/>
    <cellStyle name="Normal 3 2 4 2 6 2 7" xfId="26891"/>
    <cellStyle name="Normal 3 2 4 2 6 2 8" xfId="30923"/>
    <cellStyle name="Normal 3 2 4 2 6 2 9" xfId="34955"/>
    <cellStyle name="Normal 3 2 4 2 6 3" xfId="7794"/>
    <cellStyle name="Normal 3 2 4 2 6 3 10" xfId="44084"/>
    <cellStyle name="Normal 3 2 4 2 6 3 11" xfId="48116"/>
    <cellStyle name="Normal 3 2 4 2 6 3 12" xfId="52195"/>
    <cellStyle name="Normal 3 2 4 2 6 3 2" xfId="11828"/>
    <cellStyle name="Normal 3 2 4 2 6 3 3" xfId="15860"/>
    <cellStyle name="Normal 3 2 4 2 6 3 4" xfId="19892"/>
    <cellStyle name="Normal 3 2 4 2 6 3 5" xfId="23924"/>
    <cellStyle name="Normal 3 2 4 2 6 3 6" xfId="27956"/>
    <cellStyle name="Normal 3 2 4 2 6 3 7" xfId="31988"/>
    <cellStyle name="Normal 3 2 4 2 6 3 8" xfId="36020"/>
    <cellStyle name="Normal 3 2 4 2 6 3 9" xfId="40052"/>
    <cellStyle name="Normal 3 2 4 2 6 4" xfId="9812"/>
    <cellStyle name="Normal 3 2 4 2 6 5" xfId="13844"/>
    <cellStyle name="Normal 3 2 4 2 6 6" xfId="17876"/>
    <cellStyle name="Normal 3 2 4 2 6 7" xfId="21908"/>
    <cellStyle name="Normal 3 2 4 2 6 8" xfId="25940"/>
    <cellStyle name="Normal 3 2 4 2 6 9" xfId="29972"/>
    <cellStyle name="Normal 3 2 4 2 7" xfId="4217"/>
    <cellStyle name="Normal 3 2 4 2 7 10" xfId="34073"/>
    <cellStyle name="Normal 3 2 4 2 7 11" xfId="38105"/>
    <cellStyle name="Normal 3 2 4 2 7 12" xfId="42137"/>
    <cellStyle name="Normal 3 2 4 2 7 13" xfId="46169"/>
    <cellStyle name="Normal 3 2 4 2 7 14" xfId="50247"/>
    <cellStyle name="Normal 3 2 4 2 7 2" xfId="6798"/>
    <cellStyle name="Normal 3 2 4 2 7 2 10" xfId="39056"/>
    <cellStyle name="Normal 3 2 4 2 7 2 11" xfId="43088"/>
    <cellStyle name="Normal 3 2 4 2 7 2 12" xfId="47120"/>
    <cellStyle name="Normal 3 2 4 2 7 2 13" xfId="51199"/>
    <cellStyle name="Normal 3 2 4 2 7 2 2" xfId="8814"/>
    <cellStyle name="Normal 3 2 4 2 7 2 2 10" xfId="45104"/>
    <cellStyle name="Normal 3 2 4 2 7 2 2 11" xfId="49136"/>
    <cellStyle name="Normal 3 2 4 2 7 2 2 12" xfId="53215"/>
    <cellStyle name="Normal 3 2 4 2 7 2 2 2" xfId="12848"/>
    <cellStyle name="Normal 3 2 4 2 7 2 2 3" xfId="16880"/>
    <cellStyle name="Normal 3 2 4 2 7 2 2 4" xfId="20912"/>
    <cellStyle name="Normal 3 2 4 2 7 2 2 5" xfId="24944"/>
    <cellStyle name="Normal 3 2 4 2 7 2 2 6" xfId="28976"/>
    <cellStyle name="Normal 3 2 4 2 7 2 2 7" xfId="33008"/>
    <cellStyle name="Normal 3 2 4 2 7 2 2 8" xfId="37040"/>
    <cellStyle name="Normal 3 2 4 2 7 2 2 9" xfId="41072"/>
    <cellStyle name="Normal 3 2 4 2 7 2 3" xfId="10832"/>
    <cellStyle name="Normal 3 2 4 2 7 2 4" xfId="14864"/>
    <cellStyle name="Normal 3 2 4 2 7 2 5" xfId="18896"/>
    <cellStyle name="Normal 3 2 4 2 7 2 6" xfId="22928"/>
    <cellStyle name="Normal 3 2 4 2 7 2 7" xfId="26960"/>
    <cellStyle name="Normal 3 2 4 2 7 2 8" xfId="30992"/>
    <cellStyle name="Normal 3 2 4 2 7 2 9" xfId="35024"/>
    <cellStyle name="Normal 3 2 4 2 7 3" xfId="7863"/>
    <cellStyle name="Normal 3 2 4 2 7 3 10" xfId="44153"/>
    <cellStyle name="Normal 3 2 4 2 7 3 11" xfId="48185"/>
    <cellStyle name="Normal 3 2 4 2 7 3 12" xfId="52264"/>
    <cellStyle name="Normal 3 2 4 2 7 3 2" xfId="11897"/>
    <cellStyle name="Normal 3 2 4 2 7 3 3" xfId="15929"/>
    <cellStyle name="Normal 3 2 4 2 7 3 4" xfId="19961"/>
    <cellStyle name="Normal 3 2 4 2 7 3 5" xfId="23993"/>
    <cellStyle name="Normal 3 2 4 2 7 3 6" xfId="28025"/>
    <cellStyle name="Normal 3 2 4 2 7 3 7" xfId="32057"/>
    <cellStyle name="Normal 3 2 4 2 7 3 8" xfId="36089"/>
    <cellStyle name="Normal 3 2 4 2 7 3 9" xfId="40121"/>
    <cellStyle name="Normal 3 2 4 2 7 4" xfId="9881"/>
    <cellStyle name="Normal 3 2 4 2 7 5" xfId="13913"/>
    <cellStyle name="Normal 3 2 4 2 7 6" xfId="17945"/>
    <cellStyle name="Normal 3 2 4 2 7 7" xfId="21977"/>
    <cellStyle name="Normal 3 2 4 2 7 8" xfId="26009"/>
    <cellStyle name="Normal 3 2 4 2 7 9" xfId="30041"/>
    <cellStyle name="Normal 3 2 4 2 8" xfId="4290"/>
    <cellStyle name="Normal 3 2 4 2 8 10" xfId="34142"/>
    <cellStyle name="Normal 3 2 4 2 8 11" xfId="38174"/>
    <cellStyle name="Normal 3 2 4 2 8 12" xfId="42206"/>
    <cellStyle name="Normal 3 2 4 2 8 13" xfId="46238"/>
    <cellStyle name="Normal 3 2 4 2 8 14" xfId="50316"/>
    <cellStyle name="Normal 3 2 4 2 8 2" xfId="6867"/>
    <cellStyle name="Normal 3 2 4 2 8 2 10" xfId="39125"/>
    <cellStyle name="Normal 3 2 4 2 8 2 11" xfId="43157"/>
    <cellStyle name="Normal 3 2 4 2 8 2 12" xfId="47189"/>
    <cellStyle name="Normal 3 2 4 2 8 2 13" xfId="51268"/>
    <cellStyle name="Normal 3 2 4 2 8 2 2" xfId="8883"/>
    <cellStyle name="Normal 3 2 4 2 8 2 2 10" xfId="45173"/>
    <cellStyle name="Normal 3 2 4 2 8 2 2 11" xfId="49205"/>
    <cellStyle name="Normal 3 2 4 2 8 2 2 12" xfId="53284"/>
    <cellStyle name="Normal 3 2 4 2 8 2 2 2" xfId="12917"/>
    <cellStyle name="Normal 3 2 4 2 8 2 2 3" xfId="16949"/>
    <cellStyle name="Normal 3 2 4 2 8 2 2 4" xfId="20981"/>
    <cellStyle name="Normal 3 2 4 2 8 2 2 5" xfId="25013"/>
    <cellStyle name="Normal 3 2 4 2 8 2 2 6" xfId="29045"/>
    <cellStyle name="Normal 3 2 4 2 8 2 2 7" xfId="33077"/>
    <cellStyle name="Normal 3 2 4 2 8 2 2 8" xfId="37109"/>
    <cellStyle name="Normal 3 2 4 2 8 2 2 9" xfId="41141"/>
    <cellStyle name="Normal 3 2 4 2 8 2 3" xfId="10901"/>
    <cellStyle name="Normal 3 2 4 2 8 2 4" xfId="14933"/>
    <cellStyle name="Normal 3 2 4 2 8 2 5" xfId="18965"/>
    <cellStyle name="Normal 3 2 4 2 8 2 6" xfId="22997"/>
    <cellStyle name="Normal 3 2 4 2 8 2 7" xfId="27029"/>
    <cellStyle name="Normal 3 2 4 2 8 2 8" xfId="31061"/>
    <cellStyle name="Normal 3 2 4 2 8 2 9" xfId="35093"/>
    <cellStyle name="Normal 3 2 4 2 8 3" xfId="7932"/>
    <cellStyle name="Normal 3 2 4 2 8 3 10" xfId="44222"/>
    <cellStyle name="Normal 3 2 4 2 8 3 11" xfId="48254"/>
    <cellStyle name="Normal 3 2 4 2 8 3 12" xfId="52333"/>
    <cellStyle name="Normal 3 2 4 2 8 3 2" xfId="11966"/>
    <cellStyle name="Normal 3 2 4 2 8 3 3" xfId="15998"/>
    <cellStyle name="Normal 3 2 4 2 8 3 4" xfId="20030"/>
    <cellStyle name="Normal 3 2 4 2 8 3 5" xfId="24062"/>
    <cellStyle name="Normal 3 2 4 2 8 3 6" xfId="28094"/>
    <cellStyle name="Normal 3 2 4 2 8 3 7" xfId="32126"/>
    <cellStyle name="Normal 3 2 4 2 8 3 8" xfId="36158"/>
    <cellStyle name="Normal 3 2 4 2 8 3 9" xfId="40190"/>
    <cellStyle name="Normal 3 2 4 2 8 4" xfId="9950"/>
    <cellStyle name="Normal 3 2 4 2 8 5" xfId="13982"/>
    <cellStyle name="Normal 3 2 4 2 8 6" xfId="18014"/>
    <cellStyle name="Normal 3 2 4 2 8 7" xfId="22046"/>
    <cellStyle name="Normal 3 2 4 2 8 8" xfId="26078"/>
    <cellStyle name="Normal 3 2 4 2 8 9" xfId="30110"/>
    <cellStyle name="Normal 3 2 4 2 9" xfId="4436"/>
    <cellStyle name="Normal 3 2 4 2 9 10" xfId="34280"/>
    <cellStyle name="Normal 3 2 4 2 9 11" xfId="38312"/>
    <cellStyle name="Normal 3 2 4 2 9 12" xfId="42344"/>
    <cellStyle name="Normal 3 2 4 2 9 13" xfId="46376"/>
    <cellStyle name="Normal 3 2 4 2 9 14" xfId="50455"/>
    <cellStyle name="Normal 3 2 4 2 9 2" xfId="7005"/>
    <cellStyle name="Normal 3 2 4 2 9 2 10" xfId="39263"/>
    <cellStyle name="Normal 3 2 4 2 9 2 11" xfId="43295"/>
    <cellStyle name="Normal 3 2 4 2 9 2 12" xfId="47327"/>
    <cellStyle name="Normal 3 2 4 2 9 2 13" xfId="51406"/>
    <cellStyle name="Normal 3 2 4 2 9 2 2" xfId="9021"/>
    <cellStyle name="Normal 3 2 4 2 9 2 2 10" xfId="45311"/>
    <cellStyle name="Normal 3 2 4 2 9 2 2 11" xfId="49343"/>
    <cellStyle name="Normal 3 2 4 2 9 2 2 12" xfId="53422"/>
    <cellStyle name="Normal 3 2 4 2 9 2 2 2" xfId="13055"/>
    <cellStyle name="Normal 3 2 4 2 9 2 2 3" xfId="17087"/>
    <cellStyle name="Normal 3 2 4 2 9 2 2 4" xfId="21119"/>
    <cellStyle name="Normal 3 2 4 2 9 2 2 5" xfId="25151"/>
    <cellStyle name="Normal 3 2 4 2 9 2 2 6" xfId="29183"/>
    <cellStyle name="Normal 3 2 4 2 9 2 2 7" xfId="33215"/>
    <cellStyle name="Normal 3 2 4 2 9 2 2 8" xfId="37247"/>
    <cellStyle name="Normal 3 2 4 2 9 2 2 9" xfId="41279"/>
    <cellStyle name="Normal 3 2 4 2 9 2 3" xfId="11039"/>
    <cellStyle name="Normal 3 2 4 2 9 2 4" xfId="15071"/>
    <cellStyle name="Normal 3 2 4 2 9 2 5" xfId="19103"/>
    <cellStyle name="Normal 3 2 4 2 9 2 6" xfId="23135"/>
    <cellStyle name="Normal 3 2 4 2 9 2 7" xfId="27167"/>
    <cellStyle name="Normal 3 2 4 2 9 2 8" xfId="31199"/>
    <cellStyle name="Normal 3 2 4 2 9 2 9" xfId="35231"/>
    <cellStyle name="Normal 3 2 4 2 9 3" xfId="8070"/>
    <cellStyle name="Normal 3 2 4 2 9 3 10" xfId="44360"/>
    <cellStyle name="Normal 3 2 4 2 9 3 11" xfId="48392"/>
    <cellStyle name="Normal 3 2 4 2 9 3 12" xfId="52471"/>
    <cellStyle name="Normal 3 2 4 2 9 3 2" xfId="12104"/>
    <cellStyle name="Normal 3 2 4 2 9 3 3" xfId="16136"/>
    <cellStyle name="Normal 3 2 4 2 9 3 4" xfId="20168"/>
    <cellStyle name="Normal 3 2 4 2 9 3 5" xfId="24200"/>
    <cellStyle name="Normal 3 2 4 2 9 3 6" xfId="28232"/>
    <cellStyle name="Normal 3 2 4 2 9 3 7" xfId="32264"/>
    <cellStyle name="Normal 3 2 4 2 9 3 8" xfId="36296"/>
    <cellStyle name="Normal 3 2 4 2 9 3 9" xfId="40328"/>
    <cellStyle name="Normal 3 2 4 2 9 4" xfId="10088"/>
    <cellStyle name="Normal 3 2 4 2 9 5" xfId="14120"/>
    <cellStyle name="Normal 3 2 4 2 9 6" xfId="18152"/>
    <cellStyle name="Normal 3 2 4 2 9 7" xfId="22184"/>
    <cellStyle name="Normal 3 2 4 2 9 8" xfId="26216"/>
    <cellStyle name="Normal 3 2 4 2 9 9" xfId="30248"/>
    <cellStyle name="Normal 3 2 4 20" xfId="21206"/>
    <cellStyle name="Normal 3 2 4 21" xfId="25238"/>
    <cellStyle name="Normal 3 2 4 22" xfId="29270"/>
    <cellStyle name="Normal 3 2 4 23" xfId="33302"/>
    <cellStyle name="Normal 3 2 4 24" xfId="37334"/>
    <cellStyle name="Normal 3 2 4 25" xfId="41366"/>
    <cellStyle name="Normal 3 2 4 26" xfId="45398"/>
    <cellStyle name="Normal 3 2 4 27" xfId="49476"/>
    <cellStyle name="Normal 3 2 4 3" xfId="78"/>
    <cellStyle name="Normal 3 2 4 3 10" xfId="4558"/>
    <cellStyle name="Normal 3 2 4 3 10 10" xfId="38434"/>
    <cellStyle name="Normal 3 2 4 3 10 11" xfId="42466"/>
    <cellStyle name="Normal 3 2 4 3 10 12" xfId="46498"/>
    <cellStyle name="Normal 3 2 4 3 10 13" xfId="50577"/>
    <cellStyle name="Normal 3 2 4 3 10 2" xfId="8192"/>
    <cellStyle name="Normal 3 2 4 3 10 2 10" xfId="44482"/>
    <cellStyle name="Normal 3 2 4 3 10 2 11" xfId="48514"/>
    <cellStyle name="Normal 3 2 4 3 10 2 12" xfId="52593"/>
    <cellStyle name="Normal 3 2 4 3 10 2 2" xfId="12226"/>
    <cellStyle name="Normal 3 2 4 3 10 2 3" xfId="16258"/>
    <cellStyle name="Normal 3 2 4 3 10 2 4" xfId="20290"/>
    <cellStyle name="Normal 3 2 4 3 10 2 5" xfId="24322"/>
    <cellStyle name="Normal 3 2 4 3 10 2 6" xfId="28354"/>
    <cellStyle name="Normal 3 2 4 3 10 2 7" xfId="32386"/>
    <cellStyle name="Normal 3 2 4 3 10 2 8" xfId="36418"/>
    <cellStyle name="Normal 3 2 4 3 10 2 9" xfId="40450"/>
    <cellStyle name="Normal 3 2 4 3 10 3" xfId="10210"/>
    <cellStyle name="Normal 3 2 4 3 10 4" xfId="14242"/>
    <cellStyle name="Normal 3 2 4 3 10 5" xfId="18274"/>
    <cellStyle name="Normal 3 2 4 3 10 6" xfId="22306"/>
    <cellStyle name="Normal 3 2 4 3 10 7" xfId="26338"/>
    <cellStyle name="Normal 3 2 4 3 10 8" xfId="30370"/>
    <cellStyle name="Normal 3 2 4 3 10 9" xfId="34402"/>
    <cellStyle name="Normal 3 2 4 3 11" xfId="286"/>
    <cellStyle name="Normal 3 2 4 3 11 10" xfId="37491"/>
    <cellStyle name="Normal 3 2 4 3 11 11" xfId="41523"/>
    <cellStyle name="Normal 3 2 4 3 11 12" xfId="45555"/>
    <cellStyle name="Normal 3 2 4 3 11 13" xfId="49633"/>
    <cellStyle name="Normal 3 2 4 3 11 2" xfId="7249"/>
    <cellStyle name="Normal 3 2 4 3 11 2 10" xfId="43539"/>
    <cellStyle name="Normal 3 2 4 3 11 2 11" xfId="47571"/>
    <cellStyle name="Normal 3 2 4 3 11 2 12" xfId="51650"/>
    <cellStyle name="Normal 3 2 4 3 11 2 2" xfId="11283"/>
    <cellStyle name="Normal 3 2 4 3 11 2 3" xfId="15315"/>
    <cellStyle name="Normal 3 2 4 3 11 2 4" xfId="19347"/>
    <cellStyle name="Normal 3 2 4 3 11 2 5" xfId="23379"/>
    <cellStyle name="Normal 3 2 4 3 11 2 6" xfId="27411"/>
    <cellStyle name="Normal 3 2 4 3 11 2 7" xfId="31443"/>
    <cellStyle name="Normal 3 2 4 3 11 2 8" xfId="35475"/>
    <cellStyle name="Normal 3 2 4 3 11 2 9" xfId="39507"/>
    <cellStyle name="Normal 3 2 4 3 11 3" xfId="9267"/>
    <cellStyle name="Normal 3 2 4 3 11 4" xfId="13299"/>
    <cellStyle name="Normal 3 2 4 3 11 5" xfId="17331"/>
    <cellStyle name="Normal 3 2 4 3 11 6" xfId="21363"/>
    <cellStyle name="Normal 3 2 4 3 11 7" xfId="25395"/>
    <cellStyle name="Normal 3 2 4 3 11 8" xfId="29427"/>
    <cellStyle name="Normal 3 2 4 3 11 9" xfId="33459"/>
    <cellStyle name="Normal 3 2 4 3 12" xfId="7127"/>
    <cellStyle name="Normal 3 2 4 3 12 10" xfId="43417"/>
    <cellStyle name="Normal 3 2 4 3 12 11" xfId="47449"/>
    <cellStyle name="Normal 3 2 4 3 12 12" xfId="51528"/>
    <cellStyle name="Normal 3 2 4 3 12 2" xfId="11161"/>
    <cellStyle name="Normal 3 2 4 3 12 3" xfId="15193"/>
    <cellStyle name="Normal 3 2 4 3 12 4" xfId="19225"/>
    <cellStyle name="Normal 3 2 4 3 12 5" xfId="23257"/>
    <cellStyle name="Normal 3 2 4 3 12 6" xfId="27289"/>
    <cellStyle name="Normal 3 2 4 3 12 7" xfId="31321"/>
    <cellStyle name="Normal 3 2 4 3 12 8" xfId="35353"/>
    <cellStyle name="Normal 3 2 4 3 12 9" xfId="39385"/>
    <cellStyle name="Normal 3 2 4 3 13" xfId="153"/>
    <cellStyle name="Normal 3 2 4 3 14" xfId="9145"/>
    <cellStyle name="Normal 3 2 4 3 15" xfId="13177"/>
    <cellStyle name="Normal 3 2 4 3 16" xfId="17209"/>
    <cellStyle name="Normal 3 2 4 3 17" xfId="21241"/>
    <cellStyle name="Normal 3 2 4 3 18" xfId="25273"/>
    <cellStyle name="Normal 3 2 4 3 19" xfId="29305"/>
    <cellStyle name="Normal 3 2 4 3 2" xfId="232"/>
    <cellStyle name="Normal 3 2 4 3 2 10" xfId="21310"/>
    <cellStyle name="Normal 3 2 4 3 2 11" xfId="25342"/>
    <cellStyle name="Normal 3 2 4 3 2 12" xfId="29374"/>
    <cellStyle name="Normal 3 2 4 3 2 13" xfId="33406"/>
    <cellStyle name="Normal 3 2 4 3 2 14" xfId="37438"/>
    <cellStyle name="Normal 3 2 4 3 2 15" xfId="41470"/>
    <cellStyle name="Normal 3 2 4 3 2 16" xfId="45502"/>
    <cellStyle name="Normal 3 2 4 3 2 17" xfId="49580"/>
    <cellStyle name="Normal 3 2 4 3 2 2" xfId="4350"/>
    <cellStyle name="Normal 3 2 4 3 2 2 10" xfId="34195"/>
    <cellStyle name="Normal 3 2 4 3 2 2 11" xfId="38227"/>
    <cellStyle name="Normal 3 2 4 3 2 2 12" xfId="42259"/>
    <cellStyle name="Normal 3 2 4 3 2 2 13" xfId="46291"/>
    <cellStyle name="Normal 3 2 4 3 2 2 14" xfId="50370"/>
    <cellStyle name="Normal 3 2 4 3 2 2 2" xfId="6920"/>
    <cellStyle name="Normal 3 2 4 3 2 2 2 10" xfId="39178"/>
    <cellStyle name="Normal 3 2 4 3 2 2 2 11" xfId="43210"/>
    <cellStyle name="Normal 3 2 4 3 2 2 2 12" xfId="47242"/>
    <cellStyle name="Normal 3 2 4 3 2 2 2 13" xfId="51321"/>
    <cellStyle name="Normal 3 2 4 3 2 2 2 2" xfId="8936"/>
    <cellStyle name="Normal 3 2 4 3 2 2 2 2 10" xfId="45226"/>
    <cellStyle name="Normal 3 2 4 3 2 2 2 2 11" xfId="49258"/>
    <cellStyle name="Normal 3 2 4 3 2 2 2 2 12" xfId="53337"/>
    <cellStyle name="Normal 3 2 4 3 2 2 2 2 2" xfId="12970"/>
    <cellStyle name="Normal 3 2 4 3 2 2 2 2 3" xfId="17002"/>
    <cellStyle name="Normal 3 2 4 3 2 2 2 2 4" xfId="21034"/>
    <cellStyle name="Normal 3 2 4 3 2 2 2 2 5" xfId="25066"/>
    <cellStyle name="Normal 3 2 4 3 2 2 2 2 6" xfId="29098"/>
    <cellStyle name="Normal 3 2 4 3 2 2 2 2 7" xfId="33130"/>
    <cellStyle name="Normal 3 2 4 3 2 2 2 2 8" xfId="37162"/>
    <cellStyle name="Normal 3 2 4 3 2 2 2 2 9" xfId="41194"/>
    <cellStyle name="Normal 3 2 4 3 2 2 2 3" xfId="10954"/>
    <cellStyle name="Normal 3 2 4 3 2 2 2 4" xfId="14986"/>
    <cellStyle name="Normal 3 2 4 3 2 2 2 5" xfId="19018"/>
    <cellStyle name="Normal 3 2 4 3 2 2 2 6" xfId="23050"/>
    <cellStyle name="Normal 3 2 4 3 2 2 2 7" xfId="27082"/>
    <cellStyle name="Normal 3 2 4 3 2 2 2 8" xfId="31114"/>
    <cellStyle name="Normal 3 2 4 3 2 2 2 9" xfId="35146"/>
    <cellStyle name="Normal 3 2 4 3 2 2 3" xfId="7985"/>
    <cellStyle name="Normal 3 2 4 3 2 2 3 10" xfId="44275"/>
    <cellStyle name="Normal 3 2 4 3 2 2 3 11" xfId="48307"/>
    <cellStyle name="Normal 3 2 4 3 2 2 3 12" xfId="52386"/>
    <cellStyle name="Normal 3 2 4 3 2 2 3 2" xfId="12019"/>
    <cellStyle name="Normal 3 2 4 3 2 2 3 3" xfId="16051"/>
    <cellStyle name="Normal 3 2 4 3 2 2 3 4" xfId="20083"/>
    <cellStyle name="Normal 3 2 4 3 2 2 3 5" xfId="24115"/>
    <cellStyle name="Normal 3 2 4 3 2 2 3 6" xfId="28147"/>
    <cellStyle name="Normal 3 2 4 3 2 2 3 7" xfId="32179"/>
    <cellStyle name="Normal 3 2 4 3 2 2 3 8" xfId="36211"/>
    <cellStyle name="Normal 3 2 4 3 2 2 3 9" xfId="40243"/>
    <cellStyle name="Normal 3 2 4 3 2 2 4" xfId="10003"/>
    <cellStyle name="Normal 3 2 4 3 2 2 5" xfId="14035"/>
    <cellStyle name="Normal 3 2 4 3 2 2 6" xfId="18067"/>
    <cellStyle name="Normal 3 2 4 3 2 2 7" xfId="22099"/>
    <cellStyle name="Normal 3 2 4 3 2 2 8" xfId="26131"/>
    <cellStyle name="Normal 3 2 4 3 2 2 9" xfId="30163"/>
    <cellStyle name="Normal 3 2 4 3 2 3" xfId="4489"/>
    <cellStyle name="Normal 3 2 4 3 2 3 10" xfId="34333"/>
    <cellStyle name="Normal 3 2 4 3 2 3 11" xfId="38365"/>
    <cellStyle name="Normal 3 2 4 3 2 3 12" xfId="42397"/>
    <cellStyle name="Normal 3 2 4 3 2 3 13" xfId="46429"/>
    <cellStyle name="Normal 3 2 4 3 2 3 14" xfId="50508"/>
    <cellStyle name="Normal 3 2 4 3 2 3 2" xfId="7058"/>
    <cellStyle name="Normal 3 2 4 3 2 3 2 10" xfId="39316"/>
    <cellStyle name="Normal 3 2 4 3 2 3 2 11" xfId="43348"/>
    <cellStyle name="Normal 3 2 4 3 2 3 2 12" xfId="47380"/>
    <cellStyle name="Normal 3 2 4 3 2 3 2 13" xfId="51459"/>
    <cellStyle name="Normal 3 2 4 3 2 3 2 2" xfId="9074"/>
    <cellStyle name="Normal 3 2 4 3 2 3 2 2 10" xfId="45364"/>
    <cellStyle name="Normal 3 2 4 3 2 3 2 2 11" xfId="49396"/>
    <cellStyle name="Normal 3 2 4 3 2 3 2 2 12" xfId="53475"/>
    <cellStyle name="Normal 3 2 4 3 2 3 2 2 2" xfId="13108"/>
    <cellStyle name="Normal 3 2 4 3 2 3 2 2 3" xfId="17140"/>
    <cellStyle name="Normal 3 2 4 3 2 3 2 2 4" xfId="21172"/>
    <cellStyle name="Normal 3 2 4 3 2 3 2 2 5" xfId="25204"/>
    <cellStyle name="Normal 3 2 4 3 2 3 2 2 6" xfId="29236"/>
    <cellStyle name="Normal 3 2 4 3 2 3 2 2 7" xfId="33268"/>
    <cellStyle name="Normal 3 2 4 3 2 3 2 2 8" xfId="37300"/>
    <cellStyle name="Normal 3 2 4 3 2 3 2 2 9" xfId="41332"/>
    <cellStyle name="Normal 3 2 4 3 2 3 2 3" xfId="11092"/>
    <cellStyle name="Normal 3 2 4 3 2 3 2 4" xfId="15124"/>
    <cellStyle name="Normal 3 2 4 3 2 3 2 5" xfId="19156"/>
    <cellStyle name="Normal 3 2 4 3 2 3 2 6" xfId="23188"/>
    <cellStyle name="Normal 3 2 4 3 2 3 2 7" xfId="27220"/>
    <cellStyle name="Normal 3 2 4 3 2 3 2 8" xfId="31252"/>
    <cellStyle name="Normal 3 2 4 3 2 3 2 9" xfId="35284"/>
    <cellStyle name="Normal 3 2 4 3 2 3 3" xfId="8123"/>
    <cellStyle name="Normal 3 2 4 3 2 3 3 10" xfId="44413"/>
    <cellStyle name="Normal 3 2 4 3 2 3 3 11" xfId="48445"/>
    <cellStyle name="Normal 3 2 4 3 2 3 3 12" xfId="52524"/>
    <cellStyle name="Normal 3 2 4 3 2 3 3 2" xfId="12157"/>
    <cellStyle name="Normal 3 2 4 3 2 3 3 3" xfId="16189"/>
    <cellStyle name="Normal 3 2 4 3 2 3 3 4" xfId="20221"/>
    <cellStyle name="Normal 3 2 4 3 2 3 3 5" xfId="24253"/>
    <cellStyle name="Normal 3 2 4 3 2 3 3 6" xfId="28285"/>
    <cellStyle name="Normal 3 2 4 3 2 3 3 7" xfId="32317"/>
    <cellStyle name="Normal 3 2 4 3 2 3 3 8" xfId="36349"/>
    <cellStyle name="Normal 3 2 4 3 2 3 3 9" xfId="40381"/>
    <cellStyle name="Normal 3 2 4 3 2 3 4" xfId="10141"/>
    <cellStyle name="Normal 3 2 4 3 2 3 5" xfId="14173"/>
    <cellStyle name="Normal 3 2 4 3 2 3 6" xfId="18205"/>
    <cellStyle name="Normal 3 2 4 3 2 3 7" xfId="22237"/>
    <cellStyle name="Normal 3 2 4 3 2 3 8" xfId="26269"/>
    <cellStyle name="Normal 3 2 4 3 2 3 9" xfId="30301"/>
    <cellStyle name="Normal 3 2 4 3 2 4" xfId="4629"/>
    <cellStyle name="Normal 3 2 4 3 2 4 10" xfId="38503"/>
    <cellStyle name="Normal 3 2 4 3 2 4 11" xfId="42535"/>
    <cellStyle name="Normal 3 2 4 3 2 4 12" xfId="46567"/>
    <cellStyle name="Normal 3 2 4 3 2 4 13" xfId="50646"/>
    <cellStyle name="Normal 3 2 4 3 2 4 2" xfId="8261"/>
    <cellStyle name="Normal 3 2 4 3 2 4 2 10" xfId="44551"/>
    <cellStyle name="Normal 3 2 4 3 2 4 2 11" xfId="48583"/>
    <cellStyle name="Normal 3 2 4 3 2 4 2 12" xfId="52662"/>
    <cellStyle name="Normal 3 2 4 3 2 4 2 2" xfId="12295"/>
    <cellStyle name="Normal 3 2 4 3 2 4 2 3" xfId="16327"/>
    <cellStyle name="Normal 3 2 4 3 2 4 2 4" xfId="20359"/>
    <cellStyle name="Normal 3 2 4 3 2 4 2 5" xfId="24391"/>
    <cellStyle name="Normal 3 2 4 3 2 4 2 6" xfId="28423"/>
    <cellStyle name="Normal 3 2 4 3 2 4 2 7" xfId="32455"/>
    <cellStyle name="Normal 3 2 4 3 2 4 2 8" xfId="36487"/>
    <cellStyle name="Normal 3 2 4 3 2 4 2 9" xfId="40519"/>
    <cellStyle name="Normal 3 2 4 3 2 4 3" xfId="10279"/>
    <cellStyle name="Normal 3 2 4 3 2 4 4" xfId="14311"/>
    <cellStyle name="Normal 3 2 4 3 2 4 5" xfId="18343"/>
    <cellStyle name="Normal 3 2 4 3 2 4 6" xfId="22375"/>
    <cellStyle name="Normal 3 2 4 3 2 4 7" xfId="26407"/>
    <cellStyle name="Normal 3 2 4 3 2 4 8" xfId="30439"/>
    <cellStyle name="Normal 3 2 4 3 2 4 9" xfId="34471"/>
    <cellStyle name="Normal 3 2 4 3 2 5" xfId="356"/>
    <cellStyle name="Normal 3 2 4 3 2 5 10" xfId="37561"/>
    <cellStyle name="Normal 3 2 4 3 2 5 11" xfId="41593"/>
    <cellStyle name="Normal 3 2 4 3 2 5 12" xfId="45625"/>
    <cellStyle name="Normal 3 2 4 3 2 5 13" xfId="49703"/>
    <cellStyle name="Normal 3 2 4 3 2 5 2" xfId="7319"/>
    <cellStyle name="Normal 3 2 4 3 2 5 2 10" xfId="43609"/>
    <cellStyle name="Normal 3 2 4 3 2 5 2 11" xfId="47641"/>
    <cellStyle name="Normal 3 2 4 3 2 5 2 12" xfId="51720"/>
    <cellStyle name="Normal 3 2 4 3 2 5 2 2" xfId="11353"/>
    <cellStyle name="Normal 3 2 4 3 2 5 2 3" xfId="15385"/>
    <cellStyle name="Normal 3 2 4 3 2 5 2 4" xfId="19417"/>
    <cellStyle name="Normal 3 2 4 3 2 5 2 5" xfId="23449"/>
    <cellStyle name="Normal 3 2 4 3 2 5 2 6" xfId="27481"/>
    <cellStyle name="Normal 3 2 4 3 2 5 2 7" xfId="31513"/>
    <cellStyle name="Normal 3 2 4 3 2 5 2 8" xfId="35545"/>
    <cellStyle name="Normal 3 2 4 3 2 5 2 9" xfId="39577"/>
    <cellStyle name="Normal 3 2 4 3 2 5 3" xfId="9337"/>
    <cellStyle name="Normal 3 2 4 3 2 5 4" xfId="13369"/>
    <cellStyle name="Normal 3 2 4 3 2 5 5" xfId="17401"/>
    <cellStyle name="Normal 3 2 4 3 2 5 6" xfId="21433"/>
    <cellStyle name="Normal 3 2 4 3 2 5 7" xfId="25465"/>
    <cellStyle name="Normal 3 2 4 3 2 5 8" xfId="29497"/>
    <cellStyle name="Normal 3 2 4 3 2 5 9" xfId="33529"/>
    <cellStyle name="Normal 3 2 4 3 2 6" xfId="7196"/>
    <cellStyle name="Normal 3 2 4 3 2 6 10" xfId="43486"/>
    <cellStyle name="Normal 3 2 4 3 2 6 11" xfId="47518"/>
    <cellStyle name="Normal 3 2 4 3 2 6 12" xfId="51597"/>
    <cellStyle name="Normal 3 2 4 3 2 6 2" xfId="11230"/>
    <cellStyle name="Normal 3 2 4 3 2 6 3" xfId="15262"/>
    <cellStyle name="Normal 3 2 4 3 2 6 4" xfId="19294"/>
    <cellStyle name="Normal 3 2 4 3 2 6 5" xfId="23326"/>
    <cellStyle name="Normal 3 2 4 3 2 6 6" xfId="27358"/>
    <cellStyle name="Normal 3 2 4 3 2 6 7" xfId="31390"/>
    <cellStyle name="Normal 3 2 4 3 2 6 8" xfId="35422"/>
    <cellStyle name="Normal 3 2 4 3 2 6 9" xfId="39454"/>
    <cellStyle name="Normal 3 2 4 3 2 7" xfId="9214"/>
    <cellStyle name="Normal 3 2 4 3 2 8" xfId="13246"/>
    <cellStyle name="Normal 3 2 4 3 2 9" xfId="17278"/>
    <cellStyle name="Normal 3 2 4 3 20" xfId="33337"/>
    <cellStyle name="Normal 3 2 4 3 21" xfId="37369"/>
    <cellStyle name="Normal 3 2 4 3 22" xfId="41401"/>
    <cellStyle name="Normal 3 2 4 3 23" xfId="45433"/>
    <cellStyle name="Normal 3 2 4 3 24" xfId="49511"/>
    <cellStyle name="Normal 3 2 4 3 3" xfId="1666"/>
    <cellStyle name="Normal 3 2 4 3 3 10" xfId="33627"/>
    <cellStyle name="Normal 3 2 4 3 3 11" xfId="37659"/>
    <cellStyle name="Normal 3 2 4 3 3 12" xfId="41691"/>
    <cellStyle name="Normal 3 2 4 3 3 13" xfId="45723"/>
    <cellStyle name="Normal 3 2 4 3 3 14" xfId="49801"/>
    <cellStyle name="Normal 3 2 4 3 3 2" xfId="5342"/>
    <cellStyle name="Normal 3 2 4 3 3 2 10" xfId="38610"/>
    <cellStyle name="Normal 3 2 4 3 3 2 11" xfId="42642"/>
    <cellStyle name="Normal 3 2 4 3 3 2 12" xfId="46674"/>
    <cellStyle name="Normal 3 2 4 3 3 2 13" xfId="50753"/>
    <cellStyle name="Normal 3 2 4 3 3 2 2" xfId="8368"/>
    <cellStyle name="Normal 3 2 4 3 3 2 2 10" xfId="44658"/>
    <cellStyle name="Normal 3 2 4 3 3 2 2 11" xfId="48690"/>
    <cellStyle name="Normal 3 2 4 3 3 2 2 12" xfId="52769"/>
    <cellStyle name="Normal 3 2 4 3 3 2 2 2" xfId="12402"/>
    <cellStyle name="Normal 3 2 4 3 3 2 2 3" xfId="16434"/>
    <cellStyle name="Normal 3 2 4 3 3 2 2 4" xfId="20466"/>
    <cellStyle name="Normal 3 2 4 3 3 2 2 5" xfId="24498"/>
    <cellStyle name="Normal 3 2 4 3 3 2 2 6" xfId="28530"/>
    <cellStyle name="Normal 3 2 4 3 3 2 2 7" xfId="32562"/>
    <cellStyle name="Normal 3 2 4 3 3 2 2 8" xfId="36594"/>
    <cellStyle name="Normal 3 2 4 3 3 2 2 9" xfId="40626"/>
    <cellStyle name="Normal 3 2 4 3 3 2 3" xfId="10386"/>
    <cellStyle name="Normal 3 2 4 3 3 2 4" xfId="14418"/>
    <cellStyle name="Normal 3 2 4 3 3 2 5" xfId="18450"/>
    <cellStyle name="Normal 3 2 4 3 3 2 6" xfId="22482"/>
    <cellStyle name="Normal 3 2 4 3 3 2 7" xfId="26514"/>
    <cellStyle name="Normal 3 2 4 3 3 2 8" xfId="30546"/>
    <cellStyle name="Normal 3 2 4 3 3 2 9" xfId="34578"/>
    <cellStyle name="Normal 3 2 4 3 3 3" xfId="7417"/>
    <cellStyle name="Normal 3 2 4 3 3 3 10" xfId="43707"/>
    <cellStyle name="Normal 3 2 4 3 3 3 11" xfId="47739"/>
    <cellStyle name="Normal 3 2 4 3 3 3 12" xfId="51818"/>
    <cellStyle name="Normal 3 2 4 3 3 3 2" xfId="11451"/>
    <cellStyle name="Normal 3 2 4 3 3 3 3" xfId="15483"/>
    <cellStyle name="Normal 3 2 4 3 3 3 4" xfId="19515"/>
    <cellStyle name="Normal 3 2 4 3 3 3 5" xfId="23547"/>
    <cellStyle name="Normal 3 2 4 3 3 3 6" xfId="27579"/>
    <cellStyle name="Normal 3 2 4 3 3 3 7" xfId="31611"/>
    <cellStyle name="Normal 3 2 4 3 3 3 8" xfId="35643"/>
    <cellStyle name="Normal 3 2 4 3 3 3 9" xfId="39675"/>
    <cellStyle name="Normal 3 2 4 3 3 4" xfId="9435"/>
    <cellStyle name="Normal 3 2 4 3 3 5" xfId="13467"/>
    <cellStyle name="Normal 3 2 4 3 3 6" xfId="17499"/>
    <cellStyle name="Normal 3 2 4 3 3 7" xfId="21531"/>
    <cellStyle name="Normal 3 2 4 3 3 8" xfId="25563"/>
    <cellStyle name="Normal 3 2 4 3 3 9" xfId="29595"/>
    <cellStyle name="Normal 3 2 4 3 4" xfId="1740"/>
    <cellStyle name="Normal 3 2 4 3 4 10" xfId="33696"/>
    <cellStyle name="Normal 3 2 4 3 4 11" xfId="37728"/>
    <cellStyle name="Normal 3 2 4 3 4 12" xfId="41760"/>
    <cellStyle name="Normal 3 2 4 3 4 13" xfId="45792"/>
    <cellStyle name="Normal 3 2 4 3 4 14" xfId="49870"/>
    <cellStyle name="Normal 3 2 4 3 4 2" xfId="5411"/>
    <cellStyle name="Normal 3 2 4 3 4 2 10" xfId="38679"/>
    <cellStyle name="Normal 3 2 4 3 4 2 11" xfId="42711"/>
    <cellStyle name="Normal 3 2 4 3 4 2 12" xfId="46743"/>
    <cellStyle name="Normal 3 2 4 3 4 2 13" xfId="50822"/>
    <cellStyle name="Normal 3 2 4 3 4 2 2" xfId="8437"/>
    <cellStyle name="Normal 3 2 4 3 4 2 2 10" xfId="44727"/>
    <cellStyle name="Normal 3 2 4 3 4 2 2 11" xfId="48759"/>
    <cellStyle name="Normal 3 2 4 3 4 2 2 12" xfId="52838"/>
    <cellStyle name="Normal 3 2 4 3 4 2 2 2" xfId="12471"/>
    <cellStyle name="Normal 3 2 4 3 4 2 2 3" xfId="16503"/>
    <cellStyle name="Normal 3 2 4 3 4 2 2 4" xfId="20535"/>
    <cellStyle name="Normal 3 2 4 3 4 2 2 5" xfId="24567"/>
    <cellStyle name="Normal 3 2 4 3 4 2 2 6" xfId="28599"/>
    <cellStyle name="Normal 3 2 4 3 4 2 2 7" xfId="32631"/>
    <cellStyle name="Normal 3 2 4 3 4 2 2 8" xfId="36663"/>
    <cellStyle name="Normal 3 2 4 3 4 2 2 9" xfId="40695"/>
    <cellStyle name="Normal 3 2 4 3 4 2 3" xfId="10455"/>
    <cellStyle name="Normal 3 2 4 3 4 2 4" xfId="14487"/>
    <cellStyle name="Normal 3 2 4 3 4 2 5" xfId="18519"/>
    <cellStyle name="Normal 3 2 4 3 4 2 6" xfId="22551"/>
    <cellStyle name="Normal 3 2 4 3 4 2 7" xfId="26583"/>
    <cellStyle name="Normal 3 2 4 3 4 2 8" xfId="30615"/>
    <cellStyle name="Normal 3 2 4 3 4 2 9" xfId="34647"/>
    <cellStyle name="Normal 3 2 4 3 4 3" xfId="7486"/>
    <cellStyle name="Normal 3 2 4 3 4 3 10" xfId="43776"/>
    <cellStyle name="Normal 3 2 4 3 4 3 11" xfId="47808"/>
    <cellStyle name="Normal 3 2 4 3 4 3 12" xfId="51887"/>
    <cellStyle name="Normal 3 2 4 3 4 3 2" xfId="11520"/>
    <cellStyle name="Normal 3 2 4 3 4 3 3" xfId="15552"/>
    <cellStyle name="Normal 3 2 4 3 4 3 4" xfId="19584"/>
    <cellStyle name="Normal 3 2 4 3 4 3 5" xfId="23616"/>
    <cellStyle name="Normal 3 2 4 3 4 3 6" xfId="27648"/>
    <cellStyle name="Normal 3 2 4 3 4 3 7" xfId="31680"/>
    <cellStyle name="Normal 3 2 4 3 4 3 8" xfId="35712"/>
    <cellStyle name="Normal 3 2 4 3 4 3 9" xfId="39744"/>
    <cellStyle name="Normal 3 2 4 3 4 4" xfId="9504"/>
    <cellStyle name="Normal 3 2 4 3 4 5" xfId="13536"/>
    <cellStyle name="Normal 3 2 4 3 4 6" xfId="17568"/>
    <cellStyle name="Normal 3 2 4 3 4 7" xfId="21600"/>
    <cellStyle name="Normal 3 2 4 3 4 8" xfId="25632"/>
    <cellStyle name="Normal 3 2 4 3 4 9" xfId="29664"/>
    <cellStyle name="Normal 3 2 4 3 5" xfId="4062"/>
    <cellStyle name="Normal 3 2 4 3 5 10" xfId="33919"/>
    <cellStyle name="Normal 3 2 4 3 5 11" xfId="37951"/>
    <cellStyle name="Normal 3 2 4 3 5 12" xfId="41983"/>
    <cellStyle name="Normal 3 2 4 3 5 13" xfId="46015"/>
    <cellStyle name="Normal 3 2 4 3 5 14" xfId="50093"/>
    <cellStyle name="Normal 3 2 4 3 5 2" xfId="6644"/>
    <cellStyle name="Normal 3 2 4 3 5 2 10" xfId="38902"/>
    <cellStyle name="Normal 3 2 4 3 5 2 11" xfId="42934"/>
    <cellStyle name="Normal 3 2 4 3 5 2 12" xfId="46966"/>
    <cellStyle name="Normal 3 2 4 3 5 2 13" xfId="51045"/>
    <cellStyle name="Normal 3 2 4 3 5 2 2" xfId="8660"/>
    <cellStyle name="Normal 3 2 4 3 5 2 2 10" xfId="44950"/>
    <cellStyle name="Normal 3 2 4 3 5 2 2 11" xfId="48982"/>
    <cellStyle name="Normal 3 2 4 3 5 2 2 12" xfId="53061"/>
    <cellStyle name="Normal 3 2 4 3 5 2 2 2" xfId="12694"/>
    <cellStyle name="Normal 3 2 4 3 5 2 2 3" xfId="16726"/>
    <cellStyle name="Normal 3 2 4 3 5 2 2 4" xfId="20758"/>
    <cellStyle name="Normal 3 2 4 3 5 2 2 5" xfId="24790"/>
    <cellStyle name="Normal 3 2 4 3 5 2 2 6" xfId="28822"/>
    <cellStyle name="Normal 3 2 4 3 5 2 2 7" xfId="32854"/>
    <cellStyle name="Normal 3 2 4 3 5 2 2 8" xfId="36886"/>
    <cellStyle name="Normal 3 2 4 3 5 2 2 9" xfId="40918"/>
    <cellStyle name="Normal 3 2 4 3 5 2 3" xfId="10678"/>
    <cellStyle name="Normal 3 2 4 3 5 2 4" xfId="14710"/>
    <cellStyle name="Normal 3 2 4 3 5 2 5" xfId="18742"/>
    <cellStyle name="Normal 3 2 4 3 5 2 6" xfId="22774"/>
    <cellStyle name="Normal 3 2 4 3 5 2 7" xfId="26806"/>
    <cellStyle name="Normal 3 2 4 3 5 2 8" xfId="30838"/>
    <cellStyle name="Normal 3 2 4 3 5 2 9" xfId="34870"/>
    <cellStyle name="Normal 3 2 4 3 5 3" xfId="7709"/>
    <cellStyle name="Normal 3 2 4 3 5 3 10" xfId="43999"/>
    <cellStyle name="Normal 3 2 4 3 5 3 11" xfId="48031"/>
    <cellStyle name="Normal 3 2 4 3 5 3 12" xfId="52110"/>
    <cellStyle name="Normal 3 2 4 3 5 3 2" xfId="11743"/>
    <cellStyle name="Normal 3 2 4 3 5 3 3" xfId="15775"/>
    <cellStyle name="Normal 3 2 4 3 5 3 4" xfId="19807"/>
    <cellStyle name="Normal 3 2 4 3 5 3 5" xfId="23839"/>
    <cellStyle name="Normal 3 2 4 3 5 3 6" xfId="27871"/>
    <cellStyle name="Normal 3 2 4 3 5 3 7" xfId="31903"/>
    <cellStyle name="Normal 3 2 4 3 5 3 8" xfId="35935"/>
    <cellStyle name="Normal 3 2 4 3 5 3 9" xfId="39967"/>
    <cellStyle name="Normal 3 2 4 3 5 4" xfId="9727"/>
    <cellStyle name="Normal 3 2 4 3 5 5" xfId="13759"/>
    <cellStyle name="Normal 3 2 4 3 5 6" xfId="17791"/>
    <cellStyle name="Normal 3 2 4 3 5 7" xfId="21823"/>
    <cellStyle name="Normal 3 2 4 3 5 8" xfId="25855"/>
    <cellStyle name="Normal 3 2 4 3 5 9" xfId="29887"/>
    <cellStyle name="Normal 3 2 4 3 6" xfId="4132"/>
    <cellStyle name="Normal 3 2 4 3 6 10" xfId="33988"/>
    <cellStyle name="Normal 3 2 4 3 6 11" xfId="38020"/>
    <cellStyle name="Normal 3 2 4 3 6 12" xfId="42052"/>
    <cellStyle name="Normal 3 2 4 3 6 13" xfId="46084"/>
    <cellStyle name="Normal 3 2 4 3 6 14" xfId="50162"/>
    <cellStyle name="Normal 3 2 4 3 6 2" xfId="6713"/>
    <cellStyle name="Normal 3 2 4 3 6 2 10" xfId="38971"/>
    <cellStyle name="Normal 3 2 4 3 6 2 11" xfId="43003"/>
    <cellStyle name="Normal 3 2 4 3 6 2 12" xfId="47035"/>
    <cellStyle name="Normal 3 2 4 3 6 2 13" xfId="51114"/>
    <cellStyle name="Normal 3 2 4 3 6 2 2" xfId="8729"/>
    <cellStyle name="Normal 3 2 4 3 6 2 2 10" xfId="45019"/>
    <cellStyle name="Normal 3 2 4 3 6 2 2 11" xfId="49051"/>
    <cellStyle name="Normal 3 2 4 3 6 2 2 12" xfId="53130"/>
    <cellStyle name="Normal 3 2 4 3 6 2 2 2" xfId="12763"/>
    <cellStyle name="Normal 3 2 4 3 6 2 2 3" xfId="16795"/>
    <cellStyle name="Normal 3 2 4 3 6 2 2 4" xfId="20827"/>
    <cellStyle name="Normal 3 2 4 3 6 2 2 5" xfId="24859"/>
    <cellStyle name="Normal 3 2 4 3 6 2 2 6" xfId="28891"/>
    <cellStyle name="Normal 3 2 4 3 6 2 2 7" xfId="32923"/>
    <cellStyle name="Normal 3 2 4 3 6 2 2 8" xfId="36955"/>
    <cellStyle name="Normal 3 2 4 3 6 2 2 9" xfId="40987"/>
    <cellStyle name="Normal 3 2 4 3 6 2 3" xfId="10747"/>
    <cellStyle name="Normal 3 2 4 3 6 2 4" xfId="14779"/>
    <cellStyle name="Normal 3 2 4 3 6 2 5" xfId="18811"/>
    <cellStyle name="Normal 3 2 4 3 6 2 6" xfId="22843"/>
    <cellStyle name="Normal 3 2 4 3 6 2 7" xfId="26875"/>
    <cellStyle name="Normal 3 2 4 3 6 2 8" xfId="30907"/>
    <cellStyle name="Normal 3 2 4 3 6 2 9" xfId="34939"/>
    <cellStyle name="Normal 3 2 4 3 6 3" xfId="7778"/>
    <cellStyle name="Normal 3 2 4 3 6 3 10" xfId="44068"/>
    <cellStyle name="Normal 3 2 4 3 6 3 11" xfId="48100"/>
    <cellStyle name="Normal 3 2 4 3 6 3 12" xfId="52179"/>
    <cellStyle name="Normal 3 2 4 3 6 3 2" xfId="11812"/>
    <cellStyle name="Normal 3 2 4 3 6 3 3" xfId="15844"/>
    <cellStyle name="Normal 3 2 4 3 6 3 4" xfId="19876"/>
    <cellStyle name="Normal 3 2 4 3 6 3 5" xfId="23908"/>
    <cellStyle name="Normal 3 2 4 3 6 3 6" xfId="27940"/>
    <cellStyle name="Normal 3 2 4 3 6 3 7" xfId="31972"/>
    <cellStyle name="Normal 3 2 4 3 6 3 8" xfId="36004"/>
    <cellStyle name="Normal 3 2 4 3 6 3 9" xfId="40036"/>
    <cellStyle name="Normal 3 2 4 3 6 4" xfId="9796"/>
    <cellStyle name="Normal 3 2 4 3 6 5" xfId="13828"/>
    <cellStyle name="Normal 3 2 4 3 6 6" xfId="17860"/>
    <cellStyle name="Normal 3 2 4 3 6 7" xfId="21892"/>
    <cellStyle name="Normal 3 2 4 3 6 8" xfId="25924"/>
    <cellStyle name="Normal 3 2 4 3 6 9" xfId="29956"/>
    <cellStyle name="Normal 3 2 4 3 7" xfId="4201"/>
    <cellStyle name="Normal 3 2 4 3 7 10" xfId="34057"/>
    <cellStyle name="Normal 3 2 4 3 7 11" xfId="38089"/>
    <cellStyle name="Normal 3 2 4 3 7 12" xfId="42121"/>
    <cellStyle name="Normal 3 2 4 3 7 13" xfId="46153"/>
    <cellStyle name="Normal 3 2 4 3 7 14" xfId="50231"/>
    <cellStyle name="Normal 3 2 4 3 7 2" xfId="6782"/>
    <cellStyle name="Normal 3 2 4 3 7 2 10" xfId="39040"/>
    <cellStyle name="Normal 3 2 4 3 7 2 11" xfId="43072"/>
    <cellStyle name="Normal 3 2 4 3 7 2 12" xfId="47104"/>
    <cellStyle name="Normal 3 2 4 3 7 2 13" xfId="51183"/>
    <cellStyle name="Normal 3 2 4 3 7 2 2" xfId="8798"/>
    <cellStyle name="Normal 3 2 4 3 7 2 2 10" xfId="45088"/>
    <cellStyle name="Normal 3 2 4 3 7 2 2 11" xfId="49120"/>
    <cellStyle name="Normal 3 2 4 3 7 2 2 12" xfId="53199"/>
    <cellStyle name="Normal 3 2 4 3 7 2 2 2" xfId="12832"/>
    <cellStyle name="Normal 3 2 4 3 7 2 2 3" xfId="16864"/>
    <cellStyle name="Normal 3 2 4 3 7 2 2 4" xfId="20896"/>
    <cellStyle name="Normal 3 2 4 3 7 2 2 5" xfId="24928"/>
    <cellStyle name="Normal 3 2 4 3 7 2 2 6" xfId="28960"/>
    <cellStyle name="Normal 3 2 4 3 7 2 2 7" xfId="32992"/>
    <cellStyle name="Normal 3 2 4 3 7 2 2 8" xfId="37024"/>
    <cellStyle name="Normal 3 2 4 3 7 2 2 9" xfId="41056"/>
    <cellStyle name="Normal 3 2 4 3 7 2 3" xfId="10816"/>
    <cellStyle name="Normal 3 2 4 3 7 2 4" xfId="14848"/>
    <cellStyle name="Normal 3 2 4 3 7 2 5" xfId="18880"/>
    <cellStyle name="Normal 3 2 4 3 7 2 6" xfId="22912"/>
    <cellStyle name="Normal 3 2 4 3 7 2 7" xfId="26944"/>
    <cellStyle name="Normal 3 2 4 3 7 2 8" xfId="30976"/>
    <cellStyle name="Normal 3 2 4 3 7 2 9" xfId="35008"/>
    <cellStyle name="Normal 3 2 4 3 7 3" xfId="7847"/>
    <cellStyle name="Normal 3 2 4 3 7 3 10" xfId="44137"/>
    <cellStyle name="Normal 3 2 4 3 7 3 11" xfId="48169"/>
    <cellStyle name="Normal 3 2 4 3 7 3 12" xfId="52248"/>
    <cellStyle name="Normal 3 2 4 3 7 3 2" xfId="11881"/>
    <cellStyle name="Normal 3 2 4 3 7 3 3" xfId="15913"/>
    <cellStyle name="Normal 3 2 4 3 7 3 4" xfId="19945"/>
    <cellStyle name="Normal 3 2 4 3 7 3 5" xfId="23977"/>
    <cellStyle name="Normal 3 2 4 3 7 3 6" xfId="28009"/>
    <cellStyle name="Normal 3 2 4 3 7 3 7" xfId="32041"/>
    <cellStyle name="Normal 3 2 4 3 7 3 8" xfId="36073"/>
    <cellStyle name="Normal 3 2 4 3 7 3 9" xfId="40105"/>
    <cellStyle name="Normal 3 2 4 3 7 4" xfId="9865"/>
    <cellStyle name="Normal 3 2 4 3 7 5" xfId="13897"/>
    <cellStyle name="Normal 3 2 4 3 7 6" xfId="17929"/>
    <cellStyle name="Normal 3 2 4 3 7 7" xfId="21961"/>
    <cellStyle name="Normal 3 2 4 3 7 8" xfId="25993"/>
    <cellStyle name="Normal 3 2 4 3 7 9" xfId="30025"/>
    <cellStyle name="Normal 3 2 4 3 8" xfId="4274"/>
    <cellStyle name="Normal 3 2 4 3 8 10" xfId="34126"/>
    <cellStyle name="Normal 3 2 4 3 8 11" xfId="38158"/>
    <cellStyle name="Normal 3 2 4 3 8 12" xfId="42190"/>
    <cellStyle name="Normal 3 2 4 3 8 13" xfId="46222"/>
    <cellStyle name="Normal 3 2 4 3 8 14" xfId="50300"/>
    <cellStyle name="Normal 3 2 4 3 8 2" xfId="6851"/>
    <cellStyle name="Normal 3 2 4 3 8 2 10" xfId="39109"/>
    <cellStyle name="Normal 3 2 4 3 8 2 11" xfId="43141"/>
    <cellStyle name="Normal 3 2 4 3 8 2 12" xfId="47173"/>
    <cellStyle name="Normal 3 2 4 3 8 2 13" xfId="51252"/>
    <cellStyle name="Normal 3 2 4 3 8 2 2" xfId="8867"/>
    <cellStyle name="Normal 3 2 4 3 8 2 2 10" xfId="45157"/>
    <cellStyle name="Normal 3 2 4 3 8 2 2 11" xfId="49189"/>
    <cellStyle name="Normal 3 2 4 3 8 2 2 12" xfId="53268"/>
    <cellStyle name="Normal 3 2 4 3 8 2 2 2" xfId="12901"/>
    <cellStyle name="Normal 3 2 4 3 8 2 2 3" xfId="16933"/>
    <cellStyle name="Normal 3 2 4 3 8 2 2 4" xfId="20965"/>
    <cellStyle name="Normal 3 2 4 3 8 2 2 5" xfId="24997"/>
    <cellStyle name="Normal 3 2 4 3 8 2 2 6" xfId="29029"/>
    <cellStyle name="Normal 3 2 4 3 8 2 2 7" xfId="33061"/>
    <cellStyle name="Normal 3 2 4 3 8 2 2 8" xfId="37093"/>
    <cellStyle name="Normal 3 2 4 3 8 2 2 9" xfId="41125"/>
    <cellStyle name="Normal 3 2 4 3 8 2 3" xfId="10885"/>
    <cellStyle name="Normal 3 2 4 3 8 2 4" xfId="14917"/>
    <cellStyle name="Normal 3 2 4 3 8 2 5" xfId="18949"/>
    <cellStyle name="Normal 3 2 4 3 8 2 6" xfId="22981"/>
    <cellStyle name="Normal 3 2 4 3 8 2 7" xfId="27013"/>
    <cellStyle name="Normal 3 2 4 3 8 2 8" xfId="31045"/>
    <cellStyle name="Normal 3 2 4 3 8 2 9" xfId="35077"/>
    <cellStyle name="Normal 3 2 4 3 8 3" xfId="7916"/>
    <cellStyle name="Normal 3 2 4 3 8 3 10" xfId="44206"/>
    <cellStyle name="Normal 3 2 4 3 8 3 11" xfId="48238"/>
    <cellStyle name="Normal 3 2 4 3 8 3 12" xfId="52317"/>
    <cellStyle name="Normal 3 2 4 3 8 3 2" xfId="11950"/>
    <cellStyle name="Normal 3 2 4 3 8 3 3" xfId="15982"/>
    <cellStyle name="Normal 3 2 4 3 8 3 4" xfId="20014"/>
    <cellStyle name="Normal 3 2 4 3 8 3 5" xfId="24046"/>
    <cellStyle name="Normal 3 2 4 3 8 3 6" xfId="28078"/>
    <cellStyle name="Normal 3 2 4 3 8 3 7" xfId="32110"/>
    <cellStyle name="Normal 3 2 4 3 8 3 8" xfId="36142"/>
    <cellStyle name="Normal 3 2 4 3 8 3 9" xfId="40174"/>
    <cellStyle name="Normal 3 2 4 3 8 4" xfId="9934"/>
    <cellStyle name="Normal 3 2 4 3 8 5" xfId="13966"/>
    <cellStyle name="Normal 3 2 4 3 8 6" xfId="17998"/>
    <cellStyle name="Normal 3 2 4 3 8 7" xfId="22030"/>
    <cellStyle name="Normal 3 2 4 3 8 8" xfId="26062"/>
    <cellStyle name="Normal 3 2 4 3 8 9" xfId="30094"/>
    <cellStyle name="Normal 3 2 4 3 9" xfId="4420"/>
    <cellStyle name="Normal 3 2 4 3 9 10" xfId="34264"/>
    <cellStyle name="Normal 3 2 4 3 9 11" xfId="38296"/>
    <cellStyle name="Normal 3 2 4 3 9 12" xfId="42328"/>
    <cellStyle name="Normal 3 2 4 3 9 13" xfId="46360"/>
    <cellStyle name="Normal 3 2 4 3 9 14" xfId="50439"/>
    <cellStyle name="Normal 3 2 4 3 9 2" xfId="6989"/>
    <cellStyle name="Normal 3 2 4 3 9 2 10" xfId="39247"/>
    <cellStyle name="Normal 3 2 4 3 9 2 11" xfId="43279"/>
    <cellStyle name="Normal 3 2 4 3 9 2 12" xfId="47311"/>
    <cellStyle name="Normal 3 2 4 3 9 2 13" xfId="51390"/>
    <cellStyle name="Normal 3 2 4 3 9 2 2" xfId="9005"/>
    <cellStyle name="Normal 3 2 4 3 9 2 2 10" xfId="45295"/>
    <cellStyle name="Normal 3 2 4 3 9 2 2 11" xfId="49327"/>
    <cellStyle name="Normal 3 2 4 3 9 2 2 12" xfId="53406"/>
    <cellStyle name="Normal 3 2 4 3 9 2 2 2" xfId="13039"/>
    <cellStyle name="Normal 3 2 4 3 9 2 2 3" xfId="17071"/>
    <cellStyle name="Normal 3 2 4 3 9 2 2 4" xfId="21103"/>
    <cellStyle name="Normal 3 2 4 3 9 2 2 5" xfId="25135"/>
    <cellStyle name="Normal 3 2 4 3 9 2 2 6" xfId="29167"/>
    <cellStyle name="Normal 3 2 4 3 9 2 2 7" xfId="33199"/>
    <cellStyle name="Normal 3 2 4 3 9 2 2 8" xfId="37231"/>
    <cellStyle name="Normal 3 2 4 3 9 2 2 9" xfId="41263"/>
    <cellStyle name="Normal 3 2 4 3 9 2 3" xfId="11023"/>
    <cellStyle name="Normal 3 2 4 3 9 2 4" xfId="15055"/>
    <cellStyle name="Normal 3 2 4 3 9 2 5" xfId="19087"/>
    <cellStyle name="Normal 3 2 4 3 9 2 6" xfId="23119"/>
    <cellStyle name="Normal 3 2 4 3 9 2 7" xfId="27151"/>
    <cellStyle name="Normal 3 2 4 3 9 2 8" xfId="31183"/>
    <cellStyle name="Normal 3 2 4 3 9 2 9" xfId="35215"/>
    <cellStyle name="Normal 3 2 4 3 9 3" xfId="8054"/>
    <cellStyle name="Normal 3 2 4 3 9 3 10" xfId="44344"/>
    <cellStyle name="Normal 3 2 4 3 9 3 11" xfId="48376"/>
    <cellStyle name="Normal 3 2 4 3 9 3 12" xfId="52455"/>
    <cellStyle name="Normal 3 2 4 3 9 3 2" xfId="12088"/>
    <cellStyle name="Normal 3 2 4 3 9 3 3" xfId="16120"/>
    <cellStyle name="Normal 3 2 4 3 9 3 4" xfId="20152"/>
    <cellStyle name="Normal 3 2 4 3 9 3 5" xfId="24184"/>
    <cellStyle name="Normal 3 2 4 3 9 3 6" xfId="28216"/>
    <cellStyle name="Normal 3 2 4 3 9 3 7" xfId="32248"/>
    <cellStyle name="Normal 3 2 4 3 9 3 8" xfId="36280"/>
    <cellStyle name="Normal 3 2 4 3 9 3 9" xfId="40312"/>
    <cellStyle name="Normal 3 2 4 3 9 4" xfId="10072"/>
    <cellStyle name="Normal 3 2 4 3 9 5" xfId="14104"/>
    <cellStyle name="Normal 3 2 4 3 9 6" xfId="18136"/>
    <cellStyle name="Normal 3 2 4 3 9 7" xfId="22168"/>
    <cellStyle name="Normal 3 2 4 3 9 8" xfId="26200"/>
    <cellStyle name="Normal 3 2 4 3 9 9" xfId="30232"/>
    <cellStyle name="Normal 3 2 4 4" xfId="59"/>
    <cellStyle name="Normal 3 2 4 4 10" xfId="337"/>
    <cellStyle name="Normal 3 2 4 4 10 10" xfId="37542"/>
    <cellStyle name="Normal 3 2 4 4 10 11" xfId="41574"/>
    <cellStyle name="Normal 3 2 4 4 10 12" xfId="45606"/>
    <cellStyle name="Normal 3 2 4 4 10 13" xfId="49684"/>
    <cellStyle name="Normal 3 2 4 4 10 2" xfId="7300"/>
    <cellStyle name="Normal 3 2 4 4 10 2 10" xfId="43590"/>
    <cellStyle name="Normal 3 2 4 4 10 2 11" xfId="47622"/>
    <cellStyle name="Normal 3 2 4 4 10 2 12" xfId="51701"/>
    <cellStyle name="Normal 3 2 4 4 10 2 2" xfId="11334"/>
    <cellStyle name="Normal 3 2 4 4 10 2 3" xfId="15366"/>
    <cellStyle name="Normal 3 2 4 4 10 2 4" xfId="19398"/>
    <cellStyle name="Normal 3 2 4 4 10 2 5" xfId="23430"/>
    <cellStyle name="Normal 3 2 4 4 10 2 6" xfId="27462"/>
    <cellStyle name="Normal 3 2 4 4 10 2 7" xfId="31494"/>
    <cellStyle name="Normal 3 2 4 4 10 2 8" xfId="35526"/>
    <cellStyle name="Normal 3 2 4 4 10 2 9" xfId="39558"/>
    <cellStyle name="Normal 3 2 4 4 10 3" xfId="9318"/>
    <cellStyle name="Normal 3 2 4 4 10 4" xfId="13350"/>
    <cellStyle name="Normal 3 2 4 4 10 5" xfId="17382"/>
    <cellStyle name="Normal 3 2 4 4 10 6" xfId="21414"/>
    <cellStyle name="Normal 3 2 4 4 10 7" xfId="25446"/>
    <cellStyle name="Normal 3 2 4 4 10 8" xfId="29478"/>
    <cellStyle name="Normal 3 2 4 4 10 9" xfId="33510"/>
    <cellStyle name="Normal 3 2 4 4 11" xfId="7108"/>
    <cellStyle name="Normal 3 2 4 4 11 10" xfId="43398"/>
    <cellStyle name="Normal 3 2 4 4 11 11" xfId="47430"/>
    <cellStyle name="Normal 3 2 4 4 11 12" xfId="51509"/>
    <cellStyle name="Normal 3 2 4 4 11 2" xfId="11142"/>
    <cellStyle name="Normal 3 2 4 4 11 3" xfId="15174"/>
    <cellStyle name="Normal 3 2 4 4 11 4" xfId="19206"/>
    <cellStyle name="Normal 3 2 4 4 11 5" xfId="23238"/>
    <cellStyle name="Normal 3 2 4 4 11 6" xfId="27270"/>
    <cellStyle name="Normal 3 2 4 4 11 7" xfId="31302"/>
    <cellStyle name="Normal 3 2 4 4 11 8" xfId="35334"/>
    <cellStyle name="Normal 3 2 4 4 11 9" xfId="39366"/>
    <cellStyle name="Normal 3 2 4 4 12" xfId="134"/>
    <cellStyle name="Normal 3 2 4 4 13" xfId="9126"/>
    <cellStyle name="Normal 3 2 4 4 14" xfId="13158"/>
    <cellStyle name="Normal 3 2 4 4 15" xfId="17190"/>
    <cellStyle name="Normal 3 2 4 4 16" xfId="21222"/>
    <cellStyle name="Normal 3 2 4 4 17" xfId="25254"/>
    <cellStyle name="Normal 3 2 4 4 18" xfId="29286"/>
    <cellStyle name="Normal 3 2 4 4 19" xfId="33318"/>
    <cellStyle name="Normal 3 2 4 4 2" xfId="213"/>
    <cellStyle name="Normal 3 2 4 4 2 10" xfId="21291"/>
    <cellStyle name="Normal 3 2 4 4 2 11" xfId="25323"/>
    <cellStyle name="Normal 3 2 4 4 2 12" xfId="29355"/>
    <cellStyle name="Normal 3 2 4 4 2 13" xfId="33387"/>
    <cellStyle name="Normal 3 2 4 4 2 14" xfId="37419"/>
    <cellStyle name="Normal 3 2 4 4 2 15" xfId="41451"/>
    <cellStyle name="Normal 3 2 4 4 2 16" xfId="45483"/>
    <cellStyle name="Normal 3 2 4 4 2 17" xfId="49561"/>
    <cellStyle name="Normal 3 2 4 4 2 2" xfId="4331"/>
    <cellStyle name="Normal 3 2 4 4 2 2 10" xfId="34176"/>
    <cellStyle name="Normal 3 2 4 4 2 2 11" xfId="38208"/>
    <cellStyle name="Normal 3 2 4 4 2 2 12" xfId="42240"/>
    <cellStyle name="Normal 3 2 4 4 2 2 13" xfId="46272"/>
    <cellStyle name="Normal 3 2 4 4 2 2 14" xfId="50351"/>
    <cellStyle name="Normal 3 2 4 4 2 2 2" xfId="6901"/>
    <cellStyle name="Normal 3 2 4 4 2 2 2 10" xfId="39159"/>
    <cellStyle name="Normal 3 2 4 4 2 2 2 11" xfId="43191"/>
    <cellStyle name="Normal 3 2 4 4 2 2 2 12" xfId="47223"/>
    <cellStyle name="Normal 3 2 4 4 2 2 2 13" xfId="51302"/>
    <cellStyle name="Normal 3 2 4 4 2 2 2 2" xfId="8917"/>
    <cellStyle name="Normal 3 2 4 4 2 2 2 2 10" xfId="45207"/>
    <cellStyle name="Normal 3 2 4 4 2 2 2 2 11" xfId="49239"/>
    <cellStyle name="Normal 3 2 4 4 2 2 2 2 12" xfId="53318"/>
    <cellStyle name="Normal 3 2 4 4 2 2 2 2 2" xfId="12951"/>
    <cellStyle name="Normal 3 2 4 4 2 2 2 2 3" xfId="16983"/>
    <cellStyle name="Normal 3 2 4 4 2 2 2 2 4" xfId="21015"/>
    <cellStyle name="Normal 3 2 4 4 2 2 2 2 5" xfId="25047"/>
    <cellStyle name="Normal 3 2 4 4 2 2 2 2 6" xfId="29079"/>
    <cellStyle name="Normal 3 2 4 4 2 2 2 2 7" xfId="33111"/>
    <cellStyle name="Normal 3 2 4 4 2 2 2 2 8" xfId="37143"/>
    <cellStyle name="Normal 3 2 4 4 2 2 2 2 9" xfId="41175"/>
    <cellStyle name="Normal 3 2 4 4 2 2 2 3" xfId="10935"/>
    <cellStyle name="Normal 3 2 4 4 2 2 2 4" xfId="14967"/>
    <cellStyle name="Normal 3 2 4 4 2 2 2 5" xfId="18999"/>
    <cellStyle name="Normal 3 2 4 4 2 2 2 6" xfId="23031"/>
    <cellStyle name="Normal 3 2 4 4 2 2 2 7" xfId="27063"/>
    <cellStyle name="Normal 3 2 4 4 2 2 2 8" xfId="31095"/>
    <cellStyle name="Normal 3 2 4 4 2 2 2 9" xfId="35127"/>
    <cellStyle name="Normal 3 2 4 4 2 2 3" xfId="7966"/>
    <cellStyle name="Normal 3 2 4 4 2 2 3 10" xfId="44256"/>
    <cellStyle name="Normal 3 2 4 4 2 2 3 11" xfId="48288"/>
    <cellStyle name="Normal 3 2 4 4 2 2 3 12" xfId="52367"/>
    <cellStyle name="Normal 3 2 4 4 2 2 3 2" xfId="12000"/>
    <cellStyle name="Normal 3 2 4 4 2 2 3 3" xfId="16032"/>
    <cellStyle name="Normal 3 2 4 4 2 2 3 4" xfId="20064"/>
    <cellStyle name="Normal 3 2 4 4 2 2 3 5" xfId="24096"/>
    <cellStyle name="Normal 3 2 4 4 2 2 3 6" xfId="28128"/>
    <cellStyle name="Normal 3 2 4 4 2 2 3 7" xfId="32160"/>
    <cellStyle name="Normal 3 2 4 4 2 2 3 8" xfId="36192"/>
    <cellStyle name="Normal 3 2 4 4 2 2 3 9" xfId="40224"/>
    <cellStyle name="Normal 3 2 4 4 2 2 4" xfId="9984"/>
    <cellStyle name="Normal 3 2 4 4 2 2 5" xfId="14016"/>
    <cellStyle name="Normal 3 2 4 4 2 2 6" xfId="18048"/>
    <cellStyle name="Normal 3 2 4 4 2 2 7" xfId="22080"/>
    <cellStyle name="Normal 3 2 4 4 2 2 8" xfId="26112"/>
    <cellStyle name="Normal 3 2 4 4 2 2 9" xfId="30144"/>
    <cellStyle name="Normal 3 2 4 4 2 3" xfId="4470"/>
    <cellStyle name="Normal 3 2 4 4 2 3 10" xfId="34314"/>
    <cellStyle name="Normal 3 2 4 4 2 3 11" xfId="38346"/>
    <cellStyle name="Normal 3 2 4 4 2 3 12" xfId="42378"/>
    <cellStyle name="Normal 3 2 4 4 2 3 13" xfId="46410"/>
    <cellStyle name="Normal 3 2 4 4 2 3 14" xfId="50489"/>
    <cellStyle name="Normal 3 2 4 4 2 3 2" xfId="7039"/>
    <cellStyle name="Normal 3 2 4 4 2 3 2 10" xfId="39297"/>
    <cellStyle name="Normal 3 2 4 4 2 3 2 11" xfId="43329"/>
    <cellStyle name="Normal 3 2 4 4 2 3 2 12" xfId="47361"/>
    <cellStyle name="Normal 3 2 4 4 2 3 2 13" xfId="51440"/>
    <cellStyle name="Normal 3 2 4 4 2 3 2 2" xfId="9055"/>
    <cellStyle name="Normal 3 2 4 4 2 3 2 2 10" xfId="45345"/>
    <cellStyle name="Normal 3 2 4 4 2 3 2 2 11" xfId="49377"/>
    <cellStyle name="Normal 3 2 4 4 2 3 2 2 12" xfId="53456"/>
    <cellStyle name="Normal 3 2 4 4 2 3 2 2 2" xfId="13089"/>
    <cellStyle name="Normal 3 2 4 4 2 3 2 2 3" xfId="17121"/>
    <cellStyle name="Normal 3 2 4 4 2 3 2 2 4" xfId="21153"/>
    <cellStyle name="Normal 3 2 4 4 2 3 2 2 5" xfId="25185"/>
    <cellStyle name="Normal 3 2 4 4 2 3 2 2 6" xfId="29217"/>
    <cellStyle name="Normal 3 2 4 4 2 3 2 2 7" xfId="33249"/>
    <cellStyle name="Normal 3 2 4 4 2 3 2 2 8" xfId="37281"/>
    <cellStyle name="Normal 3 2 4 4 2 3 2 2 9" xfId="41313"/>
    <cellStyle name="Normal 3 2 4 4 2 3 2 3" xfId="11073"/>
    <cellStyle name="Normal 3 2 4 4 2 3 2 4" xfId="15105"/>
    <cellStyle name="Normal 3 2 4 4 2 3 2 5" xfId="19137"/>
    <cellStyle name="Normal 3 2 4 4 2 3 2 6" xfId="23169"/>
    <cellStyle name="Normal 3 2 4 4 2 3 2 7" xfId="27201"/>
    <cellStyle name="Normal 3 2 4 4 2 3 2 8" xfId="31233"/>
    <cellStyle name="Normal 3 2 4 4 2 3 2 9" xfId="35265"/>
    <cellStyle name="Normal 3 2 4 4 2 3 3" xfId="8104"/>
    <cellStyle name="Normal 3 2 4 4 2 3 3 10" xfId="44394"/>
    <cellStyle name="Normal 3 2 4 4 2 3 3 11" xfId="48426"/>
    <cellStyle name="Normal 3 2 4 4 2 3 3 12" xfId="52505"/>
    <cellStyle name="Normal 3 2 4 4 2 3 3 2" xfId="12138"/>
    <cellStyle name="Normal 3 2 4 4 2 3 3 3" xfId="16170"/>
    <cellStyle name="Normal 3 2 4 4 2 3 3 4" xfId="20202"/>
    <cellStyle name="Normal 3 2 4 4 2 3 3 5" xfId="24234"/>
    <cellStyle name="Normal 3 2 4 4 2 3 3 6" xfId="28266"/>
    <cellStyle name="Normal 3 2 4 4 2 3 3 7" xfId="32298"/>
    <cellStyle name="Normal 3 2 4 4 2 3 3 8" xfId="36330"/>
    <cellStyle name="Normal 3 2 4 4 2 3 3 9" xfId="40362"/>
    <cellStyle name="Normal 3 2 4 4 2 3 4" xfId="10122"/>
    <cellStyle name="Normal 3 2 4 4 2 3 5" xfId="14154"/>
    <cellStyle name="Normal 3 2 4 4 2 3 6" xfId="18186"/>
    <cellStyle name="Normal 3 2 4 4 2 3 7" xfId="22218"/>
    <cellStyle name="Normal 3 2 4 4 2 3 8" xfId="26250"/>
    <cellStyle name="Normal 3 2 4 4 2 3 9" xfId="30282"/>
    <cellStyle name="Normal 3 2 4 4 2 4" xfId="4610"/>
    <cellStyle name="Normal 3 2 4 4 2 4 10" xfId="38484"/>
    <cellStyle name="Normal 3 2 4 4 2 4 11" xfId="42516"/>
    <cellStyle name="Normal 3 2 4 4 2 4 12" xfId="46548"/>
    <cellStyle name="Normal 3 2 4 4 2 4 13" xfId="50627"/>
    <cellStyle name="Normal 3 2 4 4 2 4 2" xfId="8242"/>
    <cellStyle name="Normal 3 2 4 4 2 4 2 10" xfId="44532"/>
    <cellStyle name="Normal 3 2 4 4 2 4 2 11" xfId="48564"/>
    <cellStyle name="Normal 3 2 4 4 2 4 2 12" xfId="52643"/>
    <cellStyle name="Normal 3 2 4 4 2 4 2 2" xfId="12276"/>
    <cellStyle name="Normal 3 2 4 4 2 4 2 3" xfId="16308"/>
    <cellStyle name="Normal 3 2 4 4 2 4 2 4" xfId="20340"/>
    <cellStyle name="Normal 3 2 4 4 2 4 2 5" xfId="24372"/>
    <cellStyle name="Normal 3 2 4 4 2 4 2 6" xfId="28404"/>
    <cellStyle name="Normal 3 2 4 4 2 4 2 7" xfId="32436"/>
    <cellStyle name="Normal 3 2 4 4 2 4 2 8" xfId="36468"/>
    <cellStyle name="Normal 3 2 4 4 2 4 2 9" xfId="40500"/>
    <cellStyle name="Normal 3 2 4 4 2 4 3" xfId="10260"/>
    <cellStyle name="Normal 3 2 4 4 2 4 4" xfId="14292"/>
    <cellStyle name="Normal 3 2 4 4 2 4 5" xfId="18324"/>
    <cellStyle name="Normal 3 2 4 4 2 4 6" xfId="22356"/>
    <cellStyle name="Normal 3 2 4 4 2 4 7" xfId="26388"/>
    <cellStyle name="Normal 3 2 4 4 2 4 8" xfId="30420"/>
    <cellStyle name="Normal 3 2 4 4 2 4 9" xfId="34452"/>
    <cellStyle name="Normal 3 2 4 4 2 5" xfId="1647"/>
    <cellStyle name="Normal 3 2 4 4 2 5 10" xfId="37640"/>
    <cellStyle name="Normal 3 2 4 4 2 5 11" xfId="41672"/>
    <cellStyle name="Normal 3 2 4 4 2 5 12" xfId="45704"/>
    <cellStyle name="Normal 3 2 4 4 2 5 13" xfId="49782"/>
    <cellStyle name="Normal 3 2 4 4 2 5 2" xfId="7398"/>
    <cellStyle name="Normal 3 2 4 4 2 5 2 10" xfId="43688"/>
    <cellStyle name="Normal 3 2 4 4 2 5 2 11" xfId="47720"/>
    <cellStyle name="Normal 3 2 4 4 2 5 2 12" xfId="51799"/>
    <cellStyle name="Normal 3 2 4 4 2 5 2 2" xfId="11432"/>
    <cellStyle name="Normal 3 2 4 4 2 5 2 3" xfId="15464"/>
    <cellStyle name="Normal 3 2 4 4 2 5 2 4" xfId="19496"/>
    <cellStyle name="Normal 3 2 4 4 2 5 2 5" xfId="23528"/>
    <cellStyle name="Normal 3 2 4 4 2 5 2 6" xfId="27560"/>
    <cellStyle name="Normal 3 2 4 4 2 5 2 7" xfId="31592"/>
    <cellStyle name="Normal 3 2 4 4 2 5 2 8" xfId="35624"/>
    <cellStyle name="Normal 3 2 4 4 2 5 2 9" xfId="39656"/>
    <cellStyle name="Normal 3 2 4 4 2 5 3" xfId="9416"/>
    <cellStyle name="Normal 3 2 4 4 2 5 4" xfId="13448"/>
    <cellStyle name="Normal 3 2 4 4 2 5 5" xfId="17480"/>
    <cellStyle name="Normal 3 2 4 4 2 5 6" xfId="21512"/>
    <cellStyle name="Normal 3 2 4 4 2 5 7" xfId="25544"/>
    <cellStyle name="Normal 3 2 4 4 2 5 8" xfId="29576"/>
    <cellStyle name="Normal 3 2 4 4 2 5 9" xfId="33608"/>
    <cellStyle name="Normal 3 2 4 4 2 6" xfId="7177"/>
    <cellStyle name="Normal 3 2 4 4 2 6 10" xfId="43467"/>
    <cellStyle name="Normal 3 2 4 4 2 6 11" xfId="47499"/>
    <cellStyle name="Normal 3 2 4 4 2 6 12" xfId="51578"/>
    <cellStyle name="Normal 3 2 4 4 2 6 2" xfId="11211"/>
    <cellStyle name="Normal 3 2 4 4 2 6 3" xfId="15243"/>
    <cellStyle name="Normal 3 2 4 4 2 6 4" xfId="19275"/>
    <cellStyle name="Normal 3 2 4 4 2 6 5" xfId="23307"/>
    <cellStyle name="Normal 3 2 4 4 2 6 6" xfId="27339"/>
    <cellStyle name="Normal 3 2 4 4 2 6 7" xfId="31371"/>
    <cellStyle name="Normal 3 2 4 4 2 6 8" xfId="35403"/>
    <cellStyle name="Normal 3 2 4 4 2 6 9" xfId="39435"/>
    <cellStyle name="Normal 3 2 4 4 2 7" xfId="9195"/>
    <cellStyle name="Normal 3 2 4 4 2 8" xfId="13227"/>
    <cellStyle name="Normal 3 2 4 4 2 9" xfId="17259"/>
    <cellStyle name="Normal 3 2 4 4 20" xfId="37350"/>
    <cellStyle name="Normal 3 2 4 4 21" xfId="41382"/>
    <cellStyle name="Normal 3 2 4 4 22" xfId="45414"/>
    <cellStyle name="Normal 3 2 4 4 23" xfId="49492"/>
    <cellStyle name="Normal 3 2 4 4 3" xfId="1721"/>
    <cellStyle name="Normal 3 2 4 4 3 10" xfId="33677"/>
    <cellStyle name="Normal 3 2 4 4 3 11" xfId="37709"/>
    <cellStyle name="Normal 3 2 4 4 3 12" xfId="41741"/>
    <cellStyle name="Normal 3 2 4 4 3 13" xfId="45773"/>
    <cellStyle name="Normal 3 2 4 4 3 14" xfId="49851"/>
    <cellStyle name="Normal 3 2 4 4 3 2" xfId="5392"/>
    <cellStyle name="Normal 3 2 4 4 3 2 10" xfId="38660"/>
    <cellStyle name="Normal 3 2 4 4 3 2 11" xfId="42692"/>
    <cellStyle name="Normal 3 2 4 4 3 2 12" xfId="46724"/>
    <cellStyle name="Normal 3 2 4 4 3 2 13" xfId="50803"/>
    <cellStyle name="Normal 3 2 4 4 3 2 2" xfId="8418"/>
    <cellStyle name="Normal 3 2 4 4 3 2 2 10" xfId="44708"/>
    <cellStyle name="Normal 3 2 4 4 3 2 2 11" xfId="48740"/>
    <cellStyle name="Normal 3 2 4 4 3 2 2 12" xfId="52819"/>
    <cellStyle name="Normal 3 2 4 4 3 2 2 2" xfId="12452"/>
    <cellStyle name="Normal 3 2 4 4 3 2 2 3" xfId="16484"/>
    <cellStyle name="Normal 3 2 4 4 3 2 2 4" xfId="20516"/>
    <cellStyle name="Normal 3 2 4 4 3 2 2 5" xfId="24548"/>
    <cellStyle name="Normal 3 2 4 4 3 2 2 6" xfId="28580"/>
    <cellStyle name="Normal 3 2 4 4 3 2 2 7" xfId="32612"/>
    <cellStyle name="Normal 3 2 4 4 3 2 2 8" xfId="36644"/>
    <cellStyle name="Normal 3 2 4 4 3 2 2 9" xfId="40676"/>
    <cellStyle name="Normal 3 2 4 4 3 2 3" xfId="10436"/>
    <cellStyle name="Normal 3 2 4 4 3 2 4" xfId="14468"/>
    <cellStyle name="Normal 3 2 4 4 3 2 5" xfId="18500"/>
    <cellStyle name="Normal 3 2 4 4 3 2 6" xfId="22532"/>
    <cellStyle name="Normal 3 2 4 4 3 2 7" xfId="26564"/>
    <cellStyle name="Normal 3 2 4 4 3 2 8" xfId="30596"/>
    <cellStyle name="Normal 3 2 4 4 3 2 9" xfId="34628"/>
    <cellStyle name="Normal 3 2 4 4 3 3" xfId="7467"/>
    <cellStyle name="Normal 3 2 4 4 3 3 10" xfId="43757"/>
    <cellStyle name="Normal 3 2 4 4 3 3 11" xfId="47789"/>
    <cellStyle name="Normal 3 2 4 4 3 3 12" xfId="51868"/>
    <cellStyle name="Normal 3 2 4 4 3 3 2" xfId="11501"/>
    <cellStyle name="Normal 3 2 4 4 3 3 3" xfId="15533"/>
    <cellStyle name="Normal 3 2 4 4 3 3 4" xfId="19565"/>
    <cellStyle name="Normal 3 2 4 4 3 3 5" xfId="23597"/>
    <cellStyle name="Normal 3 2 4 4 3 3 6" xfId="27629"/>
    <cellStyle name="Normal 3 2 4 4 3 3 7" xfId="31661"/>
    <cellStyle name="Normal 3 2 4 4 3 3 8" xfId="35693"/>
    <cellStyle name="Normal 3 2 4 4 3 3 9" xfId="39725"/>
    <cellStyle name="Normal 3 2 4 4 3 4" xfId="9485"/>
    <cellStyle name="Normal 3 2 4 4 3 5" xfId="13517"/>
    <cellStyle name="Normal 3 2 4 4 3 6" xfId="17549"/>
    <cellStyle name="Normal 3 2 4 4 3 7" xfId="21581"/>
    <cellStyle name="Normal 3 2 4 4 3 8" xfId="25613"/>
    <cellStyle name="Normal 3 2 4 4 3 9" xfId="29645"/>
    <cellStyle name="Normal 3 2 4 4 4" xfId="4043"/>
    <cellStyle name="Normal 3 2 4 4 4 10" xfId="33900"/>
    <cellStyle name="Normal 3 2 4 4 4 11" xfId="37932"/>
    <cellStyle name="Normal 3 2 4 4 4 12" xfId="41964"/>
    <cellStyle name="Normal 3 2 4 4 4 13" xfId="45996"/>
    <cellStyle name="Normal 3 2 4 4 4 14" xfId="50074"/>
    <cellStyle name="Normal 3 2 4 4 4 2" xfId="6625"/>
    <cellStyle name="Normal 3 2 4 4 4 2 10" xfId="38883"/>
    <cellStyle name="Normal 3 2 4 4 4 2 11" xfId="42915"/>
    <cellStyle name="Normal 3 2 4 4 4 2 12" xfId="46947"/>
    <cellStyle name="Normal 3 2 4 4 4 2 13" xfId="51026"/>
    <cellStyle name="Normal 3 2 4 4 4 2 2" xfId="8641"/>
    <cellStyle name="Normal 3 2 4 4 4 2 2 10" xfId="44931"/>
    <cellStyle name="Normal 3 2 4 4 4 2 2 11" xfId="48963"/>
    <cellStyle name="Normal 3 2 4 4 4 2 2 12" xfId="53042"/>
    <cellStyle name="Normal 3 2 4 4 4 2 2 2" xfId="12675"/>
    <cellStyle name="Normal 3 2 4 4 4 2 2 3" xfId="16707"/>
    <cellStyle name="Normal 3 2 4 4 4 2 2 4" xfId="20739"/>
    <cellStyle name="Normal 3 2 4 4 4 2 2 5" xfId="24771"/>
    <cellStyle name="Normal 3 2 4 4 4 2 2 6" xfId="28803"/>
    <cellStyle name="Normal 3 2 4 4 4 2 2 7" xfId="32835"/>
    <cellStyle name="Normal 3 2 4 4 4 2 2 8" xfId="36867"/>
    <cellStyle name="Normal 3 2 4 4 4 2 2 9" xfId="40899"/>
    <cellStyle name="Normal 3 2 4 4 4 2 3" xfId="10659"/>
    <cellStyle name="Normal 3 2 4 4 4 2 4" xfId="14691"/>
    <cellStyle name="Normal 3 2 4 4 4 2 5" xfId="18723"/>
    <cellStyle name="Normal 3 2 4 4 4 2 6" xfId="22755"/>
    <cellStyle name="Normal 3 2 4 4 4 2 7" xfId="26787"/>
    <cellStyle name="Normal 3 2 4 4 4 2 8" xfId="30819"/>
    <cellStyle name="Normal 3 2 4 4 4 2 9" xfId="34851"/>
    <cellStyle name="Normal 3 2 4 4 4 3" xfId="7690"/>
    <cellStyle name="Normal 3 2 4 4 4 3 10" xfId="43980"/>
    <cellStyle name="Normal 3 2 4 4 4 3 11" xfId="48012"/>
    <cellStyle name="Normal 3 2 4 4 4 3 12" xfId="52091"/>
    <cellStyle name="Normal 3 2 4 4 4 3 2" xfId="11724"/>
    <cellStyle name="Normal 3 2 4 4 4 3 3" xfId="15756"/>
    <cellStyle name="Normal 3 2 4 4 4 3 4" xfId="19788"/>
    <cellStyle name="Normal 3 2 4 4 4 3 5" xfId="23820"/>
    <cellStyle name="Normal 3 2 4 4 4 3 6" xfId="27852"/>
    <cellStyle name="Normal 3 2 4 4 4 3 7" xfId="31884"/>
    <cellStyle name="Normal 3 2 4 4 4 3 8" xfId="35916"/>
    <cellStyle name="Normal 3 2 4 4 4 3 9" xfId="39948"/>
    <cellStyle name="Normal 3 2 4 4 4 4" xfId="9708"/>
    <cellStyle name="Normal 3 2 4 4 4 5" xfId="13740"/>
    <cellStyle name="Normal 3 2 4 4 4 6" xfId="17772"/>
    <cellStyle name="Normal 3 2 4 4 4 7" xfId="21804"/>
    <cellStyle name="Normal 3 2 4 4 4 8" xfId="25836"/>
    <cellStyle name="Normal 3 2 4 4 4 9" xfId="29868"/>
    <cellStyle name="Normal 3 2 4 4 5" xfId="4113"/>
    <cellStyle name="Normal 3 2 4 4 5 10" xfId="33969"/>
    <cellStyle name="Normal 3 2 4 4 5 11" xfId="38001"/>
    <cellStyle name="Normal 3 2 4 4 5 12" xfId="42033"/>
    <cellStyle name="Normal 3 2 4 4 5 13" xfId="46065"/>
    <cellStyle name="Normal 3 2 4 4 5 14" xfId="50143"/>
    <cellStyle name="Normal 3 2 4 4 5 2" xfId="6694"/>
    <cellStyle name="Normal 3 2 4 4 5 2 10" xfId="38952"/>
    <cellStyle name="Normal 3 2 4 4 5 2 11" xfId="42984"/>
    <cellStyle name="Normal 3 2 4 4 5 2 12" xfId="47016"/>
    <cellStyle name="Normal 3 2 4 4 5 2 13" xfId="51095"/>
    <cellStyle name="Normal 3 2 4 4 5 2 2" xfId="8710"/>
    <cellStyle name="Normal 3 2 4 4 5 2 2 10" xfId="45000"/>
    <cellStyle name="Normal 3 2 4 4 5 2 2 11" xfId="49032"/>
    <cellStyle name="Normal 3 2 4 4 5 2 2 12" xfId="53111"/>
    <cellStyle name="Normal 3 2 4 4 5 2 2 2" xfId="12744"/>
    <cellStyle name="Normal 3 2 4 4 5 2 2 3" xfId="16776"/>
    <cellStyle name="Normal 3 2 4 4 5 2 2 4" xfId="20808"/>
    <cellStyle name="Normal 3 2 4 4 5 2 2 5" xfId="24840"/>
    <cellStyle name="Normal 3 2 4 4 5 2 2 6" xfId="28872"/>
    <cellStyle name="Normal 3 2 4 4 5 2 2 7" xfId="32904"/>
    <cellStyle name="Normal 3 2 4 4 5 2 2 8" xfId="36936"/>
    <cellStyle name="Normal 3 2 4 4 5 2 2 9" xfId="40968"/>
    <cellStyle name="Normal 3 2 4 4 5 2 3" xfId="10728"/>
    <cellStyle name="Normal 3 2 4 4 5 2 4" xfId="14760"/>
    <cellStyle name="Normal 3 2 4 4 5 2 5" xfId="18792"/>
    <cellStyle name="Normal 3 2 4 4 5 2 6" xfId="22824"/>
    <cellStyle name="Normal 3 2 4 4 5 2 7" xfId="26856"/>
    <cellStyle name="Normal 3 2 4 4 5 2 8" xfId="30888"/>
    <cellStyle name="Normal 3 2 4 4 5 2 9" xfId="34920"/>
    <cellStyle name="Normal 3 2 4 4 5 3" xfId="7759"/>
    <cellStyle name="Normal 3 2 4 4 5 3 10" xfId="44049"/>
    <cellStyle name="Normal 3 2 4 4 5 3 11" xfId="48081"/>
    <cellStyle name="Normal 3 2 4 4 5 3 12" xfId="52160"/>
    <cellStyle name="Normal 3 2 4 4 5 3 2" xfId="11793"/>
    <cellStyle name="Normal 3 2 4 4 5 3 3" xfId="15825"/>
    <cellStyle name="Normal 3 2 4 4 5 3 4" xfId="19857"/>
    <cellStyle name="Normal 3 2 4 4 5 3 5" xfId="23889"/>
    <cellStyle name="Normal 3 2 4 4 5 3 6" xfId="27921"/>
    <cellStyle name="Normal 3 2 4 4 5 3 7" xfId="31953"/>
    <cellStyle name="Normal 3 2 4 4 5 3 8" xfId="35985"/>
    <cellStyle name="Normal 3 2 4 4 5 3 9" xfId="40017"/>
    <cellStyle name="Normal 3 2 4 4 5 4" xfId="9777"/>
    <cellStyle name="Normal 3 2 4 4 5 5" xfId="13809"/>
    <cellStyle name="Normal 3 2 4 4 5 6" xfId="17841"/>
    <cellStyle name="Normal 3 2 4 4 5 7" xfId="21873"/>
    <cellStyle name="Normal 3 2 4 4 5 8" xfId="25905"/>
    <cellStyle name="Normal 3 2 4 4 5 9" xfId="29937"/>
    <cellStyle name="Normal 3 2 4 4 6" xfId="4182"/>
    <cellStyle name="Normal 3 2 4 4 6 10" xfId="34038"/>
    <cellStyle name="Normal 3 2 4 4 6 11" xfId="38070"/>
    <cellStyle name="Normal 3 2 4 4 6 12" xfId="42102"/>
    <cellStyle name="Normal 3 2 4 4 6 13" xfId="46134"/>
    <cellStyle name="Normal 3 2 4 4 6 14" xfId="50212"/>
    <cellStyle name="Normal 3 2 4 4 6 2" xfId="6763"/>
    <cellStyle name="Normal 3 2 4 4 6 2 10" xfId="39021"/>
    <cellStyle name="Normal 3 2 4 4 6 2 11" xfId="43053"/>
    <cellStyle name="Normal 3 2 4 4 6 2 12" xfId="47085"/>
    <cellStyle name="Normal 3 2 4 4 6 2 13" xfId="51164"/>
    <cellStyle name="Normal 3 2 4 4 6 2 2" xfId="8779"/>
    <cellStyle name="Normal 3 2 4 4 6 2 2 10" xfId="45069"/>
    <cellStyle name="Normal 3 2 4 4 6 2 2 11" xfId="49101"/>
    <cellStyle name="Normal 3 2 4 4 6 2 2 12" xfId="53180"/>
    <cellStyle name="Normal 3 2 4 4 6 2 2 2" xfId="12813"/>
    <cellStyle name="Normal 3 2 4 4 6 2 2 3" xfId="16845"/>
    <cellStyle name="Normal 3 2 4 4 6 2 2 4" xfId="20877"/>
    <cellStyle name="Normal 3 2 4 4 6 2 2 5" xfId="24909"/>
    <cellStyle name="Normal 3 2 4 4 6 2 2 6" xfId="28941"/>
    <cellStyle name="Normal 3 2 4 4 6 2 2 7" xfId="32973"/>
    <cellStyle name="Normal 3 2 4 4 6 2 2 8" xfId="37005"/>
    <cellStyle name="Normal 3 2 4 4 6 2 2 9" xfId="41037"/>
    <cellStyle name="Normal 3 2 4 4 6 2 3" xfId="10797"/>
    <cellStyle name="Normal 3 2 4 4 6 2 4" xfId="14829"/>
    <cellStyle name="Normal 3 2 4 4 6 2 5" xfId="18861"/>
    <cellStyle name="Normal 3 2 4 4 6 2 6" xfId="22893"/>
    <cellStyle name="Normal 3 2 4 4 6 2 7" xfId="26925"/>
    <cellStyle name="Normal 3 2 4 4 6 2 8" xfId="30957"/>
    <cellStyle name="Normal 3 2 4 4 6 2 9" xfId="34989"/>
    <cellStyle name="Normal 3 2 4 4 6 3" xfId="7828"/>
    <cellStyle name="Normal 3 2 4 4 6 3 10" xfId="44118"/>
    <cellStyle name="Normal 3 2 4 4 6 3 11" xfId="48150"/>
    <cellStyle name="Normal 3 2 4 4 6 3 12" xfId="52229"/>
    <cellStyle name="Normal 3 2 4 4 6 3 2" xfId="11862"/>
    <cellStyle name="Normal 3 2 4 4 6 3 3" xfId="15894"/>
    <cellStyle name="Normal 3 2 4 4 6 3 4" xfId="19926"/>
    <cellStyle name="Normal 3 2 4 4 6 3 5" xfId="23958"/>
    <cellStyle name="Normal 3 2 4 4 6 3 6" xfId="27990"/>
    <cellStyle name="Normal 3 2 4 4 6 3 7" xfId="32022"/>
    <cellStyle name="Normal 3 2 4 4 6 3 8" xfId="36054"/>
    <cellStyle name="Normal 3 2 4 4 6 3 9" xfId="40086"/>
    <cellStyle name="Normal 3 2 4 4 6 4" xfId="9846"/>
    <cellStyle name="Normal 3 2 4 4 6 5" xfId="13878"/>
    <cellStyle name="Normal 3 2 4 4 6 6" xfId="17910"/>
    <cellStyle name="Normal 3 2 4 4 6 7" xfId="21942"/>
    <cellStyle name="Normal 3 2 4 4 6 8" xfId="25974"/>
    <cellStyle name="Normal 3 2 4 4 6 9" xfId="30006"/>
    <cellStyle name="Normal 3 2 4 4 7" xfId="4255"/>
    <cellStyle name="Normal 3 2 4 4 7 10" xfId="34107"/>
    <cellStyle name="Normal 3 2 4 4 7 11" xfId="38139"/>
    <cellStyle name="Normal 3 2 4 4 7 12" xfId="42171"/>
    <cellStyle name="Normal 3 2 4 4 7 13" xfId="46203"/>
    <cellStyle name="Normal 3 2 4 4 7 14" xfId="50281"/>
    <cellStyle name="Normal 3 2 4 4 7 2" xfId="6832"/>
    <cellStyle name="Normal 3 2 4 4 7 2 10" xfId="39090"/>
    <cellStyle name="Normal 3 2 4 4 7 2 11" xfId="43122"/>
    <cellStyle name="Normal 3 2 4 4 7 2 12" xfId="47154"/>
    <cellStyle name="Normal 3 2 4 4 7 2 13" xfId="51233"/>
    <cellStyle name="Normal 3 2 4 4 7 2 2" xfId="8848"/>
    <cellStyle name="Normal 3 2 4 4 7 2 2 10" xfId="45138"/>
    <cellStyle name="Normal 3 2 4 4 7 2 2 11" xfId="49170"/>
    <cellStyle name="Normal 3 2 4 4 7 2 2 12" xfId="53249"/>
    <cellStyle name="Normal 3 2 4 4 7 2 2 2" xfId="12882"/>
    <cellStyle name="Normal 3 2 4 4 7 2 2 3" xfId="16914"/>
    <cellStyle name="Normal 3 2 4 4 7 2 2 4" xfId="20946"/>
    <cellStyle name="Normal 3 2 4 4 7 2 2 5" xfId="24978"/>
    <cellStyle name="Normal 3 2 4 4 7 2 2 6" xfId="29010"/>
    <cellStyle name="Normal 3 2 4 4 7 2 2 7" xfId="33042"/>
    <cellStyle name="Normal 3 2 4 4 7 2 2 8" xfId="37074"/>
    <cellStyle name="Normal 3 2 4 4 7 2 2 9" xfId="41106"/>
    <cellStyle name="Normal 3 2 4 4 7 2 3" xfId="10866"/>
    <cellStyle name="Normal 3 2 4 4 7 2 4" xfId="14898"/>
    <cellStyle name="Normal 3 2 4 4 7 2 5" xfId="18930"/>
    <cellStyle name="Normal 3 2 4 4 7 2 6" xfId="22962"/>
    <cellStyle name="Normal 3 2 4 4 7 2 7" xfId="26994"/>
    <cellStyle name="Normal 3 2 4 4 7 2 8" xfId="31026"/>
    <cellStyle name="Normal 3 2 4 4 7 2 9" xfId="35058"/>
    <cellStyle name="Normal 3 2 4 4 7 3" xfId="7897"/>
    <cellStyle name="Normal 3 2 4 4 7 3 10" xfId="44187"/>
    <cellStyle name="Normal 3 2 4 4 7 3 11" xfId="48219"/>
    <cellStyle name="Normal 3 2 4 4 7 3 12" xfId="52298"/>
    <cellStyle name="Normal 3 2 4 4 7 3 2" xfId="11931"/>
    <cellStyle name="Normal 3 2 4 4 7 3 3" xfId="15963"/>
    <cellStyle name="Normal 3 2 4 4 7 3 4" xfId="19995"/>
    <cellStyle name="Normal 3 2 4 4 7 3 5" xfId="24027"/>
    <cellStyle name="Normal 3 2 4 4 7 3 6" xfId="28059"/>
    <cellStyle name="Normal 3 2 4 4 7 3 7" xfId="32091"/>
    <cellStyle name="Normal 3 2 4 4 7 3 8" xfId="36123"/>
    <cellStyle name="Normal 3 2 4 4 7 3 9" xfId="40155"/>
    <cellStyle name="Normal 3 2 4 4 7 4" xfId="9915"/>
    <cellStyle name="Normal 3 2 4 4 7 5" xfId="13947"/>
    <cellStyle name="Normal 3 2 4 4 7 6" xfId="17979"/>
    <cellStyle name="Normal 3 2 4 4 7 7" xfId="22011"/>
    <cellStyle name="Normal 3 2 4 4 7 8" xfId="26043"/>
    <cellStyle name="Normal 3 2 4 4 7 9" xfId="30075"/>
    <cellStyle name="Normal 3 2 4 4 8" xfId="4401"/>
    <cellStyle name="Normal 3 2 4 4 8 10" xfId="34245"/>
    <cellStyle name="Normal 3 2 4 4 8 11" xfId="38277"/>
    <cellStyle name="Normal 3 2 4 4 8 12" xfId="42309"/>
    <cellStyle name="Normal 3 2 4 4 8 13" xfId="46341"/>
    <cellStyle name="Normal 3 2 4 4 8 14" xfId="50420"/>
    <cellStyle name="Normal 3 2 4 4 8 2" xfId="6970"/>
    <cellStyle name="Normal 3 2 4 4 8 2 10" xfId="39228"/>
    <cellStyle name="Normal 3 2 4 4 8 2 11" xfId="43260"/>
    <cellStyle name="Normal 3 2 4 4 8 2 12" xfId="47292"/>
    <cellStyle name="Normal 3 2 4 4 8 2 13" xfId="51371"/>
    <cellStyle name="Normal 3 2 4 4 8 2 2" xfId="8986"/>
    <cellStyle name="Normal 3 2 4 4 8 2 2 10" xfId="45276"/>
    <cellStyle name="Normal 3 2 4 4 8 2 2 11" xfId="49308"/>
    <cellStyle name="Normal 3 2 4 4 8 2 2 12" xfId="53387"/>
    <cellStyle name="Normal 3 2 4 4 8 2 2 2" xfId="13020"/>
    <cellStyle name="Normal 3 2 4 4 8 2 2 3" xfId="17052"/>
    <cellStyle name="Normal 3 2 4 4 8 2 2 4" xfId="21084"/>
    <cellStyle name="Normal 3 2 4 4 8 2 2 5" xfId="25116"/>
    <cellStyle name="Normal 3 2 4 4 8 2 2 6" xfId="29148"/>
    <cellStyle name="Normal 3 2 4 4 8 2 2 7" xfId="33180"/>
    <cellStyle name="Normal 3 2 4 4 8 2 2 8" xfId="37212"/>
    <cellStyle name="Normal 3 2 4 4 8 2 2 9" xfId="41244"/>
    <cellStyle name="Normal 3 2 4 4 8 2 3" xfId="11004"/>
    <cellStyle name="Normal 3 2 4 4 8 2 4" xfId="15036"/>
    <cellStyle name="Normal 3 2 4 4 8 2 5" xfId="19068"/>
    <cellStyle name="Normal 3 2 4 4 8 2 6" xfId="23100"/>
    <cellStyle name="Normal 3 2 4 4 8 2 7" xfId="27132"/>
    <cellStyle name="Normal 3 2 4 4 8 2 8" xfId="31164"/>
    <cellStyle name="Normal 3 2 4 4 8 2 9" xfId="35196"/>
    <cellStyle name="Normal 3 2 4 4 8 3" xfId="8035"/>
    <cellStyle name="Normal 3 2 4 4 8 3 10" xfId="44325"/>
    <cellStyle name="Normal 3 2 4 4 8 3 11" xfId="48357"/>
    <cellStyle name="Normal 3 2 4 4 8 3 12" xfId="52436"/>
    <cellStyle name="Normal 3 2 4 4 8 3 2" xfId="12069"/>
    <cellStyle name="Normal 3 2 4 4 8 3 3" xfId="16101"/>
    <cellStyle name="Normal 3 2 4 4 8 3 4" xfId="20133"/>
    <cellStyle name="Normal 3 2 4 4 8 3 5" xfId="24165"/>
    <cellStyle name="Normal 3 2 4 4 8 3 6" xfId="28197"/>
    <cellStyle name="Normal 3 2 4 4 8 3 7" xfId="32229"/>
    <cellStyle name="Normal 3 2 4 4 8 3 8" xfId="36261"/>
    <cellStyle name="Normal 3 2 4 4 8 3 9" xfId="40293"/>
    <cellStyle name="Normal 3 2 4 4 8 4" xfId="10053"/>
    <cellStyle name="Normal 3 2 4 4 8 5" xfId="14085"/>
    <cellStyle name="Normal 3 2 4 4 8 6" xfId="18117"/>
    <cellStyle name="Normal 3 2 4 4 8 7" xfId="22149"/>
    <cellStyle name="Normal 3 2 4 4 8 8" xfId="26181"/>
    <cellStyle name="Normal 3 2 4 4 8 9" xfId="30213"/>
    <cellStyle name="Normal 3 2 4 4 9" xfId="4539"/>
    <cellStyle name="Normal 3 2 4 4 9 10" xfId="38415"/>
    <cellStyle name="Normal 3 2 4 4 9 11" xfId="42447"/>
    <cellStyle name="Normal 3 2 4 4 9 12" xfId="46479"/>
    <cellStyle name="Normal 3 2 4 4 9 13" xfId="50558"/>
    <cellStyle name="Normal 3 2 4 4 9 2" xfId="8173"/>
    <cellStyle name="Normal 3 2 4 4 9 2 10" xfId="44463"/>
    <cellStyle name="Normal 3 2 4 4 9 2 11" xfId="48495"/>
    <cellStyle name="Normal 3 2 4 4 9 2 12" xfId="52574"/>
    <cellStyle name="Normal 3 2 4 4 9 2 2" xfId="12207"/>
    <cellStyle name="Normal 3 2 4 4 9 2 3" xfId="16239"/>
    <cellStyle name="Normal 3 2 4 4 9 2 4" xfId="20271"/>
    <cellStyle name="Normal 3 2 4 4 9 2 5" xfId="24303"/>
    <cellStyle name="Normal 3 2 4 4 9 2 6" xfId="28335"/>
    <cellStyle name="Normal 3 2 4 4 9 2 7" xfId="32367"/>
    <cellStyle name="Normal 3 2 4 4 9 2 8" xfId="36399"/>
    <cellStyle name="Normal 3 2 4 4 9 2 9" xfId="40431"/>
    <cellStyle name="Normal 3 2 4 4 9 3" xfId="10191"/>
    <cellStyle name="Normal 3 2 4 4 9 4" xfId="14223"/>
    <cellStyle name="Normal 3 2 4 4 9 5" xfId="18255"/>
    <cellStyle name="Normal 3 2 4 4 9 6" xfId="22287"/>
    <cellStyle name="Normal 3 2 4 4 9 7" xfId="26319"/>
    <cellStyle name="Normal 3 2 4 4 9 8" xfId="30351"/>
    <cellStyle name="Normal 3 2 4 4 9 9" xfId="34383"/>
    <cellStyle name="Normal 3 2 4 5" xfId="196"/>
    <cellStyle name="Normal 3 2 4 5 10" xfId="21275"/>
    <cellStyle name="Normal 3 2 4 5 11" xfId="25307"/>
    <cellStyle name="Normal 3 2 4 5 12" xfId="29339"/>
    <cellStyle name="Normal 3 2 4 5 13" xfId="33371"/>
    <cellStyle name="Normal 3 2 4 5 14" xfId="37403"/>
    <cellStyle name="Normal 3 2 4 5 15" xfId="41435"/>
    <cellStyle name="Normal 3 2 4 5 16" xfId="45467"/>
    <cellStyle name="Normal 3 2 4 5 17" xfId="49545"/>
    <cellStyle name="Normal 3 2 4 5 2" xfId="4314"/>
    <cellStyle name="Normal 3 2 4 5 2 10" xfId="34160"/>
    <cellStyle name="Normal 3 2 4 5 2 11" xfId="38192"/>
    <cellStyle name="Normal 3 2 4 5 2 12" xfId="42224"/>
    <cellStyle name="Normal 3 2 4 5 2 13" xfId="46256"/>
    <cellStyle name="Normal 3 2 4 5 2 14" xfId="50335"/>
    <cellStyle name="Normal 3 2 4 5 2 2" xfId="6885"/>
    <cellStyle name="Normal 3 2 4 5 2 2 10" xfId="39143"/>
    <cellStyle name="Normal 3 2 4 5 2 2 11" xfId="43175"/>
    <cellStyle name="Normal 3 2 4 5 2 2 12" xfId="47207"/>
    <cellStyle name="Normal 3 2 4 5 2 2 13" xfId="51286"/>
    <cellStyle name="Normal 3 2 4 5 2 2 2" xfId="8901"/>
    <cellStyle name="Normal 3 2 4 5 2 2 2 10" xfId="45191"/>
    <cellStyle name="Normal 3 2 4 5 2 2 2 11" xfId="49223"/>
    <cellStyle name="Normal 3 2 4 5 2 2 2 12" xfId="53302"/>
    <cellStyle name="Normal 3 2 4 5 2 2 2 2" xfId="12935"/>
    <cellStyle name="Normal 3 2 4 5 2 2 2 3" xfId="16967"/>
    <cellStyle name="Normal 3 2 4 5 2 2 2 4" xfId="20999"/>
    <cellStyle name="Normal 3 2 4 5 2 2 2 5" xfId="25031"/>
    <cellStyle name="Normal 3 2 4 5 2 2 2 6" xfId="29063"/>
    <cellStyle name="Normal 3 2 4 5 2 2 2 7" xfId="33095"/>
    <cellStyle name="Normal 3 2 4 5 2 2 2 8" xfId="37127"/>
    <cellStyle name="Normal 3 2 4 5 2 2 2 9" xfId="41159"/>
    <cellStyle name="Normal 3 2 4 5 2 2 3" xfId="10919"/>
    <cellStyle name="Normal 3 2 4 5 2 2 4" xfId="14951"/>
    <cellStyle name="Normal 3 2 4 5 2 2 5" xfId="18983"/>
    <cellStyle name="Normal 3 2 4 5 2 2 6" xfId="23015"/>
    <cellStyle name="Normal 3 2 4 5 2 2 7" xfId="27047"/>
    <cellStyle name="Normal 3 2 4 5 2 2 8" xfId="31079"/>
    <cellStyle name="Normal 3 2 4 5 2 2 9" xfId="35111"/>
    <cellStyle name="Normal 3 2 4 5 2 3" xfId="7950"/>
    <cellStyle name="Normal 3 2 4 5 2 3 10" xfId="44240"/>
    <cellStyle name="Normal 3 2 4 5 2 3 11" xfId="48272"/>
    <cellStyle name="Normal 3 2 4 5 2 3 12" xfId="52351"/>
    <cellStyle name="Normal 3 2 4 5 2 3 2" xfId="11984"/>
    <cellStyle name="Normal 3 2 4 5 2 3 3" xfId="16016"/>
    <cellStyle name="Normal 3 2 4 5 2 3 4" xfId="20048"/>
    <cellStyle name="Normal 3 2 4 5 2 3 5" xfId="24080"/>
    <cellStyle name="Normal 3 2 4 5 2 3 6" xfId="28112"/>
    <cellStyle name="Normal 3 2 4 5 2 3 7" xfId="32144"/>
    <cellStyle name="Normal 3 2 4 5 2 3 8" xfId="36176"/>
    <cellStyle name="Normal 3 2 4 5 2 3 9" xfId="40208"/>
    <cellStyle name="Normal 3 2 4 5 2 4" xfId="9968"/>
    <cellStyle name="Normal 3 2 4 5 2 5" xfId="14000"/>
    <cellStyle name="Normal 3 2 4 5 2 6" xfId="18032"/>
    <cellStyle name="Normal 3 2 4 5 2 7" xfId="22064"/>
    <cellStyle name="Normal 3 2 4 5 2 8" xfId="26096"/>
    <cellStyle name="Normal 3 2 4 5 2 9" xfId="30128"/>
    <cellStyle name="Normal 3 2 4 5 3" xfId="4454"/>
    <cellStyle name="Normal 3 2 4 5 3 10" xfId="34298"/>
    <cellStyle name="Normal 3 2 4 5 3 11" xfId="38330"/>
    <cellStyle name="Normal 3 2 4 5 3 12" xfId="42362"/>
    <cellStyle name="Normal 3 2 4 5 3 13" xfId="46394"/>
    <cellStyle name="Normal 3 2 4 5 3 14" xfId="50473"/>
    <cellStyle name="Normal 3 2 4 5 3 2" xfId="7023"/>
    <cellStyle name="Normal 3 2 4 5 3 2 10" xfId="39281"/>
    <cellStyle name="Normal 3 2 4 5 3 2 11" xfId="43313"/>
    <cellStyle name="Normal 3 2 4 5 3 2 12" xfId="47345"/>
    <cellStyle name="Normal 3 2 4 5 3 2 13" xfId="51424"/>
    <cellStyle name="Normal 3 2 4 5 3 2 2" xfId="9039"/>
    <cellStyle name="Normal 3 2 4 5 3 2 2 10" xfId="45329"/>
    <cellStyle name="Normal 3 2 4 5 3 2 2 11" xfId="49361"/>
    <cellStyle name="Normal 3 2 4 5 3 2 2 12" xfId="53440"/>
    <cellStyle name="Normal 3 2 4 5 3 2 2 2" xfId="13073"/>
    <cellStyle name="Normal 3 2 4 5 3 2 2 3" xfId="17105"/>
    <cellStyle name="Normal 3 2 4 5 3 2 2 4" xfId="21137"/>
    <cellStyle name="Normal 3 2 4 5 3 2 2 5" xfId="25169"/>
    <cellStyle name="Normal 3 2 4 5 3 2 2 6" xfId="29201"/>
    <cellStyle name="Normal 3 2 4 5 3 2 2 7" xfId="33233"/>
    <cellStyle name="Normal 3 2 4 5 3 2 2 8" xfId="37265"/>
    <cellStyle name="Normal 3 2 4 5 3 2 2 9" xfId="41297"/>
    <cellStyle name="Normal 3 2 4 5 3 2 3" xfId="11057"/>
    <cellStyle name="Normal 3 2 4 5 3 2 4" xfId="15089"/>
    <cellStyle name="Normal 3 2 4 5 3 2 5" xfId="19121"/>
    <cellStyle name="Normal 3 2 4 5 3 2 6" xfId="23153"/>
    <cellStyle name="Normal 3 2 4 5 3 2 7" xfId="27185"/>
    <cellStyle name="Normal 3 2 4 5 3 2 8" xfId="31217"/>
    <cellStyle name="Normal 3 2 4 5 3 2 9" xfId="35249"/>
    <cellStyle name="Normal 3 2 4 5 3 3" xfId="8088"/>
    <cellStyle name="Normal 3 2 4 5 3 3 10" xfId="44378"/>
    <cellStyle name="Normal 3 2 4 5 3 3 11" xfId="48410"/>
    <cellStyle name="Normal 3 2 4 5 3 3 12" xfId="52489"/>
    <cellStyle name="Normal 3 2 4 5 3 3 2" xfId="12122"/>
    <cellStyle name="Normal 3 2 4 5 3 3 3" xfId="16154"/>
    <cellStyle name="Normal 3 2 4 5 3 3 4" xfId="20186"/>
    <cellStyle name="Normal 3 2 4 5 3 3 5" xfId="24218"/>
    <cellStyle name="Normal 3 2 4 5 3 3 6" xfId="28250"/>
    <cellStyle name="Normal 3 2 4 5 3 3 7" xfId="32282"/>
    <cellStyle name="Normal 3 2 4 5 3 3 8" xfId="36314"/>
    <cellStyle name="Normal 3 2 4 5 3 3 9" xfId="40346"/>
    <cellStyle name="Normal 3 2 4 5 3 4" xfId="10106"/>
    <cellStyle name="Normal 3 2 4 5 3 5" xfId="14138"/>
    <cellStyle name="Normal 3 2 4 5 3 6" xfId="18170"/>
    <cellStyle name="Normal 3 2 4 5 3 7" xfId="22202"/>
    <cellStyle name="Normal 3 2 4 5 3 8" xfId="26234"/>
    <cellStyle name="Normal 3 2 4 5 3 9" xfId="30266"/>
    <cellStyle name="Normal 3 2 4 5 4" xfId="4594"/>
    <cellStyle name="Normal 3 2 4 5 4 10" xfId="38468"/>
    <cellStyle name="Normal 3 2 4 5 4 11" xfId="42500"/>
    <cellStyle name="Normal 3 2 4 5 4 12" xfId="46532"/>
    <cellStyle name="Normal 3 2 4 5 4 13" xfId="50611"/>
    <cellStyle name="Normal 3 2 4 5 4 2" xfId="8226"/>
    <cellStyle name="Normal 3 2 4 5 4 2 10" xfId="44516"/>
    <cellStyle name="Normal 3 2 4 5 4 2 11" xfId="48548"/>
    <cellStyle name="Normal 3 2 4 5 4 2 12" xfId="52627"/>
    <cellStyle name="Normal 3 2 4 5 4 2 2" xfId="12260"/>
    <cellStyle name="Normal 3 2 4 5 4 2 3" xfId="16292"/>
    <cellStyle name="Normal 3 2 4 5 4 2 4" xfId="20324"/>
    <cellStyle name="Normal 3 2 4 5 4 2 5" xfId="24356"/>
    <cellStyle name="Normal 3 2 4 5 4 2 6" xfId="28388"/>
    <cellStyle name="Normal 3 2 4 5 4 2 7" xfId="32420"/>
    <cellStyle name="Normal 3 2 4 5 4 2 8" xfId="36452"/>
    <cellStyle name="Normal 3 2 4 5 4 2 9" xfId="40484"/>
    <cellStyle name="Normal 3 2 4 5 4 3" xfId="10244"/>
    <cellStyle name="Normal 3 2 4 5 4 4" xfId="14276"/>
    <cellStyle name="Normal 3 2 4 5 4 5" xfId="18308"/>
    <cellStyle name="Normal 3 2 4 5 4 6" xfId="22340"/>
    <cellStyle name="Normal 3 2 4 5 4 7" xfId="26372"/>
    <cellStyle name="Normal 3 2 4 5 4 8" xfId="30404"/>
    <cellStyle name="Normal 3 2 4 5 4 9" xfId="34436"/>
    <cellStyle name="Normal 3 2 4 5 5" xfId="321"/>
    <cellStyle name="Normal 3 2 4 5 5 10" xfId="37526"/>
    <cellStyle name="Normal 3 2 4 5 5 11" xfId="41558"/>
    <cellStyle name="Normal 3 2 4 5 5 12" xfId="45590"/>
    <cellStyle name="Normal 3 2 4 5 5 13" xfId="49668"/>
    <cellStyle name="Normal 3 2 4 5 5 2" xfId="7284"/>
    <cellStyle name="Normal 3 2 4 5 5 2 10" xfId="43574"/>
    <cellStyle name="Normal 3 2 4 5 5 2 11" xfId="47606"/>
    <cellStyle name="Normal 3 2 4 5 5 2 12" xfId="51685"/>
    <cellStyle name="Normal 3 2 4 5 5 2 2" xfId="11318"/>
    <cellStyle name="Normal 3 2 4 5 5 2 3" xfId="15350"/>
    <cellStyle name="Normal 3 2 4 5 5 2 4" xfId="19382"/>
    <cellStyle name="Normal 3 2 4 5 5 2 5" xfId="23414"/>
    <cellStyle name="Normal 3 2 4 5 5 2 6" xfId="27446"/>
    <cellStyle name="Normal 3 2 4 5 5 2 7" xfId="31478"/>
    <cellStyle name="Normal 3 2 4 5 5 2 8" xfId="35510"/>
    <cellStyle name="Normal 3 2 4 5 5 2 9" xfId="39542"/>
    <cellStyle name="Normal 3 2 4 5 5 3" xfId="9302"/>
    <cellStyle name="Normal 3 2 4 5 5 4" xfId="13334"/>
    <cellStyle name="Normal 3 2 4 5 5 5" xfId="17366"/>
    <cellStyle name="Normal 3 2 4 5 5 6" xfId="21398"/>
    <cellStyle name="Normal 3 2 4 5 5 7" xfId="25430"/>
    <cellStyle name="Normal 3 2 4 5 5 8" xfId="29462"/>
    <cellStyle name="Normal 3 2 4 5 5 9" xfId="33494"/>
    <cellStyle name="Normal 3 2 4 5 6" xfId="7161"/>
    <cellStyle name="Normal 3 2 4 5 6 10" xfId="43451"/>
    <cellStyle name="Normal 3 2 4 5 6 11" xfId="47483"/>
    <cellStyle name="Normal 3 2 4 5 6 12" xfId="51562"/>
    <cellStyle name="Normal 3 2 4 5 6 2" xfId="11195"/>
    <cellStyle name="Normal 3 2 4 5 6 3" xfId="15227"/>
    <cellStyle name="Normal 3 2 4 5 6 4" xfId="19259"/>
    <cellStyle name="Normal 3 2 4 5 6 5" xfId="23291"/>
    <cellStyle name="Normal 3 2 4 5 6 6" xfId="27323"/>
    <cellStyle name="Normal 3 2 4 5 6 7" xfId="31355"/>
    <cellStyle name="Normal 3 2 4 5 6 8" xfId="35387"/>
    <cellStyle name="Normal 3 2 4 5 6 9" xfId="39419"/>
    <cellStyle name="Normal 3 2 4 5 7" xfId="9179"/>
    <cellStyle name="Normal 3 2 4 5 8" xfId="13211"/>
    <cellStyle name="Normal 3 2 4 5 9" xfId="17243"/>
    <cellStyle name="Normal 3 2 4 6" xfId="1631"/>
    <cellStyle name="Normal 3 2 4 6 10" xfId="33592"/>
    <cellStyle name="Normal 3 2 4 6 11" xfId="37624"/>
    <cellStyle name="Normal 3 2 4 6 12" xfId="41656"/>
    <cellStyle name="Normal 3 2 4 6 13" xfId="45688"/>
    <cellStyle name="Normal 3 2 4 6 14" xfId="49766"/>
    <cellStyle name="Normal 3 2 4 6 2" xfId="5320"/>
    <cellStyle name="Normal 3 2 4 6 2 10" xfId="38588"/>
    <cellStyle name="Normal 3 2 4 6 2 11" xfId="42620"/>
    <cellStyle name="Normal 3 2 4 6 2 12" xfId="46652"/>
    <cellStyle name="Normal 3 2 4 6 2 13" xfId="50731"/>
    <cellStyle name="Normal 3 2 4 6 2 2" xfId="8346"/>
    <cellStyle name="Normal 3 2 4 6 2 2 10" xfId="44636"/>
    <cellStyle name="Normal 3 2 4 6 2 2 11" xfId="48668"/>
    <cellStyle name="Normal 3 2 4 6 2 2 12" xfId="52747"/>
    <cellStyle name="Normal 3 2 4 6 2 2 2" xfId="12380"/>
    <cellStyle name="Normal 3 2 4 6 2 2 3" xfId="16412"/>
    <cellStyle name="Normal 3 2 4 6 2 2 4" xfId="20444"/>
    <cellStyle name="Normal 3 2 4 6 2 2 5" xfId="24476"/>
    <cellStyle name="Normal 3 2 4 6 2 2 6" xfId="28508"/>
    <cellStyle name="Normal 3 2 4 6 2 2 7" xfId="32540"/>
    <cellStyle name="Normal 3 2 4 6 2 2 8" xfId="36572"/>
    <cellStyle name="Normal 3 2 4 6 2 2 9" xfId="40604"/>
    <cellStyle name="Normal 3 2 4 6 2 3" xfId="10364"/>
    <cellStyle name="Normal 3 2 4 6 2 4" xfId="14396"/>
    <cellStyle name="Normal 3 2 4 6 2 5" xfId="18428"/>
    <cellStyle name="Normal 3 2 4 6 2 6" xfId="22460"/>
    <cellStyle name="Normal 3 2 4 6 2 7" xfId="26492"/>
    <cellStyle name="Normal 3 2 4 6 2 8" xfId="30524"/>
    <cellStyle name="Normal 3 2 4 6 2 9" xfId="34556"/>
    <cellStyle name="Normal 3 2 4 6 3" xfId="7382"/>
    <cellStyle name="Normal 3 2 4 6 3 10" xfId="43672"/>
    <cellStyle name="Normal 3 2 4 6 3 11" xfId="47704"/>
    <cellStyle name="Normal 3 2 4 6 3 12" xfId="51783"/>
    <cellStyle name="Normal 3 2 4 6 3 2" xfId="11416"/>
    <cellStyle name="Normal 3 2 4 6 3 3" xfId="15448"/>
    <cellStyle name="Normal 3 2 4 6 3 4" xfId="19480"/>
    <cellStyle name="Normal 3 2 4 6 3 5" xfId="23512"/>
    <cellStyle name="Normal 3 2 4 6 3 6" xfId="27544"/>
    <cellStyle name="Normal 3 2 4 6 3 7" xfId="31576"/>
    <cellStyle name="Normal 3 2 4 6 3 8" xfId="35608"/>
    <cellStyle name="Normal 3 2 4 6 3 9" xfId="39640"/>
    <cellStyle name="Normal 3 2 4 6 4" xfId="9400"/>
    <cellStyle name="Normal 3 2 4 6 5" xfId="13432"/>
    <cellStyle name="Normal 3 2 4 6 6" xfId="17464"/>
    <cellStyle name="Normal 3 2 4 6 7" xfId="21496"/>
    <cellStyle name="Normal 3 2 4 6 8" xfId="25528"/>
    <cellStyle name="Normal 3 2 4 6 9" xfId="29560"/>
    <cellStyle name="Normal 3 2 4 7" xfId="1705"/>
    <cellStyle name="Normal 3 2 4 7 10" xfId="33661"/>
    <cellStyle name="Normal 3 2 4 7 11" xfId="37693"/>
    <cellStyle name="Normal 3 2 4 7 12" xfId="41725"/>
    <cellStyle name="Normal 3 2 4 7 13" xfId="45757"/>
    <cellStyle name="Normal 3 2 4 7 14" xfId="49835"/>
    <cellStyle name="Normal 3 2 4 7 2" xfId="5376"/>
    <cellStyle name="Normal 3 2 4 7 2 10" xfId="38644"/>
    <cellStyle name="Normal 3 2 4 7 2 11" xfId="42676"/>
    <cellStyle name="Normal 3 2 4 7 2 12" xfId="46708"/>
    <cellStyle name="Normal 3 2 4 7 2 13" xfId="50787"/>
    <cellStyle name="Normal 3 2 4 7 2 2" xfId="8402"/>
    <cellStyle name="Normal 3 2 4 7 2 2 10" xfId="44692"/>
    <cellStyle name="Normal 3 2 4 7 2 2 11" xfId="48724"/>
    <cellStyle name="Normal 3 2 4 7 2 2 12" xfId="52803"/>
    <cellStyle name="Normal 3 2 4 7 2 2 2" xfId="12436"/>
    <cellStyle name="Normal 3 2 4 7 2 2 3" xfId="16468"/>
    <cellStyle name="Normal 3 2 4 7 2 2 4" xfId="20500"/>
    <cellStyle name="Normal 3 2 4 7 2 2 5" xfId="24532"/>
    <cellStyle name="Normal 3 2 4 7 2 2 6" xfId="28564"/>
    <cellStyle name="Normal 3 2 4 7 2 2 7" xfId="32596"/>
    <cellStyle name="Normal 3 2 4 7 2 2 8" xfId="36628"/>
    <cellStyle name="Normal 3 2 4 7 2 2 9" xfId="40660"/>
    <cellStyle name="Normal 3 2 4 7 2 3" xfId="10420"/>
    <cellStyle name="Normal 3 2 4 7 2 4" xfId="14452"/>
    <cellStyle name="Normal 3 2 4 7 2 5" xfId="18484"/>
    <cellStyle name="Normal 3 2 4 7 2 6" xfId="22516"/>
    <cellStyle name="Normal 3 2 4 7 2 7" xfId="26548"/>
    <cellStyle name="Normal 3 2 4 7 2 8" xfId="30580"/>
    <cellStyle name="Normal 3 2 4 7 2 9" xfId="34612"/>
    <cellStyle name="Normal 3 2 4 7 3" xfId="7451"/>
    <cellStyle name="Normal 3 2 4 7 3 10" xfId="43741"/>
    <cellStyle name="Normal 3 2 4 7 3 11" xfId="47773"/>
    <cellStyle name="Normal 3 2 4 7 3 12" xfId="51852"/>
    <cellStyle name="Normal 3 2 4 7 3 2" xfId="11485"/>
    <cellStyle name="Normal 3 2 4 7 3 3" xfId="15517"/>
    <cellStyle name="Normal 3 2 4 7 3 4" xfId="19549"/>
    <cellStyle name="Normal 3 2 4 7 3 5" xfId="23581"/>
    <cellStyle name="Normal 3 2 4 7 3 6" xfId="27613"/>
    <cellStyle name="Normal 3 2 4 7 3 7" xfId="31645"/>
    <cellStyle name="Normal 3 2 4 7 3 8" xfId="35677"/>
    <cellStyle name="Normal 3 2 4 7 3 9" xfId="39709"/>
    <cellStyle name="Normal 3 2 4 7 4" xfId="9469"/>
    <cellStyle name="Normal 3 2 4 7 5" xfId="13501"/>
    <cellStyle name="Normal 3 2 4 7 6" xfId="17533"/>
    <cellStyle name="Normal 3 2 4 7 7" xfId="21565"/>
    <cellStyle name="Normal 3 2 4 7 8" xfId="25597"/>
    <cellStyle name="Normal 3 2 4 7 9" xfId="29629"/>
    <cellStyle name="Normal 3 2 4 8" xfId="4027"/>
    <cellStyle name="Normal 3 2 4 8 10" xfId="33884"/>
    <cellStyle name="Normal 3 2 4 8 11" xfId="37916"/>
    <cellStyle name="Normal 3 2 4 8 12" xfId="41948"/>
    <cellStyle name="Normal 3 2 4 8 13" xfId="45980"/>
    <cellStyle name="Normal 3 2 4 8 14" xfId="50058"/>
    <cellStyle name="Normal 3 2 4 8 2" xfId="6609"/>
    <cellStyle name="Normal 3 2 4 8 2 10" xfId="38867"/>
    <cellStyle name="Normal 3 2 4 8 2 11" xfId="42899"/>
    <cellStyle name="Normal 3 2 4 8 2 12" xfId="46931"/>
    <cellStyle name="Normal 3 2 4 8 2 13" xfId="51010"/>
    <cellStyle name="Normal 3 2 4 8 2 2" xfId="8625"/>
    <cellStyle name="Normal 3 2 4 8 2 2 10" xfId="44915"/>
    <cellStyle name="Normal 3 2 4 8 2 2 11" xfId="48947"/>
    <cellStyle name="Normal 3 2 4 8 2 2 12" xfId="53026"/>
    <cellStyle name="Normal 3 2 4 8 2 2 2" xfId="12659"/>
    <cellStyle name="Normal 3 2 4 8 2 2 3" xfId="16691"/>
    <cellStyle name="Normal 3 2 4 8 2 2 4" xfId="20723"/>
    <cellStyle name="Normal 3 2 4 8 2 2 5" xfId="24755"/>
    <cellStyle name="Normal 3 2 4 8 2 2 6" xfId="28787"/>
    <cellStyle name="Normal 3 2 4 8 2 2 7" xfId="32819"/>
    <cellStyle name="Normal 3 2 4 8 2 2 8" xfId="36851"/>
    <cellStyle name="Normal 3 2 4 8 2 2 9" xfId="40883"/>
    <cellStyle name="Normal 3 2 4 8 2 3" xfId="10643"/>
    <cellStyle name="Normal 3 2 4 8 2 4" xfId="14675"/>
    <cellStyle name="Normal 3 2 4 8 2 5" xfId="18707"/>
    <cellStyle name="Normal 3 2 4 8 2 6" xfId="22739"/>
    <cellStyle name="Normal 3 2 4 8 2 7" xfId="26771"/>
    <cellStyle name="Normal 3 2 4 8 2 8" xfId="30803"/>
    <cellStyle name="Normal 3 2 4 8 2 9" xfId="34835"/>
    <cellStyle name="Normal 3 2 4 8 3" xfId="7674"/>
    <cellStyle name="Normal 3 2 4 8 3 10" xfId="43964"/>
    <cellStyle name="Normal 3 2 4 8 3 11" xfId="47996"/>
    <cellStyle name="Normal 3 2 4 8 3 12" xfId="52075"/>
    <cellStyle name="Normal 3 2 4 8 3 2" xfId="11708"/>
    <cellStyle name="Normal 3 2 4 8 3 3" xfId="15740"/>
    <cellStyle name="Normal 3 2 4 8 3 4" xfId="19772"/>
    <cellStyle name="Normal 3 2 4 8 3 5" xfId="23804"/>
    <cellStyle name="Normal 3 2 4 8 3 6" xfId="27836"/>
    <cellStyle name="Normal 3 2 4 8 3 7" xfId="31868"/>
    <cellStyle name="Normal 3 2 4 8 3 8" xfId="35900"/>
    <cellStyle name="Normal 3 2 4 8 3 9" xfId="39932"/>
    <cellStyle name="Normal 3 2 4 8 4" xfId="9692"/>
    <cellStyle name="Normal 3 2 4 8 5" xfId="13724"/>
    <cellStyle name="Normal 3 2 4 8 6" xfId="17756"/>
    <cellStyle name="Normal 3 2 4 8 7" xfId="21788"/>
    <cellStyle name="Normal 3 2 4 8 8" xfId="25820"/>
    <cellStyle name="Normal 3 2 4 8 9" xfId="29852"/>
    <cellStyle name="Normal 3 2 4 9" xfId="4097"/>
    <cellStyle name="Normal 3 2 4 9 10" xfId="33953"/>
    <cellStyle name="Normal 3 2 4 9 11" xfId="37985"/>
    <cellStyle name="Normal 3 2 4 9 12" xfId="42017"/>
    <cellStyle name="Normal 3 2 4 9 13" xfId="46049"/>
    <cellStyle name="Normal 3 2 4 9 14" xfId="50127"/>
    <cellStyle name="Normal 3 2 4 9 2" xfId="6678"/>
    <cellStyle name="Normal 3 2 4 9 2 10" xfId="38936"/>
    <cellStyle name="Normal 3 2 4 9 2 11" xfId="42968"/>
    <cellStyle name="Normal 3 2 4 9 2 12" xfId="47000"/>
    <cellStyle name="Normal 3 2 4 9 2 13" xfId="51079"/>
    <cellStyle name="Normal 3 2 4 9 2 2" xfId="8694"/>
    <cellStyle name="Normal 3 2 4 9 2 2 10" xfId="44984"/>
    <cellStyle name="Normal 3 2 4 9 2 2 11" xfId="49016"/>
    <cellStyle name="Normal 3 2 4 9 2 2 12" xfId="53095"/>
    <cellStyle name="Normal 3 2 4 9 2 2 2" xfId="12728"/>
    <cellStyle name="Normal 3 2 4 9 2 2 3" xfId="16760"/>
    <cellStyle name="Normal 3 2 4 9 2 2 4" xfId="20792"/>
    <cellStyle name="Normal 3 2 4 9 2 2 5" xfId="24824"/>
    <cellStyle name="Normal 3 2 4 9 2 2 6" xfId="28856"/>
    <cellStyle name="Normal 3 2 4 9 2 2 7" xfId="32888"/>
    <cellStyle name="Normal 3 2 4 9 2 2 8" xfId="36920"/>
    <cellStyle name="Normal 3 2 4 9 2 2 9" xfId="40952"/>
    <cellStyle name="Normal 3 2 4 9 2 3" xfId="10712"/>
    <cellStyle name="Normal 3 2 4 9 2 4" xfId="14744"/>
    <cellStyle name="Normal 3 2 4 9 2 5" xfId="18776"/>
    <cellStyle name="Normal 3 2 4 9 2 6" xfId="22808"/>
    <cellStyle name="Normal 3 2 4 9 2 7" xfId="26840"/>
    <cellStyle name="Normal 3 2 4 9 2 8" xfId="30872"/>
    <cellStyle name="Normal 3 2 4 9 2 9" xfId="34904"/>
    <cellStyle name="Normal 3 2 4 9 3" xfId="7743"/>
    <cellStyle name="Normal 3 2 4 9 3 10" xfId="44033"/>
    <cellStyle name="Normal 3 2 4 9 3 11" xfId="48065"/>
    <cellStyle name="Normal 3 2 4 9 3 12" xfId="52144"/>
    <cellStyle name="Normal 3 2 4 9 3 2" xfId="11777"/>
    <cellStyle name="Normal 3 2 4 9 3 3" xfId="15809"/>
    <cellStyle name="Normal 3 2 4 9 3 4" xfId="19841"/>
    <cellStyle name="Normal 3 2 4 9 3 5" xfId="23873"/>
    <cellStyle name="Normal 3 2 4 9 3 6" xfId="27905"/>
    <cellStyle name="Normal 3 2 4 9 3 7" xfId="31937"/>
    <cellStyle name="Normal 3 2 4 9 3 8" xfId="35969"/>
    <cellStyle name="Normal 3 2 4 9 3 9" xfId="40001"/>
    <cellStyle name="Normal 3 2 4 9 4" xfId="9761"/>
    <cellStyle name="Normal 3 2 4 9 5" xfId="13793"/>
    <cellStyle name="Normal 3 2 4 9 6" xfId="17825"/>
    <cellStyle name="Normal 3 2 4 9 7" xfId="21857"/>
    <cellStyle name="Normal 3 2 4 9 8" xfId="25889"/>
    <cellStyle name="Normal 3 2 4 9 9" xfId="29921"/>
    <cellStyle name="Normal 3 2 5" xfId="34"/>
    <cellStyle name="Normal 3 2 5 10" xfId="4160"/>
    <cellStyle name="Normal 3 2 5 10 10" xfId="34016"/>
    <cellStyle name="Normal 3 2 5 10 11" xfId="38048"/>
    <cellStyle name="Normal 3 2 5 10 12" xfId="42080"/>
    <cellStyle name="Normal 3 2 5 10 13" xfId="46112"/>
    <cellStyle name="Normal 3 2 5 10 14" xfId="50190"/>
    <cellStyle name="Normal 3 2 5 10 2" xfId="6741"/>
    <cellStyle name="Normal 3 2 5 10 2 10" xfId="38999"/>
    <cellStyle name="Normal 3 2 5 10 2 11" xfId="43031"/>
    <cellStyle name="Normal 3 2 5 10 2 12" xfId="47063"/>
    <cellStyle name="Normal 3 2 5 10 2 13" xfId="51142"/>
    <cellStyle name="Normal 3 2 5 10 2 2" xfId="8757"/>
    <cellStyle name="Normal 3 2 5 10 2 2 10" xfId="45047"/>
    <cellStyle name="Normal 3 2 5 10 2 2 11" xfId="49079"/>
    <cellStyle name="Normal 3 2 5 10 2 2 12" xfId="53158"/>
    <cellStyle name="Normal 3 2 5 10 2 2 2" xfId="12791"/>
    <cellStyle name="Normal 3 2 5 10 2 2 3" xfId="16823"/>
    <cellStyle name="Normal 3 2 5 10 2 2 4" xfId="20855"/>
    <cellStyle name="Normal 3 2 5 10 2 2 5" xfId="24887"/>
    <cellStyle name="Normal 3 2 5 10 2 2 6" xfId="28919"/>
    <cellStyle name="Normal 3 2 5 10 2 2 7" xfId="32951"/>
    <cellStyle name="Normal 3 2 5 10 2 2 8" xfId="36983"/>
    <cellStyle name="Normal 3 2 5 10 2 2 9" xfId="41015"/>
    <cellStyle name="Normal 3 2 5 10 2 3" xfId="10775"/>
    <cellStyle name="Normal 3 2 5 10 2 4" xfId="14807"/>
    <cellStyle name="Normal 3 2 5 10 2 5" xfId="18839"/>
    <cellStyle name="Normal 3 2 5 10 2 6" xfId="22871"/>
    <cellStyle name="Normal 3 2 5 10 2 7" xfId="26903"/>
    <cellStyle name="Normal 3 2 5 10 2 8" xfId="30935"/>
    <cellStyle name="Normal 3 2 5 10 2 9" xfId="34967"/>
    <cellStyle name="Normal 3 2 5 10 3" xfId="7806"/>
    <cellStyle name="Normal 3 2 5 10 3 10" xfId="44096"/>
    <cellStyle name="Normal 3 2 5 10 3 11" xfId="48128"/>
    <cellStyle name="Normal 3 2 5 10 3 12" xfId="52207"/>
    <cellStyle name="Normal 3 2 5 10 3 2" xfId="11840"/>
    <cellStyle name="Normal 3 2 5 10 3 3" xfId="15872"/>
    <cellStyle name="Normal 3 2 5 10 3 4" xfId="19904"/>
    <cellStyle name="Normal 3 2 5 10 3 5" xfId="23936"/>
    <cellStyle name="Normal 3 2 5 10 3 6" xfId="27968"/>
    <cellStyle name="Normal 3 2 5 10 3 7" xfId="32000"/>
    <cellStyle name="Normal 3 2 5 10 3 8" xfId="36032"/>
    <cellStyle name="Normal 3 2 5 10 3 9" xfId="40064"/>
    <cellStyle name="Normal 3 2 5 10 4" xfId="9824"/>
    <cellStyle name="Normal 3 2 5 10 5" xfId="13856"/>
    <cellStyle name="Normal 3 2 5 10 6" xfId="17888"/>
    <cellStyle name="Normal 3 2 5 10 7" xfId="21920"/>
    <cellStyle name="Normal 3 2 5 10 8" xfId="25952"/>
    <cellStyle name="Normal 3 2 5 10 9" xfId="29984"/>
    <cellStyle name="Normal 3 2 5 11" xfId="4230"/>
    <cellStyle name="Normal 3 2 5 11 10" xfId="34085"/>
    <cellStyle name="Normal 3 2 5 11 11" xfId="38117"/>
    <cellStyle name="Normal 3 2 5 11 12" xfId="42149"/>
    <cellStyle name="Normal 3 2 5 11 13" xfId="46181"/>
    <cellStyle name="Normal 3 2 5 11 14" xfId="50259"/>
    <cellStyle name="Normal 3 2 5 11 2" xfId="6810"/>
    <cellStyle name="Normal 3 2 5 11 2 10" xfId="39068"/>
    <cellStyle name="Normal 3 2 5 11 2 11" xfId="43100"/>
    <cellStyle name="Normal 3 2 5 11 2 12" xfId="47132"/>
    <cellStyle name="Normal 3 2 5 11 2 13" xfId="51211"/>
    <cellStyle name="Normal 3 2 5 11 2 2" xfId="8826"/>
    <cellStyle name="Normal 3 2 5 11 2 2 10" xfId="45116"/>
    <cellStyle name="Normal 3 2 5 11 2 2 11" xfId="49148"/>
    <cellStyle name="Normal 3 2 5 11 2 2 12" xfId="53227"/>
    <cellStyle name="Normal 3 2 5 11 2 2 2" xfId="12860"/>
    <cellStyle name="Normal 3 2 5 11 2 2 3" xfId="16892"/>
    <cellStyle name="Normal 3 2 5 11 2 2 4" xfId="20924"/>
    <cellStyle name="Normal 3 2 5 11 2 2 5" xfId="24956"/>
    <cellStyle name="Normal 3 2 5 11 2 2 6" xfId="28988"/>
    <cellStyle name="Normal 3 2 5 11 2 2 7" xfId="33020"/>
    <cellStyle name="Normal 3 2 5 11 2 2 8" xfId="37052"/>
    <cellStyle name="Normal 3 2 5 11 2 2 9" xfId="41084"/>
    <cellStyle name="Normal 3 2 5 11 2 3" xfId="10844"/>
    <cellStyle name="Normal 3 2 5 11 2 4" xfId="14876"/>
    <cellStyle name="Normal 3 2 5 11 2 5" xfId="18908"/>
    <cellStyle name="Normal 3 2 5 11 2 6" xfId="22940"/>
    <cellStyle name="Normal 3 2 5 11 2 7" xfId="26972"/>
    <cellStyle name="Normal 3 2 5 11 2 8" xfId="31004"/>
    <cellStyle name="Normal 3 2 5 11 2 9" xfId="35036"/>
    <cellStyle name="Normal 3 2 5 11 3" xfId="7875"/>
    <cellStyle name="Normal 3 2 5 11 3 10" xfId="44165"/>
    <cellStyle name="Normal 3 2 5 11 3 11" xfId="48197"/>
    <cellStyle name="Normal 3 2 5 11 3 12" xfId="52276"/>
    <cellStyle name="Normal 3 2 5 11 3 2" xfId="11909"/>
    <cellStyle name="Normal 3 2 5 11 3 3" xfId="15941"/>
    <cellStyle name="Normal 3 2 5 11 3 4" xfId="19973"/>
    <cellStyle name="Normal 3 2 5 11 3 5" xfId="24005"/>
    <cellStyle name="Normal 3 2 5 11 3 6" xfId="28037"/>
    <cellStyle name="Normal 3 2 5 11 3 7" xfId="32069"/>
    <cellStyle name="Normal 3 2 5 11 3 8" xfId="36101"/>
    <cellStyle name="Normal 3 2 5 11 3 9" xfId="40133"/>
    <cellStyle name="Normal 3 2 5 11 4" xfId="9893"/>
    <cellStyle name="Normal 3 2 5 11 5" xfId="13925"/>
    <cellStyle name="Normal 3 2 5 11 6" xfId="17957"/>
    <cellStyle name="Normal 3 2 5 11 7" xfId="21989"/>
    <cellStyle name="Normal 3 2 5 11 8" xfId="26021"/>
    <cellStyle name="Normal 3 2 5 11 9" xfId="30053"/>
    <cellStyle name="Normal 3 2 5 12" xfId="4379"/>
    <cellStyle name="Normal 3 2 5 12 10" xfId="34223"/>
    <cellStyle name="Normal 3 2 5 12 11" xfId="38255"/>
    <cellStyle name="Normal 3 2 5 12 12" xfId="42287"/>
    <cellStyle name="Normal 3 2 5 12 13" xfId="46319"/>
    <cellStyle name="Normal 3 2 5 12 14" xfId="50398"/>
    <cellStyle name="Normal 3 2 5 12 2" xfId="6948"/>
    <cellStyle name="Normal 3 2 5 12 2 10" xfId="39206"/>
    <cellStyle name="Normal 3 2 5 12 2 11" xfId="43238"/>
    <cellStyle name="Normal 3 2 5 12 2 12" xfId="47270"/>
    <cellStyle name="Normal 3 2 5 12 2 13" xfId="51349"/>
    <cellStyle name="Normal 3 2 5 12 2 2" xfId="8964"/>
    <cellStyle name="Normal 3 2 5 12 2 2 10" xfId="45254"/>
    <cellStyle name="Normal 3 2 5 12 2 2 11" xfId="49286"/>
    <cellStyle name="Normal 3 2 5 12 2 2 12" xfId="53365"/>
    <cellStyle name="Normal 3 2 5 12 2 2 2" xfId="12998"/>
    <cellStyle name="Normal 3 2 5 12 2 2 3" xfId="17030"/>
    <cellStyle name="Normal 3 2 5 12 2 2 4" xfId="21062"/>
    <cellStyle name="Normal 3 2 5 12 2 2 5" xfId="25094"/>
    <cellStyle name="Normal 3 2 5 12 2 2 6" xfId="29126"/>
    <cellStyle name="Normal 3 2 5 12 2 2 7" xfId="33158"/>
    <cellStyle name="Normal 3 2 5 12 2 2 8" xfId="37190"/>
    <cellStyle name="Normal 3 2 5 12 2 2 9" xfId="41222"/>
    <cellStyle name="Normal 3 2 5 12 2 3" xfId="10982"/>
    <cellStyle name="Normal 3 2 5 12 2 4" xfId="15014"/>
    <cellStyle name="Normal 3 2 5 12 2 5" xfId="19046"/>
    <cellStyle name="Normal 3 2 5 12 2 6" xfId="23078"/>
    <cellStyle name="Normal 3 2 5 12 2 7" xfId="27110"/>
    <cellStyle name="Normal 3 2 5 12 2 8" xfId="31142"/>
    <cellStyle name="Normal 3 2 5 12 2 9" xfId="35174"/>
    <cellStyle name="Normal 3 2 5 12 3" xfId="8013"/>
    <cellStyle name="Normal 3 2 5 12 3 10" xfId="44303"/>
    <cellStyle name="Normal 3 2 5 12 3 11" xfId="48335"/>
    <cellStyle name="Normal 3 2 5 12 3 12" xfId="52414"/>
    <cellStyle name="Normal 3 2 5 12 3 2" xfId="12047"/>
    <cellStyle name="Normal 3 2 5 12 3 3" xfId="16079"/>
    <cellStyle name="Normal 3 2 5 12 3 4" xfId="20111"/>
    <cellStyle name="Normal 3 2 5 12 3 5" xfId="24143"/>
    <cellStyle name="Normal 3 2 5 12 3 6" xfId="28175"/>
    <cellStyle name="Normal 3 2 5 12 3 7" xfId="32207"/>
    <cellStyle name="Normal 3 2 5 12 3 8" xfId="36239"/>
    <cellStyle name="Normal 3 2 5 12 3 9" xfId="40271"/>
    <cellStyle name="Normal 3 2 5 12 4" xfId="10031"/>
    <cellStyle name="Normal 3 2 5 12 5" xfId="14063"/>
    <cellStyle name="Normal 3 2 5 12 6" xfId="18095"/>
    <cellStyle name="Normal 3 2 5 12 7" xfId="22127"/>
    <cellStyle name="Normal 3 2 5 12 8" xfId="26159"/>
    <cellStyle name="Normal 3 2 5 12 9" xfId="30191"/>
    <cellStyle name="Normal 3 2 5 13" xfId="4517"/>
    <cellStyle name="Normal 3 2 5 13 10" xfId="38393"/>
    <cellStyle name="Normal 3 2 5 13 11" xfId="42425"/>
    <cellStyle name="Normal 3 2 5 13 12" xfId="46457"/>
    <cellStyle name="Normal 3 2 5 13 13" xfId="50536"/>
    <cellStyle name="Normal 3 2 5 13 2" xfId="8151"/>
    <cellStyle name="Normal 3 2 5 13 2 10" xfId="44441"/>
    <cellStyle name="Normal 3 2 5 13 2 11" xfId="48473"/>
    <cellStyle name="Normal 3 2 5 13 2 12" xfId="52552"/>
    <cellStyle name="Normal 3 2 5 13 2 2" xfId="12185"/>
    <cellStyle name="Normal 3 2 5 13 2 3" xfId="16217"/>
    <cellStyle name="Normal 3 2 5 13 2 4" xfId="20249"/>
    <cellStyle name="Normal 3 2 5 13 2 5" xfId="24281"/>
    <cellStyle name="Normal 3 2 5 13 2 6" xfId="28313"/>
    <cellStyle name="Normal 3 2 5 13 2 7" xfId="32345"/>
    <cellStyle name="Normal 3 2 5 13 2 8" xfId="36377"/>
    <cellStyle name="Normal 3 2 5 13 2 9" xfId="40409"/>
    <cellStyle name="Normal 3 2 5 13 3" xfId="10169"/>
    <cellStyle name="Normal 3 2 5 13 4" xfId="14201"/>
    <cellStyle name="Normal 3 2 5 13 5" xfId="18233"/>
    <cellStyle name="Normal 3 2 5 13 6" xfId="22265"/>
    <cellStyle name="Normal 3 2 5 13 7" xfId="26297"/>
    <cellStyle name="Normal 3 2 5 13 8" xfId="30329"/>
    <cellStyle name="Normal 3 2 5 13 9" xfId="34361"/>
    <cellStyle name="Normal 3 2 5 14" xfId="261"/>
    <cellStyle name="Normal 3 2 5 14 10" xfId="37466"/>
    <cellStyle name="Normal 3 2 5 14 11" xfId="41498"/>
    <cellStyle name="Normal 3 2 5 14 12" xfId="45530"/>
    <cellStyle name="Normal 3 2 5 14 13" xfId="49608"/>
    <cellStyle name="Normal 3 2 5 14 2" xfId="7224"/>
    <cellStyle name="Normal 3 2 5 14 2 10" xfId="43514"/>
    <cellStyle name="Normal 3 2 5 14 2 11" xfId="47546"/>
    <cellStyle name="Normal 3 2 5 14 2 12" xfId="51625"/>
    <cellStyle name="Normal 3 2 5 14 2 2" xfId="11258"/>
    <cellStyle name="Normal 3 2 5 14 2 3" xfId="15290"/>
    <cellStyle name="Normal 3 2 5 14 2 4" xfId="19322"/>
    <cellStyle name="Normal 3 2 5 14 2 5" xfId="23354"/>
    <cellStyle name="Normal 3 2 5 14 2 6" xfId="27386"/>
    <cellStyle name="Normal 3 2 5 14 2 7" xfId="31418"/>
    <cellStyle name="Normal 3 2 5 14 2 8" xfId="35450"/>
    <cellStyle name="Normal 3 2 5 14 2 9" xfId="39482"/>
    <cellStyle name="Normal 3 2 5 14 3" xfId="9242"/>
    <cellStyle name="Normal 3 2 5 14 4" xfId="13274"/>
    <cellStyle name="Normal 3 2 5 14 5" xfId="17306"/>
    <cellStyle name="Normal 3 2 5 14 6" xfId="21338"/>
    <cellStyle name="Normal 3 2 5 14 7" xfId="25370"/>
    <cellStyle name="Normal 3 2 5 14 8" xfId="29402"/>
    <cellStyle name="Normal 3 2 5 14 9" xfId="33434"/>
    <cellStyle name="Normal 3 2 5 15" xfId="7086"/>
    <cellStyle name="Normal 3 2 5 15 10" xfId="43376"/>
    <cellStyle name="Normal 3 2 5 15 11" xfId="47408"/>
    <cellStyle name="Normal 3 2 5 15 12" xfId="51487"/>
    <cellStyle name="Normal 3 2 5 15 2" xfId="11120"/>
    <cellStyle name="Normal 3 2 5 15 3" xfId="15152"/>
    <cellStyle name="Normal 3 2 5 15 4" xfId="19184"/>
    <cellStyle name="Normal 3 2 5 15 5" xfId="23216"/>
    <cellStyle name="Normal 3 2 5 15 6" xfId="27248"/>
    <cellStyle name="Normal 3 2 5 15 7" xfId="31280"/>
    <cellStyle name="Normal 3 2 5 15 8" xfId="35312"/>
    <cellStyle name="Normal 3 2 5 15 9" xfId="39344"/>
    <cellStyle name="Normal 3 2 5 16" xfId="109"/>
    <cellStyle name="Normal 3 2 5 17" xfId="9104"/>
    <cellStyle name="Normal 3 2 5 18" xfId="13136"/>
    <cellStyle name="Normal 3 2 5 19" xfId="17168"/>
    <cellStyle name="Normal 3 2 5 2" xfId="88"/>
    <cellStyle name="Normal 3 2 5 2 10" xfId="4568"/>
    <cellStyle name="Normal 3 2 5 2 10 10" xfId="38444"/>
    <cellStyle name="Normal 3 2 5 2 10 11" xfId="42476"/>
    <cellStyle name="Normal 3 2 5 2 10 12" xfId="46508"/>
    <cellStyle name="Normal 3 2 5 2 10 13" xfId="50587"/>
    <cellStyle name="Normal 3 2 5 2 10 2" xfId="8202"/>
    <cellStyle name="Normal 3 2 5 2 10 2 10" xfId="44492"/>
    <cellStyle name="Normal 3 2 5 2 10 2 11" xfId="48524"/>
    <cellStyle name="Normal 3 2 5 2 10 2 12" xfId="52603"/>
    <cellStyle name="Normal 3 2 5 2 10 2 2" xfId="12236"/>
    <cellStyle name="Normal 3 2 5 2 10 2 3" xfId="16268"/>
    <cellStyle name="Normal 3 2 5 2 10 2 4" xfId="20300"/>
    <cellStyle name="Normal 3 2 5 2 10 2 5" xfId="24332"/>
    <cellStyle name="Normal 3 2 5 2 10 2 6" xfId="28364"/>
    <cellStyle name="Normal 3 2 5 2 10 2 7" xfId="32396"/>
    <cellStyle name="Normal 3 2 5 2 10 2 8" xfId="36428"/>
    <cellStyle name="Normal 3 2 5 2 10 2 9" xfId="40460"/>
    <cellStyle name="Normal 3 2 5 2 10 3" xfId="10220"/>
    <cellStyle name="Normal 3 2 5 2 10 4" xfId="14252"/>
    <cellStyle name="Normal 3 2 5 2 10 5" xfId="18284"/>
    <cellStyle name="Normal 3 2 5 2 10 6" xfId="22316"/>
    <cellStyle name="Normal 3 2 5 2 10 7" xfId="26348"/>
    <cellStyle name="Normal 3 2 5 2 10 8" xfId="30380"/>
    <cellStyle name="Normal 3 2 5 2 10 9" xfId="34412"/>
    <cellStyle name="Normal 3 2 5 2 11" xfId="296"/>
    <cellStyle name="Normal 3 2 5 2 11 10" xfId="37501"/>
    <cellStyle name="Normal 3 2 5 2 11 11" xfId="41533"/>
    <cellStyle name="Normal 3 2 5 2 11 12" xfId="45565"/>
    <cellStyle name="Normal 3 2 5 2 11 13" xfId="49643"/>
    <cellStyle name="Normal 3 2 5 2 11 2" xfId="7259"/>
    <cellStyle name="Normal 3 2 5 2 11 2 10" xfId="43549"/>
    <cellStyle name="Normal 3 2 5 2 11 2 11" xfId="47581"/>
    <cellStyle name="Normal 3 2 5 2 11 2 12" xfId="51660"/>
    <cellStyle name="Normal 3 2 5 2 11 2 2" xfId="11293"/>
    <cellStyle name="Normal 3 2 5 2 11 2 3" xfId="15325"/>
    <cellStyle name="Normal 3 2 5 2 11 2 4" xfId="19357"/>
    <cellStyle name="Normal 3 2 5 2 11 2 5" xfId="23389"/>
    <cellStyle name="Normal 3 2 5 2 11 2 6" xfId="27421"/>
    <cellStyle name="Normal 3 2 5 2 11 2 7" xfId="31453"/>
    <cellStyle name="Normal 3 2 5 2 11 2 8" xfId="35485"/>
    <cellStyle name="Normal 3 2 5 2 11 2 9" xfId="39517"/>
    <cellStyle name="Normal 3 2 5 2 11 3" xfId="9277"/>
    <cellStyle name="Normal 3 2 5 2 11 4" xfId="13309"/>
    <cellStyle name="Normal 3 2 5 2 11 5" xfId="17341"/>
    <cellStyle name="Normal 3 2 5 2 11 6" xfId="21373"/>
    <cellStyle name="Normal 3 2 5 2 11 7" xfId="25405"/>
    <cellStyle name="Normal 3 2 5 2 11 8" xfId="29437"/>
    <cellStyle name="Normal 3 2 5 2 11 9" xfId="33469"/>
    <cellStyle name="Normal 3 2 5 2 12" xfId="7137"/>
    <cellStyle name="Normal 3 2 5 2 12 10" xfId="43427"/>
    <cellStyle name="Normal 3 2 5 2 12 11" xfId="47459"/>
    <cellStyle name="Normal 3 2 5 2 12 12" xfId="51538"/>
    <cellStyle name="Normal 3 2 5 2 12 2" xfId="11171"/>
    <cellStyle name="Normal 3 2 5 2 12 3" xfId="15203"/>
    <cellStyle name="Normal 3 2 5 2 12 4" xfId="19235"/>
    <cellStyle name="Normal 3 2 5 2 12 5" xfId="23267"/>
    <cellStyle name="Normal 3 2 5 2 12 6" xfId="27299"/>
    <cellStyle name="Normal 3 2 5 2 12 7" xfId="31331"/>
    <cellStyle name="Normal 3 2 5 2 12 8" xfId="35363"/>
    <cellStyle name="Normal 3 2 5 2 12 9" xfId="39395"/>
    <cellStyle name="Normal 3 2 5 2 13" xfId="163"/>
    <cellStyle name="Normal 3 2 5 2 14" xfId="9155"/>
    <cellStyle name="Normal 3 2 5 2 15" xfId="13187"/>
    <cellStyle name="Normal 3 2 5 2 16" xfId="17219"/>
    <cellStyle name="Normal 3 2 5 2 17" xfId="21251"/>
    <cellStyle name="Normal 3 2 5 2 18" xfId="25283"/>
    <cellStyle name="Normal 3 2 5 2 19" xfId="29315"/>
    <cellStyle name="Normal 3 2 5 2 2" xfId="242"/>
    <cellStyle name="Normal 3 2 5 2 2 10" xfId="21320"/>
    <cellStyle name="Normal 3 2 5 2 2 11" xfId="25352"/>
    <cellStyle name="Normal 3 2 5 2 2 12" xfId="29384"/>
    <cellStyle name="Normal 3 2 5 2 2 13" xfId="33416"/>
    <cellStyle name="Normal 3 2 5 2 2 14" xfId="37448"/>
    <cellStyle name="Normal 3 2 5 2 2 15" xfId="41480"/>
    <cellStyle name="Normal 3 2 5 2 2 16" xfId="45512"/>
    <cellStyle name="Normal 3 2 5 2 2 17" xfId="49590"/>
    <cellStyle name="Normal 3 2 5 2 2 2" xfId="4360"/>
    <cellStyle name="Normal 3 2 5 2 2 2 10" xfId="34205"/>
    <cellStyle name="Normal 3 2 5 2 2 2 11" xfId="38237"/>
    <cellStyle name="Normal 3 2 5 2 2 2 12" xfId="42269"/>
    <cellStyle name="Normal 3 2 5 2 2 2 13" xfId="46301"/>
    <cellStyle name="Normal 3 2 5 2 2 2 14" xfId="50380"/>
    <cellStyle name="Normal 3 2 5 2 2 2 2" xfId="6930"/>
    <cellStyle name="Normal 3 2 5 2 2 2 2 10" xfId="39188"/>
    <cellStyle name="Normal 3 2 5 2 2 2 2 11" xfId="43220"/>
    <cellStyle name="Normal 3 2 5 2 2 2 2 12" xfId="47252"/>
    <cellStyle name="Normal 3 2 5 2 2 2 2 13" xfId="51331"/>
    <cellStyle name="Normal 3 2 5 2 2 2 2 2" xfId="8946"/>
    <cellStyle name="Normal 3 2 5 2 2 2 2 2 10" xfId="45236"/>
    <cellStyle name="Normal 3 2 5 2 2 2 2 2 11" xfId="49268"/>
    <cellStyle name="Normal 3 2 5 2 2 2 2 2 12" xfId="53347"/>
    <cellStyle name="Normal 3 2 5 2 2 2 2 2 2" xfId="12980"/>
    <cellStyle name="Normal 3 2 5 2 2 2 2 2 3" xfId="17012"/>
    <cellStyle name="Normal 3 2 5 2 2 2 2 2 4" xfId="21044"/>
    <cellStyle name="Normal 3 2 5 2 2 2 2 2 5" xfId="25076"/>
    <cellStyle name="Normal 3 2 5 2 2 2 2 2 6" xfId="29108"/>
    <cellStyle name="Normal 3 2 5 2 2 2 2 2 7" xfId="33140"/>
    <cellStyle name="Normal 3 2 5 2 2 2 2 2 8" xfId="37172"/>
    <cellStyle name="Normal 3 2 5 2 2 2 2 2 9" xfId="41204"/>
    <cellStyle name="Normal 3 2 5 2 2 2 2 3" xfId="10964"/>
    <cellStyle name="Normal 3 2 5 2 2 2 2 4" xfId="14996"/>
    <cellStyle name="Normal 3 2 5 2 2 2 2 5" xfId="19028"/>
    <cellStyle name="Normal 3 2 5 2 2 2 2 6" xfId="23060"/>
    <cellStyle name="Normal 3 2 5 2 2 2 2 7" xfId="27092"/>
    <cellStyle name="Normal 3 2 5 2 2 2 2 8" xfId="31124"/>
    <cellStyle name="Normal 3 2 5 2 2 2 2 9" xfId="35156"/>
    <cellStyle name="Normal 3 2 5 2 2 2 3" xfId="7995"/>
    <cellStyle name="Normal 3 2 5 2 2 2 3 10" xfId="44285"/>
    <cellStyle name="Normal 3 2 5 2 2 2 3 11" xfId="48317"/>
    <cellStyle name="Normal 3 2 5 2 2 2 3 12" xfId="52396"/>
    <cellStyle name="Normal 3 2 5 2 2 2 3 2" xfId="12029"/>
    <cellStyle name="Normal 3 2 5 2 2 2 3 3" xfId="16061"/>
    <cellStyle name="Normal 3 2 5 2 2 2 3 4" xfId="20093"/>
    <cellStyle name="Normal 3 2 5 2 2 2 3 5" xfId="24125"/>
    <cellStyle name="Normal 3 2 5 2 2 2 3 6" xfId="28157"/>
    <cellStyle name="Normal 3 2 5 2 2 2 3 7" xfId="32189"/>
    <cellStyle name="Normal 3 2 5 2 2 2 3 8" xfId="36221"/>
    <cellStyle name="Normal 3 2 5 2 2 2 3 9" xfId="40253"/>
    <cellStyle name="Normal 3 2 5 2 2 2 4" xfId="10013"/>
    <cellStyle name="Normal 3 2 5 2 2 2 5" xfId="14045"/>
    <cellStyle name="Normal 3 2 5 2 2 2 6" xfId="18077"/>
    <cellStyle name="Normal 3 2 5 2 2 2 7" xfId="22109"/>
    <cellStyle name="Normal 3 2 5 2 2 2 8" xfId="26141"/>
    <cellStyle name="Normal 3 2 5 2 2 2 9" xfId="30173"/>
    <cellStyle name="Normal 3 2 5 2 2 3" xfId="4499"/>
    <cellStyle name="Normal 3 2 5 2 2 3 10" xfId="34343"/>
    <cellStyle name="Normal 3 2 5 2 2 3 11" xfId="38375"/>
    <cellStyle name="Normal 3 2 5 2 2 3 12" xfId="42407"/>
    <cellStyle name="Normal 3 2 5 2 2 3 13" xfId="46439"/>
    <cellStyle name="Normal 3 2 5 2 2 3 14" xfId="50518"/>
    <cellStyle name="Normal 3 2 5 2 2 3 2" xfId="7068"/>
    <cellStyle name="Normal 3 2 5 2 2 3 2 10" xfId="39326"/>
    <cellStyle name="Normal 3 2 5 2 2 3 2 11" xfId="43358"/>
    <cellStyle name="Normal 3 2 5 2 2 3 2 12" xfId="47390"/>
    <cellStyle name="Normal 3 2 5 2 2 3 2 13" xfId="51469"/>
    <cellStyle name="Normal 3 2 5 2 2 3 2 2" xfId="9084"/>
    <cellStyle name="Normal 3 2 5 2 2 3 2 2 10" xfId="45374"/>
    <cellStyle name="Normal 3 2 5 2 2 3 2 2 11" xfId="49406"/>
    <cellStyle name="Normal 3 2 5 2 2 3 2 2 12" xfId="53485"/>
    <cellStyle name="Normal 3 2 5 2 2 3 2 2 2" xfId="13118"/>
    <cellStyle name="Normal 3 2 5 2 2 3 2 2 3" xfId="17150"/>
    <cellStyle name="Normal 3 2 5 2 2 3 2 2 4" xfId="21182"/>
    <cellStyle name="Normal 3 2 5 2 2 3 2 2 5" xfId="25214"/>
    <cellStyle name="Normal 3 2 5 2 2 3 2 2 6" xfId="29246"/>
    <cellStyle name="Normal 3 2 5 2 2 3 2 2 7" xfId="33278"/>
    <cellStyle name="Normal 3 2 5 2 2 3 2 2 8" xfId="37310"/>
    <cellStyle name="Normal 3 2 5 2 2 3 2 2 9" xfId="41342"/>
    <cellStyle name="Normal 3 2 5 2 2 3 2 3" xfId="11102"/>
    <cellStyle name="Normal 3 2 5 2 2 3 2 4" xfId="15134"/>
    <cellStyle name="Normal 3 2 5 2 2 3 2 5" xfId="19166"/>
    <cellStyle name="Normal 3 2 5 2 2 3 2 6" xfId="23198"/>
    <cellStyle name="Normal 3 2 5 2 2 3 2 7" xfId="27230"/>
    <cellStyle name="Normal 3 2 5 2 2 3 2 8" xfId="31262"/>
    <cellStyle name="Normal 3 2 5 2 2 3 2 9" xfId="35294"/>
    <cellStyle name="Normal 3 2 5 2 2 3 3" xfId="8133"/>
    <cellStyle name="Normal 3 2 5 2 2 3 3 10" xfId="44423"/>
    <cellStyle name="Normal 3 2 5 2 2 3 3 11" xfId="48455"/>
    <cellStyle name="Normal 3 2 5 2 2 3 3 12" xfId="52534"/>
    <cellStyle name="Normal 3 2 5 2 2 3 3 2" xfId="12167"/>
    <cellStyle name="Normal 3 2 5 2 2 3 3 3" xfId="16199"/>
    <cellStyle name="Normal 3 2 5 2 2 3 3 4" xfId="20231"/>
    <cellStyle name="Normal 3 2 5 2 2 3 3 5" xfId="24263"/>
    <cellStyle name="Normal 3 2 5 2 2 3 3 6" xfId="28295"/>
    <cellStyle name="Normal 3 2 5 2 2 3 3 7" xfId="32327"/>
    <cellStyle name="Normal 3 2 5 2 2 3 3 8" xfId="36359"/>
    <cellStyle name="Normal 3 2 5 2 2 3 3 9" xfId="40391"/>
    <cellStyle name="Normal 3 2 5 2 2 3 4" xfId="10151"/>
    <cellStyle name="Normal 3 2 5 2 2 3 5" xfId="14183"/>
    <cellStyle name="Normal 3 2 5 2 2 3 6" xfId="18215"/>
    <cellStyle name="Normal 3 2 5 2 2 3 7" xfId="22247"/>
    <cellStyle name="Normal 3 2 5 2 2 3 8" xfId="26279"/>
    <cellStyle name="Normal 3 2 5 2 2 3 9" xfId="30311"/>
    <cellStyle name="Normal 3 2 5 2 2 4" xfId="4639"/>
    <cellStyle name="Normal 3 2 5 2 2 4 10" xfId="38513"/>
    <cellStyle name="Normal 3 2 5 2 2 4 11" xfId="42545"/>
    <cellStyle name="Normal 3 2 5 2 2 4 12" xfId="46577"/>
    <cellStyle name="Normal 3 2 5 2 2 4 13" xfId="50656"/>
    <cellStyle name="Normal 3 2 5 2 2 4 2" xfId="8271"/>
    <cellStyle name="Normal 3 2 5 2 2 4 2 10" xfId="44561"/>
    <cellStyle name="Normal 3 2 5 2 2 4 2 11" xfId="48593"/>
    <cellStyle name="Normal 3 2 5 2 2 4 2 12" xfId="52672"/>
    <cellStyle name="Normal 3 2 5 2 2 4 2 2" xfId="12305"/>
    <cellStyle name="Normal 3 2 5 2 2 4 2 3" xfId="16337"/>
    <cellStyle name="Normal 3 2 5 2 2 4 2 4" xfId="20369"/>
    <cellStyle name="Normal 3 2 5 2 2 4 2 5" xfId="24401"/>
    <cellStyle name="Normal 3 2 5 2 2 4 2 6" xfId="28433"/>
    <cellStyle name="Normal 3 2 5 2 2 4 2 7" xfId="32465"/>
    <cellStyle name="Normal 3 2 5 2 2 4 2 8" xfId="36497"/>
    <cellStyle name="Normal 3 2 5 2 2 4 2 9" xfId="40529"/>
    <cellStyle name="Normal 3 2 5 2 2 4 3" xfId="10289"/>
    <cellStyle name="Normal 3 2 5 2 2 4 4" xfId="14321"/>
    <cellStyle name="Normal 3 2 5 2 2 4 5" xfId="18353"/>
    <cellStyle name="Normal 3 2 5 2 2 4 6" xfId="22385"/>
    <cellStyle name="Normal 3 2 5 2 2 4 7" xfId="26417"/>
    <cellStyle name="Normal 3 2 5 2 2 4 8" xfId="30449"/>
    <cellStyle name="Normal 3 2 5 2 2 4 9" xfId="34481"/>
    <cellStyle name="Normal 3 2 5 2 2 5" xfId="366"/>
    <cellStyle name="Normal 3 2 5 2 2 5 10" xfId="37571"/>
    <cellStyle name="Normal 3 2 5 2 2 5 11" xfId="41603"/>
    <cellStyle name="Normal 3 2 5 2 2 5 12" xfId="45635"/>
    <cellStyle name="Normal 3 2 5 2 2 5 13" xfId="49713"/>
    <cellStyle name="Normal 3 2 5 2 2 5 2" xfId="7329"/>
    <cellStyle name="Normal 3 2 5 2 2 5 2 10" xfId="43619"/>
    <cellStyle name="Normal 3 2 5 2 2 5 2 11" xfId="47651"/>
    <cellStyle name="Normal 3 2 5 2 2 5 2 12" xfId="51730"/>
    <cellStyle name="Normal 3 2 5 2 2 5 2 2" xfId="11363"/>
    <cellStyle name="Normal 3 2 5 2 2 5 2 3" xfId="15395"/>
    <cellStyle name="Normal 3 2 5 2 2 5 2 4" xfId="19427"/>
    <cellStyle name="Normal 3 2 5 2 2 5 2 5" xfId="23459"/>
    <cellStyle name="Normal 3 2 5 2 2 5 2 6" xfId="27491"/>
    <cellStyle name="Normal 3 2 5 2 2 5 2 7" xfId="31523"/>
    <cellStyle name="Normal 3 2 5 2 2 5 2 8" xfId="35555"/>
    <cellStyle name="Normal 3 2 5 2 2 5 2 9" xfId="39587"/>
    <cellStyle name="Normal 3 2 5 2 2 5 3" xfId="9347"/>
    <cellStyle name="Normal 3 2 5 2 2 5 4" xfId="13379"/>
    <cellStyle name="Normal 3 2 5 2 2 5 5" xfId="17411"/>
    <cellStyle name="Normal 3 2 5 2 2 5 6" xfId="21443"/>
    <cellStyle name="Normal 3 2 5 2 2 5 7" xfId="25475"/>
    <cellStyle name="Normal 3 2 5 2 2 5 8" xfId="29507"/>
    <cellStyle name="Normal 3 2 5 2 2 5 9" xfId="33539"/>
    <cellStyle name="Normal 3 2 5 2 2 6" xfId="7206"/>
    <cellStyle name="Normal 3 2 5 2 2 6 10" xfId="43496"/>
    <cellStyle name="Normal 3 2 5 2 2 6 11" xfId="47528"/>
    <cellStyle name="Normal 3 2 5 2 2 6 12" xfId="51607"/>
    <cellStyle name="Normal 3 2 5 2 2 6 2" xfId="11240"/>
    <cellStyle name="Normal 3 2 5 2 2 6 3" xfId="15272"/>
    <cellStyle name="Normal 3 2 5 2 2 6 4" xfId="19304"/>
    <cellStyle name="Normal 3 2 5 2 2 6 5" xfId="23336"/>
    <cellStyle name="Normal 3 2 5 2 2 6 6" xfId="27368"/>
    <cellStyle name="Normal 3 2 5 2 2 6 7" xfId="31400"/>
    <cellStyle name="Normal 3 2 5 2 2 6 8" xfId="35432"/>
    <cellStyle name="Normal 3 2 5 2 2 6 9" xfId="39464"/>
    <cellStyle name="Normal 3 2 5 2 2 7" xfId="9224"/>
    <cellStyle name="Normal 3 2 5 2 2 8" xfId="13256"/>
    <cellStyle name="Normal 3 2 5 2 2 9" xfId="17288"/>
    <cellStyle name="Normal 3 2 5 2 20" xfId="33347"/>
    <cellStyle name="Normal 3 2 5 2 21" xfId="37379"/>
    <cellStyle name="Normal 3 2 5 2 22" xfId="41411"/>
    <cellStyle name="Normal 3 2 5 2 23" xfId="45443"/>
    <cellStyle name="Normal 3 2 5 2 24" xfId="49521"/>
    <cellStyle name="Normal 3 2 5 2 3" xfId="1676"/>
    <cellStyle name="Normal 3 2 5 2 3 10" xfId="33637"/>
    <cellStyle name="Normal 3 2 5 2 3 11" xfId="37669"/>
    <cellStyle name="Normal 3 2 5 2 3 12" xfId="41701"/>
    <cellStyle name="Normal 3 2 5 2 3 13" xfId="45733"/>
    <cellStyle name="Normal 3 2 5 2 3 14" xfId="49811"/>
    <cellStyle name="Normal 3 2 5 2 3 2" xfId="5352"/>
    <cellStyle name="Normal 3 2 5 2 3 2 10" xfId="38620"/>
    <cellStyle name="Normal 3 2 5 2 3 2 11" xfId="42652"/>
    <cellStyle name="Normal 3 2 5 2 3 2 12" xfId="46684"/>
    <cellStyle name="Normal 3 2 5 2 3 2 13" xfId="50763"/>
    <cellStyle name="Normal 3 2 5 2 3 2 2" xfId="8378"/>
    <cellStyle name="Normal 3 2 5 2 3 2 2 10" xfId="44668"/>
    <cellStyle name="Normal 3 2 5 2 3 2 2 11" xfId="48700"/>
    <cellStyle name="Normal 3 2 5 2 3 2 2 12" xfId="52779"/>
    <cellStyle name="Normal 3 2 5 2 3 2 2 2" xfId="12412"/>
    <cellStyle name="Normal 3 2 5 2 3 2 2 3" xfId="16444"/>
    <cellStyle name="Normal 3 2 5 2 3 2 2 4" xfId="20476"/>
    <cellStyle name="Normal 3 2 5 2 3 2 2 5" xfId="24508"/>
    <cellStyle name="Normal 3 2 5 2 3 2 2 6" xfId="28540"/>
    <cellStyle name="Normal 3 2 5 2 3 2 2 7" xfId="32572"/>
    <cellStyle name="Normal 3 2 5 2 3 2 2 8" xfId="36604"/>
    <cellStyle name="Normal 3 2 5 2 3 2 2 9" xfId="40636"/>
    <cellStyle name="Normal 3 2 5 2 3 2 3" xfId="10396"/>
    <cellStyle name="Normal 3 2 5 2 3 2 4" xfId="14428"/>
    <cellStyle name="Normal 3 2 5 2 3 2 5" xfId="18460"/>
    <cellStyle name="Normal 3 2 5 2 3 2 6" xfId="22492"/>
    <cellStyle name="Normal 3 2 5 2 3 2 7" xfId="26524"/>
    <cellStyle name="Normal 3 2 5 2 3 2 8" xfId="30556"/>
    <cellStyle name="Normal 3 2 5 2 3 2 9" xfId="34588"/>
    <cellStyle name="Normal 3 2 5 2 3 3" xfId="7427"/>
    <cellStyle name="Normal 3 2 5 2 3 3 10" xfId="43717"/>
    <cellStyle name="Normal 3 2 5 2 3 3 11" xfId="47749"/>
    <cellStyle name="Normal 3 2 5 2 3 3 12" xfId="51828"/>
    <cellStyle name="Normal 3 2 5 2 3 3 2" xfId="11461"/>
    <cellStyle name="Normal 3 2 5 2 3 3 3" xfId="15493"/>
    <cellStyle name="Normal 3 2 5 2 3 3 4" xfId="19525"/>
    <cellStyle name="Normal 3 2 5 2 3 3 5" xfId="23557"/>
    <cellStyle name="Normal 3 2 5 2 3 3 6" xfId="27589"/>
    <cellStyle name="Normal 3 2 5 2 3 3 7" xfId="31621"/>
    <cellStyle name="Normal 3 2 5 2 3 3 8" xfId="35653"/>
    <cellStyle name="Normal 3 2 5 2 3 3 9" xfId="39685"/>
    <cellStyle name="Normal 3 2 5 2 3 4" xfId="9445"/>
    <cellStyle name="Normal 3 2 5 2 3 5" xfId="13477"/>
    <cellStyle name="Normal 3 2 5 2 3 6" xfId="17509"/>
    <cellStyle name="Normal 3 2 5 2 3 7" xfId="21541"/>
    <cellStyle name="Normal 3 2 5 2 3 8" xfId="25573"/>
    <cellStyle name="Normal 3 2 5 2 3 9" xfId="29605"/>
    <cellStyle name="Normal 3 2 5 2 4" xfId="1750"/>
    <cellStyle name="Normal 3 2 5 2 4 10" xfId="33706"/>
    <cellStyle name="Normal 3 2 5 2 4 11" xfId="37738"/>
    <cellStyle name="Normal 3 2 5 2 4 12" xfId="41770"/>
    <cellStyle name="Normal 3 2 5 2 4 13" xfId="45802"/>
    <cellStyle name="Normal 3 2 5 2 4 14" xfId="49880"/>
    <cellStyle name="Normal 3 2 5 2 4 2" xfId="5421"/>
    <cellStyle name="Normal 3 2 5 2 4 2 10" xfId="38689"/>
    <cellStyle name="Normal 3 2 5 2 4 2 11" xfId="42721"/>
    <cellStyle name="Normal 3 2 5 2 4 2 12" xfId="46753"/>
    <cellStyle name="Normal 3 2 5 2 4 2 13" xfId="50832"/>
    <cellStyle name="Normal 3 2 5 2 4 2 2" xfId="8447"/>
    <cellStyle name="Normal 3 2 5 2 4 2 2 10" xfId="44737"/>
    <cellStyle name="Normal 3 2 5 2 4 2 2 11" xfId="48769"/>
    <cellStyle name="Normal 3 2 5 2 4 2 2 12" xfId="52848"/>
    <cellStyle name="Normal 3 2 5 2 4 2 2 2" xfId="12481"/>
    <cellStyle name="Normal 3 2 5 2 4 2 2 3" xfId="16513"/>
    <cellStyle name="Normal 3 2 5 2 4 2 2 4" xfId="20545"/>
    <cellStyle name="Normal 3 2 5 2 4 2 2 5" xfId="24577"/>
    <cellStyle name="Normal 3 2 5 2 4 2 2 6" xfId="28609"/>
    <cellStyle name="Normal 3 2 5 2 4 2 2 7" xfId="32641"/>
    <cellStyle name="Normal 3 2 5 2 4 2 2 8" xfId="36673"/>
    <cellStyle name="Normal 3 2 5 2 4 2 2 9" xfId="40705"/>
    <cellStyle name="Normal 3 2 5 2 4 2 3" xfId="10465"/>
    <cellStyle name="Normal 3 2 5 2 4 2 4" xfId="14497"/>
    <cellStyle name="Normal 3 2 5 2 4 2 5" xfId="18529"/>
    <cellStyle name="Normal 3 2 5 2 4 2 6" xfId="22561"/>
    <cellStyle name="Normal 3 2 5 2 4 2 7" xfId="26593"/>
    <cellStyle name="Normal 3 2 5 2 4 2 8" xfId="30625"/>
    <cellStyle name="Normal 3 2 5 2 4 2 9" xfId="34657"/>
    <cellStyle name="Normal 3 2 5 2 4 3" xfId="7496"/>
    <cellStyle name="Normal 3 2 5 2 4 3 10" xfId="43786"/>
    <cellStyle name="Normal 3 2 5 2 4 3 11" xfId="47818"/>
    <cellStyle name="Normal 3 2 5 2 4 3 12" xfId="51897"/>
    <cellStyle name="Normal 3 2 5 2 4 3 2" xfId="11530"/>
    <cellStyle name="Normal 3 2 5 2 4 3 3" xfId="15562"/>
    <cellStyle name="Normal 3 2 5 2 4 3 4" xfId="19594"/>
    <cellStyle name="Normal 3 2 5 2 4 3 5" xfId="23626"/>
    <cellStyle name="Normal 3 2 5 2 4 3 6" xfId="27658"/>
    <cellStyle name="Normal 3 2 5 2 4 3 7" xfId="31690"/>
    <cellStyle name="Normal 3 2 5 2 4 3 8" xfId="35722"/>
    <cellStyle name="Normal 3 2 5 2 4 3 9" xfId="39754"/>
    <cellStyle name="Normal 3 2 5 2 4 4" xfId="9514"/>
    <cellStyle name="Normal 3 2 5 2 4 5" xfId="13546"/>
    <cellStyle name="Normal 3 2 5 2 4 6" xfId="17578"/>
    <cellStyle name="Normal 3 2 5 2 4 7" xfId="21610"/>
    <cellStyle name="Normal 3 2 5 2 4 8" xfId="25642"/>
    <cellStyle name="Normal 3 2 5 2 4 9" xfId="29674"/>
    <cellStyle name="Normal 3 2 5 2 5" xfId="4072"/>
    <cellStyle name="Normal 3 2 5 2 5 10" xfId="33929"/>
    <cellStyle name="Normal 3 2 5 2 5 11" xfId="37961"/>
    <cellStyle name="Normal 3 2 5 2 5 12" xfId="41993"/>
    <cellStyle name="Normal 3 2 5 2 5 13" xfId="46025"/>
    <cellStyle name="Normal 3 2 5 2 5 14" xfId="50103"/>
    <cellStyle name="Normal 3 2 5 2 5 2" xfId="6654"/>
    <cellStyle name="Normal 3 2 5 2 5 2 10" xfId="38912"/>
    <cellStyle name="Normal 3 2 5 2 5 2 11" xfId="42944"/>
    <cellStyle name="Normal 3 2 5 2 5 2 12" xfId="46976"/>
    <cellStyle name="Normal 3 2 5 2 5 2 13" xfId="51055"/>
    <cellStyle name="Normal 3 2 5 2 5 2 2" xfId="8670"/>
    <cellStyle name="Normal 3 2 5 2 5 2 2 10" xfId="44960"/>
    <cellStyle name="Normal 3 2 5 2 5 2 2 11" xfId="48992"/>
    <cellStyle name="Normal 3 2 5 2 5 2 2 12" xfId="53071"/>
    <cellStyle name="Normal 3 2 5 2 5 2 2 2" xfId="12704"/>
    <cellStyle name="Normal 3 2 5 2 5 2 2 3" xfId="16736"/>
    <cellStyle name="Normal 3 2 5 2 5 2 2 4" xfId="20768"/>
    <cellStyle name="Normal 3 2 5 2 5 2 2 5" xfId="24800"/>
    <cellStyle name="Normal 3 2 5 2 5 2 2 6" xfId="28832"/>
    <cellStyle name="Normal 3 2 5 2 5 2 2 7" xfId="32864"/>
    <cellStyle name="Normal 3 2 5 2 5 2 2 8" xfId="36896"/>
    <cellStyle name="Normal 3 2 5 2 5 2 2 9" xfId="40928"/>
    <cellStyle name="Normal 3 2 5 2 5 2 3" xfId="10688"/>
    <cellStyle name="Normal 3 2 5 2 5 2 4" xfId="14720"/>
    <cellStyle name="Normal 3 2 5 2 5 2 5" xfId="18752"/>
    <cellStyle name="Normal 3 2 5 2 5 2 6" xfId="22784"/>
    <cellStyle name="Normal 3 2 5 2 5 2 7" xfId="26816"/>
    <cellStyle name="Normal 3 2 5 2 5 2 8" xfId="30848"/>
    <cellStyle name="Normal 3 2 5 2 5 2 9" xfId="34880"/>
    <cellStyle name="Normal 3 2 5 2 5 3" xfId="7719"/>
    <cellStyle name="Normal 3 2 5 2 5 3 10" xfId="44009"/>
    <cellStyle name="Normal 3 2 5 2 5 3 11" xfId="48041"/>
    <cellStyle name="Normal 3 2 5 2 5 3 12" xfId="52120"/>
    <cellStyle name="Normal 3 2 5 2 5 3 2" xfId="11753"/>
    <cellStyle name="Normal 3 2 5 2 5 3 3" xfId="15785"/>
    <cellStyle name="Normal 3 2 5 2 5 3 4" xfId="19817"/>
    <cellStyle name="Normal 3 2 5 2 5 3 5" xfId="23849"/>
    <cellStyle name="Normal 3 2 5 2 5 3 6" xfId="27881"/>
    <cellStyle name="Normal 3 2 5 2 5 3 7" xfId="31913"/>
    <cellStyle name="Normal 3 2 5 2 5 3 8" xfId="35945"/>
    <cellStyle name="Normal 3 2 5 2 5 3 9" xfId="39977"/>
    <cellStyle name="Normal 3 2 5 2 5 4" xfId="9737"/>
    <cellStyle name="Normal 3 2 5 2 5 5" xfId="13769"/>
    <cellStyle name="Normal 3 2 5 2 5 6" xfId="17801"/>
    <cellStyle name="Normal 3 2 5 2 5 7" xfId="21833"/>
    <cellStyle name="Normal 3 2 5 2 5 8" xfId="25865"/>
    <cellStyle name="Normal 3 2 5 2 5 9" xfId="29897"/>
    <cellStyle name="Normal 3 2 5 2 6" xfId="4142"/>
    <cellStyle name="Normal 3 2 5 2 6 10" xfId="33998"/>
    <cellStyle name="Normal 3 2 5 2 6 11" xfId="38030"/>
    <cellStyle name="Normal 3 2 5 2 6 12" xfId="42062"/>
    <cellStyle name="Normal 3 2 5 2 6 13" xfId="46094"/>
    <cellStyle name="Normal 3 2 5 2 6 14" xfId="50172"/>
    <cellStyle name="Normal 3 2 5 2 6 2" xfId="6723"/>
    <cellStyle name="Normal 3 2 5 2 6 2 10" xfId="38981"/>
    <cellStyle name="Normal 3 2 5 2 6 2 11" xfId="43013"/>
    <cellStyle name="Normal 3 2 5 2 6 2 12" xfId="47045"/>
    <cellStyle name="Normal 3 2 5 2 6 2 13" xfId="51124"/>
    <cellStyle name="Normal 3 2 5 2 6 2 2" xfId="8739"/>
    <cellStyle name="Normal 3 2 5 2 6 2 2 10" xfId="45029"/>
    <cellStyle name="Normal 3 2 5 2 6 2 2 11" xfId="49061"/>
    <cellStyle name="Normal 3 2 5 2 6 2 2 12" xfId="53140"/>
    <cellStyle name="Normal 3 2 5 2 6 2 2 2" xfId="12773"/>
    <cellStyle name="Normal 3 2 5 2 6 2 2 3" xfId="16805"/>
    <cellStyle name="Normal 3 2 5 2 6 2 2 4" xfId="20837"/>
    <cellStyle name="Normal 3 2 5 2 6 2 2 5" xfId="24869"/>
    <cellStyle name="Normal 3 2 5 2 6 2 2 6" xfId="28901"/>
    <cellStyle name="Normal 3 2 5 2 6 2 2 7" xfId="32933"/>
    <cellStyle name="Normal 3 2 5 2 6 2 2 8" xfId="36965"/>
    <cellStyle name="Normal 3 2 5 2 6 2 2 9" xfId="40997"/>
    <cellStyle name="Normal 3 2 5 2 6 2 3" xfId="10757"/>
    <cellStyle name="Normal 3 2 5 2 6 2 4" xfId="14789"/>
    <cellStyle name="Normal 3 2 5 2 6 2 5" xfId="18821"/>
    <cellStyle name="Normal 3 2 5 2 6 2 6" xfId="22853"/>
    <cellStyle name="Normal 3 2 5 2 6 2 7" xfId="26885"/>
    <cellStyle name="Normal 3 2 5 2 6 2 8" xfId="30917"/>
    <cellStyle name="Normal 3 2 5 2 6 2 9" xfId="34949"/>
    <cellStyle name="Normal 3 2 5 2 6 3" xfId="7788"/>
    <cellStyle name="Normal 3 2 5 2 6 3 10" xfId="44078"/>
    <cellStyle name="Normal 3 2 5 2 6 3 11" xfId="48110"/>
    <cellStyle name="Normal 3 2 5 2 6 3 12" xfId="52189"/>
    <cellStyle name="Normal 3 2 5 2 6 3 2" xfId="11822"/>
    <cellStyle name="Normal 3 2 5 2 6 3 3" xfId="15854"/>
    <cellStyle name="Normal 3 2 5 2 6 3 4" xfId="19886"/>
    <cellStyle name="Normal 3 2 5 2 6 3 5" xfId="23918"/>
    <cellStyle name="Normal 3 2 5 2 6 3 6" xfId="27950"/>
    <cellStyle name="Normal 3 2 5 2 6 3 7" xfId="31982"/>
    <cellStyle name="Normal 3 2 5 2 6 3 8" xfId="36014"/>
    <cellStyle name="Normal 3 2 5 2 6 3 9" xfId="40046"/>
    <cellStyle name="Normal 3 2 5 2 6 4" xfId="9806"/>
    <cellStyle name="Normal 3 2 5 2 6 5" xfId="13838"/>
    <cellStyle name="Normal 3 2 5 2 6 6" xfId="17870"/>
    <cellStyle name="Normal 3 2 5 2 6 7" xfId="21902"/>
    <cellStyle name="Normal 3 2 5 2 6 8" xfId="25934"/>
    <cellStyle name="Normal 3 2 5 2 6 9" xfId="29966"/>
    <cellStyle name="Normal 3 2 5 2 7" xfId="4211"/>
    <cellStyle name="Normal 3 2 5 2 7 10" xfId="34067"/>
    <cellStyle name="Normal 3 2 5 2 7 11" xfId="38099"/>
    <cellStyle name="Normal 3 2 5 2 7 12" xfId="42131"/>
    <cellStyle name="Normal 3 2 5 2 7 13" xfId="46163"/>
    <cellStyle name="Normal 3 2 5 2 7 14" xfId="50241"/>
    <cellStyle name="Normal 3 2 5 2 7 2" xfId="6792"/>
    <cellStyle name="Normal 3 2 5 2 7 2 10" xfId="39050"/>
    <cellStyle name="Normal 3 2 5 2 7 2 11" xfId="43082"/>
    <cellStyle name="Normal 3 2 5 2 7 2 12" xfId="47114"/>
    <cellStyle name="Normal 3 2 5 2 7 2 13" xfId="51193"/>
    <cellStyle name="Normal 3 2 5 2 7 2 2" xfId="8808"/>
    <cellStyle name="Normal 3 2 5 2 7 2 2 10" xfId="45098"/>
    <cellStyle name="Normal 3 2 5 2 7 2 2 11" xfId="49130"/>
    <cellStyle name="Normal 3 2 5 2 7 2 2 12" xfId="53209"/>
    <cellStyle name="Normal 3 2 5 2 7 2 2 2" xfId="12842"/>
    <cellStyle name="Normal 3 2 5 2 7 2 2 3" xfId="16874"/>
    <cellStyle name="Normal 3 2 5 2 7 2 2 4" xfId="20906"/>
    <cellStyle name="Normal 3 2 5 2 7 2 2 5" xfId="24938"/>
    <cellStyle name="Normal 3 2 5 2 7 2 2 6" xfId="28970"/>
    <cellStyle name="Normal 3 2 5 2 7 2 2 7" xfId="33002"/>
    <cellStyle name="Normal 3 2 5 2 7 2 2 8" xfId="37034"/>
    <cellStyle name="Normal 3 2 5 2 7 2 2 9" xfId="41066"/>
    <cellStyle name="Normal 3 2 5 2 7 2 3" xfId="10826"/>
    <cellStyle name="Normal 3 2 5 2 7 2 4" xfId="14858"/>
    <cellStyle name="Normal 3 2 5 2 7 2 5" xfId="18890"/>
    <cellStyle name="Normal 3 2 5 2 7 2 6" xfId="22922"/>
    <cellStyle name="Normal 3 2 5 2 7 2 7" xfId="26954"/>
    <cellStyle name="Normal 3 2 5 2 7 2 8" xfId="30986"/>
    <cellStyle name="Normal 3 2 5 2 7 2 9" xfId="35018"/>
    <cellStyle name="Normal 3 2 5 2 7 3" xfId="7857"/>
    <cellStyle name="Normal 3 2 5 2 7 3 10" xfId="44147"/>
    <cellStyle name="Normal 3 2 5 2 7 3 11" xfId="48179"/>
    <cellStyle name="Normal 3 2 5 2 7 3 12" xfId="52258"/>
    <cellStyle name="Normal 3 2 5 2 7 3 2" xfId="11891"/>
    <cellStyle name="Normal 3 2 5 2 7 3 3" xfId="15923"/>
    <cellStyle name="Normal 3 2 5 2 7 3 4" xfId="19955"/>
    <cellStyle name="Normal 3 2 5 2 7 3 5" xfId="23987"/>
    <cellStyle name="Normal 3 2 5 2 7 3 6" xfId="28019"/>
    <cellStyle name="Normal 3 2 5 2 7 3 7" xfId="32051"/>
    <cellStyle name="Normal 3 2 5 2 7 3 8" xfId="36083"/>
    <cellStyle name="Normal 3 2 5 2 7 3 9" xfId="40115"/>
    <cellStyle name="Normal 3 2 5 2 7 4" xfId="9875"/>
    <cellStyle name="Normal 3 2 5 2 7 5" xfId="13907"/>
    <cellStyle name="Normal 3 2 5 2 7 6" xfId="17939"/>
    <cellStyle name="Normal 3 2 5 2 7 7" xfId="21971"/>
    <cellStyle name="Normal 3 2 5 2 7 8" xfId="26003"/>
    <cellStyle name="Normal 3 2 5 2 7 9" xfId="30035"/>
    <cellStyle name="Normal 3 2 5 2 8" xfId="4284"/>
    <cellStyle name="Normal 3 2 5 2 8 10" xfId="34136"/>
    <cellStyle name="Normal 3 2 5 2 8 11" xfId="38168"/>
    <cellStyle name="Normal 3 2 5 2 8 12" xfId="42200"/>
    <cellStyle name="Normal 3 2 5 2 8 13" xfId="46232"/>
    <cellStyle name="Normal 3 2 5 2 8 14" xfId="50310"/>
    <cellStyle name="Normal 3 2 5 2 8 2" xfId="6861"/>
    <cellStyle name="Normal 3 2 5 2 8 2 10" xfId="39119"/>
    <cellStyle name="Normal 3 2 5 2 8 2 11" xfId="43151"/>
    <cellStyle name="Normal 3 2 5 2 8 2 12" xfId="47183"/>
    <cellStyle name="Normal 3 2 5 2 8 2 13" xfId="51262"/>
    <cellStyle name="Normal 3 2 5 2 8 2 2" xfId="8877"/>
    <cellStyle name="Normal 3 2 5 2 8 2 2 10" xfId="45167"/>
    <cellStyle name="Normal 3 2 5 2 8 2 2 11" xfId="49199"/>
    <cellStyle name="Normal 3 2 5 2 8 2 2 12" xfId="53278"/>
    <cellStyle name="Normal 3 2 5 2 8 2 2 2" xfId="12911"/>
    <cellStyle name="Normal 3 2 5 2 8 2 2 3" xfId="16943"/>
    <cellStyle name="Normal 3 2 5 2 8 2 2 4" xfId="20975"/>
    <cellStyle name="Normal 3 2 5 2 8 2 2 5" xfId="25007"/>
    <cellStyle name="Normal 3 2 5 2 8 2 2 6" xfId="29039"/>
    <cellStyle name="Normal 3 2 5 2 8 2 2 7" xfId="33071"/>
    <cellStyle name="Normal 3 2 5 2 8 2 2 8" xfId="37103"/>
    <cellStyle name="Normal 3 2 5 2 8 2 2 9" xfId="41135"/>
    <cellStyle name="Normal 3 2 5 2 8 2 3" xfId="10895"/>
    <cellStyle name="Normal 3 2 5 2 8 2 4" xfId="14927"/>
    <cellStyle name="Normal 3 2 5 2 8 2 5" xfId="18959"/>
    <cellStyle name="Normal 3 2 5 2 8 2 6" xfId="22991"/>
    <cellStyle name="Normal 3 2 5 2 8 2 7" xfId="27023"/>
    <cellStyle name="Normal 3 2 5 2 8 2 8" xfId="31055"/>
    <cellStyle name="Normal 3 2 5 2 8 2 9" xfId="35087"/>
    <cellStyle name="Normal 3 2 5 2 8 3" xfId="7926"/>
    <cellStyle name="Normal 3 2 5 2 8 3 10" xfId="44216"/>
    <cellStyle name="Normal 3 2 5 2 8 3 11" xfId="48248"/>
    <cellStyle name="Normal 3 2 5 2 8 3 12" xfId="52327"/>
    <cellStyle name="Normal 3 2 5 2 8 3 2" xfId="11960"/>
    <cellStyle name="Normal 3 2 5 2 8 3 3" xfId="15992"/>
    <cellStyle name="Normal 3 2 5 2 8 3 4" xfId="20024"/>
    <cellStyle name="Normal 3 2 5 2 8 3 5" xfId="24056"/>
    <cellStyle name="Normal 3 2 5 2 8 3 6" xfId="28088"/>
    <cellStyle name="Normal 3 2 5 2 8 3 7" xfId="32120"/>
    <cellStyle name="Normal 3 2 5 2 8 3 8" xfId="36152"/>
    <cellStyle name="Normal 3 2 5 2 8 3 9" xfId="40184"/>
    <cellStyle name="Normal 3 2 5 2 8 4" xfId="9944"/>
    <cellStyle name="Normal 3 2 5 2 8 5" xfId="13976"/>
    <cellStyle name="Normal 3 2 5 2 8 6" xfId="18008"/>
    <cellStyle name="Normal 3 2 5 2 8 7" xfId="22040"/>
    <cellStyle name="Normal 3 2 5 2 8 8" xfId="26072"/>
    <cellStyle name="Normal 3 2 5 2 8 9" xfId="30104"/>
    <cellStyle name="Normal 3 2 5 2 9" xfId="4430"/>
    <cellStyle name="Normal 3 2 5 2 9 10" xfId="34274"/>
    <cellStyle name="Normal 3 2 5 2 9 11" xfId="38306"/>
    <cellStyle name="Normal 3 2 5 2 9 12" xfId="42338"/>
    <cellStyle name="Normal 3 2 5 2 9 13" xfId="46370"/>
    <cellStyle name="Normal 3 2 5 2 9 14" xfId="50449"/>
    <cellStyle name="Normal 3 2 5 2 9 2" xfId="6999"/>
    <cellStyle name="Normal 3 2 5 2 9 2 10" xfId="39257"/>
    <cellStyle name="Normal 3 2 5 2 9 2 11" xfId="43289"/>
    <cellStyle name="Normal 3 2 5 2 9 2 12" xfId="47321"/>
    <cellStyle name="Normal 3 2 5 2 9 2 13" xfId="51400"/>
    <cellStyle name="Normal 3 2 5 2 9 2 2" xfId="9015"/>
    <cellStyle name="Normal 3 2 5 2 9 2 2 10" xfId="45305"/>
    <cellStyle name="Normal 3 2 5 2 9 2 2 11" xfId="49337"/>
    <cellStyle name="Normal 3 2 5 2 9 2 2 12" xfId="53416"/>
    <cellStyle name="Normal 3 2 5 2 9 2 2 2" xfId="13049"/>
    <cellStyle name="Normal 3 2 5 2 9 2 2 3" xfId="17081"/>
    <cellStyle name="Normal 3 2 5 2 9 2 2 4" xfId="21113"/>
    <cellStyle name="Normal 3 2 5 2 9 2 2 5" xfId="25145"/>
    <cellStyle name="Normal 3 2 5 2 9 2 2 6" xfId="29177"/>
    <cellStyle name="Normal 3 2 5 2 9 2 2 7" xfId="33209"/>
    <cellStyle name="Normal 3 2 5 2 9 2 2 8" xfId="37241"/>
    <cellStyle name="Normal 3 2 5 2 9 2 2 9" xfId="41273"/>
    <cellStyle name="Normal 3 2 5 2 9 2 3" xfId="11033"/>
    <cellStyle name="Normal 3 2 5 2 9 2 4" xfId="15065"/>
    <cellStyle name="Normal 3 2 5 2 9 2 5" xfId="19097"/>
    <cellStyle name="Normal 3 2 5 2 9 2 6" xfId="23129"/>
    <cellStyle name="Normal 3 2 5 2 9 2 7" xfId="27161"/>
    <cellStyle name="Normal 3 2 5 2 9 2 8" xfId="31193"/>
    <cellStyle name="Normal 3 2 5 2 9 2 9" xfId="35225"/>
    <cellStyle name="Normal 3 2 5 2 9 3" xfId="8064"/>
    <cellStyle name="Normal 3 2 5 2 9 3 10" xfId="44354"/>
    <cellStyle name="Normal 3 2 5 2 9 3 11" xfId="48386"/>
    <cellStyle name="Normal 3 2 5 2 9 3 12" xfId="52465"/>
    <cellStyle name="Normal 3 2 5 2 9 3 2" xfId="12098"/>
    <cellStyle name="Normal 3 2 5 2 9 3 3" xfId="16130"/>
    <cellStyle name="Normal 3 2 5 2 9 3 4" xfId="20162"/>
    <cellStyle name="Normal 3 2 5 2 9 3 5" xfId="24194"/>
    <cellStyle name="Normal 3 2 5 2 9 3 6" xfId="28226"/>
    <cellStyle name="Normal 3 2 5 2 9 3 7" xfId="32258"/>
    <cellStyle name="Normal 3 2 5 2 9 3 8" xfId="36290"/>
    <cellStyle name="Normal 3 2 5 2 9 3 9" xfId="40322"/>
    <cellStyle name="Normal 3 2 5 2 9 4" xfId="10082"/>
    <cellStyle name="Normal 3 2 5 2 9 5" xfId="14114"/>
    <cellStyle name="Normal 3 2 5 2 9 6" xfId="18146"/>
    <cellStyle name="Normal 3 2 5 2 9 7" xfId="22178"/>
    <cellStyle name="Normal 3 2 5 2 9 8" xfId="26210"/>
    <cellStyle name="Normal 3 2 5 2 9 9" xfId="30242"/>
    <cellStyle name="Normal 3 2 5 20" xfId="21200"/>
    <cellStyle name="Normal 3 2 5 21" xfId="25232"/>
    <cellStyle name="Normal 3 2 5 22" xfId="29264"/>
    <cellStyle name="Normal 3 2 5 23" xfId="33296"/>
    <cellStyle name="Normal 3 2 5 24" xfId="37328"/>
    <cellStyle name="Normal 3 2 5 25" xfId="41360"/>
    <cellStyle name="Normal 3 2 5 26" xfId="45392"/>
    <cellStyle name="Normal 3 2 5 27" xfId="49470"/>
    <cellStyle name="Normal 3 2 5 3" xfId="72"/>
    <cellStyle name="Normal 3 2 5 3 10" xfId="4552"/>
    <cellStyle name="Normal 3 2 5 3 10 10" xfId="38428"/>
    <cellStyle name="Normal 3 2 5 3 10 11" xfId="42460"/>
    <cellStyle name="Normal 3 2 5 3 10 12" xfId="46492"/>
    <cellStyle name="Normal 3 2 5 3 10 13" xfId="50571"/>
    <cellStyle name="Normal 3 2 5 3 10 2" xfId="8186"/>
    <cellStyle name="Normal 3 2 5 3 10 2 10" xfId="44476"/>
    <cellStyle name="Normal 3 2 5 3 10 2 11" xfId="48508"/>
    <cellStyle name="Normal 3 2 5 3 10 2 12" xfId="52587"/>
    <cellStyle name="Normal 3 2 5 3 10 2 2" xfId="12220"/>
    <cellStyle name="Normal 3 2 5 3 10 2 3" xfId="16252"/>
    <cellStyle name="Normal 3 2 5 3 10 2 4" xfId="20284"/>
    <cellStyle name="Normal 3 2 5 3 10 2 5" xfId="24316"/>
    <cellStyle name="Normal 3 2 5 3 10 2 6" xfId="28348"/>
    <cellStyle name="Normal 3 2 5 3 10 2 7" xfId="32380"/>
    <cellStyle name="Normal 3 2 5 3 10 2 8" xfId="36412"/>
    <cellStyle name="Normal 3 2 5 3 10 2 9" xfId="40444"/>
    <cellStyle name="Normal 3 2 5 3 10 3" xfId="10204"/>
    <cellStyle name="Normal 3 2 5 3 10 4" xfId="14236"/>
    <cellStyle name="Normal 3 2 5 3 10 5" xfId="18268"/>
    <cellStyle name="Normal 3 2 5 3 10 6" xfId="22300"/>
    <cellStyle name="Normal 3 2 5 3 10 7" xfId="26332"/>
    <cellStyle name="Normal 3 2 5 3 10 8" xfId="30364"/>
    <cellStyle name="Normal 3 2 5 3 10 9" xfId="34396"/>
    <cellStyle name="Normal 3 2 5 3 11" xfId="280"/>
    <cellStyle name="Normal 3 2 5 3 11 10" xfId="37485"/>
    <cellStyle name="Normal 3 2 5 3 11 11" xfId="41517"/>
    <cellStyle name="Normal 3 2 5 3 11 12" xfId="45549"/>
    <cellStyle name="Normal 3 2 5 3 11 13" xfId="49627"/>
    <cellStyle name="Normal 3 2 5 3 11 2" xfId="7243"/>
    <cellStyle name="Normal 3 2 5 3 11 2 10" xfId="43533"/>
    <cellStyle name="Normal 3 2 5 3 11 2 11" xfId="47565"/>
    <cellStyle name="Normal 3 2 5 3 11 2 12" xfId="51644"/>
    <cellStyle name="Normal 3 2 5 3 11 2 2" xfId="11277"/>
    <cellStyle name="Normal 3 2 5 3 11 2 3" xfId="15309"/>
    <cellStyle name="Normal 3 2 5 3 11 2 4" xfId="19341"/>
    <cellStyle name="Normal 3 2 5 3 11 2 5" xfId="23373"/>
    <cellStyle name="Normal 3 2 5 3 11 2 6" xfId="27405"/>
    <cellStyle name="Normal 3 2 5 3 11 2 7" xfId="31437"/>
    <cellStyle name="Normal 3 2 5 3 11 2 8" xfId="35469"/>
    <cellStyle name="Normal 3 2 5 3 11 2 9" xfId="39501"/>
    <cellStyle name="Normal 3 2 5 3 11 3" xfId="9261"/>
    <cellStyle name="Normal 3 2 5 3 11 4" xfId="13293"/>
    <cellStyle name="Normal 3 2 5 3 11 5" xfId="17325"/>
    <cellStyle name="Normal 3 2 5 3 11 6" xfId="21357"/>
    <cellStyle name="Normal 3 2 5 3 11 7" xfId="25389"/>
    <cellStyle name="Normal 3 2 5 3 11 8" xfId="29421"/>
    <cellStyle name="Normal 3 2 5 3 11 9" xfId="33453"/>
    <cellStyle name="Normal 3 2 5 3 12" xfId="7121"/>
    <cellStyle name="Normal 3 2 5 3 12 10" xfId="43411"/>
    <cellStyle name="Normal 3 2 5 3 12 11" xfId="47443"/>
    <cellStyle name="Normal 3 2 5 3 12 12" xfId="51522"/>
    <cellStyle name="Normal 3 2 5 3 12 2" xfId="11155"/>
    <cellStyle name="Normal 3 2 5 3 12 3" xfId="15187"/>
    <cellStyle name="Normal 3 2 5 3 12 4" xfId="19219"/>
    <cellStyle name="Normal 3 2 5 3 12 5" xfId="23251"/>
    <cellStyle name="Normal 3 2 5 3 12 6" xfId="27283"/>
    <cellStyle name="Normal 3 2 5 3 12 7" xfId="31315"/>
    <cellStyle name="Normal 3 2 5 3 12 8" xfId="35347"/>
    <cellStyle name="Normal 3 2 5 3 12 9" xfId="39379"/>
    <cellStyle name="Normal 3 2 5 3 13" xfId="147"/>
    <cellStyle name="Normal 3 2 5 3 14" xfId="9139"/>
    <cellStyle name="Normal 3 2 5 3 15" xfId="13171"/>
    <cellStyle name="Normal 3 2 5 3 16" xfId="17203"/>
    <cellStyle name="Normal 3 2 5 3 17" xfId="21235"/>
    <cellStyle name="Normal 3 2 5 3 18" xfId="25267"/>
    <cellStyle name="Normal 3 2 5 3 19" xfId="29299"/>
    <cellStyle name="Normal 3 2 5 3 2" xfId="226"/>
    <cellStyle name="Normal 3 2 5 3 2 10" xfId="21304"/>
    <cellStyle name="Normal 3 2 5 3 2 11" xfId="25336"/>
    <cellStyle name="Normal 3 2 5 3 2 12" xfId="29368"/>
    <cellStyle name="Normal 3 2 5 3 2 13" xfId="33400"/>
    <cellStyle name="Normal 3 2 5 3 2 14" xfId="37432"/>
    <cellStyle name="Normal 3 2 5 3 2 15" xfId="41464"/>
    <cellStyle name="Normal 3 2 5 3 2 16" xfId="45496"/>
    <cellStyle name="Normal 3 2 5 3 2 17" xfId="49574"/>
    <cellStyle name="Normal 3 2 5 3 2 2" xfId="4344"/>
    <cellStyle name="Normal 3 2 5 3 2 2 10" xfId="34189"/>
    <cellStyle name="Normal 3 2 5 3 2 2 11" xfId="38221"/>
    <cellStyle name="Normal 3 2 5 3 2 2 12" xfId="42253"/>
    <cellStyle name="Normal 3 2 5 3 2 2 13" xfId="46285"/>
    <cellStyle name="Normal 3 2 5 3 2 2 14" xfId="50364"/>
    <cellStyle name="Normal 3 2 5 3 2 2 2" xfId="6914"/>
    <cellStyle name="Normal 3 2 5 3 2 2 2 10" xfId="39172"/>
    <cellStyle name="Normal 3 2 5 3 2 2 2 11" xfId="43204"/>
    <cellStyle name="Normal 3 2 5 3 2 2 2 12" xfId="47236"/>
    <cellStyle name="Normal 3 2 5 3 2 2 2 13" xfId="51315"/>
    <cellStyle name="Normal 3 2 5 3 2 2 2 2" xfId="8930"/>
    <cellStyle name="Normal 3 2 5 3 2 2 2 2 10" xfId="45220"/>
    <cellStyle name="Normal 3 2 5 3 2 2 2 2 11" xfId="49252"/>
    <cellStyle name="Normal 3 2 5 3 2 2 2 2 12" xfId="53331"/>
    <cellStyle name="Normal 3 2 5 3 2 2 2 2 2" xfId="12964"/>
    <cellStyle name="Normal 3 2 5 3 2 2 2 2 3" xfId="16996"/>
    <cellStyle name="Normal 3 2 5 3 2 2 2 2 4" xfId="21028"/>
    <cellStyle name="Normal 3 2 5 3 2 2 2 2 5" xfId="25060"/>
    <cellStyle name="Normal 3 2 5 3 2 2 2 2 6" xfId="29092"/>
    <cellStyle name="Normal 3 2 5 3 2 2 2 2 7" xfId="33124"/>
    <cellStyle name="Normal 3 2 5 3 2 2 2 2 8" xfId="37156"/>
    <cellStyle name="Normal 3 2 5 3 2 2 2 2 9" xfId="41188"/>
    <cellStyle name="Normal 3 2 5 3 2 2 2 3" xfId="10948"/>
    <cellStyle name="Normal 3 2 5 3 2 2 2 4" xfId="14980"/>
    <cellStyle name="Normal 3 2 5 3 2 2 2 5" xfId="19012"/>
    <cellStyle name="Normal 3 2 5 3 2 2 2 6" xfId="23044"/>
    <cellStyle name="Normal 3 2 5 3 2 2 2 7" xfId="27076"/>
    <cellStyle name="Normal 3 2 5 3 2 2 2 8" xfId="31108"/>
    <cellStyle name="Normal 3 2 5 3 2 2 2 9" xfId="35140"/>
    <cellStyle name="Normal 3 2 5 3 2 2 3" xfId="7979"/>
    <cellStyle name="Normal 3 2 5 3 2 2 3 10" xfId="44269"/>
    <cellStyle name="Normal 3 2 5 3 2 2 3 11" xfId="48301"/>
    <cellStyle name="Normal 3 2 5 3 2 2 3 12" xfId="52380"/>
    <cellStyle name="Normal 3 2 5 3 2 2 3 2" xfId="12013"/>
    <cellStyle name="Normal 3 2 5 3 2 2 3 3" xfId="16045"/>
    <cellStyle name="Normal 3 2 5 3 2 2 3 4" xfId="20077"/>
    <cellStyle name="Normal 3 2 5 3 2 2 3 5" xfId="24109"/>
    <cellStyle name="Normal 3 2 5 3 2 2 3 6" xfId="28141"/>
    <cellStyle name="Normal 3 2 5 3 2 2 3 7" xfId="32173"/>
    <cellStyle name="Normal 3 2 5 3 2 2 3 8" xfId="36205"/>
    <cellStyle name="Normal 3 2 5 3 2 2 3 9" xfId="40237"/>
    <cellStyle name="Normal 3 2 5 3 2 2 4" xfId="9997"/>
    <cellStyle name="Normal 3 2 5 3 2 2 5" xfId="14029"/>
    <cellStyle name="Normal 3 2 5 3 2 2 6" xfId="18061"/>
    <cellStyle name="Normal 3 2 5 3 2 2 7" xfId="22093"/>
    <cellStyle name="Normal 3 2 5 3 2 2 8" xfId="26125"/>
    <cellStyle name="Normal 3 2 5 3 2 2 9" xfId="30157"/>
    <cellStyle name="Normal 3 2 5 3 2 3" xfId="4483"/>
    <cellStyle name="Normal 3 2 5 3 2 3 10" xfId="34327"/>
    <cellStyle name="Normal 3 2 5 3 2 3 11" xfId="38359"/>
    <cellStyle name="Normal 3 2 5 3 2 3 12" xfId="42391"/>
    <cellStyle name="Normal 3 2 5 3 2 3 13" xfId="46423"/>
    <cellStyle name="Normal 3 2 5 3 2 3 14" xfId="50502"/>
    <cellStyle name="Normal 3 2 5 3 2 3 2" xfId="7052"/>
    <cellStyle name="Normal 3 2 5 3 2 3 2 10" xfId="39310"/>
    <cellStyle name="Normal 3 2 5 3 2 3 2 11" xfId="43342"/>
    <cellStyle name="Normal 3 2 5 3 2 3 2 12" xfId="47374"/>
    <cellStyle name="Normal 3 2 5 3 2 3 2 13" xfId="51453"/>
    <cellStyle name="Normal 3 2 5 3 2 3 2 2" xfId="9068"/>
    <cellStyle name="Normal 3 2 5 3 2 3 2 2 10" xfId="45358"/>
    <cellStyle name="Normal 3 2 5 3 2 3 2 2 11" xfId="49390"/>
    <cellStyle name="Normal 3 2 5 3 2 3 2 2 12" xfId="53469"/>
    <cellStyle name="Normal 3 2 5 3 2 3 2 2 2" xfId="13102"/>
    <cellStyle name="Normal 3 2 5 3 2 3 2 2 3" xfId="17134"/>
    <cellStyle name="Normal 3 2 5 3 2 3 2 2 4" xfId="21166"/>
    <cellStyle name="Normal 3 2 5 3 2 3 2 2 5" xfId="25198"/>
    <cellStyle name="Normal 3 2 5 3 2 3 2 2 6" xfId="29230"/>
    <cellStyle name="Normal 3 2 5 3 2 3 2 2 7" xfId="33262"/>
    <cellStyle name="Normal 3 2 5 3 2 3 2 2 8" xfId="37294"/>
    <cellStyle name="Normal 3 2 5 3 2 3 2 2 9" xfId="41326"/>
    <cellStyle name="Normal 3 2 5 3 2 3 2 3" xfId="11086"/>
    <cellStyle name="Normal 3 2 5 3 2 3 2 4" xfId="15118"/>
    <cellStyle name="Normal 3 2 5 3 2 3 2 5" xfId="19150"/>
    <cellStyle name="Normal 3 2 5 3 2 3 2 6" xfId="23182"/>
    <cellStyle name="Normal 3 2 5 3 2 3 2 7" xfId="27214"/>
    <cellStyle name="Normal 3 2 5 3 2 3 2 8" xfId="31246"/>
    <cellStyle name="Normal 3 2 5 3 2 3 2 9" xfId="35278"/>
    <cellStyle name="Normal 3 2 5 3 2 3 3" xfId="8117"/>
    <cellStyle name="Normal 3 2 5 3 2 3 3 10" xfId="44407"/>
    <cellStyle name="Normal 3 2 5 3 2 3 3 11" xfId="48439"/>
    <cellStyle name="Normal 3 2 5 3 2 3 3 12" xfId="52518"/>
    <cellStyle name="Normal 3 2 5 3 2 3 3 2" xfId="12151"/>
    <cellStyle name="Normal 3 2 5 3 2 3 3 3" xfId="16183"/>
    <cellStyle name="Normal 3 2 5 3 2 3 3 4" xfId="20215"/>
    <cellStyle name="Normal 3 2 5 3 2 3 3 5" xfId="24247"/>
    <cellStyle name="Normal 3 2 5 3 2 3 3 6" xfId="28279"/>
    <cellStyle name="Normal 3 2 5 3 2 3 3 7" xfId="32311"/>
    <cellStyle name="Normal 3 2 5 3 2 3 3 8" xfId="36343"/>
    <cellStyle name="Normal 3 2 5 3 2 3 3 9" xfId="40375"/>
    <cellStyle name="Normal 3 2 5 3 2 3 4" xfId="10135"/>
    <cellStyle name="Normal 3 2 5 3 2 3 5" xfId="14167"/>
    <cellStyle name="Normal 3 2 5 3 2 3 6" xfId="18199"/>
    <cellStyle name="Normal 3 2 5 3 2 3 7" xfId="22231"/>
    <cellStyle name="Normal 3 2 5 3 2 3 8" xfId="26263"/>
    <cellStyle name="Normal 3 2 5 3 2 3 9" xfId="30295"/>
    <cellStyle name="Normal 3 2 5 3 2 4" xfId="4623"/>
    <cellStyle name="Normal 3 2 5 3 2 4 10" xfId="38497"/>
    <cellStyle name="Normal 3 2 5 3 2 4 11" xfId="42529"/>
    <cellStyle name="Normal 3 2 5 3 2 4 12" xfId="46561"/>
    <cellStyle name="Normal 3 2 5 3 2 4 13" xfId="50640"/>
    <cellStyle name="Normal 3 2 5 3 2 4 2" xfId="8255"/>
    <cellStyle name="Normal 3 2 5 3 2 4 2 10" xfId="44545"/>
    <cellStyle name="Normal 3 2 5 3 2 4 2 11" xfId="48577"/>
    <cellStyle name="Normal 3 2 5 3 2 4 2 12" xfId="52656"/>
    <cellStyle name="Normal 3 2 5 3 2 4 2 2" xfId="12289"/>
    <cellStyle name="Normal 3 2 5 3 2 4 2 3" xfId="16321"/>
    <cellStyle name="Normal 3 2 5 3 2 4 2 4" xfId="20353"/>
    <cellStyle name="Normal 3 2 5 3 2 4 2 5" xfId="24385"/>
    <cellStyle name="Normal 3 2 5 3 2 4 2 6" xfId="28417"/>
    <cellStyle name="Normal 3 2 5 3 2 4 2 7" xfId="32449"/>
    <cellStyle name="Normal 3 2 5 3 2 4 2 8" xfId="36481"/>
    <cellStyle name="Normal 3 2 5 3 2 4 2 9" xfId="40513"/>
    <cellStyle name="Normal 3 2 5 3 2 4 3" xfId="10273"/>
    <cellStyle name="Normal 3 2 5 3 2 4 4" xfId="14305"/>
    <cellStyle name="Normal 3 2 5 3 2 4 5" xfId="18337"/>
    <cellStyle name="Normal 3 2 5 3 2 4 6" xfId="22369"/>
    <cellStyle name="Normal 3 2 5 3 2 4 7" xfId="26401"/>
    <cellStyle name="Normal 3 2 5 3 2 4 8" xfId="30433"/>
    <cellStyle name="Normal 3 2 5 3 2 4 9" xfId="34465"/>
    <cellStyle name="Normal 3 2 5 3 2 5" xfId="350"/>
    <cellStyle name="Normal 3 2 5 3 2 5 10" xfId="37555"/>
    <cellStyle name="Normal 3 2 5 3 2 5 11" xfId="41587"/>
    <cellStyle name="Normal 3 2 5 3 2 5 12" xfId="45619"/>
    <cellStyle name="Normal 3 2 5 3 2 5 13" xfId="49697"/>
    <cellStyle name="Normal 3 2 5 3 2 5 2" xfId="7313"/>
    <cellStyle name="Normal 3 2 5 3 2 5 2 10" xfId="43603"/>
    <cellStyle name="Normal 3 2 5 3 2 5 2 11" xfId="47635"/>
    <cellStyle name="Normal 3 2 5 3 2 5 2 12" xfId="51714"/>
    <cellStyle name="Normal 3 2 5 3 2 5 2 2" xfId="11347"/>
    <cellStyle name="Normal 3 2 5 3 2 5 2 3" xfId="15379"/>
    <cellStyle name="Normal 3 2 5 3 2 5 2 4" xfId="19411"/>
    <cellStyle name="Normal 3 2 5 3 2 5 2 5" xfId="23443"/>
    <cellStyle name="Normal 3 2 5 3 2 5 2 6" xfId="27475"/>
    <cellStyle name="Normal 3 2 5 3 2 5 2 7" xfId="31507"/>
    <cellStyle name="Normal 3 2 5 3 2 5 2 8" xfId="35539"/>
    <cellStyle name="Normal 3 2 5 3 2 5 2 9" xfId="39571"/>
    <cellStyle name="Normal 3 2 5 3 2 5 3" xfId="9331"/>
    <cellStyle name="Normal 3 2 5 3 2 5 4" xfId="13363"/>
    <cellStyle name="Normal 3 2 5 3 2 5 5" xfId="17395"/>
    <cellStyle name="Normal 3 2 5 3 2 5 6" xfId="21427"/>
    <cellStyle name="Normal 3 2 5 3 2 5 7" xfId="25459"/>
    <cellStyle name="Normal 3 2 5 3 2 5 8" xfId="29491"/>
    <cellStyle name="Normal 3 2 5 3 2 5 9" xfId="33523"/>
    <cellStyle name="Normal 3 2 5 3 2 6" xfId="7190"/>
    <cellStyle name="Normal 3 2 5 3 2 6 10" xfId="43480"/>
    <cellStyle name="Normal 3 2 5 3 2 6 11" xfId="47512"/>
    <cellStyle name="Normal 3 2 5 3 2 6 12" xfId="51591"/>
    <cellStyle name="Normal 3 2 5 3 2 6 2" xfId="11224"/>
    <cellStyle name="Normal 3 2 5 3 2 6 3" xfId="15256"/>
    <cellStyle name="Normal 3 2 5 3 2 6 4" xfId="19288"/>
    <cellStyle name="Normal 3 2 5 3 2 6 5" xfId="23320"/>
    <cellStyle name="Normal 3 2 5 3 2 6 6" xfId="27352"/>
    <cellStyle name="Normal 3 2 5 3 2 6 7" xfId="31384"/>
    <cellStyle name="Normal 3 2 5 3 2 6 8" xfId="35416"/>
    <cellStyle name="Normal 3 2 5 3 2 6 9" xfId="39448"/>
    <cellStyle name="Normal 3 2 5 3 2 7" xfId="9208"/>
    <cellStyle name="Normal 3 2 5 3 2 8" xfId="13240"/>
    <cellStyle name="Normal 3 2 5 3 2 9" xfId="17272"/>
    <cellStyle name="Normal 3 2 5 3 20" xfId="33331"/>
    <cellStyle name="Normal 3 2 5 3 21" xfId="37363"/>
    <cellStyle name="Normal 3 2 5 3 22" xfId="41395"/>
    <cellStyle name="Normal 3 2 5 3 23" xfId="45427"/>
    <cellStyle name="Normal 3 2 5 3 24" xfId="49505"/>
    <cellStyle name="Normal 3 2 5 3 3" xfId="1660"/>
    <cellStyle name="Normal 3 2 5 3 3 10" xfId="33621"/>
    <cellStyle name="Normal 3 2 5 3 3 11" xfId="37653"/>
    <cellStyle name="Normal 3 2 5 3 3 12" xfId="41685"/>
    <cellStyle name="Normal 3 2 5 3 3 13" xfId="45717"/>
    <cellStyle name="Normal 3 2 5 3 3 14" xfId="49795"/>
    <cellStyle name="Normal 3 2 5 3 3 2" xfId="5336"/>
    <cellStyle name="Normal 3 2 5 3 3 2 10" xfId="38604"/>
    <cellStyle name="Normal 3 2 5 3 3 2 11" xfId="42636"/>
    <cellStyle name="Normal 3 2 5 3 3 2 12" xfId="46668"/>
    <cellStyle name="Normal 3 2 5 3 3 2 13" xfId="50747"/>
    <cellStyle name="Normal 3 2 5 3 3 2 2" xfId="8362"/>
    <cellStyle name="Normal 3 2 5 3 3 2 2 10" xfId="44652"/>
    <cellStyle name="Normal 3 2 5 3 3 2 2 11" xfId="48684"/>
    <cellStyle name="Normal 3 2 5 3 3 2 2 12" xfId="52763"/>
    <cellStyle name="Normal 3 2 5 3 3 2 2 2" xfId="12396"/>
    <cellStyle name="Normal 3 2 5 3 3 2 2 3" xfId="16428"/>
    <cellStyle name="Normal 3 2 5 3 3 2 2 4" xfId="20460"/>
    <cellStyle name="Normal 3 2 5 3 3 2 2 5" xfId="24492"/>
    <cellStyle name="Normal 3 2 5 3 3 2 2 6" xfId="28524"/>
    <cellStyle name="Normal 3 2 5 3 3 2 2 7" xfId="32556"/>
    <cellStyle name="Normal 3 2 5 3 3 2 2 8" xfId="36588"/>
    <cellStyle name="Normal 3 2 5 3 3 2 2 9" xfId="40620"/>
    <cellStyle name="Normal 3 2 5 3 3 2 3" xfId="10380"/>
    <cellStyle name="Normal 3 2 5 3 3 2 4" xfId="14412"/>
    <cellStyle name="Normal 3 2 5 3 3 2 5" xfId="18444"/>
    <cellStyle name="Normal 3 2 5 3 3 2 6" xfId="22476"/>
    <cellStyle name="Normal 3 2 5 3 3 2 7" xfId="26508"/>
    <cellStyle name="Normal 3 2 5 3 3 2 8" xfId="30540"/>
    <cellStyle name="Normal 3 2 5 3 3 2 9" xfId="34572"/>
    <cellStyle name="Normal 3 2 5 3 3 3" xfId="7411"/>
    <cellStyle name="Normal 3 2 5 3 3 3 10" xfId="43701"/>
    <cellStyle name="Normal 3 2 5 3 3 3 11" xfId="47733"/>
    <cellStyle name="Normal 3 2 5 3 3 3 12" xfId="51812"/>
    <cellStyle name="Normal 3 2 5 3 3 3 2" xfId="11445"/>
    <cellStyle name="Normal 3 2 5 3 3 3 3" xfId="15477"/>
    <cellStyle name="Normal 3 2 5 3 3 3 4" xfId="19509"/>
    <cellStyle name="Normal 3 2 5 3 3 3 5" xfId="23541"/>
    <cellStyle name="Normal 3 2 5 3 3 3 6" xfId="27573"/>
    <cellStyle name="Normal 3 2 5 3 3 3 7" xfId="31605"/>
    <cellStyle name="Normal 3 2 5 3 3 3 8" xfId="35637"/>
    <cellStyle name="Normal 3 2 5 3 3 3 9" xfId="39669"/>
    <cellStyle name="Normal 3 2 5 3 3 4" xfId="9429"/>
    <cellStyle name="Normal 3 2 5 3 3 5" xfId="13461"/>
    <cellStyle name="Normal 3 2 5 3 3 6" xfId="17493"/>
    <cellStyle name="Normal 3 2 5 3 3 7" xfId="21525"/>
    <cellStyle name="Normal 3 2 5 3 3 8" xfId="25557"/>
    <cellStyle name="Normal 3 2 5 3 3 9" xfId="29589"/>
    <cellStyle name="Normal 3 2 5 3 4" xfId="1734"/>
    <cellStyle name="Normal 3 2 5 3 4 10" xfId="33690"/>
    <cellStyle name="Normal 3 2 5 3 4 11" xfId="37722"/>
    <cellStyle name="Normal 3 2 5 3 4 12" xfId="41754"/>
    <cellStyle name="Normal 3 2 5 3 4 13" xfId="45786"/>
    <cellStyle name="Normal 3 2 5 3 4 14" xfId="49864"/>
    <cellStyle name="Normal 3 2 5 3 4 2" xfId="5405"/>
    <cellStyle name="Normal 3 2 5 3 4 2 10" xfId="38673"/>
    <cellStyle name="Normal 3 2 5 3 4 2 11" xfId="42705"/>
    <cellStyle name="Normal 3 2 5 3 4 2 12" xfId="46737"/>
    <cellStyle name="Normal 3 2 5 3 4 2 13" xfId="50816"/>
    <cellStyle name="Normal 3 2 5 3 4 2 2" xfId="8431"/>
    <cellStyle name="Normal 3 2 5 3 4 2 2 10" xfId="44721"/>
    <cellStyle name="Normal 3 2 5 3 4 2 2 11" xfId="48753"/>
    <cellStyle name="Normal 3 2 5 3 4 2 2 12" xfId="52832"/>
    <cellStyle name="Normal 3 2 5 3 4 2 2 2" xfId="12465"/>
    <cellStyle name="Normal 3 2 5 3 4 2 2 3" xfId="16497"/>
    <cellStyle name="Normal 3 2 5 3 4 2 2 4" xfId="20529"/>
    <cellStyle name="Normal 3 2 5 3 4 2 2 5" xfId="24561"/>
    <cellStyle name="Normal 3 2 5 3 4 2 2 6" xfId="28593"/>
    <cellStyle name="Normal 3 2 5 3 4 2 2 7" xfId="32625"/>
    <cellStyle name="Normal 3 2 5 3 4 2 2 8" xfId="36657"/>
    <cellStyle name="Normal 3 2 5 3 4 2 2 9" xfId="40689"/>
    <cellStyle name="Normal 3 2 5 3 4 2 3" xfId="10449"/>
    <cellStyle name="Normal 3 2 5 3 4 2 4" xfId="14481"/>
    <cellStyle name="Normal 3 2 5 3 4 2 5" xfId="18513"/>
    <cellStyle name="Normal 3 2 5 3 4 2 6" xfId="22545"/>
    <cellStyle name="Normal 3 2 5 3 4 2 7" xfId="26577"/>
    <cellStyle name="Normal 3 2 5 3 4 2 8" xfId="30609"/>
    <cellStyle name="Normal 3 2 5 3 4 2 9" xfId="34641"/>
    <cellStyle name="Normal 3 2 5 3 4 3" xfId="7480"/>
    <cellStyle name="Normal 3 2 5 3 4 3 10" xfId="43770"/>
    <cellStyle name="Normal 3 2 5 3 4 3 11" xfId="47802"/>
    <cellStyle name="Normal 3 2 5 3 4 3 12" xfId="51881"/>
    <cellStyle name="Normal 3 2 5 3 4 3 2" xfId="11514"/>
    <cellStyle name="Normal 3 2 5 3 4 3 3" xfId="15546"/>
    <cellStyle name="Normal 3 2 5 3 4 3 4" xfId="19578"/>
    <cellStyle name="Normal 3 2 5 3 4 3 5" xfId="23610"/>
    <cellStyle name="Normal 3 2 5 3 4 3 6" xfId="27642"/>
    <cellStyle name="Normal 3 2 5 3 4 3 7" xfId="31674"/>
    <cellStyle name="Normal 3 2 5 3 4 3 8" xfId="35706"/>
    <cellStyle name="Normal 3 2 5 3 4 3 9" xfId="39738"/>
    <cellStyle name="Normal 3 2 5 3 4 4" xfId="9498"/>
    <cellStyle name="Normal 3 2 5 3 4 5" xfId="13530"/>
    <cellStyle name="Normal 3 2 5 3 4 6" xfId="17562"/>
    <cellStyle name="Normal 3 2 5 3 4 7" xfId="21594"/>
    <cellStyle name="Normal 3 2 5 3 4 8" xfId="25626"/>
    <cellStyle name="Normal 3 2 5 3 4 9" xfId="29658"/>
    <cellStyle name="Normal 3 2 5 3 5" xfId="4056"/>
    <cellStyle name="Normal 3 2 5 3 5 10" xfId="33913"/>
    <cellStyle name="Normal 3 2 5 3 5 11" xfId="37945"/>
    <cellStyle name="Normal 3 2 5 3 5 12" xfId="41977"/>
    <cellStyle name="Normal 3 2 5 3 5 13" xfId="46009"/>
    <cellStyle name="Normal 3 2 5 3 5 14" xfId="50087"/>
    <cellStyle name="Normal 3 2 5 3 5 2" xfId="6638"/>
    <cellStyle name="Normal 3 2 5 3 5 2 10" xfId="38896"/>
    <cellStyle name="Normal 3 2 5 3 5 2 11" xfId="42928"/>
    <cellStyle name="Normal 3 2 5 3 5 2 12" xfId="46960"/>
    <cellStyle name="Normal 3 2 5 3 5 2 13" xfId="51039"/>
    <cellStyle name="Normal 3 2 5 3 5 2 2" xfId="8654"/>
    <cellStyle name="Normal 3 2 5 3 5 2 2 10" xfId="44944"/>
    <cellStyle name="Normal 3 2 5 3 5 2 2 11" xfId="48976"/>
    <cellStyle name="Normal 3 2 5 3 5 2 2 12" xfId="53055"/>
    <cellStyle name="Normal 3 2 5 3 5 2 2 2" xfId="12688"/>
    <cellStyle name="Normal 3 2 5 3 5 2 2 3" xfId="16720"/>
    <cellStyle name="Normal 3 2 5 3 5 2 2 4" xfId="20752"/>
    <cellStyle name="Normal 3 2 5 3 5 2 2 5" xfId="24784"/>
    <cellStyle name="Normal 3 2 5 3 5 2 2 6" xfId="28816"/>
    <cellStyle name="Normal 3 2 5 3 5 2 2 7" xfId="32848"/>
    <cellStyle name="Normal 3 2 5 3 5 2 2 8" xfId="36880"/>
    <cellStyle name="Normal 3 2 5 3 5 2 2 9" xfId="40912"/>
    <cellStyle name="Normal 3 2 5 3 5 2 3" xfId="10672"/>
    <cellStyle name="Normal 3 2 5 3 5 2 4" xfId="14704"/>
    <cellStyle name="Normal 3 2 5 3 5 2 5" xfId="18736"/>
    <cellStyle name="Normal 3 2 5 3 5 2 6" xfId="22768"/>
    <cellStyle name="Normal 3 2 5 3 5 2 7" xfId="26800"/>
    <cellStyle name="Normal 3 2 5 3 5 2 8" xfId="30832"/>
    <cellStyle name="Normal 3 2 5 3 5 2 9" xfId="34864"/>
    <cellStyle name="Normal 3 2 5 3 5 3" xfId="7703"/>
    <cellStyle name="Normal 3 2 5 3 5 3 10" xfId="43993"/>
    <cellStyle name="Normal 3 2 5 3 5 3 11" xfId="48025"/>
    <cellStyle name="Normal 3 2 5 3 5 3 12" xfId="52104"/>
    <cellStyle name="Normal 3 2 5 3 5 3 2" xfId="11737"/>
    <cellStyle name="Normal 3 2 5 3 5 3 3" xfId="15769"/>
    <cellStyle name="Normal 3 2 5 3 5 3 4" xfId="19801"/>
    <cellStyle name="Normal 3 2 5 3 5 3 5" xfId="23833"/>
    <cellStyle name="Normal 3 2 5 3 5 3 6" xfId="27865"/>
    <cellStyle name="Normal 3 2 5 3 5 3 7" xfId="31897"/>
    <cellStyle name="Normal 3 2 5 3 5 3 8" xfId="35929"/>
    <cellStyle name="Normal 3 2 5 3 5 3 9" xfId="39961"/>
    <cellStyle name="Normal 3 2 5 3 5 4" xfId="9721"/>
    <cellStyle name="Normal 3 2 5 3 5 5" xfId="13753"/>
    <cellStyle name="Normal 3 2 5 3 5 6" xfId="17785"/>
    <cellStyle name="Normal 3 2 5 3 5 7" xfId="21817"/>
    <cellStyle name="Normal 3 2 5 3 5 8" xfId="25849"/>
    <cellStyle name="Normal 3 2 5 3 5 9" xfId="29881"/>
    <cellStyle name="Normal 3 2 5 3 6" xfId="4126"/>
    <cellStyle name="Normal 3 2 5 3 6 10" xfId="33982"/>
    <cellStyle name="Normal 3 2 5 3 6 11" xfId="38014"/>
    <cellStyle name="Normal 3 2 5 3 6 12" xfId="42046"/>
    <cellStyle name="Normal 3 2 5 3 6 13" xfId="46078"/>
    <cellStyle name="Normal 3 2 5 3 6 14" xfId="50156"/>
    <cellStyle name="Normal 3 2 5 3 6 2" xfId="6707"/>
    <cellStyle name="Normal 3 2 5 3 6 2 10" xfId="38965"/>
    <cellStyle name="Normal 3 2 5 3 6 2 11" xfId="42997"/>
    <cellStyle name="Normal 3 2 5 3 6 2 12" xfId="47029"/>
    <cellStyle name="Normal 3 2 5 3 6 2 13" xfId="51108"/>
    <cellStyle name="Normal 3 2 5 3 6 2 2" xfId="8723"/>
    <cellStyle name="Normal 3 2 5 3 6 2 2 10" xfId="45013"/>
    <cellStyle name="Normal 3 2 5 3 6 2 2 11" xfId="49045"/>
    <cellStyle name="Normal 3 2 5 3 6 2 2 12" xfId="53124"/>
    <cellStyle name="Normal 3 2 5 3 6 2 2 2" xfId="12757"/>
    <cellStyle name="Normal 3 2 5 3 6 2 2 3" xfId="16789"/>
    <cellStyle name="Normal 3 2 5 3 6 2 2 4" xfId="20821"/>
    <cellStyle name="Normal 3 2 5 3 6 2 2 5" xfId="24853"/>
    <cellStyle name="Normal 3 2 5 3 6 2 2 6" xfId="28885"/>
    <cellStyle name="Normal 3 2 5 3 6 2 2 7" xfId="32917"/>
    <cellStyle name="Normal 3 2 5 3 6 2 2 8" xfId="36949"/>
    <cellStyle name="Normal 3 2 5 3 6 2 2 9" xfId="40981"/>
    <cellStyle name="Normal 3 2 5 3 6 2 3" xfId="10741"/>
    <cellStyle name="Normal 3 2 5 3 6 2 4" xfId="14773"/>
    <cellStyle name="Normal 3 2 5 3 6 2 5" xfId="18805"/>
    <cellStyle name="Normal 3 2 5 3 6 2 6" xfId="22837"/>
    <cellStyle name="Normal 3 2 5 3 6 2 7" xfId="26869"/>
    <cellStyle name="Normal 3 2 5 3 6 2 8" xfId="30901"/>
    <cellStyle name="Normal 3 2 5 3 6 2 9" xfId="34933"/>
    <cellStyle name="Normal 3 2 5 3 6 3" xfId="7772"/>
    <cellStyle name="Normal 3 2 5 3 6 3 10" xfId="44062"/>
    <cellStyle name="Normal 3 2 5 3 6 3 11" xfId="48094"/>
    <cellStyle name="Normal 3 2 5 3 6 3 12" xfId="52173"/>
    <cellStyle name="Normal 3 2 5 3 6 3 2" xfId="11806"/>
    <cellStyle name="Normal 3 2 5 3 6 3 3" xfId="15838"/>
    <cellStyle name="Normal 3 2 5 3 6 3 4" xfId="19870"/>
    <cellStyle name="Normal 3 2 5 3 6 3 5" xfId="23902"/>
    <cellStyle name="Normal 3 2 5 3 6 3 6" xfId="27934"/>
    <cellStyle name="Normal 3 2 5 3 6 3 7" xfId="31966"/>
    <cellStyle name="Normal 3 2 5 3 6 3 8" xfId="35998"/>
    <cellStyle name="Normal 3 2 5 3 6 3 9" xfId="40030"/>
    <cellStyle name="Normal 3 2 5 3 6 4" xfId="9790"/>
    <cellStyle name="Normal 3 2 5 3 6 5" xfId="13822"/>
    <cellStyle name="Normal 3 2 5 3 6 6" xfId="17854"/>
    <cellStyle name="Normal 3 2 5 3 6 7" xfId="21886"/>
    <cellStyle name="Normal 3 2 5 3 6 8" xfId="25918"/>
    <cellStyle name="Normal 3 2 5 3 6 9" xfId="29950"/>
    <cellStyle name="Normal 3 2 5 3 7" xfId="4195"/>
    <cellStyle name="Normal 3 2 5 3 7 10" xfId="34051"/>
    <cellStyle name="Normal 3 2 5 3 7 11" xfId="38083"/>
    <cellStyle name="Normal 3 2 5 3 7 12" xfId="42115"/>
    <cellStyle name="Normal 3 2 5 3 7 13" xfId="46147"/>
    <cellStyle name="Normal 3 2 5 3 7 14" xfId="50225"/>
    <cellStyle name="Normal 3 2 5 3 7 2" xfId="6776"/>
    <cellStyle name="Normal 3 2 5 3 7 2 10" xfId="39034"/>
    <cellStyle name="Normal 3 2 5 3 7 2 11" xfId="43066"/>
    <cellStyle name="Normal 3 2 5 3 7 2 12" xfId="47098"/>
    <cellStyle name="Normal 3 2 5 3 7 2 13" xfId="51177"/>
    <cellStyle name="Normal 3 2 5 3 7 2 2" xfId="8792"/>
    <cellStyle name="Normal 3 2 5 3 7 2 2 10" xfId="45082"/>
    <cellStyle name="Normal 3 2 5 3 7 2 2 11" xfId="49114"/>
    <cellStyle name="Normal 3 2 5 3 7 2 2 12" xfId="53193"/>
    <cellStyle name="Normal 3 2 5 3 7 2 2 2" xfId="12826"/>
    <cellStyle name="Normal 3 2 5 3 7 2 2 3" xfId="16858"/>
    <cellStyle name="Normal 3 2 5 3 7 2 2 4" xfId="20890"/>
    <cellStyle name="Normal 3 2 5 3 7 2 2 5" xfId="24922"/>
    <cellStyle name="Normal 3 2 5 3 7 2 2 6" xfId="28954"/>
    <cellStyle name="Normal 3 2 5 3 7 2 2 7" xfId="32986"/>
    <cellStyle name="Normal 3 2 5 3 7 2 2 8" xfId="37018"/>
    <cellStyle name="Normal 3 2 5 3 7 2 2 9" xfId="41050"/>
    <cellStyle name="Normal 3 2 5 3 7 2 3" xfId="10810"/>
    <cellStyle name="Normal 3 2 5 3 7 2 4" xfId="14842"/>
    <cellStyle name="Normal 3 2 5 3 7 2 5" xfId="18874"/>
    <cellStyle name="Normal 3 2 5 3 7 2 6" xfId="22906"/>
    <cellStyle name="Normal 3 2 5 3 7 2 7" xfId="26938"/>
    <cellStyle name="Normal 3 2 5 3 7 2 8" xfId="30970"/>
    <cellStyle name="Normal 3 2 5 3 7 2 9" xfId="35002"/>
    <cellStyle name="Normal 3 2 5 3 7 3" xfId="7841"/>
    <cellStyle name="Normal 3 2 5 3 7 3 10" xfId="44131"/>
    <cellStyle name="Normal 3 2 5 3 7 3 11" xfId="48163"/>
    <cellStyle name="Normal 3 2 5 3 7 3 12" xfId="52242"/>
    <cellStyle name="Normal 3 2 5 3 7 3 2" xfId="11875"/>
    <cellStyle name="Normal 3 2 5 3 7 3 3" xfId="15907"/>
    <cellStyle name="Normal 3 2 5 3 7 3 4" xfId="19939"/>
    <cellStyle name="Normal 3 2 5 3 7 3 5" xfId="23971"/>
    <cellStyle name="Normal 3 2 5 3 7 3 6" xfId="28003"/>
    <cellStyle name="Normal 3 2 5 3 7 3 7" xfId="32035"/>
    <cellStyle name="Normal 3 2 5 3 7 3 8" xfId="36067"/>
    <cellStyle name="Normal 3 2 5 3 7 3 9" xfId="40099"/>
    <cellStyle name="Normal 3 2 5 3 7 4" xfId="9859"/>
    <cellStyle name="Normal 3 2 5 3 7 5" xfId="13891"/>
    <cellStyle name="Normal 3 2 5 3 7 6" xfId="17923"/>
    <cellStyle name="Normal 3 2 5 3 7 7" xfId="21955"/>
    <cellStyle name="Normal 3 2 5 3 7 8" xfId="25987"/>
    <cellStyle name="Normal 3 2 5 3 7 9" xfId="30019"/>
    <cellStyle name="Normal 3 2 5 3 8" xfId="4268"/>
    <cellStyle name="Normal 3 2 5 3 8 10" xfId="34120"/>
    <cellStyle name="Normal 3 2 5 3 8 11" xfId="38152"/>
    <cellStyle name="Normal 3 2 5 3 8 12" xfId="42184"/>
    <cellStyle name="Normal 3 2 5 3 8 13" xfId="46216"/>
    <cellStyle name="Normal 3 2 5 3 8 14" xfId="50294"/>
    <cellStyle name="Normal 3 2 5 3 8 2" xfId="6845"/>
    <cellStyle name="Normal 3 2 5 3 8 2 10" xfId="39103"/>
    <cellStyle name="Normal 3 2 5 3 8 2 11" xfId="43135"/>
    <cellStyle name="Normal 3 2 5 3 8 2 12" xfId="47167"/>
    <cellStyle name="Normal 3 2 5 3 8 2 13" xfId="51246"/>
    <cellStyle name="Normal 3 2 5 3 8 2 2" xfId="8861"/>
    <cellStyle name="Normal 3 2 5 3 8 2 2 10" xfId="45151"/>
    <cellStyle name="Normal 3 2 5 3 8 2 2 11" xfId="49183"/>
    <cellStyle name="Normal 3 2 5 3 8 2 2 12" xfId="53262"/>
    <cellStyle name="Normal 3 2 5 3 8 2 2 2" xfId="12895"/>
    <cellStyle name="Normal 3 2 5 3 8 2 2 3" xfId="16927"/>
    <cellStyle name="Normal 3 2 5 3 8 2 2 4" xfId="20959"/>
    <cellStyle name="Normal 3 2 5 3 8 2 2 5" xfId="24991"/>
    <cellStyle name="Normal 3 2 5 3 8 2 2 6" xfId="29023"/>
    <cellStyle name="Normal 3 2 5 3 8 2 2 7" xfId="33055"/>
    <cellStyle name="Normal 3 2 5 3 8 2 2 8" xfId="37087"/>
    <cellStyle name="Normal 3 2 5 3 8 2 2 9" xfId="41119"/>
    <cellStyle name="Normal 3 2 5 3 8 2 3" xfId="10879"/>
    <cellStyle name="Normal 3 2 5 3 8 2 4" xfId="14911"/>
    <cellStyle name="Normal 3 2 5 3 8 2 5" xfId="18943"/>
    <cellStyle name="Normal 3 2 5 3 8 2 6" xfId="22975"/>
    <cellStyle name="Normal 3 2 5 3 8 2 7" xfId="27007"/>
    <cellStyle name="Normal 3 2 5 3 8 2 8" xfId="31039"/>
    <cellStyle name="Normal 3 2 5 3 8 2 9" xfId="35071"/>
    <cellStyle name="Normal 3 2 5 3 8 3" xfId="7910"/>
    <cellStyle name="Normal 3 2 5 3 8 3 10" xfId="44200"/>
    <cellStyle name="Normal 3 2 5 3 8 3 11" xfId="48232"/>
    <cellStyle name="Normal 3 2 5 3 8 3 12" xfId="52311"/>
    <cellStyle name="Normal 3 2 5 3 8 3 2" xfId="11944"/>
    <cellStyle name="Normal 3 2 5 3 8 3 3" xfId="15976"/>
    <cellStyle name="Normal 3 2 5 3 8 3 4" xfId="20008"/>
    <cellStyle name="Normal 3 2 5 3 8 3 5" xfId="24040"/>
    <cellStyle name="Normal 3 2 5 3 8 3 6" xfId="28072"/>
    <cellStyle name="Normal 3 2 5 3 8 3 7" xfId="32104"/>
    <cellStyle name="Normal 3 2 5 3 8 3 8" xfId="36136"/>
    <cellStyle name="Normal 3 2 5 3 8 3 9" xfId="40168"/>
    <cellStyle name="Normal 3 2 5 3 8 4" xfId="9928"/>
    <cellStyle name="Normal 3 2 5 3 8 5" xfId="13960"/>
    <cellStyle name="Normal 3 2 5 3 8 6" xfId="17992"/>
    <cellStyle name="Normal 3 2 5 3 8 7" xfId="22024"/>
    <cellStyle name="Normal 3 2 5 3 8 8" xfId="26056"/>
    <cellStyle name="Normal 3 2 5 3 8 9" xfId="30088"/>
    <cellStyle name="Normal 3 2 5 3 9" xfId="4414"/>
    <cellStyle name="Normal 3 2 5 3 9 10" xfId="34258"/>
    <cellStyle name="Normal 3 2 5 3 9 11" xfId="38290"/>
    <cellStyle name="Normal 3 2 5 3 9 12" xfId="42322"/>
    <cellStyle name="Normal 3 2 5 3 9 13" xfId="46354"/>
    <cellStyle name="Normal 3 2 5 3 9 14" xfId="50433"/>
    <cellStyle name="Normal 3 2 5 3 9 2" xfId="6983"/>
    <cellStyle name="Normal 3 2 5 3 9 2 10" xfId="39241"/>
    <cellStyle name="Normal 3 2 5 3 9 2 11" xfId="43273"/>
    <cellStyle name="Normal 3 2 5 3 9 2 12" xfId="47305"/>
    <cellStyle name="Normal 3 2 5 3 9 2 13" xfId="51384"/>
    <cellStyle name="Normal 3 2 5 3 9 2 2" xfId="8999"/>
    <cellStyle name="Normal 3 2 5 3 9 2 2 10" xfId="45289"/>
    <cellStyle name="Normal 3 2 5 3 9 2 2 11" xfId="49321"/>
    <cellStyle name="Normal 3 2 5 3 9 2 2 12" xfId="53400"/>
    <cellStyle name="Normal 3 2 5 3 9 2 2 2" xfId="13033"/>
    <cellStyle name="Normal 3 2 5 3 9 2 2 3" xfId="17065"/>
    <cellStyle name="Normal 3 2 5 3 9 2 2 4" xfId="21097"/>
    <cellStyle name="Normal 3 2 5 3 9 2 2 5" xfId="25129"/>
    <cellStyle name="Normal 3 2 5 3 9 2 2 6" xfId="29161"/>
    <cellStyle name="Normal 3 2 5 3 9 2 2 7" xfId="33193"/>
    <cellStyle name="Normal 3 2 5 3 9 2 2 8" xfId="37225"/>
    <cellStyle name="Normal 3 2 5 3 9 2 2 9" xfId="41257"/>
    <cellStyle name="Normal 3 2 5 3 9 2 3" xfId="11017"/>
    <cellStyle name="Normal 3 2 5 3 9 2 4" xfId="15049"/>
    <cellStyle name="Normal 3 2 5 3 9 2 5" xfId="19081"/>
    <cellStyle name="Normal 3 2 5 3 9 2 6" xfId="23113"/>
    <cellStyle name="Normal 3 2 5 3 9 2 7" xfId="27145"/>
    <cellStyle name="Normal 3 2 5 3 9 2 8" xfId="31177"/>
    <cellStyle name="Normal 3 2 5 3 9 2 9" xfId="35209"/>
    <cellStyle name="Normal 3 2 5 3 9 3" xfId="8048"/>
    <cellStyle name="Normal 3 2 5 3 9 3 10" xfId="44338"/>
    <cellStyle name="Normal 3 2 5 3 9 3 11" xfId="48370"/>
    <cellStyle name="Normal 3 2 5 3 9 3 12" xfId="52449"/>
    <cellStyle name="Normal 3 2 5 3 9 3 2" xfId="12082"/>
    <cellStyle name="Normal 3 2 5 3 9 3 3" xfId="16114"/>
    <cellStyle name="Normal 3 2 5 3 9 3 4" xfId="20146"/>
    <cellStyle name="Normal 3 2 5 3 9 3 5" xfId="24178"/>
    <cellStyle name="Normal 3 2 5 3 9 3 6" xfId="28210"/>
    <cellStyle name="Normal 3 2 5 3 9 3 7" xfId="32242"/>
    <cellStyle name="Normal 3 2 5 3 9 3 8" xfId="36274"/>
    <cellStyle name="Normal 3 2 5 3 9 3 9" xfId="40306"/>
    <cellStyle name="Normal 3 2 5 3 9 4" xfId="10066"/>
    <cellStyle name="Normal 3 2 5 3 9 5" xfId="14098"/>
    <cellStyle name="Normal 3 2 5 3 9 6" xfId="18130"/>
    <cellStyle name="Normal 3 2 5 3 9 7" xfId="22162"/>
    <cellStyle name="Normal 3 2 5 3 9 8" xfId="26194"/>
    <cellStyle name="Normal 3 2 5 3 9 9" xfId="30226"/>
    <cellStyle name="Normal 3 2 5 4" xfId="53"/>
    <cellStyle name="Normal 3 2 5 4 10" xfId="331"/>
    <cellStyle name="Normal 3 2 5 4 10 10" xfId="37536"/>
    <cellStyle name="Normal 3 2 5 4 10 11" xfId="41568"/>
    <cellStyle name="Normal 3 2 5 4 10 12" xfId="45600"/>
    <cellStyle name="Normal 3 2 5 4 10 13" xfId="49678"/>
    <cellStyle name="Normal 3 2 5 4 10 2" xfId="7294"/>
    <cellStyle name="Normal 3 2 5 4 10 2 10" xfId="43584"/>
    <cellStyle name="Normal 3 2 5 4 10 2 11" xfId="47616"/>
    <cellStyle name="Normal 3 2 5 4 10 2 12" xfId="51695"/>
    <cellStyle name="Normal 3 2 5 4 10 2 2" xfId="11328"/>
    <cellStyle name="Normal 3 2 5 4 10 2 3" xfId="15360"/>
    <cellStyle name="Normal 3 2 5 4 10 2 4" xfId="19392"/>
    <cellStyle name="Normal 3 2 5 4 10 2 5" xfId="23424"/>
    <cellStyle name="Normal 3 2 5 4 10 2 6" xfId="27456"/>
    <cellStyle name="Normal 3 2 5 4 10 2 7" xfId="31488"/>
    <cellStyle name="Normal 3 2 5 4 10 2 8" xfId="35520"/>
    <cellStyle name="Normal 3 2 5 4 10 2 9" xfId="39552"/>
    <cellStyle name="Normal 3 2 5 4 10 3" xfId="9312"/>
    <cellStyle name="Normal 3 2 5 4 10 4" xfId="13344"/>
    <cellStyle name="Normal 3 2 5 4 10 5" xfId="17376"/>
    <cellStyle name="Normal 3 2 5 4 10 6" xfId="21408"/>
    <cellStyle name="Normal 3 2 5 4 10 7" xfId="25440"/>
    <cellStyle name="Normal 3 2 5 4 10 8" xfId="29472"/>
    <cellStyle name="Normal 3 2 5 4 10 9" xfId="33504"/>
    <cellStyle name="Normal 3 2 5 4 11" xfId="7102"/>
    <cellStyle name="Normal 3 2 5 4 11 10" xfId="43392"/>
    <cellStyle name="Normal 3 2 5 4 11 11" xfId="47424"/>
    <cellStyle name="Normal 3 2 5 4 11 12" xfId="51503"/>
    <cellStyle name="Normal 3 2 5 4 11 2" xfId="11136"/>
    <cellStyle name="Normal 3 2 5 4 11 3" xfId="15168"/>
    <cellStyle name="Normal 3 2 5 4 11 4" xfId="19200"/>
    <cellStyle name="Normal 3 2 5 4 11 5" xfId="23232"/>
    <cellStyle name="Normal 3 2 5 4 11 6" xfId="27264"/>
    <cellStyle name="Normal 3 2 5 4 11 7" xfId="31296"/>
    <cellStyle name="Normal 3 2 5 4 11 8" xfId="35328"/>
    <cellStyle name="Normal 3 2 5 4 11 9" xfId="39360"/>
    <cellStyle name="Normal 3 2 5 4 12" xfId="128"/>
    <cellStyle name="Normal 3 2 5 4 13" xfId="9120"/>
    <cellStyle name="Normal 3 2 5 4 14" xfId="13152"/>
    <cellStyle name="Normal 3 2 5 4 15" xfId="17184"/>
    <cellStyle name="Normal 3 2 5 4 16" xfId="21216"/>
    <cellStyle name="Normal 3 2 5 4 17" xfId="25248"/>
    <cellStyle name="Normal 3 2 5 4 18" xfId="29280"/>
    <cellStyle name="Normal 3 2 5 4 19" xfId="33312"/>
    <cellStyle name="Normal 3 2 5 4 2" xfId="207"/>
    <cellStyle name="Normal 3 2 5 4 2 10" xfId="21285"/>
    <cellStyle name="Normal 3 2 5 4 2 11" xfId="25317"/>
    <cellStyle name="Normal 3 2 5 4 2 12" xfId="29349"/>
    <cellStyle name="Normal 3 2 5 4 2 13" xfId="33381"/>
    <cellStyle name="Normal 3 2 5 4 2 14" xfId="37413"/>
    <cellStyle name="Normal 3 2 5 4 2 15" xfId="41445"/>
    <cellStyle name="Normal 3 2 5 4 2 16" xfId="45477"/>
    <cellStyle name="Normal 3 2 5 4 2 17" xfId="49555"/>
    <cellStyle name="Normal 3 2 5 4 2 2" xfId="4325"/>
    <cellStyle name="Normal 3 2 5 4 2 2 10" xfId="34170"/>
    <cellStyle name="Normal 3 2 5 4 2 2 11" xfId="38202"/>
    <cellStyle name="Normal 3 2 5 4 2 2 12" xfId="42234"/>
    <cellStyle name="Normal 3 2 5 4 2 2 13" xfId="46266"/>
    <cellStyle name="Normal 3 2 5 4 2 2 14" xfId="50345"/>
    <cellStyle name="Normal 3 2 5 4 2 2 2" xfId="6895"/>
    <cellStyle name="Normal 3 2 5 4 2 2 2 10" xfId="39153"/>
    <cellStyle name="Normal 3 2 5 4 2 2 2 11" xfId="43185"/>
    <cellStyle name="Normal 3 2 5 4 2 2 2 12" xfId="47217"/>
    <cellStyle name="Normal 3 2 5 4 2 2 2 13" xfId="51296"/>
    <cellStyle name="Normal 3 2 5 4 2 2 2 2" xfId="8911"/>
    <cellStyle name="Normal 3 2 5 4 2 2 2 2 10" xfId="45201"/>
    <cellStyle name="Normal 3 2 5 4 2 2 2 2 11" xfId="49233"/>
    <cellStyle name="Normal 3 2 5 4 2 2 2 2 12" xfId="53312"/>
    <cellStyle name="Normal 3 2 5 4 2 2 2 2 2" xfId="12945"/>
    <cellStyle name="Normal 3 2 5 4 2 2 2 2 3" xfId="16977"/>
    <cellStyle name="Normal 3 2 5 4 2 2 2 2 4" xfId="21009"/>
    <cellStyle name="Normal 3 2 5 4 2 2 2 2 5" xfId="25041"/>
    <cellStyle name="Normal 3 2 5 4 2 2 2 2 6" xfId="29073"/>
    <cellStyle name="Normal 3 2 5 4 2 2 2 2 7" xfId="33105"/>
    <cellStyle name="Normal 3 2 5 4 2 2 2 2 8" xfId="37137"/>
    <cellStyle name="Normal 3 2 5 4 2 2 2 2 9" xfId="41169"/>
    <cellStyle name="Normal 3 2 5 4 2 2 2 3" xfId="10929"/>
    <cellStyle name="Normal 3 2 5 4 2 2 2 4" xfId="14961"/>
    <cellStyle name="Normal 3 2 5 4 2 2 2 5" xfId="18993"/>
    <cellStyle name="Normal 3 2 5 4 2 2 2 6" xfId="23025"/>
    <cellStyle name="Normal 3 2 5 4 2 2 2 7" xfId="27057"/>
    <cellStyle name="Normal 3 2 5 4 2 2 2 8" xfId="31089"/>
    <cellStyle name="Normal 3 2 5 4 2 2 2 9" xfId="35121"/>
    <cellStyle name="Normal 3 2 5 4 2 2 3" xfId="7960"/>
    <cellStyle name="Normal 3 2 5 4 2 2 3 10" xfId="44250"/>
    <cellStyle name="Normal 3 2 5 4 2 2 3 11" xfId="48282"/>
    <cellStyle name="Normal 3 2 5 4 2 2 3 12" xfId="52361"/>
    <cellStyle name="Normal 3 2 5 4 2 2 3 2" xfId="11994"/>
    <cellStyle name="Normal 3 2 5 4 2 2 3 3" xfId="16026"/>
    <cellStyle name="Normal 3 2 5 4 2 2 3 4" xfId="20058"/>
    <cellStyle name="Normal 3 2 5 4 2 2 3 5" xfId="24090"/>
    <cellStyle name="Normal 3 2 5 4 2 2 3 6" xfId="28122"/>
    <cellStyle name="Normal 3 2 5 4 2 2 3 7" xfId="32154"/>
    <cellStyle name="Normal 3 2 5 4 2 2 3 8" xfId="36186"/>
    <cellStyle name="Normal 3 2 5 4 2 2 3 9" xfId="40218"/>
    <cellStyle name="Normal 3 2 5 4 2 2 4" xfId="9978"/>
    <cellStyle name="Normal 3 2 5 4 2 2 5" xfId="14010"/>
    <cellStyle name="Normal 3 2 5 4 2 2 6" xfId="18042"/>
    <cellStyle name="Normal 3 2 5 4 2 2 7" xfId="22074"/>
    <cellStyle name="Normal 3 2 5 4 2 2 8" xfId="26106"/>
    <cellStyle name="Normal 3 2 5 4 2 2 9" xfId="30138"/>
    <cellStyle name="Normal 3 2 5 4 2 3" xfId="4464"/>
    <cellStyle name="Normal 3 2 5 4 2 3 10" xfId="34308"/>
    <cellStyle name="Normal 3 2 5 4 2 3 11" xfId="38340"/>
    <cellStyle name="Normal 3 2 5 4 2 3 12" xfId="42372"/>
    <cellStyle name="Normal 3 2 5 4 2 3 13" xfId="46404"/>
    <cellStyle name="Normal 3 2 5 4 2 3 14" xfId="50483"/>
    <cellStyle name="Normal 3 2 5 4 2 3 2" xfId="7033"/>
    <cellStyle name="Normal 3 2 5 4 2 3 2 10" xfId="39291"/>
    <cellStyle name="Normal 3 2 5 4 2 3 2 11" xfId="43323"/>
    <cellStyle name="Normal 3 2 5 4 2 3 2 12" xfId="47355"/>
    <cellStyle name="Normal 3 2 5 4 2 3 2 13" xfId="51434"/>
    <cellStyle name="Normal 3 2 5 4 2 3 2 2" xfId="9049"/>
    <cellStyle name="Normal 3 2 5 4 2 3 2 2 10" xfId="45339"/>
    <cellStyle name="Normal 3 2 5 4 2 3 2 2 11" xfId="49371"/>
    <cellStyle name="Normal 3 2 5 4 2 3 2 2 12" xfId="53450"/>
    <cellStyle name="Normal 3 2 5 4 2 3 2 2 2" xfId="13083"/>
    <cellStyle name="Normal 3 2 5 4 2 3 2 2 3" xfId="17115"/>
    <cellStyle name="Normal 3 2 5 4 2 3 2 2 4" xfId="21147"/>
    <cellStyle name="Normal 3 2 5 4 2 3 2 2 5" xfId="25179"/>
    <cellStyle name="Normal 3 2 5 4 2 3 2 2 6" xfId="29211"/>
    <cellStyle name="Normal 3 2 5 4 2 3 2 2 7" xfId="33243"/>
    <cellStyle name="Normal 3 2 5 4 2 3 2 2 8" xfId="37275"/>
    <cellStyle name="Normal 3 2 5 4 2 3 2 2 9" xfId="41307"/>
    <cellStyle name="Normal 3 2 5 4 2 3 2 3" xfId="11067"/>
    <cellStyle name="Normal 3 2 5 4 2 3 2 4" xfId="15099"/>
    <cellStyle name="Normal 3 2 5 4 2 3 2 5" xfId="19131"/>
    <cellStyle name="Normal 3 2 5 4 2 3 2 6" xfId="23163"/>
    <cellStyle name="Normal 3 2 5 4 2 3 2 7" xfId="27195"/>
    <cellStyle name="Normal 3 2 5 4 2 3 2 8" xfId="31227"/>
    <cellStyle name="Normal 3 2 5 4 2 3 2 9" xfId="35259"/>
    <cellStyle name="Normal 3 2 5 4 2 3 3" xfId="8098"/>
    <cellStyle name="Normal 3 2 5 4 2 3 3 10" xfId="44388"/>
    <cellStyle name="Normal 3 2 5 4 2 3 3 11" xfId="48420"/>
    <cellStyle name="Normal 3 2 5 4 2 3 3 12" xfId="52499"/>
    <cellStyle name="Normal 3 2 5 4 2 3 3 2" xfId="12132"/>
    <cellStyle name="Normal 3 2 5 4 2 3 3 3" xfId="16164"/>
    <cellStyle name="Normal 3 2 5 4 2 3 3 4" xfId="20196"/>
    <cellStyle name="Normal 3 2 5 4 2 3 3 5" xfId="24228"/>
    <cellStyle name="Normal 3 2 5 4 2 3 3 6" xfId="28260"/>
    <cellStyle name="Normal 3 2 5 4 2 3 3 7" xfId="32292"/>
    <cellStyle name="Normal 3 2 5 4 2 3 3 8" xfId="36324"/>
    <cellStyle name="Normal 3 2 5 4 2 3 3 9" xfId="40356"/>
    <cellStyle name="Normal 3 2 5 4 2 3 4" xfId="10116"/>
    <cellStyle name="Normal 3 2 5 4 2 3 5" xfId="14148"/>
    <cellStyle name="Normal 3 2 5 4 2 3 6" xfId="18180"/>
    <cellStyle name="Normal 3 2 5 4 2 3 7" xfId="22212"/>
    <cellStyle name="Normal 3 2 5 4 2 3 8" xfId="26244"/>
    <cellStyle name="Normal 3 2 5 4 2 3 9" xfId="30276"/>
    <cellStyle name="Normal 3 2 5 4 2 4" xfId="4604"/>
    <cellStyle name="Normal 3 2 5 4 2 4 10" xfId="38478"/>
    <cellStyle name="Normal 3 2 5 4 2 4 11" xfId="42510"/>
    <cellStyle name="Normal 3 2 5 4 2 4 12" xfId="46542"/>
    <cellStyle name="Normal 3 2 5 4 2 4 13" xfId="50621"/>
    <cellStyle name="Normal 3 2 5 4 2 4 2" xfId="8236"/>
    <cellStyle name="Normal 3 2 5 4 2 4 2 10" xfId="44526"/>
    <cellStyle name="Normal 3 2 5 4 2 4 2 11" xfId="48558"/>
    <cellStyle name="Normal 3 2 5 4 2 4 2 12" xfId="52637"/>
    <cellStyle name="Normal 3 2 5 4 2 4 2 2" xfId="12270"/>
    <cellStyle name="Normal 3 2 5 4 2 4 2 3" xfId="16302"/>
    <cellStyle name="Normal 3 2 5 4 2 4 2 4" xfId="20334"/>
    <cellStyle name="Normal 3 2 5 4 2 4 2 5" xfId="24366"/>
    <cellStyle name="Normal 3 2 5 4 2 4 2 6" xfId="28398"/>
    <cellStyle name="Normal 3 2 5 4 2 4 2 7" xfId="32430"/>
    <cellStyle name="Normal 3 2 5 4 2 4 2 8" xfId="36462"/>
    <cellStyle name="Normal 3 2 5 4 2 4 2 9" xfId="40494"/>
    <cellStyle name="Normal 3 2 5 4 2 4 3" xfId="10254"/>
    <cellStyle name="Normal 3 2 5 4 2 4 4" xfId="14286"/>
    <cellStyle name="Normal 3 2 5 4 2 4 5" xfId="18318"/>
    <cellStyle name="Normal 3 2 5 4 2 4 6" xfId="22350"/>
    <cellStyle name="Normal 3 2 5 4 2 4 7" xfId="26382"/>
    <cellStyle name="Normal 3 2 5 4 2 4 8" xfId="30414"/>
    <cellStyle name="Normal 3 2 5 4 2 4 9" xfId="34446"/>
    <cellStyle name="Normal 3 2 5 4 2 5" xfId="1641"/>
    <cellStyle name="Normal 3 2 5 4 2 5 10" xfId="37634"/>
    <cellStyle name="Normal 3 2 5 4 2 5 11" xfId="41666"/>
    <cellStyle name="Normal 3 2 5 4 2 5 12" xfId="45698"/>
    <cellStyle name="Normal 3 2 5 4 2 5 13" xfId="49776"/>
    <cellStyle name="Normal 3 2 5 4 2 5 2" xfId="7392"/>
    <cellStyle name="Normal 3 2 5 4 2 5 2 10" xfId="43682"/>
    <cellStyle name="Normal 3 2 5 4 2 5 2 11" xfId="47714"/>
    <cellStyle name="Normal 3 2 5 4 2 5 2 12" xfId="51793"/>
    <cellStyle name="Normal 3 2 5 4 2 5 2 2" xfId="11426"/>
    <cellStyle name="Normal 3 2 5 4 2 5 2 3" xfId="15458"/>
    <cellStyle name="Normal 3 2 5 4 2 5 2 4" xfId="19490"/>
    <cellStyle name="Normal 3 2 5 4 2 5 2 5" xfId="23522"/>
    <cellStyle name="Normal 3 2 5 4 2 5 2 6" xfId="27554"/>
    <cellStyle name="Normal 3 2 5 4 2 5 2 7" xfId="31586"/>
    <cellStyle name="Normal 3 2 5 4 2 5 2 8" xfId="35618"/>
    <cellStyle name="Normal 3 2 5 4 2 5 2 9" xfId="39650"/>
    <cellStyle name="Normal 3 2 5 4 2 5 3" xfId="9410"/>
    <cellStyle name="Normal 3 2 5 4 2 5 4" xfId="13442"/>
    <cellStyle name="Normal 3 2 5 4 2 5 5" xfId="17474"/>
    <cellStyle name="Normal 3 2 5 4 2 5 6" xfId="21506"/>
    <cellStyle name="Normal 3 2 5 4 2 5 7" xfId="25538"/>
    <cellStyle name="Normal 3 2 5 4 2 5 8" xfId="29570"/>
    <cellStyle name="Normal 3 2 5 4 2 5 9" xfId="33602"/>
    <cellStyle name="Normal 3 2 5 4 2 6" xfId="7171"/>
    <cellStyle name="Normal 3 2 5 4 2 6 10" xfId="43461"/>
    <cellStyle name="Normal 3 2 5 4 2 6 11" xfId="47493"/>
    <cellStyle name="Normal 3 2 5 4 2 6 12" xfId="51572"/>
    <cellStyle name="Normal 3 2 5 4 2 6 2" xfId="11205"/>
    <cellStyle name="Normal 3 2 5 4 2 6 3" xfId="15237"/>
    <cellStyle name="Normal 3 2 5 4 2 6 4" xfId="19269"/>
    <cellStyle name="Normal 3 2 5 4 2 6 5" xfId="23301"/>
    <cellStyle name="Normal 3 2 5 4 2 6 6" xfId="27333"/>
    <cellStyle name="Normal 3 2 5 4 2 6 7" xfId="31365"/>
    <cellStyle name="Normal 3 2 5 4 2 6 8" xfId="35397"/>
    <cellStyle name="Normal 3 2 5 4 2 6 9" xfId="39429"/>
    <cellStyle name="Normal 3 2 5 4 2 7" xfId="9189"/>
    <cellStyle name="Normal 3 2 5 4 2 8" xfId="13221"/>
    <cellStyle name="Normal 3 2 5 4 2 9" xfId="17253"/>
    <cellStyle name="Normal 3 2 5 4 20" xfId="37344"/>
    <cellStyle name="Normal 3 2 5 4 21" xfId="41376"/>
    <cellStyle name="Normal 3 2 5 4 22" xfId="45408"/>
    <cellStyle name="Normal 3 2 5 4 23" xfId="49486"/>
    <cellStyle name="Normal 3 2 5 4 3" xfId="1715"/>
    <cellStyle name="Normal 3 2 5 4 3 10" xfId="33671"/>
    <cellStyle name="Normal 3 2 5 4 3 11" xfId="37703"/>
    <cellStyle name="Normal 3 2 5 4 3 12" xfId="41735"/>
    <cellStyle name="Normal 3 2 5 4 3 13" xfId="45767"/>
    <cellStyle name="Normal 3 2 5 4 3 14" xfId="49845"/>
    <cellStyle name="Normal 3 2 5 4 3 2" xfId="5386"/>
    <cellStyle name="Normal 3 2 5 4 3 2 10" xfId="38654"/>
    <cellStyle name="Normal 3 2 5 4 3 2 11" xfId="42686"/>
    <cellStyle name="Normal 3 2 5 4 3 2 12" xfId="46718"/>
    <cellStyle name="Normal 3 2 5 4 3 2 13" xfId="50797"/>
    <cellStyle name="Normal 3 2 5 4 3 2 2" xfId="8412"/>
    <cellStyle name="Normal 3 2 5 4 3 2 2 10" xfId="44702"/>
    <cellStyle name="Normal 3 2 5 4 3 2 2 11" xfId="48734"/>
    <cellStyle name="Normal 3 2 5 4 3 2 2 12" xfId="52813"/>
    <cellStyle name="Normal 3 2 5 4 3 2 2 2" xfId="12446"/>
    <cellStyle name="Normal 3 2 5 4 3 2 2 3" xfId="16478"/>
    <cellStyle name="Normal 3 2 5 4 3 2 2 4" xfId="20510"/>
    <cellStyle name="Normal 3 2 5 4 3 2 2 5" xfId="24542"/>
    <cellStyle name="Normal 3 2 5 4 3 2 2 6" xfId="28574"/>
    <cellStyle name="Normal 3 2 5 4 3 2 2 7" xfId="32606"/>
    <cellStyle name="Normal 3 2 5 4 3 2 2 8" xfId="36638"/>
    <cellStyle name="Normal 3 2 5 4 3 2 2 9" xfId="40670"/>
    <cellStyle name="Normal 3 2 5 4 3 2 3" xfId="10430"/>
    <cellStyle name="Normal 3 2 5 4 3 2 4" xfId="14462"/>
    <cellStyle name="Normal 3 2 5 4 3 2 5" xfId="18494"/>
    <cellStyle name="Normal 3 2 5 4 3 2 6" xfId="22526"/>
    <cellStyle name="Normal 3 2 5 4 3 2 7" xfId="26558"/>
    <cellStyle name="Normal 3 2 5 4 3 2 8" xfId="30590"/>
    <cellStyle name="Normal 3 2 5 4 3 2 9" xfId="34622"/>
    <cellStyle name="Normal 3 2 5 4 3 3" xfId="7461"/>
    <cellStyle name="Normal 3 2 5 4 3 3 10" xfId="43751"/>
    <cellStyle name="Normal 3 2 5 4 3 3 11" xfId="47783"/>
    <cellStyle name="Normal 3 2 5 4 3 3 12" xfId="51862"/>
    <cellStyle name="Normal 3 2 5 4 3 3 2" xfId="11495"/>
    <cellStyle name="Normal 3 2 5 4 3 3 3" xfId="15527"/>
    <cellStyle name="Normal 3 2 5 4 3 3 4" xfId="19559"/>
    <cellStyle name="Normal 3 2 5 4 3 3 5" xfId="23591"/>
    <cellStyle name="Normal 3 2 5 4 3 3 6" xfId="27623"/>
    <cellStyle name="Normal 3 2 5 4 3 3 7" xfId="31655"/>
    <cellStyle name="Normal 3 2 5 4 3 3 8" xfId="35687"/>
    <cellStyle name="Normal 3 2 5 4 3 3 9" xfId="39719"/>
    <cellStyle name="Normal 3 2 5 4 3 4" xfId="9479"/>
    <cellStyle name="Normal 3 2 5 4 3 5" xfId="13511"/>
    <cellStyle name="Normal 3 2 5 4 3 6" xfId="17543"/>
    <cellStyle name="Normal 3 2 5 4 3 7" xfId="21575"/>
    <cellStyle name="Normal 3 2 5 4 3 8" xfId="25607"/>
    <cellStyle name="Normal 3 2 5 4 3 9" xfId="29639"/>
    <cellStyle name="Normal 3 2 5 4 4" xfId="4037"/>
    <cellStyle name="Normal 3 2 5 4 4 10" xfId="33894"/>
    <cellStyle name="Normal 3 2 5 4 4 11" xfId="37926"/>
    <cellStyle name="Normal 3 2 5 4 4 12" xfId="41958"/>
    <cellStyle name="Normal 3 2 5 4 4 13" xfId="45990"/>
    <cellStyle name="Normal 3 2 5 4 4 14" xfId="50068"/>
    <cellStyle name="Normal 3 2 5 4 4 2" xfId="6619"/>
    <cellStyle name="Normal 3 2 5 4 4 2 10" xfId="38877"/>
    <cellStyle name="Normal 3 2 5 4 4 2 11" xfId="42909"/>
    <cellStyle name="Normal 3 2 5 4 4 2 12" xfId="46941"/>
    <cellStyle name="Normal 3 2 5 4 4 2 13" xfId="51020"/>
    <cellStyle name="Normal 3 2 5 4 4 2 2" xfId="8635"/>
    <cellStyle name="Normal 3 2 5 4 4 2 2 10" xfId="44925"/>
    <cellStyle name="Normal 3 2 5 4 4 2 2 11" xfId="48957"/>
    <cellStyle name="Normal 3 2 5 4 4 2 2 12" xfId="53036"/>
    <cellStyle name="Normal 3 2 5 4 4 2 2 2" xfId="12669"/>
    <cellStyle name="Normal 3 2 5 4 4 2 2 3" xfId="16701"/>
    <cellStyle name="Normal 3 2 5 4 4 2 2 4" xfId="20733"/>
    <cellStyle name="Normal 3 2 5 4 4 2 2 5" xfId="24765"/>
    <cellStyle name="Normal 3 2 5 4 4 2 2 6" xfId="28797"/>
    <cellStyle name="Normal 3 2 5 4 4 2 2 7" xfId="32829"/>
    <cellStyle name="Normal 3 2 5 4 4 2 2 8" xfId="36861"/>
    <cellStyle name="Normal 3 2 5 4 4 2 2 9" xfId="40893"/>
    <cellStyle name="Normal 3 2 5 4 4 2 3" xfId="10653"/>
    <cellStyle name="Normal 3 2 5 4 4 2 4" xfId="14685"/>
    <cellStyle name="Normal 3 2 5 4 4 2 5" xfId="18717"/>
    <cellStyle name="Normal 3 2 5 4 4 2 6" xfId="22749"/>
    <cellStyle name="Normal 3 2 5 4 4 2 7" xfId="26781"/>
    <cellStyle name="Normal 3 2 5 4 4 2 8" xfId="30813"/>
    <cellStyle name="Normal 3 2 5 4 4 2 9" xfId="34845"/>
    <cellStyle name="Normal 3 2 5 4 4 3" xfId="7684"/>
    <cellStyle name="Normal 3 2 5 4 4 3 10" xfId="43974"/>
    <cellStyle name="Normal 3 2 5 4 4 3 11" xfId="48006"/>
    <cellStyle name="Normal 3 2 5 4 4 3 12" xfId="52085"/>
    <cellStyle name="Normal 3 2 5 4 4 3 2" xfId="11718"/>
    <cellStyle name="Normal 3 2 5 4 4 3 3" xfId="15750"/>
    <cellStyle name="Normal 3 2 5 4 4 3 4" xfId="19782"/>
    <cellStyle name="Normal 3 2 5 4 4 3 5" xfId="23814"/>
    <cellStyle name="Normal 3 2 5 4 4 3 6" xfId="27846"/>
    <cellStyle name="Normal 3 2 5 4 4 3 7" xfId="31878"/>
    <cellStyle name="Normal 3 2 5 4 4 3 8" xfId="35910"/>
    <cellStyle name="Normal 3 2 5 4 4 3 9" xfId="39942"/>
    <cellStyle name="Normal 3 2 5 4 4 4" xfId="9702"/>
    <cellStyle name="Normal 3 2 5 4 4 5" xfId="13734"/>
    <cellStyle name="Normal 3 2 5 4 4 6" xfId="17766"/>
    <cellStyle name="Normal 3 2 5 4 4 7" xfId="21798"/>
    <cellStyle name="Normal 3 2 5 4 4 8" xfId="25830"/>
    <cellStyle name="Normal 3 2 5 4 4 9" xfId="29862"/>
    <cellStyle name="Normal 3 2 5 4 5" xfId="4107"/>
    <cellStyle name="Normal 3 2 5 4 5 10" xfId="33963"/>
    <cellStyle name="Normal 3 2 5 4 5 11" xfId="37995"/>
    <cellStyle name="Normal 3 2 5 4 5 12" xfId="42027"/>
    <cellStyle name="Normal 3 2 5 4 5 13" xfId="46059"/>
    <cellStyle name="Normal 3 2 5 4 5 14" xfId="50137"/>
    <cellStyle name="Normal 3 2 5 4 5 2" xfId="6688"/>
    <cellStyle name="Normal 3 2 5 4 5 2 10" xfId="38946"/>
    <cellStyle name="Normal 3 2 5 4 5 2 11" xfId="42978"/>
    <cellStyle name="Normal 3 2 5 4 5 2 12" xfId="47010"/>
    <cellStyle name="Normal 3 2 5 4 5 2 13" xfId="51089"/>
    <cellStyle name="Normal 3 2 5 4 5 2 2" xfId="8704"/>
    <cellStyle name="Normal 3 2 5 4 5 2 2 10" xfId="44994"/>
    <cellStyle name="Normal 3 2 5 4 5 2 2 11" xfId="49026"/>
    <cellStyle name="Normal 3 2 5 4 5 2 2 12" xfId="53105"/>
    <cellStyle name="Normal 3 2 5 4 5 2 2 2" xfId="12738"/>
    <cellStyle name="Normal 3 2 5 4 5 2 2 3" xfId="16770"/>
    <cellStyle name="Normal 3 2 5 4 5 2 2 4" xfId="20802"/>
    <cellStyle name="Normal 3 2 5 4 5 2 2 5" xfId="24834"/>
    <cellStyle name="Normal 3 2 5 4 5 2 2 6" xfId="28866"/>
    <cellStyle name="Normal 3 2 5 4 5 2 2 7" xfId="32898"/>
    <cellStyle name="Normal 3 2 5 4 5 2 2 8" xfId="36930"/>
    <cellStyle name="Normal 3 2 5 4 5 2 2 9" xfId="40962"/>
    <cellStyle name="Normal 3 2 5 4 5 2 3" xfId="10722"/>
    <cellStyle name="Normal 3 2 5 4 5 2 4" xfId="14754"/>
    <cellStyle name="Normal 3 2 5 4 5 2 5" xfId="18786"/>
    <cellStyle name="Normal 3 2 5 4 5 2 6" xfId="22818"/>
    <cellStyle name="Normal 3 2 5 4 5 2 7" xfId="26850"/>
    <cellStyle name="Normal 3 2 5 4 5 2 8" xfId="30882"/>
    <cellStyle name="Normal 3 2 5 4 5 2 9" xfId="34914"/>
    <cellStyle name="Normal 3 2 5 4 5 3" xfId="7753"/>
    <cellStyle name="Normal 3 2 5 4 5 3 10" xfId="44043"/>
    <cellStyle name="Normal 3 2 5 4 5 3 11" xfId="48075"/>
    <cellStyle name="Normal 3 2 5 4 5 3 12" xfId="52154"/>
    <cellStyle name="Normal 3 2 5 4 5 3 2" xfId="11787"/>
    <cellStyle name="Normal 3 2 5 4 5 3 3" xfId="15819"/>
    <cellStyle name="Normal 3 2 5 4 5 3 4" xfId="19851"/>
    <cellStyle name="Normal 3 2 5 4 5 3 5" xfId="23883"/>
    <cellStyle name="Normal 3 2 5 4 5 3 6" xfId="27915"/>
    <cellStyle name="Normal 3 2 5 4 5 3 7" xfId="31947"/>
    <cellStyle name="Normal 3 2 5 4 5 3 8" xfId="35979"/>
    <cellStyle name="Normal 3 2 5 4 5 3 9" xfId="40011"/>
    <cellStyle name="Normal 3 2 5 4 5 4" xfId="9771"/>
    <cellStyle name="Normal 3 2 5 4 5 5" xfId="13803"/>
    <cellStyle name="Normal 3 2 5 4 5 6" xfId="17835"/>
    <cellStyle name="Normal 3 2 5 4 5 7" xfId="21867"/>
    <cellStyle name="Normal 3 2 5 4 5 8" xfId="25899"/>
    <cellStyle name="Normal 3 2 5 4 5 9" xfId="29931"/>
    <cellStyle name="Normal 3 2 5 4 6" xfId="4176"/>
    <cellStyle name="Normal 3 2 5 4 6 10" xfId="34032"/>
    <cellStyle name="Normal 3 2 5 4 6 11" xfId="38064"/>
    <cellStyle name="Normal 3 2 5 4 6 12" xfId="42096"/>
    <cellStyle name="Normal 3 2 5 4 6 13" xfId="46128"/>
    <cellStyle name="Normal 3 2 5 4 6 14" xfId="50206"/>
    <cellStyle name="Normal 3 2 5 4 6 2" xfId="6757"/>
    <cellStyle name="Normal 3 2 5 4 6 2 10" xfId="39015"/>
    <cellStyle name="Normal 3 2 5 4 6 2 11" xfId="43047"/>
    <cellStyle name="Normal 3 2 5 4 6 2 12" xfId="47079"/>
    <cellStyle name="Normal 3 2 5 4 6 2 13" xfId="51158"/>
    <cellStyle name="Normal 3 2 5 4 6 2 2" xfId="8773"/>
    <cellStyle name="Normal 3 2 5 4 6 2 2 10" xfId="45063"/>
    <cellStyle name="Normal 3 2 5 4 6 2 2 11" xfId="49095"/>
    <cellStyle name="Normal 3 2 5 4 6 2 2 12" xfId="53174"/>
    <cellStyle name="Normal 3 2 5 4 6 2 2 2" xfId="12807"/>
    <cellStyle name="Normal 3 2 5 4 6 2 2 3" xfId="16839"/>
    <cellStyle name="Normal 3 2 5 4 6 2 2 4" xfId="20871"/>
    <cellStyle name="Normal 3 2 5 4 6 2 2 5" xfId="24903"/>
    <cellStyle name="Normal 3 2 5 4 6 2 2 6" xfId="28935"/>
    <cellStyle name="Normal 3 2 5 4 6 2 2 7" xfId="32967"/>
    <cellStyle name="Normal 3 2 5 4 6 2 2 8" xfId="36999"/>
    <cellStyle name="Normal 3 2 5 4 6 2 2 9" xfId="41031"/>
    <cellStyle name="Normal 3 2 5 4 6 2 3" xfId="10791"/>
    <cellStyle name="Normal 3 2 5 4 6 2 4" xfId="14823"/>
    <cellStyle name="Normal 3 2 5 4 6 2 5" xfId="18855"/>
    <cellStyle name="Normal 3 2 5 4 6 2 6" xfId="22887"/>
    <cellStyle name="Normal 3 2 5 4 6 2 7" xfId="26919"/>
    <cellStyle name="Normal 3 2 5 4 6 2 8" xfId="30951"/>
    <cellStyle name="Normal 3 2 5 4 6 2 9" xfId="34983"/>
    <cellStyle name="Normal 3 2 5 4 6 3" xfId="7822"/>
    <cellStyle name="Normal 3 2 5 4 6 3 10" xfId="44112"/>
    <cellStyle name="Normal 3 2 5 4 6 3 11" xfId="48144"/>
    <cellStyle name="Normal 3 2 5 4 6 3 12" xfId="52223"/>
    <cellStyle name="Normal 3 2 5 4 6 3 2" xfId="11856"/>
    <cellStyle name="Normal 3 2 5 4 6 3 3" xfId="15888"/>
    <cellStyle name="Normal 3 2 5 4 6 3 4" xfId="19920"/>
    <cellStyle name="Normal 3 2 5 4 6 3 5" xfId="23952"/>
    <cellStyle name="Normal 3 2 5 4 6 3 6" xfId="27984"/>
    <cellStyle name="Normal 3 2 5 4 6 3 7" xfId="32016"/>
    <cellStyle name="Normal 3 2 5 4 6 3 8" xfId="36048"/>
    <cellStyle name="Normal 3 2 5 4 6 3 9" xfId="40080"/>
    <cellStyle name="Normal 3 2 5 4 6 4" xfId="9840"/>
    <cellStyle name="Normal 3 2 5 4 6 5" xfId="13872"/>
    <cellStyle name="Normal 3 2 5 4 6 6" xfId="17904"/>
    <cellStyle name="Normal 3 2 5 4 6 7" xfId="21936"/>
    <cellStyle name="Normal 3 2 5 4 6 8" xfId="25968"/>
    <cellStyle name="Normal 3 2 5 4 6 9" xfId="30000"/>
    <cellStyle name="Normal 3 2 5 4 7" xfId="4249"/>
    <cellStyle name="Normal 3 2 5 4 7 10" xfId="34101"/>
    <cellStyle name="Normal 3 2 5 4 7 11" xfId="38133"/>
    <cellStyle name="Normal 3 2 5 4 7 12" xfId="42165"/>
    <cellStyle name="Normal 3 2 5 4 7 13" xfId="46197"/>
    <cellStyle name="Normal 3 2 5 4 7 14" xfId="50275"/>
    <cellStyle name="Normal 3 2 5 4 7 2" xfId="6826"/>
    <cellStyle name="Normal 3 2 5 4 7 2 10" xfId="39084"/>
    <cellStyle name="Normal 3 2 5 4 7 2 11" xfId="43116"/>
    <cellStyle name="Normal 3 2 5 4 7 2 12" xfId="47148"/>
    <cellStyle name="Normal 3 2 5 4 7 2 13" xfId="51227"/>
    <cellStyle name="Normal 3 2 5 4 7 2 2" xfId="8842"/>
    <cellStyle name="Normal 3 2 5 4 7 2 2 10" xfId="45132"/>
    <cellStyle name="Normal 3 2 5 4 7 2 2 11" xfId="49164"/>
    <cellStyle name="Normal 3 2 5 4 7 2 2 12" xfId="53243"/>
    <cellStyle name="Normal 3 2 5 4 7 2 2 2" xfId="12876"/>
    <cellStyle name="Normal 3 2 5 4 7 2 2 3" xfId="16908"/>
    <cellStyle name="Normal 3 2 5 4 7 2 2 4" xfId="20940"/>
    <cellStyle name="Normal 3 2 5 4 7 2 2 5" xfId="24972"/>
    <cellStyle name="Normal 3 2 5 4 7 2 2 6" xfId="29004"/>
    <cellStyle name="Normal 3 2 5 4 7 2 2 7" xfId="33036"/>
    <cellStyle name="Normal 3 2 5 4 7 2 2 8" xfId="37068"/>
    <cellStyle name="Normal 3 2 5 4 7 2 2 9" xfId="41100"/>
    <cellStyle name="Normal 3 2 5 4 7 2 3" xfId="10860"/>
    <cellStyle name="Normal 3 2 5 4 7 2 4" xfId="14892"/>
    <cellStyle name="Normal 3 2 5 4 7 2 5" xfId="18924"/>
    <cellStyle name="Normal 3 2 5 4 7 2 6" xfId="22956"/>
    <cellStyle name="Normal 3 2 5 4 7 2 7" xfId="26988"/>
    <cellStyle name="Normal 3 2 5 4 7 2 8" xfId="31020"/>
    <cellStyle name="Normal 3 2 5 4 7 2 9" xfId="35052"/>
    <cellStyle name="Normal 3 2 5 4 7 3" xfId="7891"/>
    <cellStyle name="Normal 3 2 5 4 7 3 10" xfId="44181"/>
    <cellStyle name="Normal 3 2 5 4 7 3 11" xfId="48213"/>
    <cellStyle name="Normal 3 2 5 4 7 3 12" xfId="52292"/>
    <cellStyle name="Normal 3 2 5 4 7 3 2" xfId="11925"/>
    <cellStyle name="Normal 3 2 5 4 7 3 3" xfId="15957"/>
    <cellStyle name="Normal 3 2 5 4 7 3 4" xfId="19989"/>
    <cellStyle name="Normal 3 2 5 4 7 3 5" xfId="24021"/>
    <cellStyle name="Normal 3 2 5 4 7 3 6" xfId="28053"/>
    <cellStyle name="Normal 3 2 5 4 7 3 7" xfId="32085"/>
    <cellStyle name="Normal 3 2 5 4 7 3 8" xfId="36117"/>
    <cellStyle name="Normal 3 2 5 4 7 3 9" xfId="40149"/>
    <cellStyle name="Normal 3 2 5 4 7 4" xfId="9909"/>
    <cellStyle name="Normal 3 2 5 4 7 5" xfId="13941"/>
    <cellStyle name="Normal 3 2 5 4 7 6" xfId="17973"/>
    <cellStyle name="Normal 3 2 5 4 7 7" xfId="22005"/>
    <cellStyle name="Normal 3 2 5 4 7 8" xfId="26037"/>
    <cellStyle name="Normal 3 2 5 4 7 9" xfId="30069"/>
    <cellStyle name="Normal 3 2 5 4 8" xfId="4395"/>
    <cellStyle name="Normal 3 2 5 4 8 10" xfId="34239"/>
    <cellStyle name="Normal 3 2 5 4 8 11" xfId="38271"/>
    <cellStyle name="Normal 3 2 5 4 8 12" xfId="42303"/>
    <cellStyle name="Normal 3 2 5 4 8 13" xfId="46335"/>
    <cellStyle name="Normal 3 2 5 4 8 14" xfId="50414"/>
    <cellStyle name="Normal 3 2 5 4 8 2" xfId="6964"/>
    <cellStyle name="Normal 3 2 5 4 8 2 10" xfId="39222"/>
    <cellStyle name="Normal 3 2 5 4 8 2 11" xfId="43254"/>
    <cellStyle name="Normal 3 2 5 4 8 2 12" xfId="47286"/>
    <cellStyle name="Normal 3 2 5 4 8 2 13" xfId="51365"/>
    <cellStyle name="Normal 3 2 5 4 8 2 2" xfId="8980"/>
    <cellStyle name="Normal 3 2 5 4 8 2 2 10" xfId="45270"/>
    <cellStyle name="Normal 3 2 5 4 8 2 2 11" xfId="49302"/>
    <cellStyle name="Normal 3 2 5 4 8 2 2 12" xfId="53381"/>
    <cellStyle name="Normal 3 2 5 4 8 2 2 2" xfId="13014"/>
    <cellStyle name="Normal 3 2 5 4 8 2 2 3" xfId="17046"/>
    <cellStyle name="Normal 3 2 5 4 8 2 2 4" xfId="21078"/>
    <cellStyle name="Normal 3 2 5 4 8 2 2 5" xfId="25110"/>
    <cellStyle name="Normal 3 2 5 4 8 2 2 6" xfId="29142"/>
    <cellStyle name="Normal 3 2 5 4 8 2 2 7" xfId="33174"/>
    <cellStyle name="Normal 3 2 5 4 8 2 2 8" xfId="37206"/>
    <cellStyle name="Normal 3 2 5 4 8 2 2 9" xfId="41238"/>
    <cellStyle name="Normal 3 2 5 4 8 2 3" xfId="10998"/>
    <cellStyle name="Normal 3 2 5 4 8 2 4" xfId="15030"/>
    <cellStyle name="Normal 3 2 5 4 8 2 5" xfId="19062"/>
    <cellStyle name="Normal 3 2 5 4 8 2 6" xfId="23094"/>
    <cellStyle name="Normal 3 2 5 4 8 2 7" xfId="27126"/>
    <cellStyle name="Normal 3 2 5 4 8 2 8" xfId="31158"/>
    <cellStyle name="Normal 3 2 5 4 8 2 9" xfId="35190"/>
    <cellStyle name="Normal 3 2 5 4 8 3" xfId="8029"/>
    <cellStyle name="Normal 3 2 5 4 8 3 10" xfId="44319"/>
    <cellStyle name="Normal 3 2 5 4 8 3 11" xfId="48351"/>
    <cellStyle name="Normal 3 2 5 4 8 3 12" xfId="52430"/>
    <cellStyle name="Normal 3 2 5 4 8 3 2" xfId="12063"/>
    <cellStyle name="Normal 3 2 5 4 8 3 3" xfId="16095"/>
    <cellStyle name="Normal 3 2 5 4 8 3 4" xfId="20127"/>
    <cellStyle name="Normal 3 2 5 4 8 3 5" xfId="24159"/>
    <cellStyle name="Normal 3 2 5 4 8 3 6" xfId="28191"/>
    <cellStyle name="Normal 3 2 5 4 8 3 7" xfId="32223"/>
    <cellStyle name="Normal 3 2 5 4 8 3 8" xfId="36255"/>
    <cellStyle name="Normal 3 2 5 4 8 3 9" xfId="40287"/>
    <cellStyle name="Normal 3 2 5 4 8 4" xfId="10047"/>
    <cellStyle name="Normal 3 2 5 4 8 5" xfId="14079"/>
    <cellStyle name="Normal 3 2 5 4 8 6" xfId="18111"/>
    <cellStyle name="Normal 3 2 5 4 8 7" xfId="22143"/>
    <cellStyle name="Normal 3 2 5 4 8 8" xfId="26175"/>
    <cellStyle name="Normal 3 2 5 4 8 9" xfId="30207"/>
    <cellStyle name="Normal 3 2 5 4 9" xfId="4533"/>
    <cellStyle name="Normal 3 2 5 4 9 10" xfId="38409"/>
    <cellStyle name="Normal 3 2 5 4 9 11" xfId="42441"/>
    <cellStyle name="Normal 3 2 5 4 9 12" xfId="46473"/>
    <cellStyle name="Normal 3 2 5 4 9 13" xfId="50552"/>
    <cellStyle name="Normal 3 2 5 4 9 2" xfId="8167"/>
    <cellStyle name="Normal 3 2 5 4 9 2 10" xfId="44457"/>
    <cellStyle name="Normal 3 2 5 4 9 2 11" xfId="48489"/>
    <cellStyle name="Normal 3 2 5 4 9 2 12" xfId="52568"/>
    <cellStyle name="Normal 3 2 5 4 9 2 2" xfId="12201"/>
    <cellStyle name="Normal 3 2 5 4 9 2 3" xfId="16233"/>
    <cellStyle name="Normal 3 2 5 4 9 2 4" xfId="20265"/>
    <cellStyle name="Normal 3 2 5 4 9 2 5" xfId="24297"/>
    <cellStyle name="Normal 3 2 5 4 9 2 6" xfId="28329"/>
    <cellStyle name="Normal 3 2 5 4 9 2 7" xfId="32361"/>
    <cellStyle name="Normal 3 2 5 4 9 2 8" xfId="36393"/>
    <cellStyle name="Normal 3 2 5 4 9 2 9" xfId="40425"/>
    <cellStyle name="Normal 3 2 5 4 9 3" xfId="10185"/>
    <cellStyle name="Normal 3 2 5 4 9 4" xfId="14217"/>
    <cellStyle name="Normal 3 2 5 4 9 5" xfId="18249"/>
    <cellStyle name="Normal 3 2 5 4 9 6" xfId="22281"/>
    <cellStyle name="Normal 3 2 5 4 9 7" xfId="26313"/>
    <cellStyle name="Normal 3 2 5 4 9 8" xfId="30345"/>
    <cellStyle name="Normal 3 2 5 4 9 9" xfId="34377"/>
    <cellStyle name="Normal 3 2 5 5" xfId="188"/>
    <cellStyle name="Normal 3 2 5 5 10" xfId="21269"/>
    <cellStyle name="Normal 3 2 5 5 11" xfId="25301"/>
    <cellStyle name="Normal 3 2 5 5 12" xfId="29333"/>
    <cellStyle name="Normal 3 2 5 5 13" xfId="33365"/>
    <cellStyle name="Normal 3 2 5 5 14" xfId="37397"/>
    <cellStyle name="Normal 3 2 5 5 15" xfId="41429"/>
    <cellStyle name="Normal 3 2 5 5 16" xfId="45461"/>
    <cellStyle name="Normal 3 2 5 5 17" xfId="49539"/>
    <cellStyle name="Normal 3 2 5 5 2" xfId="4307"/>
    <cellStyle name="Normal 3 2 5 5 2 10" xfId="34154"/>
    <cellStyle name="Normal 3 2 5 5 2 11" xfId="38186"/>
    <cellStyle name="Normal 3 2 5 5 2 12" xfId="42218"/>
    <cellStyle name="Normal 3 2 5 5 2 13" xfId="46250"/>
    <cellStyle name="Normal 3 2 5 5 2 14" xfId="50329"/>
    <cellStyle name="Normal 3 2 5 5 2 2" xfId="6879"/>
    <cellStyle name="Normal 3 2 5 5 2 2 10" xfId="39137"/>
    <cellStyle name="Normal 3 2 5 5 2 2 11" xfId="43169"/>
    <cellStyle name="Normal 3 2 5 5 2 2 12" xfId="47201"/>
    <cellStyle name="Normal 3 2 5 5 2 2 13" xfId="51280"/>
    <cellStyle name="Normal 3 2 5 5 2 2 2" xfId="8895"/>
    <cellStyle name="Normal 3 2 5 5 2 2 2 10" xfId="45185"/>
    <cellStyle name="Normal 3 2 5 5 2 2 2 11" xfId="49217"/>
    <cellStyle name="Normal 3 2 5 5 2 2 2 12" xfId="53296"/>
    <cellStyle name="Normal 3 2 5 5 2 2 2 2" xfId="12929"/>
    <cellStyle name="Normal 3 2 5 5 2 2 2 3" xfId="16961"/>
    <cellStyle name="Normal 3 2 5 5 2 2 2 4" xfId="20993"/>
    <cellStyle name="Normal 3 2 5 5 2 2 2 5" xfId="25025"/>
    <cellStyle name="Normal 3 2 5 5 2 2 2 6" xfId="29057"/>
    <cellStyle name="Normal 3 2 5 5 2 2 2 7" xfId="33089"/>
    <cellStyle name="Normal 3 2 5 5 2 2 2 8" xfId="37121"/>
    <cellStyle name="Normal 3 2 5 5 2 2 2 9" xfId="41153"/>
    <cellStyle name="Normal 3 2 5 5 2 2 3" xfId="10913"/>
    <cellStyle name="Normal 3 2 5 5 2 2 4" xfId="14945"/>
    <cellStyle name="Normal 3 2 5 5 2 2 5" xfId="18977"/>
    <cellStyle name="Normal 3 2 5 5 2 2 6" xfId="23009"/>
    <cellStyle name="Normal 3 2 5 5 2 2 7" xfId="27041"/>
    <cellStyle name="Normal 3 2 5 5 2 2 8" xfId="31073"/>
    <cellStyle name="Normal 3 2 5 5 2 2 9" xfId="35105"/>
    <cellStyle name="Normal 3 2 5 5 2 3" xfId="7944"/>
    <cellStyle name="Normal 3 2 5 5 2 3 10" xfId="44234"/>
    <cellStyle name="Normal 3 2 5 5 2 3 11" xfId="48266"/>
    <cellStyle name="Normal 3 2 5 5 2 3 12" xfId="52345"/>
    <cellStyle name="Normal 3 2 5 5 2 3 2" xfId="11978"/>
    <cellStyle name="Normal 3 2 5 5 2 3 3" xfId="16010"/>
    <cellStyle name="Normal 3 2 5 5 2 3 4" xfId="20042"/>
    <cellStyle name="Normal 3 2 5 5 2 3 5" xfId="24074"/>
    <cellStyle name="Normal 3 2 5 5 2 3 6" xfId="28106"/>
    <cellStyle name="Normal 3 2 5 5 2 3 7" xfId="32138"/>
    <cellStyle name="Normal 3 2 5 5 2 3 8" xfId="36170"/>
    <cellStyle name="Normal 3 2 5 5 2 3 9" xfId="40202"/>
    <cellStyle name="Normal 3 2 5 5 2 4" xfId="9962"/>
    <cellStyle name="Normal 3 2 5 5 2 5" xfId="13994"/>
    <cellStyle name="Normal 3 2 5 5 2 6" xfId="18026"/>
    <cellStyle name="Normal 3 2 5 5 2 7" xfId="22058"/>
    <cellStyle name="Normal 3 2 5 5 2 8" xfId="26090"/>
    <cellStyle name="Normal 3 2 5 5 2 9" xfId="30122"/>
    <cellStyle name="Normal 3 2 5 5 3" xfId="4448"/>
    <cellStyle name="Normal 3 2 5 5 3 10" xfId="34292"/>
    <cellStyle name="Normal 3 2 5 5 3 11" xfId="38324"/>
    <cellStyle name="Normal 3 2 5 5 3 12" xfId="42356"/>
    <cellStyle name="Normal 3 2 5 5 3 13" xfId="46388"/>
    <cellStyle name="Normal 3 2 5 5 3 14" xfId="50467"/>
    <cellStyle name="Normal 3 2 5 5 3 2" xfId="7017"/>
    <cellStyle name="Normal 3 2 5 5 3 2 10" xfId="39275"/>
    <cellStyle name="Normal 3 2 5 5 3 2 11" xfId="43307"/>
    <cellStyle name="Normal 3 2 5 5 3 2 12" xfId="47339"/>
    <cellStyle name="Normal 3 2 5 5 3 2 13" xfId="51418"/>
    <cellStyle name="Normal 3 2 5 5 3 2 2" xfId="9033"/>
    <cellStyle name="Normal 3 2 5 5 3 2 2 10" xfId="45323"/>
    <cellStyle name="Normal 3 2 5 5 3 2 2 11" xfId="49355"/>
    <cellStyle name="Normal 3 2 5 5 3 2 2 12" xfId="53434"/>
    <cellStyle name="Normal 3 2 5 5 3 2 2 2" xfId="13067"/>
    <cellStyle name="Normal 3 2 5 5 3 2 2 3" xfId="17099"/>
    <cellStyle name="Normal 3 2 5 5 3 2 2 4" xfId="21131"/>
    <cellStyle name="Normal 3 2 5 5 3 2 2 5" xfId="25163"/>
    <cellStyle name="Normal 3 2 5 5 3 2 2 6" xfId="29195"/>
    <cellStyle name="Normal 3 2 5 5 3 2 2 7" xfId="33227"/>
    <cellStyle name="Normal 3 2 5 5 3 2 2 8" xfId="37259"/>
    <cellStyle name="Normal 3 2 5 5 3 2 2 9" xfId="41291"/>
    <cellStyle name="Normal 3 2 5 5 3 2 3" xfId="11051"/>
    <cellStyle name="Normal 3 2 5 5 3 2 4" xfId="15083"/>
    <cellStyle name="Normal 3 2 5 5 3 2 5" xfId="19115"/>
    <cellStyle name="Normal 3 2 5 5 3 2 6" xfId="23147"/>
    <cellStyle name="Normal 3 2 5 5 3 2 7" xfId="27179"/>
    <cellStyle name="Normal 3 2 5 5 3 2 8" xfId="31211"/>
    <cellStyle name="Normal 3 2 5 5 3 2 9" xfId="35243"/>
    <cellStyle name="Normal 3 2 5 5 3 3" xfId="8082"/>
    <cellStyle name="Normal 3 2 5 5 3 3 10" xfId="44372"/>
    <cellStyle name="Normal 3 2 5 5 3 3 11" xfId="48404"/>
    <cellStyle name="Normal 3 2 5 5 3 3 12" xfId="52483"/>
    <cellStyle name="Normal 3 2 5 5 3 3 2" xfId="12116"/>
    <cellStyle name="Normal 3 2 5 5 3 3 3" xfId="16148"/>
    <cellStyle name="Normal 3 2 5 5 3 3 4" xfId="20180"/>
    <cellStyle name="Normal 3 2 5 5 3 3 5" xfId="24212"/>
    <cellStyle name="Normal 3 2 5 5 3 3 6" xfId="28244"/>
    <cellStyle name="Normal 3 2 5 5 3 3 7" xfId="32276"/>
    <cellStyle name="Normal 3 2 5 5 3 3 8" xfId="36308"/>
    <cellStyle name="Normal 3 2 5 5 3 3 9" xfId="40340"/>
    <cellStyle name="Normal 3 2 5 5 3 4" xfId="10100"/>
    <cellStyle name="Normal 3 2 5 5 3 5" xfId="14132"/>
    <cellStyle name="Normal 3 2 5 5 3 6" xfId="18164"/>
    <cellStyle name="Normal 3 2 5 5 3 7" xfId="22196"/>
    <cellStyle name="Normal 3 2 5 5 3 8" xfId="26228"/>
    <cellStyle name="Normal 3 2 5 5 3 9" xfId="30260"/>
    <cellStyle name="Normal 3 2 5 5 4" xfId="4588"/>
    <cellStyle name="Normal 3 2 5 5 4 10" xfId="38462"/>
    <cellStyle name="Normal 3 2 5 5 4 11" xfId="42494"/>
    <cellStyle name="Normal 3 2 5 5 4 12" xfId="46526"/>
    <cellStyle name="Normal 3 2 5 5 4 13" xfId="50605"/>
    <cellStyle name="Normal 3 2 5 5 4 2" xfId="8220"/>
    <cellStyle name="Normal 3 2 5 5 4 2 10" xfId="44510"/>
    <cellStyle name="Normal 3 2 5 5 4 2 11" xfId="48542"/>
    <cellStyle name="Normal 3 2 5 5 4 2 12" xfId="52621"/>
    <cellStyle name="Normal 3 2 5 5 4 2 2" xfId="12254"/>
    <cellStyle name="Normal 3 2 5 5 4 2 3" xfId="16286"/>
    <cellStyle name="Normal 3 2 5 5 4 2 4" xfId="20318"/>
    <cellStyle name="Normal 3 2 5 5 4 2 5" xfId="24350"/>
    <cellStyle name="Normal 3 2 5 5 4 2 6" xfId="28382"/>
    <cellStyle name="Normal 3 2 5 5 4 2 7" xfId="32414"/>
    <cellStyle name="Normal 3 2 5 5 4 2 8" xfId="36446"/>
    <cellStyle name="Normal 3 2 5 5 4 2 9" xfId="40478"/>
    <cellStyle name="Normal 3 2 5 5 4 3" xfId="10238"/>
    <cellStyle name="Normal 3 2 5 5 4 4" xfId="14270"/>
    <cellStyle name="Normal 3 2 5 5 4 5" xfId="18302"/>
    <cellStyle name="Normal 3 2 5 5 4 6" xfId="22334"/>
    <cellStyle name="Normal 3 2 5 5 4 7" xfId="26366"/>
    <cellStyle name="Normal 3 2 5 5 4 8" xfId="30398"/>
    <cellStyle name="Normal 3 2 5 5 4 9" xfId="34430"/>
    <cellStyle name="Normal 3 2 5 5 5" xfId="315"/>
    <cellStyle name="Normal 3 2 5 5 5 10" xfId="37520"/>
    <cellStyle name="Normal 3 2 5 5 5 11" xfId="41552"/>
    <cellStyle name="Normal 3 2 5 5 5 12" xfId="45584"/>
    <cellStyle name="Normal 3 2 5 5 5 13" xfId="49662"/>
    <cellStyle name="Normal 3 2 5 5 5 2" xfId="7278"/>
    <cellStyle name="Normal 3 2 5 5 5 2 10" xfId="43568"/>
    <cellStyle name="Normal 3 2 5 5 5 2 11" xfId="47600"/>
    <cellStyle name="Normal 3 2 5 5 5 2 12" xfId="51679"/>
    <cellStyle name="Normal 3 2 5 5 5 2 2" xfId="11312"/>
    <cellStyle name="Normal 3 2 5 5 5 2 3" xfId="15344"/>
    <cellStyle name="Normal 3 2 5 5 5 2 4" xfId="19376"/>
    <cellStyle name="Normal 3 2 5 5 5 2 5" xfId="23408"/>
    <cellStyle name="Normal 3 2 5 5 5 2 6" xfId="27440"/>
    <cellStyle name="Normal 3 2 5 5 5 2 7" xfId="31472"/>
    <cellStyle name="Normal 3 2 5 5 5 2 8" xfId="35504"/>
    <cellStyle name="Normal 3 2 5 5 5 2 9" xfId="39536"/>
    <cellStyle name="Normal 3 2 5 5 5 3" xfId="9296"/>
    <cellStyle name="Normal 3 2 5 5 5 4" xfId="13328"/>
    <cellStyle name="Normal 3 2 5 5 5 5" xfId="17360"/>
    <cellStyle name="Normal 3 2 5 5 5 6" xfId="21392"/>
    <cellStyle name="Normal 3 2 5 5 5 7" xfId="25424"/>
    <cellStyle name="Normal 3 2 5 5 5 8" xfId="29456"/>
    <cellStyle name="Normal 3 2 5 5 5 9" xfId="33488"/>
    <cellStyle name="Normal 3 2 5 5 6" xfId="7155"/>
    <cellStyle name="Normal 3 2 5 5 6 10" xfId="43445"/>
    <cellStyle name="Normal 3 2 5 5 6 11" xfId="47477"/>
    <cellStyle name="Normal 3 2 5 5 6 12" xfId="51556"/>
    <cellStyle name="Normal 3 2 5 5 6 2" xfId="11189"/>
    <cellStyle name="Normal 3 2 5 5 6 3" xfId="15221"/>
    <cellStyle name="Normal 3 2 5 5 6 4" xfId="19253"/>
    <cellStyle name="Normal 3 2 5 5 6 5" xfId="23285"/>
    <cellStyle name="Normal 3 2 5 5 6 6" xfId="27317"/>
    <cellStyle name="Normal 3 2 5 5 6 7" xfId="31349"/>
    <cellStyle name="Normal 3 2 5 5 6 8" xfId="35381"/>
    <cellStyle name="Normal 3 2 5 5 6 9" xfId="39413"/>
    <cellStyle name="Normal 3 2 5 5 7" xfId="9173"/>
    <cellStyle name="Normal 3 2 5 5 8" xfId="13205"/>
    <cellStyle name="Normal 3 2 5 5 9" xfId="17237"/>
    <cellStyle name="Normal 3 2 5 6" xfId="1625"/>
    <cellStyle name="Normal 3 2 5 6 10" xfId="33586"/>
    <cellStyle name="Normal 3 2 5 6 11" xfId="37618"/>
    <cellStyle name="Normal 3 2 5 6 12" xfId="41650"/>
    <cellStyle name="Normal 3 2 5 6 13" xfId="45682"/>
    <cellStyle name="Normal 3 2 5 6 14" xfId="49760"/>
    <cellStyle name="Normal 3 2 5 6 2" xfId="5314"/>
    <cellStyle name="Normal 3 2 5 6 2 10" xfId="38582"/>
    <cellStyle name="Normal 3 2 5 6 2 11" xfId="42614"/>
    <cellStyle name="Normal 3 2 5 6 2 12" xfId="46646"/>
    <cellStyle name="Normal 3 2 5 6 2 13" xfId="50725"/>
    <cellStyle name="Normal 3 2 5 6 2 2" xfId="8340"/>
    <cellStyle name="Normal 3 2 5 6 2 2 10" xfId="44630"/>
    <cellStyle name="Normal 3 2 5 6 2 2 11" xfId="48662"/>
    <cellStyle name="Normal 3 2 5 6 2 2 12" xfId="52741"/>
    <cellStyle name="Normal 3 2 5 6 2 2 2" xfId="12374"/>
    <cellStyle name="Normal 3 2 5 6 2 2 3" xfId="16406"/>
    <cellStyle name="Normal 3 2 5 6 2 2 4" xfId="20438"/>
    <cellStyle name="Normal 3 2 5 6 2 2 5" xfId="24470"/>
    <cellStyle name="Normal 3 2 5 6 2 2 6" xfId="28502"/>
    <cellStyle name="Normal 3 2 5 6 2 2 7" xfId="32534"/>
    <cellStyle name="Normal 3 2 5 6 2 2 8" xfId="36566"/>
    <cellStyle name="Normal 3 2 5 6 2 2 9" xfId="40598"/>
    <cellStyle name="Normal 3 2 5 6 2 3" xfId="10358"/>
    <cellStyle name="Normal 3 2 5 6 2 4" xfId="14390"/>
    <cellStyle name="Normal 3 2 5 6 2 5" xfId="18422"/>
    <cellStyle name="Normal 3 2 5 6 2 6" xfId="22454"/>
    <cellStyle name="Normal 3 2 5 6 2 7" xfId="26486"/>
    <cellStyle name="Normal 3 2 5 6 2 8" xfId="30518"/>
    <cellStyle name="Normal 3 2 5 6 2 9" xfId="34550"/>
    <cellStyle name="Normal 3 2 5 6 3" xfId="7376"/>
    <cellStyle name="Normal 3 2 5 6 3 10" xfId="43666"/>
    <cellStyle name="Normal 3 2 5 6 3 11" xfId="47698"/>
    <cellStyle name="Normal 3 2 5 6 3 12" xfId="51777"/>
    <cellStyle name="Normal 3 2 5 6 3 2" xfId="11410"/>
    <cellStyle name="Normal 3 2 5 6 3 3" xfId="15442"/>
    <cellStyle name="Normal 3 2 5 6 3 4" xfId="19474"/>
    <cellStyle name="Normal 3 2 5 6 3 5" xfId="23506"/>
    <cellStyle name="Normal 3 2 5 6 3 6" xfId="27538"/>
    <cellStyle name="Normal 3 2 5 6 3 7" xfId="31570"/>
    <cellStyle name="Normal 3 2 5 6 3 8" xfId="35602"/>
    <cellStyle name="Normal 3 2 5 6 3 9" xfId="39634"/>
    <cellStyle name="Normal 3 2 5 6 4" xfId="9394"/>
    <cellStyle name="Normal 3 2 5 6 5" xfId="13426"/>
    <cellStyle name="Normal 3 2 5 6 6" xfId="17458"/>
    <cellStyle name="Normal 3 2 5 6 7" xfId="21490"/>
    <cellStyle name="Normal 3 2 5 6 8" xfId="25522"/>
    <cellStyle name="Normal 3 2 5 6 9" xfId="29554"/>
    <cellStyle name="Normal 3 2 5 7" xfId="1699"/>
    <cellStyle name="Normal 3 2 5 7 10" xfId="33655"/>
    <cellStyle name="Normal 3 2 5 7 11" xfId="37687"/>
    <cellStyle name="Normal 3 2 5 7 12" xfId="41719"/>
    <cellStyle name="Normal 3 2 5 7 13" xfId="45751"/>
    <cellStyle name="Normal 3 2 5 7 14" xfId="49829"/>
    <cellStyle name="Normal 3 2 5 7 2" xfId="5370"/>
    <cellStyle name="Normal 3 2 5 7 2 10" xfId="38638"/>
    <cellStyle name="Normal 3 2 5 7 2 11" xfId="42670"/>
    <cellStyle name="Normal 3 2 5 7 2 12" xfId="46702"/>
    <cellStyle name="Normal 3 2 5 7 2 13" xfId="50781"/>
    <cellStyle name="Normal 3 2 5 7 2 2" xfId="8396"/>
    <cellStyle name="Normal 3 2 5 7 2 2 10" xfId="44686"/>
    <cellStyle name="Normal 3 2 5 7 2 2 11" xfId="48718"/>
    <cellStyle name="Normal 3 2 5 7 2 2 12" xfId="52797"/>
    <cellStyle name="Normal 3 2 5 7 2 2 2" xfId="12430"/>
    <cellStyle name="Normal 3 2 5 7 2 2 3" xfId="16462"/>
    <cellStyle name="Normal 3 2 5 7 2 2 4" xfId="20494"/>
    <cellStyle name="Normal 3 2 5 7 2 2 5" xfId="24526"/>
    <cellStyle name="Normal 3 2 5 7 2 2 6" xfId="28558"/>
    <cellStyle name="Normal 3 2 5 7 2 2 7" xfId="32590"/>
    <cellStyle name="Normal 3 2 5 7 2 2 8" xfId="36622"/>
    <cellStyle name="Normal 3 2 5 7 2 2 9" xfId="40654"/>
    <cellStyle name="Normal 3 2 5 7 2 3" xfId="10414"/>
    <cellStyle name="Normal 3 2 5 7 2 4" xfId="14446"/>
    <cellStyle name="Normal 3 2 5 7 2 5" xfId="18478"/>
    <cellStyle name="Normal 3 2 5 7 2 6" xfId="22510"/>
    <cellStyle name="Normal 3 2 5 7 2 7" xfId="26542"/>
    <cellStyle name="Normal 3 2 5 7 2 8" xfId="30574"/>
    <cellStyle name="Normal 3 2 5 7 2 9" xfId="34606"/>
    <cellStyle name="Normal 3 2 5 7 3" xfId="7445"/>
    <cellStyle name="Normal 3 2 5 7 3 10" xfId="43735"/>
    <cellStyle name="Normal 3 2 5 7 3 11" xfId="47767"/>
    <cellStyle name="Normal 3 2 5 7 3 12" xfId="51846"/>
    <cellStyle name="Normal 3 2 5 7 3 2" xfId="11479"/>
    <cellStyle name="Normal 3 2 5 7 3 3" xfId="15511"/>
    <cellStyle name="Normal 3 2 5 7 3 4" xfId="19543"/>
    <cellStyle name="Normal 3 2 5 7 3 5" xfId="23575"/>
    <cellStyle name="Normal 3 2 5 7 3 6" xfId="27607"/>
    <cellStyle name="Normal 3 2 5 7 3 7" xfId="31639"/>
    <cellStyle name="Normal 3 2 5 7 3 8" xfId="35671"/>
    <cellStyle name="Normal 3 2 5 7 3 9" xfId="39703"/>
    <cellStyle name="Normal 3 2 5 7 4" xfId="9463"/>
    <cellStyle name="Normal 3 2 5 7 5" xfId="13495"/>
    <cellStyle name="Normal 3 2 5 7 6" xfId="17527"/>
    <cellStyle name="Normal 3 2 5 7 7" xfId="21559"/>
    <cellStyle name="Normal 3 2 5 7 8" xfId="25591"/>
    <cellStyle name="Normal 3 2 5 7 9" xfId="29623"/>
    <cellStyle name="Normal 3 2 5 8" xfId="4021"/>
    <cellStyle name="Normal 3 2 5 8 10" xfId="33878"/>
    <cellStyle name="Normal 3 2 5 8 11" xfId="37910"/>
    <cellStyle name="Normal 3 2 5 8 12" xfId="41942"/>
    <cellStyle name="Normal 3 2 5 8 13" xfId="45974"/>
    <cellStyle name="Normal 3 2 5 8 14" xfId="50052"/>
    <cellStyle name="Normal 3 2 5 8 2" xfId="6603"/>
    <cellStyle name="Normal 3 2 5 8 2 10" xfId="38861"/>
    <cellStyle name="Normal 3 2 5 8 2 11" xfId="42893"/>
    <cellStyle name="Normal 3 2 5 8 2 12" xfId="46925"/>
    <cellStyle name="Normal 3 2 5 8 2 13" xfId="51004"/>
    <cellStyle name="Normal 3 2 5 8 2 2" xfId="8619"/>
    <cellStyle name="Normal 3 2 5 8 2 2 10" xfId="44909"/>
    <cellStyle name="Normal 3 2 5 8 2 2 11" xfId="48941"/>
    <cellStyle name="Normal 3 2 5 8 2 2 12" xfId="53020"/>
    <cellStyle name="Normal 3 2 5 8 2 2 2" xfId="12653"/>
    <cellStyle name="Normal 3 2 5 8 2 2 3" xfId="16685"/>
    <cellStyle name="Normal 3 2 5 8 2 2 4" xfId="20717"/>
    <cellStyle name="Normal 3 2 5 8 2 2 5" xfId="24749"/>
    <cellStyle name="Normal 3 2 5 8 2 2 6" xfId="28781"/>
    <cellStyle name="Normal 3 2 5 8 2 2 7" xfId="32813"/>
    <cellStyle name="Normal 3 2 5 8 2 2 8" xfId="36845"/>
    <cellStyle name="Normal 3 2 5 8 2 2 9" xfId="40877"/>
    <cellStyle name="Normal 3 2 5 8 2 3" xfId="10637"/>
    <cellStyle name="Normal 3 2 5 8 2 4" xfId="14669"/>
    <cellStyle name="Normal 3 2 5 8 2 5" xfId="18701"/>
    <cellStyle name="Normal 3 2 5 8 2 6" xfId="22733"/>
    <cellStyle name="Normal 3 2 5 8 2 7" xfId="26765"/>
    <cellStyle name="Normal 3 2 5 8 2 8" xfId="30797"/>
    <cellStyle name="Normal 3 2 5 8 2 9" xfId="34829"/>
    <cellStyle name="Normal 3 2 5 8 3" xfId="7668"/>
    <cellStyle name="Normal 3 2 5 8 3 10" xfId="43958"/>
    <cellStyle name="Normal 3 2 5 8 3 11" xfId="47990"/>
    <cellStyle name="Normal 3 2 5 8 3 12" xfId="52069"/>
    <cellStyle name="Normal 3 2 5 8 3 2" xfId="11702"/>
    <cellStyle name="Normal 3 2 5 8 3 3" xfId="15734"/>
    <cellStyle name="Normal 3 2 5 8 3 4" xfId="19766"/>
    <cellStyle name="Normal 3 2 5 8 3 5" xfId="23798"/>
    <cellStyle name="Normal 3 2 5 8 3 6" xfId="27830"/>
    <cellStyle name="Normal 3 2 5 8 3 7" xfId="31862"/>
    <cellStyle name="Normal 3 2 5 8 3 8" xfId="35894"/>
    <cellStyle name="Normal 3 2 5 8 3 9" xfId="39926"/>
    <cellStyle name="Normal 3 2 5 8 4" xfId="9686"/>
    <cellStyle name="Normal 3 2 5 8 5" xfId="13718"/>
    <cellStyle name="Normal 3 2 5 8 6" xfId="17750"/>
    <cellStyle name="Normal 3 2 5 8 7" xfId="21782"/>
    <cellStyle name="Normal 3 2 5 8 8" xfId="25814"/>
    <cellStyle name="Normal 3 2 5 8 9" xfId="29846"/>
    <cellStyle name="Normal 3 2 5 9" xfId="4091"/>
    <cellStyle name="Normal 3 2 5 9 10" xfId="33947"/>
    <cellStyle name="Normal 3 2 5 9 11" xfId="37979"/>
    <cellStyle name="Normal 3 2 5 9 12" xfId="42011"/>
    <cellStyle name="Normal 3 2 5 9 13" xfId="46043"/>
    <cellStyle name="Normal 3 2 5 9 14" xfId="50121"/>
    <cellStyle name="Normal 3 2 5 9 2" xfId="6672"/>
    <cellStyle name="Normal 3 2 5 9 2 10" xfId="38930"/>
    <cellStyle name="Normal 3 2 5 9 2 11" xfId="42962"/>
    <cellStyle name="Normal 3 2 5 9 2 12" xfId="46994"/>
    <cellStyle name="Normal 3 2 5 9 2 13" xfId="51073"/>
    <cellStyle name="Normal 3 2 5 9 2 2" xfId="8688"/>
    <cellStyle name="Normal 3 2 5 9 2 2 10" xfId="44978"/>
    <cellStyle name="Normal 3 2 5 9 2 2 11" xfId="49010"/>
    <cellStyle name="Normal 3 2 5 9 2 2 12" xfId="53089"/>
    <cellStyle name="Normal 3 2 5 9 2 2 2" xfId="12722"/>
    <cellStyle name="Normal 3 2 5 9 2 2 3" xfId="16754"/>
    <cellStyle name="Normal 3 2 5 9 2 2 4" xfId="20786"/>
    <cellStyle name="Normal 3 2 5 9 2 2 5" xfId="24818"/>
    <cellStyle name="Normal 3 2 5 9 2 2 6" xfId="28850"/>
    <cellStyle name="Normal 3 2 5 9 2 2 7" xfId="32882"/>
    <cellStyle name="Normal 3 2 5 9 2 2 8" xfId="36914"/>
    <cellStyle name="Normal 3 2 5 9 2 2 9" xfId="40946"/>
    <cellStyle name="Normal 3 2 5 9 2 3" xfId="10706"/>
    <cellStyle name="Normal 3 2 5 9 2 4" xfId="14738"/>
    <cellStyle name="Normal 3 2 5 9 2 5" xfId="18770"/>
    <cellStyle name="Normal 3 2 5 9 2 6" xfId="22802"/>
    <cellStyle name="Normal 3 2 5 9 2 7" xfId="26834"/>
    <cellStyle name="Normal 3 2 5 9 2 8" xfId="30866"/>
    <cellStyle name="Normal 3 2 5 9 2 9" xfId="34898"/>
    <cellStyle name="Normal 3 2 5 9 3" xfId="7737"/>
    <cellStyle name="Normal 3 2 5 9 3 10" xfId="44027"/>
    <cellStyle name="Normal 3 2 5 9 3 11" xfId="48059"/>
    <cellStyle name="Normal 3 2 5 9 3 12" xfId="52138"/>
    <cellStyle name="Normal 3 2 5 9 3 2" xfId="11771"/>
    <cellStyle name="Normal 3 2 5 9 3 3" xfId="15803"/>
    <cellStyle name="Normal 3 2 5 9 3 4" xfId="19835"/>
    <cellStyle name="Normal 3 2 5 9 3 5" xfId="23867"/>
    <cellStyle name="Normal 3 2 5 9 3 6" xfId="27899"/>
    <cellStyle name="Normal 3 2 5 9 3 7" xfId="31931"/>
    <cellStyle name="Normal 3 2 5 9 3 8" xfId="35963"/>
    <cellStyle name="Normal 3 2 5 9 3 9" xfId="39995"/>
    <cellStyle name="Normal 3 2 5 9 4" xfId="9755"/>
    <cellStyle name="Normal 3 2 5 9 5" xfId="13787"/>
    <cellStyle name="Normal 3 2 5 9 6" xfId="17819"/>
    <cellStyle name="Normal 3 2 5 9 7" xfId="21851"/>
    <cellStyle name="Normal 3 2 5 9 8" xfId="25883"/>
    <cellStyle name="Normal 3 2 5 9 9" xfId="29915"/>
    <cellStyle name="Normal 3 2 6" xfId="84"/>
    <cellStyle name="Normal 3 2 6 10" xfId="4564"/>
    <cellStyle name="Normal 3 2 6 10 10" xfId="38440"/>
    <cellStyle name="Normal 3 2 6 10 11" xfId="42472"/>
    <cellStyle name="Normal 3 2 6 10 12" xfId="46504"/>
    <cellStyle name="Normal 3 2 6 10 13" xfId="50583"/>
    <cellStyle name="Normal 3 2 6 10 2" xfId="8198"/>
    <cellStyle name="Normal 3 2 6 10 2 10" xfId="44488"/>
    <cellStyle name="Normal 3 2 6 10 2 11" xfId="48520"/>
    <cellStyle name="Normal 3 2 6 10 2 12" xfId="52599"/>
    <cellStyle name="Normal 3 2 6 10 2 2" xfId="12232"/>
    <cellStyle name="Normal 3 2 6 10 2 3" xfId="16264"/>
    <cellStyle name="Normal 3 2 6 10 2 4" xfId="20296"/>
    <cellStyle name="Normal 3 2 6 10 2 5" xfId="24328"/>
    <cellStyle name="Normal 3 2 6 10 2 6" xfId="28360"/>
    <cellStyle name="Normal 3 2 6 10 2 7" xfId="32392"/>
    <cellStyle name="Normal 3 2 6 10 2 8" xfId="36424"/>
    <cellStyle name="Normal 3 2 6 10 2 9" xfId="40456"/>
    <cellStyle name="Normal 3 2 6 10 3" xfId="10216"/>
    <cellStyle name="Normal 3 2 6 10 4" xfId="14248"/>
    <cellStyle name="Normal 3 2 6 10 5" xfId="18280"/>
    <cellStyle name="Normal 3 2 6 10 6" xfId="22312"/>
    <cellStyle name="Normal 3 2 6 10 7" xfId="26344"/>
    <cellStyle name="Normal 3 2 6 10 8" xfId="30376"/>
    <cellStyle name="Normal 3 2 6 10 9" xfId="34408"/>
    <cellStyle name="Normal 3 2 6 11" xfId="292"/>
    <cellStyle name="Normal 3 2 6 11 10" xfId="37497"/>
    <cellStyle name="Normal 3 2 6 11 11" xfId="41529"/>
    <cellStyle name="Normal 3 2 6 11 12" xfId="45561"/>
    <cellStyle name="Normal 3 2 6 11 13" xfId="49639"/>
    <cellStyle name="Normal 3 2 6 11 2" xfId="7255"/>
    <cellStyle name="Normal 3 2 6 11 2 10" xfId="43545"/>
    <cellStyle name="Normal 3 2 6 11 2 11" xfId="47577"/>
    <cellStyle name="Normal 3 2 6 11 2 12" xfId="51656"/>
    <cellStyle name="Normal 3 2 6 11 2 2" xfId="11289"/>
    <cellStyle name="Normal 3 2 6 11 2 3" xfId="15321"/>
    <cellStyle name="Normal 3 2 6 11 2 4" xfId="19353"/>
    <cellStyle name="Normal 3 2 6 11 2 5" xfId="23385"/>
    <cellStyle name="Normal 3 2 6 11 2 6" xfId="27417"/>
    <cellStyle name="Normal 3 2 6 11 2 7" xfId="31449"/>
    <cellStyle name="Normal 3 2 6 11 2 8" xfId="35481"/>
    <cellStyle name="Normal 3 2 6 11 2 9" xfId="39513"/>
    <cellStyle name="Normal 3 2 6 11 3" xfId="9273"/>
    <cellStyle name="Normal 3 2 6 11 4" xfId="13305"/>
    <cellStyle name="Normal 3 2 6 11 5" xfId="17337"/>
    <cellStyle name="Normal 3 2 6 11 6" xfId="21369"/>
    <cellStyle name="Normal 3 2 6 11 7" xfId="25401"/>
    <cellStyle name="Normal 3 2 6 11 8" xfId="29433"/>
    <cellStyle name="Normal 3 2 6 11 9" xfId="33465"/>
    <cellStyle name="Normal 3 2 6 12" xfId="7133"/>
    <cellStyle name="Normal 3 2 6 12 10" xfId="43423"/>
    <cellStyle name="Normal 3 2 6 12 11" xfId="47455"/>
    <cellStyle name="Normal 3 2 6 12 12" xfId="51534"/>
    <cellStyle name="Normal 3 2 6 12 2" xfId="11167"/>
    <cellStyle name="Normal 3 2 6 12 3" xfId="15199"/>
    <cellStyle name="Normal 3 2 6 12 4" xfId="19231"/>
    <cellStyle name="Normal 3 2 6 12 5" xfId="23263"/>
    <cellStyle name="Normal 3 2 6 12 6" xfId="27295"/>
    <cellStyle name="Normal 3 2 6 12 7" xfId="31327"/>
    <cellStyle name="Normal 3 2 6 12 8" xfId="35359"/>
    <cellStyle name="Normal 3 2 6 12 9" xfId="39391"/>
    <cellStyle name="Normal 3 2 6 13" xfId="159"/>
    <cellStyle name="Normal 3 2 6 14" xfId="9151"/>
    <cellStyle name="Normal 3 2 6 15" xfId="13183"/>
    <cellStyle name="Normal 3 2 6 16" xfId="17215"/>
    <cellStyle name="Normal 3 2 6 17" xfId="21247"/>
    <cellStyle name="Normal 3 2 6 18" xfId="25279"/>
    <cellStyle name="Normal 3 2 6 19" xfId="29311"/>
    <cellStyle name="Normal 3 2 6 2" xfId="238"/>
    <cellStyle name="Normal 3 2 6 2 10" xfId="21316"/>
    <cellStyle name="Normal 3 2 6 2 11" xfId="25348"/>
    <cellStyle name="Normal 3 2 6 2 12" xfId="29380"/>
    <cellStyle name="Normal 3 2 6 2 13" xfId="33412"/>
    <cellStyle name="Normal 3 2 6 2 14" xfId="37444"/>
    <cellStyle name="Normal 3 2 6 2 15" xfId="41476"/>
    <cellStyle name="Normal 3 2 6 2 16" xfId="45508"/>
    <cellStyle name="Normal 3 2 6 2 17" xfId="49586"/>
    <cellStyle name="Normal 3 2 6 2 2" xfId="4356"/>
    <cellStyle name="Normal 3 2 6 2 2 10" xfId="34201"/>
    <cellStyle name="Normal 3 2 6 2 2 11" xfId="38233"/>
    <cellStyle name="Normal 3 2 6 2 2 12" xfId="42265"/>
    <cellStyle name="Normal 3 2 6 2 2 13" xfId="46297"/>
    <cellStyle name="Normal 3 2 6 2 2 14" xfId="50376"/>
    <cellStyle name="Normal 3 2 6 2 2 2" xfId="6926"/>
    <cellStyle name="Normal 3 2 6 2 2 2 10" xfId="39184"/>
    <cellStyle name="Normal 3 2 6 2 2 2 11" xfId="43216"/>
    <cellStyle name="Normal 3 2 6 2 2 2 12" xfId="47248"/>
    <cellStyle name="Normal 3 2 6 2 2 2 13" xfId="51327"/>
    <cellStyle name="Normal 3 2 6 2 2 2 2" xfId="8942"/>
    <cellStyle name="Normal 3 2 6 2 2 2 2 10" xfId="45232"/>
    <cellStyle name="Normal 3 2 6 2 2 2 2 11" xfId="49264"/>
    <cellStyle name="Normal 3 2 6 2 2 2 2 12" xfId="53343"/>
    <cellStyle name="Normal 3 2 6 2 2 2 2 2" xfId="12976"/>
    <cellStyle name="Normal 3 2 6 2 2 2 2 3" xfId="17008"/>
    <cellStyle name="Normal 3 2 6 2 2 2 2 4" xfId="21040"/>
    <cellStyle name="Normal 3 2 6 2 2 2 2 5" xfId="25072"/>
    <cellStyle name="Normal 3 2 6 2 2 2 2 6" xfId="29104"/>
    <cellStyle name="Normal 3 2 6 2 2 2 2 7" xfId="33136"/>
    <cellStyle name="Normal 3 2 6 2 2 2 2 8" xfId="37168"/>
    <cellStyle name="Normal 3 2 6 2 2 2 2 9" xfId="41200"/>
    <cellStyle name="Normal 3 2 6 2 2 2 3" xfId="10960"/>
    <cellStyle name="Normal 3 2 6 2 2 2 4" xfId="14992"/>
    <cellStyle name="Normal 3 2 6 2 2 2 5" xfId="19024"/>
    <cellStyle name="Normal 3 2 6 2 2 2 6" xfId="23056"/>
    <cellStyle name="Normal 3 2 6 2 2 2 7" xfId="27088"/>
    <cellStyle name="Normal 3 2 6 2 2 2 8" xfId="31120"/>
    <cellStyle name="Normal 3 2 6 2 2 2 9" xfId="35152"/>
    <cellStyle name="Normal 3 2 6 2 2 3" xfId="7991"/>
    <cellStyle name="Normal 3 2 6 2 2 3 10" xfId="44281"/>
    <cellStyle name="Normal 3 2 6 2 2 3 11" xfId="48313"/>
    <cellStyle name="Normal 3 2 6 2 2 3 12" xfId="52392"/>
    <cellStyle name="Normal 3 2 6 2 2 3 2" xfId="12025"/>
    <cellStyle name="Normal 3 2 6 2 2 3 3" xfId="16057"/>
    <cellStyle name="Normal 3 2 6 2 2 3 4" xfId="20089"/>
    <cellStyle name="Normal 3 2 6 2 2 3 5" xfId="24121"/>
    <cellStyle name="Normal 3 2 6 2 2 3 6" xfId="28153"/>
    <cellStyle name="Normal 3 2 6 2 2 3 7" xfId="32185"/>
    <cellStyle name="Normal 3 2 6 2 2 3 8" xfId="36217"/>
    <cellStyle name="Normal 3 2 6 2 2 3 9" xfId="40249"/>
    <cellStyle name="Normal 3 2 6 2 2 4" xfId="10009"/>
    <cellStyle name="Normal 3 2 6 2 2 5" xfId="14041"/>
    <cellStyle name="Normal 3 2 6 2 2 6" xfId="18073"/>
    <cellStyle name="Normal 3 2 6 2 2 7" xfId="22105"/>
    <cellStyle name="Normal 3 2 6 2 2 8" xfId="26137"/>
    <cellStyle name="Normal 3 2 6 2 2 9" xfId="30169"/>
    <cellStyle name="Normal 3 2 6 2 3" xfId="4495"/>
    <cellStyle name="Normal 3 2 6 2 3 10" xfId="34339"/>
    <cellStyle name="Normal 3 2 6 2 3 11" xfId="38371"/>
    <cellStyle name="Normal 3 2 6 2 3 12" xfId="42403"/>
    <cellStyle name="Normal 3 2 6 2 3 13" xfId="46435"/>
    <cellStyle name="Normal 3 2 6 2 3 14" xfId="50514"/>
    <cellStyle name="Normal 3 2 6 2 3 2" xfId="7064"/>
    <cellStyle name="Normal 3 2 6 2 3 2 10" xfId="39322"/>
    <cellStyle name="Normal 3 2 6 2 3 2 11" xfId="43354"/>
    <cellStyle name="Normal 3 2 6 2 3 2 12" xfId="47386"/>
    <cellStyle name="Normal 3 2 6 2 3 2 13" xfId="51465"/>
    <cellStyle name="Normal 3 2 6 2 3 2 2" xfId="9080"/>
    <cellStyle name="Normal 3 2 6 2 3 2 2 10" xfId="45370"/>
    <cellStyle name="Normal 3 2 6 2 3 2 2 11" xfId="49402"/>
    <cellStyle name="Normal 3 2 6 2 3 2 2 12" xfId="53481"/>
    <cellStyle name="Normal 3 2 6 2 3 2 2 2" xfId="13114"/>
    <cellStyle name="Normal 3 2 6 2 3 2 2 3" xfId="17146"/>
    <cellStyle name="Normal 3 2 6 2 3 2 2 4" xfId="21178"/>
    <cellStyle name="Normal 3 2 6 2 3 2 2 5" xfId="25210"/>
    <cellStyle name="Normal 3 2 6 2 3 2 2 6" xfId="29242"/>
    <cellStyle name="Normal 3 2 6 2 3 2 2 7" xfId="33274"/>
    <cellStyle name="Normal 3 2 6 2 3 2 2 8" xfId="37306"/>
    <cellStyle name="Normal 3 2 6 2 3 2 2 9" xfId="41338"/>
    <cellStyle name="Normal 3 2 6 2 3 2 3" xfId="11098"/>
    <cellStyle name="Normal 3 2 6 2 3 2 4" xfId="15130"/>
    <cellStyle name="Normal 3 2 6 2 3 2 5" xfId="19162"/>
    <cellStyle name="Normal 3 2 6 2 3 2 6" xfId="23194"/>
    <cellStyle name="Normal 3 2 6 2 3 2 7" xfId="27226"/>
    <cellStyle name="Normal 3 2 6 2 3 2 8" xfId="31258"/>
    <cellStyle name="Normal 3 2 6 2 3 2 9" xfId="35290"/>
    <cellStyle name="Normal 3 2 6 2 3 3" xfId="8129"/>
    <cellStyle name="Normal 3 2 6 2 3 3 10" xfId="44419"/>
    <cellStyle name="Normal 3 2 6 2 3 3 11" xfId="48451"/>
    <cellStyle name="Normal 3 2 6 2 3 3 12" xfId="52530"/>
    <cellStyle name="Normal 3 2 6 2 3 3 2" xfId="12163"/>
    <cellStyle name="Normal 3 2 6 2 3 3 3" xfId="16195"/>
    <cellStyle name="Normal 3 2 6 2 3 3 4" xfId="20227"/>
    <cellStyle name="Normal 3 2 6 2 3 3 5" xfId="24259"/>
    <cellStyle name="Normal 3 2 6 2 3 3 6" xfId="28291"/>
    <cellStyle name="Normal 3 2 6 2 3 3 7" xfId="32323"/>
    <cellStyle name="Normal 3 2 6 2 3 3 8" xfId="36355"/>
    <cellStyle name="Normal 3 2 6 2 3 3 9" xfId="40387"/>
    <cellStyle name="Normal 3 2 6 2 3 4" xfId="10147"/>
    <cellStyle name="Normal 3 2 6 2 3 5" xfId="14179"/>
    <cellStyle name="Normal 3 2 6 2 3 6" xfId="18211"/>
    <cellStyle name="Normal 3 2 6 2 3 7" xfId="22243"/>
    <cellStyle name="Normal 3 2 6 2 3 8" xfId="26275"/>
    <cellStyle name="Normal 3 2 6 2 3 9" xfId="30307"/>
    <cellStyle name="Normal 3 2 6 2 4" xfId="4635"/>
    <cellStyle name="Normal 3 2 6 2 4 10" xfId="38509"/>
    <cellStyle name="Normal 3 2 6 2 4 11" xfId="42541"/>
    <cellStyle name="Normal 3 2 6 2 4 12" xfId="46573"/>
    <cellStyle name="Normal 3 2 6 2 4 13" xfId="50652"/>
    <cellStyle name="Normal 3 2 6 2 4 2" xfId="8267"/>
    <cellStyle name="Normal 3 2 6 2 4 2 10" xfId="44557"/>
    <cellStyle name="Normal 3 2 6 2 4 2 11" xfId="48589"/>
    <cellStyle name="Normal 3 2 6 2 4 2 12" xfId="52668"/>
    <cellStyle name="Normal 3 2 6 2 4 2 2" xfId="12301"/>
    <cellStyle name="Normal 3 2 6 2 4 2 3" xfId="16333"/>
    <cellStyle name="Normal 3 2 6 2 4 2 4" xfId="20365"/>
    <cellStyle name="Normal 3 2 6 2 4 2 5" xfId="24397"/>
    <cellStyle name="Normal 3 2 6 2 4 2 6" xfId="28429"/>
    <cellStyle name="Normal 3 2 6 2 4 2 7" xfId="32461"/>
    <cellStyle name="Normal 3 2 6 2 4 2 8" xfId="36493"/>
    <cellStyle name="Normal 3 2 6 2 4 2 9" xfId="40525"/>
    <cellStyle name="Normal 3 2 6 2 4 3" xfId="10285"/>
    <cellStyle name="Normal 3 2 6 2 4 4" xfId="14317"/>
    <cellStyle name="Normal 3 2 6 2 4 5" xfId="18349"/>
    <cellStyle name="Normal 3 2 6 2 4 6" xfId="22381"/>
    <cellStyle name="Normal 3 2 6 2 4 7" xfId="26413"/>
    <cellStyle name="Normal 3 2 6 2 4 8" xfId="30445"/>
    <cellStyle name="Normal 3 2 6 2 4 9" xfId="34477"/>
    <cellStyle name="Normal 3 2 6 2 5" xfId="362"/>
    <cellStyle name="Normal 3 2 6 2 5 10" xfId="37567"/>
    <cellStyle name="Normal 3 2 6 2 5 11" xfId="41599"/>
    <cellStyle name="Normal 3 2 6 2 5 12" xfId="45631"/>
    <cellStyle name="Normal 3 2 6 2 5 13" xfId="49709"/>
    <cellStyle name="Normal 3 2 6 2 5 2" xfId="7325"/>
    <cellStyle name="Normal 3 2 6 2 5 2 10" xfId="43615"/>
    <cellStyle name="Normal 3 2 6 2 5 2 11" xfId="47647"/>
    <cellStyle name="Normal 3 2 6 2 5 2 12" xfId="51726"/>
    <cellStyle name="Normal 3 2 6 2 5 2 2" xfId="11359"/>
    <cellStyle name="Normal 3 2 6 2 5 2 3" xfId="15391"/>
    <cellStyle name="Normal 3 2 6 2 5 2 4" xfId="19423"/>
    <cellStyle name="Normal 3 2 6 2 5 2 5" xfId="23455"/>
    <cellStyle name="Normal 3 2 6 2 5 2 6" xfId="27487"/>
    <cellStyle name="Normal 3 2 6 2 5 2 7" xfId="31519"/>
    <cellStyle name="Normal 3 2 6 2 5 2 8" xfId="35551"/>
    <cellStyle name="Normal 3 2 6 2 5 2 9" xfId="39583"/>
    <cellStyle name="Normal 3 2 6 2 5 3" xfId="9343"/>
    <cellStyle name="Normal 3 2 6 2 5 4" xfId="13375"/>
    <cellStyle name="Normal 3 2 6 2 5 5" xfId="17407"/>
    <cellStyle name="Normal 3 2 6 2 5 6" xfId="21439"/>
    <cellStyle name="Normal 3 2 6 2 5 7" xfId="25471"/>
    <cellStyle name="Normal 3 2 6 2 5 8" xfId="29503"/>
    <cellStyle name="Normal 3 2 6 2 5 9" xfId="33535"/>
    <cellStyle name="Normal 3 2 6 2 6" xfId="7202"/>
    <cellStyle name="Normal 3 2 6 2 6 10" xfId="43492"/>
    <cellStyle name="Normal 3 2 6 2 6 11" xfId="47524"/>
    <cellStyle name="Normal 3 2 6 2 6 12" xfId="51603"/>
    <cellStyle name="Normal 3 2 6 2 6 2" xfId="11236"/>
    <cellStyle name="Normal 3 2 6 2 6 3" xfId="15268"/>
    <cellStyle name="Normal 3 2 6 2 6 4" xfId="19300"/>
    <cellStyle name="Normal 3 2 6 2 6 5" xfId="23332"/>
    <cellStyle name="Normal 3 2 6 2 6 6" xfId="27364"/>
    <cellStyle name="Normal 3 2 6 2 6 7" xfId="31396"/>
    <cellStyle name="Normal 3 2 6 2 6 8" xfId="35428"/>
    <cellStyle name="Normal 3 2 6 2 6 9" xfId="39460"/>
    <cellStyle name="Normal 3 2 6 2 7" xfId="9220"/>
    <cellStyle name="Normal 3 2 6 2 8" xfId="13252"/>
    <cellStyle name="Normal 3 2 6 2 9" xfId="17284"/>
    <cellStyle name="Normal 3 2 6 20" xfId="33343"/>
    <cellStyle name="Normal 3 2 6 21" xfId="37375"/>
    <cellStyle name="Normal 3 2 6 22" xfId="41407"/>
    <cellStyle name="Normal 3 2 6 23" xfId="45439"/>
    <cellStyle name="Normal 3 2 6 24" xfId="49517"/>
    <cellStyle name="Normal 3 2 6 3" xfId="1672"/>
    <cellStyle name="Normal 3 2 6 3 10" xfId="33633"/>
    <cellStyle name="Normal 3 2 6 3 11" xfId="37665"/>
    <cellStyle name="Normal 3 2 6 3 12" xfId="41697"/>
    <cellStyle name="Normal 3 2 6 3 13" xfId="45729"/>
    <cellStyle name="Normal 3 2 6 3 14" xfId="49807"/>
    <cellStyle name="Normal 3 2 6 3 2" xfId="5348"/>
    <cellStyle name="Normal 3 2 6 3 2 10" xfId="38616"/>
    <cellStyle name="Normal 3 2 6 3 2 11" xfId="42648"/>
    <cellStyle name="Normal 3 2 6 3 2 12" xfId="46680"/>
    <cellStyle name="Normal 3 2 6 3 2 13" xfId="50759"/>
    <cellStyle name="Normal 3 2 6 3 2 2" xfId="8374"/>
    <cellStyle name="Normal 3 2 6 3 2 2 10" xfId="44664"/>
    <cellStyle name="Normal 3 2 6 3 2 2 11" xfId="48696"/>
    <cellStyle name="Normal 3 2 6 3 2 2 12" xfId="52775"/>
    <cellStyle name="Normal 3 2 6 3 2 2 2" xfId="12408"/>
    <cellStyle name="Normal 3 2 6 3 2 2 3" xfId="16440"/>
    <cellStyle name="Normal 3 2 6 3 2 2 4" xfId="20472"/>
    <cellStyle name="Normal 3 2 6 3 2 2 5" xfId="24504"/>
    <cellStyle name="Normal 3 2 6 3 2 2 6" xfId="28536"/>
    <cellStyle name="Normal 3 2 6 3 2 2 7" xfId="32568"/>
    <cellStyle name="Normal 3 2 6 3 2 2 8" xfId="36600"/>
    <cellStyle name="Normal 3 2 6 3 2 2 9" xfId="40632"/>
    <cellStyle name="Normal 3 2 6 3 2 3" xfId="10392"/>
    <cellStyle name="Normal 3 2 6 3 2 4" xfId="14424"/>
    <cellStyle name="Normal 3 2 6 3 2 5" xfId="18456"/>
    <cellStyle name="Normal 3 2 6 3 2 6" xfId="22488"/>
    <cellStyle name="Normal 3 2 6 3 2 7" xfId="26520"/>
    <cellStyle name="Normal 3 2 6 3 2 8" xfId="30552"/>
    <cellStyle name="Normal 3 2 6 3 2 9" xfId="34584"/>
    <cellStyle name="Normal 3 2 6 3 3" xfId="7423"/>
    <cellStyle name="Normal 3 2 6 3 3 10" xfId="43713"/>
    <cellStyle name="Normal 3 2 6 3 3 11" xfId="47745"/>
    <cellStyle name="Normal 3 2 6 3 3 12" xfId="51824"/>
    <cellStyle name="Normal 3 2 6 3 3 2" xfId="11457"/>
    <cellStyle name="Normal 3 2 6 3 3 3" xfId="15489"/>
    <cellStyle name="Normal 3 2 6 3 3 4" xfId="19521"/>
    <cellStyle name="Normal 3 2 6 3 3 5" xfId="23553"/>
    <cellStyle name="Normal 3 2 6 3 3 6" xfId="27585"/>
    <cellStyle name="Normal 3 2 6 3 3 7" xfId="31617"/>
    <cellStyle name="Normal 3 2 6 3 3 8" xfId="35649"/>
    <cellStyle name="Normal 3 2 6 3 3 9" xfId="39681"/>
    <cellStyle name="Normal 3 2 6 3 4" xfId="9441"/>
    <cellStyle name="Normal 3 2 6 3 5" xfId="13473"/>
    <cellStyle name="Normal 3 2 6 3 6" xfId="17505"/>
    <cellStyle name="Normal 3 2 6 3 7" xfId="21537"/>
    <cellStyle name="Normal 3 2 6 3 8" xfId="25569"/>
    <cellStyle name="Normal 3 2 6 3 9" xfId="29601"/>
    <cellStyle name="Normal 3 2 6 4" xfId="1746"/>
    <cellStyle name="Normal 3 2 6 4 10" xfId="33702"/>
    <cellStyle name="Normal 3 2 6 4 11" xfId="37734"/>
    <cellStyle name="Normal 3 2 6 4 12" xfId="41766"/>
    <cellStyle name="Normal 3 2 6 4 13" xfId="45798"/>
    <cellStyle name="Normal 3 2 6 4 14" xfId="49876"/>
    <cellStyle name="Normal 3 2 6 4 2" xfId="5417"/>
    <cellStyle name="Normal 3 2 6 4 2 10" xfId="38685"/>
    <cellStyle name="Normal 3 2 6 4 2 11" xfId="42717"/>
    <cellStyle name="Normal 3 2 6 4 2 12" xfId="46749"/>
    <cellStyle name="Normal 3 2 6 4 2 13" xfId="50828"/>
    <cellStyle name="Normal 3 2 6 4 2 2" xfId="8443"/>
    <cellStyle name="Normal 3 2 6 4 2 2 10" xfId="44733"/>
    <cellStyle name="Normal 3 2 6 4 2 2 11" xfId="48765"/>
    <cellStyle name="Normal 3 2 6 4 2 2 12" xfId="52844"/>
    <cellStyle name="Normal 3 2 6 4 2 2 2" xfId="12477"/>
    <cellStyle name="Normal 3 2 6 4 2 2 3" xfId="16509"/>
    <cellStyle name="Normal 3 2 6 4 2 2 4" xfId="20541"/>
    <cellStyle name="Normal 3 2 6 4 2 2 5" xfId="24573"/>
    <cellStyle name="Normal 3 2 6 4 2 2 6" xfId="28605"/>
    <cellStyle name="Normal 3 2 6 4 2 2 7" xfId="32637"/>
    <cellStyle name="Normal 3 2 6 4 2 2 8" xfId="36669"/>
    <cellStyle name="Normal 3 2 6 4 2 2 9" xfId="40701"/>
    <cellStyle name="Normal 3 2 6 4 2 3" xfId="10461"/>
    <cellStyle name="Normal 3 2 6 4 2 4" xfId="14493"/>
    <cellStyle name="Normal 3 2 6 4 2 5" xfId="18525"/>
    <cellStyle name="Normal 3 2 6 4 2 6" xfId="22557"/>
    <cellStyle name="Normal 3 2 6 4 2 7" xfId="26589"/>
    <cellStyle name="Normal 3 2 6 4 2 8" xfId="30621"/>
    <cellStyle name="Normal 3 2 6 4 2 9" xfId="34653"/>
    <cellStyle name="Normal 3 2 6 4 3" xfId="7492"/>
    <cellStyle name="Normal 3 2 6 4 3 10" xfId="43782"/>
    <cellStyle name="Normal 3 2 6 4 3 11" xfId="47814"/>
    <cellStyle name="Normal 3 2 6 4 3 12" xfId="51893"/>
    <cellStyle name="Normal 3 2 6 4 3 2" xfId="11526"/>
    <cellStyle name="Normal 3 2 6 4 3 3" xfId="15558"/>
    <cellStyle name="Normal 3 2 6 4 3 4" xfId="19590"/>
    <cellStyle name="Normal 3 2 6 4 3 5" xfId="23622"/>
    <cellStyle name="Normal 3 2 6 4 3 6" xfId="27654"/>
    <cellStyle name="Normal 3 2 6 4 3 7" xfId="31686"/>
    <cellStyle name="Normal 3 2 6 4 3 8" xfId="35718"/>
    <cellStyle name="Normal 3 2 6 4 3 9" xfId="39750"/>
    <cellStyle name="Normal 3 2 6 4 4" xfId="9510"/>
    <cellStyle name="Normal 3 2 6 4 5" xfId="13542"/>
    <cellStyle name="Normal 3 2 6 4 6" xfId="17574"/>
    <cellStyle name="Normal 3 2 6 4 7" xfId="21606"/>
    <cellStyle name="Normal 3 2 6 4 8" xfId="25638"/>
    <cellStyle name="Normal 3 2 6 4 9" xfId="29670"/>
    <cellStyle name="Normal 3 2 6 5" xfId="4068"/>
    <cellStyle name="Normal 3 2 6 5 10" xfId="33925"/>
    <cellStyle name="Normal 3 2 6 5 11" xfId="37957"/>
    <cellStyle name="Normal 3 2 6 5 12" xfId="41989"/>
    <cellStyle name="Normal 3 2 6 5 13" xfId="46021"/>
    <cellStyle name="Normal 3 2 6 5 14" xfId="50099"/>
    <cellStyle name="Normal 3 2 6 5 2" xfId="6650"/>
    <cellStyle name="Normal 3 2 6 5 2 10" xfId="38908"/>
    <cellStyle name="Normal 3 2 6 5 2 11" xfId="42940"/>
    <cellStyle name="Normal 3 2 6 5 2 12" xfId="46972"/>
    <cellStyle name="Normal 3 2 6 5 2 13" xfId="51051"/>
    <cellStyle name="Normal 3 2 6 5 2 2" xfId="8666"/>
    <cellStyle name="Normal 3 2 6 5 2 2 10" xfId="44956"/>
    <cellStyle name="Normal 3 2 6 5 2 2 11" xfId="48988"/>
    <cellStyle name="Normal 3 2 6 5 2 2 12" xfId="53067"/>
    <cellStyle name="Normal 3 2 6 5 2 2 2" xfId="12700"/>
    <cellStyle name="Normal 3 2 6 5 2 2 3" xfId="16732"/>
    <cellStyle name="Normal 3 2 6 5 2 2 4" xfId="20764"/>
    <cellStyle name="Normal 3 2 6 5 2 2 5" xfId="24796"/>
    <cellStyle name="Normal 3 2 6 5 2 2 6" xfId="28828"/>
    <cellStyle name="Normal 3 2 6 5 2 2 7" xfId="32860"/>
    <cellStyle name="Normal 3 2 6 5 2 2 8" xfId="36892"/>
    <cellStyle name="Normal 3 2 6 5 2 2 9" xfId="40924"/>
    <cellStyle name="Normal 3 2 6 5 2 3" xfId="10684"/>
    <cellStyle name="Normal 3 2 6 5 2 4" xfId="14716"/>
    <cellStyle name="Normal 3 2 6 5 2 5" xfId="18748"/>
    <cellStyle name="Normal 3 2 6 5 2 6" xfId="22780"/>
    <cellStyle name="Normal 3 2 6 5 2 7" xfId="26812"/>
    <cellStyle name="Normal 3 2 6 5 2 8" xfId="30844"/>
    <cellStyle name="Normal 3 2 6 5 2 9" xfId="34876"/>
    <cellStyle name="Normal 3 2 6 5 3" xfId="7715"/>
    <cellStyle name="Normal 3 2 6 5 3 10" xfId="44005"/>
    <cellStyle name="Normal 3 2 6 5 3 11" xfId="48037"/>
    <cellStyle name="Normal 3 2 6 5 3 12" xfId="52116"/>
    <cellStyle name="Normal 3 2 6 5 3 2" xfId="11749"/>
    <cellStyle name="Normal 3 2 6 5 3 3" xfId="15781"/>
    <cellStyle name="Normal 3 2 6 5 3 4" xfId="19813"/>
    <cellStyle name="Normal 3 2 6 5 3 5" xfId="23845"/>
    <cellStyle name="Normal 3 2 6 5 3 6" xfId="27877"/>
    <cellStyle name="Normal 3 2 6 5 3 7" xfId="31909"/>
    <cellStyle name="Normal 3 2 6 5 3 8" xfId="35941"/>
    <cellStyle name="Normal 3 2 6 5 3 9" xfId="39973"/>
    <cellStyle name="Normal 3 2 6 5 4" xfId="9733"/>
    <cellStyle name="Normal 3 2 6 5 5" xfId="13765"/>
    <cellStyle name="Normal 3 2 6 5 6" xfId="17797"/>
    <cellStyle name="Normal 3 2 6 5 7" xfId="21829"/>
    <cellStyle name="Normal 3 2 6 5 8" xfId="25861"/>
    <cellStyle name="Normal 3 2 6 5 9" xfId="29893"/>
    <cellStyle name="Normal 3 2 6 6" xfId="4138"/>
    <cellStyle name="Normal 3 2 6 6 10" xfId="33994"/>
    <cellStyle name="Normal 3 2 6 6 11" xfId="38026"/>
    <cellStyle name="Normal 3 2 6 6 12" xfId="42058"/>
    <cellStyle name="Normal 3 2 6 6 13" xfId="46090"/>
    <cellStyle name="Normal 3 2 6 6 14" xfId="50168"/>
    <cellStyle name="Normal 3 2 6 6 2" xfId="6719"/>
    <cellStyle name="Normal 3 2 6 6 2 10" xfId="38977"/>
    <cellStyle name="Normal 3 2 6 6 2 11" xfId="43009"/>
    <cellStyle name="Normal 3 2 6 6 2 12" xfId="47041"/>
    <cellStyle name="Normal 3 2 6 6 2 13" xfId="51120"/>
    <cellStyle name="Normal 3 2 6 6 2 2" xfId="8735"/>
    <cellStyle name="Normal 3 2 6 6 2 2 10" xfId="45025"/>
    <cellStyle name="Normal 3 2 6 6 2 2 11" xfId="49057"/>
    <cellStyle name="Normal 3 2 6 6 2 2 12" xfId="53136"/>
    <cellStyle name="Normal 3 2 6 6 2 2 2" xfId="12769"/>
    <cellStyle name="Normal 3 2 6 6 2 2 3" xfId="16801"/>
    <cellStyle name="Normal 3 2 6 6 2 2 4" xfId="20833"/>
    <cellStyle name="Normal 3 2 6 6 2 2 5" xfId="24865"/>
    <cellStyle name="Normal 3 2 6 6 2 2 6" xfId="28897"/>
    <cellStyle name="Normal 3 2 6 6 2 2 7" xfId="32929"/>
    <cellStyle name="Normal 3 2 6 6 2 2 8" xfId="36961"/>
    <cellStyle name="Normal 3 2 6 6 2 2 9" xfId="40993"/>
    <cellStyle name="Normal 3 2 6 6 2 3" xfId="10753"/>
    <cellStyle name="Normal 3 2 6 6 2 4" xfId="14785"/>
    <cellStyle name="Normal 3 2 6 6 2 5" xfId="18817"/>
    <cellStyle name="Normal 3 2 6 6 2 6" xfId="22849"/>
    <cellStyle name="Normal 3 2 6 6 2 7" xfId="26881"/>
    <cellStyle name="Normal 3 2 6 6 2 8" xfId="30913"/>
    <cellStyle name="Normal 3 2 6 6 2 9" xfId="34945"/>
    <cellStyle name="Normal 3 2 6 6 3" xfId="7784"/>
    <cellStyle name="Normal 3 2 6 6 3 10" xfId="44074"/>
    <cellStyle name="Normal 3 2 6 6 3 11" xfId="48106"/>
    <cellStyle name="Normal 3 2 6 6 3 12" xfId="52185"/>
    <cellStyle name="Normal 3 2 6 6 3 2" xfId="11818"/>
    <cellStyle name="Normal 3 2 6 6 3 3" xfId="15850"/>
    <cellStyle name="Normal 3 2 6 6 3 4" xfId="19882"/>
    <cellStyle name="Normal 3 2 6 6 3 5" xfId="23914"/>
    <cellStyle name="Normal 3 2 6 6 3 6" xfId="27946"/>
    <cellStyle name="Normal 3 2 6 6 3 7" xfId="31978"/>
    <cellStyle name="Normal 3 2 6 6 3 8" xfId="36010"/>
    <cellStyle name="Normal 3 2 6 6 3 9" xfId="40042"/>
    <cellStyle name="Normal 3 2 6 6 4" xfId="9802"/>
    <cellStyle name="Normal 3 2 6 6 5" xfId="13834"/>
    <cellStyle name="Normal 3 2 6 6 6" xfId="17866"/>
    <cellStyle name="Normal 3 2 6 6 7" xfId="21898"/>
    <cellStyle name="Normal 3 2 6 6 8" xfId="25930"/>
    <cellStyle name="Normal 3 2 6 6 9" xfId="29962"/>
    <cellStyle name="Normal 3 2 6 7" xfId="4207"/>
    <cellStyle name="Normal 3 2 6 7 10" xfId="34063"/>
    <cellStyle name="Normal 3 2 6 7 11" xfId="38095"/>
    <cellStyle name="Normal 3 2 6 7 12" xfId="42127"/>
    <cellStyle name="Normal 3 2 6 7 13" xfId="46159"/>
    <cellStyle name="Normal 3 2 6 7 14" xfId="50237"/>
    <cellStyle name="Normal 3 2 6 7 2" xfId="6788"/>
    <cellStyle name="Normal 3 2 6 7 2 10" xfId="39046"/>
    <cellStyle name="Normal 3 2 6 7 2 11" xfId="43078"/>
    <cellStyle name="Normal 3 2 6 7 2 12" xfId="47110"/>
    <cellStyle name="Normal 3 2 6 7 2 13" xfId="51189"/>
    <cellStyle name="Normal 3 2 6 7 2 2" xfId="8804"/>
    <cellStyle name="Normal 3 2 6 7 2 2 10" xfId="45094"/>
    <cellStyle name="Normal 3 2 6 7 2 2 11" xfId="49126"/>
    <cellStyle name="Normal 3 2 6 7 2 2 12" xfId="53205"/>
    <cellStyle name="Normal 3 2 6 7 2 2 2" xfId="12838"/>
    <cellStyle name="Normal 3 2 6 7 2 2 3" xfId="16870"/>
    <cellStyle name="Normal 3 2 6 7 2 2 4" xfId="20902"/>
    <cellStyle name="Normal 3 2 6 7 2 2 5" xfId="24934"/>
    <cellStyle name="Normal 3 2 6 7 2 2 6" xfId="28966"/>
    <cellStyle name="Normal 3 2 6 7 2 2 7" xfId="32998"/>
    <cellStyle name="Normal 3 2 6 7 2 2 8" xfId="37030"/>
    <cellStyle name="Normal 3 2 6 7 2 2 9" xfId="41062"/>
    <cellStyle name="Normal 3 2 6 7 2 3" xfId="10822"/>
    <cellStyle name="Normal 3 2 6 7 2 4" xfId="14854"/>
    <cellStyle name="Normal 3 2 6 7 2 5" xfId="18886"/>
    <cellStyle name="Normal 3 2 6 7 2 6" xfId="22918"/>
    <cellStyle name="Normal 3 2 6 7 2 7" xfId="26950"/>
    <cellStyle name="Normal 3 2 6 7 2 8" xfId="30982"/>
    <cellStyle name="Normal 3 2 6 7 2 9" xfId="35014"/>
    <cellStyle name="Normal 3 2 6 7 3" xfId="7853"/>
    <cellStyle name="Normal 3 2 6 7 3 10" xfId="44143"/>
    <cellStyle name="Normal 3 2 6 7 3 11" xfId="48175"/>
    <cellStyle name="Normal 3 2 6 7 3 12" xfId="52254"/>
    <cellStyle name="Normal 3 2 6 7 3 2" xfId="11887"/>
    <cellStyle name="Normal 3 2 6 7 3 3" xfId="15919"/>
    <cellStyle name="Normal 3 2 6 7 3 4" xfId="19951"/>
    <cellStyle name="Normal 3 2 6 7 3 5" xfId="23983"/>
    <cellStyle name="Normal 3 2 6 7 3 6" xfId="28015"/>
    <cellStyle name="Normal 3 2 6 7 3 7" xfId="32047"/>
    <cellStyle name="Normal 3 2 6 7 3 8" xfId="36079"/>
    <cellStyle name="Normal 3 2 6 7 3 9" xfId="40111"/>
    <cellStyle name="Normal 3 2 6 7 4" xfId="9871"/>
    <cellStyle name="Normal 3 2 6 7 5" xfId="13903"/>
    <cellStyle name="Normal 3 2 6 7 6" xfId="17935"/>
    <cellStyle name="Normal 3 2 6 7 7" xfId="21967"/>
    <cellStyle name="Normal 3 2 6 7 8" xfId="25999"/>
    <cellStyle name="Normal 3 2 6 7 9" xfId="30031"/>
    <cellStyle name="Normal 3 2 6 8" xfId="4280"/>
    <cellStyle name="Normal 3 2 6 8 10" xfId="34132"/>
    <cellStyle name="Normal 3 2 6 8 11" xfId="38164"/>
    <cellStyle name="Normal 3 2 6 8 12" xfId="42196"/>
    <cellStyle name="Normal 3 2 6 8 13" xfId="46228"/>
    <cellStyle name="Normal 3 2 6 8 14" xfId="50306"/>
    <cellStyle name="Normal 3 2 6 8 2" xfId="6857"/>
    <cellStyle name="Normal 3 2 6 8 2 10" xfId="39115"/>
    <cellStyle name="Normal 3 2 6 8 2 11" xfId="43147"/>
    <cellStyle name="Normal 3 2 6 8 2 12" xfId="47179"/>
    <cellStyle name="Normal 3 2 6 8 2 13" xfId="51258"/>
    <cellStyle name="Normal 3 2 6 8 2 2" xfId="8873"/>
    <cellStyle name="Normal 3 2 6 8 2 2 10" xfId="45163"/>
    <cellStyle name="Normal 3 2 6 8 2 2 11" xfId="49195"/>
    <cellStyle name="Normal 3 2 6 8 2 2 12" xfId="53274"/>
    <cellStyle name="Normal 3 2 6 8 2 2 2" xfId="12907"/>
    <cellStyle name="Normal 3 2 6 8 2 2 3" xfId="16939"/>
    <cellStyle name="Normal 3 2 6 8 2 2 4" xfId="20971"/>
    <cellStyle name="Normal 3 2 6 8 2 2 5" xfId="25003"/>
    <cellStyle name="Normal 3 2 6 8 2 2 6" xfId="29035"/>
    <cellStyle name="Normal 3 2 6 8 2 2 7" xfId="33067"/>
    <cellStyle name="Normal 3 2 6 8 2 2 8" xfId="37099"/>
    <cellStyle name="Normal 3 2 6 8 2 2 9" xfId="41131"/>
    <cellStyle name="Normal 3 2 6 8 2 3" xfId="10891"/>
    <cellStyle name="Normal 3 2 6 8 2 4" xfId="14923"/>
    <cellStyle name="Normal 3 2 6 8 2 5" xfId="18955"/>
    <cellStyle name="Normal 3 2 6 8 2 6" xfId="22987"/>
    <cellStyle name="Normal 3 2 6 8 2 7" xfId="27019"/>
    <cellStyle name="Normal 3 2 6 8 2 8" xfId="31051"/>
    <cellStyle name="Normal 3 2 6 8 2 9" xfId="35083"/>
    <cellStyle name="Normal 3 2 6 8 3" xfId="7922"/>
    <cellStyle name="Normal 3 2 6 8 3 10" xfId="44212"/>
    <cellStyle name="Normal 3 2 6 8 3 11" xfId="48244"/>
    <cellStyle name="Normal 3 2 6 8 3 12" xfId="52323"/>
    <cellStyle name="Normal 3 2 6 8 3 2" xfId="11956"/>
    <cellStyle name="Normal 3 2 6 8 3 3" xfId="15988"/>
    <cellStyle name="Normal 3 2 6 8 3 4" xfId="20020"/>
    <cellStyle name="Normal 3 2 6 8 3 5" xfId="24052"/>
    <cellStyle name="Normal 3 2 6 8 3 6" xfId="28084"/>
    <cellStyle name="Normal 3 2 6 8 3 7" xfId="32116"/>
    <cellStyle name="Normal 3 2 6 8 3 8" xfId="36148"/>
    <cellStyle name="Normal 3 2 6 8 3 9" xfId="40180"/>
    <cellStyle name="Normal 3 2 6 8 4" xfId="9940"/>
    <cellStyle name="Normal 3 2 6 8 5" xfId="13972"/>
    <cellStyle name="Normal 3 2 6 8 6" xfId="18004"/>
    <cellStyle name="Normal 3 2 6 8 7" xfId="22036"/>
    <cellStyle name="Normal 3 2 6 8 8" xfId="26068"/>
    <cellStyle name="Normal 3 2 6 8 9" xfId="30100"/>
    <cellStyle name="Normal 3 2 6 9" xfId="4426"/>
    <cellStyle name="Normal 3 2 6 9 10" xfId="34270"/>
    <cellStyle name="Normal 3 2 6 9 11" xfId="38302"/>
    <cellStyle name="Normal 3 2 6 9 12" xfId="42334"/>
    <cellStyle name="Normal 3 2 6 9 13" xfId="46366"/>
    <cellStyle name="Normal 3 2 6 9 14" xfId="50445"/>
    <cellStyle name="Normal 3 2 6 9 2" xfId="6995"/>
    <cellStyle name="Normal 3 2 6 9 2 10" xfId="39253"/>
    <cellStyle name="Normal 3 2 6 9 2 11" xfId="43285"/>
    <cellStyle name="Normal 3 2 6 9 2 12" xfId="47317"/>
    <cellStyle name="Normal 3 2 6 9 2 13" xfId="51396"/>
    <cellStyle name="Normal 3 2 6 9 2 2" xfId="9011"/>
    <cellStyle name="Normal 3 2 6 9 2 2 10" xfId="45301"/>
    <cellStyle name="Normal 3 2 6 9 2 2 11" xfId="49333"/>
    <cellStyle name="Normal 3 2 6 9 2 2 12" xfId="53412"/>
    <cellStyle name="Normal 3 2 6 9 2 2 2" xfId="13045"/>
    <cellStyle name="Normal 3 2 6 9 2 2 3" xfId="17077"/>
    <cellStyle name="Normal 3 2 6 9 2 2 4" xfId="21109"/>
    <cellStyle name="Normal 3 2 6 9 2 2 5" xfId="25141"/>
    <cellStyle name="Normal 3 2 6 9 2 2 6" xfId="29173"/>
    <cellStyle name="Normal 3 2 6 9 2 2 7" xfId="33205"/>
    <cellStyle name="Normal 3 2 6 9 2 2 8" xfId="37237"/>
    <cellStyle name="Normal 3 2 6 9 2 2 9" xfId="41269"/>
    <cellStyle name="Normal 3 2 6 9 2 3" xfId="11029"/>
    <cellStyle name="Normal 3 2 6 9 2 4" xfId="15061"/>
    <cellStyle name="Normal 3 2 6 9 2 5" xfId="19093"/>
    <cellStyle name="Normal 3 2 6 9 2 6" xfId="23125"/>
    <cellStyle name="Normal 3 2 6 9 2 7" xfId="27157"/>
    <cellStyle name="Normal 3 2 6 9 2 8" xfId="31189"/>
    <cellStyle name="Normal 3 2 6 9 2 9" xfId="35221"/>
    <cellStyle name="Normal 3 2 6 9 3" xfId="8060"/>
    <cellStyle name="Normal 3 2 6 9 3 10" xfId="44350"/>
    <cellStyle name="Normal 3 2 6 9 3 11" xfId="48382"/>
    <cellStyle name="Normal 3 2 6 9 3 12" xfId="52461"/>
    <cellStyle name="Normal 3 2 6 9 3 2" xfId="12094"/>
    <cellStyle name="Normal 3 2 6 9 3 3" xfId="16126"/>
    <cellStyle name="Normal 3 2 6 9 3 4" xfId="20158"/>
    <cellStyle name="Normal 3 2 6 9 3 5" xfId="24190"/>
    <cellStyle name="Normal 3 2 6 9 3 6" xfId="28222"/>
    <cellStyle name="Normal 3 2 6 9 3 7" xfId="32254"/>
    <cellStyle name="Normal 3 2 6 9 3 8" xfId="36286"/>
    <cellStyle name="Normal 3 2 6 9 3 9" xfId="40318"/>
    <cellStyle name="Normal 3 2 6 9 4" xfId="10078"/>
    <cellStyle name="Normal 3 2 6 9 5" xfId="14110"/>
    <cellStyle name="Normal 3 2 6 9 6" xfId="18142"/>
    <cellStyle name="Normal 3 2 6 9 7" xfId="22174"/>
    <cellStyle name="Normal 3 2 6 9 8" xfId="26206"/>
    <cellStyle name="Normal 3 2 6 9 9" xfId="30238"/>
    <cellStyle name="Normal 3 2 7" xfId="68"/>
    <cellStyle name="Normal 3 2 7 10" xfId="4548"/>
    <cellStyle name="Normal 3 2 7 10 10" xfId="38424"/>
    <cellStyle name="Normal 3 2 7 10 11" xfId="42456"/>
    <cellStyle name="Normal 3 2 7 10 12" xfId="46488"/>
    <cellStyle name="Normal 3 2 7 10 13" xfId="50567"/>
    <cellStyle name="Normal 3 2 7 10 2" xfId="8182"/>
    <cellStyle name="Normal 3 2 7 10 2 10" xfId="44472"/>
    <cellStyle name="Normal 3 2 7 10 2 11" xfId="48504"/>
    <cellStyle name="Normal 3 2 7 10 2 12" xfId="52583"/>
    <cellStyle name="Normal 3 2 7 10 2 2" xfId="12216"/>
    <cellStyle name="Normal 3 2 7 10 2 3" xfId="16248"/>
    <cellStyle name="Normal 3 2 7 10 2 4" xfId="20280"/>
    <cellStyle name="Normal 3 2 7 10 2 5" xfId="24312"/>
    <cellStyle name="Normal 3 2 7 10 2 6" xfId="28344"/>
    <cellStyle name="Normal 3 2 7 10 2 7" xfId="32376"/>
    <cellStyle name="Normal 3 2 7 10 2 8" xfId="36408"/>
    <cellStyle name="Normal 3 2 7 10 2 9" xfId="40440"/>
    <cellStyle name="Normal 3 2 7 10 3" xfId="10200"/>
    <cellStyle name="Normal 3 2 7 10 4" xfId="14232"/>
    <cellStyle name="Normal 3 2 7 10 5" xfId="18264"/>
    <cellStyle name="Normal 3 2 7 10 6" xfId="22296"/>
    <cellStyle name="Normal 3 2 7 10 7" xfId="26328"/>
    <cellStyle name="Normal 3 2 7 10 8" xfId="30360"/>
    <cellStyle name="Normal 3 2 7 10 9" xfId="34392"/>
    <cellStyle name="Normal 3 2 7 11" xfId="276"/>
    <cellStyle name="Normal 3 2 7 11 10" xfId="37481"/>
    <cellStyle name="Normal 3 2 7 11 11" xfId="41513"/>
    <cellStyle name="Normal 3 2 7 11 12" xfId="45545"/>
    <cellStyle name="Normal 3 2 7 11 13" xfId="49623"/>
    <cellStyle name="Normal 3 2 7 11 2" xfId="7239"/>
    <cellStyle name="Normal 3 2 7 11 2 10" xfId="43529"/>
    <cellStyle name="Normal 3 2 7 11 2 11" xfId="47561"/>
    <cellStyle name="Normal 3 2 7 11 2 12" xfId="51640"/>
    <cellStyle name="Normal 3 2 7 11 2 2" xfId="11273"/>
    <cellStyle name="Normal 3 2 7 11 2 3" xfId="15305"/>
    <cellStyle name="Normal 3 2 7 11 2 4" xfId="19337"/>
    <cellStyle name="Normal 3 2 7 11 2 5" xfId="23369"/>
    <cellStyle name="Normal 3 2 7 11 2 6" xfId="27401"/>
    <cellStyle name="Normal 3 2 7 11 2 7" xfId="31433"/>
    <cellStyle name="Normal 3 2 7 11 2 8" xfId="35465"/>
    <cellStyle name="Normal 3 2 7 11 2 9" xfId="39497"/>
    <cellStyle name="Normal 3 2 7 11 3" xfId="9257"/>
    <cellStyle name="Normal 3 2 7 11 4" xfId="13289"/>
    <cellStyle name="Normal 3 2 7 11 5" xfId="17321"/>
    <cellStyle name="Normal 3 2 7 11 6" xfId="21353"/>
    <cellStyle name="Normal 3 2 7 11 7" xfId="25385"/>
    <cellStyle name="Normal 3 2 7 11 8" xfId="29417"/>
    <cellStyle name="Normal 3 2 7 11 9" xfId="33449"/>
    <cellStyle name="Normal 3 2 7 12" xfId="7117"/>
    <cellStyle name="Normal 3 2 7 12 10" xfId="43407"/>
    <cellStyle name="Normal 3 2 7 12 11" xfId="47439"/>
    <cellStyle name="Normal 3 2 7 12 12" xfId="51518"/>
    <cellStyle name="Normal 3 2 7 12 2" xfId="11151"/>
    <cellStyle name="Normal 3 2 7 12 3" xfId="15183"/>
    <cellStyle name="Normal 3 2 7 12 4" xfId="19215"/>
    <cellStyle name="Normal 3 2 7 12 5" xfId="23247"/>
    <cellStyle name="Normal 3 2 7 12 6" xfId="27279"/>
    <cellStyle name="Normal 3 2 7 12 7" xfId="31311"/>
    <cellStyle name="Normal 3 2 7 12 8" xfId="35343"/>
    <cellStyle name="Normal 3 2 7 12 9" xfId="39375"/>
    <cellStyle name="Normal 3 2 7 13" xfId="143"/>
    <cellStyle name="Normal 3 2 7 14" xfId="9135"/>
    <cellStyle name="Normal 3 2 7 15" xfId="13167"/>
    <cellStyle name="Normal 3 2 7 16" xfId="17199"/>
    <cellStyle name="Normal 3 2 7 17" xfId="21231"/>
    <cellStyle name="Normal 3 2 7 18" xfId="25263"/>
    <cellStyle name="Normal 3 2 7 19" xfId="29295"/>
    <cellStyle name="Normal 3 2 7 2" xfId="222"/>
    <cellStyle name="Normal 3 2 7 2 10" xfId="21300"/>
    <cellStyle name="Normal 3 2 7 2 11" xfId="25332"/>
    <cellStyle name="Normal 3 2 7 2 12" xfId="29364"/>
    <cellStyle name="Normal 3 2 7 2 13" xfId="33396"/>
    <cellStyle name="Normal 3 2 7 2 14" xfId="37428"/>
    <cellStyle name="Normal 3 2 7 2 15" xfId="41460"/>
    <cellStyle name="Normal 3 2 7 2 16" xfId="45492"/>
    <cellStyle name="Normal 3 2 7 2 17" xfId="49570"/>
    <cellStyle name="Normal 3 2 7 2 2" xfId="4340"/>
    <cellStyle name="Normal 3 2 7 2 2 10" xfId="34185"/>
    <cellStyle name="Normal 3 2 7 2 2 11" xfId="38217"/>
    <cellStyle name="Normal 3 2 7 2 2 12" xfId="42249"/>
    <cellStyle name="Normal 3 2 7 2 2 13" xfId="46281"/>
    <cellStyle name="Normal 3 2 7 2 2 14" xfId="50360"/>
    <cellStyle name="Normal 3 2 7 2 2 2" xfId="6910"/>
    <cellStyle name="Normal 3 2 7 2 2 2 10" xfId="39168"/>
    <cellStyle name="Normal 3 2 7 2 2 2 11" xfId="43200"/>
    <cellStyle name="Normal 3 2 7 2 2 2 12" xfId="47232"/>
    <cellStyle name="Normal 3 2 7 2 2 2 13" xfId="51311"/>
    <cellStyle name="Normal 3 2 7 2 2 2 2" xfId="8926"/>
    <cellStyle name="Normal 3 2 7 2 2 2 2 10" xfId="45216"/>
    <cellStyle name="Normal 3 2 7 2 2 2 2 11" xfId="49248"/>
    <cellStyle name="Normal 3 2 7 2 2 2 2 12" xfId="53327"/>
    <cellStyle name="Normal 3 2 7 2 2 2 2 2" xfId="12960"/>
    <cellStyle name="Normal 3 2 7 2 2 2 2 3" xfId="16992"/>
    <cellStyle name="Normal 3 2 7 2 2 2 2 4" xfId="21024"/>
    <cellStyle name="Normal 3 2 7 2 2 2 2 5" xfId="25056"/>
    <cellStyle name="Normal 3 2 7 2 2 2 2 6" xfId="29088"/>
    <cellStyle name="Normal 3 2 7 2 2 2 2 7" xfId="33120"/>
    <cellStyle name="Normal 3 2 7 2 2 2 2 8" xfId="37152"/>
    <cellStyle name="Normal 3 2 7 2 2 2 2 9" xfId="41184"/>
    <cellStyle name="Normal 3 2 7 2 2 2 3" xfId="10944"/>
    <cellStyle name="Normal 3 2 7 2 2 2 4" xfId="14976"/>
    <cellStyle name="Normal 3 2 7 2 2 2 5" xfId="19008"/>
    <cellStyle name="Normal 3 2 7 2 2 2 6" xfId="23040"/>
    <cellStyle name="Normal 3 2 7 2 2 2 7" xfId="27072"/>
    <cellStyle name="Normal 3 2 7 2 2 2 8" xfId="31104"/>
    <cellStyle name="Normal 3 2 7 2 2 2 9" xfId="35136"/>
    <cellStyle name="Normal 3 2 7 2 2 3" xfId="7975"/>
    <cellStyle name="Normal 3 2 7 2 2 3 10" xfId="44265"/>
    <cellStyle name="Normal 3 2 7 2 2 3 11" xfId="48297"/>
    <cellStyle name="Normal 3 2 7 2 2 3 12" xfId="52376"/>
    <cellStyle name="Normal 3 2 7 2 2 3 2" xfId="12009"/>
    <cellStyle name="Normal 3 2 7 2 2 3 3" xfId="16041"/>
    <cellStyle name="Normal 3 2 7 2 2 3 4" xfId="20073"/>
    <cellStyle name="Normal 3 2 7 2 2 3 5" xfId="24105"/>
    <cellStyle name="Normal 3 2 7 2 2 3 6" xfId="28137"/>
    <cellStyle name="Normal 3 2 7 2 2 3 7" xfId="32169"/>
    <cellStyle name="Normal 3 2 7 2 2 3 8" xfId="36201"/>
    <cellStyle name="Normal 3 2 7 2 2 3 9" xfId="40233"/>
    <cellStyle name="Normal 3 2 7 2 2 4" xfId="9993"/>
    <cellStyle name="Normal 3 2 7 2 2 5" xfId="14025"/>
    <cellStyle name="Normal 3 2 7 2 2 6" xfId="18057"/>
    <cellStyle name="Normal 3 2 7 2 2 7" xfId="22089"/>
    <cellStyle name="Normal 3 2 7 2 2 8" xfId="26121"/>
    <cellStyle name="Normal 3 2 7 2 2 9" xfId="30153"/>
    <cellStyle name="Normal 3 2 7 2 3" xfId="4479"/>
    <cellStyle name="Normal 3 2 7 2 3 10" xfId="34323"/>
    <cellStyle name="Normal 3 2 7 2 3 11" xfId="38355"/>
    <cellStyle name="Normal 3 2 7 2 3 12" xfId="42387"/>
    <cellStyle name="Normal 3 2 7 2 3 13" xfId="46419"/>
    <cellStyle name="Normal 3 2 7 2 3 14" xfId="50498"/>
    <cellStyle name="Normal 3 2 7 2 3 2" xfId="7048"/>
    <cellStyle name="Normal 3 2 7 2 3 2 10" xfId="39306"/>
    <cellStyle name="Normal 3 2 7 2 3 2 11" xfId="43338"/>
    <cellStyle name="Normal 3 2 7 2 3 2 12" xfId="47370"/>
    <cellStyle name="Normal 3 2 7 2 3 2 13" xfId="51449"/>
    <cellStyle name="Normal 3 2 7 2 3 2 2" xfId="9064"/>
    <cellStyle name="Normal 3 2 7 2 3 2 2 10" xfId="45354"/>
    <cellStyle name="Normal 3 2 7 2 3 2 2 11" xfId="49386"/>
    <cellStyle name="Normal 3 2 7 2 3 2 2 12" xfId="53465"/>
    <cellStyle name="Normal 3 2 7 2 3 2 2 2" xfId="13098"/>
    <cellStyle name="Normal 3 2 7 2 3 2 2 3" xfId="17130"/>
    <cellStyle name="Normal 3 2 7 2 3 2 2 4" xfId="21162"/>
    <cellStyle name="Normal 3 2 7 2 3 2 2 5" xfId="25194"/>
    <cellStyle name="Normal 3 2 7 2 3 2 2 6" xfId="29226"/>
    <cellStyle name="Normal 3 2 7 2 3 2 2 7" xfId="33258"/>
    <cellStyle name="Normal 3 2 7 2 3 2 2 8" xfId="37290"/>
    <cellStyle name="Normal 3 2 7 2 3 2 2 9" xfId="41322"/>
    <cellStyle name="Normal 3 2 7 2 3 2 3" xfId="11082"/>
    <cellStyle name="Normal 3 2 7 2 3 2 4" xfId="15114"/>
    <cellStyle name="Normal 3 2 7 2 3 2 5" xfId="19146"/>
    <cellStyle name="Normal 3 2 7 2 3 2 6" xfId="23178"/>
    <cellStyle name="Normal 3 2 7 2 3 2 7" xfId="27210"/>
    <cellStyle name="Normal 3 2 7 2 3 2 8" xfId="31242"/>
    <cellStyle name="Normal 3 2 7 2 3 2 9" xfId="35274"/>
    <cellStyle name="Normal 3 2 7 2 3 3" xfId="8113"/>
    <cellStyle name="Normal 3 2 7 2 3 3 10" xfId="44403"/>
    <cellStyle name="Normal 3 2 7 2 3 3 11" xfId="48435"/>
    <cellStyle name="Normal 3 2 7 2 3 3 12" xfId="52514"/>
    <cellStyle name="Normal 3 2 7 2 3 3 2" xfId="12147"/>
    <cellStyle name="Normal 3 2 7 2 3 3 3" xfId="16179"/>
    <cellStyle name="Normal 3 2 7 2 3 3 4" xfId="20211"/>
    <cellStyle name="Normal 3 2 7 2 3 3 5" xfId="24243"/>
    <cellStyle name="Normal 3 2 7 2 3 3 6" xfId="28275"/>
    <cellStyle name="Normal 3 2 7 2 3 3 7" xfId="32307"/>
    <cellStyle name="Normal 3 2 7 2 3 3 8" xfId="36339"/>
    <cellStyle name="Normal 3 2 7 2 3 3 9" xfId="40371"/>
    <cellStyle name="Normal 3 2 7 2 3 4" xfId="10131"/>
    <cellStyle name="Normal 3 2 7 2 3 5" xfId="14163"/>
    <cellStyle name="Normal 3 2 7 2 3 6" xfId="18195"/>
    <cellStyle name="Normal 3 2 7 2 3 7" xfId="22227"/>
    <cellStyle name="Normal 3 2 7 2 3 8" xfId="26259"/>
    <cellStyle name="Normal 3 2 7 2 3 9" xfId="30291"/>
    <cellStyle name="Normal 3 2 7 2 4" xfId="4619"/>
    <cellStyle name="Normal 3 2 7 2 4 10" xfId="38493"/>
    <cellStyle name="Normal 3 2 7 2 4 11" xfId="42525"/>
    <cellStyle name="Normal 3 2 7 2 4 12" xfId="46557"/>
    <cellStyle name="Normal 3 2 7 2 4 13" xfId="50636"/>
    <cellStyle name="Normal 3 2 7 2 4 2" xfId="8251"/>
    <cellStyle name="Normal 3 2 7 2 4 2 10" xfId="44541"/>
    <cellStyle name="Normal 3 2 7 2 4 2 11" xfId="48573"/>
    <cellStyle name="Normal 3 2 7 2 4 2 12" xfId="52652"/>
    <cellStyle name="Normal 3 2 7 2 4 2 2" xfId="12285"/>
    <cellStyle name="Normal 3 2 7 2 4 2 3" xfId="16317"/>
    <cellStyle name="Normal 3 2 7 2 4 2 4" xfId="20349"/>
    <cellStyle name="Normal 3 2 7 2 4 2 5" xfId="24381"/>
    <cellStyle name="Normal 3 2 7 2 4 2 6" xfId="28413"/>
    <cellStyle name="Normal 3 2 7 2 4 2 7" xfId="32445"/>
    <cellStyle name="Normal 3 2 7 2 4 2 8" xfId="36477"/>
    <cellStyle name="Normal 3 2 7 2 4 2 9" xfId="40509"/>
    <cellStyle name="Normal 3 2 7 2 4 3" xfId="10269"/>
    <cellStyle name="Normal 3 2 7 2 4 4" xfId="14301"/>
    <cellStyle name="Normal 3 2 7 2 4 5" xfId="18333"/>
    <cellStyle name="Normal 3 2 7 2 4 6" xfId="22365"/>
    <cellStyle name="Normal 3 2 7 2 4 7" xfId="26397"/>
    <cellStyle name="Normal 3 2 7 2 4 8" xfId="30429"/>
    <cellStyle name="Normal 3 2 7 2 4 9" xfId="34461"/>
    <cellStyle name="Normal 3 2 7 2 5" xfId="346"/>
    <cellStyle name="Normal 3 2 7 2 5 10" xfId="37551"/>
    <cellStyle name="Normal 3 2 7 2 5 11" xfId="41583"/>
    <cellStyle name="Normal 3 2 7 2 5 12" xfId="45615"/>
    <cellStyle name="Normal 3 2 7 2 5 13" xfId="49693"/>
    <cellStyle name="Normal 3 2 7 2 5 2" xfId="7309"/>
    <cellStyle name="Normal 3 2 7 2 5 2 10" xfId="43599"/>
    <cellStyle name="Normal 3 2 7 2 5 2 11" xfId="47631"/>
    <cellStyle name="Normal 3 2 7 2 5 2 12" xfId="51710"/>
    <cellStyle name="Normal 3 2 7 2 5 2 2" xfId="11343"/>
    <cellStyle name="Normal 3 2 7 2 5 2 3" xfId="15375"/>
    <cellStyle name="Normal 3 2 7 2 5 2 4" xfId="19407"/>
    <cellStyle name="Normal 3 2 7 2 5 2 5" xfId="23439"/>
    <cellStyle name="Normal 3 2 7 2 5 2 6" xfId="27471"/>
    <cellStyle name="Normal 3 2 7 2 5 2 7" xfId="31503"/>
    <cellStyle name="Normal 3 2 7 2 5 2 8" xfId="35535"/>
    <cellStyle name="Normal 3 2 7 2 5 2 9" xfId="39567"/>
    <cellStyle name="Normal 3 2 7 2 5 3" xfId="9327"/>
    <cellStyle name="Normal 3 2 7 2 5 4" xfId="13359"/>
    <cellStyle name="Normal 3 2 7 2 5 5" xfId="17391"/>
    <cellStyle name="Normal 3 2 7 2 5 6" xfId="21423"/>
    <cellStyle name="Normal 3 2 7 2 5 7" xfId="25455"/>
    <cellStyle name="Normal 3 2 7 2 5 8" xfId="29487"/>
    <cellStyle name="Normal 3 2 7 2 5 9" xfId="33519"/>
    <cellStyle name="Normal 3 2 7 2 6" xfId="7186"/>
    <cellStyle name="Normal 3 2 7 2 6 10" xfId="43476"/>
    <cellStyle name="Normal 3 2 7 2 6 11" xfId="47508"/>
    <cellStyle name="Normal 3 2 7 2 6 12" xfId="51587"/>
    <cellStyle name="Normal 3 2 7 2 6 2" xfId="11220"/>
    <cellStyle name="Normal 3 2 7 2 6 3" xfId="15252"/>
    <cellStyle name="Normal 3 2 7 2 6 4" xfId="19284"/>
    <cellStyle name="Normal 3 2 7 2 6 5" xfId="23316"/>
    <cellStyle name="Normal 3 2 7 2 6 6" xfId="27348"/>
    <cellStyle name="Normal 3 2 7 2 6 7" xfId="31380"/>
    <cellStyle name="Normal 3 2 7 2 6 8" xfId="35412"/>
    <cellStyle name="Normal 3 2 7 2 6 9" xfId="39444"/>
    <cellStyle name="Normal 3 2 7 2 7" xfId="9204"/>
    <cellStyle name="Normal 3 2 7 2 8" xfId="13236"/>
    <cellStyle name="Normal 3 2 7 2 9" xfId="17268"/>
    <cellStyle name="Normal 3 2 7 20" xfId="33327"/>
    <cellStyle name="Normal 3 2 7 21" xfId="37359"/>
    <cellStyle name="Normal 3 2 7 22" xfId="41391"/>
    <cellStyle name="Normal 3 2 7 23" xfId="45423"/>
    <cellStyle name="Normal 3 2 7 24" xfId="49501"/>
    <cellStyle name="Normal 3 2 7 3" xfId="1656"/>
    <cellStyle name="Normal 3 2 7 3 10" xfId="33617"/>
    <cellStyle name="Normal 3 2 7 3 11" xfId="37649"/>
    <cellStyle name="Normal 3 2 7 3 12" xfId="41681"/>
    <cellStyle name="Normal 3 2 7 3 13" xfId="45713"/>
    <cellStyle name="Normal 3 2 7 3 14" xfId="49791"/>
    <cellStyle name="Normal 3 2 7 3 2" xfId="5332"/>
    <cellStyle name="Normal 3 2 7 3 2 10" xfId="38600"/>
    <cellStyle name="Normal 3 2 7 3 2 11" xfId="42632"/>
    <cellStyle name="Normal 3 2 7 3 2 12" xfId="46664"/>
    <cellStyle name="Normal 3 2 7 3 2 13" xfId="50743"/>
    <cellStyle name="Normal 3 2 7 3 2 2" xfId="8358"/>
    <cellStyle name="Normal 3 2 7 3 2 2 10" xfId="44648"/>
    <cellStyle name="Normal 3 2 7 3 2 2 11" xfId="48680"/>
    <cellStyle name="Normal 3 2 7 3 2 2 12" xfId="52759"/>
    <cellStyle name="Normal 3 2 7 3 2 2 2" xfId="12392"/>
    <cellStyle name="Normal 3 2 7 3 2 2 3" xfId="16424"/>
    <cellStyle name="Normal 3 2 7 3 2 2 4" xfId="20456"/>
    <cellStyle name="Normal 3 2 7 3 2 2 5" xfId="24488"/>
    <cellStyle name="Normal 3 2 7 3 2 2 6" xfId="28520"/>
    <cellStyle name="Normal 3 2 7 3 2 2 7" xfId="32552"/>
    <cellStyle name="Normal 3 2 7 3 2 2 8" xfId="36584"/>
    <cellStyle name="Normal 3 2 7 3 2 2 9" xfId="40616"/>
    <cellStyle name="Normal 3 2 7 3 2 3" xfId="10376"/>
    <cellStyle name="Normal 3 2 7 3 2 4" xfId="14408"/>
    <cellStyle name="Normal 3 2 7 3 2 5" xfId="18440"/>
    <cellStyle name="Normal 3 2 7 3 2 6" xfId="22472"/>
    <cellStyle name="Normal 3 2 7 3 2 7" xfId="26504"/>
    <cellStyle name="Normal 3 2 7 3 2 8" xfId="30536"/>
    <cellStyle name="Normal 3 2 7 3 2 9" xfId="34568"/>
    <cellStyle name="Normal 3 2 7 3 3" xfId="7407"/>
    <cellStyle name="Normal 3 2 7 3 3 10" xfId="43697"/>
    <cellStyle name="Normal 3 2 7 3 3 11" xfId="47729"/>
    <cellStyle name="Normal 3 2 7 3 3 12" xfId="51808"/>
    <cellStyle name="Normal 3 2 7 3 3 2" xfId="11441"/>
    <cellStyle name="Normal 3 2 7 3 3 3" xfId="15473"/>
    <cellStyle name="Normal 3 2 7 3 3 4" xfId="19505"/>
    <cellStyle name="Normal 3 2 7 3 3 5" xfId="23537"/>
    <cellStyle name="Normal 3 2 7 3 3 6" xfId="27569"/>
    <cellStyle name="Normal 3 2 7 3 3 7" xfId="31601"/>
    <cellStyle name="Normal 3 2 7 3 3 8" xfId="35633"/>
    <cellStyle name="Normal 3 2 7 3 3 9" xfId="39665"/>
    <cellStyle name="Normal 3 2 7 3 4" xfId="9425"/>
    <cellStyle name="Normal 3 2 7 3 5" xfId="13457"/>
    <cellStyle name="Normal 3 2 7 3 6" xfId="17489"/>
    <cellStyle name="Normal 3 2 7 3 7" xfId="21521"/>
    <cellStyle name="Normal 3 2 7 3 8" xfId="25553"/>
    <cellStyle name="Normal 3 2 7 3 9" xfId="29585"/>
    <cellStyle name="Normal 3 2 7 4" xfId="1730"/>
    <cellStyle name="Normal 3 2 7 4 10" xfId="33686"/>
    <cellStyle name="Normal 3 2 7 4 11" xfId="37718"/>
    <cellStyle name="Normal 3 2 7 4 12" xfId="41750"/>
    <cellStyle name="Normal 3 2 7 4 13" xfId="45782"/>
    <cellStyle name="Normal 3 2 7 4 14" xfId="49860"/>
    <cellStyle name="Normal 3 2 7 4 2" xfId="5401"/>
    <cellStyle name="Normal 3 2 7 4 2 10" xfId="38669"/>
    <cellStyle name="Normal 3 2 7 4 2 11" xfId="42701"/>
    <cellStyle name="Normal 3 2 7 4 2 12" xfId="46733"/>
    <cellStyle name="Normal 3 2 7 4 2 13" xfId="50812"/>
    <cellStyle name="Normal 3 2 7 4 2 2" xfId="8427"/>
    <cellStyle name="Normal 3 2 7 4 2 2 10" xfId="44717"/>
    <cellStyle name="Normal 3 2 7 4 2 2 11" xfId="48749"/>
    <cellStyle name="Normal 3 2 7 4 2 2 12" xfId="52828"/>
    <cellStyle name="Normal 3 2 7 4 2 2 2" xfId="12461"/>
    <cellStyle name="Normal 3 2 7 4 2 2 3" xfId="16493"/>
    <cellStyle name="Normal 3 2 7 4 2 2 4" xfId="20525"/>
    <cellStyle name="Normal 3 2 7 4 2 2 5" xfId="24557"/>
    <cellStyle name="Normal 3 2 7 4 2 2 6" xfId="28589"/>
    <cellStyle name="Normal 3 2 7 4 2 2 7" xfId="32621"/>
    <cellStyle name="Normal 3 2 7 4 2 2 8" xfId="36653"/>
    <cellStyle name="Normal 3 2 7 4 2 2 9" xfId="40685"/>
    <cellStyle name="Normal 3 2 7 4 2 3" xfId="10445"/>
    <cellStyle name="Normal 3 2 7 4 2 4" xfId="14477"/>
    <cellStyle name="Normal 3 2 7 4 2 5" xfId="18509"/>
    <cellStyle name="Normal 3 2 7 4 2 6" xfId="22541"/>
    <cellStyle name="Normal 3 2 7 4 2 7" xfId="26573"/>
    <cellStyle name="Normal 3 2 7 4 2 8" xfId="30605"/>
    <cellStyle name="Normal 3 2 7 4 2 9" xfId="34637"/>
    <cellStyle name="Normal 3 2 7 4 3" xfId="7476"/>
    <cellStyle name="Normal 3 2 7 4 3 10" xfId="43766"/>
    <cellStyle name="Normal 3 2 7 4 3 11" xfId="47798"/>
    <cellStyle name="Normal 3 2 7 4 3 12" xfId="51877"/>
    <cellStyle name="Normal 3 2 7 4 3 2" xfId="11510"/>
    <cellStyle name="Normal 3 2 7 4 3 3" xfId="15542"/>
    <cellStyle name="Normal 3 2 7 4 3 4" xfId="19574"/>
    <cellStyle name="Normal 3 2 7 4 3 5" xfId="23606"/>
    <cellStyle name="Normal 3 2 7 4 3 6" xfId="27638"/>
    <cellStyle name="Normal 3 2 7 4 3 7" xfId="31670"/>
    <cellStyle name="Normal 3 2 7 4 3 8" xfId="35702"/>
    <cellStyle name="Normal 3 2 7 4 3 9" xfId="39734"/>
    <cellStyle name="Normal 3 2 7 4 4" xfId="9494"/>
    <cellStyle name="Normal 3 2 7 4 5" xfId="13526"/>
    <cellStyle name="Normal 3 2 7 4 6" xfId="17558"/>
    <cellStyle name="Normal 3 2 7 4 7" xfId="21590"/>
    <cellStyle name="Normal 3 2 7 4 8" xfId="25622"/>
    <cellStyle name="Normal 3 2 7 4 9" xfId="29654"/>
    <cellStyle name="Normal 3 2 7 5" xfId="4052"/>
    <cellStyle name="Normal 3 2 7 5 10" xfId="33909"/>
    <cellStyle name="Normal 3 2 7 5 11" xfId="37941"/>
    <cellStyle name="Normal 3 2 7 5 12" xfId="41973"/>
    <cellStyle name="Normal 3 2 7 5 13" xfId="46005"/>
    <cellStyle name="Normal 3 2 7 5 14" xfId="50083"/>
    <cellStyle name="Normal 3 2 7 5 2" xfId="6634"/>
    <cellStyle name="Normal 3 2 7 5 2 10" xfId="38892"/>
    <cellStyle name="Normal 3 2 7 5 2 11" xfId="42924"/>
    <cellStyle name="Normal 3 2 7 5 2 12" xfId="46956"/>
    <cellStyle name="Normal 3 2 7 5 2 13" xfId="51035"/>
    <cellStyle name="Normal 3 2 7 5 2 2" xfId="8650"/>
    <cellStyle name="Normal 3 2 7 5 2 2 10" xfId="44940"/>
    <cellStyle name="Normal 3 2 7 5 2 2 11" xfId="48972"/>
    <cellStyle name="Normal 3 2 7 5 2 2 12" xfId="53051"/>
    <cellStyle name="Normal 3 2 7 5 2 2 2" xfId="12684"/>
    <cellStyle name="Normal 3 2 7 5 2 2 3" xfId="16716"/>
    <cellStyle name="Normal 3 2 7 5 2 2 4" xfId="20748"/>
    <cellStyle name="Normal 3 2 7 5 2 2 5" xfId="24780"/>
    <cellStyle name="Normal 3 2 7 5 2 2 6" xfId="28812"/>
    <cellStyle name="Normal 3 2 7 5 2 2 7" xfId="32844"/>
    <cellStyle name="Normal 3 2 7 5 2 2 8" xfId="36876"/>
    <cellStyle name="Normal 3 2 7 5 2 2 9" xfId="40908"/>
    <cellStyle name="Normal 3 2 7 5 2 3" xfId="10668"/>
    <cellStyle name="Normal 3 2 7 5 2 4" xfId="14700"/>
    <cellStyle name="Normal 3 2 7 5 2 5" xfId="18732"/>
    <cellStyle name="Normal 3 2 7 5 2 6" xfId="22764"/>
    <cellStyle name="Normal 3 2 7 5 2 7" xfId="26796"/>
    <cellStyle name="Normal 3 2 7 5 2 8" xfId="30828"/>
    <cellStyle name="Normal 3 2 7 5 2 9" xfId="34860"/>
    <cellStyle name="Normal 3 2 7 5 3" xfId="7699"/>
    <cellStyle name="Normal 3 2 7 5 3 10" xfId="43989"/>
    <cellStyle name="Normal 3 2 7 5 3 11" xfId="48021"/>
    <cellStyle name="Normal 3 2 7 5 3 12" xfId="52100"/>
    <cellStyle name="Normal 3 2 7 5 3 2" xfId="11733"/>
    <cellStyle name="Normal 3 2 7 5 3 3" xfId="15765"/>
    <cellStyle name="Normal 3 2 7 5 3 4" xfId="19797"/>
    <cellStyle name="Normal 3 2 7 5 3 5" xfId="23829"/>
    <cellStyle name="Normal 3 2 7 5 3 6" xfId="27861"/>
    <cellStyle name="Normal 3 2 7 5 3 7" xfId="31893"/>
    <cellStyle name="Normal 3 2 7 5 3 8" xfId="35925"/>
    <cellStyle name="Normal 3 2 7 5 3 9" xfId="39957"/>
    <cellStyle name="Normal 3 2 7 5 4" xfId="9717"/>
    <cellStyle name="Normal 3 2 7 5 5" xfId="13749"/>
    <cellStyle name="Normal 3 2 7 5 6" xfId="17781"/>
    <cellStyle name="Normal 3 2 7 5 7" xfId="21813"/>
    <cellStyle name="Normal 3 2 7 5 8" xfId="25845"/>
    <cellStyle name="Normal 3 2 7 5 9" xfId="29877"/>
    <cellStyle name="Normal 3 2 7 6" xfId="4122"/>
    <cellStyle name="Normal 3 2 7 6 10" xfId="33978"/>
    <cellStyle name="Normal 3 2 7 6 11" xfId="38010"/>
    <cellStyle name="Normal 3 2 7 6 12" xfId="42042"/>
    <cellStyle name="Normal 3 2 7 6 13" xfId="46074"/>
    <cellStyle name="Normal 3 2 7 6 14" xfId="50152"/>
    <cellStyle name="Normal 3 2 7 6 2" xfId="6703"/>
    <cellStyle name="Normal 3 2 7 6 2 10" xfId="38961"/>
    <cellStyle name="Normal 3 2 7 6 2 11" xfId="42993"/>
    <cellStyle name="Normal 3 2 7 6 2 12" xfId="47025"/>
    <cellStyle name="Normal 3 2 7 6 2 13" xfId="51104"/>
    <cellStyle name="Normal 3 2 7 6 2 2" xfId="8719"/>
    <cellStyle name="Normal 3 2 7 6 2 2 10" xfId="45009"/>
    <cellStyle name="Normal 3 2 7 6 2 2 11" xfId="49041"/>
    <cellStyle name="Normal 3 2 7 6 2 2 12" xfId="53120"/>
    <cellStyle name="Normal 3 2 7 6 2 2 2" xfId="12753"/>
    <cellStyle name="Normal 3 2 7 6 2 2 3" xfId="16785"/>
    <cellStyle name="Normal 3 2 7 6 2 2 4" xfId="20817"/>
    <cellStyle name="Normal 3 2 7 6 2 2 5" xfId="24849"/>
    <cellStyle name="Normal 3 2 7 6 2 2 6" xfId="28881"/>
    <cellStyle name="Normal 3 2 7 6 2 2 7" xfId="32913"/>
    <cellStyle name="Normal 3 2 7 6 2 2 8" xfId="36945"/>
    <cellStyle name="Normal 3 2 7 6 2 2 9" xfId="40977"/>
    <cellStyle name="Normal 3 2 7 6 2 3" xfId="10737"/>
    <cellStyle name="Normal 3 2 7 6 2 4" xfId="14769"/>
    <cellStyle name="Normal 3 2 7 6 2 5" xfId="18801"/>
    <cellStyle name="Normal 3 2 7 6 2 6" xfId="22833"/>
    <cellStyle name="Normal 3 2 7 6 2 7" xfId="26865"/>
    <cellStyle name="Normal 3 2 7 6 2 8" xfId="30897"/>
    <cellStyle name="Normal 3 2 7 6 2 9" xfId="34929"/>
    <cellStyle name="Normal 3 2 7 6 3" xfId="7768"/>
    <cellStyle name="Normal 3 2 7 6 3 10" xfId="44058"/>
    <cellStyle name="Normal 3 2 7 6 3 11" xfId="48090"/>
    <cellStyle name="Normal 3 2 7 6 3 12" xfId="52169"/>
    <cellStyle name="Normal 3 2 7 6 3 2" xfId="11802"/>
    <cellStyle name="Normal 3 2 7 6 3 3" xfId="15834"/>
    <cellStyle name="Normal 3 2 7 6 3 4" xfId="19866"/>
    <cellStyle name="Normal 3 2 7 6 3 5" xfId="23898"/>
    <cellStyle name="Normal 3 2 7 6 3 6" xfId="27930"/>
    <cellStyle name="Normal 3 2 7 6 3 7" xfId="31962"/>
    <cellStyle name="Normal 3 2 7 6 3 8" xfId="35994"/>
    <cellStyle name="Normal 3 2 7 6 3 9" xfId="40026"/>
    <cellStyle name="Normal 3 2 7 6 4" xfId="9786"/>
    <cellStyle name="Normal 3 2 7 6 5" xfId="13818"/>
    <cellStyle name="Normal 3 2 7 6 6" xfId="17850"/>
    <cellStyle name="Normal 3 2 7 6 7" xfId="21882"/>
    <cellStyle name="Normal 3 2 7 6 8" xfId="25914"/>
    <cellStyle name="Normal 3 2 7 6 9" xfId="29946"/>
    <cellStyle name="Normal 3 2 7 7" xfId="4191"/>
    <cellStyle name="Normal 3 2 7 7 10" xfId="34047"/>
    <cellStyle name="Normal 3 2 7 7 11" xfId="38079"/>
    <cellStyle name="Normal 3 2 7 7 12" xfId="42111"/>
    <cellStyle name="Normal 3 2 7 7 13" xfId="46143"/>
    <cellStyle name="Normal 3 2 7 7 14" xfId="50221"/>
    <cellStyle name="Normal 3 2 7 7 2" xfId="6772"/>
    <cellStyle name="Normal 3 2 7 7 2 10" xfId="39030"/>
    <cellStyle name="Normal 3 2 7 7 2 11" xfId="43062"/>
    <cellStyle name="Normal 3 2 7 7 2 12" xfId="47094"/>
    <cellStyle name="Normal 3 2 7 7 2 13" xfId="51173"/>
    <cellStyle name="Normal 3 2 7 7 2 2" xfId="8788"/>
    <cellStyle name="Normal 3 2 7 7 2 2 10" xfId="45078"/>
    <cellStyle name="Normal 3 2 7 7 2 2 11" xfId="49110"/>
    <cellStyle name="Normal 3 2 7 7 2 2 12" xfId="53189"/>
    <cellStyle name="Normal 3 2 7 7 2 2 2" xfId="12822"/>
    <cellStyle name="Normal 3 2 7 7 2 2 3" xfId="16854"/>
    <cellStyle name="Normal 3 2 7 7 2 2 4" xfId="20886"/>
    <cellStyle name="Normal 3 2 7 7 2 2 5" xfId="24918"/>
    <cellStyle name="Normal 3 2 7 7 2 2 6" xfId="28950"/>
    <cellStyle name="Normal 3 2 7 7 2 2 7" xfId="32982"/>
    <cellStyle name="Normal 3 2 7 7 2 2 8" xfId="37014"/>
    <cellStyle name="Normal 3 2 7 7 2 2 9" xfId="41046"/>
    <cellStyle name="Normal 3 2 7 7 2 3" xfId="10806"/>
    <cellStyle name="Normal 3 2 7 7 2 4" xfId="14838"/>
    <cellStyle name="Normal 3 2 7 7 2 5" xfId="18870"/>
    <cellStyle name="Normal 3 2 7 7 2 6" xfId="22902"/>
    <cellStyle name="Normal 3 2 7 7 2 7" xfId="26934"/>
    <cellStyle name="Normal 3 2 7 7 2 8" xfId="30966"/>
    <cellStyle name="Normal 3 2 7 7 2 9" xfId="34998"/>
    <cellStyle name="Normal 3 2 7 7 3" xfId="7837"/>
    <cellStyle name="Normal 3 2 7 7 3 10" xfId="44127"/>
    <cellStyle name="Normal 3 2 7 7 3 11" xfId="48159"/>
    <cellStyle name="Normal 3 2 7 7 3 12" xfId="52238"/>
    <cellStyle name="Normal 3 2 7 7 3 2" xfId="11871"/>
    <cellStyle name="Normal 3 2 7 7 3 3" xfId="15903"/>
    <cellStyle name="Normal 3 2 7 7 3 4" xfId="19935"/>
    <cellStyle name="Normal 3 2 7 7 3 5" xfId="23967"/>
    <cellStyle name="Normal 3 2 7 7 3 6" xfId="27999"/>
    <cellStyle name="Normal 3 2 7 7 3 7" xfId="32031"/>
    <cellStyle name="Normal 3 2 7 7 3 8" xfId="36063"/>
    <cellStyle name="Normal 3 2 7 7 3 9" xfId="40095"/>
    <cellStyle name="Normal 3 2 7 7 4" xfId="9855"/>
    <cellStyle name="Normal 3 2 7 7 5" xfId="13887"/>
    <cellStyle name="Normal 3 2 7 7 6" xfId="17919"/>
    <cellStyle name="Normal 3 2 7 7 7" xfId="21951"/>
    <cellStyle name="Normal 3 2 7 7 8" xfId="25983"/>
    <cellStyle name="Normal 3 2 7 7 9" xfId="30015"/>
    <cellStyle name="Normal 3 2 7 8" xfId="4264"/>
    <cellStyle name="Normal 3 2 7 8 10" xfId="34116"/>
    <cellStyle name="Normal 3 2 7 8 11" xfId="38148"/>
    <cellStyle name="Normal 3 2 7 8 12" xfId="42180"/>
    <cellStyle name="Normal 3 2 7 8 13" xfId="46212"/>
    <cellStyle name="Normal 3 2 7 8 14" xfId="50290"/>
    <cellStyle name="Normal 3 2 7 8 2" xfId="6841"/>
    <cellStyle name="Normal 3 2 7 8 2 10" xfId="39099"/>
    <cellStyle name="Normal 3 2 7 8 2 11" xfId="43131"/>
    <cellStyle name="Normal 3 2 7 8 2 12" xfId="47163"/>
    <cellStyle name="Normal 3 2 7 8 2 13" xfId="51242"/>
    <cellStyle name="Normal 3 2 7 8 2 2" xfId="8857"/>
    <cellStyle name="Normal 3 2 7 8 2 2 10" xfId="45147"/>
    <cellStyle name="Normal 3 2 7 8 2 2 11" xfId="49179"/>
    <cellStyle name="Normal 3 2 7 8 2 2 12" xfId="53258"/>
    <cellStyle name="Normal 3 2 7 8 2 2 2" xfId="12891"/>
    <cellStyle name="Normal 3 2 7 8 2 2 3" xfId="16923"/>
    <cellStyle name="Normal 3 2 7 8 2 2 4" xfId="20955"/>
    <cellStyle name="Normal 3 2 7 8 2 2 5" xfId="24987"/>
    <cellStyle name="Normal 3 2 7 8 2 2 6" xfId="29019"/>
    <cellStyle name="Normal 3 2 7 8 2 2 7" xfId="33051"/>
    <cellStyle name="Normal 3 2 7 8 2 2 8" xfId="37083"/>
    <cellStyle name="Normal 3 2 7 8 2 2 9" xfId="41115"/>
    <cellStyle name="Normal 3 2 7 8 2 3" xfId="10875"/>
    <cellStyle name="Normal 3 2 7 8 2 4" xfId="14907"/>
    <cellStyle name="Normal 3 2 7 8 2 5" xfId="18939"/>
    <cellStyle name="Normal 3 2 7 8 2 6" xfId="22971"/>
    <cellStyle name="Normal 3 2 7 8 2 7" xfId="27003"/>
    <cellStyle name="Normal 3 2 7 8 2 8" xfId="31035"/>
    <cellStyle name="Normal 3 2 7 8 2 9" xfId="35067"/>
    <cellStyle name="Normal 3 2 7 8 3" xfId="7906"/>
    <cellStyle name="Normal 3 2 7 8 3 10" xfId="44196"/>
    <cellStyle name="Normal 3 2 7 8 3 11" xfId="48228"/>
    <cellStyle name="Normal 3 2 7 8 3 12" xfId="52307"/>
    <cellStyle name="Normal 3 2 7 8 3 2" xfId="11940"/>
    <cellStyle name="Normal 3 2 7 8 3 3" xfId="15972"/>
    <cellStyle name="Normal 3 2 7 8 3 4" xfId="20004"/>
    <cellStyle name="Normal 3 2 7 8 3 5" xfId="24036"/>
    <cellStyle name="Normal 3 2 7 8 3 6" xfId="28068"/>
    <cellStyle name="Normal 3 2 7 8 3 7" xfId="32100"/>
    <cellStyle name="Normal 3 2 7 8 3 8" xfId="36132"/>
    <cellStyle name="Normal 3 2 7 8 3 9" xfId="40164"/>
    <cellStyle name="Normal 3 2 7 8 4" xfId="9924"/>
    <cellStyle name="Normal 3 2 7 8 5" xfId="13956"/>
    <cellStyle name="Normal 3 2 7 8 6" xfId="17988"/>
    <cellStyle name="Normal 3 2 7 8 7" xfId="22020"/>
    <cellStyle name="Normal 3 2 7 8 8" xfId="26052"/>
    <cellStyle name="Normal 3 2 7 8 9" xfId="30084"/>
    <cellStyle name="Normal 3 2 7 9" xfId="4410"/>
    <cellStyle name="Normal 3 2 7 9 10" xfId="34254"/>
    <cellStyle name="Normal 3 2 7 9 11" xfId="38286"/>
    <cellStyle name="Normal 3 2 7 9 12" xfId="42318"/>
    <cellStyle name="Normal 3 2 7 9 13" xfId="46350"/>
    <cellStyle name="Normal 3 2 7 9 14" xfId="50429"/>
    <cellStyle name="Normal 3 2 7 9 2" xfId="6979"/>
    <cellStyle name="Normal 3 2 7 9 2 10" xfId="39237"/>
    <cellStyle name="Normal 3 2 7 9 2 11" xfId="43269"/>
    <cellStyle name="Normal 3 2 7 9 2 12" xfId="47301"/>
    <cellStyle name="Normal 3 2 7 9 2 13" xfId="51380"/>
    <cellStyle name="Normal 3 2 7 9 2 2" xfId="8995"/>
    <cellStyle name="Normal 3 2 7 9 2 2 10" xfId="45285"/>
    <cellStyle name="Normal 3 2 7 9 2 2 11" xfId="49317"/>
    <cellStyle name="Normal 3 2 7 9 2 2 12" xfId="53396"/>
    <cellStyle name="Normal 3 2 7 9 2 2 2" xfId="13029"/>
    <cellStyle name="Normal 3 2 7 9 2 2 3" xfId="17061"/>
    <cellStyle name="Normal 3 2 7 9 2 2 4" xfId="21093"/>
    <cellStyle name="Normal 3 2 7 9 2 2 5" xfId="25125"/>
    <cellStyle name="Normal 3 2 7 9 2 2 6" xfId="29157"/>
    <cellStyle name="Normal 3 2 7 9 2 2 7" xfId="33189"/>
    <cellStyle name="Normal 3 2 7 9 2 2 8" xfId="37221"/>
    <cellStyle name="Normal 3 2 7 9 2 2 9" xfId="41253"/>
    <cellStyle name="Normal 3 2 7 9 2 3" xfId="11013"/>
    <cellStyle name="Normal 3 2 7 9 2 4" xfId="15045"/>
    <cellStyle name="Normal 3 2 7 9 2 5" xfId="19077"/>
    <cellStyle name="Normal 3 2 7 9 2 6" xfId="23109"/>
    <cellStyle name="Normal 3 2 7 9 2 7" xfId="27141"/>
    <cellStyle name="Normal 3 2 7 9 2 8" xfId="31173"/>
    <cellStyle name="Normal 3 2 7 9 2 9" xfId="35205"/>
    <cellStyle name="Normal 3 2 7 9 3" xfId="8044"/>
    <cellStyle name="Normal 3 2 7 9 3 10" xfId="44334"/>
    <cellStyle name="Normal 3 2 7 9 3 11" xfId="48366"/>
    <cellStyle name="Normal 3 2 7 9 3 12" xfId="52445"/>
    <cellStyle name="Normal 3 2 7 9 3 2" xfId="12078"/>
    <cellStyle name="Normal 3 2 7 9 3 3" xfId="16110"/>
    <cellStyle name="Normal 3 2 7 9 3 4" xfId="20142"/>
    <cellStyle name="Normal 3 2 7 9 3 5" xfId="24174"/>
    <cellStyle name="Normal 3 2 7 9 3 6" xfId="28206"/>
    <cellStyle name="Normal 3 2 7 9 3 7" xfId="32238"/>
    <cellStyle name="Normal 3 2 7 9 3 8" xfId="36270"/>
    <cellStyle name="Normal 3 2 7 9 3 9" xfId="40302"/>
    <cellStyle name="Normal 3 2 7 9 4" xfId="10062"/>
    <cellStyle name="Normal 3 2 7 9 5" xfId="14094"/>
    <cellStyle name="Normal 3 2 7 9 6" xfId="18126"/>
    <cellStyle name="Normal 3 2 7 9 7" xfId="22158"/>
    <cellStyle name="Normal 3 2 7 9 8" xfId="26190"/>
    <cellStyle name="Normal 3 2 7 9 9" xfId="30222"/>
    <cellStyle name="Normal 3 2 8" xfId="49"/>
    <cellStyle name="Normal 3 2 8 10" xfId="327"/>
    <cellStyle name="Normal 3 2 8 10 10" xfId="37532"/>
    <cellStyle name="Normal 3 2 8 10 11" xfId="41564"/>
    <cellStyle name="Normal 3 2 8 10 12" xfId="45596"/>
    <cellStyle name="Normal 3 2 8 10 13" xfId="49674"/>
    <cellStyle name="Normal 3 2 8 10 2" xfId="7290"/>
    <cellStyle name="Normal 3 2 8 10 2 10" xfId="43580"/>
    <cellStyle name="Normal 3 2 8 10 2 11" xfId="47612"/>
    <cellStyle name="Normal 3 2 8 10 2 12" xfId="51691"/>
    <cellStyle name="Normal 3 2 8 10 2 2" xfId="11324"/>
    <cellStyle name="Normal 3 2 8 10 2 3" xfId="15356"/>
    <cellStyle name="Normal 3 2 8 10 2 4" xfId="19388"/>
    <cellStyle name="Normal 3 2 8 10 2 5" xfId="23420"/>
    <cellStyle name="Normal 3 2 8 10 2 6" xfId="27452"/>
    <cellStyle name="Normal 3 2 8 10 2 7" xfId="31484"/>
    <cellStyle name="Normal 3 2 8 10 2 8" xfId="35516"/>
    <cellStyle name="Normal 3 2 8 10 2 9" xfId="39548"/>
    <cellStyle name="Normal 3 2 8 10 3" xfId="9308"/>
    <cellStyle name="Normal 3 2 8 10 4" xfId="13340"/>
    <cellStyle name="Normal 3 2 8 10 5" xfId="17372"/>
    <cellStyle name="Normal 3 2 8 10 6" xfId="21404"/>
    <cellStyle name="Normal 3 2 8 10 7" xfId="25436"/>
    <cellStyle name="Normal 3 2 8 10 8" xfId="29468"/>
    <cellStyle name="Normal 3 2 8 10 9" xfId="33500"/>
    <cellStyle name="Normal 3 2 8 11" xfId="7098"/>
    <cellStyle name="Normal 3 2 8 11 10" xfId="43388"/>
    <cellStyle name="Normal 3 2 8 11 11" xfId="47420"/>
    <cellStyle name="Normal 3 2 8 11 12" xfId="51499"/>
    <cellStyle name="Normal 3 2 8 11 2" xfId="11132"/>
    <cellStyle name="Normal 3 2 8 11 3" xfId="15164"/>
    <cellStyle name="Normal 3 2 8 11 4" xfId="19196"/>
    <cellStyle name="Normal 3 2 8 11 5" xfId="23228"/>
    <cellStyle name="Normal 3 2 8 11 6" xfId="27260"/>
    <cellStyle name="Normal 3 2 8 11 7" xfId="31292"/>
    <cellStyle name="Normal 3 2 8 11 8" xfId="35324"/>
    <cellStyle name="Normal 3 2 8 11 9" xfId="39356"/>
    <cellStyle name="Normal 3 2 8 12" xfId="124"/>
    <cellStyle name="Normal 3 2 8 13" xfId="9116"/>
    <cellStyle name="Normal 3 2 8 14" xfId="13148"/>
    <cellStyle name="Normal 3 2 8 15" xfId="17180"/>
    <cellStyle name="Normal 3 2 8 16" xfId="21212"/>
    <cellStyle name="Normal 3 2 8 17" xfId="25244"/>
    <cellStyle name="Normal 3 2 8 18" xfId="29276"/>
    <cellStyle name="Normal 3 2 8 19" xfId="33308"/>
    <cellStyle name="Normal 3 2 8 2" xfId="203"/>
    <cellStyle name="Normal 3 2 8 2 10" xfId="21281"/>
    <cellStyle name="Normal 3 2 8 2 11" xfId="25313"/>
    <cellStyle name="Normal 3 2 8 2 12" xfId="29345"/>
    <cellStyle name="Normal 3 2 8 2 13" xfId="33377"/>
    <cellStyle name="Normal 3 2 8 2 14" xfId="37409"/>
    <cellStyle name="Normal 3 2 8 2 15" xfId="41441"/>
    <cellStyle name="Normal 3 2 8 2 16" xfId="45473"/>
    <cellStyle name="Normal 3 2 8 2 17" xfId="49551"/>
    <cellStyle name="Normal 3 2 8 2 2" xfId="4321"/>
    <cellStyle name="Normal 3 2 8 2 2 10" xfId="34166"/>
    <cellStyle name="Normal 3 2 8 2 2 11" xfId="38198"/>
    <cellStyle name="Normal 3 2 8 2 2 12" xfId="42230"/>
    <cellStyle name="Normal 3 2 8 2 2 13" xfId="46262"/>
    <cellStyle name="Normal 3 2 8 2 2 14" xfId="50341"/>
    <cellStyle name="Normal 3 2 8 2 2 2" xfId="6891"/>
    <cellStyle name="Normal 3 2 8 2 2 2 10" xfId="39149"/>
    <cellStyle name="Normal 3 2 8 2 2 2 11" xfId="43181"/>
    <cellStyle name="Normal 3 2 8 2 2 2 12" xfId="47213"/>
    <cellStyle name="Normal 3 2 8 2 2 2 13" xfId="51292"/>
    <cellStyle name="Normal 3 2 8 2 2 2 2" xfId="8907"/>
    <cellStyle name="Normal 3 2 8 2 2 2 2 10" xfId="45197"/>
    <cellStyle name="Normal 3 2 8 2 2 2 2 11" xfId="49229"/>
    <cellStyle name="Normal 3 2 8 2 2 2 2 12" xfId="53308"/>
    <cellStyle name="Normal 3 2 8 2 2 2 2 2" xfId="12941"/>
    <cellStyle name="Normal 3 2 8 2 2 2 2 3" xfId="16973"/>
    <cellStyle name="Normal 3 2 8 2 2 2 2 4" xfId="21005"/>
    <cellStyle name="Normal 3 2 8 2 2 2 2 5" xfId="25037"/>
    <cellStyle name="Normal 3 2 8 2 2 2 2 6" xfId="29069"/>
    <cellStyle name="Normal 3 2 8 2 2 2 2 7" xfId="33101"/>
    <cellStyle name="Normal 3 2 8 2 2 2 2 8" xfId="37133"/>
    <cellStyle name="Normal 3 2 8 2 2 2 2 9" xfId="41165"/>
    <cellStyle name="Normal 3 2 8 2 2 2 3" xfId="10925"/>
    <cellStyle name="Normal 3 2 8 2 2 2 4" xfId="14957"/>
    <cellStyle name="Normal 3 2 8 2 2 2 5" xfId="18989"/>
    <cellStyle name="Normal 3 2 8 2 2 2 6" xfId="23021"/>
    <cellStyle name="Normal 3 2 8 2 2 2 7" xfId="27053"/>
    <cellStyle name="Normal 3 2 8 2 2 2 8" xfId="31085"/>
    <cellStyle name="Normal 3 2 8 2 2 2 9" xfId="35117"/>
    <cellStyle name="Normal 3 2 8 2 2 3" xfId="7956"/>
    <cellStyle name="Normal 3 2 8 2 2 3 10" xfId="44246"/>
    <cellStyle name="Normal 3 2 8 2 2 3 11" xfId="48278"/>
    <cellStyle name="Normal 3 2 8 2 2 3 12" xfId="52357"/>
    <cellStyle name="Normal 3 2 8 2 2 3 2" xfId="11990"/>
    <cellStyle name="Normal 3 2 8 2 2 3 3" xfId="16022"/>
    <cellStyle name="Normal 3 2 8 2 2 3 4" xfId="20054"/>
    <cellStyle name="Normal 3 2 8 2 2 3 5" xfId="24086"/>
    <cellStyle name="Normal 3 2 8 2 2 3 6" xfId="28118"/>
    <cellStyle name="Normal 3 2 8 2 2 3 7" xfId="32150"/>
    <cellStyle name="Normal 3 2 8 2 2 3 8" xfId="36182"/>
    <cellStyle name="Normal 3 2 8 2 2 3 9" xfId="40214"/>
    <cellStyle name="Normal 3 2 8 2 2 4" xfId="9974"/>
    <cellStyle name="Normal 3 2 8 2 2 5" xfId="14006"/>
    <cellStyle name="Normal 3 2 8 2 2 6" xfId="18038"/>
    <cellStyle name="Normal 3 2 8 2 2 7" xfId="22070"/>
    <cellStyle name="Normal 3 2 8 2 2 8" xfId="26102"/>
    <cellStyle name="Normal 3 2 8 2 2 9" xfId="30134"/>
    <cellStyle name="Normal 3 2 8 2 3" xfId="4460"/>
    <cellStyle name="Normal 3 2 8 2 3 10" xfId="34304"/>
    <cellStyle name="Normal 3 2 8 2 3 11" xfId="38336"/>
    <cellStyle name="Normal 3 2 8 2 3 12" xfId="42368"/>
    <cellStyle name="Normal 3 2 8 2 3 13" xfId="46400"/>
    <cellStyle name="Normal 3 2 8 2 3 14" xfId="50479"/>
    <cellStyle name="Normal 3 2 8 2 3 2" xfId="7029"/>
    <cellStyle name="Normal 3 2 8 2 3 2 10" xfId="39287"/>
    <cellStyle name="Normal 3 2 8 2 3 2 11" xfId="43319"/>
    <cellStyle name="Normal 3 2 8 2 3 2 12" xfId="47351"/>
    <cellStyle name="Normal 3 2 8 2 3 2 13" xfId="51430"/>
    <cellStyle name="Normal 3 2 8 2 3 2 2" xfId="9045"/>
    <cellStyle name="Normal 3 2 8 2 3 2 2 10" xfId="45335"/>
    <cellStyle name="Normal 3 2 8 2 3 2 2 11" xfId="49367"/>
    <cellStyle name="Normal 3 2 8 2 3 2 2 12" xfId="53446"/>
    <cellStyle name="Normal 3 2 8 2 3 2 2 2" xfId="13079"/>
    <cellStyle name="Normal 3 2 8 2 3 2 2 3" xfId="17111"/>
    <cellStyle name="Normal 3 2 8 2 3 2 2 4" xfId="21143"/>
    <cellStyle name="Normal 3 2 8 2 3 2 2 5" xfId="25175"/>
    <cellStyle name="Normal 3 2 8 2 3 2 2 6" xfId="29207"/>
    <cellStyle name="Normal 3 2 8 2 3 2 2 7" xfId="33239"/>
    <cellStyle name="Normal 3 2 8 2 3 2 2 8" xfId="37271"/>
    <cellStyle name="Normal 3 2 8 2 3 2 2 9" xfId="41303"/>
    <cellStyle name="Normal 3 2 8 2 3 2 3" xfId="11063"/>
    <cellStyle name="Normal 3 2 8 2 3 2 4" xfId="15095"/>
    <cellStyle name="Normal 3 2 8 2 3 2 5" xfId="19127"/>
    <cellStyle name="Normal 3 2 8 2 3 2 6" xfId="23159"/>
    <cellStyle name="Normal 3 2 8 2 3 2 7" xfId="27191"/>
    <cellStyle name="Normal 3 2 8 2 3 2 8" xfId="31223"/>
    <cellStyle name="Normal 3 2 8 2 3 2 9" xfId="35255"/>
    <cellStyle name="Normal 3 2 8 2 3 3" xfId="8094"/>
    <cellStyle name="Normal 3 2 8 2 3 3 10" xfId="44384"/>
    <cellStyle name="Normal 3 2 8 2 3 3 11" xfId="48416"/>
    <cellStyle name="Normal 3 2 8 2 3 3 12" xfId="52495"/>
    <cellStyle name="Normal 3 2 8 2 3 3 2" xfId="12128"/>
    <cellStyle name="Normal 3 2 8 2 3 3 3" xfId="16160"/>
    <cellStyle name="Normal 3 2 8 2 3 3 4" xfId="20192"/>
    <cellStyle name="Normal 3 2 8 2 3 3 5" xfId="24224"/>
    <cellStyle name="Normal 3 2 8 2 3 3 6" xfId="28256"/>
    <cellStyle name="Normal 3 2 8 2 3 3 7" xfId="32288"/>
    <cellStyle name="Normal 3 2 8 2 3 3 8" xfId="36320"/>
    <cellStyle name="Normal 3 2 8 2 3 3 9" xfId="40352"/>
    <cellStyle name="Normal 3 2 8 2 3 4" xfId="10112"/>
    <cellStyle name="Normal 3 2 8 2 3 5" xfId="14144"/>
    <cellStyle name="Normal 3 2 8 2 3 6" xfId="18176"/>
    <cellStyle name="Normal 3 2 8 2 3 7" xfId="22208"/>
    <cellStyle name="Normal 3 2 8 2 3 8" xfId="26240"/>
    <cellStyle name="Normal 3 2 8 2 3 9" xfId="30272"/>
    <cellStyle name="Normal 3 2 8 2 4" xfId="4600"/>
    <cellStyle name="Normal 3 2 8 2 4 10" xfId="38474"/>
    <cellStyle name="Normal 3 2 8 2 4 11" xfId="42506"/>
    <cellStyle name="Normal 3 2 8 2 4 12" xfId="46538"/>
    <cellStyle name="Normal 3 2 8 2 4 13" xfId="50617"/>
    <cellStyle name="Normal 3 2 8 2 4 2" xfId="8232"/>
    <cellStyle name="Normal 3 2 8 2 4 2 10" xfId="44522"/>
    <cellStyle name="Normal 3 2 8 2 4 2 11" xfId="48554"/>
    <cellStyle name="Normal 3 2 8 2 4 2 12" xfId="52633"/>
    <cellStyle name="Normal 3 2 8 2 4 2 2" xfId="12266"/>
    <cellStyle name="Normal 3 2 8 2 4 2 3" xfId="16298"/>
    <cellStyle name="Normal 3 2 8 2 4 2 4" xfId="20330"/>
    <cellStyle name="Normal 3 2 8 2 4 2 5" xfId="24362"/>
    <cellStyle name="Normal 3 2 8 2 4 2 6" xfId="28394"/>
    <cellStyle name="Normal 3 2 8 2 4 2 7" xfId="32426"/>
    <cellStyle name="Normal 3 2 8 2 4 2 8" xfId="36458"/>
    <cellStyle name="Normal 3 2 8 2 4 2 9" xfId="40490"/>
    <cellStyle name="Normal 3 2 8 2 4 3" xfId="10250"/>
    <cellStyle name="Normal 3 2 8 2 4 4" xfId="14282"/>
    <cellStyle name="Normal 3 2 8 2 4 5" xfId="18314"/>
    <cellStyle name="Normal 3 2 8 2 4 6" xfId="22346"/>
    <cellStyle name="Normal 3 2 8 2 4 7" xfId="26378"/>
    <cellStyle name="Normal 3 2 8 2 4 8" xfId="30410"/>
    <cellStyle name="Normal 3 2 8 2 4 9" xfId="34442"/>
    <cellStyle name="Normal 3 2 8 2 5" xfId="1637"/>
    <cellStyle name="Normal 3 2 8 2 5 10" xfId="37630"/>
    <cellStyle name="Normal 3 2 8 2 5 11" xfId="41662"/>
    <cellStyle name="Normal 3 2 8 2 5 12" xfId="45694"/>
    <cellStyle name="Normal 3 2 8 2 5 13" xfId="49772"/>
    <cellStyle name="Normal 3 2 8 2 5 2" xfId="7388"/>
    <cellStyle name="Normal 3 2 8 2 5 2 10" xfId="43678"/>
    <cellStyle name="Normal 3 2 8 2 5 2 11" xfId="47710"/>
    <cellStyle name="Normal 3 2 8 2 5 2 12" xfId="51789"/>
    <cellStyle name="Normal 3 2 8 2 5 2 2" xfId="11422"/>
    <cellStyle name="Normal 3 2 8 2 5 2 3" xfId="15454"/>
    <cellStyle name="Normal 3 2 8 2 5 2 4" xfId="19486"/>
    <cellStyle name="Normal 3 2 8 2 5 2 5" xfId="23518"/>
    <cellStyle name="Normal 3 2 8 2 5 2 6" xfId="27550"/>
    <cellStyle name="Normal 3 2 8 2 5 2 7" xfId="31582"/>
    <cellStyle name="Normal 3 2 8 2 5 2 8" xfId="35614"/>
    <cellStyle name="Normal 3 2 8 2 5 2 9" xfId="39646"/>
    <cellStyle name="Normal 3 2 8 2 5 3" xfId="9406"/>
    <cellStyle name="Normal 3 2 8 2 5 4" xfId="13438"/>
    <cellStyle name="Normal 3 2 8 2 5 5" xfId="17470"/>
    <cellStyle name="Normal 3 2 8 2 5 6" xfId="21502"/>
    <cellStyle name="Normal 3 2 8 2 5 7" xfId="25534"/>
    <cellStyle name="Normal 3 2 8 2 5 8" xfId="29566"/>
    <cellStyle name="Normal 3 2 8 2 5 9" xfId="33598"/>
    <cellStyle name="Normal 3 2 8 2 6" xfId="7167"/>
    <cellStyle name="Normal 3 2 8 2 6 10" xfId="43457"/>
    <cellStyle name="Normal 3 2 8 2 6 11" xfId="47489"/>
    <cellStyle name="Normal 3 2 8 2 6 12" xfId="51568"/>
    <cellStyle name="Normal 3 2 8 2 6 2" xfId="11201"/>
    <cellStyle name="Normal 3 2 8 2 6 3" xfId="15233"/>
    <cellStyle name="Normal 3 2 8 2 6 4" xfId="19265"/>
    <cellStyle name="Normal 3 2 8 2 6 5" xfId="23297"/>
    <cellStyle name="Normal 3 2 8 2 6 6" xfId="27329"/>
    <cellStyle name="Normal 3 2 8 2 6 7" xfId="31361"/>
    <cellStyle name="Normal 3 2 8 2 6 8" xfId="35393"/>
    <cellStyle name="Normal 3 2 8 2 6 9" xfId="39425"/>
    <cellStyle name="Normal 3 2 8 2 7" xfId="9185"/>
    <cellStyle name="Normal 3 2 8 2 8" xfId="13217"/>
    <cellStyle name="Normal 3 2 8 2 9" xfId="17249"/>
    <cellStyle name="Normal 3 2 8 20" xfId="37340"/>
    <cellStyle name="Normal 3 2 8 21" xfId="41372"/>
    <cellStyle name="Normal 3 2 8 22" xfId="45404"/>
    <cellStyle name="Normal 3 2 8 23" xfId="49482"/>
    <cellStyle name="Normal 3 2 8 3" xfId="1711"/>
    <cellStyle name="Normal 3 2 8 3 10" xfId="33667"/>
    <cellStyle name="Normal 3 2 8 3 11" xfId="37699"/>
    <cellStyle name="Normal 3 2 8 3 12" xfId="41731"/>
    <cellStyle name="Normal 3 2 8 3 13" xfId="45763"/>
    <cellStyle name="Normal 3 2 8 3 14" xfId="49841"/>
    <cellStyle name="Normal 3 2 8 3 2" xfId="5382"/>
    <cellStyle name="Normal 3 2 8 3 2 10" xfId="38650"/>
    <cellStyle name="Normal 3 2 8 3 2 11" xfId="42682"/>
    <cellStyle name="Normal 3 2 8 3 2 12" xfId="46714"/>
    <cellStyle name="Normal 3 2 8 3 2 13" xfId="50793"/>
    <cellStyle name="Normal 3 2 8 3 2 2" xfId="8408"/>
    <cellStyle name="Normal 3 2 8 3 2 2 10" xfId="44698"/>
    <cellStyle name="Normal 3 2 8 3 2 2 11" xfId="48730"/>
    <cellStyle name="Normal 3 2 8 3 2 2 12" xfId="52809"/>
    <cellStyle name="Normal 3 2 8 3 2 2 2" xfId="12442"/>
    <cellStyle name="Normal 3 2 8 3 2 2 3" xfId="16474"/>
    <cellStyle name="Normal 3 2 8 3 2 2 4" xfId="20506"/>
    <cellStyle name="Normal 3 2 8 3 2 2 5" xfId="24538"/>
    <cellStyle name="Normal 3 2 8 3 2 2 6" xfId="28570"/>
    <cellStyle name="Normal 3 2 8 3 2 2 7" xfId="32602"/>
    <cellStyle name="Normal 3 2 8 3 2 2 8" xfId="36634"/>
    <cellStyle name="Normal 3 2 8 3 2 2 9" xfId="40666"/>
    <cellStyle name="Normal 3 2 8 3 2 3" xfId="10426"/>
    <cellStyle name="Normal 3 2 8 3 2 4" xfId="14458"/>
    <cellStyle name="Normal 3 2 8 3 2 5" xfId="18490"/>
    <cellStyle name="Normal 3 2 8 3 2 6" xfId="22522"/>
    <cellStyle name="Normal 3 2 8 3 2 7" xfId="26554"/>
    <cellStyle name="Normal 3 2 8 3 2 8" xfId="30586"/>
    <cellStyle name="Normal 3 2 8 3 2 9" xfId="34618"/>
    <cellStyle name="Normal 3 2 8 3 3" xfId="7457"/>
    <cellStyle name="Normal 3 2 8 3 3 10" xfId="43747"/>
    <cellStyle name="Normal 3 2 8 3 3 11" xfId="47779"/>
    <cellStyle name="Normal 3 2 8 3 3 12" xfId="51858"/>
    <cellStyle name="Normal 3 2 8 3 3 2" xfId="11491"/>
    <cellStyle name="Normal 3 2 8 3 3 3" xfId="15523"/>
    <cellStyle name="Normal 3 2 8 3 3 4" xfId="19555"/>
    <cellStyle name="Normal 3 2 8 3 3 5" xfId="23587"/>
    <cellStyle name="Normal 3 2 8 3 3 6" xfId="27619"/>
    <cellStyle name="Normal 3 2 8 3 3 7" xfId="31651"/>
    <cellStyle name="Normal 3 2 8 3 3 8" xfId="35683"/>
    <cellStyle name="Normal 3 2 8 3 3 9" xfId="39715"/>
    <cellStyle name="Normal 3 2 8 3 4" xfId="9475"/>
    <cellStyle name="Normal 3 2 8 3 5" xfId="13507"/>
    <cellStyle name="Normal 3 2 8 3 6" xfId="17539"/>
    <cellStyle name="Normal 3 2 8 3 7" xfId="21571"/>
    <cellStyle name="Normal 3 2 8 3 8" xfId="25603"/>
    <cellStyle name="Normal 3 2 8 3 9" xfId="29635"/>
    <cellStyle name="Normal 3 2 8 4" xfId="4033"/>
    <cellStyle name="Normal 3 2 8 4 10" xfId="33890"/>
    <cellStyle name="Normal 3 2 8 4 11" xfId="37922"/>
    <cellStyle name="Normal 3 2 8 4 12" xfId="41954"/>
    <cellStyle name="Normal 3 2 8 4 13" xfId="45986"/>
    <cellStyle name="Normal 3 2 8 4 14" xfId="50064"/>
    <cellStyle name="Normal 3 2 8 4 2" xfId="6615"/>
    <cellStyle name="Normal 3 2 8 4 2 10" xfId="38873"/>
    <cellStyle name="Normal 3 2 8 4 2 11" xfId="42905"/>
    <cellStyle name="Normal 3 2 8 4 2 12" xfId="46937"/>
    <cellStyle name="Normal 3 2 8 4 2 13" xfId="51016"/>
    <cellStyle name="Normal 3 2 8 4 2 2" xfId="8631"/>
    <cellStyle name="Normal 3 2 8 4 2 2 10" xfId="44921"/>
    <cellStyle name="Normal 3 2 8 4 2 2 11" xfId="48953"/>
    <cellStyle name="Normal 3 2 8 4 2 2 12" xfId="53032"/>
    <cellStyle name="Normal 3 2 8 4 2 2 2" xfId="12665"/>
    <cellStyle name="Normal 3 2 8 4 2 2 3" xfId="16697"/>
    <cellStyle name="Normal 3 2 8 4 2 2 4" xfId="20729"/>
    <cellStyle name="Normal 3 2 8 4 2 2 5" xfId="24761"/>
    <cellStyle name="Normal 3 2 8 4 2 2 6" xfId="28793"/>
    <cellStyle name="Normal 3 2 8 4 2 2 7" xfId="32825"/>
    <cellStyle name="Normal 3 2 8 4 2 2 8" xfId="36857"/>
    <cellStyle name="Normal 3 2 8 4 2 2 9" xfId="40889"/>
    <cellStyle name="Normal 3 2 8 4 2 3" xfId="10649"/>
    <cellStyle name="Normal 3 2 8 4 2 4" xfId="14681"/>
    <cellStyle name="Normal 3 2 8 4 2 5" xfId="18713"/>
    <cellStyle name="Normal 3 2 8 4 2 6" xfId="22745"/>
    <cellStyle name="Normal 3 2 8 4 2 7" xfId="26777"/>
    <cellStyle name="Normal 3 2 8 4 2 8" xfId="30809"/>
    <cellStyle name="Normal 3 2 8 4 2 9" xfId="34841"/>
    <cellStyle name="Normal 3 2 8 4 3" xfId="7680"/>
    <cellStyle name="Normal 3 2 8 4 3 10" xfId="43970"/>
    <cellStyle name="Normal 3 2 8 4 3 11" xfId="48002"/>
    <cellStyle name="Normal 3 2 8 4 3 12" xfId="52081"/>
    <cellStyle name="Normal 3 2 8 4 3 2" xfId="11714"/>
    <cellStyle name="Normal 3 2 8 4 3 3" xfId="15746"/>
    <cellStyle name="Normal 3 2 8 4 3 4" xfId="19778"/>
    <cellStyle name="Normal 3 2 8 4 3 5" xfId="23810"/>
    <cellStyle name="Normal 3 2 8 4 3 6" xfId="27842"/>
    <cellStyle name="Normal 3 2 8 4 3 7" xfId="31874"/>
    <cellStyle name="Normal 3 2 8 4 3 8" xfId="35906"/>
    <cellStyle name="Normal 3 2 8 4 3 9" xfId="39938"/>
    <cellStyle name="Normal 3 2 8 4 4" xfId="9698"/>
    <cellStyle name="Normal 3 2 8 4 5" xfId="13730"/>
    <cellStyle name="Normal 3 2 8 4 6" xfId="17762"/>
    <cellStyle name="Normal 3 2 8 4 7" xfId="21794"/>
    <cellStyle name="Normal 3 2 8 4 8" xfId="25826"/>
    <cellStyle name="Normal 3 2 8 4 9" xfId="29858"/>
    <cellStyle name="Normal 3 2 8 5" xfId="4103"/>
    <cellStyle name="Normal 3 2 8 5 10" xfId="33959"/>
    <cellStyle name="Normal 3 2 8 5 11" xfId="37991"/>
    <cellStyle name="Normal 3 2 8 5 12" xfId="42023"/>
    <cellStyle name="Normal 3 2 8 5 13" xfId="46055"/>
    <cellStyle name="Normal 3 2 8 5 14" xfId="50133"/>
    <cellStyle name="Normal 3 2 8 5 2" xfId="6684"/>
    <cellStyle name="Normal 3 2 8 5 2 10" xfId="38942"/>
    <cellStyle name="Normal 3 2 8 5 2 11" xfId="42974"/>
    <cellStyle name="Normal 3 2 8 5 2 12" xfId="47006"/>
    <cellStyle name="Normal 3 2 8 5 2 13" xfId="51085"/>
    <cellStyle name="Normal 3 2 8 5 2 2" xfId="8700"/>
    <cellStyle name="Normal 3 2 8 5 2 2 10" xfId="44990"/>
    <cellStyle name="Normal 3 2 8 5 2 2 11" xfId="49022"/>
    <cellStyle name="Normal 3 2 8 5 2 2 12" xfId="53101"/>
    <cellStyle name="Normal 3 2 8 5 2 2 2" xfId="12734"/>
    <cellStyle name="Normal 3 2 8 5 2 2 3" xfId="16766"/>
    <cellStyle name="Normal 3 2 8 5 2 2 4" xfId="20798"/>
    <cellStyle name="Normal 3 2 8 5 2 2 5" xfId="24830"/>
    <cellStyle name="Normal 3 2 8 5 2 2 6" xfId="28862"/>
    <cellStyle name="Normal 3 2 8 5 2 2 7" xfId="32894"/>
    <cellStyle name="Normal 3 2 8 5 2 2 8" xfId="36926"/>
    <cellStyle name="Normal 3 2 8 5 2 2 9" xfId="40958"/>
    <cellStyle name="Normal 3 2 8 5 2 3" xfId="10718"/>
    <cellStyle name="Normal 3 2 8 5 2 4" xfId="14750"/>
    <cellStyle name="Normal 3 2 8 5 2 5" xfId="18782"/>
    <cellStyle name="Normal 3 2 8 5 2 6" xfId="22814"/>
    <cellStyle name="Normal 3 2 8 5 2 7" xfId="26846"/>
    <cellStyle name="Normal 3 2 8 5 2 8" xfId="30878"/>
    <cellStyle name="Normal 3 2 8 5 2 9" xfId="34910"/>
    <cellStyle name="Normal 3 2 8 5 3" xfId="7749"/>
    <cellStyle name="Normal 3 2 8 5 3 10" xfId="44039"/>
    <cellStyle name="Normal 3 2 8 5 3 11" xfId="48071"/>
    <cellStyle name="Normal 3 2 8 5 3 12" xfId="52150"/>
    <cellStyle name="Normal 3 2 8 5 3 2" xfId="11783"/>
    <cellStyle name="Normal 3 2 8 5 3 3" xfId="15815"/>
    <cellStyle name="Normal 3 2 8 5 3 4" xfId="19847"/>
    <cellStyle name="Normal 3 2 8 5 3 5" xfId="23879"/>
    <cellStyle name="Normal 3 2 8 5 3 6" xfId="27911"/>
    <cellStyle name="Normal 3 2 8 5 3 7" xfId="31943"/>
    <cellStyle name="Normal 3 2 8 5 3 8" xfId="35975"/>
    <cellStyle name="Normal 3 2 8 5 3 9" xfId="40007"/>
    <cellStyle name="Normal 3 2 8 5 4" xfId="9767"/>
    <cellStyle name="Normal 3 2 8 5 5" xfId="13799"/>
    <cellStyle name="Normal 3 2 8 5 6" xfId="17831"/>
    <cellStyle name="Normal 3 2 8 5 7" xfId="21863"/>
    <cellStyle name="Normal 3 2 8 5 8" xfId="25895"/>
    <cellStyle name="Normal 3 2 8 5 9" xfId="29927"/>
    <cellStyle name="Normal 3 2 8 6" xfId="4172"/>
    <cellStyle name="Normal 3 2 8 6 10" xfId="34028"/>
    <cellStyle name="Normal 3 2 8 6 11" xfId="38060"/>
    <cellStyle name="Normal 3 2 8 6 12" xfId="42092"/>
    <cellStyle name="Normal 3 2 8 6 13" xfId="46124"/>
    <cellStyle name="Normal 3 2 8 6 14" xfId="50202"/>
    <cellStyle name="Normal 3 2 8 6 2" xfId="6753"/>
    <cellStyle name="Normal 3 2 8 6 2 10" xfId="39011"/>
    <cellStyle name="Normal 3 2 8 6 2 11" xfId="43043"/>
    <cellStyle name="Normal 3 2 8 6 2 12" xfId="47075"/>
    <cellStyle name="Normal 3 2 8 6 2 13" xfId="51154"/>
    <cellStyle name="Normal 3 2 8 6 2 2" xfId="8769"/>
    <cellStyle name="Normal 3 2 8 6 2 2 10" xfId="45059"/>
    <cellStyle name="Normal 3 2 8 6 2 2 11" xfId="49091"/>
    <cellStyle name="Normal 3 2 8 6 2 2 12" xfId="53170"/>
    <cellStyle name="Normal 3 2 8 6 2 2 2" xfId="12803"/>
    <cellStyle name="Normal 3 2 8 6 2 2 3" xfId="16835"/>
    <cellStyle name="Normal 3 2 8 6 2 2 4" xfId="20867"/>
    <cellStyle name="Normal 3 2 8 6 2 2 5" xfId="24899"/>
    <cellStyle name="Normal 3 2 8 6 2 2 6" xfId="28931"/>
    <cellStyle name="Normal 3 2 8 6 2 2 7" xfId="32963"/>
    <cellStyle name="Normal 3 2 8 6 2 2 8" xfId="36995"/>
    <cellStyle name="Normal 3 2 8 6 2 2 9" xfId="41027"/>
    <cellStyle name="Normal 3 2 8 6 2 3" xfId="10787"/>
    <cellStyle name="Normal 3 2 8 6 2 4" xfId="14819"/>
    <cellStyle name="Normal 3 2 8 6 2 5" xfId="18851"/>
    <cellStyle name="Normal 3 2 8 6 2 6" xfId="22883"/>
    <cellStyle name="Normal 3 2 8 6 2 7" xfId="26915"/>
    <cellStyle name="Normal 3 2 8 6 2 8" xfId="30947"/>
    <cellStyle name="Normal 3 2 8 6 2 9" xfId="34979"/>
    <cellStyle name="Normal 3 2 8 6 3" xfId="7818"/>
    <cellStyle name="Normal 3 2 8 6 3 10" xfId="44108"/>
    <cellStyle name="Normal 3 2 8 6 3 11" xfId="48140"/>
    <cellStyle name="Normal 3 2 8 6 3 12" xfId="52219"/>
    <cellStyle name="Normal 3 2 8 6 3 2" xfId="11852"/>
    <cellStyle name="Normal 3 2 8 6 3 3" xfId="15884"/>
    <cellStyle name="Normal 3 2 8 6 3 4" xfId="19916"/>
    <cellStyle name="Normal 3 2 8 6 3 5" xfId="23948"/>
    <cellStyle name="Normal 3 2 8 6 3 6" xfId="27980"/>
    <cellStyle name="Normal 3 2 8 6 3 7" xfId="32012"/>
    <cellStyle name="Normal 3 2 8 6 3 8" xfId="36044"/>
    <cellStyle name="Normal 3 2 8 6 3 9" xfId="40076"/>
    <cellStyle name="Normal 3 2 8 6 4" xfId="9836"/>
    <cellStyle name="Normal 3 2 8 6 5" xfId="13868"/>
    <cellStyle name="Normal 3 2 8 6 6" xfId="17900"/>
    <cellStyle name="Normal 3 2 8 6 7" xfId="21932"/>
    <cellStyle name="Normal 3 2 8 6 8" xfId="25964"/>
    <cellStyle name="Normal 3 2 8 6 9" xfId="29996"/>
    <cellStyle name="Normal 3 2 8 7" xfId="4245"/>
    <cellStyle name="Normal 3 2 8 7 10" xfId="34097"/>
    <cellStyle name="Normal 3 2 8 7 11" xfId="38129"/>
    <cellStyle name="Normal 3 2 8 7 12" xfId="42161"/>
    <cellStyle name="Normal 3 2 8 7 13" xfId="46193"/>
    <cellStyle name="Normal 3 2 8 7 14" xfId="50271"/>
    <cellStyle name="Normal 3 2 8 7 2" xfId="6822"/>
    <cellStyle name="Normal 3 2 8 7 2 10" xfId="39080"/>
    <cellStyle name="Normal 3 2 8 7 2 11" xfId="43112"/>
    <cellStyle name="Normal 3 2 8 7 2 12" xfId="47144"/>
    <cellStyle name="Normal 3 2 8 7 2 13" xfId="51223"/>
    <cellStyle name="Normal 3 2 8 7 2 2" xfId="8838"/>
    <cellStyle name="Normal 3 2 8 7 2 2 10" xfId="45128"/>
    <cellStyle name="Normal 3 2 8 7 2 2 11" xfId="49160"/>
    <cellStyle name="Normal 3 2 8 7 2 2 12" xfId="53239"/>
    <cellStyle name="Normal 3 2 8 7 2 2 2" xfId="12872"/>
    <cellStyle name="Normal 3 2 8 7 2 2 3" xfId="16904"/>
    <cellStyle name="Normal 3 2 8 7 2 2 4" xfId="20936"/>
    <cellStyle name="Normal 3 2 8 7 2 2 5" xfId="24968"/>
    <cellStyle name="Normal 3 2 8 7 2 2 6" xfId="29000"/>
    <cellStyle name="Normal 3 2 8 7 2 2 7" xfId="33032"/>
    <cellStyle name="Normal 3 2 8 7 2 2 8" xfId="37064"/>
    <cellStyle name="Normal 3 2 8 7 2 2 9" xfId="41096"/>
    <cellStyle name="Normal 3 2 8 7 2 3" xfId="10856"/>
    <cellStyle name="Normal 3 2 8 7 2 4" xfId="14888"/>
    <cellStyle name="Normal 3 2 8 7 2 5" xfId="18920"/>
    <cellStyle name="Normal 3 2 8 7 2 6" xfId="22952"/>
    <cellStyle name="Normal 3 2 8 7 2 7" xfId="26984"/>
    <cellStyle name="Normal 3 2 8 7 2 8" xfId="31016"/>
    <cellStyle name="Normal 3 2 8 7 2 9" xfId="35048"/>
    <cellStyle name="Normal 3 2 8 7 3" xfId="7887"/>
    <cellStyle name="Normal 3 2 8 7 3 10" xfId="44177"/>
    <cellStyle name="Normal 3 2 8 7 3 11" xfId="48209"/>
    <cellStyle name="Normal 3 2 8 7 3 12" xfId="52288"/>
    <cellStyle name="Normal 3 2 8 7 3 2" xfId="11921"/>
    <cellStyle name="Normal 3 2 8 7 3 3" xfId="15953"/>
    <cellStyle name="Normal 3 2 8 7 3 4" xfId="19985"/>
    <cellStyle name="Normal 3 2 8 7 3 5" xfId="24017"/>
    <cellStyle name="Normal 3 2 8 7 3 6" xfId="28049"/>
    <cellStyle name="Normal 3 2 8 7 3 7" xfId="32081"/>
    <cellStyle name="Normal 3 2 8 7 3 8" xfId="36113"/>
    <cellStyle name="Normal 3 2 8 7 3 9" xfId="40145"/>
    <cellStyle name="Normal 3 2 8 7 4" xfId="9905"/>
    <cellStyle name="Normal 3 2 8 7 5" xfId="13937"/>
    <cellStyle name="Normal 3 2 8 7 6" xfId="17969"/>
    <cellStyle name="Normal 3 2 8 7 7" xfId="22001"/>
    <cellStyle name="Normal 3 2 8 7 8" xfId="26033"/>
    <cellStyle name="Normal 3 2 8 7 9" xfId="30065"/>
    <cellStyle name="Normal 3 2 8 8" xfId="4391"/>
    <cellStyle name="Normal 3 2 8 8 10" xfId="34235"/>
    <cellStyle name="Normal 3 2 8 8 11" xfId="38267"/>
    <cellStyle name="Normal 3 2 8 8 12" xfId="42299"/>
    <cellStyle name="Normal 3 2 8 8 13" xfId="46331"/>
    <cellStyle name="Normal 3 2 8 8 14" xfId="50410"/>
    <cellStyle name="Normal 3 2 8 8 2" xfId="6960"/>
    <cellStyle name="Normal 3 2 8 8 2 10" xfId="39218"/>
    <cellStyle name="Normal 3 2 8 8 2 11" xfId="43250"/>
    <cellStyle name="Normal 3 2 8 8 2 12" xfId="47282"/>
    <cellStyle name="Normal 3 2 8 8 2 13" xfId="51361"/>
    <cellStyle name="Normal 3 2 8 8 2 2" xfId="8976"/>
    <cellStyle name="Normal 3 2 8 8 2 2 10" xfId="45266"/>
    <cellStyle name="Normal 3 2 8 8 2 2 11" xfId="49298"/>
    <cellStyle name="Normal 3 2 8 8 2 2 12" xfId="53377"/>
    <cellStyle name="Normal 3 2 8 8 2 2 2" xfId="13010"/>
    <cellStyle name="Normal 3 2 8 8 2 2 3" xfId="17042"/>
    <cellStyle name="Normal 3 2 8 8 2 2 4" xfId="21074"/>
    <cellStyle name="Normal 3 2 8 8 2 2 5" xfId="25106"/>
    <cellStyle name="Normal 3 2 8 8 2 2 6" xfId="29138"/>
    <cellStyle name="Normal 3 2 8 8 2 2 7" xfId="33170"/>
    <cellStyle name="Normal 3 2 8 8 2 2 8" xfId="37202"/>
    <cellStyle name="Normal 3 2 8 8 2 2 9" xfId="41234"/>
    <cellStyle name="Normal 3 2 8 8 2 3" xfId="10994"/>
    <cellStyle name="Normal 3 2 8 8 2 4" xfId="15026"/>
    <cellStyle name="Normal 3 2 8 8 2 5" xfId="19058"/>
    <cellStyle name="Normal 3 2 8 8 2 6" xfId="23090"/>
    <cellStyle name="Normal 3 2 8 8 2 7" xfId="27122"/>
    <cellStyle name="Normal 3 2 8 8 2 8" xfId="31154"/>
    <cellStyle name="Normal 3 2 8 8 2 9" xfId="35186"/>
    <cellStyle name="Normal 3 2 8 8 3" xfId="8025"/>
    <cellStyle name="Normal 3 2 8 8 3 10" xfId="44315"/>
    <cellStyle name="Normal 3 2 8 8 3 11" xfId="48347"/>
    <cellStyle name="Normal 3 2 8 8 3 12" xfId="52426"/>
    <cellStyle name="Normal 3 2 8 8 3 2" xfId="12059"/>
    <cellStyle name="Normal 3 2 8 8 3 3" xfId="16091"/>
    <cellStyle name="Normal 3 2 8 8 3 4" xfId="20123"/>
    <cellStyle name="Normal 3 2 8 8 3 5" xfId="24155"/>
    <cellStyle name="Normal 3 2 8 8 3 6" xfId="28187"/>
    <cellStyle name="Normal 3 2 8 8 3 7" xfId="32219"/>
    <cellStyle name="Normal 3 2 8 8 3 8" xfId="36251"/>
    <cellStyle name="Normal 3 2 8 8 3 9" xfId="40283"/>
    <cellStyle name="Normal 3 2 8 8 4" xfId="10043"/>
    <cellStyle name="Normal 3 2 8 8 5" xfId="14075"/>
    <cellStyle name="Normal 3 2 8 8 6" xfId="18107"/>
    <cellStyle name="Normal 3 2 8 8 7" xfId="22139"/>
    <cellStyle name="Normal 3 2 8 8 8" xfId="26171"/>
    <cellStyle name="Normal 3 2 8 8 9" xfId="30203"/>
    <cellStyle name="Normal 3 2 8 9" xfId="4529"/>
    <cellStyle name="Normal 3 2 8 9 10" xfId="38405"/>
    <cellStyle name="Normal 3 2 8 9 11" xfId="42437"/>
    <cellStyle name="Normal 3 2 8 9 12" xfId="46469"/>
    <cellStyle name="Normal 3 2 8 9 13" xfId="50548"/>
    <cellStyle name="Normal 3 2 8 9 2" xfId="8163"/>
    <cellStyle name="Normal 3 2 8 9 2 10" xfId="44453"/>
    <cellStyle name="Normal 3 2 8 9 2 11" xfId="48485"/>
    <cellStyle name="Normal 3 2 8 9 2 12" xfId="52564"/>
    <cellStyle name="Normal 3 2 8 9 2 2" xfId="12197"/>
    <cellStyle name="Normal 3 2 8 9 2 3" xfId="16229"/>
    <cellStyle name="Normal 3 2 8 9 2 4" xfId="20261"/>
    <cellStyle name="Normal 3 2 8 9 2 5" xfId="24293"/>
    <cellStyle name="Normal 3 2 8 9 2 6" xfId="28325"/>
    <cellStyle name="Normal 3 2 8 9 2 7" xfId="32357"/>
    <cellStyle name="Normal 3 2 8 9 2 8" xfId="36389"/>
    <cellStyle name="Normal 3 2 8 9 2 9" xfId="40421"/>
    <cellStyle name="Normal 3 2 8 9 3" xfId="10181"/>
    <cellStyle name="Normal 3 2 8 9 4" xfId="14213"/>
    <cellStyle name="Normal 3 2 8 9 5" xfId="18245"/>
    <cellStyle name="Normal 3 2 8 9 6" xfId="22277"/>
    <cellStyle name="Normal 3 2 8 9 7" xfId="26309"/>
    <cellStyle name="Normal 3 2 8 9 8" xfId="30341"/>
    <cellStyle name="Normal 3 2 8 9 9" xfId="34373"/>
    <cellStyle name="Normal 3 2 9" xfId="183"/>
    <cellStyle name="Normal 3 2 9 10" xfId="21265"/>
    <cellStyle name="Normal 3 2 9 11" xfId="25297"/>
    <cellStyle name="Normal 3 2 9 12" xfId="29329"/>
    <cellStyle name="Normal 3 2 9 13" xfId="33361"/>
    <cellStyle name="Normal 3 2 9 14" xfId="37393"/>
    <cellStyle name="Normal 3 2 9 15" xfId="41425"/>
    <cellStyle name="Normal 3 2 9 16" xfId="45457"/>
    <cellStyle name="Normal 3 2 9 17" xfId="49535"/>
    <cellStyle name="Normal 3 2 9 2" xfId="4302"/>
    <cellStyle name="Normal 3 2 9 2 10" xfId="34150"/>
    <cellStyle name="Normal 3 2 9 2 11" xfId="38182"/>
    <cellStyle name="Normal 3 2 9 2 12" xfId="42214"/>
    <cellStyle name="Normal 3 2 9 2 13" xfId="46246"/>
    <cellStyle name="Normal 3 2 9 2 14" xfId="50325"/>
    <cellStyle name="Normal 3 2 9 2 2" xfId="6875"/>
    <cellStyle name="Normal 3 2 9 2 2 10" xfId="39133"/>
    <cellStyle name="Normal 3 2 9 2 2 11" xfId="43165"/>
    <cellStyle name="Normal 3 2 9 2 2 12" xfId="47197"/>
    <cellStyle name="Normal 3 2 9 2 2 13" xfId="51276"/>
    <cellStyle name="Normal 3 2 9 2 2 2" xfId="8891"/>
    <cellStyle name="Normal 3 2 9 2 2 2 10" xfId="45181"/>
    <cellStyle name="Normal 3 2 9 2 2 2 11" xfId="49213"/>
    <cellStyle name="Normal 3 2 9 2 2 2 12" xfId="53292"/>
    <cellStyle name="Normal 3 2 9 2 2 2 2" xfId="12925"/>
    <cellStyle name="Normal 3 2 9 2 2 2 3" xfId="16957"/>
    <cellStyle name="Normal 3 2 9 2 2 2 4" xfId="20989"/>
    <cellStyle name="Normal 3 2 9 2 2 2 5" xfId="25021"/>
    <cellStyle name="Normal 3 2 9 2 2 2 6" xfId="29053"/>
    <cellStyle name="Normal 3 2 9 2 2 2 7" xfId="33085"/>
    <cellStyle name="Normal 3 2 9 2 2 2 8" xfId="37117"/>
    <cellStyle name="Normal 3 2 9 2 2 2 9" xfId="41149"/>
    <cellStyle name="Normal 3 2 9 2 2 3" xfId="10909"/>
    <cellStyle name="Normal 3 2 9 2 2 4" xfId="14941"/>
    <cellStyle name="Normal 3 2 9 2 2 5" xfId="18973"/>
    <cellStyle name="Normal 3 2 9 2 2 6" xfId="23005"/>
    <cellStyle name="Normal 3 2 9 2 2 7" xfId="27037"/>
    <cellStyle name="Normal 3 2 9 2 2 8" xfId="31069"/>
    <cellStyle name="Normal 3 2 9 2 2 9" xfId="35101"/>
    <cellStyle name="Normal 3 2 9 2 3" xfId="7940"/>
    <cellStyle name="Normal 3 2 9 2 3 10" xfId="44230"/>
    <cellStyle name="Normal 3 2 9 2 3 11" xfId="48262"/>
    <cellStyle name="Normal 3 2 9 2 3 12" xfId="52341"/>
    <cellStyle name="Normal 3 2 9 2 3 2" xfId="11974"/>
    <cellStyle name="Normal 3 2 9 2 3 3" xfId="16006"/>
    <cellStyle name="Normal 3 2 9 2 3 4" xfId="20038"/>
    <cellStyle name="Normal 3 2 9 2 3 5" xfId="24070"/>
    <cellStyle name="Normal 3 2 9 2 3 6" xfId="28102"/>
    <cellStyle name="Normal 3 2 9 2 3 7" xfId="32134"/>
    <cellStyle name="Normal 3 2 9 2 3 8" xfId="36166"/>
    <cellStyle name="Normal 3 2 9 2 3 9" xfId="40198"/>
    <cellStyle name="Normal 3 2 9 2 4" xfId="9958"/>
    <cellStyle name="Normal 3 2 9 2 5" xfId="13990"/>
    <cellStyle name="Normal 3 2 9 2 6" xfId="18022"/>
    <cellStyle name="Normal 3 2 9 2 7" xfId="22054"/>
    <cellStyle name="Normal 3 2 9 2 8" xfId="26086"/>
    <cellStyle name="Normal 3 2 9 2 9" xfId="30118"/>
    <cellStyle name="Normal 3 2 9 3" xfId="4444"/>
    <cellStyle name="Normal 3 2 9 3 10" xfId="34288"/>
    <cellStyle name="Normal 3 2 9 3 11" xfId="38320"/>
    <cellStyle name="Normal 3 2 9 3 12" xfId="42352"/>
    <cellStyle name="Normal 3 2 9 3 13" xfId="46384"/>
    <cellStyle name="Normal 3 2 9 3 14" xfId="50463"/>
    <cellStyle name="Normal 3 2 9 3 2" xfId="7013"/>
    <cellStyle name="Normal 3 2 9 3 2 10" xfId="39271"/>
    <cellStyle name="Normal 3 2 9 3 2 11" xfId="43303"/>
    <cellStyle name="Normal 3 2 9 3 2 12" xfId="47335"/>
    <cellStyle name="Normal 3 2 9 3 2 13" xfId="51414"/>
    <cellStyle name="Normal 3 2 9 3 2 2" xfId="9029"/>
    <cellStyle name="Normal 3 2 9 3 2 2 10" xfId="45319"/>
    <cellStyle name="Normal 3 2 9 3 2 2 11" xfId="49351"/>
    <cellStyle name="Normal 3 2 9 3 2 2 12" xfId="53430"/>
    <cellStyle name="Normal 3 2 9 3 2 2 2" xfId="13063"/>
    <cellStyle name="Normal 3 2 9 3 2 2 3" xfId="17095"/>
    <cellStyle name="Normal 3 2 9 3 2 2 4" xfId="21127"/>
    <cellStyle name="Normal 3 2 9 3 2 2 5" xfId="25159"/>
    <cellStyle name="Normal 3 2 9 3 2 2 6" xfId="29191"/>
    <cellStyle name="Normal 3 2 9 3 2 2 7" xfId="33223"/>
    <cellStyle name="Normal 3 2 9 3 2 2 8" xfId="37255"/>
    <cellStyle name="Normal 3 2 9 3 2 2 9" xfId="41287"/>
    <cellStyle name="Normal 3 2 9 3 2 3" xfId="11047"/>
    <cellStyle name="Normal 3 2 9 3 2 4" xfId="15079"/>
    <cellStyle name="Normal 3 2 9 3 2 5" xfId="19111"/>
    <cellStyle name="Normal 3 2 9 3 2 6" xfId="23143"/>
    <cellStyle name="Normal 3 2 9 3 2 7" xfId="27175"/>
    <cellStyle name="Normal 3 2 9 3 2 8" xfId="31207"/>
    <cellStyle name="Normal 3 2 9 3 2 9" xfId="35239"/>
    <cellStyle name="Normal 3 2 9 3 3" xfId="8078"/>
    <cellStyle name="Normal 3 2 9 3 3 10" xfId="44368"/>
    <cellStyle name="Normal 3 2 9 3 3 11" xfId="48400"/>
    <cellStyle name="Normal 3 2 9 3 3 12" xfId="52479"/>
    <cellStyle name="Normal 3 2 9 3 3 2" xfId="12112"/>
    <cellStyle name="Normal 3 2 9 3 3 3" xfId="16144"/>
    <cellStyle name="Normal 3 2 9 3 3 4" xfId="20176"/>
    <cellStyle name="Normal 3 2 9 3 3 5" xfId="24208"/>
    <cellStyle name="Normal 3 2 9 3 3 6" xfId="28240"/>
    <cellStyle name="Normal 3 2 9 3 3 7" xfId="32272"/>
    <cellStyle name="Normal 3 2 9 3 3 8" xfId="36304"/>
    <cellStyle name="Normal 3 2 9 3 3 9" xfId="40336"/>
    <cellStyle name="Normal 3 2 9 3 4" xfId="10096"/>
    <cellStyle name="Normal 3 2 9 3 5" xfId="14128"/>
    <cellStyle name="Normal 3 2 9 3 6" xfId="18160"/>
    <cellStyle name="Normal 3 2 9 3 7" xfId="22192"/>
    <cellStyle name="Normal 3 2 9 3 8" xfId="26224"/>
    <cellStyle name="Normal 3 2 9 3 9" xfId="30256"/>
    <cellStyle name="Normal 3 2 9 4" xfId="4584"/>
    <cellStyle name="Normal 3 2 9 4 10" xfId="38458"/>
    <cellStyle name="Normal 3 2 9 4 11" xfId="42490"/>
    <cellStyle name="Normal 3 2 9 4 12" xfId="46522"/>
    <cellStyle name="Normal 3 2 9 4 13" xfId="50601"/>
    <cellStyle name="Normal 3 2 9 4 2" xfId="8216"/>
    <cellStyle name="Normal 3 2 9 4 2 10" xfId="44506"/>
    <cellStyle name="Normal 3 2 9 4 2 11" xfId="48538"/>
    <cellStyle name="Normal 3 2 9 4 2 12" xfId="52617"/>
    <cellStyle name="Normal 3 2 9 4 2 2" xfId="12250"/>
    <cellStyle name="Normal 3 2 9 4 2 3" xfId="16282"/>
    <cellStyle name="Normal 3 2 9 4 2 4" xfId="20314"/>
    <cellStyle name="Normal 3 2 9 4 2 5" xfId="24346"/>
    <cellStyle name="Normal 3 2 9 4 2 6" xfId="28378"/>
    <cellStyle name="Normal 3 2 9 4 2 7" xfId="32410"/>
    <cellStyle name="Normal 3 2 9 4 2 8" xfId="36442"/>
    <cellStyle name="Normal 3 2 9 4 2 9" xfId="40474"/>
    <cellStyle name="Normal 3 2 9 4 3" xfId="10234"/>
    <cellStyle name="Normal 3 2 9 4 4" xfId="14266"/>
    <cellStyle name="Normal 3 2 9 4 5" xfId="18298"/>
    <cellStyle name="Normal 3 2 9 4 6" xfId="22330"/>
    <cellStyle name="Normal 3 2 9 4 7" xfId="26362"/>
    <cellStyle name="Normal 3 2 9 4 8" xfId="30394"/>
    <cellStyle name="Normal 3 2 9 4 9" xfId="34426"/>
    <cellStyle name="Normal 3 2 9 5" xfId="641"/>
    <cellStyle name="Normal 3 2 9 6" xfId="7151"/>
    <cellStyle name="Normal 3 2 9 6 10" xfId="43441"/>
    <cellStyle name="Normal 3 2 9 6 11" xfId="47473"/>
    <cellStyle name="Normal 3 2 9 6 12" xfId="51552"/>
    <cellStyle name="Normal 3 2 9 6 2" xfId="11185"/>
    <cellStyle name="Normal 3 2 9 6 3" xfId="15217"/>
    <cellStyle name="Normal 3 2 9 6 4" xfId="19249"/>
    <cellStyle name="Normal 3 2 9 6 5" xfId="23281"/>
    <cellStyle name="Normal 3 2 9 6 6" xfId="27313"/>
    <cellStyle name="Normal 3 2 9 6 7" xfId="31345"/>
    <cellStyle name="Normal 3 2 9 6 8" xfId="35377"/>
    <cellStyle name="Normal 3 2 9 6 9" xfId="39409"/>
    <cellStyle name="Normal 3 2 9 7" xfId="9169"/>
    <cellStyle name="Normal 3 2 9 8" xfId="13201"/>
    <cellStyle name="Normal 3 2 9 9" xfId="17233"/>
    <cellStyle name="Normal 3 20" xfId="2738"/>
    <cellStyle name="Normal 3 20 2" xfId="5700"/>
    <cellStyle name="Normal 3 21" xfId="2739"/>
    <cellStyle name="Normal 3 21 2" xfId="5701"/>
    <cellStyle name="Normal 3 22" xfId="2740"/>
    <cellStyle name="Normal 3 22 2" xfId="5702"/>
    <cellStyle name="Normal 3 23" xfId="2741"/>
    <cellStyle name="Normal 3 23 2" xfId="5703"/>
    <cellStyle name="Normal 3 24" xfId="2742"/>
    <cellStyle name="Normal 3 24 2" xfId="5704"/>
    <cellStyle name="Normal 3 25" xfId="2743"/>
    <cellStyle name="Normal 3 25 2" xfId="5705"/>
    <cellStyle name="Normal 3 26" xfId="2744"/>
    <cellStyle name="Normal 3 26 2" xfId="5706"/>
    <cellStyle name="Normal 3 27" xfId="2745"/>
    <cellStyle name="Normal 3 27 2" xfId="5707"/>
    <cellStyle name="Normal 3 28" xfId="2746"/>
    <cellStyle name="Normal 3 28 2" xfId="4015"/>
    <cellStyle name="Normal 3 28 2 10" xfId="33872"/>
    <cellStyle name="Normal 3 28 2 11" xfId="37904"/>
    <cellStyle name="Normal 3 28 2 12" xfId="41936"/>
    <cellStyle name="Normal 3 28 2 13" xfId="45968"/>
    <cellStyle name="Normal 3 28 2 14" xfId="50046"/>
    <cellStyle name="Normal 3 28 2 2" xfId="6597"/>
    <cellStyle name="Normal 3 28 2 2 10" xfId="38855"/>
    <cellStyle name="Normal 3 28 2 2 11" xfId="42887"/>
    <cellStyle name="Normal 3 28 2 2 12" xfId="46919"/>
    <cellStyle name="Normal 3 28 2 2 13" xfId="50998"/>
    <cellStyle name="Normal 3 28 2 2 2" xfId="8613"/>
    <cellStyle name="Normal 3 28 2 2 2 10" xfId="44903"/>
    <cellStyle name="Normal 3 28 2 2 2 11" xfId="48935"/>
    <cellStyle name="Normal 3 28 2 2 2 12" xfId="53014"/>
    <cellStyle name="Normal 3 28 2 2 2 2" xfId="12647"/>
    <cellStyle name="Normal 3 28 2 2 2 3" xfId="16679"/>
    <cellStyle name="Normal 3 28 2 2 2 4" xfId="20711"/>
    <cellStyle name="Normal 3 28 2 2 2 5" xfId="24743"/>
    <cellStyle name="Normal 3 28 2 2 2 6" xfId="28775"/>
    <cellStyle name="Normal 3 28 2 2 2 7" xfId="32807"/>
    <cellStyle name="Normal 3 28 2 2 2 8" xfId="36839"/>
    <cellStyle name="Normal 3 28 2 2 2 9" xfId="40871"/>
    <cellStyle name="Normal 3 28 2 2 3" xfId="10631"/>
    <cellStyle name="Normal 3 28 2 2 4" xfId="14663"/>
    <cellStyle name="Normal 3 28 2 2 5" xfId="18695"/>
    <cellStyle name="Normal 3 28 2 2 6" xfId="22727"/>
    <cellStyle name="Normal 3 28 2 2 7" xfId="26759"/>
    <cellStyle name="Normal 3 28 2 2 8" xfId="30791"/>
    <cellStyle name="Normal 3 28 2 2 9" xfId="34823"/>
    <cellStyle name="Normal 3 28 2 3" xfId="7662"/>
    <cellStyle name="Normal 3 28 2 3 10" xfId="43952"/>
    <cellStyle name="Normal 3 28 2 3 11" xfId="47984"/>
    <cellStyle name="Normal 3 28 2 3 12" xfId="52063"/>
    <cellStyle name="Normal 3 28 2 3 2" xfId="11696"/>
    <cellStyle name="Normal 3 28 2 3 3" xfId="15728"/>
    <cellStyle name="Normal 3 28 2 3 4" xfId="19760"/>
    <cellStyle name="Normal 3 28 2 3 5" xfId="23792"/>
    <cellStyle name="Normal 3 28 2 3 6" xfId="27824"/>
    <cellStyle name="Normal 3 28 2 3 7" xfId="31856"/>
    <cellStyle name="Normal 3 28 2 3 8" xfId="35888"/>
    <cellStyle name="Normal 3 28 2 3 9" xfId="39920"/>
    <cellStyle name="Normal 3 28 2 4" xfId="9680"/>
    <cellStyle name="Normal 3 28 2 5" xfId="13712"/>
    <cellStyle name="Normal 3 28 2 6" xfId="17744"/>
    <cellStyle name="Normal 3 28 2 7" xfId="21776"/>
    <cellStyle name="Normal 3 28 2 8" xfId="25808"/>
    <cellStyle name="Normal 3 28 2 9" xfId="29840"/>
    <cellStyle name="Normal 3 28 3" xfId="5708"/>
    <cellStyle name="Normal 3 29" xfId="2727"/>
    <cellStyle name="Normal 3 3" xfId="642"/>
    <cellStyle name="Normal 3 3 2" xfId="1092"/>
    <cellStyle name="Normal 3 3 2 2" xfId="3418"/>
    <cellStyle name="Normal 3 3 3" xfId="2747"/>
    <cellStyle name="Normal 3 3 3 2" xfId="5709"/>
    <cellStyle name="Normal 3 4" xfId="640"/>
    <cellStyle name="Normal 3 4 2" xfId="3420"/>
    <cellStyle name="Normal 3 4 3" xfId="3419"/>
    <cellStyle name="Normal 3 4 4" xfId="2748"/>
    <cellStyle name="Normal 3 4 4 2" xfId="5710"/>
    <cellStyle name="Normal 3 5" xfId="836"/>
    <cellStyle name="Normal 3 5 2" xfId="4926"/>
    <cellStyle name="Normal 3 6" xfId="1291"/>
    <cellStyle name="Normal 3 6 2" xfId="5097"/>
    <cellStyle name="Normal 3 7" xfId="382"/>
    <cellStyle name="Normal 3 7 2" xfId="4678"/>
    <cellStyle name="Normal 3 8" xfId="2749"/>
    <cellStyle name="Normal 3 8 2" xfId="5711"/>
    <cellStyle name="Normal 3 9" xfId="2750"/>
    <cellStyle name="Normal 3 9 2" xfId="5712"/>
    <cellStyle name="Normal 30" xfId="2751"/>
    <cellStyle name="Normal 30 2" xfId="2752"/>
    <cellStyle name="Normal 30 2 2" xfId="5714"/>
    <cellStyle name="Normal 30 3" xfId="5713"/>
    <cellStyle name="Normal 31" xfId="2753"/>
    <cellStyle name="Normal 31 2" xfId="2754"/>
    <cellStyle name="Normal 31 2 2" xfId="5716"/>
    <cellStyle name="Normal 31 3" xfId="5715"/>
    <cellStyle name="Normal 32" xfId="2755"/>
    <cellStyle name="Normal 32 2" xfId="2756"/>
    <cellStyle name="Normal 32 2 2" xfId="5718"/>
    <cellStyle name="Normal 32 3" xfId="5717"/>
    <cellStyle name="Normal 33" xfId="2757"/>
    <cellStyle name="Normal 33 2" xfId="2758"/>
    <cellStyle name="Normal 33 2 2" xfId="5720"/>
    <cellStyle name="Normal 33 3" xfId="5719"/>
    <cellStyle name="Normal 34" xfId="2759"/>
    <cellStyle name="Normal 34 2" xfId="2760"/>
    <cellStyle name="Normal 34 2 2" xfId="5722"/>
    <cellStyle name="Normal 34 3" xfId="5721"/>
    <cellStyle name="Normal 35" xfId="2761"/>
    <cellStyle name="Normal 35 2" xfId="2762"/>
    <cellStyle name="Normal 35 2 2" xfId="5724"/>
    <cellStyle name="Normal 35 3" xfId="5723"/>
    <cellStyle name="Normal 36" xfId="420"/>
    <cellStyle name="Normal 36 2" xfId="2764"/>
    <cellStyle name="Normal 36 2 2" xfId="5726"/>
    <cellStyle name="Normal 36 3" xfId="3421"/>
    <cellStyle name="Normal 36 4" xfId="2763"/>
    <cellStyle name="Normal 36 4 2" xfId="5725"/>
    <cellStyle name="Normal 37" xfId="2765"/>
    <cellStyle name="Normal 37 2" xfId="2766"/>
    <cellStyle name="Normal 37 2 2" xfId="5728"/>
    <cellStyle name="Normal 37 3" xfId="5727"/>
    <cellStyle name="Normal 38" xfId="2767"/>
    <cellStyle name="Normal 38 2" xfId="2768"/>
    <cellStyle name="Normal 38 2 2" xfId="5730"/>
    <cellStyle name="Normal 38 3" xfId="5729"/>
    <cellStyle name="Normal 39" xfId="2769"/>
    <cellStyle name="Normal 39 2" xfId="2770"/>
    <cellStyle name="Normal 39 2 2" xfId="5732"/>
    <cellStyle name="Normal 39 3" xfId="5731"/>
    <cellStyle name="Normal 4" xfId="22"/>
    <cellStyle name="Normal 4 10" xfId="2772"/>
    <cellStyle name="Normal 4 10 2" xfId="3422"/>
    <cellStyle name="Normal 4 10 3" xfId="5733"/>
    <cellStyle name="Normal 4 11" xfId="2773"/>
    <cellStyle name="Normal 4 11 2" xfId="5734"/>
    <cellStyle name="Normal 4 12" xfId="2774"/>
    <cellStyle name="Normal 4 12 2" xfId="5735"/>
    <cellStyle name="Normal 4 13" xfId="2775"/>
    <cellStyle name="Normal 4 13 2" xfId="5736"/>
    <cellStyle name="Normal 4 14" xfId="2776"/>
    <cellStyle name="Normal 4 14 2" xfId="5737"/>
    <cellStyle name="Normal 4 15" xfId="2777"/>
    <cellStyle name="Normal 4 15 2" xfId="5738"/>
    <cellStyle name="Normal 4 16" xfId="2778"/>
    <cellStyle name="Normal 4 16 2" xfId="5739"/>
    <cellStyle name="Normal 4 17" xfId="2779"/>
    <cellStyle name="Normal 4 17 2" xfId="5740"/>
    <cellStyle name="Normal 4 18" xfId="2780"/>
    <cellStyle name="Normal 4 18 2" xfId="5741"/>
    <cellStyle name="Normal 4 19" xfId="2781"/>
    <cellStyle name="Normal 4 19 10" xfId="33842"/>
    <cellStyle name="Normal 4 19 11" xfId="37874"/>
    <cellStyle name="Normal 4 19 12" xfId="41906"/>
    <cellStyle name="Normal 4 19 13" xfId="45938"/>
    <cellStyle name="Normal 4 19 14" xfId="50016"/>
    <cellStyle name="Normal 4 19 2" xfId="5742"/>
    <cellStyle name="Normal 4 19 2 10" xfId="38825"/>
    <cellStyle name="Normal 4 19 2 11" xfId="42857"/>
    <cellStyle name="Normal 4 19 2 12" xfId="46889"/>
    <cellStyle name="Normal 4 19 2 13" xfId="50968"/>
    <cellStyle name="Normal 4 19 2 2" xfId="8583"/>
    <cellStyle name="Normal 4 19 2 2 10" xfId="44873"/>
    <cellStyle name="Normal 4 19 2 2 11" xfId="48905"/>
    <cellStyle name="Normal 4 19 2 2 12" xfId="52984"/>
    <cellStyle name="Normal 4 19 2 2 2" xfId="12617"/>
    <cellStyle name="Normal 4 19 2 2 3" xfId="16649"/>
    <cellStyle name="Normal 4 19 2 2 4" xfId="20681"/>
    <cellStyle name="Normal 4 19 2 2 5" xfId="24713"/>
    <cellStyle name="Normal 4 19 2 2 6" xfId="28745"/>
    <cellStyle name="Normal 4 19 2 2 7" xfId="32777"/>
    <cellStyle name="Normal 4 19 2 2 8" xfId="36809"/>
    <cellStyle name="Normal 4 19 2 2 9" xfId="40841"/>
    <cellStyle name="Normal 4 19 2 3" xfId="10601"/>
    <cellStyle name="Normal 4 19 2 4" xfId="14633"/>
    <cellStyle name="Normal 4 19 2 5" xfId="18665"/>
    <cellStyle name="Normal 4 19 2 6" xfId="22697"/>
    <cellStyle name="Normal 4 19 2 7" xfId="26729"/>
    <cellStyle name="Normal 4 19 2 8" xfId="30761"/>
    <cellStyle name="Normal 4 19 2 9" xfId="34793"/>
    <cellStyle name="Normal 4 19 3" xfId="7632"/>
    <cellStyle name="Normal 4 19 3 10" xfId="43922"/>
    <cellStyle name="Normal 4 19 3 11" xfId="47954"/>
    <cellStyle name="Normal 4 19 3 12" xfId="52033"/>
    <cellStyle name="Normal 4 19 3 2" xfId="11666"/>
    <cellStyle name="Normal 4 19 3 3" xfId="15698"/>
    <cellStyle name="Normal 4 19 3 4" xfId="19730"/>
    <cellStyle name="Normal 4 19 3 5" xfId="23762"/>
    <cellStyle name="Normal 4 19 3 6" xfId="27794"/>
    <cellStyle name="Normal 4 19 3 7" xfId="31826"/>
    <cellStyle name="Normal 4 19 3 8" xfId="35858"/>
    <cellStyle name="Normal 4 19 3 9" xfId="39890"/>
    <cellStyle name="Normal 4 19 4" xfId="9650"/>
    <cellStyle name="Normal 4 19 5" xfId="13682"/>
    <cellStyle name="Normal 4 19 6" xfId="17714"/>
    <cellStyle name="Normal 4 19 7" xfId="21746"/>
    <cellStyle name="Normal 4 19 8" xfId="25778"/>
    <cellStyle name="Normal 4 19 9" xfId="29810"/>
    <cellStyle name="Normal 4 2" xfId="643"/>
    <cellStyle name="Normal 4 2 10" xfId="25491"/>
    <cellStyle name="Normal 4 2 11" xfId="29523"/>
    <cellStyle name="Normal 4 2 12" xfId="33555"/>
    <cellStyle name="Normal 4 2 13" xfId="37587"/>
    <cellStyle name="Normal 4 2 14" xfId="41619"/>
    <cellStyle name="Normal 4 2 15" xfId="45651"/>
    <cellStyle name="Normal 4 2 16" xfId="49729"/>
    <cellStyle name="Normal 4 2 2" xfId="3423"/>
    <cellStyle name="Normal 4 2 3" xfId="2782"/>
    <cellStyle name="Normal 4 2 3 2" xfId="5743"/>
    <cellStyle name="Normal 4 2 4" xfId="4765"/>
    <cellStyle name="Normal 4 2 4 10" xfId="38552"/>
    <cellStyle name="Normal 4 2 4 11" xfId="42584"/>
    <cellStyle name="Normal 4 2 4 12" xfId="46616"/>
    <cellStyle name="Normal 4 2 4 13" xfId="50695"/>
    <cellStyle name="Normal 4 2 4 2" xfId="8310"/>
    <cellStyle name="Normal 4 2 4 2 10" xfId="44600"/>
    <cellStyle name="Normal 4 2 4 2 11" xfId="48632"/>
    <cellStyle name="Normal 4 2 4 2 12" xfId="52711"/>
    <cellStyle name="Normal 4 2 4 2 2" xfId="12344"/>
    <cellStyle name="Normal 4 2 4 2 3" xfId="16376"/>
    <cellStyle name="Normal 4 2 4 2 4" xfId="20408"/>
    <cellStyle name="Normal 4 2 4 2 5" xfId="24440"/>
    <cellStyle name="Normal 4 2 4 2 6" xfId="28472"/>
    <cellStyle name="Normal 4 2 4 2 7" xfId="32504"/>
    <cellStyle name="Normal 4 2 4 2 8" xfId="36536"/>
    <cellStyle name="Normal 4 2 4 2 9" xfId="40568"/>
    <cellStyle name="Normal 4 2 4 3" xfId="10328"/>
    <cellStyle name="Normal 4 2 4 4" xfId="14360"/>
    <cellStyle name="Normal 4 2 4 5" xfId="18392"/>
    <cellStyle name="Normal 4 2 4 6" xfId="22424"/>
    <cellStyle name="Normal 4 2 4 7" xfId="26456"/>
    <cellStyle name="Normal 4 2 4 8" xfId="30488"/>
    <cellStyle name="Normal 4 2 4 9" xfId="34520"/>
    <cellStyle name="Normal 4 2 5" xfId="7345"/>
    <cellStyle name="Normal 4 2 5 10" xfId="43635"/>
    <cellStyle name="Normal 4 2 5 11" xfId="47667"/>
    <cellStyle name="Normal 4 2 5 12" xfId="51746"/>
    <cellStyle name="Normal 4 2 5 2" xfId="11379"/>
    <cellStyle name="Normal 4 2 5 3" xfId="15411"/>
    <cellStyle name="Normal 4 2 5 4" xfId="19443"/>
    <cellStyle name="Normal 4 2 5 5" xfId="23475"/>
    <cellStyle name="Normal 4 2 5 6" xfId="27507"/>
    <cellStyle name="Normal 4 2 5 7" xfId="31539"/>
    <cellStyle name="Normal 4 2 5 8" xfId="35571"/>
    <cellStyle name="Normal 4 2 5 9" xfId="39603"/>
    <cellStyle name="Normal 4 2 6" xfId="9363"/>
    <cellStyle name="Normal 4 2 7" xfId="13395"/>
    <cellStyle name="Normal 4 2 8" xfId="17427"/>
    <cellStyle name="Normal 4 2 9" xfId="21459"/>
    <cellStyle name="Normal 4 20" xfId="2771"/>
    <cellStyle name="Normal 4 21" xfId="49440"/>
    <cellStyle name="Normal 4 3" xfId="879"/>
    <cellStyle name="Normal 4 3 2" xfId="3424"/>
    <cellStyle name="Normal 4 3 3" xfId="2783"/>
    <cellStyle name="Normal 4 3 3 2" xfId="5744"/>
    <cellStyle name="Normal 4 4" xfId="1093"/>
    <cellStyle name="Normal 4 4 2" xfId="5057"/>
    <cellStyle name="Normal 4 5" xfId="1292"/>
    <cellStyle name="Normal 4 5 2" xfId="2784"/>
    <cellStyle name="Normal 4 5 2 2" xfId="5745"/>
    <cellStyle name="Normal 4 5 3" xfId="5098"/>
    <cellStyle name="Normal 4 6" xfId="435"/>
    <cellStyle name="Normal 4 6 2" xfId="2785"/>
    <cellStyle name="Normal 4 6 2 2" xfId="5746"/>
    <cellStyle name="Normal 4 6 3" xfId="4687"/>
    <cellStyle name="Normal 4 7" xfId="2786"/>
    <cellStyle name="Normal 4 7 2" xfId="5747"/>
    <cellStyle name="Normal 4 8" xfId="2787"/>
    <cellStyle name="Normal 4 8 2" xfId="5748"/>
    <cellStyle name="Normal 4 9" xfId="2788"/>
    <cellStyle name="Normal 4 9 2" xfId="5749"/>
    <cellStyle name="Normal 40" xfId="2789"/>
    <cellStyle name="Normal 40 2" xfId="2790"/>
    <cellStyle name="Normal 40 2 2" xfId="5751"/>
    <cellStyle name="Normal 40 3" xfId="5750"/>
    <cellStyle name="Normal 41" xfId="2791"/>
    <cellStyle name="Normal 41 2" xfId="2792"/>
    <cellStyle name="Normal 41 2 2" xfId="5753"/>
    <cellStyle name="Normal 41 3" xfId="5752"/>
    <cellStyle name="Normal 42" xfId="2793"/>
    <cellStyle name="Normal 42 2" xfId="2794"/>
    <cellStyle name="Normal 42 2 2" xfId="5755"/>
    <cellStyle name="Normal 42 3" xfId="5754"/>
    <cellStyle name="Normal 43" xfId="2795"/>
    <cellStyle name="Normal 43 2" xfId="5756"/>
    <cellStyle name="Normal 44" xfId="2796"/>
    <cellStyle name="Normal 44 2" xfId="5757"/>
    <cellStyle name="Normal 45" xfId="2797"/>
    <cellStyle name="Normal 45 2" xfId="5758"/>
    <cellStyle name="Normal 46" xfId="2798"/>
    <cellStyle name="Normal 46 2" xfId="2799"/>
    <cellStyle name="Normal 46 2 2" xfId="5760"/>
    <cellStyle name="Normal 46 3" xfId="3426"/>
    <cellStyle name="Normal 46 4" xfId="3425"/>
    <cellStyle name="Normal 46 5" xfId="5759"/>
    <cellStyle name="Normal 47" xfId="2800"/>
    <cellStyle name="Normal 47 2" xfId="2801"/>
    <cellStyle name="Normal 47 2 2" xfId="5762"/>
    <cellStyle name="Normal 47 3" xfId="5761"/>
    <cellStyle name="Normal 48" xfId="2802"/>
    <cellStyle name="Normal 48 2" xfId="2803"/>
    <cellStyle name="Normal 48 2 2" xfId="5764"/>
    <cellStyle name="Normal 48 3" xfId="5763"/>
    <cellStyle name="Normal 49" xfId="2804"/>
    <cellStyle name="Normal 49 2" xfId="5765"/>
    <cellStyle name="Normal 5" xfId="23"/>
    <cellStyle name="Normal 5 2" xfId="1095"/>
    <cellStyle name="Normal 5 2 2" xfId="3427"/>
    <cellStyle name="Normal 5 2 2 10" xfId="33867"/>
    <cellStyle name="Normal 5 2 2 11" xfId="37899"/>
    <cellStyle name="Normal 5 2 2 12" xfId="41931"/>
    <cellStyle name="Normal 5 2 2 13" xfId="45963"/>
    <cellStyle name="Normal 5 2 2 14" xfId="50041"/>
    <cellStyle name="Normal 5 2 2 2" xfId="6116"/>
    <cellStyle name="Normal 5 2 2 2 10" xfId="38850"/>
    <cellStyle name="Normal 5 2 2 2 11" xfId="42882"/>
    <cellStyle name="Normal 5 2 2 2 12" xfId="46914"/>
    <cellStyle name="Normal 5 2 2 2 13" xfId="50993"/>
    <cellStyle name="Normal 5 2 2 2 2" xfId="8608"/>
    <cellStyle name="Normal 5 2 2 2 2 10" xfId="44898"/>
    <cellStyle name="Normal 5 2 2 2 2 11" xfId="48930"/>
    <cellStyle name="Normal 5 2 2 2 2 12" xfId="53009"/>
    <cellStyle name="Normal 5 2 2 2 2 2" xfId="12642"/>
    <cellStyle name="Normal 5 2 2 2 2 3" xfId="16674"/>
    <cellStyle name="Normal 5 2 2 2 2 4" xfId="20706"/>
    <cellStyle name="Normal 5 2 2 2 2 5" xfId="24738"/>
    <cellStyle name="Normal 5 2 2 2 2 6" xfId="28770"/>
    <cellStyle name="Normal 5 2 2 2 2 7" xfId="32802"/>
    <cellStyle name="Normal 5 2 2 2 2 8" xfId="36834"/>
    <cellStyle name="Normal 5 2 2 2 2 9" xfId="40866"/>
    <cellStyle name="Normal 5 2 2 2 3" xfId="10626"/>
    <cellStyle name="Normal 5 2 2 2 4" xfId="14658"/>
    <cellStyle name="Normal 5 2 2 2 5" xfId="18690"/>
    <cellStyle name="Normal 5 2 2 2 6" xfId="22722"/>
    <cellStyle name="Normal 5 2 2 2 7" xfId="26754"/>
    <cellStyle name="Normal 5 2 2 2 8" xfId="30786"/>
    <cellStyle name="Normal 5 2 2 2 9" xfId="34818"/>
    <cellStyle name="Normal 5 2 2 3" xfId="7657"/>
    <cellStyle name="Normal 5 2 2 3 10" xfId="43947"/>
    <cellStyle name="Normal 5 2 2 3 11" xfId="47979"/>
    <cellStyle name="Normal 5 2 2 3 12" xfId="52058"/>
    <cellStyle name="Normal 5 2 2 3 2" xfId="11691"/>
    <cellStyle name="Normal 5 2 2 3 3" xfId="15723"/>
    <cellStyle name="Normal 5 2 2 3 4" xfId="19755"/>
    <cellStyle name="Normal 5 2 2 3 5" xfId="23787"/>
    <cellStyle name="Normal 5 2 2 3 6" xfId="27819"/>
    <cellStyle name="Normal 5 2 2 3 7" xfId="31851"/>
    <cellStyle name="Normal 5 2 2 3 8" xfId="35883"/>
    <cellStyle name="Normal 5 2 2 3 9" xfId="39915"/>
    <cellStyle name="Normal 5 2 2 4" xfId="9675"/>
    <cellStyle name="Normal 5 2 2 5" xfId="13707"/>
    <cellStyle name="Normal 5 2 2 6" xfId="17739"/>
    <cellStyle name="Normal 5 2 2 7" xfId="21771"/>
    <cellStyle name="Normal 5 2 2 8" xfId="25803"/>
    <cellStyle name="Normal 5 2 2 9" xfId="29835"/>
    <cellStyle name="Normal 5 2 3" xfId="5059"/>
    <cellStyle name="Normal 5 3" xfId="1094"/>
    <cellStyle name="Normal 5 3 2" xfId="5058"/>
    <cellStyle name="Normal 5 4" xfId="1293"/>
    <cellStyle name="Normal 5 4 2" xfId="1294"/>
    <cellStyle name="Normal 5 4 2 2" xfId="5099"/>
    <cellStyle name="Normal 5 5" xfId="832"/>
    <cellStyle name="Normal 5 6" xfId="2805"/>
    <cellStyle name="Normal 50" xfId="2806"/>
    <cellStyle name="Normal 50 2" xfId="2807"/>
    <cellStyle name="Normal 50 2 2" xfId="5767"/>
    <cellStyle name="Normal 50 3" xfId="5766"/>
    <cellStyle name="Normal 51" xfId="2808"/>
    <cellStyle name="Normal 51 2" xfId="5768"/>
    <cellStyle name="Normal 52" xfId="2809"/>
    <cellStyle name="Normal 52 2" xfId="2810"/>
    <cellStyle name="Normal 52 2 2" xfId="5770"/>
    <cellStyle name="Normal 52 3" xfId="5769"/>
    <cellStyle name="Normal 53" xfId="2811"/>
    <cellStyle name="Normal 53 2" xfId="5771"/>
    <cellStyle name="Normal 54" xfId="2812"/>
    <cellStyle name="Normal 54 2" xfId="5772"/>
    <cellStyle name="Normal 55" xfId="2813"/>
    <cellStyle name="Normal 55 2" xfId="5773"/>
    <cellStyle name="Normal 56" xfId="2814"/>
    <cellStyle name="Normal 56 2" xfId="2815"/>
    <cellStyle name="Normal 56 2 2" xfId="5775"/>
    <cellStyle name="Normal 56 3" xfId="5774"/>
    <cellStyle name="Normal 57" xfId="2816"/>
    <cellStyle name="Normal 57 2" xfId="2817"/>
    <cellStyle name="Normal 57 2 2" xfId="5777"/>
    <cellStyle name="Normal 57 3" xfId="5776"/>
    <cellStyle name="Normal 58" xfId="2818"/>
    <cellStyle name="Normal 58 2" xfId="5778"/>
    <cellStyle name="Normal 59" xfId="2819"/>
    <cellStyle name="Normal 59 2" xfId="5779"/>
    <cellStyle name="Normal 6" xfId="24"/>
    <cellStyle name="Normal 6 2" xfId="1245"/>
    <cellStyle name="Normal 6 2 10" xfId="25514"/>
    <cellStyle name="Normal 6 2 11" xfId="29546"/>
    <cellStyle name="Normal 6 2 12" xfId="33578"/>
    <cellStyle name="Normal 6 2 13" xfId="37610"/>
    <cellStyle name="Normal 6 2 14" xfId="41642"/>
    <cellStyle name="Normal 6 2 15" xfId="45674"/>
    <cellStyle name="Normal 6 2 16" xfId="49752"/>
    <cellStyle name="Normal 6 2 2" xfId="3428"/>
    <cellStyle name="Normal 6 2 3" xfId="2821"/>
    <cellStyle name="Normal 6 2 3 2" xfId="5780"/>
    <cellStyle name="Normal 6 2 4" xfId="5067"/>
    <cellStyle name="Normal 6 2 4 10" xfId="38574"/>
    <cellStyle name="Normal 6 2 4 11" xfId="42606"/>
    <cellStyle name="Normal 6 2 4 12" xfId="46638"/>
    <cellStyle name="Normal 6 2 4 13" xfId="50717"/>
    <cellStyle name="Normal 6 2 4 2" xfId="8332"/>
    <cellStyle name="Normal 6 2 4 2 10" xfId="44622"/>
    <cellStyle name="Normal 6 2 4 2 11" xfId="48654"/>
    <cellStyle name="Normal 6 2 4 2 12" xfId="52733"/>
    <cellStyle name="Normal 6 2 4 2 2" xfId="12366"/>
    <cellStyle name="Normal 6 2 4 2 3" xfId="16398"/>
    <cellStyle name="Normal 6 2 4 2 4" xfId="20430"/>
    <cellStyle name="Normal 6 2 4 2 5" xfId="24462"/>
    <cellStyle name="Normal 6 2 4 2 6" xfId="28494"/>
    <cellStyle name="Normal 6 2 4 2 7" xfId="32526"/>
    <cellStyle name="Normal 6 2 4 2 8" xfId="36558"/>
    <cellStyle name="Normal 6 2 4 2 9" xfId="40590"/>
    <cellStyle name="Normal 6 2 4 3" xfId="10350"/>
    <cellStyle name="Normal 6 2 4 4" xfId="14382"/>
    <cellStyle name="Normal 6 2 4 5" xfId="18414"/>
    <cellStyle name="Normal 6 2 4 6" xfId="22446"/>
    <cellStyle name="Normal 6 2 4 7" xfId="26478"/>
    <cellStyle name="Normal 6 2 4 8" xfId="30510"/>
    <cellStyle name="Normal 6 2 4 9" xfId="34542"/>
    <cellStyle name="Normal 6 2 5" xfId="7368"/>
    <cellStyle name="Normal 6 2 5 10" xfId="43658"/>
    <cellStyle name="Normal 6 2 5 11" xfId="47690"/>
    <cellStyle name="Normal 6 2 5 12" xfId="51769"/>
    <cellStyle name="Normal 6 2 5 2" xfId="11402"/>
    <cellStyle name="Normal 6 2 5 3" xfId="15434"/>
    <cellStyle name="Normal 6 2 5 4" xfId="19466"/>
    <cellStyle name="Normal 6 2 5 5" xfId="23498"/>
    <cellStyle name="Normal 6 2 5 6" xfId="27530"/>
    <cellStyle name="Normal 6 2 5 7" xfId="31562"/>
    <cellStyle name="Normal 6 2 5 8" xfId="35594"/>
    <cellStyle name="Normal 6 2 5 9" xfId="39626"/>
    <cellStyle name="Normal 6 2 6" xfId="9386"/>
    <cellStyle name="Normal 6 2 7" xfId="13418"/>
    <cellStyle name="Normal 6 2 8" xfId="17450"/>
    <cellStyle name="Normal 6 2 9" xfId="21482"/>
    <cellStyle name="Normal 6 3" xfId="1124"/>
    <cellStyle name="Normal 6 3 2" xfId="5065"/>
    <cellStyle name="Normal 6 4" xfId="644"/>
    <cellStyle name="Normal 6 4 10" xfId="33556"/>
    <cellStyle name="Normal 6 4 11" xfId="37588"/>
    <cellStyle name="Normal 6 4 12" xfId="41620"/>
    <cellStyle name="Normal 6 4 13" xfId="45652"/>
    <cellStyle name="Normal 6 4 14" xfId="49730"/>
    <cellStyle name="Normal 6 4 2" xfId="4766"/>
    <cellStyle name="Normal 6 4 2 10" xfId="38553"/>
    <cellStyle name="Normal 6 4 2 11" xfId="42585"/>
    <cellStyle name="Normal 6 4 2 12" xfId="46617"/>
    <cellStyle name="Normal 6 4 2 13" xfId="50696"/>
    <cellStyle name="Normal 6 4 2 2" xfId="8311"/>
    <cellStyle name="Normal 6 4 2 2 10" xfId="44601"/>
    <cellStyle name="Normal 6 4 2 2 11" xfId="48633"/>
    <cellStyle name="Normal 6 4 2 2 12" xfId="52712"/>
    <cellStyle name="Normal 6 4 2 2 2" xfId="12345"/>
    <cellStyle name="Normal 6 4 2 2 3" xfId="16377"/>
    <cellStyle name="Normal 6 4 2 2 4" xfId="20409"/>
    <cellStyle name="Normal 6 4 2 2 5" xfId="24441"/>
    <cellStyle name="Normal 6 4 2 2 6" xfId="28473"/>
    <cellStyle name="Normal 6 4 2 2 7" xfId="32505"/>
    <cellStyle name="Normal 6 4 2 2 8" xfId="36537"/>
    <cellStyle name="Normal 6 4 2 2 9" xfId="40569"/>
    <cellStyle name="Normal 6 4 2 3" xfId="10329"/>
    <cellStyle name="Normal 6 4 2 4" xfId="14361"/>
    <cellStyle name="Normal 6 4 2 5" xfId="18393"/>
    <cellStyle name="Normal 6 4 2 6" xfId="22425"/>
    <cellStyle name="Normal 6 4 2 7" xfId="26457"/>
    <cellStyle name="Normal 6 4 2 8" xfId="30489"/>
    <cellStyle name="Normal 6 4 2 9" xfId="34521"/>
    <cellStyle name="Normal 6 4 3" xfId="7346"/>
    <cellStyle name="Normal 6 4 3 10" xfId="43636"/>
    <cellStyle name="Normal 6 4 3 11" xfId="47668"/>
    <cellStyle name="Normal 6 4 3 12" xfId="51747"/>
    <cellStyle name="Normal 6 4 3 2" xfId="11380"/>
    <cellStyle name="Normal 6 4 3 3" xfId="15412"/>
    <cellStyle name="Normal 6 4 3 4" xfId="19444"/>
    <cellStyle name="Normal 6 4 3 5" xfId="23476"/>
    <cellStyle name="Normal 6 4 3 6" xfId="27508"/>
    <cellStyle name="Normal 6 4 3 7" xfId="31540"/>
    <cellStyle name="Normal 6 4 3 8" xfId="35572"/>
    <cellStyle name="Normal 6 4 3 9" xfId="39604"/>
    <cellStyle name="Normal 6 4 4" xfId="9364"/>
    <cellStyle name="Normal 6 4 5" xfId="13396"/>
    <cellStyle name="Normal 6 4 6" xfId="17428"/>
    <cellStyle name="Normal 6 4 7" xfId="21460"/>
    <cellStyle name="Normal 6 4 8" xfId="25492"/>
    <cellStyle name="Normal 6 4 9" xfId="29524"/>
    <cellStyle name="Normal 6 5" xfId="2820"/>
    <cellStyle name="Normal 6 6" xfId="49441"/>
    <cellStyle name="Normal 60" xfId="2822"/>
    <cellStyle name="Normal 60 2" xfId="3430"/>
    <cellStyle name="Normal 60 3" xfId="3429"/>
    <cellStyle name="Normal 60 4" xfId="5781"/>
    <cellStyle name="Normal 61" xfId="2823"/>
    <cellStyle name="Normal 61 2" xfId="5782"/>
    <cellStyle name="Normal 62" xfId="2824"/>
    <cellStyle name="Normal 62 2" xfId="5783"/>
    <cellStyle name="Normal 63" xfId="2825"/>
    <cellStyle name="Normal 63 2" xfId="5784"/>
    <cellStyle name="Normal 64" xfId="2826"/>
    <cellStyle name="Normal 64 2" xfId="5785"/>
    <cellStyle name="Normal 65" xfId="2827"/>
    <cellStyle name="Normal 65 2" xfId="5786"/>
    <cellStyle name="Normal 66" xfId="2828"/>
    <cellStyle name="Normal 66 2" xfId="5787"/>
    <cellStyle name="Normal 67" xfId="2829"/>
    <cellStyle name="Normal 67 2" xfId="5788"/>
    <cellStyle name="Normal 68" xfId="2830"/>
    <cellStyle name="Normal 68 2" xfId="5789"/>
    <cellStyle name="Normal 69" xfId="2831"/>
    <cellStyle name="Normal 69 2" xfId="5790"/>
    <cellStyle name="Normal 7" xfId="25"/>
    <cellStyle name="Normal 7 2" xfId="1295"/>
    <cellStyle name="Normal 7 2 2" xfId="2833"/>
    <cellStyle name="Normal 7 2 2 2" xfId="5791"/>
    <cellStyle name="Normal 7 3" xfId="1296"/>
    <cellStyle name="Normal 7 3 10" xfId="21484"/>
    <cellStyle name="Normal 7 3 11" xfId="25516"/>
    <cellStyle name="Normal 7 3 12" xfId="29548"/>
    <cellStyle name="Normal 7 3 13" xfId="33580"/>
    <cellStyle name="Normal 7 3 14" xfId="37612"/>
    <cellStyle name="Normal 7 3 15" xfId="41644"/>
    <cellStyle name="Normal 7 3 16" xfId="45676"/>
    <cellStyle name="Normal 7 3 17" xfId="49754"/>
    <cellStyle name="Normal 7 3 2" xfId="3432"/>
    <cellStyle name="Normal 7 3 3" xfId="3431"/>
    <cellStyle name="Normal 7 3 4" xfId="2834"/>
    <cellStyle name="Normal 7 3 4 2" xfId="5792"/>
    <cellStyle name="Normal 7 3 5" xfId="5100"/>
    <cellStyle name="Normal 7 3 5 10" xfId="38576"/>
    <cellStyle name="Normal 7 3 5 11" xfId="42608"/>
    <cellStyle name="Normal 7 3 5 12" xfId="46640"/>
    <cellStyle name="Normal 7 3 5 13" xfId="50719"/>
    <cellStyle name="Normal 7 3 5 2" xfId="8334"/>
    <cellStyle name="Normal 7 3 5 2 10" xfId="44624"/>
    <cellStyle name="Normal 7 3 5 2 11" xfId="48656"/>
    <cellStyle name="Normal 7 3 5 2 12" xfId="52735"/>
    <cellStyle name="Normal 7 3 5 2 2" xfId="12368"/>
    <cellStyle name="Normal 7 3 5 2 3" xfId="16400"/>
    <cellStyle name="Normal 7 3 5 2 4" xfId="20432"/>
    <cellStyle name="Normal 7 3 5 2 5" xfId="24464"/>
    <cellStyle name="Normal 7 3 5 2 6" xfId="28496"/>
    <cellStyle name="Normal 7 3 5 2 7" xfId="32528"/>
    <cellStyle name="Normal 7 3 5 2 8" xfId="36560"/>
    <cellStyle name="Normal 7 3 5 2 9" xfId="40592"/>
    <cellStyle name="Normal 7 3 5 3" xfId="10352"/>
    <cellStyle name="Normal 7 3 5 4" xfId="14384"/>
    <cellStyle name="Normal 7 3 5 5" xfId="18416"/>
    <cellStyle name="Normal 7 3 5 6" xfId="22448"/>
    <cellStyle name="Normal 7 3 5 7" xfId="26480"/>
    <cellStyle name="Normal 7 3 5 8" xfId="30512"/>
    <cellStyle name="Normal 7 3 5 9" xfId="34544"/>
    <cellStyle name="Normal 7 3 6" xfId="7370"/>
    <cellStyle name="Normal 7 3 6 10" xfId="43660"/>
    <cellStyle name="Normal 7 3 6 11" xfId="47692"/>
    <cellStyle name="Normal 7 3 6 12" xfId="51771"/>
    <cellStyle name="Normal 7 3 6 2" xfId="11404"/>
    <cellStyle name="Normal 7 3 6 3" xfId="15436"/>
    <cellStyle name="Normal 7 3 6 4" xfId="19468"/>
    <cellStyle name="Normal 7 3 6 5" xfId="23500"/>
    <cellStyle name="Normal 7 3 6 6" xfId="27532"/>
    <cellStyle name="Normal 7 3 6 7" xfId="31564"/>
    <cellStyle name="Normal 7 3 6 8" xfId="35596"/>
    <cellStyle name="Normal 7 3 6 9" xfId="39628"/>
    <cellStyle name="Normal 7 3 7" xfId="9388"/>
    <cellStyle name="Normal 7 3 8" xfId="13420"/>
    <cellStyle name="Normal 7 3 9" xfId="17452"/>
    <cellStyle name="Normal 7 4" xfId="1247"/>
    <cellStyle name="Normal 7 4 10" xfId="33579"/>
    <cellStyle name="Normal 7 4 11" xfId="37611"/>
    <cellStyle name="Normal 7 4 12" xfId="41643"/>
    <cellStyle name="Normal 7 4 13" xfId="45675"/>
    <cellStyle name="Normal 7 4 14" xfId="49753"/>
    <cellStyle name="Normal 7 4 2" xfId="5069"/>
    <cellStyle name="Normal 7 4 2 10" xfId="38575"/>
    <cellStyle name="Normal 7 4 2 11" xfId="42607"/>
    <cellStyle name="Normal 7 4 2 12" xfId="46639"/>
    <cellStyle name="Normal 7 4 2 13" xfId="50718"/>
    <cellStyle name="Normal 7 4 2 2" xfId="8333"/>
    <cellStyle name="Normal 7 4 2 2 10" xfId="44623"/>
    <cellStyle name="Normal 7 4 2 2 11" xfId="48655"/>
    <cellStyle name="Normal 7 4 2 2 12" xfId="52734"/>
    <cellStyle name="Normal 7 4 2 2 2" xfId="12367"/>
    <cellStyle name="Normal 7 4 2 2 3" xfId="16399"/>
    <cellStyle name="Normal 7 4 2 2 4" xfId="20431"/>
    <cellStyle name="Normal 7 4 2 2 5" xfId="24463"/>
    <cellStyle name="Normal 7 4 2 2 6" xfId="28495"/>
    <cellStyle name="Normal 7 4 2 2 7" xfId="32527"/>
    <cellStyle name="Normal 7 4 2 2 8" xfId="36559"/>
    <cellStyle name="Normal 7 4 2 2 9" xfId="40591"/>
    <cellStyle name="Normal 7 4 2 3" xfId="10351"/>
    <cellStyle name="Normal 7 4 2 4" xfId="14383"/>
    <cellStyle name="Normal 7 4 2 5" xfId="18415"/>
    <cellStyle name="Normal 7 4 2 6" xfId="22447"/>
    <cellStyle name="Normal 7 4 2 7" xfId="26479"/>
    <cellStyle name="Normal 7 4 2 8" xfId="30511"/>
    <cellStyle name="Normal 7 4 2 9" xfId="34543"/>
    <cellStyle name="Normal 7 4 3" xfId="7369"/>
    <cellStyle name="Normal 7 4 3 10" xfId="43659"/>
    <cellStyle name="Normal 7 4 3 11" xfId="47691"/>
    <cellStyle name="Normal 7 4 3 12" xfId="51770"/>
    <cellStyle name="Normal 7 4 3 2" xfId="11403"/>
    <cellStyle name="Normal 7 4 3 3" xfId="15435"/>
    <cellStyle name="Normal 7 4 3 4" xfId="19467"/>
    <cellStyle name="Normal 7 4 3 5" xfId="23499"/>
    <cellStyle name="Normal 7 4 3 6" xfId="27531"/>
    <cellStyle name="Normal 7 4 3 7" xfId="31563"/>
    <cellStyle name="Normal 7 4 3 8" xfId="35595"/>
    <cellStyle name="Normal 7 4 3 9" xfId="39627"/>
    <cellStyle name="Normal 7 4 4" xfId="9387"/>
    <cellStyle name="Normal 7 4 5" xfId="13419"/>
    <cellStyle name="Normal 7 4 6" xfId="17451"/>
    <cellStyle name="Normal 7 4 7" xfId="21483"/>
    <cellStyle name="Normal 7 4 8" xfId="25515"/>
    <cellStyle name="Normal 7 4 9" xfId="29547"/>
    <cellStyle name="Normal 7 5" xfId="2832"/>
    <cellStyle name="Normal 70" xfId="2835"/>
    <cellStyle name="Normal 70 2" xfId="5793"/>
    <cellStyle name="Normal 71" xfId="2836"/>
    <cellStyle name="Normal 71 2" xfId="5794"/>
    <cellStyle name="Normal 72" xfId="2837"/>
    <cellStyle name="Normal 72 2" xfId="5795"/>
    <cellStyle name="Normal 73" xfId="2838"/>
    <cellStyle name="Normal 73 2" xfId="5796"/>
    <cellStyle name="Normal 74" xfId="2839"/>
    <cellStyle name="Normal 74 2" xfId="5797"/>
    <cellStyle name="Normal 75" xfId="2840"/>
    <cellStyle name="Normal 75 2" xfId="5798"/>
    <cellStyle name="Normal 76" xfId="2841"/>
    <cellStyle name="Normal 76 2" xfId="5799"/>
    <cellStyle name="Normal 77" xfId="2842"/>
    <cellStyle name="Normal 77 2" xfId="5800"/>
    <cellStyle name="Normal 78" xfId="2843"/>
    <cellStyle name="Normal 78 2" xfId="5801"/>
    <cellStyle name="Normal 79" xfId="2844"/>
    <cellStyle name="Normal 79 2" xfId="5802"/>
    <cellStyle name="Normal 8" xfId="26"/>
    <cellStyle name="Normal 8 2" xfId="1246"/>
    <cellStyle name="Normal 8 2 2" xfId="5068"/>
    <cellStyle name="Normal 80" xfId="2845"/>
    <cellStyle name="Normal 80 2" xfId="5803"/>
    <cellStyle name="Normal 81" xfId="2846"/>
    <cellStyle name="Normal 81 2" xfId="5804"/>
    <cellStyle name="Normal 82" xfId="2847"/>
    <cellStyle name="Normal 82 2" xfId="5805"/>
    <cellStyle name="Normal 83" xfId="2848"/>
    <cellStyle name="Normal 83 2" xfId="5806"/>
    <cellStyle name="Normal 84" xfId="2849"/>
    <cellStyle name="Normal 84 2" xfId="5807"/>
    <cellStyle name="Normal 85" xfId="2850"/>
    <cellStyle name="Normal 85 2" xfId="5808"/>
    <cellStyle name="Normal 86" xfId="2851"/>
    <cellStyle name="Normal 86 2" xfId="5809"/>
    <cellStyle name="Normal 87" xfId="2852"/>
    <cellStyle name="Normal 87 2" xfId="5810"/>
    <cellStyle name="Normal 88" xfId="2853"/>
    <cellStyle name="Normal 88 2" xfId="5811"/>
    <cellStyle name="Normal 89" xfId="2854"/>
    <cellStyle name="Normal 89 2" xfId="5812"/>
    <cellStyle name="Normal 9" xfId="27"/>
    <cellStyle name="Normal 9 2" xfId="1017"/>
    <cellStyle name="Normal 9 2 2" xfId="2856"/>
    <cellStyle name="Normal 9 2 2 2" xfId="5813"/>
    <cellStyle name="Normal 9 3" xfId="2857"/>
    <cellStyle name="Normal 9 3 2" xfId="5814"/>
    <cellStyle name="Normal 9 4" xfId="3433"/>
    <cellStyle name="Normal 9 5" xfId="2855"/>
    <cellStyle name="Normal 90" xfId="2858"/>
    <cellStyle name="Normal 90 2" xfId="5815"/>
    <cellStyle name="Normal 91" xfId="2859"/>
    <cellStyle name="Normal 91 2" xfId="5816"/>
    <cellStyle name="Normal 92" xfId="2860"/>
    <cellStyle name="Normal 92 2" xfId="5817"/>
    <cellStyle name="Normal 93" xfId="2861"/>
    <cellStyle name="Normal 93 2" xfId="5818"/>
    <cellStyle name="Normal 94" xfId="2862"/>
    <cellStyle name="Normal 94 2" xfId="5819"/>
    <cellStyle name="Normal 95" xfId="2863"/>
    <cellStyle name="Normal 95 2" xfId="5820"/>
    <cellStyle name="Normal 96" xfId="2864"/>
    <cellStyle name="Normal 96 2" xfId="5821"/>
    <cellStyle name="Normal 97" xfId="2865"/>
    <cellStyle name="Normal 97 2" xfId="5822"/>
    <cellStyle name="Normal 98" xfId="2866"/>
    <cellStyle name="Normal 98 2" xfId="5823"/>
    <cellStyle name="Normal 99" xfId="2867"/>
    <cellStyle name="Normal 99 2" xfId="5824"/>
    <cellStyle name="Normal_Planilhas Orçamentária_16-10-07" xfId="49420"/>
    <cellStyle name="Nota 10" xfId="2868"/>
    <cellStyle name="Nota 10 10" xfId="21747"/>
    <cellStyle name="Nota 10 11" xfId="25779"/>
    <cellStyle name="Nota 10 12" xfId="29811"/>
    <cellStyle name="Nota 10 13" xfId="33843"/>
    <cellStyle name="Nota 10 14" xfId="37875"/>
    <cellStyle name="Nota 10 15" xfId="41907"/>
    <cellStyle name="Nota 10 16" xfId="45939"/>
    <cellStyle name="Nota 10 17" xfId="50017"/>
    <cellStyle name="Nota 10 2" xfId="2869"/>
    <cellStyle name="Nota 10 2 2" xfId="5826"/>
    <cellStyle name="Nota 10 3" xfId="2870"/>
    <cellStyle name="Nota 10 4" xfId="3434"/>
    <cellStyle name="Nota 10 5" xfId="5825"/>
    <cellStyle name="Nota 10 5 10" xfId="38826"/>
    <cellStyle name="Nota 10 5 11" xfId="42858"/>
    <cellStyle name="Nota 10 5 12" xfId="46890"/>
    <cellStyle name="Nota 10 5 13" xfId="50969"/>
    <cellStyle name="Nota 10 5 2" xfId="8584"/>
    <cellStyle name="Nota 10 5 2 10" xfId="44874"/>
    <cellStyle name="Nota 10 5 2 11" xfId="48906"/>
    <cellStyle name="Nota 10 5 2 12" xfId="52985"/>
    <cellStyle name="Nota 10 5 2 2" xfId="12618"/>
    <cellStyle name="Nota 10 5 2 3" xfId="16650"/>
    <cellStyle name="Nota 10 5 2 4" xfId="20682"/>
    <cellStyle name="Nota 10 5 2 5" xfId="24714"/>
    <cellStyle name="Nota 10 5 2 6" xfId="28746"/>
    <cellStyle name="Nota 10 5 2 7" xfId="32778"/>
    <cellStyle name="Nota 10 5 2 8" xfId="36810"/>
    <cellStyle name="Nota 10 5 2 9" xfId="40842"/>
    <cellStyle name="Nota 10 5 3" xfId="10602"/>
    <cellStyle name="Nota 10 5 4" xfId="14634"/>
    <cellStyle name="Nota 10 5 5" xfId="18666"/>
    <cellStyle name="Nota 10 5 6" xfId="22698"/>
    <cellStyle name="Nota 10 5 7" xfId="26730"/>
    <cellStyle name="Nota 10 5 8" xfId="30762"/>
    <cellStyle name="Nota 10 5 9" xfId="34794"/>
    <cellStyle name="Nota 10 6" xfId="7633"/>
    <cellStyle name="Nota 10 6 10" xfId="43923"/>
    <cellStyle name="Nota 10 6 11" xfId="47955"/>
    <cellStyle name="Nota 10 6 12" xfId="52034"/>
    <cellStyle name="Nota 10 6 2" xfId="11667"/>
    <cellStyle name="Nota 10 6 3" xfId="15699"/>
    <cellStyle name="Nota 10 6 4" xfId="19731"/>
    <cellStyle name="Nota 10 6 5" xfId="23763"/>
    <cellStyle name="Nota 10 6 6" xfId="27795"/>
    <cellStyle name="Nota 10 6 7" xfId="31827"/>
    <cellStyle name="Nota 10 6 8" xfId="35859"/>
    <cellStyle name="Nota 10 6 9" xfId="39891"/>
    <cellStyle name="Nota 10 7" xfId="9651"/>
    <cellStyle name="Nota 10 8" xfId="13683"/>
    <cellStyle name="Nota 10 9" xfId="17715"/>
    <cellStyle name="Nota 11" xfId="2871"/>
    <cellStyle name="Nota 11 10" xfId="21748"/>
    <cellStyle name="Nota 11 11" xfId="25780"/>
    <cellStyle name="Nota 11 12" xfId="29812"/>
    <cellStyle name="Nota 11 13" xfId="33844"/>
    <cellStyle name="Nota 11 14" xfId="37876"/>
    <cellStyle name="Nota 11 15" xfId="41908"/>
    <cellStyle name="Nota 11 16" xfId="45940"/>
    <cellStyle name="Nota 11 17" xfId="50018"/>
    <cellStyle name="Nota 11 2" xfId="2872"/>
    <cellStyle name="Nota 11 2 2" xfId="5828"/>
    <cellStyle name="Nota 11 3" xfId="2873"/>
    <cellStyle name="Nota 11 4" xfId="3435"/>
    <cellStyle name="Nota 11 5" xfId="5827"/>
    <cellStyle name="Nota 11 5 10" xfId="38827"/>
    <cellStyle name="Nota 11 5 11" xfId="42859"/>
    <cellStyle name="Nota 11 5 12" xfId="46891"/>
    <cellStyle name="Nota 11 5 13" xfId="50970"/>
    <cellStyle name="Nota 11 5 2" xfId="8585"/>
    <cellStyle name="Nota 11 5 2 10" xfId="44875"/>
    <cellStyle name="Nota 11 5 2 11" xfId="48907"/>
    <cellStyle name="Nota 11 5 2 12" xfId="52986"/>
    <cellStyle name="Nota 11 5 2 2" xfId="12619"/>
    <cellStyle name="Nota 11 5 2 3" xfId="16651"/>
    <cellStyle name="Nota 11 5 2 4" xfId="20683"/>
    <cellStyle name="Nota 11 5 2 5" xfId="24715"/>
    <cellStyle name="Nota 11 5 2 6" xfId="28747"/>
    <cellStyle name="Nota 11 5 2 7" xfId="32779"/>
    <cellStyle name="Nota 11 5 2 8" xfId="36811"/>
    <cellStyle name="Nota 11 5 2 9" xfId="40843"/>
    <cellStyle name="Nota 11 5 3" xfId="10603"/>
    <cellStyle name="Nota 11 5 4" xfId="14635"/>
    <cellStyle name="Nota 11 5 5" xfId="18667"/>
    <cellStyle name="Nota 11 5 6" xfId="22699"/>
    <cellStyle name="Nota 11 5 7" xfId="26731"/>
    <cellStyle name="Nota 11 5 8" xfId="30763"/>
    <cellStyle name="Nota 11 5 9" xfId="34795"/>
    <cellStyle name="Nota 11 6" xfId="7634"/>
    <cellStyle name="Nota 11 6 10" xfId="43924"/>
    <cellStyle name="Nota 11 6 11" xfId="47956"/>
    <cellStyle name="Nota 11 6 12" xfId="52035"/>
    <cellStyle name="Nota 11 6 2" xfId="11668"/>
    <cellStyle name="Nota 11 6 3" xfId="15700"/>
    <cellStyle name="Nota 11 6 4" xfId="19732"/>
    <cellStyle name="Nota 11 6 5" xfId="23764"/>
    <cellStyle name="Nota 11 6 6" xfId="27796"/>
    <cellStyle name="Nota 11 6 7" xfId="31828"/>
    <cellStyle name="Nota 11 6 8" xfId="35860"/>
    <cellStyle name="Nota 11 6 9" xfId="39892"/>
    <cellStyle name="Nota 11 7" xfId="9652"/>
    <cellStyle name="Nota 11 8" xfId="13684"/>
    <cellStyle name="Nota 11 9" xfId="17716"/>
    <cellStyle name="Nota 12" xfId="2874"/>
    <cellStyle name="Nota 12 10" xfId="21749"/>
    <cellStyle name="Nota 12 11" xfId="25781"/>
    <cellStyle name="Nota 12 12" xfId="29813"/>
    <cellStyle name="Nota 12 13" xfId="33845"/>
    <cellStyle name="Nota 12 14" xfId="37877"/>
    <cellStyle name="Nota 12 15" xfId="41909"/>
    <cellStyle name="Nota 12 16" xfId="45941"/>
    <cellStyle name="Nota 12 17" xfId="50019"/>
    <cellStyle name="Nota 12 2" xfId="2875"/>
    <cellStyle name="Nota 12 2 2" xfId="5830"/>
    <cellStyle name="Nota 12 3" xfId="2876"/>
    <cellStyle name="Nota 12 4" xfId="3436"/>
    <cellStyle name="Nota 12 5" xfId="5829"/>
    <cellStyle name="Nota 12 5 10" xfId="38828"/>
    <cellStyle name="Nota 12 5 11" xfId="42860"/>
    <cellStyle name="Nota 12 5 12" xfId="46892"/>
    <cellStyle name="Nota 12 5 13" xfId="50971"/>
    <cellStyle name="Nota 12 5 2" xfId="8586"/>
    <cellStyle name="Nota 12 5 2 10" xfId="44876"/>
    <cellStyle name="Nota 12 5 2 11" xfId="48908"/>
    <cellStyle name="Nota 12 5 2 12" xfId="52987"/>
    <cellStyle name="Nota 12 5 2 2" xfId="12620"/>
    <cellStyle name="Nota 12 5 2 3" xfId="16652"/>
    <cellStyle name="Nota 12 5 2 4" xfId="20684"/>
    <cellStyle name="Nota 12 5 2 5" xfId="24716"/>
    <cellStyle name="Nota 12 5 2 6" xfId="28748"/>
    <cellStyle name="Nota 12 5 2 7" xfId="32780"/>
    <cellStyle name="Nota 12 5 2 8" xfId="36812"/>
    <cellStyle name="Nota 12 5 2 9" xfId="40844"/>
    <cellStyle name="Nota 12 5 3" xfId="10604"/>
    <cellStyle name="Nota 12 5 4" xfId="14636"/>
    <cellStyle name="Nota 12 5 5" xfId="18668"/>
    <cellStyle name="Nota 12 5 6" xfId="22700"/>
    <cellStyle name="Nota 12 5 7" xfId="26732"/>
    <cellStyle name="Nota 12 5 8" xfId="30764"/>
    <cellStyle name="Nota 12 5 9" xfId="34796"/>
    <cellStyle name="Nota 12 6" xfId="7635"/>
    <cellStyle name="Nota 12 6 10" xfId="43925"/>
    <cellStyle name="Nota 12 6 11" xfId="47957"/>
    <cellStyle name="Nota 12 6 12" xfId="52036"/>
    <cellStyle name="Nota 12 6 2" xfId="11669"/>
    <cellStyle name="Nota 12 6 3" xfId="15701"/>
    <cellStyle name="Nota 12 6 4" xfId="19733"/>
    <cellStyle name="Nota 12 6 5" xfId="23765"/>
    <cellStyle name="Nota 12 6 6" xfId="27797"/>
    <cellStyle name="Nota 12 6 7" xfId="31829"/>
    <cellStyle name="Nota 12 6 8" xfId="35861"/>
    <cellStyle name="Nota 12 6 9" xfId="39893"/>
    <cellStyle name="Nota 12 7" xfId="9653"/>
    <cellStyle name="Nota 12 8" xfId="13685"/>
    <cellStyle name="Nota 12 9" xfId="17717"/>
    <cellStyle name="Nota 13" xfId="2877"/>
    <cellStyle name="Nota 13 10" xfId="21750"/>
    <cellStyle name="Nota 13 11" xfId="25782"/>
    <cellStyle name="Nota 13 12" xfId="29814"/>
    <cellStyle name="Nota 13 13" xfId="33846"/>
    <cellStyle name="Nota 13 14" xfId="37878"/>
    <cellStyle name="Nota 13 15" xfId="41910"/>
    <cellStyle name="Nota 13 16" xfId="45942"/>
    <cellStyle name="Nota 13 17" xfId="50020"/>
    <cellStyle name="Nota 13 2" xfId="2878"/>
    <cellStyle name="Nota 13 2 2" xfId="5832"/>
    <cellStyle name="Nota 13 3" xfId="2879"/>
    <cellStyle name="Nota 13 4" xfId="3437"/>
    <cellStyle name="Nota 13 5" xfId="5831"/>
    <cellStyle name="Nota 13 5 10" xfId="38829"/>
    <cellStyle name="Nota 13 5 11" xfId="42861"/>
    <cellStyle name="Nota 13 5 12" xfId="46893"/>
    <cellStyle name="Nota 13 5 13" xfId="50972"/>
    <cellStyle name="Nota 13 5 2" xfId="8587"/>
    <cellStyle name="Nota 13 5 2 10" xfId="44877"/>
    <cellStyle name="Nota 13 5 2 11" xfId="48909"/>
    <cellStyle name="Nota 13 5 2 12" xfId="52988"/>
    <cellStyle name="Nota 13 5 2 2" xfId="12621"/>
    <cellStyle name="Nota 13 5 2 3" xfId="16653"/>
    <cellStyle name="Nota 13 5 2 4" xfId="20685"/>
    <cellStyle name="Nota 13 5 2 5" xfId="24717"/>
    <cellStyle name="Nota 13 5 2 6" xfId="28749"/>
    <cellStyle name="Nota 13 5 2 7" xfId="32781"/>
    <cellStyle name="Nota 13 5 2 8" xfId="36813"/>
    <cellStyle name="Nota 13 5 2 9" xfId="40845"/>
    <cellStyle name="Nota 13 5 3" xfId="10605"/>
    <cellStyle name="Nota 13 5 4" xfId="14637"/>
    <cellStyle name="Nota 13 5 5" xfId="18669"/>
    <cellStyle name="Nota 13 5 6" xfId="22701"/>
    <cellStyle name="Nota 13 5 7" xfId="26733"/>
    <cellStyle name="Nota 13 5 8" xfId="30765"/>
    <cellStyle name="Nota 13 5 9" xfId="34797"/>
    <cellStyle name="Nota 13 6" xfId="7636"/>
    <cellStyle name="Nota 13 6 10" xfId="43926"/>
    <cellStyle name="Nota 13 6 11" xfId="47958"/>
    <cellStyle name="Nota 13 6 12" xfId="52037"/>
    <cellStyle name="Nota 13 6 2" xfId="11670"/>
    <cellStyle name="Nota 13 6 3" xfId="15702"/>
    <cellStyle name="Nota 13 6 4" xfId="19734"/>
    <cellStyle name="Nota 13 6 5" xfId="23766"/>
    <cellStyle name="Nota 13 6 6" xfId="27798"/>
    <cellStyle name="Nota 13 6 7" xfId="31830"/>
    <cellStyle name="Nota 13 6 8" xfId="35862"/>
    <cellStyle name="Nota 13 6 9" xfId="39894"/>
    <cellStyle name="Nota 13 7" xfId="9654"/>
    <cellStyle name="Nota 13 8" xfId="13686"/>
    <cellStyle name="Nota 13 9" xfId="17718"/>
    <cellStyle name="Nota 14" xfId="2880"/>
    <cellStyle name="Nota 14 2" xfId="2881"/>
    <cellStyle name="Nota 14 2 2" xfId="5833"/>
    <cellStyle name="Nota 14 3" xfId="3438"/>
    <cellStyle name="Nota 15" xfId="2882"/>
    <cellStyle name="Nota 15 2" xfId="2883"/>
    <cellStyle name="Nota 15 2 2" xfId="5834"/>
    <cellStyle name="Nota 15 3" xfId="3439"/>
    <cellStyle name="Nota 16" xfId="2884"/>
    <cellStyle name="Nota 16 2" xfId="2885"/>
    <cellStyle name="Nota 16 2 2" xfId="5835"/>
    <cellStyle name="Nota 16 3" xfId="3440"/>
    <cellStyle name="Nota 17" xfId="2886"/>
    <cellStyle name="Nota 17 2" xfId="2887"/>
    <cellStyle name="Nota 17 2 2" xfId="5836"/>
    <cellStyle name="Nota 17 3" xfId="3441"/>
    <cellStyle name="Nota 18" xfId="2888"/>
    <cellStyle name="Nota 18 2" xfId="3442"/>
    <cellStyle name="Nota 19" xfId="2889"/>
    <cellStyle name="Nota 19 2" xfId="3443"/>
    <cellStyle name="Nota 2" xfId="28"/>
    <cellStyle name="Nota 2 10" xfId="312"/>
    <cellStyle name="Nota 2 10 10" xfId="29453"/>
    <cellStyle name="Nota 2 10 11" xfId="33485"/>
    <cellStyle name="Nota 2 10 12" xfId="37517"/>
    <cellStyle name="Nota 2 10 13" xfId="41549"/>
    <cellStyle name="Nota 2 10 14" xfId="45581"/>
    <cellStyle name="Nota 2 10 15" xfId="49659"/>
    <cellStyle name="Nota 2 10 2" xfId="2891"/>
    <cellStyle name="Nota 2 10 3" xfId="4654"/>
    <cellStyle name="Nota 2 10 3 10" xfId="38528"/>
    <cellStyle name="Nota 2 10 3 11" xfId="42560"/>
    <cellStyle name="Nota 2 10 3 12" xfId="46592"/>
    <cellStyle name="Nota 2 10 3 13" xfId="50671"/>
    <cellStyle name="Nota 2 10 3 2" xfId="8286"/>
    <cellStyle name="Nota 2 10 3 2 10" xfId="44576"/>
    <cellStyle name="Nota 2 10 3 2 11" xfId="48608"/>
    <cellStyle name="Nota 2 10 3 2 12" xfId="52687"/>
    <cellStyle name="Nota 2 10 3 2 2" xfId="12320"/>
    <cellStyle name="Nota 2 10 3 2 3" xfId="16352"/>
    <cellStyle name="Nota 2 10 3 2 4" xfId="20384"/>
    <cellStyle name="Nota 2 10 3 2 5" xfId="24416"/>
    <cellStyle name="Nota 2 10 3 2 6" xfId="28448"/>
    <cellStyle name="Nota 2 10 3 2 7" xfId="32480"/>
    <cellStyle name="Nota 2 10 3 2 8" xfId="36512"/>
    <cellStyle name="Nota 2 10 3 2 9" xfId="40544"/>
    <cellStyle name="Nota 2 10 3 3" xfId="10304"/>
    <cellStyle name="Nota 2 10 3 4" xfId="14336"/>
    <cellStyle name="Nota 2 10 3 5" xfId="18368"/>
    <cellStyle name="Nota 2 10 3 6" xfId="22400"/>
    <cellStyle name="Nota 2 10 3 7" xfId="26432"/>
    <cellStyle name="Nota 2 10 3 8" xfId="30464"/>
    <cellStyle name="Nota 2 10 3 9" xfId="34496"/>
    <cellStyle name="Nota 2 10 4" xfId="7275"/>
    <cellStyle name="Nota 2 10 4 10" xfId="43565"/>
    <cellStyle name="Nota 2 10 4 11" xfId="47597"/>
    <cellStyle name="Nota 2 10 4 12" xfId="51676"/>
    <cellStyle name="Nota 2 10 4 2" xfId="11309"/>
    <cellStyle name="Nota 2 10 4 3" xfId="15341"/>
    <cellStyle name="Nota 2 10 4 4" xfId="19373"/>
    <cellStyle name="Nota 2 10 4 5" xfId="23405"/>
    <cellStyle name="Nota 2 10 4 6" xfId="27437"/>
    <cellStyle name="Nota 2 10 4 7" xfId="31469"/>
    <cellStyle name="Nota 2 10 4 8" xfId="35501"/>
    <cellStyle name="Nota 2 10 4 9" xfId="39533"/>
    <cellStyle name="Nota 2 10 5" xfId="9293"/>
    <cellStyle name="Nota 2 10 6" xfId="13325"/>
    <cellStyle name="Nota 2 10 7" xfId="17357"/>
    <cellStyle name="Nota 2 10 8" xfId="21389"/>
    <cellStyle name="Nota 2 10 9" xfId="25421"/>
    <cellStyle name="Nota 2 11" xfId="1622"/>
    <cellStyle name="Nota 2 11 10" xfId="29551"/>
    <cellStyle name="Nota 2 11 11" xfId="33583"/>
    <cellStyle name="Nota 2 11 12" xfId="37615"/>
    <cellStyle name="Nota 2 11 13" xfId="41647"/>
    <cellStyle name="Nota 2 11 14" xfId="45679"/>
    <cellStyle name="Nota 2 11 15" xfId="49757"/>
    <cellStyle name="Nota 2 11 2" xfId="2892"/>
    <cellStyle name="Nota 2 11 3" xfId="5311"/>
    <cellStyle name="Nota 2 11 3 10" xfId="38579"/>
    <cellStyle name="Nota 2 11 3 11" xfId="42611"/>
    <cellStyle name="Nota 2 11 3 12" xfId="46643"/>
    <cellStyle name="Nota 2 11 3 13" xfId="50722"/>
    <cellStyle name="Nota 2 11 3 2" xfId="8337"/>
    <cellStyle name="Nota 2 11 3 2 10" xfId="44627"/>
    <cellStyle name="Nota 2 11 3 2 11" xfId="48659"/>
    <cellStyle name="Nota 2 11 3 2 12" xfId="52738"/>
    <cellStyle name="Nota 2 11 3 2 2" xfId="12371"/>
    <cellStyle name="Nota 2 11 3 2 3" xfId="16403"/>
    <cellStyle name="Nota 2 11 3 2 4" xfId="20435"/>
    <cellStyle name="Nota 2 11 3 2 5" xfId="24467"/>
    <cellStyle name="Nota 2 11 3 2 6" xfId="28499"/>
    <cellStyle name="Nota 2 11 3 2 7" xfId="32531"/>
    <cellStyle name="Nota 2 11 3 2 8" xfId="36563"/>
    <cellStyle name="Nota 2 11 3 2 9" xfId="40595"/>
    <cellStyle name="Nota 2 11 3 3" xfId="10355"/>
    <cellStyle name="Nota 2 11 3 4" xfId="14387"/>
    <cellStyle name="Nota 2 11 3 5" xfId="18419"/>
    <cellStyle name="Nota 2 11 3 6" xfId="22451"/>
    <cellStyle name="Nota 2 11 3 7" xfId="26483"/>
    <cellStyle name="Nota 2 11 3 8" xfId="30515"/>
    <cellStyle name="Nota 2 11 3 9" xfId="34547"/>
    <cellStyle name="Nota 2 11 4" xfId="7373"/>
    <cellStyle name="Nota 2 11 4 10" xfId="43663"/>
    <cellStyle name="Nota 2 11 4 11" xfId="47695"/>
    <cellStyle name="Nota 2 11 4 12" xfId="51774"/>
    <cellStyle name="Nota 2 11 4 2" xfId="11407"/>
    <cellStyle name="Nota 2 11 4 3" xfId="15439"/>
    <cellStyle name="Nota 2 11 4 4" xfId="19471"/>
    <cellStyle name="Nota 2 11 4 5" xfId="23503"/>
    <cellStyle name="Nota 2 11 4 6" xfId="27535"/>
    <cellStyle name="Nota 2 11 4 7" xfId="31567"/>
    <cellStyle name="Nota 2 11 4 8" xfId="35599"/>
    <cellStyle name="Nota 2 11 4 9" xfId="39631"/>
    <cellStyle name="Nota 2 11 5" xfId="9391"/>
    <cellStyle name="Nota 2 11 6" xfId="13423"/>
    <cellStyle name="Nota 2 11 7" xfId="17455"/>
    <cellStyle name="Nota 2 11 8" xfId="21487"/>
    <cellStyle name="Nota 2 11 9" xfId="25519"/>
    <cellStyle name="Nota 2 12" xfId="1696"/>
    <cellStyle name="Nota 2 12 10" xfId="29620"/>
    <cellStyle name="Nota 2 12 11" xfId="33652"/>
    <cellStyle name="Nota 2 12 12" xfId="37684"/>
    <cellStyle name="Nota 2 12 13" xfId="41716"/>
    <cellStyle name="Nota 2 12 14" xfId="45748"/>
    <cellStyle name="Nota 2 12 15" xfId="49826"/>
    <cellStyle name="Nota 2 12 2" xfId="2893"/>
    <cellStyle name="Nota 2 12 3" xfId="5367"/>
    <cellStyle name="Nota 2 12 3 10" xfId="38635"/>
    <cellStyle name="Nota 2 12 3 11" xfId="42667"/>
    <cellStyle name="Nota 2 12 3 12" xfId="46699"/>
    <cellStyle name="Nota 2 12 3 13" xfId="50778"/>
    <cellStyle name="Nota 2 12 3 2" xfId="8393"/>
    <cellStyle name="Nota 2 12 3 2 10" xfId="44683"/>
    <cellStyle name="Nota 2 12 3 2 11" xfId="48715"/>
    <cellStyle name="Nota 2 12 3 2 12" xfId="52794"/>
    <cellStyle name="Nota 2 12 3 2 2" xfId="12427"/>
    <cellStyle name="Nota 2 12 3 2 3" xfId="16459"/>
    <cellStyle name="Nota 2 12 3 2 4" xfId="20491"/>
    <cellStyle name="Nota 2 12 3 2 5" xfId="24523"/>
    <cellStyle name="Nota 2 12 3 2 6" xfId="28555"/>
    <cellStyle name="Nota 2 12 3 2 7" xfId="32587"/>
    <cellStyle name="Nota 2 12 3 2 8" xfId="36619"/>
    <cellStyle name="Nota 2 12 3 2 9" xfId="40651"/>
    <cellStyle name="Nota 2 12 3 3" xfId="10411"/>
    <cellStyle name="Nota 2 12 3 4" xfId="14443"/>
    <cellStyle name="Nota 2 12 3 5" xfId="18475"/>
    <cellStyle name="Nota 2 12 3 6" xfId="22507"/>
    <cellStyle name="Nota 2 12 3 7" xfId="26539"/>
    <cellStyle name="Nota 2 12 3 8" xfId="30571"/>
    <cellStyle name="Nota 2 12 3 9" xfId="34603"/>
    <cellStyle name="Nota 2 12 4" xfId="7442"/>
    <cellStyle name="Nota 2 12 4 10" xfId="43732"/>
    <cellStyle name="Nota 2 12 4 11" xfId="47764"/>
    <cellStyle name="Nota 2 12 4 12" xfId="51843"/>
    <cellStyle name="Nota 2 12 4 2" xfId="11476"/>
    <cellStyle name="Nota 2 12 4 3" xfId="15508"/>
    <cellStyle name="Nota 2 12 4 4" xfId="19540"/>
    <cellStyle name="Nota 2 12 4 5" xfId="23572"/>
    <cellStyle name="Nota 2 12 4 6" xfId="27604"/>
    <cellStyle name="Nota 2 12 4 7" xfId="31636"/>
    <cellStyle name="Nota 2 12 4 8" xfId="35668"/>
    <cellStyle name="Nota 2 12 4 9" xfId="39700"/>
    <cellStyle name="Nota 2 12 5" xfId="9460"/>
    <cellStyle name="Nota 2 12 6" xfId="13492"/>
    <cellStyle name="Nota 2 12 7" xfId="17524"/>
    <cellStyle name="Nota 2 12 8" xfId="21556"/>
    <cellStyle name="Nota 2 12 9" xfId="25588"/>
    <cellStyle name="Nota 2 13" xfId="2894"/>
    <cellStyle name="Nota 2 14" xfId="2895"/>
    <cellStyle name="Nota 2 15" xfId="2896"/>
    <cellStyle name="Nota 2 16" xfId="2897"/>
    <cellStyle name="Nota 2 17" xfId="2898"/>
    <cellStyle name="Nota 2 18" xfId="2899"/>
    <cellStyle name="Nota 2 18 2" xfId="5838"/>
    <cellStyle name="Nota 2 19" xfId="2900"/>
    <cellStyle name="Nota 2 2" xfId="33"/>
    <cellStyle name="Nota 2 2 10" xfId="1698"/>
    <cellStyle name="Nota 2 2 10 10" xfId="33654"/>
    <cellStyle name="Nota 2 2 10 11" xfId="37686"/>
    <cellStyle name="Nota 2 2 10 12" xfId="41718"/>
    <cellStyle name="Nota 2 2 10 13" xfId="45750"/>
    <cellStyle name="Nota 2 2 10 14" xfId="49828"/>
    <cellStyle name="Nota 2 2 10 2" xfId="5369"/>
    <cellStyle name="Nota 2 2 10 2 10" xfId="38637"/>
    <cellStyle name="Nota 2 2 10 2 11" xfId="42669"/>
    <cellStyle name="Nota 2 2 10 2 12" xfId="46701"/>
    <cellStyle name="Nota 2 2 10 2 13" xfId="50780"/>
    <cellStyle name="Nota 2 2 10 2 2" xfId="8395"/>
    <cellStyle name="Nota 2 2 10 2 2 10" xfId="44685"/>
    <cellStyle name="Nota 2 2 10 2 2 11" xfId="48717"/>
    <cellStyle name="Nota 2 2 10 2 2 12" xfId="52796"/>
    <cellStyle name="Nota 2 2 10 2 2 2" xfId="12429"/>
    <cellStyle name="Nota 2 2 10 2 2 3" xfId="16461"/>
    <cellStyle name="Nota 2 2 10 2 2 4" xfId="20493"/>
    <cellStyle name="Nota 2 2 10 2 2 5" xfId="24525"/>
    <cellStyle name="Nota 2 2 10 2 2 6" xfId="28557"/>
    <cellStyle name="Nota 2 2 10 2 2 7" xfId="32589"/>
    <cellStyle name="Nota 2 2 10 2 2 8" xfId="36621"/>
    <cellStyle name="Nota 2 2 10 2 2 9" xfId="40653"/>
    <cellStyle name="Nota 2 2 10 2 3" xfId="10413"/>
    <cellStyle name="Nota 2 2 10 2 4" xfId="14445"/>
    <cellStyle name="Nota 2 2 10 2 5" xfId="18477"/>
    <cellStyle name="Nota 2 2 10 2 6" xfId="22509"/>
    <cellStyle name="Nota 2 2 10 2 7" xfId="26541"/>
    <cellStyle name="Nota 2 2 10 2 8" xfId="30573"/>
    <cellStyle name="Nota 2 2 10 2 9" xfId="34605"/>
    <cellStyle name="Nota 2 2 10 3" xfId="7444"/>
    <cellStyle name="Nota 2 2 10 3 10" xfId="43734"/>
    <cellStyle name="Nota 2 2 10 3 11" xfId="47766"/>
    <cellStyle name="Nota 2 2 10 3 12" xfId="51845"/>
    <cellStyle name="Nota 2 2 10 3 2" xfId="11478"/>
    <cellStyle name="Nota 2 2 10 3 3" xfId="15510"/>
    <cellStyle name="Nota 2 2 10 3 4" xfId="19542"/>
    <cellStyle name="Nota 2 2 10 3 5" xfId="23574"/>
    <cellStyle name="Nota 2 2 10 3 6" xfId="27606"/>
    <cellStyle name="Nota 2 2 10 3 7" xfId="31638"/>
    <cellStyle name="Nota 2 2 10 3 8" xfId="35670"/>
    <cellStyle name="Nota 2 2 10 3 9" xfId="39702"/>
    <cellStyle name="Nota 2 2 10 4" xfId="9462"/>
    <cellStyle name="Nota 2 2 10 5" xfId="13494"/>
    <cellStyle name="Nota 2 2 10 6" xfId="17526"/>
    <cellStyle name="Nota 2 2 10 7" xfId="21558"/>
    <cellStyle name="Nota 2 2 10 8" xfId="25590"/>
    <cellStyle name="Nota 2 2 10 9" xfId="29622"/>
    <cellStyle name="Nota 2 2 11" xfId="2901"/>
    <cellStyle name="Nota 2 2 12" xfId="4020"/>
    <cellStyle name="Nota 2 2 12 10" xfId="33877"/>
    <cellStyle name="Nota 2 2 12 11" xfId="37909"/>
    <cellStyle name="Nota 2 2 12 12" xfId="41941"/>
    <cellStyle name="Nota 2 2 12 13" xfId="45973"/>
    <cellStyle name="Nota 2 2 12 14" xfId="50051"/>
    <cellStyle name="Nota 2 2 12 2" xfId="6602"/>
    <cellStyle name="Nota 2 2 12 2 10" xfId="38860"/>
    <cellStyle name="Nota 2 2 12 2 11" xfId="42892"/>
    <cellStyle name="Nota 2 2 12 2 12" xfId="46924"/>
    <cellStyle name="Nota 2 2 12 2 13" xfId="51003"/>
    <cellStyle name="Nota 2 2 12 2 2" xfId="8618"/>
    <cellStyle name="Nota 2 2 12 2 2 10" xfId="44908"/>
    <cellStyle name="Nota 2 2 12 2 2 11" xfId="48940"/>
    <cellStyle name="Nota 2 2 12 2 2 12" xfId="53019"/>
    <cellStyle name="Nota 2 2 12 2 2 2" xfId="12652"/>
    <cellStyle name="Nota 2 2 12 2 2 3" xfId="16684"/>
    <cellStyle name="Nota 2 2 12 2 2 4" xfId="20716"/>
    <cellStyle name="Nota 2 2 12 2 2 5" xfId="24748"/>
    <cellStyle name="Nota 2 2 12 2 2 6" xfId="28780"/>
    <cellStyle name="Nota 2 2 12 2 2 7" xfId="32812"/>
    <cellStyle name="Nota 2 2 12 2 2 8" xfId="36844"/>
    <cellStyle name="Nota 2 2 12 2 2 9" xfId="40876"/>
    <cellStyle name="Nota 2 2 12 2 3" xfId="10636"/>
    <cellStyle name="Nota 2 2 12 2 4" xfId="14668"/>
    <cellStyle name="Nota 2 2 12 2 5" xfId="18700"/>
    <cellStyle name="Nota 2 2 12 2 6" xfId="22732"/>
    <cellStyle name="Nota 2 2 12 2 7" xfId="26764"/>
    <cellStyle name="Nota 2 2 12 2 8" xfId="30796"/>
    <cellStyle name="Nota 2 2 12 2 9" xfId="34828"/>
    <cellStyle name="Nota 2 2 12 3" xfId="7667"/>
    <cellStyle name="Nota 2 2 12 3 10" xfId="43957"/>
    <cellStyle name="Nota 2 2 12 3 11" xfId="47989"/>
    <cellStyle name="Nota 2 2 12 3 12" xfId="52068"/>
    <cellStyle name="Nota 2 2 12 3 2" xfId="11701"/>
    <cellStyle name="Nota 2 2 12 3 3" xfId="15733"/>
    <cellStyle name="Nota 2 2 12 3 4" xfId="19765"/>
    <cellStyle name="Nota 2 2 12 3 5" xfId="23797"/>
    <cellStyle name="Nota 2 2 12 3 6" xfId="27829"/>
    <cellStyle name="Nota 2 2 12 3 7" xfId="31861"/>
    <cellStyle name="Nota 2 2 12 3 8" xfId="35893"/>
    <cellStyle name="Nota 2 2 12 3 9" xfId="39925"/>
    <cellStyle name="Nota 2 2 12 4" xfId="9685"/>
    <cellStyle name="Nota 2 2 12 5" xfId="13717"/>
    <cellStyle name="Nota 2 2 12 6" xfId="17749"/>
    <cellStyle name="Nota 2 2 12 7" xfId="21781"/>
    <cellStyle name="Nota 2 2 12 8" xfId="25813"/>
    <cellStyle name="Nota 2 2 12 9" xfId="29845"/>
    <cellStyle name="Nota 2 2 13" xfId="4090"/>
    <cellStyle name="Nota 2 2 13 10" xfId="33946"/>
    <cellStyle name="Nota 2 2 13 11" xfId="37978"/>
    <cellStyle name="Nota 2 2 13 12" xfId="42010"/>
    <cellStyle name="Nota 2 2 13 13" xfId="46042"/>
    <cellStyle name="Nota 2 2 13 14" xfId="50120"/>
    <cellStyle name="Nota 2 2 13 2" xfId="6671"/>
    <cellStyle name="Nota 2 2 13 2 10" xfId="38929"/>
    <cellStyle name="Nota 2 2 13 2 11" xfId="42961"/>
    <cellStyle name="Nota 2 2 13 2 12" xfId="46993"/>
    <cellStyle name="Nota 2 2 13 2 13" xfId="51072"/>
    <cellStyle name="Nota 2 2 13 2 2" xfId="8687"/>
    <cellStyle name="Nota 2 2 13 2 2 10" xfId="44977"/>
    <cellStyle name="Nota 2 2 13 2 2 11" xfId="49009"/>
    <cellStyle name="Nota 2 2 13 2 2 12" xfId="53088"/>
    <cellStyle name="Nota 2 2 13 2 2 2" xfId="12721"/>
    <cellStyle name="Nota 2 2 13 2 2 3" xfId="16753"/>
    <cellStyle name="Nota 2 2 13 2 2 4" xfId="20785"/>
    <cellStyle name="Nota 2 2 13 2 2 5" xfId="24817"/>
    <cellStyle name="Nota 2 2 13 2 2 6" xfId="28849"/>
    <cellStyle name="Nota 2 2 13 2 2 7" xfId="32881"/>
    <cellStyle name="Nota 2 2 13 2 2 8" xfId="36913"/>
    <cellStyle name="Nota 2 2 13 2 2 9" xfId="40945"/>
    <cellStyle name="Nota 2 2 13 2 3" xfId="10705"/>
    <cellStyle name="Nota 2 2 13 2 4" xfId="14737"/>
    <cellStyle name="Nota 2 2 13 2 5" xfId="18769"/>
    <cellStyle name="Nota 2 2 13 2 6" xfId="22801"/>
    <cellStyle name="Nota 2 2 13 2 7" xfId="26833"/>
    <cellStyle name="Nota 2 2 13 2 8" xfId="30865"/>
    <cellStyle name="Nota 2 2 13 2 9" xfId="34897"/>
    <cellStyle name="Nota 2 2 13 3" xfId="7736"/>
    <cellStyle name="Nota 2 2 13 3 10" xfId="44026"/>
    <cellStyle name="Nota 2 2 13 3 11" xfId="48058"/>
    <cellStyle name="Nota 2 2 13 3 12" xfId="52137"/>
    <cellStyle name="Nota 2 2 13 3 2" xfId="11770"/>
    <cellStyle name="Nota 2 2 13 3 3" xfId="15802"/>
    <cellStyle name="Nota 2 2 13 3 4" xfId="19834"/>
    <cellStyle name="Nota 2 2 13 3 5" xfId="23866"/>
    <cellStyle name="Nota 2 2 13 3 6" xfId="27898"/>
    <cellStyle name="Nota 2 2 13 3 7" xfId="31930"/>
    <cellStyle name="Nota 2 2 13 3 8" xfId="35962"/>
    <cellStyle name="Nota 2 2 13 3 9" xfId="39994"/>
    <cellStyle name="Nota 2 2 13 4" xfId="9754"/>
    <cellStyle name="Nota 2 2 13 5" xfId="13786"/>
    <cellStyle name="Nota 2 2 13 6" xfId="17818"/>
    <cellStyle name="Nota 2 2 13 7" xfId="21850"/>
    <cellStyle name="Nota 2 2 13 8" xfId="25882"/>
    <cellStyle name="Nota 2 2 13 9" xfId="29914"/>
    <cellStyle name="Nota 2 2 14" xfId="4159"/>
    <cellStyle name="Nota 2 2 14 10" xfId="34015"/>
    <cellStyle name="Nota 2 2 14 11" xfId="38047"/>
    <cellStyle name="Nota 2 2 14 12" xfId="42079"/>
    <cellStyle name="Nota 2 2 14 13" xfId="46111"/>
    <cellStyle name="Nota 2 2 14 14" xfId="50189"/>
    <cellStyle name="Nota 2 2 14 2" xfId="6740"/>
    <cellStyle name="Nota 2 2 14 2 10" xfId="38998"/>
    <cellStyle name="Nota 2 2 14 2 11" xfId="43030"/>
    <cellStyle name="Nota 2 2 14 2 12" xfId="47062"/>
    <cellStyle name="Nota 2 2 14 2 13" xfId="51141"/>
    <cellStyle name="Nota 2 2 14 2 2" xfId="8756"/>
    <cellStyle name="Nota 2 2 14 2 2 10" xfId="45046"/>
    <cellStyle name="Nota 2 2 14 2 2 11" xfId="49078"/>
    <cellStyle name="Nota 2 2 14 2 2 12" xfId="53157"/>
    <cellStyle name="Nota 2 2 14 2 2 2" xfId="12790"/>
    <cellStyle name="Nota 2 2 14 2 2 3" xfId="16822"/>
    <cellStyle name="Nota 2 2 14 2 2 4" xfId="20854"/>
    <cellStyle name="Nota 2 2 14 2 2 5" xfId="24886"/>
    <cellStyle name="Nota 2 2 14 2 2 6" xfId="28918"/>
    <cellStyle name="Nota 2 2 14 2 2 7" xfId="32950"/>
    <cellStyle name="Nota 2 2 14 2 2 8" xfId="36982"/>
    <cellStyle name="Nota 2 2 14 2 2 9" xfId="41014"/>
    <cellStyle name="Nota 2 2 14 2 3" xfId="10774"/>
    <cellStyle name="Nota 2 2 14 2 4" xfId="14806"/>
    <cellStyle name="Nota 2 2 14 2 5" xfId="18838"/>
    <cellStyle name="Nota 2 2 14 2 6" xfId="22870"/>
    <cellStyle name="Nota 2 2 14 2 7" xfId="26902"/>
    <cellStyle name="Nota 2 2 14 2 8" xfId="30934"/>
    <cellStyle name="Nota 2 2 14 2 9" xfId="34966"/>
    <cellStyle name="Nota 2 2 14 3" xfId="7805"/>
    <cellStyle name="Nota 2 2 14 3 10" xfId="44095"/>
    <cellStyle name="Nota 2 2 14 3 11" xfId="48127"/>
    <cellStyle name="Nota 2 2 14 3 12" xfId="52206"/>
    <cellStyle name="Nota 2 2 14 3 2" xfId="11839"/>
    <cellStyle name="Nota 2 2 14 3 3" xfId="15871"/>
    <cellStyle name="Nota 2 2 14 3 4" xfId="19903"/>
    <cellStyle name="Nota 2 2 14 3 5" xfId="23935"/>
    <cellStyle name="Nota 2 2 14 3 6" xfId="27967"/>
    <cellStyle name="Nota 2 2 14 3 7" xfId="31999"/>
    <cellStyle name="Nota 2 2 14 3 8" xfId="36031"/>
    <cellStyle name="Nota 2 2 14 3 9" xfId="40063"/>
    <cellStyle name="Nota 2 2 14 4" xfId="9823"/>
    <cellStyle name="Nota 2 2 14 5" xfId="13855"/>
    <cellStyle name="Nota 2 2 14 6" xfId="17887"/>
    <cellStyle name="Nota 2 2 14 7" xfId="21919"/>
    <cellStyle name="Nota 2 2 14 8" xfId="25951"/>
    <cellStyle name="Nota 2 2 14 9" xfId="29983"/>
    <cellStyle name="Nota 2 2 15" xfId="4229"/>
    <cellStyle name="Nota 2 2 15 10" xfId="34084"/>
    <cellStyle name="Nota 2 2 15 11" xfId="38116"/>
    <cellStyle name="Nota 2 2 15 12" xfId="42148"/>
    <cellStyle name="Nota 2 2 15 13" xfId="46180"/>
    <cellStyle name="Nota 2 2 15 14" xfId="50258"/>
    <cellStyle name="Nota 2 2 15 2" xfId="6809"/>
    <cellStyle name="Nota 2 2 15 2 10" xfId="39067"/>
    <cellStyle name="Nota 2 2 15 2 11" xfId="43099"/>
    <cellStyle name="Nota 2 2 15 2 12" xfId="47131"/>
    <cellStyle name="Nota 2 2 15 2 13" xfId="51210"/>
    <cellStyle name="Nota 2 2 15 2 2" xfId="8825"/>
    <cellStyle name="Nota 2 2 15 2 2 10" xfId="45115"/>
    <cellStyle name="Nota 2 2 15 2 2 11" xfId="49147"/>
    <cellStyle name="Nota 2 2 15 2 2 12" xfId="53226"/>
    <cellStyle name="Nota 2 2 15 2 2 2" xfId="12859"/>
    <cellStyle name="Nota 2 2 15 2 2 3" xfId="16891"/>
    <cellStyle name="Nota 2 2 15 2 2 4" xfId="20923"/>
    <cellStyle name="Nota 2 2 15 2 2 5" xfId="24955"/>
    <cellStyle name="Nota 2 2 15 2 2 6" xfId="28987"/>
    <cellStyle name="Nota 2 2 15 2 2 7" xfId="33019"/>
    <cellStyle name="Nota 2 2 15 2 2 8" xfId="37051"/>
    <cellStyle name="Nota 2 2 15 2 2 9" xfId="41083"/>
    <cellStyle name="Nota 2 2 15 2 3" xfId="10843"/>
    <cellStyle name="Nota 2 2 15 2 4" xfId="14875"/>
    <cellStyle name="Nota 2 2 15 2 5" xfId="18907"/>
    <cellStyle name="Nota 2 2 15 2 6" xfId="22939"/>
    <cellStyle name="Nota 2 2 15 2 7" xfId="26971"/>
    <cellStyle name="Nota 2 2 15 2 8" xfId="31003"/>
    <cellStyle name="Nota 2 2 15 2 9" xfId="35035"/>
    <cellStyle name="Nota 2 2 15 3" xfId="7874"/>
    <cellStyle name="Nota 2 2 15 3 10" xfId="44164"/>
    <cellStyle name="Nota 2 2 15 3 11" xfId="48196"/>
    <cellStyle name="Nota 2 2 15 3 12" xfId="52275"/>
    <cellStyle name="Nota 2 2 15 3 2" xfId="11908"/>
    <cellStyle name="Nota 2 2 15 3 3" xfId="15940"/>
    <cellStyle name="Nota 2 2 15 3 4" xfId="19972"/>
    <cellStyle name="Nota 2 2 15 3 5" xfId="24004"/>
    <cellStyle name="Nota 2 2 15 3 6" xfId="28036"/>
    <cellStyle name="Nota 2 2 15 3 7" xfId="32068"/>
    <cellStyle name="Nota 2 2 15 3 8" xfId="36100"/>
    <cellStyle name="Nota 2 2 15 3 9" xfId="40132"/>
    <cellStyle name="Nota 2 2 15 4" xfId="9892"/>
    <cellStyle name="Nota 2 2 15 5" xfId="13924"/>
    <cellStyle name="Nota 2 2 15 6" xfId="17956"/>
    <cellStyle name="Nota 2 2 15 7" xfId="21988"/>
    <cellStyle name="Nota 2 2 15 8" xfId="26020"/>
    <cellStyle name="Nota 2 2 15 9" xfId="30052"/>
    <cellStyle name="Nota 2 2 16" xfId="4378"/>
    <cellStyle name="Nota 2 2 16 10" xfId="34222"/>
    <cellStyle name="Nota 2 2 16 11" xfId="38254"/>
    <cellStyle name="Nota 2 2 16 12" xfId="42286"/>
    <cellStyle name="Nota 2 2 16 13" xfId="46318"/>
    <cellStyle name="Nota 2 2 16 14" xfId="50397"/>
    <cellStyle name="Nota 2 2 16 2" xfId="6947"/>
    <cellStyle name="Nota 2 2 16 2 10" xfId="39205"/>
    <cellStyle name="Nota 2 2 16 2 11" xfId="43237"/>
    <cellStyle name="Nota 2 2 16 2 12" xfId="47269"/>
    <cellStyle name="Nota 2 2 16 2 13" xfId="51348"/>
    <cellStyle name="Nota 2 2 16 2 2" xfId="8963"/>
    <cellStyle name="Nota 2 2 16 2 2 10" xfId="45253"/>
    <cellStyle name="Nota 2 2 16 2 2 11" xfId="49285"/>
    <cellStyle name="Nota 2 2 16 2 2 12" xfId="53364"/>
    <cellStyle name="Nota 2 2 16 2 2 2" xfId="12997"/>
    <cellStyle name="Nota 2 2 16 2 2 3" xfId="17029"/>
    <cellStyle name="Nota 2 2 16 2 2 4" xfId="21061"/>
    <cellStyle name="Nota 2 2 16 2 2 5" xfId="25093"/>
    <cellStyle name="Nota 2 2 16 2 2 6" xfId="29125"/>
    <cellStyle name="Nota 2 2 16 2 2 7" xfId="33157"/>
    <cellStyle name="Nota 2 2 16 2 2 8" xfId="37189"/>
    <cellStyle name="Nota 2 2 16 2 2 9" xfId="41221"/>
    <cellStyle name="Nota 2 2 16 2 3" xfId="10981"/>
    <cellStyle name="Nota 2 2 16 2 4" xfId="15013"/>
    <cellStyle name="Nota 2 2 16 2 5" xfId="19045"/>
    <cellStyle name="Nota 2 2 16 2 6" xfId="23077"/>
    <cellStyle name="Nota 2 2 16 2 7" xfId="27109"/>
    <cellStyle name="Nota 2 2 16 2 8" xfId="31141"/>
    <cellStyle name="Nota 2 2 16 2 9" xfId="35173"/>
    <cellStyle name="Nota 2 2 16 3" xfId="8012"/>
    <cellStyle name="Nota 2 2 16 3 10" xfId="44302"/>
    <cellStyle name="Nota 2 2 16 3 11" xfId="48334"/>
    <cellStyle name="Nota 2 2 16 3 12" xfId="52413"/>
    <cellStyle name="Nota 2 2 16 3 2" xfId="12046"/>
    <cellStyle name="Nota 2 2 16 3 3" xfId="16078"/>
    <cellStyle name="Nota 2 2 16 3 4" xfId="20110"/>
    <cellStyle name="Nota 2 2 16 3 5" xfId="24142"/>
    <cellStyle name="Nota 2 2 16 3 6" xfId="28174"/>
    <cellStyle name="Nota 2 2 16 3 7" xfId="32206"/>
    <cellStyle name="Nota 2 2 16 3 8" xfId="36238"/>
    <cellStyle name="Nota 2 2 16 3 9" xfId="40270"/>
    <cellStyle name="Nota 2 2 16 4" xfId="10030"/>
    <cellStyle name="Nota 2 2 16 5" xfId="14062"/>
    <cellStyle name="Nota 2 2 16 6" xfId="18094"/>
    <cellStyle name="Nota 2 2 16 7" xfId="22126"/>
    <cellStyle name="Nota 2 2 16 8" xfId="26158"/>
    <cellStyle name="Nota 2 2 16 9" xfId="30190"/>
    <cellStyle name="Nota 2 2 17" xfId="4516"/>
    <cellStyle name="Nota 2 2 17 10" xfId="38392"/>
    <cellStyle name="Nota 2 2 17 11" xfId="42424"/>
    <cellStyle name="Nota 2 2 17 12" xfId="46456"/>
    <cellStyle name="Nota 2 2 17 13" xfId="50535"/>
    <cellStyle name="Nota 2 2 17 2" xfId="8150"/>
    <cellStyle name="Nota 2 2 17 2 10" xfId="44440"/>
    <cellStyle name="Nota 2 2 17 2 11" xfId="48472"/>
    <cellStyle name="Nota 2 2 17 2 12" xfId="52551"/>
    <cellStyle name="Nota 2 2 17 2 2" xfId="12184"/>
    <cellStyle name="Nota 2 2 17 2 3" xfId="16216"/>
    <cellStyle name="Nota 2 2 17 2 4" xfId="20248"/>
    <cellStyle name="Nota 2 2 17 2 5" xfId="24280"/>
    <cellStyle name="Nota 2 2 17 2 6" xfId="28312"/>
    <cellStyle name="Nota 2 2 17 2 7" xfId="32344"/>
    <cellStyle name="Nota 2 2 17 2 8" xfId="36376"/>
    <cellStyle name="Nota 2 2 17 2 9" xfId="40408"/>
    <cellStyle name="Nota 2 2 17 3" xfId="10168"/>
    <cellStyle name="Nota 2 2 17 4" xfId="14200"/>
    <cellStyle name="Nota 2 2 17 5" xfId="18232"/>
    <cellStyle name="Nota 2 2 17 6" xfId="22264"/>
    <cellStyle name="Nota 2 2 17 7" xfId="26296"/>
    <cellStyle name="Nota 2 2 17 8" xfId="30328"/>
    <cellStyle name="Nota 2 2 17 9" xfId="34360"/>
    <cellStyle name="Nota 2 2 18" xfId="260"/>
    <cellStyle name="Nota 2 2 18 10" xfId="37465"/>
    <cellStyle name="Nota 2 2 18 11" xfId="41497"/>
    <cellStyle name="Nota 2 2 18 12" xfId="45529"/>
    <cellStyle name="Nota 2 2 18 13" xfId="49607"/>
    <cellStyle name="Nota 2 2 18 2" xfId="7223"/>
    <cellStyle name="Nota 2 2 18 2 10" xfId="43513"/>
    <cellStyle name="Nota 2 2 18 2 11" xfId="47545"/>
    <cellStyle name="Nota 2 2 18 2 12" xfId="51624"/>
    <cellStyle name="Nota 2 2 18 2 2" xfId="11257"/>
    <cellStyle name="Nota 2 2 18 2 3" xfId="15289"/>
    <cellStyle name="Nota 2 2 18 2 4" xfId="19321"/>
    <cellStyle name="Nota 2 2 18 2 5" xfId="23353"/>
    <cellStyle name="Nota 2 2 18 2 6" xfId="27385"/>
    <cellStyle name="Nota 2 2 18 2 7" xfId="31417"/>
    <cellStyle name="Nota 2 2 18 2 8" xfId="35449"/>
    <cellStyle name="Nota 2 2 18 2 9" xfId="39481"/>
    <cellStyle name="Nota 2 2 18 3" xfId="9241"/>
    <cellStyle name="Nota 2 2 18 4" xfId="13273"/>
    <cellStyle name="Nota 2 2 18 5" xfId="17305"/>
    <cellStyle name="Nota 2 2 18 6" xfId="21337"/>
    <cellStyle name="Nota 2 2 18 7" xfId="25369"/>
    <cellStyle name="Nota 2 2 18 8" xfId="29401"/>
    <cellStyle name="Nota 2 2 18 9" xfId="33433"/>
    <cellStyle name="Nota 2 2 19" xfId="7085"/>
    <cellStyle name="Nota 2 2 19 10" xfId="43375"/>
    <cellStyle name="Nota 2 2 19 11" xfId="47407"/>
    <cellStyle name="Nota 2 2 19 12" xfId="51486"/>
    <cellStyle name="Nota 2 2 19 2" xfId="11119"/>
    <cellStyle name="Nota 2 2 19 3" xfId="15151"/>
    <cellStyle name="Nota 2 2 19 4" xfId="19183"/>
    <cellStyle name="Nota 2 2 19 5" xfId="23215"/>
    <cellStyle name="Nota 2 2 19 6" xfId="27247"/>
    <cellStyle name="Nota 2 2 19 7" xfId="31279"/>
    <cellStyle name="Nota 2 2 19 8" xfId="35311"/>
    <cellStyle name="Nota 2 2 19 9" xfId="39343"/>
    <cellStyle name="Nota 2 2 2" xfId="48"/>
    <cellStyle name="Nota 2 2 2 10" xfId="4102"/>
    <cellStyle name="Nota 2 2 2 10 10" xfId="33958"/>
    <cellStyle name="Nota 2 2 2 10 11" xfId="37990"/>
    <cellStyle name="Nota 2 2 2 10 12" xfId="42022"/>
    <cellStyle name="Nota 2 2 2 10 13" xfId="46054"/>
    <cellStyle name="Nota 2 2 2 10 14" xfId="50132"/>
    <cellStyle name="Nota 2 2 2 10 2" xfId="6683"/>
    <cellStyle name="Nota 2 2 2 10 2 10" xfId="38941"/>
    <cellStyle name="Nota 2 2 2 10 2 11" xfId="42973"/>
    <cellStyle name="Nota 2 2 2 10 2 12" xfId="47005"/>
    <cellStyle name="Nota 2 2 2 10 2 13" xfId="51084"/>
    <cellStyle name="Nota 2 2 2 10 2 2" xfId="8699"/>
    <cellStyle name="Nota 2 2 2 10 2 2 10" xfId="44989"/>
    <cellStyle name="Nota 2 2 2 10 2 2 11" xfId="49021"/>
    <cellStyle name="Nota 2 2 2 10 2 2 12" xfId="53100"/>
    <cellStyle name="Nota 2 2 2 10 2 2 2" xfId="12733"/>
    <cellStyle name="Nota 2 2 2 10 2 2 3" xfId="16765"/>
    <cellStyle name="Nota 2 2 2 10 2 2 4" xfId="20797"/>
    <cellStyle name="Nota 2 2 2 10 2 2 5" xfId="24829"/>
    <cellStyle name="Nota 2 2 2 10 2 2 6" xfId="28861"/>
    <cellStyle name="Nota 2 2 2 10 2 2 7" xfId="32893"/>
    <cellStyle name="Nota 2 2 2 10 2 2 8" xfId="36925"/>
    <cellStyle name="Nota 2 2 2 10 2 2 9" xfId="40957"/>
    <cellStyle name="Nota 2 2 2 10 2 3" xfId="10717"/>
    <cellStyle name="Nota 2 2 2 10 2 4" xfId="14749"/>
    <cellStyle name="Nota 2 2 2 10 2 5" xfId="18781"/>
    <cellStyle name="Nota 2 2 2 10 2 6" xfId="22813"/>
    <cellStyle name="Nota 2 2 2 10 2 7" xfId="26845"/>
    <cellStyle name="Nota 2 2 2 10 2 8" xfId="30877"/>
    <cellStyle name="Nota 2 2 2 10 2 9" xfId="34909"/>
    <cellStyle name="Nota 2 2 2 10 3" xfId="7748"/>
    <cellStyle name="Nota 2 2 2 10 3 10" xfId="44038"/>
    <cellStyle name="Nota 2 2 2 10 3 11" xfId="48070"/>
    <cellStyle name="Nota 2 2 2 10 3 12" xfId="52149"/>
    <cellStyle name="Nota 2 2 2 10 3 2" xfId="11782"/>
    <cellStyle name="Nota 2 2 2 10 3 3" xfId="15814"/>
    <cellStyle name="Nota 2 2 2 10 3 4" xfId="19846"/>
    <cellStyle name="Nota 2 2 2 10 3 5" xfId="23878"/>
    <cellStyle name="Nota 2 2 2 10 3 6" xfId="27910"/>
    <cellStyle name="Nota 2 2 2 10 3 7" xfId="31942"/>
    <cellStyle name="Nota 2 2 2 10 3 8" xfId="35974"/>
    <cellStyle name="Nota 2 2 2 10 3 9" xfId="40006"/>
    <cellStyle name="Nota 2 2 2 10 4" xfId="9766"/>
    <cellStyle name="Nota 2 2 2 10 5" xfId="13798"/>
    <cellStyle name="Nota 2 2 2 10 6" xfId="17830"/>
    <cellStyle name="Nota 2 2 2 10 7" xfId="21862"/>
    <cellStyle name="Nota 2 2 2 10 8" xfId="25894"/>
    <cellStyle name="Nota 2 2 2 10 9" xfId="29926"/>
    <cellStyle name="Nota 2 2 2 11" xfId="4171"/>
    <cellStyle name="Nota 2 2 2 11 10" xfId="34027"/>
    <cellStyle name="Nota 2 2 2 11 11" xfId="38059"/>
    <cellStyle name="Nota 2 2 2 11 12" xfId="42091"/>
    <cellStyle name="Nota 2 2 2 11 13" xfId="46123"/>
    <cellStyle name="Nota 2 2 2 11 14" xfId="50201"/>
    <cellStyle name="Nota 2 2 2 11 2" xfId="6752"/>
    <cellStyle name="Nota 2 2 2 11 2 10" xfId="39010"/>
    <cellStyle name="Nota 2 2 2 11 2 11" xfId="43042"/>
    <cellStyle name="Nota 2 2 2 11 2 12" xfId="47074"/>
    <cellStyle name="Nota 2 2 2 11 2 13" xfId="51153"/>
    <cellStyle name="Nota 2 2 2 11 2 2" xfId="8768"/>
    <cellStyle name="Nota 2 2 2 11 2 2 10" xfId="45058"/>
    <cellStyle name="Nota 2 2 2 11 2 2 11" xfId="49090"/>
    <cellStyle name="Nota 2 2 2 11 2 2 12" xfId="53169"/>
    <cellStyle name="Nota 2 2 2 11 2 2 2" xfId="12802"/>
    <cellStyle name="Nota 2 2 2 11 2 2 3" xfId="16834"/>
    <cellStyle name="Nota 2 2 2 11 2 2 4" xfId="20866"/>
    <cellStyle name="Nota 2 2 2 11 2 2 5" xfId="24898"/>
    <cellStyle name="Nota 2 2 2 11 2 2 6" xfId="28930"/>
    <cellStyle name="Nota 2 2 2 11 2 2 7" xfId="32962"/>
    <cellStyle name="Nota 2 2 2 11 2 2 8" xfId="36994"/>
    <cellStyle name="Nota 2 2 2 11 2 2 9" xfId="41026"/>
    <cellStyle name="Nota 2 2 2 11 2 3" xfId="10786"/>
    <cellStyle name="Nota 2 2 2 11 2 4" xfId="14818"/>
    <cellStyle name="Nota 2 2 2 11 2 5" xfId="18850"/>
    <cellStyle name="Nota 2 2 2 11 2 6" xfId="22882"/>
    <cellStyle name="Nota 2 2 2 11 2 7" xfId="26914"/>
    <cellStyle name="Nota 2 2 2 11 2 8" xfId="30946"/>
    <cellStyle name="Nota 2 2 2 11 2 9" xfId="34978"/>
    <cellStyle name="Nota 2 2 2 11 3" xfId="7817"/>
    <cellStyle name="Nota 2 2 2 11 3 10" xfId="44107"/>
    <cellStyle name="Nota 2 2 2 11 3 11" xfId="48139"/>
    <cellStyle name="Nota 2 2 2 11 3 12" xfId="52218"/>
    <cellStyle name="Nota 2 2 2 11 3 2" xfId="11851"/>
    <cellStyle name="Nota 2 2 2 11 3 3" xfId="15883"/>
    <cellStyle name="Nota 2 2 2 11 3 4" xfId="19915"/>
    <cellStyle name="Nota 2 2 2 11 3 5" xfId="23947"/>
    <cellStyle name="Nota 2 2 2 11 3 6" xfId="27979"/>
    <cellStyle name="Nota 2 2 2 11 3 7" xfId="32011"/>
    <cellStyle name="Nota 2 2 2 11 3 8" xfId="36043"/>
    <cellStyle name="Nota 2 2 2 11 3 9" xfId="40075"/>
    <cellStyle name="Nota 2 2 2 11 4" xfId="9835"/>
    <cellStyle name="Nota 2 2 2 11 5" xfId="13867"/>
    <cellStyle name="Nota 2 2 2 11 6" xfId="17899"/>
    <cellStyle name="Nota 2 2 2 11 7" xfId="21931"/>
    <cellStyle name="Nota 2 2 2 11 8" xfId="25963"/>
    <cellStyle name="Nota 2 2 2 11 9" xfId="29995"/>
    <cellStyle name="Nota 2 2 2 12" xfId="4244"/>
    <cellStyle name="Nota 2 2 2 12 10" xfId="34096"/>
    <cellStyle name="Nota 2 2 2 12 11" xfId="38128"/>
    <cellStyle name="Nota 2 2 2 12 12" xfId="42160"/>
    <cellStyle name="Nota 2 2 2 12 13" xfId="46192"/>
    <cellStyle name="Nota 2 2 2 12 14" xfId="50270"/>
    <cellStyle name="Nota 2 2 2 12 2" xfId="6821"/>
    <cellStyle name="Nota 2 2 2 12 2 10" xfId="39079"/>
    <cellStyle name="Nota 2 2 2 12 2 11" xfId="43111"/>
    <cellStyle name="Nota 2 2 2 12 2 12" xfId="47143"/>
    <cellStyle name="Nota 2 2 2 12 2 13" xfId="51222"/>
    <cellStyle name="Nota 2 2 2 12 2 2" xfId="8837"/>
    <cellStyle name="Nota 2 2 2 12 2 2 10" xfId="45127"/>
    <cellStyle name="Nota 2 2 2 12 2 2 11" xfId="49159"/>
    <cellStyle name="Nota 2 2 2 12 2 2 12" xfId="53238"/>
    <cellStyle name="Nota 2 2 2 12 2 2 2" xfId="12871"/>
    <cellStyle name="Nota 2 2 2 12 2 2 3" xfId="16903"/>
    <cellStyle name="Nota 2 2 2 12 2 2 4" xfId="20935"/>
    <cellStyle name="Nota 2 2 2 12 2 2 5" xfId="24967"/>
    <cellStyle name="Nota 2 2 2 12 2 2 6" xfId="28999"/>
    <cellStyle name="Nota 2 2 2 12 2 2 7" xfId="33031"/>
    <cellStyle name="Nota 2 2 2 12 2 2 8" xfId="37063"/>
    <cellStyle name="Nota 2 2 2 12 2 2 9" xfId="41095"/>
    <cellStyle name="Nota 2 2 2 12 2 3" xfId="10855"/>
    <cellStyle name="Nota 2 2 2 12 2 4" xfId="14887"/>
    <cellStyle name="Nota 2 2 2 12 2 5" xfId="18919"/>
    <cellStyle name="Nota 2 2 2 12 2 6" xfId="22951"/>
    <cellStyle name="Nota 2 2 2 12 2 7" xfId="26983"/>
    <cellStyle name="Nota 2 2 2 12 2 8" xfId="31015"/>
    <cellStyle name="Nota 2 2 2 12 2 9" xfId="35047"/>
    <cellStyle name="Nota 2 2 2 12 3" xfId="7886"/>
    <cellStyle name="Nota 2 2 2 12 3 10" xfId="44176"/>
    <cellStyle name="Nota 2 2 2 12 3 11" xfId="48208"/>
    <cellStyle name="Nota 2 2 2 12 3 12" xfId="52287"/>
    <cellStyle name="Nota 2 2 2 12 3 2" xfId="11920"/>
    <cellStyle name="Nota 2 2 2 12 3 3" xfId="15952"/>
    <cellStyle name="Nota 2 2 2 12 3 4" xfId="19984"/>
    <cellStyle name="Nota 2 2 2 12 3 5" xfId="24016"/>
    <cellStyle name="Nota 2 2 2 12 3 6" xfId="28048"/>
    <cellStyle name="Nota 2 2 2 12 3 7" xfId="32080"/>
    <cellStyle name="Nota 2 2 2 12 3 8" xfId="36112"/>
    <cellStyle name="Nota 2 2 2 12 3 9" xfId="40144"/>
    <cellStyle name="Nota 2 2 2 12 4" xfId="9904"/>
    <cellStyle name="Nota 2 2 2 12 5" xfId="13936"/>
    <cellStyle name="Nota 2 2 2 12 6" xfId="17968"/>
    <cellStyle name="Nota 2 2 2 12 7" xfId="22000"/>
    <cellStyle name="Nota 2 2 2 12 8" xfId="26032"/>
    <cellStyle name="Nota 2 2 2 12 9" xfId="30064"/>
    <cellStyle name="Nota 2 2 2 13" xfId="4390"/>
    <cellStyle name="Nota 2 2 2 13 10" xfId="34234"/>
    <cellStyle name="Nota 2 2 2 13 11" xfId="38266"/>
    <cellStyle name="Nota 2 2 2 13 12" xfId="42298"/>
    <cellStyle name="Nota 2 2 2 13 13" xfId="46330"/>
    <cellStyle name="Nota 2 2 2 13 14" xfId="50409"/>
    <cellStyle name="Nota 2 2 2 13 2" xfId="6959"/>
    <cellStyle name="Nota 2 2 2 13 2 10" xfId="39217"/>
    <cellStyle name="Nota 2 2 2 13 2 11" xfId="43249"/>
    <cellStyle name="Nota 2 2 2 13 2 12" xfId="47281"/>
    <cellStyle name="Nota 2 2 2 13 2 13" xfId="51360"/>
    <cellStyle name="Nota 2 2 2 13 2 2" xfId="8975"/>
    <cellStyle name="Nota 2 2 2 13 2 2 10" xfId="45265"/>
    <cellStyle name="Nota 2 2 2 13 2 2 11" xfId="49297"/>
    <cellStyle name="Nota 2 2 2 13 2 2 12" xfId="53376"/>
    <cellStyle name="Nota 2 2 2 13 2 2 2" xfId="13009"/>
    <cellStyle name="Nota 2 2 2 13 2 2 3" xfId="17041"/>
    <cellStyle name="Nota 2 2 2 13 2 2 4" xfId="21073"/>
    <cellStyle name="Nota 2 2 2 13 2 2 5" xfId="25105"/>
    <cellStyle name="Nota 2 2 2 13 2 2 6" xfId="29137"/>
    <cellStyle name="Nota 2 2 2 13 2 2 7" xfId="33169"/>
    <cellStyle name="Nota 2 2 2 13 2 2 8" xfId="37201"/>
    <cellStyle name="Nota 2 2 2 13 2 2 9" xfId="41233"/>
    <cellStyle name="Nota 2 2 2 13 2 3" xfId="10993"/>
    <cellStyle name="Nota 2 2 2 13 2 4" xfId="15025"/>
    <cellStyle name="Nota 2 2 2 13 2 5" xfId="19057"/>
    <cellStyle name="Nota 2 2 2 13 2 6" xfId="23089"/>
    <cellStyle name="Nota 2 2 2 13 2 7" xfId="27121"/>
    <cellStyle name="Nota 2 2 2 13 2 8" xfId="31153"/>
    <cellStyle name="Nota 2 2 2 13 2 9" xfId="35185"/>
    <cellStyle name="Nota 2 2 2 13 3" xfId="8024"/>
    <cellStyle name="Nota 2 2 2 13 3 10" xfId="44314"/>
    <cellStyle name="Nota 2 2 2 13 3 11" xfId="48346"/>
    <cellStyle name="Nota 2 2 2 13 3 12" xfId="52425"/>
    <cellStyle name="Nota 2 2 2 13 3 2" xfId="12058"/>
    <cellStyle name="Nota 2 2 2 13 3 3" xfId="16090"/>
    <cellStyle name="Nota 2 2 2 13 3 4" xfId="20122"/>
    <cellStyle name="Nota 2 2 2 13 3 5" xfId="24154"/>
    <cellStyle name="Nota 2 2 2 13 3 6" xfId="28186"/>
    <cellStyle name="Nota 2 2 2 13 3 7" xfId="32218"/>
    <cellStyle name="Nota 2 2 2 13 3 8" xfId="36250"/>
    <cellStyle name="Nota 2 2 2 13 3 9" xfId="40282"/>
    <cellStyle name="Nota 2 2 2 13 4" xfId="10042"/>
    <cellStyle name="Nota 2 2 2 13 5" xfId="14074"/>
    <cellStyle name="Nota 2 2 2 13 6" xfId="18106"/>
    <cellStyle name="Nota 2 2 2 13 7" xfId="22138"/>
    <cellStyle name="Nota 2 2 2 13 8" xfId="26170"/>
    <cellStyle name="Nota 2 2 2 13 9" xfId="30202"/>
    <cellStyle name="Nota 2 2 2 14" xfId="4528"/>
    <cellStyle name="Nota 2 2 2 14 10" xfId="38404"/>
    <cellStyle name="Nota 2 2 2 14 11" xfId="42436"/>
    <cellStyle name="Nota 2 2 2 14 12" xfId="46468"/>
    <cellStyle name="Nota 2 2 2 14 13" xfId="50547"/>
    <cellStyle name="Nota 2 2 2 14 2" xfId="8162"/>
    <cellStyle name="Nota 2 2 2 14 2 10" xfId="44452"/>
    <cellStyle name="Nota 2 2 2 14 2 11" xfId="48484"/>
    <cellStyle name="Nota 2 2 2 14 2 12" xfId="52563"/>
    <cellStyle name="Nota 2 2 2 14 2 2" xfId="12196"/>
    <cellStyle name="Nota 2 2 2 14 2 3" xfId="16228"/>
    <cellStyle name="Nota 2 2 2 14 2 4" xfId="20260"/>
    <cellStyle name="Nota 2 2 2 14 2 5" xfId="24292"/>
    <cellStyle name="Nota 2 2 2 14 2 6" xfId="28324"/>
    <cellStyle name="Nota 2 2 2 14 2 7" xfId="32356"/>
    <cellStyle name="Nota 2 2 2 14 2 8" xfId="36388"/>
    <cellStyle name="Nota 2 2 2 14 2 9" xfId="40420"/>
    <cellStyle name="Nota 2 2 2 14 3" xfId="10180"/>
    <cellStyle name="Nota 2 2 2 14 4" xfId="14212"/>
    <cellStyle name="Nota 2 2 2 14 5" xfId="18244"/>
    <cellStyle name="Nota 2 2 2 14 6" xfId="22276"/>
    <cellStyle name="Nota 2 2 2 14 7" xfId="26308"/>
    <cellStyle name="Nota 2 2 2 14 8" xfId="30340"/>
    <cellStyle name="Nota 2 2 2 14 9" xfId="34372"/>
    <cellStyle name="Nota 2 2 2 15" xfId="272"/>
    <cellStyle name="Nota 2 2 2 15 10" xfId="37477"/>
    <cellStyle name="Nota 2 2 2 15 11" xfId="41509"/>
    <cellStyle name="Nota 2 2 2 15 12" xfId="45541"/>
    <cellStyle name="Nota 2 2 2 15 13" xfId="49619"/>
    <cellStyle name="Nota 2 2 2 15 2" xfId="7235"/>
    <cellStyle name="Nota 2 2 2 15 2 10" xfId="43525"/>
    <cellStyle name="Nota 2 2 2 15 2 11" xfId="47557"/>
    <cellStyle name="Nota 2 2 2 15 2 12" xfId="51636"/>
    <cellStyle name="Nota 2 2 2 15 2 2" xfId="11269"/>
    <cellStyle name="Nota 2 2 2 15 2 3" xfId="15301"/>
    <cellStyle name="Nota 2 2 2 15 2 4" xfId="19333"/>
    <cellStyle name="Nota 2 2 2 15 2 5" xfId="23365"/>
    <cellStyle name="Nota 2 2 2 15 2 6" xfId="27397"/>
    <cellStyle name="Nota 2 2 2 15 2 7" xfId="31429"/>
    <cellStyle name="Nota 2 2 2 15 2 8" xfId="35461"/>
    <cellStyle name="Nota 2 2 2 15 2 9" xfId="39493"/>
    <cellStyle name="Nota 2 2 2 15 3" xfId="9253"/>
    <cellStyle name="Nota 2 2 2 15 4" xfId="13285"/>
    <cellStyle name="Nota 2 2 2 15 5" xfId="17317"/>
    <cellStyle name="Nota 2 2 2 15 6" xfId="21349"/>
    <cellStyle name="Nota 2 2 2 15 7" xfId="25381"/>
    <cellStyle name="Nota 2 2 2 15 8" xfId="29413"/>
    <cellStyle name="Nota 2 2 2 15 9" xfId="33445"/>
    <cellStyle name="Nota 2 2 2 16" xfId="7097"/>
    <cellStyle name="Nota 2 2 2 16 10" xfId="43387"/>
    <cellStyle name="Nota 2 2 2 16 11" xfId="47419"/>
    <cellStyle name="Nota 2 2 2 16 12" xfId="51498"/>
    <cellStyle name="Nota 2 2 2 16 2" xfId="11131"/>
    <cellStyle name="Nota 2 2 2 16 3" xfId="15163"/>
    <cellStyle name="Nota 2 2 2 16 4" xfId="19195"/>
    <cellStyle name="Nota 2 2 2 16 5" xfId="23227"/>
    <cellStyle name="Nota 2 2 2 16 6" xfId="27259"/>
    <cellStyle name="Nota 2 2 2 16 7" xfId="31291"/>
    <cellStyle name="Nota 2 2 2 16 8" xfId="35323"/>
    <cellStyle name="Nota 2 2 2 16 9" xfId="39355"/>
    <cellStyle name="Nota 2 2 2 17" xfId="123"/>
    <cellStyle name="Nota 2 2 2 18" xfId="9115"/>
    <cellStyle name="Nota 2 2 2 19" xfId="13147"/>
    <cellStyle name="Nota 2 2 2 2" xfId="99"/>
    <cellStyle name="Nota 2 2 2 2 10" xfId="4295"/>
    <cellStyle name="Nota 2 2 2 2 10 10" xfId="34147"/>
    <cellStyle name="Nota 2 2 2 2 10 11" xfId="38179"/>
    <cellStyle name="Nota 2 2 2 2 10 12" xfId="42211"/>
    <cellStyle name="Nota 2 2 2 2 10 13" xfId="46243"/>
    <cellStyle name="Nota 2 2 2 2 10 14" xfId="50321"/>
    <cellStyle name="Nota 2 2 2 2 10 2" xfId="6872"/>
    <cellStyle name="Nota 2 2 2 2 10 2 10" xfId="39130"/>
    <cellStyle name="Nota 2 2 2 2 10 2 11" xfId="43162"/>
    <cellStyle name="Nota 2 2 2 2 10 2 12" xfId="47194"/>
    <cellStyle name="Nota 2 2 2 2 10 2 13" xfId="51273"/>
    <cellStyle name="Nota 2 2 2 2 10 2 2" xfId="8888"/>
    <cellStyle name="Nota 2 2 2 2 10 2 2 10" xfId="45178"/>
    <cellStyle name="Nota 2 2 2 2 10 2 2 11" xfId="49210"/>
    <cellStyle name="Nota 2 2 2 2 10 2 2 12" xfId="53289"/>
    <cellStyle name="Nota 2 2 2 2 10 2 2 2" xfId="12922"/>
    <cellStyle name="Nota 2 2 2 2 10 2 2 3" xfId="16954"/>
    <cellStyle name="Nota 2 2 2 2 10 2 2 4" xfId="20986"/>
    <cellStyle name="Nota 2 2 2 2 10 2 2 5" xfId="25018"/>
    <cellStyle name="Nota 2 2 2 2 10 2 2 6" xfId="29050"/>
    <cellStyle name="Nota 2 2 2 2 10 2 2 7" xfId="33082"/>
    <cellStyle name="Nota 2 2 2 2 10 2 2 8" xfId="37114"/>
    <cellStyle name="Nota 2 2 2 2 10 2 2 9" xfId="41146"/>
    <cellStyle name="Nota 2 2 2 2 10 2 3" xfId="10906"/>
    <cellStyle name="Nota 2 2 2 2 10 2 4" xfId="14938"/>
    <cellStyle name="Nota 2 2 2 2 10 2 5" xfId="18970"/>
    <cellStyle name="Nota 2 2 2 2 10 2 6" xfId="23002"/>
    <cellStyle name="Nota 2 2 2 2 10 2 7" xfId="27034"/>
    <cellStyle name="Nota 2 2 2 2 10 2 8" xfId="31066"/>
    <cellStyle name="Nota 2 2 2 2 10 2 9" xfId="35098"/>
    <cellStyle name="Nota 2 2 2 2 10 3" xfId="7937"/>
    <cellStyle name="Nota 2 2 2 2 10 3 10" xfId="44227"/>
    <cellStyle name="Nota 2 2 2 2 10 3 11" xfId="48259"/>
    <cellStyle name="Nota 2 2 2 2 10 3 12" xfId="52338"/>
    <cellStyle name="Nota 2 2 2 2 10 3 2" xfId="11971"/>
    <cellStyle name="Nota 2 2 2 2 10 3 3" xfId="16003"/>
    <cellStyle name="Nota 2 2 2 2 10 3 4" xfId="20035"/>
    <cellStyle name="Nota 2 2 2 2 10 3 5" xfId="24067"/>
    <cellStyle name="Nota 2 2 2 2 10 3 6" xfId="28099"/>
    <cellStyle name="Nota 2 2 2 2 10 3 7" xfId="32131"/>
    <cellStyle name="Nota 2 2 2 2 10 3 8" xfId="36163"/>
    <cellStyle name="Nota 2 2 2 2 10 3 9" xfId="40195"/>
    <cellStyle name="Nota 2 2 2 2 10 4" xfId="9955"/>
    <cellStyle name="Nota 2 2 2 2 10 5" xfId="13987"/>
    <cellStyle name="Nota 2 2 2 2 10 6" xfId="18019"/>
    <cellStyle name="Nota 2 2 2 2 10 7" xfId="22051"/>
    <cellStyle name="Nota 2 2 2 2 10 8" xfId="26083"/>
    <cellStyle name="Nota 2 2 2 2 10 9" xfId="30115"/>
    <cellStyle name="Nota 2 2 2 2 11" xfId="4441"/>
    <cellStyle name="Nota 2 2 2 2 11 10" xfId="34285"/>
    <cellStyle name="Nota 2 2 2 2 11 11" xfId="38317"/>
    <cellStyle name="Nota 2 2 2 2 11 12" xfId="42349"/>
    <cellStyle name="Nota 2 2 2 2 11 13" xfId="46381"/>
    <cellStyle name="Nota 2 2 2 2 11 14" xfId="50460"/>
    <cellStyle name="Nota 2 2 2 2 11 2" xfId="7010"/>
    <cellStyle name="Nota 2 2 2 2 11 2 10" xfId="39268"/>
    <cellStyle name="Nota 2 2 2 2 11 2 11" xfId="43300"/>
    <cellStyle name="Nota 2 2 2 2 11 2 12" xfId="47332"/>
    <cellStyle name="Nota 2 2 2 2 11 2 13" xfId="51411"/>
    <cellStyle name="Nota 2 2 2 2 11 2 2" xfId="9026"/>
    <cellStyle name="Nota 2 2 2 2 11 2 2 10" xfId="45316"/>
    <cellStyle name="Nota 2 2 2 2 11 2 2 11" xfId="49348"/>
    <cellStyle name="Nota 2 2 2 2 11 2 2 12" xfId="53427"/>
    <cellStyle name="Nota 2 2 2 2 11 2 2 2" xfId="13060"/>
    <cellStyle name="Nota 2 2 2 2 11 2 2 3" xfId="17092"/>
    <cellStyle name="Nota 2 2 2 2 11 2 2 4" xfId="21124"/>
    <cellStyle name="Nota 2 2 2 2 11 2 2 5" xfId="25156"/>
    <cellStyle name="Nota 2 2 2 2 11 2 2 6" xfId="29188"/>
    <cellStyle name="Nota 2 2 2 2 11 2 2 7" xfId="33220"/>
    <cellStyle name="Nota 2 2 2 2 11 2 2 8" xfId="37252"/>
    <cellStyle name="Nota 2 2 2 2 11 2 2 9" xfId="41284"/>
    <cellStyle name="Nota 2 2 2 2 11 2 3" xfId="11044"/>
    <cellStyle name="Nota 2 2 2 2 11 2 4" xfId="15076"/>
    <cellStyle name="Nota 2 2 2 2 11 2 5" xfId="19108"/>
    <cellStyle name="Nota 2 2 2 2 11 2 6" xfId="23140"/>
    <cellStyle name="Nota 2 2 2 2 11 2 7" xfId="27172"/>
    <cellStyle name="Nota 2 2 2 2 11 2 8" xfId="31204"/>
    <cellStyle name="Nota 2 2 2 2 11 2 9" xfId="35236"/>
    <cellStyle name="Nota 2 2 2 2 11 3" xfId="8075"/>
    <cellStyle name="Nota 2 2 2 2 11 3 10" xfId="44365"/>
    <cellStyle name="Nota 2 2 2 2 11 3 11" xfId="48397"/>
    <cellStyle name="Nota 2 2 2 2 11 3 12" xfId="52476"/>
    <cellStyle name="Nota 2 2 2 2 11 3 2" xfId="12109"/>
    <cellStyle name="Nota 2 2 2 2 11 3 3" xfId="16141"/>
    <cellStyle name="Nota 2 2 2 2 11 3 4" xfId="20173"/>
    <cellStyle name="Nota 2 2 2 2 11 3 5" xfId="24205"/>
    <cellStyle name="Nota 2 2 2 2 11 3 6" xfId="28237"/>
    <cellStyle name="Nota 2 2 2 2 11 3 7" xfId="32269"/>
    <cellStyle name="Nota 2 2 2 2 11 3 8" xfId="36301"/>
    <cellStyle name="Nota 2 2 2 2 11 3 9" xfId="40333"/>
    <cellStyle name="Nota 2 2 2 2 11 4" xfId="10093"/>
    <cellStyle name="Nota 2 2 2 2 11 5" xfId="14125"/>
    <cellStyle name="Nota 2 2 2 2 11 6" xfId="18157"/>
    <cellStyle name="Nota 2 2 2 2 11 7" xfId="22189"/>
    <cellStyle name="Nota 2 2 2 2 11 8" xfId="26221"/>
    <cellStyle name="Nota 2 2 2 2 11 9" xfId="30253"/>
    <cellStyle name="Nota 2 2 2 2 12" xfId="4579"/>
    <cellStyle name="Nota 2 2 2 2 12 10" xfId="38455"/>
    <cellStyle name="Nota 2 2 2 2 12 11" xfId="42487"/>
    <cellStyle name="Nota 2 2 2 2 12 12" xfId="46519"/>
    <cellStyle name="Nota 2 2 2 2 12 13" xfId="50598"/>
    <cellStyle name="Nota 2 2 2 2 12 2" xfId="8213"/>
    <cellStyle name="Nota 2 2 2 2 12 2 10" xfId="44503"/>
    <cellStyle name="Nota 2 2 2 2 12 2 11" xfId="48535"/>
    <cellStyle name="Nota 2 2 2 2 12 2 12" xfId="52614"/>
    <cellStyle name="Nota 2 2 2 2 12 2 2" xfId="12247"/>
    <cellStyle name="Nota 2 2 2 2 12 2 3" xfId="16279"/>
    <cellStyle name="Nota 2 2 2 2 12 2 4" xfId="20311"/>
    <cellStyle name="Nota 2 2 2 2 12 2 5" xfId="24343"/>
    <cellStyle name="Nota 2 2 2 2 12 2 6" xfId="28375"/>
    <cellStyle name="Nota 2 2 2 2 12 2 7" xfId="32407"/>
    <cellStyle name="Nota 2 2 2 2 12 2 8" xfId="36439"/>
    <cellStyle name="Nota 2 2 2 2 12 2 9" xfId="40471"/>
    <cellStyle name="Nota 2 2 2 2 12 3" xfId="10231"/>
    <cellStyle name="Nota 2 2 2 2 12 4" xfId="14263"/>
    <cellStyle name="Nota 2 2 2 2 12 5" xfId="18295"/>
    <cellStyle name="Nota 2 2 2 2 12 6" xfId="22327"/>
    <cellStyle name="Nota 2 2 2 2 12 7" xfId="26359"/>
    <cellStyle name="Nota 2 2 2 2 12 8" xfId="30391"/>
    <cellStyle name="Nota 2 2 2 2 12 9" xfId="34423"/>
    <cellStyle name="Nota 2 2 2 2 13" xfId="307"/>
    <cellStyle name="Nota 2 2 2 2 13 10" xfId="37512"/>
    <cellStyle name="Nota 2 2 2 2 13 11" xfId="41544"/>
    <cellStyle name="Nota 2 2 2 2 13 12" xfId="45576"/>
    <cellStyle name="Nota 2 2 2 2 13 13" xfId="49654"/>
    <cellStyle name="Nota 2 2 2 2 13 2" xfId="7270"/>
    <cellStyle name="Nota 2 2 2 2 13 2 10" xfId="43560"/>
    <cellStyle name="Nota 2 2 2 2 13 2 11" xfId="47592"/>
    <cellStyle name="Nota 2 2 2 2 13 2 12" xfId="51671"/>
    <cellStyle name="Nota 2 2 2 2 13 2 2" xfId="11304"/>
    <cellStyle name="Nota 2 2 2 2 13 2 3" xfId="15336"/>
    <cellStyle name="Nota 2 2 2 2 13 2 4" xfId="19368"/>
    <cellStyle name="Nota 2 2 2 2 13 2 5" xfId="23400"/>
    <cellStyle name="Nota 2 2 2 2 13 2 6" xfId="27432"/>
    <cellStyle name="Nota 2 2 2 2 13 2 7" xfId="31464"/>
    <cellStyle name="Nota 2 2 2 2 13 2 8" xfId="35496"/>
    <cellStyle name="Nota 2 2 2 2 13 2 9" xfId="39528"/>
    <cellStyle name="Nota 2 2 2 2 13 3" xfId="9288"/>
    <cellStyle name="Nota 2 2 2 2 13 4" xfId="13320"/>
    <cellStyle name="Nota 2 2 2 2 13 5" xfId="17352"/>
    <cellStyle name="Nota 2 2 2 2 13 6" xfId="21384"/>
    <cellStyle name="Nota 2 2 2 2 13 7" xfId="25416"/>
    <cellStyle name="Nota 2 2 2 2 13 8" xfId="29448"/>
    <cellStyle name="Nota 2 2 2 2 13 9" xfId="33480"/>
    <cellStyle name="Nota 2 2 2 2 14" xfId="7148"/>
    <cellStyle name="Nota 2 2 2 2 14 10" xfId="43438"/>
    <cellStyle name="Nota 2 2 2 2 14 11" xfId="47470"/>
    <cellStyle name="Nota 2 2 2 2 14 12" xfId="51549"/>
    <cellStyle name="Nota 2 2 2 2 14 2" xfId="11182"/>
    <cellStyle name="Nota 2 2 2 2 14 3" xfId="15214"/>
    <cellStyle name="Nota 2 2 2 2 14 4" xfId="19246"/>
    <cellStyle name="Nota 2 2 2 2 14 5" xfId="23278"/>
    <cellStyle name="Nota 2 2 2 2 14 6" xfId="27310"/>
    <cellStyle name="Nota 2 2 2 2 14 7" xfId="31342"/>
    <cellStyle name="Nota 2 2 2 2 14 8" xfId="35374"/>
    <cellStyle name="Nota 2 2 2 2 14 9" xfId="39406"/>
    <cellStyle name="Nota 2 2 2 2 15" xfId="174"/>
    <cellStyle name="Nota 2 2 2 2 16" xfId="9166"/>
    <cellStyle name="Nota 2 2 2 2 17" xfId="13198"/>
    <cellStyle name="Nota 2 2 2 2 18" xfId="17230"/>
    <cellStyle name="Nota 2 2 2 2 19" xfId="21262"/>
    <cellStyle name="Nota 2 2 2 2 2" xfId="253"/>
    <cellStyle name="Nota 2 2 2 2 2 10" xfId="21331"/>
    <cellStyle name="Nota 2 2 2 2 2 11" xfId="25363"/>
    <cellStyle name="Nota 2 2 2 2 2 12" xfId="29395"/>
    <cellStyle name="Nota 2 2 2 2 2 13" xfId="33427"/>
    <cellStyle name="Nota 2 2 2 2 2 14" xfId="37459"/>
    <cellStyle name="Nota 2 2 2 2 2 15" xfId="41491"/>
    <cellStyle name="Nota 2 2 2 2 2 16" xfId="45523"/>
    <cellStyle name="Nota 2 2 2 2 2 17" xfId="49601"/>
    <cellStyle name="Nota 2 2 2 2 2 2" xfId="4371"/>
    <cellStyle name="Nota 2 2 2 2 2 2 10" xfId="34216"/>
    <cellStyle name="Nota 2 2 2 2 2 2 11" xfId="38248"/>
    <cellStyle name="Nota 2 2 2 2 2 2 12" xfId="42280"/>
    <cellStyle name="Nota 2 2 2 2 2 2 13" xfId="46312"/>
    <cellStyle name="Nota 2 2 2 2 2 2 14" xfId="50391"/>
    <cellStyle name="Nota 2 2 2 2 2 2 2" xfId="6941"/>
    <cellStyle name="Nota 2 2 2 2 2 2 2 10" xfId="39199"/>
    <cellStyle name="Nota 2 2 2 2 2 2 2 11" xfId="43231"/>
    <cellStyle name="Nota 2 2 2 2 2 2 2 12" xfId="47263"/>
    <cellStyle name="Nota 2 2 2 2 2 2 2 13" xfId="51342"/>
    <cellStyle name="Nota 2 2 2 2 2 2 2 2" xfId="8957"/>
    <cellStyle name="Nota 2 2 2 2 2 2 2 2 10" xfId="45247"/>
    <cellStyle name="Nota 2 2 2 2 2 2 2 2 11" xfId="49279"/>
    <cellStyle name="Nota 2 2 2 2 2 2 2 2 12" xfId="53358"/>
    <cellStyle name="Nota 2 2 2 2 2 2 2 2 2" xfId="12991"/>
    <cellStyle name="Nota 2 2 2 2 2 2 2 2 3" xfId="17023"/>
    <cellStyle name="Nota 2 2 2 2 2 2 2 2 4" xfId="21055"/>
    <cellStyle name="Nota 2 2 2 2 2 2 2 2 5" xfId="25087"/>
    <cellStyle name="Nota 2 2 2 2 2 2 2 2 6" xfId="29119"/>
    <cellStyle name="Nota 2 2 2 2 2 2 2 2 7" xfId="33151"/>
    <cellStyle name="Nota 2 2 2 2 2 2 2 2 8" xfId="37183"/>
    <cellStyle name="Nota 2 2 2 2 2 2 2 2 9" xfId="41215"/>
    <cellStyle name="Nota 2 2 2 2 2 2 2 3" xfId="10975"/>
    <cellStyle name="Nota 2 2 2 2 2 2 2 4" xfId="15007"/>
    <cellStyle name="Nota 2 2 2 2 2 2 2 5" xfId="19039"/>
    <cellStyle name="Nota 2 2 2 2 2 2 2 6" xfId="23071"/>
    <cellStyle name="Nota 2 2 2 2 2 2 2 7" xfId="27103"/>
    <cellStyle name="Nota 2 2 2 2 2 2 2 8" xfId="31135"/>
    <cellStyle name="Nota 2 2 2 2 2 2 2 9" xfId="35167"/>
    <cellStyle name="Nota 2 2 2 2 2 2 3" xfId="8006"/>
    <cellStyle name="Nota 2 2 2 2 2 2 3 10" xfId="44296"/>
    <cellStyle name="Nota 2 2 2 2 2 2 3 11" xfId="48328"/>
    <cellStyle name="Nota 2 2 2 2 2 2 3 12" xfId="52407"/>
    <cellStyle name="Nota 2 2 2 2 2 2 3 2" xfId="12040"/>
    <cellStyle name="Nota 2 2 2 2 2 2 3 3" xfId="16072"/>
    <cellStyle name="Nota 2 2 2 2 2 2 3 4" xfId="20104"/>
    <cellStyle name="Nota 2 2 2 2 2 2 3 5" xfId="24136"/>
    <cellStyle name="Nota 2 2 2 2 2 2 3 6" xfId="28168"/>
    <cellStyle name="Nota 2 2 2 2 2 2 3 7" xfId="32200"/>
    <cellStyle name="Nota 2 2 2 2 2 2 3 8" xfId="36232"/>
    <cellStyle name="Nota 2 2 2 2 2 2 3 9" xfId="40264"/>
    <cellStyle name="Nota 2 2 2 2 2 2 4" xfId="10024"/>
    <cellStyle name="Nota 2 2 2 2 2 2 5" xfId="14056"/>
    <cellStyle name="Nota 2 2 2 2 2 2 6" xfId="18088"/>
    <cellStyle name="Nota 2 2 2 2 2 2 7" xfId="22120"/>
    <cellStyle name="Nota 2 2 2 2 2 2 8" xfId="26152"/>
    <cellStyle name="Nota 2 2 2 2 2 2 9" xfId="30184"/>
    <cellStyle name="Nota 2 2 2 2 2 3" xfId="4510"/>
    <cellStyle name="Nota 2 2 2 2 2 3 10" xfId="34354"/>
    <cellStyle name="Nota 2 2 2 2 2 3 11" xfId="38386"/>
    <cellStyle name="Nota 2 2 2 2 2 3 12" xfId="42418"/>
    <cellStyle name="Nota 2 2 2 2 2 3 13" xfId="46450"/>
    <cellStyle name="Nota 2 2 2 2 2 3 14" xfId="50529"/>
    <cellStyle name="Nota 2 2 2 2 2 3 2" xfId="7079"/>
    <cellStyle name="Nota 2 2 2 2 2 3 2 10" xfId="39337"/>
    <cellStyle name="Nota 2 2 2 2 2 3 2 11" xfId="43369"/>
    <cellStyle name="Nota 2 2 2 2 2 3 2 12" xfId="47401"/>
    <cellStyle name="Nota 2 2 2 2 2 3 2 13" xfId="51480"/>
    <cellStyle name="Nota 2 2 2 2 2 3 2 2" xfId="9095"/>
    <cellStyle name="Nota 2 2 2 2 2 3 2 2 10" xfId="45385"/>
    <cellStyle name="Nota 2 2 2 2 2 3 2 2 11" xfId="49417"/>
    <cellStyle name="Nota 2 2 2 2 2 3 2 2 12" xfId="53496"/>
    <cellStyle name="Nota 2 2 2 2 2 3 2 2 2" xfId="13129"/>
    <cellStyle name="Nota 2 2 2 2 2 3 2 2 3" xfId="17161"/>
    <cellStyle name="Nota 2 2 2 2 2 3 2 2 4" xfId="21193"/>
    <cellStyle name="Nota 2 2 2 2 2 3 2 2 5" xfId="25225"/>
    <cellStyle name="Nota 2 2 2 2 2 3 2 2 6" xfId="29257"/>
    <cellStyle name="Nota 2 2 2 2 2 3 2 2 7" xfId="33289"/>
    <cellStyle name="Nota 2 2 2 2 2 3 2 2 8" xfId="37321"/>
    <cellStyle name="Nota 2 2 2 2 2 3 2 2 9" xfId="41353"/>
    <cellStyle name="Nota 2 2 2 2 2 3 2 3" xfId="11113"/>
    <cellStyle name="Nota 2 2 2 2 2 3 2 4" xfId="15145"/>
    <cellStyle name="Nota 2 2 2 2 2 3 2 5" xfId="19177"/>
    <cellStyle name="Nota 2 2 2 2 2 3 2 6" xfId="23209"/>
    <cellStyle name="Nota 2 2 2 2 2 3 2 7" xfId="27241"/>
    <cellStyle name="Nota 2 2 2 2 2 3 2 8" xfId="31273"/>
    <cellStyle name="Nota 2 2 2 2 2 3 2 9" xfId="35305"/>
    <cellStyle name="Nota 2 2 2 2 2 3 3" xfId="8144"/>
    <cellStyle name="Nota 2 2 2 2 2 3 3 10" xfId="44434"/>
    <cellStyle name="Nota 2 2 2 2 2 3 3 11" xfId="48466"/>
    <cellStyle name="Nota 2 2 2 2 2 3 3 12" xfId="52545"/>
    <cellStyle name="Nota 2 2 2 2 2 3 3 2" xfId="12178"/>
    <cellStyle name="Nota 2 2 2 2 2 3 3 3" xfId="16210"/>
    <cellStyle name="Nota 2 2 2 2 2 3 3 4" xfId="20242"/>
    <cellStyle name="Nota 2 2 2 2 2 3 3 5" xfId="24274"/>
    <cellStyle name="Nota 2 2 2 2 2 3 3 6" xfId="28306"/>
    <cellStyle name="Nota 2 2 2 2 2 3 3 7" xfId="32338"/>
    <cellStyle name="Nota 2 2 2 2 2 3 3 8" xfId="36370"/>
    <cellStyle name="Nota 2 2 2 2 2 3 3 9" xfId="40402"/>
    <cellStyle name="Nota 2 2 2 2 2 3 4" xfId="10162"/>
    <cellStyle name="Nota 2 2 2 2 2 3 5" xfId="14194"/>
    <cellStyle name="Nota 2 2 2 2 2 3 6" xfId="18226"/>
    <cellStyle name="Nota 2 2 2 2 2 3 7" xfId="22258"/>
    <cellStyle name="Nota 2 2 2 2 2 3 8" xfId="26290"/>
    <cellStyle name="Nota 2 2 2 2 2 3 9" xfId="30322"/>
    <cellStyle name="Nota 2 2 2 2 2 4" xfId="4650"/>
    <cellStyle name="Nota 2 2 2 2 2 4 10" xfId="38524"/>
    <cellStyle name="Nota 2 2 2 2 2 4 11" xfId="42556"/>
    <cellStyle name="Nota 2 2 2 2 2 4 12" xfId="46588"/>
    <cellStyle name="Nota 2 2 2 2 2 4 13" xfId="50667"/>
    <cellStyle name="Nota 2 2 2 2 2 4 2" xfId="8282"/>
    <cellStyle name="Nota 2 2 2 2 2 4 2 10" xfId="44572"/>
    <cellStyle name="Nota 2 2 2 2 2 4 2 11" xfId="48604"/>
    <cellStyle name="Nota 2 2 2 2 2 4 2 12" xfId="52683"/>
    <cellStyle name="Nota 2 2 2 2 2 4 2 2" xfId="12316"/>
    <cellStyle name="Nota 2 2 2 2 2 4 2 3" xfId="16348"/>
    <cellStyle name="Nota 2 2 2 2 2 4 2 4" xfId="20380"/>
    <cellStyle name="Nota 2 2 2 2 2 4 2 5" xfId="24412"/>
    <cellStyle name="Nota 2 2 2 2 2 4 2 6" xfId="28444"/>
    <cellStyle name="Nota 2 2 2 2 2 4 2 7" xfId="32476"/>
    <cellStyle name="Nota 2 2 2 2 2 4 2 8" xfId="36508"/>
    <cellStyle name="Nota 2 2 2 2 2 4 2 9" xfId="40540"/>
    <cellStyle name="Nota 2 2 2 2 2 4 3" xfId="10300"/>
    <cellStyle name="Nota 2 2 2 2 2 4 4" xfId="14332"/>
    <cellStyle name="Nota 2 2 2 2 2 4 5" xfId="18364"/>
    <cellStyle name="Nota 2 2 2 2 2 4 6" xfId="22396"/>
    <cellStyle name="Nota 2 2 2 2 2 4 7" xfId="26428"/>
    <cellStyle name="Nota 2 2 2 2 2 4 8" xfId="30460"/>
    <cellStyle name="Nota 2 2 2 2 2 4 9" xfId="34492"/>
    <cellStyle name="Nota 2 2 2 2 2 5" xfId="1552"/>
    <cellStyle name="Nota 2 2 2 2 2 6" xfId="7217"/>
    <cellStyle name="Nota 2 2 2 2 2 6 10" xfId="43507"/>
    <cellStyle name="Nota 2 2 2 2 2 6 11" xfId="47539"/>
    <cellStyle name="Nota 2 2 2 2 2 6 12" xfId="51618"/>
    <cellStyle name="Nota 2 2 2 2 2 6 2" xfId="11251"/>
    <cellStyle name="Nota 2 2 2 2 2 6 3" xfId="15283"/>
    <cellStyle name="Nota 2 2 2 2 2 6 4" xfId="19315"/>
    <cellStyle name="Nota 2 2 2 2 2 6 5" xfId="23347"/>
    <cellStyle name="Nota 2 2 2 2 2 6 6" xfId="27379"/>
    <cellStyle name="Nota 2 2 2 2 2 6 7" xfId="31411"/>
    <cellStyle name="Nota 2 2 2 2 2 6 8" xfId="35443"/>
    <cellStyle name="Nota 2 2 2 2 2 6 9" xfId="39475"/>
    <cellStyle name="Nota 2 2 2 2 2 7" xfId="9235"/>
    <cellStyle name="Nota 2 2 2 2 2 8" xfId="13267"/>
    <cellStyle name="Nota 2 2 2 2 2 9" xfId="17299"/>
    <cellStyle name="Nota 2 2 2 2 20" xfId="25294"/>
    <cellStyle name="Nota 2 2 2 2 21" xfId="29326"/>
    <cellStyle name="Nota 2 2 2 2 22" xfId="33358"/>
    <cellStyle name="Nota 2 2 2 2 23" xfId="37390"/>
    <cellStyle name="Nota 2 2 2 2 24" xfId="41422"/>
    <cellStyle name="Nota 2 2 2 2 25" xfId="45454"/>
    <cellStyle name="Nota 2 2 2 2 26" xfId="49532"/>
    <cellStyle name="Nota 2 2 2 2 3" xfId="1434"/>
    <cellStyle name="Nota 2 2 2 2 3 2" xfId="5204"/>
    <cellStyle name="Nota 2 2 2 2 4" xfId="377"/>
    <cellStyle name="Nota 2 2 2 2 4 10" xfId="33550"/>
    <cellStyle name="Nota 2 2 2 2 4 11" xfId="37582"/>
    <cellStyle name="Nota 2 2 2 2 4 12" xfId="41614"/>
    <cellStyle name="Nota 2 2 2 2 4 13" xfId="45646"/>
    <cellStyle name="Nota 2 2 2 2 4 14" xfId="49724"/>
    <cellStyle name="Nota 2 2 2 2 4 2" xfId="4675"/>
    <cellStyle name="Nota 2 2 2 2 4 2 10" xfId="38549"/>
    <cellStyle name="Nota 2 2 2 2 4 2 11" xfId="42581"/>
    <cellStyle name="Nota 2 2 2 2 4 2 12" xfId="46613"/>
    <cellStyle name="Nota 2 2 2 2 4 2 13" xfId="50692"/>
    <cellStyle name="Nota 2 2 2 2 4 2 2" xfId="8307"/>
    <cellStyle name="Nota 2 2 2 2 4 2 2 10" xfId="44597"/>
    <cellStyle name="Nota 2 2 2 2 4 2 2 11" xfId="48629"/>
    <cellStyle name="Nota 2 2 2 2 4 2 2 12" xfId="52708"/>
    <cellStyle name="Nota 2 2 2 2 4 2 2 2" xfId="12341"/>
    <cellStyle name="Nota 2 2 2 2 4 2 2 3" xfId="16373"/>
    <cellStyle name="Nota 2 2 2 2 4 2 2 4" xfId="20405"/>
    <cellStyle name="Nota 2 2 2 2 4 2 2 5" xfId="24437"/>
    <cellStyle name="Nota 2 2 2 2 4 2 2 6" xfId="28469"/>
    <cellStyle name="Nota 2 2 2 2 4 2 2 7" xfId="32501"/>
    <cellStyle name="Nota 2 2 2 2 4 2 2 8" xfId="36533"/>
    <cellStyle name="Nota 2 2 2 2 4 2 2 9" xfId="40565"/>
    <cellStyle name="Nota 2 2 2 2 4 2 3" xfId="10325"/>
    <cellStyle name="Nota 2 2 2 2 4 2 4" xfId="14357"/>
    <cellStyle name="Nota 2 2 2 2 4 2 5" xfId="18389"/>
    <cellStyle name="Nota 2 2 2 2 4 2 6" xfId="22421"/>
    <cellStyle name="Nota 2 2 2 2 4 2 7" xfId="26453"/>
    <cellStyle name="Nota 2 2 2 2 4 2 8" xfId="30485"/>
    <cellStyle name="Nota 2 2 2 2 4 2 9" xfId="34517"/>
    <cellStyle name="Nota 2 2 2 2 4 3" xfId="7340"/>
    <cellStyle name="Nota 2 2 2 2 4 3 10" xfId="43630"/>
    <cellStyle name="Nota 2 2 2 2 4 3 11" xfId="47662"/>
    <cellStyle name="Nota 2 2 2 2 4 3 12" xfId="51741"/>
    <cellStyle name="Nota 2 2 2 2 4 3 2" xfId="11374"/>
    <cellStyle name="Nota 2 2 2 2 4 3 3" xfId="15406"/>
    <cellStyle name="Nota 2 2 2 2 4 3 4" xfId="19438"/>
    <cellStyle name="Nota 2 2 2 2 4 3 5" xfId="23470"/>
    <cellStyle name="Nota 2 2 2 2 4 3 6" xfId="27502"/>
    <cellStyle name="Nota 2 2 2 2 4 3 7" xfId="31534"/>
    <cellStyle name="Nota 2 2 2 2 4 3 8" xfId="35566"/>
    <cellStyle name="Nota 2 2 2 2 4 3 9" xfId="39598"/>
    <cellStyle name="Nota 2 2 2 2 4 4" xfId="9358"/>
    <cellStyle name="Nota 2 2 2 2 4 5" xfId="13390"/>
    <cellStyle name="Nota 2 2 2 2 4 6" xfId="17422"/>
    <cellStyle name="Nota 2 2 2 2 4 7" xfId="21454"/>
    <cellStyle name="Nota 2 2 2 2 4 8" xfId="25486"/>
    <cellStyle name="Nota 2 2 2 2 4 9" xfId="29518"/>
    <cellStyle name="Nota 2 2 2 2 5" xfId="1687"/>
    <cellStyle name="Nota 2 2 2 2 5 10" xfId="33648"/>
    <cellStyle name="Nota 2 2 2 2 5 11" xfId="37680"/>
    <cellStyle name="Nota 2 2 2 2 5 12" xfId="41712"/>
    <cellStyle name="Nota 2 2 2 2 5 13" xfId="45744"/>
    <cellStyle name="Nota 2 2 2 2 5 14" xfId="49822"/>
    <cellStyle name="Nota 2 2 2 2 5 2" xfId="5363"/>
    <cellStyle name="Nota 2 2 2 2 5 2 10" xfId="38631"/>
    <cellStyle name="Nota 2 2 2 2 5 2 11" xfId="42663"/>
    <cellStyle name="Nota 2 2 2 2 5 2 12" xfId="46695"/>
    <cellStyle name="Nota 2 2 2 2 5 2 13" xfId="50774"/>
    <cellStyle name="Nota 2 2 2 2 5 2 2" xfId="8389"/>
    <cellStyle name="Nota 2 2 2 2 5 2 2 10" xfId="44679"/>
    <cellStyle name="Nota 2 2 2 2 5 2 2 11" xfId="48711"/>
    <cellStyle name="Nota 2 2 2 2 5 2 2 12" xfId="52790"/>
    <cellStyle name="Nota 2 2 2 2 5 2 2 2" xfId="12423"/>
    <cellStyle name="Nota 2 2 2 2 5 2 2 3" xfId="16455"/>
    <cellStyle name="Nota 2 2 2 2 5 2 2 4" xfId="20487"/>
    <cellStyle name="Nota 2 2 2 2 5 2 2 5" xfId="24519"/>
    <cellStyle name="Nota 2 2 2 2 5 2 2 6" xfId="28551"/>
    <cellStyle name="Nota 2 2 2 2 5 2 2 7" xfId="32583"/>
    <cellStyle name="Nota 2 2 2 2 5 2 2 8" xfId="36615"/>
    <cellStyle name="Nota 2 2 2 2 5 2 2 9" xfId="40647"/>
    <cellStyle name="Nota 2 2 2 2 5 2 3" xfId="10407"/>
    <cellStyle name="Nota 2 2 2 2 5 2 4" xfId="14439"/>
    <cellStyle name="Nota 2 2 2 2 5 2 5" xfId="18471"/>
    <cellStyle name="Nota 2 2 2 2 5 2 6" xfId="22503"/>
    <cellStyle name="Nota 2 2 2 2 5 2 7" xfId="26535"/>
    <cellStyle name="Nota 2 2 2 2 5 2 8" xfId="30567"/>
    <cellStyle name="Nota 2 2 2 2 5 2 9" xfId="34599"/>
    <cellStyle name="Nota 2 2 2 2 5 3" xfId="7438"/>
    <cellStyle name="Nota 2 2 2 2 5 3 10" xfId="43728"/>
    <cellStyle name="Nota 2 2 2 2 5 3 11" xfId="47760"/>
    <cellStyle name="Nota 2 2 2 2 5 3 12" xfId="51839"/>
    <cellStyle name="Nota 2 2 2 2 5 3 2" xfId="11472"/>
    <cellStyle name="Nota 2 2 2 2 5 3 3" xfId="15504"/>
    <cellStyle name="Nota 2 2 2 2 5 3 4" xfId="19536"/>
    <cellStyle name="Nota 2 2 2 2 5 3 5" xfId="23568"/>
    <cellStyle name="Nota 2 2 2 2 5 3 6" xfId="27600"/>
    <cellStyle name="Nota 2 2 2 2 5 3 7" xfId="31632"/>
    <cellStyle name="Nota 2 2 2 2 5 3 8" xfId="35664"/>
    <cellStyle name="Nota 2 2 2 2 5 3 9" xfId="39696"/>
    <cellStyle name="Nota 2 2 2 2 5 4" xfId="9456"/>
    <cellStyle name="Nota 2 2 2 2 5 5" xfId="13488"/>
    <cellStyle name="Nota 2 2 2 2 5 6" xfId="17520"/>
    <cellStyle name="Nota 2 2 2 2 5 7" xfId="21552"/>
    <cellStyle name="Nota 2 2 2 2 5 8" xfId="25584"/>
    <cellStyle name="Nota 2 2 2 2 5 9" xfId="29616"/>
    <cellStyle name="Nota 2 2 2 2 6" xfId="1761"/>
    <cellStyle name="Nota 2 2 2 2 6 10" xfId="33717"/>
    <cellStyle name="Nota 2 2 2 2 6 11" xfId="37749"/>
    <cellStyle name="Nota 2 2 2 2 6 12" xfId="41781"/>
    <cellStyle name="Nota 2 2 2 2 6 13" xfId="45813"/>
    <cellStyle name="Nota 2 2 2 2 6 14" xfId="49891"/>
    <cellStyle name="Nota 2 2 2 2 6 2" xfId="5432"/>
    <cellStyle name="Nota 2 2 2 2 6 2 10" xfId="38700"/>
    <cellStyle name="Nota 2 2 2 2 6 2 11" xfId="42732"/>
    <cellStyle name="Nota 2 2 2 2 6 2 12" xfId="46764"/>
    <cellStyle name="Nota 2 2 2 2 6 2 13" xfId="50843"/>
    <cellStyle name="Nota 2 2 2 2 6 2 2" xfId="8458"/>
    <cellStyle name="Nota 2 2 2 2 6 2 2 10" xfId="44748"/>
    <cellStyle name="Nota 2 2 2 2 6 2 2 11" xfId="48780"/>
    <cellStyle name="Nota 2 2 2 2 6 2 2 12" xfId="52859"/>
    <cellStyle name="Nota 2 2 2 2 6 2 2 2" xfId="12492"/>
    <cellStyle name="Nota 2 2 2 2 6 2 2 3" xfId="16524"/>
    <cellStyle name="Nota 2 2 2 2 6 2 2 4" xfId="20556"/>
    <cellStyle name="Nota 2 2 2 2 6 2 2 5" xfId="24588"/>
    <cellStyle name="Nota 2 2 2 2 6 2 2 6" xfId="28620"/>
    <cellStyle name="Nota 2 2 2 2 6 2 2 7" xfId="32652"/>
    <cellStyle name="Nota 2 2 2 2 6 2 2 8" xfId="36684"/>
    <cellStyle name="Nota 2 2 2 2 6 2 2 9" xfId="40716"/>
    <cellStyle name="Nota 2 2 2 2 6 2 3" xfId="10476"/>
    <cellStyle name="Nota 2 2 2 2 6 2 4" xfId="14508"/>
    <cellStyle name="Nota 2 2 2 2 6 2 5" xfId="18540"/>
    <cellStyle name="Nota 2 2 2 2 6 2 6" xfId="22572"/>
    <cellStyle name="Nota 2 2 2 2 6 2 7" xfId="26604"/>
    <cellStyle name="Nota 2 2 2 2 6 2 8" xfId="30636"/>
    <cellStyle name="Nota 2 2 2 2 6 2 9" xfId="34668"/>
    <cellStyle name="Nota 2 2 2 2 6 3" xfId="7507"/>
    <cellStyle name="Nota 2 2 2 2 6 3 10" xfId="43797"/>
    <cellStyle name="Nota 2 2 2 2 6 3 11" xfId="47829"/>
    <cellStyle name="Nota 2 2 2 2 6 3 12" xfId="51908"/>
    <cellStyle name="Nota 2 2 2 2 6 3 2" xfId="11541"/>
    <cellStyle name="Nota 2 2 2 2 6 3 3" xfId="15573"/>
    <cellStyle name="Nota 2 2 2 2 6 3 4" xfId="19605"/>
    <cellStyle name="Nota 2 2 2 2 6 3 5" xfId="23637"/>
    <cellStyle name="Nota 2 2 2 2 6 3 6" xfId="27669"/>
    <cellStyle name="Nota 2 2 2 2 6 3 7" xfId="31701"/>
    <cellStyle name="Nota 2 2 2 2 6 3 8" xfId="35733"/>
    <cellStyle name="Nota 2 2 2 2 6 3 9" xfId="39765"/>
    <cellStyle name="Nota 2 2 2 2 6 4" xfId="9525"/>
    <cellStyle name="Nota 2 2 2 2 6 5" xfId="13557"/>
    <cellStyle name="Nota 2 2 2 2 6 6" xfId="17589"/>
    <cellStyle name="Nota 2 2 2 2 6 7" xfId="21621"/>
    <cellStyle name="Nota 2 2 2 2 6 8" xfId="25653"/>
    <cellStyle name="Nota 2 2 2 2 6 9" xfId="29685"/>
    <cellStyle name="Nota 2 2 2 2 7" xfId="4083"/>
    <cellStyle name="Nota 2 2 2 2 7 10" xfId="33940"/>
    <cellStyle name="Nota 2 2 2 2 7 11" xfId="37972"/>
    <cellStyle name="Nota 2 2 2 2 7 12" xfId="42004"/>
    <cellStyle name="Nota 2 2 2 2 7 13" xfId="46036"/>
    <cellStyle name="Nota 2 2 2 2 7 14" xfId="50114"/>
    <cellStyle name="Nota 2 2 2 2 7 2" xfId="6665"/>
    <cellStyle name="Nota 2 2 2 2 7 2 10" xfId="38923"/>
    <cellStyle name="Nota 2 2 2 2 7 2 11" xfId="42955"/>
    <cellStyle name="Nota 2 2 2 2 7 2 12" xfId="46987"/>
    <cellStyle name="Nota 2 2 2 2 7 2 13" xfId="51066"/>
    <cellStyle name="Nota 2 2 2 2 7 2 2" xfId="8681"/>
    <cellStyle name="Nota 2 2 2 2 7 2 2 10" xfId="44971"/>
    <cellStyle name="Nota 2 2 2 2 7 2 2 11" xfId="49003"/>
    <cellStyle name="Nota 2 2 2 2 7 2 2 12" xfId="53082"/>
    <cellStyle name="Nota 2 2 2 2 7 2 2 2" xfId="12715"/>
    <cellStyle name="Nota 2 2 2 2 7 2 2 3" xfId="16747"/>
    <cellStyle name="Nota 2 2 2 2 7 2 2 4" xfId="20779"/>
    <cellStyle name="Nota 2 2 2 2 7 2 2 5" xfId="24811"/>
    <cellStyle name="Nota 2 2 2 2 7 2 2 6" xfId="28843"/>
    <cellStyle name="Nota 2 2 2 2 7 2 2 7" xfId="32875"/>
    <cellStyle name="Nota 2 2 2 2 7 2 2 8" xfId="36907"/>
    <cellStyle name="Nota 2 2 2 2 7 2 2 9" xfId="40939"/>
    <cellStyle name="Nota 2 2 2 2 7 2 3" xfId="10699"/>
    <cellStyle name="Nota 2 2 2 2 7 2 4" xfId="14731"/>
    <cellStyle name="Nota 2 2 2 2 7 2 5" xfId="18763"/>
    <cellStyle name="Nota 2 2 2 2 7 2 6" xfId="22795"/>
    <cellStyle name="Nota 2 2 2 2 7 2 7" xfId="26827"/>
    <cellStyle name="Nota 2 2 2 2 7 2 8" xfId="30859"/>
    <cellStyle name="Nota 2 2 2 2 7 2 9" xfId="34891"/>
    <cellStyle name="Nota 2 2 2 2 7 3" xfId="7730"/>
    <cellStyle name="Nota 2 2 2 2 7 3 10" xfId="44020"/>
    <cellStyle name="Nota 2 2 2 2 7 3 11" xfId="48052"/>
    <cellStyle name="Nota 2 2 2 2 7 3 12" xfId="52131"/>
    <cellStyle name="Nota 2 2 2 2 7 3 2" xfId="11764"/>
    <cellStyle name="Nota 2 2 2 2 7 3 3" xfId="15796"/>
    <cellStyle name="Nota 2 2 2 2 7 3 4" xfId="19828"/>
    <cellStyle name="Nota 2 2 2 2 7 3 5" xfId="23860"/>
    <cellStyle name="Nota 2 2 2 2 7 3 6" xfId="27892"/>
    <cellStyle name="Nota 2 2 2 2 7 3 7" xfId="31924"/>
    <cellStyle name="Nota 2 2 2 2 7 3 8" xfId="35956"/>
    <cellStyle name="Nota 2 2 2 2 7 3 9" xfId="39988"/>
    <cellStyle name="Nota 2 2 2 2 7 4" xfId="9748"/>
    <cellStyle name="Nota 2 2 2 2 7 5" xfId="13780"/>
    <cellStyle name="Nota 2 2 2 2 7 6" xfId="17812"/>
    <cellStyle name="Nota 2 2 2 2 7 7" xfId="21844"/>
    <cellStyle name="Nota 2 2 2 2 7 8" xfId="25876"/>
    <cellStyle name="Nota 2 2 2 2 7 9" xfId="29908"/>
    <cellStyle name="Nota 2 2 2 2 8" xfId="4153"/>
    <cellStyle name="Nota 2 2 2 2 8 10" xfId="34009"/>
    <cellStyle name="Nota 2 2 2 2 8 11" xfId="38041"/>
    <cellStyle name="Nota 2 2 2 2 8 12" xfId="42073"/>
    <cellStyle name="Nota 2 2 2 2 8 13" xfId="46105"/>
    <cellStyle name="Nota 2 2 2 2 8 14" xfId="50183"/>
    <cellStyle name="Nota 2 2 2 2 8 2" xfId="6734"/>
    <cellStyle name="Nota 2 2 2 2 8 2 10" xfId="38992"/>
    <cellStyle name="Nota 2 2 2 2 8 2 11" xfId="43024"/>
    <cellStyle name="Nota 2 2 2 2 8 2 12" xfId="47056"/>
    <cellStyle name="Nota 2 2 2 2 8 2 13" xfId="51135"/>
    <cellStyle name="Nota 2 2 2 2 8 2 2" xfId="8750"/>
    <cellStyle name="Nota 2 2 2 2 8 2 2 10" xfId="45040"/>
    <cellStyle name="Nota 2 2 2 2 8 2 2 11" xfId="49072"/>
    <cellStyle name="Nota 2 2 2 2 8 2 2 12" xfId="53151"/>
    <cellStyle name="Nota 2 2 2 2 8 2 2 2" xfId="12784"/>
    <cellStyle name="Nota 2 2 2 2 8 2 2 3" xfId="16816"/>
    <cellStyle name="Nota 2 2 2 2 8 2 2 4" xfId="20848"/>
    <cellStyle name="Nota 2 2 2 2 8 2 2 5" xfId="24880"/>
    <cellStyle name="Nota 2 2 2 2 8 2 2 6" xfId="28912"/>
    <cellStyle name="Nota 2 2 2 2 8 2 2 7" xfId="32944"/>
    <cellStyle name="Nota 2 2 2 2 8 2 2 8" xfId="36976"/>
    <cellStyle name="Nota 2 2 2 2 8 2 2 9" xfId="41008"/>
    <cellStyle name="Nota 2 2 2 2 8 2 3" xfId="10768"/>
    <cellStyle name="Nota 2 2 2 2 8 2 4" xfId="14800"/>
    <cellStyle name="Nota 2 2 2 2 8 2 5" xfId="18832"/>
    <cellStyle name="Nota 2 2 2 2 8 2 6" xfId="22864"/>
    <cellStyle name="Nota 2 2 2 2 8 2 7" xfId="26896"/>
    <cellStyle name="Nota 2 2 2 2 8 2 8" xfId="30928"/>
    <cellStyle name="Nota 2 2 2 2 8 2 9" xfId="34960"/>
    <cellStyle name="Nota 2 2 2 2 8 3" xfId="7799"/>
    <cellStyle name="Nota 2 2 2 2 8 3 10" xfId="44089"/>
    <cellStyle name="Nota 2 2 2 2 8 3 11" xfId="48121"/>
    <cellStyle name="Nota 2 2 2 2 8 3 12" xfId="52200"/>
    <cellStyle name="Nota 2 2 2 2 8 3 2" xfId="11833"/>
    <cellStyle name="Nota 2 2 2 2 8 3 3" xfId="15865"/>
    <cellStyle name="Nota 2 2 2 2 8 3 4" xfId="19897"/>
    <cellStyle name="Nota 2 2 2 2 8 3 5" xfId="23929"/>
    <cellStyle name="Nota 2 2 2 2 8 3 6" xfId="27961"/>
    <cellStyle name="Nota 2 2 2 2 8 3 7" xfId="31993"/>
    <cellStyle name="Nota 2 2 2 2 8 3 8" xfId="36025"/>
    <cellStyle name="Nota 2 2 2 2 8 3 9" xfId="40057"/>
    <cellStyle name="Nota 2 2 2 2 8 4" xfId="9817"/>
    <cellStyle name="Nota 2 2 2 2 8 5" xfId="13849"/>
    <cellStyle name="Nota 2 2 2 2 8 6" xfId="17881"/>
    <cellStyle name="Nota 2 2 2 2 8 7" xfId="21913"/>
    <cellStyle name="Nota 2 2 2 2 8 8" xfId="25945"/>
    <cellStyle name="Nota 2 2 2 2 8 9" xfId="29977"/>
    <cellStyle name="Nota 2 2 2 2 9" xfId="4222"/>
    <cellStyle name="Nota 2 2 2 2 9 10" xfId="34078"/>
    <cellStyle name="Nota 2 2 2 2 9 11" xfId="38110"/>
    <cellStyle name="Nota 2 2 2 2 9 12" xfId="42142"/>
    <cellStyle name="Nota 2 2 2 2 9 13" xfId="46174"/>
    <cellStyle name="Nota 2 2 2 2 9 14" xfId="50252"/>
    <cellStyle name="Nota 2 2 2 2 9 2" xfId="6803"/>
    <cellStyle name="Nota 2 2 2 2 9 2 10" xfId="39061"/>
    <cellStyle name="Nota 2 2 2 2 9 2 11" xfId="43093"/>
    <cellStyle name="Nota 2 2 2 2 9 2 12" xfId="47125"/>
    <cellStyle name="Nota 2 2 2 2 9 2 13" xfId="51204"/>
    <cellStyle name="Nota 2 2 2 2 9 2 2" xfId="8819"/>
    <cellStyle name="Nota 2 2 2 2 9 2 2 10" xfId="45109"/>
    <cellStyle name="Nota 2 2 2 2 9 2 2 11" xfId="49141"/>
    <cellStyle name="Nota 2 2 2 2 9 2 2 12" xfId="53220"/>
    <cellStyle name="Nota 2 2 2 2 9 2 2 2" xfId="12853"/>
    <cellStyle name="Nota 2 2 2 2 9 2 2 3" xfId="16885"/>
    <cellStyle name="Nota 2 2 2 2 9 2 2 4" xfId="20917"/>
    <cellStyle name="Nota 2 2 2 2 9 2 2 5" xfId="24949"/>
    <cellStyle name="Nota 2 2 2 2 9 2 2 6" xfId="28981"/>
    <cellStyle name="Nota 2 2 2 2 9 2 2 7" xfId="33013"/>
    <cellStyle name="Nota 2 2 2 2 9 2 2 8" xfId="37045"/>
    <cellStyle name="Nota 2 2 2 2 9 2 2 9" xfId="41077"/>
    <cellStyle name="Nota 2 2 2 2 9 2 3" xfId="10837"/>
    <cellStyle name="Nota 2 2 2 2 9 2 4" xfId="14869"/>
    <cellStyle name="Nota 2 2 2 2 9 2 5" xfId="18901"/>
    <cellStyle name="Nota 2 2 2 2 9 2 6" xfId="22933"/>
    <cellStyle name="Nota 2 2 2 2 9 2 7" xfId="26965"/>
    <cellStyle name="Nota 2 2 2 2 9 2 8" xfId="30997"/>
    <cellStyle name="Nota 2 2 2 2 9 2 9" xfId="35029"/>
    <cellStyle name="Nota 2 2 2 2 9 3" xfId="7868"/>
    <cellStyle name="Nota 2 2 2 2 9 3 10" xfId="44158"/>
    <cellStyle name="Nota 2 2 2 2 9 3 11" xfId="48190"/>
    <cellStyle name="Nota 2 2 2 2 9 3 12" xfId="52269"/>
    <cellStyle name="Nota 2 2 2 2 9 3 2" xfId="11902"/>
    <cellStyle name="Nota 2 2 2 2 9 3 3" xfId="15934"/>
    <cellStyle name="Nota 2 2 2 2 9 3 4" xfId="19966"/>
    <cellStyle name="Nota 2 2 2 2 9 3 5" xfId="23998"/>
    <cellStyle name="Nota 2 2 2 2 9 3 6" xfId="28030"/>
    <cellStyle name="Nota 2 2 2 2 9 3 7" xfId="32062"/>
    <cellStyle name="Nota 2 2 2 2 9 3 8" xfId="36094"/>
    <cellStyle name="Nota 2 2 2 2 9 3 9" xfId="40126"/>
    <cellStyle name="Nota 2 2 2 2 9 4" xfId="9886"/>
    <cellStyle name="Nota 2 2 2 2 9 5" xfId="13918"/>
    <cellStyle name="Nota 2 2 2 2 9 6" xfId="17950"/>
    <cellStyle name="Nota 2 2 2 2 9 7" xfId="21982"/>
    <cellStyle name="Nota 2 2 2 2 9 8" xfId="26014"/>
    <cellStyle name="Nota 2 2 2 2 9 9" xfId="30046"/>
    <cellStyle name="Nota 2 2 2 20" xfId="17179"/>
    <cellStyle name="Nota 2 2 2 21" xfId="21211"/>
    <cellStyle name="Nota 2 2 2 22" xfId="25243"/>
    <cellStyle name="Nota 2 2 2 23" xfId="29275"/>
    <cellStyle name="Nota 2 2 2 24" xfId="33307"/>
    <cellStyle name="Nota 2 2 2 25" xfId="37339"/>
    <cellStyle name="Nota 2 2 2 26" xfId="41371"/>
    <cellStyle name="Nota 2 2 2 27" xfId="45403"/>
    <cellStyle name="Nota 2 2 2 28" xfId="49481"/>
    <cellStyle name="Nota 2 2 2 3" xfId="83"/>
    <cellStyle name="Nota 2 2 2 3 10" xfId="4563"/>
    <cellStyle name="Nota 2 2 2 3 10 10" xfId="38439"/>
    <cellStyle name="Nota 2 2 2 3 10 11" xfId="42471"/>
    <cellStyle name="Nota 2 2 2 3 10 12" xfId="46503"/>
    <cellStyle name="Nota 2 2 2 3 10 13" xfId="50582"/>
    <cellStyle name="Nota 2 2 2 3 10 2" xfId="8197"/>
    <cellStyle name="Nota 2 2 2 3 10 2 10" xfId="44487"/>
    <cellStyle name="Nota 2 2 2 3 10 2 11" xfId="48519"/>
    <cellStyle name="Nota 2 2 2 3 10 2 12" xfId="52598"/>
    <cellStyle name="Nota 2 2 2 3 10 2 2" xfId="12231"/>
    <cellStyle name="Nota 2 2 2 3 10 2 3" xfId="16263"/>
    <cellStyle name="Nota 2 2 2 3 10 2 4" xfId="20295"/>
    <cellStyle name="Nota 2 2 2 3 10 2 5" xfId="24327"/>
    <cellStyle name="Nota 2 2 2 3 10 2 6" xfId="28359"/>
    <cellStyle name="Nota 2 2 2 3 10 2 7" xfId="32391"/>
    <cellStyle name="Nota 2 2 2 3 10 2 8" xfId="36423"/>
    <cellStyle name="Nota 2 2 2 3 10 2 9" xfId="40455"/>
    <cellStyle name="Nota 2 2 2 3 10 3" xfId="10215"/>
    <cellStyle name="Nota 2 2 2 3 10 4" xfId="14247"/>
    <cellStyle name="Nota 2 2 2 3 10 5" xfId="18279"/>
    <cellStyle name="Nota 2 2 2 3 10 6" xfId="22311"/>
    <cellStyle name="Nota 2 2 2 3 10 7" xfId="26343"/>
    <cellStyle name="Nota 2 2 2 3 10 8" xfId="30375"/>
    <cellStyle name="Nota 2 2 2 3 10 9" xfId="34407"/>
    <cellStyle name="Nota 2 2 2 3 11" xfId="291"/>
    <cellStyle name="Nota 2 2 2 3 11 10" xfId="37496"/>
    <cellStyle name="Nota 2 2 2 3 11 11" xfId="41528"/>
    <cellStyle name="Nota 2 2 2 3 11 12" xfId="45560"/>
    <cellStyle name="Nota 2 2 2 3 11 13" xfId="49638"/>
    <cellStyle name="Nota 2 2 2 3 11 2" xfId="7254"/>
    <cellStyle name="Nota 2 2 2 3 11 2 10" xfId="43544"/>
    <cellStyle name="Nota 2 2 2 3 11 2 11" xfId="47576"/>
    <cellStyle name="Nota 2 2 2 3 11 2 12" xfId="51655"/>
    <cellStyle name="Nota 2 2 2 3 11 2 2" xfId="11288"/>
    <cellStyle name="Nota 2 2 2 3 11 2 3" xfId="15320"/>
    <cellStyle name="Nota 2 2 2 3 11 2 4" xfId="19352"/>
    <cellStyle name="Nota 2 2 2 3 11 2 5" xfId="23384"/>
    <cellStyle name="Nota 2 2 2 3 11 2 6" xfId="27416"/>
    <cellStyle name="Nota 2 2 2 3 11 2 7" xfId="31448"/>
    <cellStyle name="Nota 2 2 2 3 11 2 8" xfId="35480"/>
    <cellStyle name="Nota 2 2 2 3 11 2 9" xfId="39512"/>
    <cellStyle name="Nota 2 2 2 3 11 3" xfId="9272"/>
    <cellStyle name="Nota 2 2 2 3 11 4" xfId="13304"/>
    <cellStyle name="Nota 2 2 2 3 11 5" xfId="17336"/>
    <cellStyle name="Nota 2 2 2 3 11 6" xfId="21368"/>
    <cellStyle name="Nota 2 2 2 3 11 7" xfId="25400"/>
    <cellStyle name="Nota 2 2 2 3 11 8" xfId="29432"/>
    <cellStyle name="Nota 2 2 2 3 11 9" xfId="33464"/>
    <cellStyle name="Nota 2 2 2 3 12" xfId="7132"/>
    <cellStyle name="Nota 2 2 2 3 12 10" xfId="43422"/>
    <cellStyle name="Nota 2 2 2 3 12 11" xfId="47454"/>
    <cellStyle name="Nota 2 2 2 3 12 12" xfId="51533"/>
    <cellStyle name="Nota 2 2 2 3 12 2" xfId="11166"/>
    <cellStyle name="Nota 2 2 2 3 12 3" xfId="15198"/>
    <cellStyle name="Nota 2 2 2 3 12 4" xfId="19230"/>
    <cellStyle name="Nota 2 2 2 3 12 5" xfId="23262"/>
    <cellStyle name="Nota 2 2 2 3 12 6" xfId="27294"/>
    <cellStyle name="Nota 2 2 2 3 12 7" xfId="31326"/>
    <cellStyle name="Nota 2 2 2 3 12 8" xfId="35358"/>
    <cellStyle name="Nota 2 2 2 3 12 9" xfId="39390"/>
    <cellStyle name="Nota 2 2 2 3 13" xfId="158"/>
    <cellStyle name="Nota 2 2 2 3 14" xfId="9150"/>
    <cellStyle name="Nota 2 2 2 3 15" xfId="13182"/>
    <cellStyle name="Nota 2 2 2 3 16" xfId="17214"/>
    <cellStyle name="Nota 2 2 2 3 17" xfId="21246"/>
    <cellStyle name="Nota 2 2 2 3 18" xfId="25278"/>
    <cellStyle name="Nota 2 2 2 3 19" xfId="29310"/>
    <cellStyle name="Nota 2 2 2 3 2" xfId="237"/>
    <cellStyle name="Nota 2 2 2 3 2 10" xfId="21315"/>
    <cellStyle name="Nota 2 2 2 3 2 11" xfId="25347"/>
    <cellStyle name="Nota 2 2 2 3 2 12" xfId="29379"/>
    <cellStyle name="Nota 2 2 2 3 2 13" xfId="33411"/>
    <cellStyle name="Nota 2 2 2 3 2 14" xfId="37443"/>
    <cellStyle name="Nota 2 2 2 3 2 15" xfId="41475"/>
    <cellStyle name="Nota 2 2 2 3 2 16" xfId="45507"/>
    <cellStyle name="Nota 2 2 2 3 2 17" xfId="49585"/>
    <cellStyle name="Nota 2 2 2 3 2 2" xfId="4355"/>
    <cellStyle name="Nota 2 2 2 3 2 2 10" xfId="34200"/>
    <cellStyle name="Nota 2 2 2 3 2 2 11" xfId="38232"/>
    <cellStyle name="Nota 2 2 2 3 2 2 12" xfId="42264"/>
    <cellStyle name="Nota 2 2 2 3 2 2 13" xfId="46296"/>
    <cellStyle name="Nota 2 2 2 3 2 2 14" xfId="50375"/>
    <cellStyle name="Nota 2 2 2 3 2 2 2" xfId="6925"/>
    <cellStyle name="Nota 2 2 2 3 2 2 2 10" xfId="39183"/>
    <cellStyle name="Nota 2 2 2 3 2 2 2 11" xfId="43215"/>
    <cellStyle name="Nota 2 2 2 3 2 2 2 12" xfId="47247"/>
    <cellStyle name="Nota 2 2 2 3 2 2 2 13" xfId="51326"/>
    <cellStyle name="Nota 2 2 2 3 2 2 2 2" xfId="8941"/>
    <cellStyle name="Nota 2 2 2 3 2 2 2 2 10" xfId="45231"/>
    <cellStyle name="Nota 2 2 2 3 2 2 2 2 11" xfId="49263"/>
    <cellStyle name="Nota 2 2 2 3 2 2 2 2 12" xfId="53342"/>
    <cellStyle name="Nota 2 2 2 3 2 2 2 2 2" xfId="12975"/>
    <cellStyle name="Nota 2 2 2 3 2 2 2 2 3" xfId="17007"/>
    <cellStyle name="Nota 2 2 2 3 2 2 2 2 4" xfId="21039"/>
    <cellStyle name="Nota 2 2 2 3 2 2 2 2 5" xfId="25071"/>
    <cellStyle name="Nota 2 2 2 3 2 2 2 2 6" xfId="29103"/>
    <cellStyle name="Nota 2 2 2 3 2 2 2 2 7" xfId="33135"/>
    <cellStyle name="Nota 2 2 2 3 2 2 2 2 8" xfId="37167"/>
    <cellStyle name="Nota 2 2 2 3 2 2 2 2 9" xfId="41199"/>
    <cellStyle name="Nota 2 2 2 3 2 2 2 3" xfId="10959"/>
    <cellStyle name="Nota 2 2 2 3 2 2 2 4" xfId="14991"/>
    <cellStyle name="Nota 2 2 2 3 2 2 2 5" xfId="19023"/>
    <cellStyle name="Nota 2 2 2 3 2 2 2 6" xfId="23055"/>
    <cellStyle name="Nota 2 2 2 3 2 2 2 7" xfId="27087"/>
    <cellStyle name="Nota 2 2 2 3 2 2 2 8" xfId="31119"/>
    <cellStyle name="Nota 2 2 2 3 2 2 2 9" xfId="35151"/>
    <cellStyle name="Nota 2 2 2 3 2 2 3" xfId="7990"/>
    <cellStyle name="Nota 2 2 2 3 2 2 3 10" xfId="44280"/>
    <cellStyle name="Nota 2 2 2 3 2 2 3 11" xfId="48312"/>
    <cellStyle name="Nota 2 2 2 3 2 2 3 12" xfId="52391"/>
    <cellStyle name="Nota 2 2 2 3 2 2 3 2" xfId="12024"/>
    <cellStyle name="Nota 2 2 2 3 2 2 3 3" xfId="16056"/>
    <cellStyle name="Nota 2 2 2 3 2 2 3 4" xfId="20088"/>
    <cellStyle name="Nota 2 2 2 3 2 2 3 5" xfId="24120"/>
    <cellStyle name="Nota 2 2 2 3 2 2 3 6" xfId="28152"/>
    <cellStyle name="Nota 2 2 2 3 2 2 3 7" xfId="32184"/>
    <cellStyle name="Nota 2 2 2 3 2 2 3 8" xfId="36216"/>
    <cellStyle name="Nota 2 2 2 3 2 2 3 9" xfId="40248"/>
    <cellStyle name="Nota 2 2 2 3 2 2 4" xfId="10008"/>
    <cellStyle name="Nota 2 2 2 3 2 2 5" xfId="14040"/>
    <cellStyle name="Nota 2 2 2 3 2 2 6" xfId="18072"/>
    <cellStyle name="Nota 2 2 2 3 2 2 7" xfId="22104"/>
    <cellStyle name="Nota 2 2 2 3 2 2 8" xfId="26136"/>
    <cellStyle name="Nota 2 2 2 3 2 2 9" xfId="30168"/>
    <cellStyle name="Nota 2 2 2 3 2 3" xfId="4494"/>
    <cellStyle name="Nota 2 2 2 3 2 3 10" xfId="34338"/>
    <cellStyle name="Nota 2 2 2 3 2 3 11" xfId="38370"/>
    <cellStyle name="Nota 2 2 2 3 2 3 12" xfId="42402"/>
    <cellStyle name="Nota 2 2 2 3 2 3 13" xfId="46434"/>
    <cellStyle name="Nota 2 2 2 3 2 3 14" xfId="50513"/>
    <cellStyle name="Nota 2 2 2 3 2 3 2" xfId="7063"/>
    <cellStyle name="Nota 2 2 2 3 2 3 2 10" xfId="39321"/>
    <cellStyle name="Nota 2 2 2 3 2 3 2 11" xfId="43353"/>
    <cellStyle name="Nota 2 2 2 3 2 3 2 12" xfId="47385"/>
    <cellStyle name="Nota 2 2 2 3 2 3 2 13" xfId="51464"/>
    <cellStyle name="Nota 2 2 2 3 2 3 2 2" xfId="9079"/>
    <cellStyle name="Nota 2 2 2 3 2 3 2 2 10" xfId="45369"/>
    <cellStyle name="Nota 2 2 2 3 2 3 2 2 11" xfId="49401"/>
    <cellStyle name="Nota 2 2 2 3 2 3 2 2 12" xfId="53480"/>
    <cellStyle name="Nota 2 2 2 3 2 3 2 2 2" xfId="13113"/>
    <cellStyle name="Nota 2 2 2 3 2 3 2 2 3" xfId="17145"/>
    <cellStyle name="Nota 2 2 2 3 2 3 2 2 4" xfId="21177"/>
    <cellStyle name="Nota 2 2 2 3 2 3 2 2 5" xfId="25209"/>
    <cellStyle name="Nota 2 2 2 3 2 3 2 2 6" xfId="29241"/>
    <cellStyle name="Nota 2 2 2 3 2 3 2 2 7" xfId="33273"/>
    <cellStyle name="Nota 2 2 2 3 2 3 2 2 8" xfId="37305"/>
    <cellStyle name="Nota 2 2 2 3 2 3 2 2 9" xfId="41337"/>
    <cellStyle name="Nota 2 2 2 3 2 3 2 3" xfId="11097"/>
    <cellStyle name="Nota 2 2 2 3 2 3 2 4" xfId="15129"/>
    <cellStyle name="Nota 2 2 2 3 2 3 2 5" xfId="19161"/>
    <cellStyle name="Nota 2 2 2 3 2 3 2 6" xfId="23193"/>
    <cellStyle name="Nota 2 2 2 3 2 3 2 7" xfId="27225"/>
    <cellStyle name="Nota 2 2 2 3 2 3 2 8" xfId="31257"/>
    <cellStyle name="Nota 2 2 2 3 2 3 2 9" xfId="35289"/>
    <cellStyle name="Nota 2 2 2 3 2 3 3" xfId="8128"/>
    <cellStyle name="Nota 2 2 2 3 2 3 3 10" xfId="44418"/>
    <cellStyle name="Nota 2 2 2 3 2 3 3 11" xfId="48450"/>
    <cellStyle name="Nota 2 2 2 3 2 3 3 12" xfId="52529"/>
    <cellStyle name="Nota 2 2 2 3 2 3 3 2" xfId="12162"/>
    <cellStyle name="Nota 2 2 2 3 2 3 3 3" xfId="16194"/>
    <cellStyle name="Nota 2 2 2 3 2 3 3 4" xfId="20226"/>
    <cellStyle name="Nota 2 2 2 3 2 3 3 5" xfId="24258"/>
    <cellStyle name="Nota 2 2 2 3 2 3 3 6" xfId="28290"/>
    <cellStyle name="Nota 2 2 2 3 2 3 3 7" xfId="32322"/>
    <cellStyle name="Nota 2 2 2 3 2 3 3 8" xfId="36354"/>
    <cellStyle name="Nota 2 2 2 3 2 3 3 9" xfId="40386"/>
    <cellStyle name="Nota 2 2 2 3 2 3 4" xfId="10146"/>
    <cellStyle name="Nota 2 2 2 3 2 3 5" xfId="14178"/>
    <cellStyle name="Nota 2 2 2 3 2 3 6" xfId="18210"/>
    <cellStyle name="Nota 2 2 2 3 2 3 7" xfId="22242"/>
    <cellStyle name="Nota 2 2 2 3 2 3 8" xfId="26274"/>
    <cellStyle name="Nota 2 2 2 3 2 3 9" xfId="30306"/>
    <cellStyle name="Nota 2 2 2 3 2 4" xfId="4634"/>
    <cellStyle name="Nota 2 2 2 3 2 4 10" xfId="38508"/>
    <cellStyle name="Nota 2 2 2 3 2 4 11" xfId="42540"/>
    <cellStyle name="Nota 2 2 2 3 2 4 12" xfId="46572"/>
    <cellStyle name="Nota 2 2 2 3 2 4 13" xfId="50651"/>
    <cellStyle name="Nota 2 2 2 3 2 4 2" xfId="8266"/>
    <cellStyle name="Nota 2 2 2 3 2 4 2 10" xfId="44556"/>
    <cellStyle name="Nota 2 2 2 3 2 4 2 11" xfId="48588"/>
    <cellStyle name="Nota 2 2 2 3 2 4 2 12" xfId="52667"/>
    <cellStyle name="Nota 2 2 2 3 2 4 2 2" xfId="12300"/>
    <cellStyle name="Nota 2 2 2 3 2 4 2 3" xfId="16332"/>
    <cellStyle name="Nota 2 2 2 3 2 4 2 4" xfId="20364"/>
    <cellStyle name="Nota 2 2 2 3 2 4 2 5" xfId="24396"/>
    <cellStyle name="Nota 2 2 2 3 2 4 2 6" xfId="28428"/>
    <cellStyle name="Nota 2 2 2 3 2 4 2 7" xfId="32460"/>
    <cellStyle name="Nota 2 2 2 3 2 4 2 8" xfId="36492"/>
    <cellStyle name="Nota 2 2 2 3 2 4 2 9" xfId="40524"/>
    <cellStyle name="Nota 2 2 2 3 2 4 3" xfId="10284"/>
    <cellStyle name="Nota 2 2 2 3 2 4 4" xfId="14316"/>
    <cellStyle name="Nota 2 2 2 3 2 4 5" xfId="18348"/>
    <cellStyle name="Nota 2 2 2 3 2 4 6" xfId="22380"/>
    <cellStyle name="Nota 2 2 2 3 2 4 7" xfId="26412"/>
    <cellStyle name="Nota 2 2 2 3 2 4 8" xfId="30444"/>
    <cellStyle name="Nota 2 2 2 3 2 4 9" xfId="34476"/>
    <cellStyle name="Nota 2 2 2 3 2 5" xfId="361"/>
    <cellStyle name="Nota 2 2 2 3 2 5 10" xfId="37566"/>
    <cellStyle name="Nota 2 2 2 3 2 5 11" xfId="41598"/>
    <cellStyle name="Nota 2 2 2 3 2 5 12" xfId="45630"/>
    <cellStyle name="Nota 2 2 2 3 2 5 13" xfId="49708"/>
    <cellStyle name="Nota 2 2 2 3 2 5 2" xfId="7324"/>
    <cellStyle name="Nota 2 2 2 3 2 5 2 10" xfId="43614"/>
    <cellStyle name="Nota 2 2 2 3 2 5 2 11" xfId="47646"/>
    <cellStyle name="Nota 2 2 2 3 2 5 2 12" xfId="51725"/>
    <cellStyle name="Nota 2 2 2 3 2 5 2 2" xfId="11358"/>
    <cellStyle name="Nota 2 2 2 3 2 5 2 3" xfId="15390"/>
    <cellStyle name="Nota 2 2 2 3 2 5 2 4" xfId="19422"/>
    <cellStyle name="Nota 2 2 2 3 2 5 2 5" xfId="23454"/>
    <cellStyle name="Nota 2 2 2 3 2 5 2 6" xfId="27486"/>
    <cellStyle name="Nota 2 2 2 3 2 5 2 7" xfId="31518"/>
    <cellStyle name="Nota 2 2 2 3 2 5 2 8" xfId="35550"/>
    <cellStyle name="Nota 2 2 2 3 2 5 2 9" xfId="39582"/>
    <cellStyle name="Nota 2 2 2 3 2 5 3" xfId="9342"/>
    <cellStyle name="Nota 2 2 2 3 2 5 4" xfId="13374"/>
    <cellStyle name="Nota 2 2 2 3 2 5 5" xfId="17406"/>
    <cellStyle name="Nota 2 2 2 3 2 5 6" xfId="21438"/>
    <cellStyle name="Nota 2 2 2 3 2 5 7" xfId="25470"/>
    <cellStyle name="Nota 2 2 2 3 2 5 8" xfId="29502"/>
    <cellStyle name="Nota 2 2 2 3 2 5 9" xfId="33534"/>
    <cellStyle name="Nota 2 2 2 3 2 6" xfId="7201"/>
    <cellStyle name="Nota 2 2 2 3 2 6 10" xfId="43491"/>
    <cellStyle name="Nota 2 2 2 3 2 6 11" xfId="47523"/>
    <cellStyle name="Nota 2 2 2 3 2 6 12" xfId="51602"/>
    <cellStyle name="Nota 2 2 2 3 2 6 2" xfId="11235"/>
    <cellStyle name="Nota 2 2 2 3 2 6 3" xfId="15267"/>
    <cellStyle name="Nota 2 2 2 3 2 6 4" xfId="19299"/>
    <cellStyle name="Nota 2 2 2 3 2 6 5" xfId="23331"/>
    <cellStyle name="Nota 2 2 2 3 2 6 6" xfId="27363"/>
    <cellStyle name="Nota 2 2 2 3 2 6 7" xfId="31395"/>
    <cellStyle name="Nota 2 2 2 3 2 6 8" xfId="35427"/>
    <cellStyle name="Nota 2 2 2 3 2 6 9" xfId="39459"/>
    <cellStyle name="Nota 2 2 2 3 2 7" xfId="9219"/>
    <cellStyle name="Nota 2 2 2 3 2 8" xfId="13251"/>
    <cellStyle name="Nota 2 2 2 3 2 9" xfId="17283"/>
    <cellStyle name="Nota 2 2 2 3 20" xfId="33342"/>
    <cellStyle name="Nota 2 2 2 3 21" xfId="37374"/>
    <cellStyle name="Nota 2 2 2 3 22" xfId="41406"/>
    <cellStyle name="Nota 2 2 2 3 23" xfId="45438"/>
    <cellStyle name="Nota 2 2 2 3 24" xfId="49516"/>
    <cellStyle name="Nota 2 2 2 3 3" xfId="1671"/>
    <cellStyle name="Nota 2 2 2 3 3 10" xfId="33632"/>
    <cellStyle name="Nota 2 2 2 3 3 11" xfId="37664"/>
    <cellStyle name="Nota 2 2 2 3 3 12" xfId="41696"/>
    <cellStyle name="Nota 2 2 2 3 3 13" xfId="45728"/>
    <cellStyle name="Nota 2 2 2 3 3 14" xfId="49806"/>
    <cellStyle name="Nota 2 2 2 3 3 2" xfId="5347"/>
    <cellStyle name="Nota 2 2 2 3 3 2 10" xfId="38615"/>
    <cellStyle name="Nota 2 2 2 3 3 2 11" xfId="42647"/>
    <cellStyle name="Nota 2 2 2 3 3 2 12" xfId="46679"/>
    <cellStyle name="Nota 2 2 2 3 3 2 13" xfId="50758"/>
    <cellStyle name="Nota 2 2 2 3 3 2 2" xfId="8373"/>
    <cellStyle name="Nota 2 2 2 3 3 2 2 10" xfId="44663"/>
    <cellStyle name="Nota 2 2 2 3 3 2 2 11" xfId="48695"/>
    <cellStyle name="Nota 2 2 2 3 3 2 2 12" xfId="52774"/>
    <cellStyle name="Nota 2 2 2 3 3 2 2 2" xfId="12407"/>
    <cellStyle name="Nota 2 2 2 3 3 2 2 3" xfId="16439"/>
    <cellStyle name="Nota 2 2 2 3 3 2 2 4" xfId="20471"/>
    <cellStyle name="Nota 2 2 2 3 3 2 2 5" xfId="24503"/>
    <cellStyle name="Nota 2 2 2 3 3 2 2 6" xfId="28535"/>
    <cellStyle name="Nota 2 2 2 3 3 2 2 7" xfId="32567"/>
    <cellStyle name="Nota 2 2 2 3 3 2 2 8" xfId="36599"/>
    <cellStyle name="Nota 2 2 2 3 3 2 2 9" xfId="40631"/>
    <cellStyle name="Nota 2 2 2 3 3 2 3" xfId="10391"/>
    <cellStyle name="Nota 2 2 2 3 3 2 4" xfId="14423"/>
    <cellStyle name="Nota 2 2 2 3 3 2 5" xfId="18455"/>
    <cellStyle name="Nota 2 2 2 3 3 2 6" xfId="22487"/>
    <cellStyle name="Nota 2 2 2 3 3 2 7" xfId="26519"/>
    <cellStyle name="Nota 2 2 2 3 3 2 8" xfId="30551"/>
    <cellStyle name="Nota 2 2 2 3 3 2 9" xfId="34583"/>
    <cellStyle name="Nota 2 2 2 3 3 3" xfId="7422"/>
    <cellStyle name="Nota 2 2 2 3 3 3 10" xfId="43712"/>
    <cellStyle name="Nota 2 2 2 3 3 3 11" xfId="47744"/>
    <cellStyle name="Nota 2 2 2 3 3 3 12" xfId="51823"/>
    <cellStyle name="Nota 2 2 2 3 3 3 2" xfId="11456"/>
    <cellStyle name="Nota 2 2 2 3 3 3 3" xfId="15488"/>
    <cellStyle name="Nota 2 2 2 3 3 3 4" xfId="19520"/>
    <cellStyle name="Nota 2 2 2 3 3 3 5" xfId="23552"/>
    <cellStyle name="Nota 2 2 2 3 3 3 6" xfId="27584"/>
    <cellStyle name="Nota 2 2 2 3 3 3 7" xfId="31616"/>
    <cellStyle name="Nota 2 2 2 3 3 3 8" xfId="35648"/>
    <cellStyle name="Nota 2 2 2 3 3 3 9" xfId="39680"/>
    <cellStyle name="Nota 2 2 2 3 3 4" xfId="9440"/>
    <cellStyle name="Nota 2 2 2 3 3 5" xfId="13472"/>
    <cellStyle name="Nota 2 2 2 3 3 6" xfId="17504"/>
    <cellStyle name="Nota 2 2 2 3 3 7" xfId="21536"/>
    <cellStyle name="Nota 2 2 2 3 3 8" xfId="25568"/>
    <cellStyle name="Nota 2 2 2 3 3 9" xfId="29600"/>
    <cellStyle name="Nota 2 2 2 3 4" xfId="1745"/>
    <cellStyle name="Nota 2 2 2 3 4 10" xfId="33701"/>
    <cellStyle name="Nota 2 2 2 3 4 11" xfId="37733"/>
    <cellStyle name="Nota 2 2 2 3 4 12" xfId="41765"/>
    <cellStyle name="Nota 2 2 2 3 4 13" xfId="45797"/>
    <cellStyle name="Nota 2 2 2 3 4 14" xfId="49875"/>
    <cellStyle name="Nota 2 2 2 3 4 2" xfId="5416"/>
    <cellStyle name="Nota 2 2 2 3 4 2 10" xfId="38684"/>
    <cellStyle name="Nota 2 2 2 3 4 2 11" xfId="42716"/>
    <cellStyle name="Nota 2 2 2 3 4 2 12" xfId="46748"/>
    <cellStyle name="Nota 2 2 2 3 4 2 13" xfId="50827"/>
    <cellStyle name="Nota 2 2 2 3 4 2 2" xfId="8442"/>
    <cellStyle name="Nota 2 2 2 3 4 2 2 10" xfId="44732"/>
    <cellStyle name="Nota 2 2 2 3 4 2 2 11" xfId="48764"/>
    <cellStyle name="Nota 2 2 2 3 4 2 2 12" xfId="52843"/>
    <cellStyle name="Nota 2 2 2 3 4 2 2 2" xfId="12476"/>
    <cellStyle name="Nota 2 2 2 3 4 2 2 3" xfId="16508"/>
    <cellStyle name="Nota 2 2 2 3 4 2 2 4" xfId="20540"/>
    <cellStyle name="Nota 2 2 2 3 4 2 2 5" xfId="24572"/>
    <cellStyle name="Nota 2 2 2 3 4 2 2 6" xfId="28604"/>
    <cellStyle name="Nota 2 2 2 3 4 2 2 7" xfId="32636"/>
    <cellStyle name="Nota 2 2 2 3 4 2 2 8" xfId="36668"/>
    <cellStyle name="Nota 2 2 2 3 4 2 2 9" xfId="40700"/>
    <cellStyle name="Nota 2 2 2 3 4 2 3" xfId="10460"/>
    <cellStyle name="Nota 2 2 2 3 4 2 4" xfId="14492"/>
    <cellStyle name="Nota 2 2 2 3 4 2 5" xfId="18524"/>
    <cellStyle name="Nota 2 2 2 3 4 2 6" xfId="22556"/>
    <cellStyle name="Nota 2 2 2 3 4 2 7" xfId="26588"/>
    <cellStyle name="Nota 2 2 2 3 4 2 8" xfId="30620"/>
    <cellStyle name="Nota 2 2 2 3 4 2 9" xfId="34652"/>
    <cellStyle name="Nota 2 2 2 3 4 3" xfId="7491"/>
    <cellStyle name="Nota 2 2 2 3 4 3 10" xfId="43781"/>
    <cellStyle name="Nota 2 2 2 3 4 3 11" xfId="47813"/>
    <cellStyle name="Nota 2 2 2 3 4 3 12" xfId="51892"/>
    <cellStyle name="Nota 2 2 2 3 4 3 2" xfId="11525"/>
    <cellStyle name="Nota 2 2 2 3 4 3 3" xfId="15557"/>
    <cellStyle name="Nota 2 2 2 3 4 3 4" xfId="19589"/>
    <cellStyle name="Nota 2 2 2 3 4 3 5" xfId="23621"/>
    <cellStyle name="Nota 2 2 2 3 4 3 6" xfId="27653"/>
    <cellStyle name="Nota 2 2 2 3 4 3 7" xfId="31685"/>
    <cellStyle name="Nota 2 2 2 3 4 3 8" xfId="35717"/>
    <cellStyle name="Nota 2 2 2 3 4 3 9" xfId="39749"/>
    <cellStyle name="Nota 2 2 2 3 4 4" xfId="9509"/>
    <cellStyle name="Nota 2 2 2 3 4 5" xfId="13541"/>
    <cellStyle name="Nota 2 2 2 3 4 6" xfId="17573"/>
    <cellStyle name="Nota 2 2 2 3 4 7" xfId="21605"/>
    <cellStyle name="Nota 2 2 2 3 4 8" xfId="25637"/>
    <cellStyle name="Nota 2 2 2 3 4 9" xfId="29669"/>
    <cellStyle name="Nota 2 2 2 3 5" xfId="4067"/>
    <cellStyle name="Nota 2 2 2 3 5 10" xfId="33924"/>
    <cellStyle name="Nota 2 2 2 3 5 11" xfId="37956"/>
    <cellStyle name="Nota 2 2 2 3 5 12" xfId="41988"/>
    <cellStyle name="Nota 2 2 2 3 5 13" xfId="46020"/>
    <cellStyle name="Nota 2 2 2 3 5 14" xfId="50098"/>
    <cellStyle name="Nota 2 2 2 3 5 2" xfId="6649"/>
    <cellStyle name="Nota 2 2 2 3 5 2 10" xfId="38907"/>
    <cellStyle name="Nota 2 2 2 3 5 2 11" xfId="42939"/>
    <cellStyle name="Nota 2 2 2 3 5 2 12" xfId="46971"/>
    <cellStyle name="Nota 2 2 2 3 5 2 13" xfId="51050"/>
    <cellStyle name="Nota 2 2 2 3 5 2 2" xfId="8665"/>
    <cellStyle name="Nota 2 2 2 3 5 2 2 10" xfId="44955"/>
    <cellStyle name="Nota 2 2 2 3 5 2 2 11" xfId="48987"/>
    <cellStyle name="Nota 2 2 2 3 5 2 2 12" xfId="53066"/>
    <cellStyle name="Nota 2 2 2 3 5 2 2 2" xfId="12699"/>
    <cellStyle name="Nota 2 2 2 3 5 2 2 3" xfId="16731"/>
    <cellStyle name="Nota 2 2 2 3 5 2 2 4" xfId="20763"/>
    <cellStyle name="Nota 2 2 2 3 5 2 2 5" xfId="24795"/>
    <cellStyle name="Nota 2 2 2 3 5 2 2 6" xfId="28827"/>
    <cellStyle name="Nota 2 2 2 3 5 2 2 7" xfId="32859"/>
    <cellStyle name="Nota 2 2 2 3 5 2 2 8" xfId="36891"/>
    <cellStyle name="Nota 2 2 2 3 5 2 2 9" xfId="40923"/>
    <cellStyle name="Nota 2 2 2 3 5 2 3" xfId="10683"/>
    <cellStyle name="Nota 2 2 2 3 5 2 4" xfId="14715"/>
    <cellStyle name="Nota 2 2 2 3 5 2 5" xfId="18747"/>
    <cellStyle name="Nota 2 2 2 3 5 2 6" xfId="22779"/>
    <cellStyle name="Nota 2 2 2 3 5 2 7" xfId="26811"/>
    <cellStyle name="Nota 2 2 2 3 5 2 8" xfId="30843"/>
    <cellStyle name="Nota 2 2 2 3 5 2 9" xfId="34875"/>
    <cellStyle name="Nota 2 2 2 3 5 3" xfId="7714"/>
    <cellStyle name="Nota 2 2 2 3 5 3 10" xfId="44004"/>
    <cellStyle name="Nota 2 2 2 3 5 3 11" xfId="48036"/>
    <cellStyle name="Nota 2 2 2 3 5 3 12" xfId="52115"/>
    <cellStyle name="Nota 2 2 2 3 5 3 2" xfId="11748"/>
    <cellStyle name="Nota 2 2 2 3 5 3 3" xfId="15780"/>
    <cellStyle name="Nota 2 2 2 3 5 3 4" xfId="19812"/>
    <cellStyle name="Nota 2 2 2 3 5 3 5" xfId="23844"/>
    <cellStyle name="Nota 2 2 2 3 5 3 6" xfId="27876"/>
    <cellStyle name="Nota 2 2 2 3 5 3 7" xfId="31908"/>
    <cellStyle name="Nota 2 2 2 3 5 3 8" xfId="35940"/>
    <cellStyle name="Nota 2 2 2 3 5 3 9" xfId="39972"/>
    <cellStyle name="Nota 2 2 2 3 5 4" xfId="9732"/>
    <cellStyle name="Nota 2 2 2 3 5 5" xfId="13764"/>
    <cellStyle name="Nota 2 2 2 3 5 6" xfId="17796"/>
    <cellStyle name="Nota 2 2 2 3 5 7" xfId="21828"/>
    <cellStyle name="Nota 2 2 2 3 5 8" xfId="25860"/>
    <cellStyle name="Nota 2 2 2 3 5 9" xfId="29892"/>
    <cellStyle name="Nota 2 2 2 3 6" xfId="4137"/>
    <cellStyle name="Nota 2 2 2 3 6 10" xfId="33993"/>
    <cellStyle name="Nota 2 2 2 3 6 11" xfId="38025"/>
    <cellStyle name="Nota 2 2 2 3 6 12" xfId="42057"/>
    <cellStyle name="Nota 2 2 2 3 6 13" xfId="46089"/>
    <cellStyle name="Nota 2 2 2 3 6 14" xfId="50167"/>
    <cellStyle name="Nota 2 2 2 3 6 2" xfId="6718"/>
    <cellStyle name="Nota 2 2 2 3 6 2 10" xfId="38976"/>
    <cellStyle name="Nota 2 2 2 3 6 2 11" xfId="43008"/>
    <cellStyle name="Nota 2 2 2 3 6 2 12" xfId="47040"/>
    <cellStyle name="Nota 2 2 2 3 6 2 13" xfId="51119"/>
    <cellStyle name="Nota 2 2 2 3 6 2 2" xfId="8734"/>
    <cellStyle name="Nota 2 2 2 3 6 2 2 10" xfId="45024"/>
    <cellStyle name="Nota 2 2 2 3 6 2 2 11" xfId="49056"/>
    <cellStyle name="Nota 2 2 2 3 6 2 2 12" xfId="53135"/>
    <cellStyle name="Nota 2 2 2 3 6 2 2 2" xfId="12768"/>
    <cellStyle name="Nota 2 2 2 3 6 2 2 3" xfId="16800"/>
    <cellStyle name="Nota 2 2 2 3 6 2 2 4" xfId="20832"/>
    <cellStyle name="Nota 2 2 2 3 6 2 2 5" xfId="24864"/>
    <cellStyle name="Nota 2 2 2 3 6 2 2 6" xfId="28896"/>
    <cellStyle name="Nota 2 2 2 3 6 2 2 7" xfId="32928"/>
    <cellStyle name="Nota 2 2 2 3 6 2 2 8" xfId="36960"/>
    <cellStyle name="Nota 2 2 2 3 6 2 2 9" xfId="40992"/>
    <cellStyle name="Nota 2 2 2 3 6 2 3" xfId="10752"/>
    <cellStyle name="Nota 2 2 2 3 6 2 4" xfId="14784"/>
    <cellStyle name="Nota 2 2 2 3 6 2 5" xfId="18816"/>
    <cellStyle name="Nota 2 2 2 3 6 2 6" xfId="22848"/>
    <cellStyle name="Nota 2 2 2 3 6 2 7" xfId="26880"/>
    <cellStyle name="Nota 2 2 2 3 6 2 8" xfId="30912"/>
    <cellStyle name="Nota 2 2 2 3 6 2 9" xfId="34944"/>
    <cellStyle name="Nota 2 2 2 3 6 3" xfId="7783"/>
    <cellStyle name="Nota 2 2 2 3 6 3 10" xfId="44073"/>
    <cellStyle name="Nota 2 2 2 3 6 3 11" xfId="48105"/>
    <cellStyle name="Nota 2 2 2 3 6 3 12" xfId="52184"/>
    <cellStyle name="Nota 2 2 2 3 6 3 2" xfId="11817"/>
    <cellStyle name="Nota 2 2 2 3 6 3 3" xfId="15849"/>
    <cellStyle name="Nota 2 2 2 3 6 3 4" xfId="19881"/>
    <cellStyle name="Nota 2 2 2 3 6 3 5" xfId="23913"/>
    <cellStyle name="Nota 2 2 2 3 6 3 6" xfId="27945"/>
    <cellStyle name="Nota 2 2 2 3 6 3 7" xfId="31977"/>
    <cellStyle name="Nota 2 2 2 3 6 3 8" xfId="36009"/>
    <cellStyle name="Nota 2 2 2 3 6 3 9" xfId="40041"/>
    <cellStyle name="Nota 2 2 2 3 6 4" xfId="9801"/>
    <cellStyle name="Nota 2 2 2 3 6 5" xfId="13833"/>
    <cellStyle name="Nota 2 2 2 3 6 6" xfId="17865"/>
    <cellStyle name="Nota 2 2 2 3 6 7" xfId="21897"/>
    <cellStyle name="Nota 2 2 2 3 6 8" xfId="25929"/>
    <cellStyle name="Nota 2 2 2 3 6 9" xfId="29961"/>
    <cellStyle name="Nota 2 2 2 3 7" xfId="4206"/>
    <cellStyle name="Nota 2 2 2 3 7 10" xfId="34062"/>
    <cellStyle name="Nota 2 2 2 3 7 11" xfId="38094"/>
    <cellStyle name="Nota 2 2 2 3 7 12" xfId="42126"/>
    <cellStyle name="Nota 2 2 2 3 7 13" xfId="46158"/>
    <cellStyle name="Nota 2 2 2 3 7 14" xfId="50236"/>
    <cellStyle name="Nota 2 2 2 3 7 2" xfId="6787"/>
    <cellStyle name="Nota 2 2 2 3 7 2 10" xfId="39045"/>
    <cellStyle name="Nota 2 2 2 3 7 2 11" xfId="43077"/>
    <cellStyle name="Nota 2 2 2 3 7 2 12" xfId="47109"/>
    <cellStyle name="Nota 2 2 2 3 7 2 13" xfId="51188"/>
    <cellStyle name="Nota 2 2 2 3 7 2 2" xfId="8803"/>
    <cellStyle name="Nota 2 2 2 3 7 2 2 10" xfId="45093"/>
    <cellStyle name="Nota 2 2 2 3 7 2 2 11" xfId="49125"/>
    <cellStyle name="Nota 2 2 2 3 7 2 2 12" xfId="53204"/>
    <cellStyle name="Nota 2 2 2 3 7 2 2 2" xfId="12837"/>
    <cellStyle name="Nota 2 2 2 3 7 2 2 3" xfId="16869"/>
    <cellStyle name="Nota 2 2 2 3 7 2 2 4" xfId="20901"/>
    <cellStyle name="Nota 2 2 2 3 7 2 2 5" xfId="24933"/>
    <cellStyle name="Nota 2 2 2 3 7 2 2 6" xfId="28965"/>
    <cellStyle name="Nota 2 2 2 3 7 2 2 7" xfId="32997"/>
    <cellStyle name="Nota 2 2 2 3 7 2 2 8" xfId="37029"/>
    <cellStyle name="Nota 2 2 2 3 7 2 2 9" xfId="41061"/>
    <cellStyle name="Nota 2 2 2 3 7 2 3" xfId="10821"/>
    <cellStyle name="Nota 2 2 2 3 7 2 4" xfId="14853"/>
    <cellStyle name="Nota 2 2 2 3 7 2 5" xfId="18885"/>
    <cellStyle name="Nota 2 2 2 3 7 2 6" xfId="22917"/>
    <cellStyle name="Nota 2 2 2 3 7 2 7" xfId="26949"/>
    <cellStyle name="Nota 2 2 2 3 7 2 8" xfId="30981"/>
    <cellStyle name="Nota 2 2 2 3 7 2 9" xfId="35013"/>
    <cellStyle name="Nota 2 2 2 3 7 3" xfId="7852"/>
    <cellStyle name="Nota 2 2 2 3 7 3 10" xfId="44142"/>
    <cellStyle name="Nota 2 2 2 3 7 3 11" xfId="48174"/>
    <cellStyle name="Nota 2 2 2 3 7 3 12" xfId="52253"/>
    <cellStyle name="Nota 2 2 2 3 7 3 2" xfId="11886"/>
    <cellStyle name="Nota 2 2 2 3 7 3 3" xfId="15918"/>
    <cellStyle name="Nota 2 2 2 3 7 3 4" xfId="19950"/>
    <cellStyle name="Nota 2 2 2 3 7 3 5" xfId="23982"/>
    <cellStyle name="Nota 2 2 2 3 7 3 6" xfId="28014"/>
    <cellStyle name="Nota 2 2 2 3 7 3 7" xfId="32046"/>
    <cellStyle name="Nota 2 2 2 3 7 3 8" xfId="36078"/>
    <cellStyle name="Nota 2 2 2 3 7 3 9" xfId="40110"/>
    <cellStyle name="Nota 2 2 2 3 7 4" xfId="9870"/>
    <cellStyle name="Nota 2 2 2 3 7 5" xfId="13902"/>
    <cellStyle name="Nota 2 2 2 3 7 6" xfId="17934"/>
    <cellStyle name="Nota 2 2 2 3 7 7" xfId="21966"/>
    <cellStyle name="Nota 2 2 2 3 7 8" xfId="25998"/>
    <cellStyle name="Nota 2 2 2 3 7 9" xfId="30030"/>
    <cellStyle name="Nota 2 2 2 3 8" xfId="4279"/>
    <cellStyle name="Nota 2 2 2 3 8 10" xfId="34131"/>
    <cellStyle name="Nota 2 2 2 3 8 11" xfId="38163"/>
    <cellStyle name="Nota 2 2 2 3 8 12" xfId="42195"/>
    <cellStyle name="Nota 2 2 2 3 8 13" xfId="46227"/>
    <cellStyle name="Nota 2 2 2 3 8 14" xfId="50305"/>
    <cellStyle name="Nota 2 2 2 3 8 2" xfId="6856"/>
    <cellStyle name="Nota 2 2 2 3 8 2 10" xfId="39114"/>
    <cellStyle name="Nota 2 2 2 3 8 2 11" xfId="43146"/>
    <cellStyle name="Nota 2 2 2 3 8 2 12" xfId="47178"/>
    <cellStyle name="Nota 2 2 2 3 8 2 13" xfId="51257"/>
    <cellStyle name="Nota 2 2 2 3 8 2 2" xfId="8872"/>
    <cellStyle name="Nota 2 2 2 3 8 2 2 10" xfId="45162"/>
    <cellStyle name="Nota 2 2 2 3 8 2 2 11" xfId="49194"/>
    <cellStyle name="Nota 2 2 2 3 8 2 2 12" xfId="53273"/>
    <cellStyle name="Nota 2 2 2 3 8 2 2 2" xfId="12906"/>
    <cellStyle name="Nota 2 2 2 3 8 2 2 3" xfId="16938"/>
    <cellStyle name="Nota 2 2 2 3 8 2 2 4" xfId="20970"/>
    <cellStyle name="Nota 2 2 2 3 8 2 2 5" xfId="25002"/>
    <cellStyle name="Nota 2 2 2 3 8 2 2 6" xfId="29034"/>
    <cellStyle name="Nota 2 2 2 3 8 2 2 7" xfId="33066"/>
    <cellStyle name="Nota 2 2 2 3 8 2 2 8" xfId="37098"/>
    <cellStyle name="Nota 2 2 2 3 8 2 2 9" xfId="41130"/>
    <cellStyle name="Nota 2 2 2 3 8 2 3" xfId="10890"/>
    <cellStyle name="Nota 2 2 2 3 8 2 4" xfId="14922"/>
    <cellStyle name="Nota 2 2 2 3 8 2 5" xfId="18954"/>
    <cellStyle name="Nota 2 2 2 3 8 2 6" xfId="22986"/>
    <cellStyle name="Nota 2 2 2 3 8 2 7" xfId="27018"/>
    <cellStyle name="Nota 2 2 2 3 8 2 8" xfId="31050"/>
    <cellStyle name="Nota 2 2 2 3 8 2 9" xfId="35082"/>
    <cellStyle name="Nota 2 2 2 3 8 3" xfId="7921"/>
    <cellStyle name="Nota 2 2 2 3 8 3 10" xfId="44211"/>
    <cellStyle name="Nota 2 2 2 3 8 3 11" xfId="48243"/>
    <cellStyle name="Nota 2 2 2 3 8 3 12" xfId="52322"/>
    <cellStyle name="Nota 2 2 2 3 8 3 2" xfId="11955"/>
    <cellStyle name="Nota 2 2 2 3 8 3 3" xfId="15987"/>
    <cellStyle name="Nota 2 2 2 3 8 3 4" xfId="20019"/>
    <cellStyle name="Nota 2 2 2 3 8 3 5" xfId="24051"/>
    <cellStyle name="Nota 2 2 2 3 8 3 6" xfId="28083"/>
    <cellStyle name="Nota 2 2 2 3 8 3 7" xfId="32115"/>
    <cellStyle name="Nota 2 2 2 3 8 3 8" xfId="36147"/>
    <cellStyle name="Nota 2 2 2 3 8 3 9" xfId="40179"/>
    <cellStyle name="Nota 2 2 2 3 8 4" xfId="9939"/>
    <cellStyle name="Nota 2 2 2 3 8 5" xfId="13971"/>
    <cellStyle name="Nota 2 2 2 3 8 6" xfId="18003"/>
    <cellStyle name="Nota 2 2 2 3 8 7" xfId="22035"/>
    <cellStyle name="Nota 2 2 2 3 8 8" xfId="26067"/>
    <cellStyle name="Nota 2 2 2 3 8 9" xfId="30099"/>
    <cellStyle name="Nota 2 2 2 3 9" xfId="4425"/>
    <cellStyle name="Nota 2 2 2 3 9 10" xfId="34269"/>
    <cellStyle name="Nota 2 2 2 3 9 11" xfId="38301"/>
    <cellStyle name="Nota 2 2 2 3 9 12" xfId="42333"/>
    <cellStyle name="Nota 2 2 2 3 9 13" xfId="46365"/>
    <cellStyle name="Nota 2 2 2 3 9 14" xfId="50444"/>
    <cellStyle name="Nota 2 2 2 3 9 2" xfId="6994"/>
    <cellStyle name="Nota 2 2 2 3 9 2 10" xfId="39252"/>
    <cellStyle name="Nota 2 2 2 3 9 2 11" xfId="43284"/>
    <cellStyle name="Nota 2 2 2 3 9 2 12" xfId="47316"/>
    <cellStyle name="Nota 2 2 2 3 9 2 13" xfId="51395"/>
    <cellStyle name="Nota 2 2 2 3 9 2 2" xfId="9010"/>
    <cellStyle name="Nota 2 2 2 3 9 2 2 10" xfId="45300"/>
    <cellStyle name="Nota 2 2 2 3 9 2 2 11" xfId="49332"/>
    <cellStyle name="Nota 2 2 2 3 9 2 2 12" xfId="53411"/>
    <cellStyle name="Nota 2 2 2 3 9 2 2 2" xfId="13044"/>
    <cellStyle name="Nota 2 2 2 3 9 2 2 3" xfId="17076"/>
    <cellStyle name="Nota 2 2 2 3 9 2 2 4" xfId="21108"/>
    <cellStyle name="Nota 2 2 2 3 9 2 2 5" xfId="25140"/>
    <cellStyle name="Nota 2 2 2 3 9 2 2 6" xfId="29172"/>
    <cellStyle name="Nota 2 2 2 3 9 2 2 7" xfId="33204"/>
    <cellStyle name="Nota 2 2 2 3 9 2 2 8" xfId="37236"/>
    <cellStyle name="Nota 2 2 2 3 9 2 2 9" xfId="41268"/>
    <cellStyle name="Nota 2 2 2 3 9 2 3" xfId="11028"/>
    <cellStyle name="Nota 2 2 2 3 9 2 4" xfId="15060"/>
    <cellStyle name="Nota 2 2 2 3 9 2 5" xfId="19092"/>
    <cellStyle name="Nota 2 2 2 3 9 2 6" xfId="23124"/>
    <cellStyle name="Nota 2 2 2 3 9 2 7" xfId="27156"/>
    <cellStyle name="Nota 2 2 2 3 9 2 8" xfId="31188"/>
    <cellStyle name="Nota 2 2 2 3 9 2 9" xfId="35220"/>
    <cellStyle name="Nota 2 2 2 3 9 3" xfId="8059"/>
    <cellStyle name="Nota 2 2 2 3 9 3 10" xfId="44349"/>
    <cellStyle name="Nota 2 2 2 3 9 3 11" xfId="48381"/>
    <cellStyle name="Nota 2 2 2 3 9 3 12" xfId="52460"/>
    <cellStyle name="Nota 2 2 2 3 9 3 2" xfId="12093"/>
    <cellStyle name="Nota 2 2 2 3 9 3 3" xfId="16125"/>
    <cellStyle name="Nota 2 2 2 3 9 3 4" xfId="20157"/>
    <cellStyle name="Nota 2 2 2 3 9 3 5" xfId="24189"/>
    <cellStyle name="Nota 2 2 2 3 9 3 6" xfId="28221"/>
    <cellStyle name="Nota 2 2 2 3 9 3 7" xfId="32253"/>
    <cellStyle name="Nota 2 2 2 3 9 3 8" xfId="36285"/>
    <cellStyle name="Nota 2 2 2 3 9 3 9" xfId="40317"/>
    <cellStyle name="Nota 2 2 2 3 9 4" xfId="10077"/>
    <cellStyle name="Nota 2 2 2 3 9 5" xfId="14109"/>
    <cellStyle name="Nota 2 2 2 3 9 6" xfId="18141"/>
    <cellStyle name="Nota 2 2 2 3 9 7" xfId="22173"/>
    <cellStyle name="Nota 2 2 2 3 9 8" xfId="26205"/>
    <cellStyle name="Nota 2 2 2 3 9 9" xfId="30237"/>
    <cellStyle name="Nota 2 2 2 4" xfId="64"/>
    <cellStyle name="Nota 2 2 2 4 10" xfId="342"/>
    <cellStyle name="Nota 2 2 2 4 10 10" xfId="37547"/>
    <cellStyle name="Nota 2 2 2 4 10 11" xfId="41579"/>
    <cellStyle name="Nota 2 2 2 4 10 12" xfId="45611"/>
    <cellStyle name="Nota 2 2 2 4 10 13" xfId="49689"/>
    <cellStyle name="Nota 2 2 2 4 10 2" xfId="7305"/>
    <cellStyle name="Nota 2 2 2 4 10 2 10" xfId="43595"/>
    <cellStyle name="Nota 2 2 2 4 10 2 11" xfId="47627"/>
    <cellStyle name="Nota 2 2 2 4 10 2 12" xfId="51706"/>
    <cellStyle name="Nota 2 2 2 4 10 2 2" xfId="11339"/>
    <cellStyle name="Nota 2 2 2 4 10 2 3" xfId="15371"/>
    <cellStyle name="Nota 2 2 2 4 10 2 4" xfId="19403"/>
    <cellStyle name="Nota 2 2 2 4 10 2 5" xfId="23435"/>
    <cellStyle name="Nota 2 2 2 4 10 2 6" xfId="27467"/>
    <cellStyle name="Nota 2 2 2 4 10 2 7" xfId="31499"/>
    <cellStyle name="Nota 2 2 2 4 10 2 8" xfId="35531"/>
    <cellStyle name="Nota 2 2 2 4 10 2 9" xfId="39563"/>
    <cellStyle name="Nota 2 2 2 4 10 3" xfId="9323"/>
    <cellStyle name="Nota 2 2 2 4 10 4" xfId="13355"/>
    <cellStyle name="Nota 2 2 2 4 10 5" xfId="17387"/>
    <cellStyle name="Nota 2 2 2 4 10 6" xfId="21419"/>
    <cellStyle name="Nota 2 2 2 4 10 7" xfId="25451"/>
    <cellStyle name="Nota 2 2 2 4 10 8" xfId="29483"/>
    <cellStyle name="Nota 2 2 2 4 10 9" xfId="33515"/>
    <cellStyle name="Nota 2 2 2 4 11" xfId="7113"/>
    <cellStyle name="Nota 2 2 2 4 11 10" xfId="43403"/>
    <cellStyle name="Nota 2 2 2 4 11 11" xfId="47435"/>
    <cellStyle name="Nota 2 2 2 4 11 12" xfId="51514"/>
    <cellStyle name="Nota 2 2 2 4 11 2" xfId="11147"/>
    <cellStyle name="Nota 2 2 2 4 11 3" xfId="15179"/>
    <cellStyle name="Nota 2 2 2 4 11 4" xfId="19211"/>
    <cellStyle name="Nota 2 2 2 4 11 5" xfId="23243"/>
    <cellStyle name="Nota 2 2 2 4 11 6" xfId="27275"/>
    <cellStyle name="Nota 2 2 2 4 11 7" xfId="31307"/>
    <cellStyle name="Nota 2 2 2 4 11 8" xfId="35339"/>
    <cellStyle name="Nota 2 2 2 4 11 9" xfId="39371"/>
    <cellStyle name="Nota 2 2 2 4 12" xfId="139"/>
    <cellStyle name="Nota 2 2 2 4 13" xfId="9131"/>
    <cellStyle name="Nota 2 2 2 4 14" xfId="13163"/>
    <cellStyle name="Nota 2 2 2 4 15" xfId="17195"/>
    <cellStyle name="Nota 2 2 2 4 16" xfId="21227"/>
    <cellStyle name="Nota 2 2 2 4 17" xfId="25259"/>
    <cellStyle name="Nota 2 2 2 4 18" xfId="29291"/>
    <cellStyle name="Nota 2 2 2 4 19" xfId="33323"/>
    <cellStyle name="Nota 2 2 2 4 2" xfId="218"/>
    <cellStyle name="Nota 2 2 2 4 2 10" xfId="21296"/>
    <cellStyle name="Nota 2 2 2 4 2 11" xfId="25328"/>
    <cellStyle name="Nota 2 2 2 4 2 12" xfId="29360"/>
    <cellStyle name="Nota 2 2 2 4 2 13" xfId="33392"/>
    <cellStyle name="Nota 2 2 2 4 2 14" xfId="37424"/>
    <cellStyle name="Nota 2 2 2 4 2 15" xfId="41456"/>
    <cellStyle name="Nota 2 2 2 4 2 16" xfId="45488"/>
    <cellStyle name="Nota 2 2 2 4 2 17" xfId="49566"/>
    <cellStyle name="Nota 2 2 2 4 2 2" xfId="4336"/>
    <cellStyle name="Nota 2 2 2 4 2 2 10" xfId="34181"/>
    <cellStyle name="Nota 2 2 2 4 2 2 11" xfId="38213"/>
    <cellStyle name="Nota 2 2 2 4 2 2 12" xfId="42245"/>
    <cellStyle name="Nota 2 2 2 4 2 2 13" xfId="46277"/>
    <cellStyle name="Nota 2 2 2 4 2 2 14" xfId="50356"/>
    <cellStyle name="Nota 2 2 2 4 2 2 2" xfId="6906"/>
    <cellStyle name="Nota 2 2 2 4 2 2 2 10" xfId="39164"/>
    <cellStyle name="Nota 2 2 2 4 2 2 2 11" xfId="43196"/>
    <cellStyle name="Nota 2 2 2 4 2 2 2 12" xfId="47228"/>
    <cellStyle name="Nota 2 2 2 4 2 2 2 13" xfId="51307"/>
    <cellStyle name="Nota 2 2 2 4 2 2 2 2" xfId="8922"/>
    <cellStyle name="Nota 2 2 2 4 2 2 2 2 10" xfId="45212"/>
    <cellStyle name="Nota 2 2 2 4 2 2 2 2 11" xfId="49244"/>
    <cellStyle name="Nota 2 2 2 4 2 2 2 2 12" xfId="53323"/>
    <cellStyle name="Nota 2 2 2 4 2 2 2 2 2" xfId="12956"/>
    <cellStyle name="Nota 2 2 2 4 2 2 2 2 3" xfId="16988"/>
    <cellStyle name="Nota 2 2 2 4 2 2 2 2 4" xfId="21020"/>
    <cellStyle name="Nota 2 2 2 4 2 2 2 2 5" xfId="25052"/>
    <cellStyle name="Nota 2 2 2 4 2 2 2 2 6" xfId="29084"/>
    <cellStyle name="Nota 2 2 2 4 2 2 2 2 7" xfId="33116"/>
    <cellStyle name="Nota 2 2 2 4 2 2 2 2 8" xfId="37148"/>
    <cellStyle name="Nota 2 2 2 4 2 2 2 2 9" xfId="41180"/>
    <cellStyle name="Nota 2 2 2 4 2 2 2 3" xfId="10940"/>
    <cellStyle name="Nota 2 2 2 4 2 2 2 4" xfId="14972"/>
    <cellStyle name="Nota 2 2 2 4 2 2 2 5" xfId="19004"/>
    <cellStyle name="Nota 2 2 2 4 2 2 2 6" xfId="23036"/>
    <cellStyle name="Nota 2 2 2 4 2 2 2 7" xfId="27068"/>
    <cellStyle name="Nota 2 2 2 4 2 2 2 8" xfId="31100"/>
    <cellStyle name="Nota 2 2 2 4 2 2 2 9" xfId="35132"/>
    <cellStyle name="Nota 2 2 2 4 2 2 3" xfId="7971"/>
    <cellStyle name="Nota 2 2 2 4 2 2 3 10" xfId="44261"/>
    <cellStyle name="Nota 2 2 2 4 2 2 3 11" xfId="48293"/>
    <cellStyle name="Nota 2 2 2 4 2 2 3 12" xfId="52372"/>
    <cellStyle name="Nota 2 2 2 4 2 2 3 2" xfId="12005"/>
    <cellStyle name="Nota 2 2 2 4 2 2 3 3" xfId="16037"/>
    <cellStyle name="Nota 2 2 2 4 2 2 3 4" xfId="20069"/>
    <cellStyle name="Nota 2 2 2 4 2 2 3 5" xfId="24101"/>
    <cellStyle name="Nota 2 2 2 4 2 2 3 6" xfId="28133"/>
    <cellStyle name="Nota 2 2 2 4 2 2 3 7" xfId="32165"/>
    <cellStyle name="Nota 2 2 2 4 2 2 3 8" xfId="36197"/>
    <cellStyle name="Nota 2 2 2 4 2 2 3 9" xfId="40229"/>
    <cellStyle name="Nota 2 2 2 4 2 2 4" xfId="9989"/>
    <cellStyle name="Nota 2 2 2 4 2 2 5" xfId="14021"/>
    <cellStyle name="Nota 2 2 2 4 2 2 6" xfId="18053"/>
    <cellStyle name="Nota 2 2 2 4 2 2 7" xfId="22085"/>
    <cellStyle name="Nota 2 2 2 4 2 2 8" xfId="26117"/>
    <cellStyle name="Nota 2 2 2 4 2 2 9" xfId="30149"/>
    <cellStyle name="Nota 2 2 2 4 2 3" xfId="4475"/>
    <cellStyle name="Nota 2 2 2 4 2 3 10" xfId="34319"/>
    <cellStyle name="Nota 2 2 2 4 2 3 11" xfId="38351"/>
    <cellStyle name="Nota 2 2 2 4 2 3 12" xfId="42383"/>
    <cellStyle name="Nota 2 2 2 4 2 3 13" xfId="46415"/>
    <cellStyle name="Nota 2 2 2 4 2 3 14" xfId="50494"/>
    <cellStyle name="Nota 2 2 2 4 2 3 2" xfId="7044"/>
    <cellStyle name="Nota 2 2 2 4 2 3 2 10" xfId="39302"/>
    <cellStyle name="Nota 2 2 2 4 2 3 2 11" xfId="43334"/>
    <cellStyle name="Nota 2 2 2 4 2 3 2 12" xfId="47366"/>
    <cellStyle name="Nota 2 2 2 4 2 3 2 13" xfId="51445"/>
    <cellStyle name="Nota 2 2 2 4 2 3 2 2" xfId="9060"/>
    <cellStyle name="Nota 2 2 2 4 2 3 2 2 10" xfId="45350"/>
    <cellStyle name="Nota 2 2 2 4 2 3 2 2 11" xfId="49382"/>
    <cellStyle name="Nota 2 2 2 4 2 3 2 2 12" xfId="53461"/>
    <cellStyle name="Nota 2 2 2 4 2 3 2 2 2" xfId="13094"/>
    <cellStyle name="Nota 2 2 2 4 2 3 2 2 3" xfId="17126"/>
    <cellStyle name="Nota 2 2 2 4 2 3 2 2 4" xfId="21158"/>
    <cellStyle name="Nota 2 2 2 4 2 3 2 2 5" xfId="25190"/>
    <cellStyle name="Nota 2 2 2 4 2 3 2 2 6" xfId="29222"/>
    <cellStyle name="Nota 2 2 2 4 2 3 2 2 7" xfId="33254"/>
    <cellStyle name="Nota 2 2 2 4 2 3 2 2 8" xfId="37286"/>
    <cellStyle name="Nota 2 2 2 4 2 3 2 2 9" xfId="41318"/>
    <cellStyle name="Nota 2 2 2 4 2 3 2 3" xfId="11078"/>
    <cellStyle name="Nota 2 2 2 4 2 3 2 4" xfId="15110"/>
    <cellStyle name="Nota 2 2 2 4 2 3 2 5" xfId="19142"/>
    <cellStyle name="Nota 2 2 2 4 2 3 2 6" xfId="23174"/>
    <cellStyle name="Nota 2 2 2 4 2 3 2 7" xfId="27206"/>
    <cellStyle name="Nota 2 2 2 4 2 3 2 8" xfId="31238"/>
    <cellStyle name="Nota 2 2 2 4 2 3 2 9" xfId="35270"/>
    <cellStyle name="Nota 2 2 2 4 2 3 3" xfId="8109"/>
    <cellStyle name="Nota 2 2 2 4 2 3 3 10" xfId="44399"/>
    <cellStyle name="Nota 2 2 2 4 2 3 3 11" xfId="48431"/>
    <cellStyle name="Nota 2 2 2 4 2 3 3 12" xfId="52510"/>
    <cellStyle name="Nota 2 2 2 4 2 3 3 2" xfId="12143"/>
    <cellStyle name="Nota 2 2 2 4 2 3 3 3" xfId="16175"/>
    <cellStyle name="Nota 2 2 2 4 2 3 3 4" xfId="20207"/>
    <cellStyle name="Nota 2 2 2 4 2 3 3 5" xfId="24239"/>
    <cellStyle name="Nota 2 2 2 4 2 3 3 6" xfId="28271"/>
    <cellStyle name="Nota 2 2 2 4 2 3 3 7" xfId="32303"/>
    <cellStyle name="Nota 2 2 2 4 2 3 3 8" xfId="36335"/>
    <cellStyle name="Nota 2 2 2 4 2 3 3 9" xfId="40367"/>
    <cellStyle name="Nota 2 2 2 4 2 3 4" xfId="10127"/>
    <cellStyle name="Nota 2 2 2 4 2 3 5" xfId="14159"/>
    <cellStyle name="Nota 2 2 2 4 2 3 6" xfId="18191"/>
    <cellStyle name="Nota 2 2 2 4 2 3 7" xfId="22223"/>
    <cellStyle name="Nota 2 2 2 4 2 3 8" xfId="26255"/>
    <cellStyle name="Nota 2 2 2 4 2 3 9" xfId="30287"/>
    <cellStyle name="Nota 2 2 2 4 2 4" xfId="4615"/>
    <cellStyle name="Nota 2 2 2 4 2 4 10" xfId="38489"/>
    <cellStyle name="Nota 2 2 2 4 2 4 11" xfId="42521"/>
    <cellStyle name="Nota 2 2 2 4 2 4 12" xfId="46553"/>
    <cellStyle name="Nota 2 2 2 4 2 4 13" xfId="50632"/>
    <cellStyle name="Nota 2 2 2 4 2 4 2" xfId="8247"/>
    <cellStyle name="Nota 2 2 2 4 2 4 2 10" xfId="44537"/>
    <cellStyle name="Nota 2 2 2 4 2 4 2 11" xfId="48569"/>
    <cellStyle name="Nota 2 2 2 4 2 4 2 12" xfId="52648"/>
    <cellStyle name="Nota 2 2 2 4 2 4 2 2" xfId="12281"/>
    <cellStyle name="Nota 2 2 2 4 2 4 2 3" xfId="16313"/>
    <cellStyle name="Nota 2 2 2 4 2 4 2 4" xfId="20345"/>
    <cellStyle name="Nota 2 2 2 4 2 4 2 5" xfId="24377"/>
    <cellStyle name="Nota 2 2 2 4 2 4 2 6" xfId="28409"/>
    <cellStyle name="Nota 2 2 2 4 2 4 2 7" xfId="32441"/>
    <cellStyle name="Nota 2 2 2 4 2 4 2 8" xfId="36473"/>
    <cellStyle name="Nota 2 2 2 4 2 4 2 9" xfId="40505"/>
    <cellStyle name="Nota 2 2 2 4 2 4 3" xfId="10265"/>
    <cellStyle name="Nota 2 2 2 4 2 4 4" xfId="14297"/>
    <cellStyle name="Nota 2 2 2 4 2 4 5" xfId="18329"/>
    <cellStyle name="Nota 2 2 2 4 2 4 6" xfId="22361"/>
    <cellStyle name="Nota 2 2 2 4 2 4 7" xfId="26393"/>
    <cellStyle name="Nota 2 2 2 4 2 4 8" xfId="30425"/>
    <cellStyle name="Nota 2 2 2 4 2 4 9" xfId="34457"/>
    <cellStyle name="Nota 2 2 2 4 2 5" xfId="1652"/>
    <cellStyle name="Nota 2 2 2 4 2 5 10" xfId="37645"/>
    <cellStyle name="Nota 2 2 2 4 2 5 11" xfId="41677"/>
    <cellStyle name="Nota 2 2 2 4 2 5 12" xfId="45709"/>
    <cellStyle name="Nota 2 2 2 4 2 5 13" xfId="49787"/>
    <cellStyle name="Nota 2 2 2 4 2 5 2" xfId="7403"/>
    <cellStyle name="Nota 2 2 2 4 2 5 2 10" xfId="43693"/>
    <cellStyle name="Nota 2 2 2 4 2 5 2 11" xfId="47725"/>
    <cellStyle name="Nota 2 2 2 4 2 5 2 12" xfId="51804"/>
    <cellStyle name="Nota 2 2 2 4 2 5 2 2" xfId="11437"/>
    <cellStyle name="Nota 2 2 2 4 2 5 2 3" xfId="15469"/>
    <cellStyle name="Nota 2 2 2 4 2 5 2 4" xfId="19501"/>
    <cellStyle name="Nota 2 2 2 4 2 5 2 5" xfId="23533"/>
    <cellStyle name="Nota 2 2 2 4 2 5 2 6" xfId="27565"/>
    <cellStyle name="Nota 2 2 2 4 2 5 2 7" xfId="31597"/>
    <cellStyle name="Nota 2 2 2 4 2 5 2 8" xfId="35629"/>
    <cellStyle name="Nota 2 2 2 4 2 5 2 9" xfId="39661"/>
    <cellStyle name="Nota 2 2 2 4 2 5 3" xfId="9421"/>
    <cellStyle name="Nota 2 2 2 4 2 5 4" xfId="13453"/>
    <cellStyle name="Nota 2 2 2 4 2 5 5" xfId="17485"/>
    <cellStyle name="Nota 2 2 2 4 2 5 6" xfId="21517"/>
    <cellStyle name="Nota 2 2 2 4 2 5 7" xfId="25549"/>
    <cellStyle name="Nota 2 2 2 4 2 5 8" xfId="29581"/>
    <cellStyle name="Nota 2 2 2 4 2 5 9" xfId="33613"/>
    <cellStyle name="Nota 2 2 2 4 2 6" xfId="7182"/>
    <cellStyle name="Nota 2 2 2 4 2 6 10" xfId="43472"/>
    <cellStyle name="Nota 2 2 2 4 2 6 11" xfId="47504"/>
    <cellStyle name="Nota 2 2 2 4 2 6 12" xfId="51583"/>
    <cellStyle name="Nota 2 2 2 4 2 6 2" xfId="11216"/>
    <cellStyle name="Nota 2 2 2 4 2 6 3" xfId="15248"/>
    <cellStyle name="Nota 2 2 2 4 2 6 4" xfId="19280"/>
    <cellStyle name="Nota 2 2 2 4 2 6 5" xfId="23312"/>
    <cellStyle name="Nota 2 2 2 4 2 6 6" xfId="27344"/>
    <cellStyle name="Nota 2 2 2 4 2 6 7" xfId="31376"/>
    <cellStyle name="Nota 2 2 2 4 2 6 8" xfId="35408"/>
    <cellStyle name="Nota 2 2 2 4 2 6 9" xfId="39440"/>
    <cellStyle name="Nota 2 2 2 4 2 7" xfId="9200"/>
    <cellStyle name="Nota 2 2 2 4 2 8" xfId="13232"/>
    <cellStyle name="Nota 2 2 2 4 2 9" xfId="17264"/>
    <cellStyle name="Nota 2 2 2 4 20" xfId="37355"/>
    <cellStyle name="Nota 2 2 2 4 21" xfId="41387"/>
    <cellStyle name="Nota 2 2 2 4 22" xfId="45419"/>
    <cellStyle name="Nota 2 2 2 4 23" xfId="49497"/>
    <cellStyle name="Nota 2 2 2 4 3" xfId="1726"/>
    <cellStyle name="Nota 2 2 2 4 3 10" xfId="33682"/>
    <cellStyle name="Nota 2 2 2 4 3 11" xfId="37714"/>
    <cellStyle name="Nota 2 2 2 4 3 12" xfId="41746"/>
    <cellStyle name="Nota 2 2 2 4 3 13" xfId="45778"/>
    <cellStyle name="Nota 2 2 2 4 3 14" xfId="49856"/>
    <cellStyle name="Nota 2 2 2 4 3 2" xfId="5397"/>
    <cellStyle name="Nota 2 2 2 4 3 2 10" xfId="38665"/>
    <cellStyle name="Nota 2 2 2 4 3 2 11" xfId="42697"/>
    <cellStyle name="Nota 2 2 2 4 3 2 12" xfId="46729"/>
    <cellStyle name="Nota 2 2 2 4 3 2 13" xfId="50808"/>
    <cellStyle name="Nota 2 2 2 4 3 2 2" xfId="8423"/>
    <cellStyle name="Nota 2 2 2 4 3 2 2 10" xfId="44713"/>
    <cellStyle name="Nota 2 2 2 4 3 2 2 11" xfId="48745"/>
    <cellStyle name="Nota 2 2 2 4 3 2 2 12" xfId="52824"/>
    <cellStyle name="Nota 2 2 2 4 3 2 2 2" xfId="12457"/>
    <cellStyle name="Nota 2 2 2 4 3 2 2 3" xfId="16489"/>
    <cellStyle name="Nota 2 2 2 4 3 2 2 4" xfId="20521"/>
    <cellStyle name="Nota 2 2 2 4 3 2 2 5" xfId="24553"/>
    <cellStyle name="Nota 2 2 2 4 3 2 2 6" xfId="28585"/>
    <cellStyle name="Nota 2 2 2 4 3 2 2 7" xfId="32617"/>
    <cellStyle name="Nota 2 2 2 4 3 2 2 8" xfId="36649"/>
    <cellStyle name="Nota 2 2 2 4 3 2 2 9" xfId="40681"/>
    <cellStyle name="Nota 2 2 2 4 3 2 3" xfId="10441"/>
    <cellStyle name="Nota 2 2 2 4 3 2 4" xfId="14473"/>
    <cellStyle name="Nota 2 2 2 4 3 2 5" xfId="18505"/>
    <cellStyle name="Nota 2 2 2 4 3 2 6" xfId="22537"/>
    <cellStyle name="Nota 2 2 2 4 3 2 7" xfId="26569"/>
    <cellStyle name="Nota 2 2 2 4 3 2 8" xfId="30601"/>
    <cellStyle name="Nota 2 2 2 4 3 2 9" xfId="34633"/>
    <cellStyle name="Nota 2 2 2 4 3 3" xfId="7472"/>
    <cellStyle name="Nota 2 2 2 4 3 3 10" xfId="43762"/>
    <cellStyle name="Nota 2 2 2 4 3 3 11" xfId="47794"/>
    <cellStyle name="Nota 2 2 2 4 3 3 12" xfId="51873"/>
    <cellStyle name="Nota 2 2 2 4 3 3 2" xfId="11506"/>
    <cellStyle name="Nota 2 2 2 4 3 3 3" xfId="15538"/>
    <cellStyle name="Nota 2 2 2 4 3 3 4" xfId="19570"/>
    <cellStyle name="Nota 2 2 2 4 3 3 5" xfId="23602"/>
    <cellStyle name="Nota 2 2 2 4 3 3 6" xfId="27634"/>
    <cellStyle name="Nota 2 2 2 4 3 3 7" xfId="31666"/>
    <cellStyle name="Nota 2 2 2 4 3 3 8" xfId="35698"/>
    <cellStyle name="Nota 2 2 2 4 3 3 9" xfId="39730"/>
    <cellStyle name="Nota 2 2 2 4 3 4" xfId="9490"/>
    <cellStyle name="Nota 2 2 2 4 3 5" xfId="13522"/>
    <cellStyle name="Nota 2 2 2 4 3 6" xfId="17554"/>
    <cellStyle name="Nota 2 2 2 4 3 7" xfId="21586"/>
    <cellStyle name="Nota 2 2 2 4 3 8" xfId="25618"/>
    <cellStyle name="Nota 2 2 2 4 3 9" xfId="29650"/>
    <cellStyle name="Nota 2 2 2 4 4" xfId="4048"/>
    <cellStyle name="Nota 2 2 2 4 4 10" xfId="33905"/>
    <cellStyle name="Nota 2 2 2 4 4 11" xfId="37937"/>
    <cellStyle name="Nota 2 2 2 4 4 12" xfId="41969"/>
    <cellStyle name="Nota 2 2 2 4 4 13" xfId="46001"/>
    <cellStyle name="Nota 2 2 2 4 4 14" xfId="50079"/>
    <cellStyle name="Nota 2 2 2 4 4 2" xfId="6630"/>
    <cellStyle name="Nota 2 2 2 4 4 2 10" xfId="38888"/>
    <cellStyle name="Nota 2 2 2 4 4 2 11" xfId="42920"/>
    <cellStyle name="Nota 2 2 2 4 4 2 12" xfId="46952"/>
    <cellStyle name="Nota 2 2 2 4 4 2 13" xfId="51031"/>
    <cellStyle name="Nota 2 2 2 4 4 2 2" xfId="8646"/>
    <cellStyle name="Nota 2 2 2 4 4 2 2 10" xfId="44936"/>
    <cellStyle name="Nota 2 2 2 4 4 2 2 11" xfId="48968"/>
    <cellStyle name="Nota 2 2 2 4 4 2 2 12" xfId="53047"/>
    <cellStyle name="Nota 2 2 2 4 4 2 2 2" xfId="12680"/>
    <cellStyle name="Nota 2 2 2 4 4 2 2 3" xfId="16712"/>
    <cellStyle name="Nota 2 2 2 4 4 2 2 4" xfId="20744"/>
    <cellStyle name="Nota 2 2 2 4 4 2 2 5" xfId="24776"/>
    <cellStyle name="Nota 2 2 2 4 4 2 2 6" xfId="28808"/>
    <cellStyle name="Nota 2 2 2 4 4 2 2 7" xfId="32840"/>
    <cellStyle name="Nota 2 2 2 4 4 2 2 8" xfId="36872"/>
    <cellStyle name="Nota 2 2 2 4 4 2 2 9" xfId="40904"/>
    <cellStyle name="Nota 2 2 2 4 4 2 3" xfId="10664"/>
    <cellStyle name="Nota 2 2 2 4 4 2 4" xfId="14696"/>
    <cellStyle name="Nota 2 2 2 4 4 2 5" xfId="18728"/>
    <cellStyle name="Nota 2 2 2 4 4 2 6" xfId="22760"/>
    <cellStyle name="Nota 2 2 2 4 4 2 7" xfId="26792"/>
    <cellStyle name="Nota 2 2 2 4 4 2 8" xfId="30824"/>
    <cellStyle name="Nota 2 2 2 4 4 2 9" xfId="34856"/>
    <cellStyle name="Nota 2 2 2 4 4 3" xfId="7695"/>
    <cellStyle name="Nota 2 2 2 4 4 3 10" xfId="43985"/>
    <cellStyle name="Nota 2 2 2 4 4 3 11" xfId="48017"/>
    <cellStyle name="Nota 2 2 2 4 4 3 12" xfId="52096"/>
    <cellStyle name="Nota 2 2 2 4 4 3 2" xfId="11729"/>
    <cellStyle name="Nota 2 2 2 4 4 3 3" xfId="15761"/>
    <cellStyle name="Nota 2 2 2 4 4 3 4" xfId="19793"/>
    <cellStyle name="Nota 2 2 2 4 4 3 5" xfId="23825"/>
    <cellStyle name="Nota 2 2 2 4 4 3 6" xfId="27857"/>
    <cellStyle name="Nota 2 2 2 4 4 3 7" xfId="31889"/>
    <cellStyle name="Nota 2 2 2 4 4 3 8" xfId="35921"/>
    <cellStyle name="Nota 2 2 2 4 4 3 9" xfId="39953"/>
    <cellStyle name="Nota 2 2 2 4 4 4" xfId="9713"/>
    <cellStyle name="Nota 2 2 2 4 4 5" xfId="13745"/>
    <cellStyle name="Nota 2 2 2 4 4 6" xfId="17777"/>
    <cellStyle name="Nota 2 2 2 4 4 7" xfId="21809"/>
    <cellStyle name="Nota 2 2 2 4 4 8" xfId="25841"/>
    <cellStyle name="Nota 2 2 2 4 4 9" xfId="29873"/>
    <cellStyle name="Nota 2 2 2 4 5" xfId="4118"/>
    <cellStyle name="Nota 2 2 2 4 5 10" xfId="33974"/>
    <cellStyle name="Nota 2 2 2 4 5 11" xfId="38006"/>
    <cellStyle name="Nota 2 2 2 4 5 12" xfId="42038"/>
    <cellStyle name="Nota 2 2 2 4 5 13" xfId="46070"/>
    <cellStyle name="Nota 2 2 2 4 5 14" xfId="50148"/>
    <cellStyle name="Nota 2 2 2 4 5 2" xfId="6699"/>
    <cellStyle name="Nota 2 2 2 4 5 2 10" xfId="38957"/>
    <cellStyle name="Nota 2 2 2 4 5 2 11" xfId="42989"/>
    <cellStyle name="Nota 2 2 2 4 5 2 12" xfId="47021"/>
    <cellStyle name="Nota 2 2 2 4 5 2 13" xfId="51100"/>
    <cellStyle name="Nota 2 2 2 4 5 2 2" xfId="8715"/>
    <cellStyle name="Nota 2 2 2 4 5 2 2 10" xfId="45005"/>
    <cellStyle name="Nota 2 2 2 4 5 2 2 11" xfId="49037"/>
    <cellStyle name="Nota 2 2 2 4 5 2 2 12" xfId="53116"/>
    <cellStyle name="Nota 2 2 2 4 5 2 2 2" xfId="12749"/>
    <cellStyle name="Nota 2 2 2 4 5 2 2 3" xfId="16781"/>
    <cellStyle name="Nota 2 2 2 4 5 2 2 4" xfId="20813"/>
    <cellStyle name="Nota 2 2 2 4 5 2 2 5" xfId="24845"/>
    <cellStyle name="Nota 2 2 2 4 5 2 2 6" xfId="28877"/>
    <cellStyle name="Nota 2 2 2 4 5 2 2 7" xfId="32909"/>
    <cellStyle name="Nota 2 2 2 4 5 2 2 8" xfId="36941"/>
    <cellStyle name="Nota 2 2 2 4 5 2 2 9" xfId="40973"/>
    <cellStyle name="Nota 2 2 2 4 5 2 3" xfId="10733"/>
    <cellStyle name="Nota 2 2 2 4 5 2 4" xfId="14765"/>
    <cellStyle name="Nota 2 2 2 4 5 2 5" xfId="18797"/>
    <cellStyle name="Nota 2 2 2 4 5 2 6" xfId="22829"/>
    <cellStyle name="Nota 2 2 2 4 5 2 7" xfId="26861"/>
    <cellStyle name="Nota 2 2 2 4 5 2 8" xfId="30893"/>
    <cellStyle name="Nota 2 2 2 4 5 2 9" xfId="34925"/>
    <cellStyle name="Nota 2 2 2 4 5 3" xfId="7764"/>
    <cellStyle name="Nota 2 2 2 4 5 3 10" xfId="44054"/>
    <cellStyle name="Nota 2 2 2 4 5 3 11" xfId="48086"/>
    <cellStyle name="Nota 2 2 2 4 5 3 12" xfId="52165"/>
    <cellStyle name="Nota 2 2 2 4 5 3 2" xfId="11798"/>
    <cellStyle name="Nota 2 2 2 4 5 3 3" xfId="15830"/>
    <cellStyle name="Nota 2 2 2 4 5 3 4" xfId="19862"/>
    <cellStyle name="Nota 2 2 2 4 5 3 5" xfId="23894"/>
    <cellStyle name="Nota 2 2 2 4 5 3 6" xfId="27926"/>
    <cellStyle name="Nota 2 2 2 4 5 3 7" xfId="31958"/>
    <cellStyle name="Nota 2 2 2 4 5 3 8" xfId="35990"/>
    <cellStyle name="Nota 2 2 2 4 5 3 9" xfId="40022"/>
    <cellStyle name="Nota 2 2 2 4 5 4" xfId="9782"/>
    <cellStyle name="Nota 2 2 2 4 5 5" xfId="13814"/>
    <cellStyle name="Nota 2 2 2 4 5 6" xfId="17846"/>
    <cellStyle name="Nota 2 2 2 4 5 7" xfId="21878"/>
    <cellStyle name="Nota 2 2 2 4 5 8" xfId="25910"/>
    <cellStyle name="Nota 2 2 2 4 5 9" xfId="29942"/>
    <cellStyle name="Nota 2 2 2 4 6" xfId="4187"/>
    <cellStyle name="Nota 2 2 2 4 6 10" xfId="34043"/>
    <cellStyle name="Nota 2 2 2 4 6 11" xfId="38075"/>
    <cellStyle name="Nota 2 2 2 4 6 12" xfId="42107"/>
    <cellStyle name="Nota 2 2 2 4 6 13" xfId="46139"/>
    <cellStyle name="Nota 2 2 2 4 6 14" xfId="50217"/>
    <cellStyle name="Nota 2 2 2 4 6 2" xfId="6768"/>
    <cellStyle name="Nota 2 2 2 4 6 2 10" xfId="39026"/>
    <cellStyle name="Nota 2 2 2 4 6 2 11" xfId="43058"/>
    <cellStyle name="Nota 2 2 2 4 6 2 12" xfId="47090"/>
    <cellStyle name="Nota 2 2 2 4 6 2 13" xfId="51169"/>
    <cellStyle name="Nota 2 2 2 4 6 2 2" xfId="8784"/>
    <cellStyle name="Nota 2 2 2 4 6 2 2 10" xfId="45074"/>
    <cellStyle name="Nota 2 2 2 4 6 2 2 11" xfId="49106"/>
    <cellStyle name="Nota 2 2 2 4 6 2 2 12" xfId="53185"/>
    <cellStyle name="Nota 2 2 2 4 6 2 2 2" xfId="12818"/>
    <cellStyle name="Nota 2 2 2 4 6 2 2 3" xfId="16850"/>
    <cellStyle name="Nota 2 2 2 4 6 2 2 4" xfId="20882"/>
    <cellStyle name="Nota 2 2 2 4 6 2 2 5" xfId="24914"/>
    <cellStyle name="Nota 2 2 2 4 6 2 2 6" xfId="28946"/>
    <cellStyle name="Nota 2 2 2 4 6 2 2 7" xfId="32978"/>
    <cellStyle name="Nota 2 2 2 4 6 2 2 8" xfId="37010"/>
    <cellStyle name="Nota 2 2 2 4 6 2 2 9" xfId="41042"/>
    <cellStyle name="Nota 2 2 2 4 6 2 3" xfId="10802"/>
    <cellStyle name="Nota 2 2 2 4 6 2 4" xfId="14834"/>
    <cellStyle name="Nota 2 2 2 4 6 2 5" xfId="18866"/>
    <cellStyle name="Nota 2 2 2 4 6 2 6" xfId="22898"/>
    <cellStyle name="Nota 2 2 2 4 6 2 7" xfId="26930"/>
    <cellStyle name="Nota 2 2 2 4 6 2 8" xfId="30962"/>
    <cellStyle name="Nota 2 2 2 4 6 2 9" xfId="34994"/>
    <cellStyle name="Nota 2 2 2 4 6 3" xfId="7833"/>
    <cellStyle name="Nota 2 2 2 4 6 3 10" xfId="44123"/>
    <cellStyle name="Nota 2 2 2 4 6 3 11" xfId="48155"/>
    <cellStyle name="Nota 2 2 2 4 6 3 12" xfId="52234"/>
    <cellStyle name="Nota 2 2 2 4 6 3 2" xfId="11867"/>
    <cellStyle name="Nota 2 2 2 4 6 3 3" xfId="15899"/>
    <cellStyle name="Nota 2 2 2 4 6 3 4" xfId="19931"/>
    <cellStyle name="Nota 2 2 2 4 6 3 5" xfId="23963"/>
    <cellStyle name="Nota 2 2 2 4 6 3 6" xfId="27995"/>
    <cellStyle name="Nota 2 2 2 4 6 3 7" xfId="32027"/>
    <cellStyle name="Nota 2 2 2 4 6 3 8" xfId="36059"/>
    <cellStyle name="Nota 2 2 2 4 6 3 9" xfId="40091"/>
    <cellStyle name="Nota 2 2 2 4 6 4" xfId="9851"/>
    <cellStyle name="Nota 2 2 2 4 6 5" xfId="13883"/>
    <cellStyle name="Nota 2 2 2 4 6 6" xfId="17915"/>
    <cellStyle name="Nota 2 2 2 4 6 7" xfId="21947"/>
    <cellStyle name="Nota 2 2 2 4 6 8" xfId="25979"/>
    <cellStyle name="Nota 2 2 2 4 6 9" xfId="30011"/>
    <cellStyle name="Nota 2 2 2 4 7" xfId="4260"/>
    <cellStyle name="Nota 2 2 2 4 7 10" xfId="34112"/>
    <cellStyle name="Nota 2 2 2 4 7 11" xfId="38144"/>
    <cellStyle name="Nota 2 2 2 4 7 12" xfId="42176"/>
    <cellStyle name="Nota 2 2 2 4 7 13" xfId="46208"/>
    <cellStyle name="Nota 2 2 2 4 7 14" xfId="50286"/>
    <cellStyle name="Nota 2 2 2 4 7 2" xfId="6837"/>
    <cellStyle name="Nota 2 2 2 4 7 2 10" xfId="39095"/>
    <cellStyle name="Nota 2 2 2 4 7 2 11" xfId="43127"/>
    <cellStyle name="Nota 2 2 2 4 7 2 12" xfId="47159"/>
    <cellStyle name="Nota 2 2 2 4 7 2 13" xfId="51238"/>
    <cellStyle name="Nota 2 2 2 4 7 2 2" xfId="8853"/>
    <cellStyle name="Nota 2 2 2 4 7 2 2 10" xfId="45143"/>
    <cellStyle name="Nota 2 2 2 4 7 2 2 11" xfId="49175"/>
    <cellStyle name="Nota 2 2 2 4 7 2 2 12" xfId="53254"/>
    <cellStyle name="Nota 2 2 2 4 7 2 2 2" xfId="12887"/>
    <cellStyle name="Nota 2 2 2 4 7 2 2 3" xfId="16919"/>
    <cellStyle name="Nota 2 2 2 4 7 2 2 4" xfId="20951"/>
    <cellStyle name="Nota 2 2 2 4 7 2 2 5" xfId="24983"/>
    <cellStyle name="Nota 2 2 2 4 7 2 2 6" xfId="29015"/>
    <cellStyle name="Nota 2 2 2 4 7 2 2 7" xfId="33047"/>
    <cellStyle name="Nota 2 2 2 4 7 2 2 8" xfId="37079"/>
    <cellStyle name="Nota 2 2 2 4 7 2 2 9" xfId="41111"/>
    <cellStyle name="Nota 2 2 2 4 7 2 3" xfId="10871"/>
    <cellStyle name="Nota 2 2 2 4 7 2 4" xfId="14903"/>
    <cellStyle name="Nota 2 2 2 4 7 2 5" xfId="18935"/>
    <cellStyle name="Nota 2 2 2 4 7 2 6" xfId="22967"/>
    <cellStyle name="Nota 2 2 2 4 7 2 7" xfId="26999"/>
    <cellStyle name="Nota 2 2 2 4 7 2 8" xfId="31031"/>
    <cellStyle name="Nota 2 2 2 4 7 2 9" xfId="35063"/>
    <cellStyle name="Nota 2 2 2 4 7 3" xfId="7902"/>
    <cellStyle name="Nota 2 2 2 4 7 3 10" xfId="44192"/>
    <cellStyle name="Nota 2 2 2 4 7 3 11" xfId="48224"/>
    <cellStyle name="Nota 2 2 2 4 7 3 12" xfId="52303"/>
    <cellStyle name="Nota 2 2 2 4 7 3 2" xfId="11936"/>
    <cellStyle name="Nota 2 2 2 4 7 3 3" xfId="15968"/>
    <cellStyle name="Nota 2 2 2 4 7 3 4" xfId="20000"/>
    <cellStyle name="Nota 2 2 2 4 7 3 5" xfId="24032"/>
    <cellStyle name="Nota 2 2 2 4 7 3 6" xfId="28064"/>
    <cellStyle name="Nota 2 2 2 4 7 3 7" xfId="32096"/>
    <cellStyle name="Nota 2 2 2 4 7 3 8" xfId="36128"/>
    <cellStyle name="Nota 2 2 2 4 7 3 9" xfId="40160"/>
    <cellStyle name="Nota 2 2 2 4 7 4" xfId="9920"/>
    <cellStyle name="Nota 2 2 2 4 7 5" xfId="13952"/>
    <cellStyle name="Nota 2 2 2 4 7 6" xfId="17984"/>
    <cellStyle name="Nota 2 2 2 4 7 7" xfId="22016"/>
    <cellStyle name="Nota 2 2 2 4 7 8" xfId="26048"/>
    <cellStyle name="Nota 2 2 2 4 7 9" xfId="30080"/>
    <cellStyle name="Nota 2 2 2 4 8" xfId="4406"/>
    <cellStyle name="Nota 2 2 2 4 8 10" xfId="34250"/>
    <cellStyle name="Nota 2 2 2 4 8 11" xfId="38282"/>
    <cellStyle name="Nota 2 2 2 4 8 12" xfId="42314"/>
    <cellStyle name="Nota 2 2 2 4 8 13" xfId="46346"/>
    <cellStyle name="Nota 2 2 2 4 8 14" xfId="50425"/>
    <cellStyle name="Nota 2 2 2 4 8 2" xfId="6975"/>
    <cellStyle name="Nota 2 2 2 4 8 2 10" xfId="39233"/>
    <cellStyle name="Nota 2 2 2 4 8 2 11" xfId="43265"/>
    <cellStyle name="Nota 2 2 2 4 8 2 12" xfId="47297"/>
    <cellStyle name="Nota 2 2 2 4 8 2 13" xfId="51376"/>
    <cellStyle name="Nota 2 2 2 4 8 2 2" xfId="8991"/>
    <cellStyle name="Nota 2 2 2 4 8 2 2 10" xfId="45281"/>
    <cellStyle name="Nota 2 2 2 4 8 2 2 11" xfId="49313"/>
    <cellStyle name="Nota 2 2 2 4 8 2 2 12" xfId="53392"/>
    <cellStyle name="Nota 2 2 2 4 8 2 2 2" xfId="13025"/>
    <cellStyle name="Nota 2 2 2 4 8 2 2 3" xfId="17057"/>
    <cellStyle name="Nota 2 2 2 4 8 2 2 4" xfId="21089"/>
    <cellStyle name="Nota 2 2 2 4 8 2 2 5" xfId="25121"/>
    <cellStyle name="Nota 2 2 2 4 8 2 2 6" xfId="29153"/>
    <cellStyle name="Nota 2 2 2 4 8 2 2 7" xfId="33185"/>
    <cellStyle name="Nota 2 2 2 4 8 2 2 8" xfId="37217"/>
    <cellStyle name="Nota 2 2 2 4 8 2 2 9" xfId="41249"/>
    <cellStyle name="Nota 2 2 2 4 8 2 3" xfId="11009"/>
    <cellStyle name="Nota 2 2 2 4 8 2 4" xfId="15041"/>
    <cellStyle name="Nota 2 2 2 4 8 2 5" xfId="19073"/>
    <cellStyle name="Nota 2 2 2 4 8 2 6" xfId="23105"/>
    <cellStyle name="Nota 2 2 2 4 8 2 7" xfId="27137"/>
    <cellStyle name="Nota 2 2 2 4 8 2 8" xfId="31169"/>
    <cellStyle name="Nota 2 2 2 4 8 2 9" xfId="35201"/>
    <cellStyle name="Nota 2 2 2 4 8 3" xfId="8040"/>
    <cellStyle name="Nota 2 2 2 4 8 3 10" xfId="44330"/>
    <cellStyle name="Nota 2 2 2 4 8 3 11" xfId="48362"/>
    <cellStyle name="Nota 2 2 2 4 8 3 12" xfId="52441"/>
    <cellStyle name="Nota 2 2 2 4 8 3 2" xfId="12074"/>
    <cellStyle name="Nota 2 2 2 4 8 3 3" xfId="16106"/>
    <cellStyle name="Nota 2 2 2 4 8 3 4" xfId="20138"/>
    <cellStyle name="Nota 2 2 2 4 8 3 5" xfId="24170"/>
    <cellStyle name="Nota 2 2 2 4 8 3 6" xfId="28202"/>
    <cellStyle name="Nota 2 2 2 4 8 3 7" xfId="32234"/>
    <cellStyle name="Nota 2 2 2 4 8 3 8" xfId="36266"/>
    <cellStyle name="Nota 2 2 2 4 8 3 9" xfId="40298"/>
    <cellStyle name="Nota 2 2 2 4 8 4" xfId="10058"/>
    <cellStyle name="Nota 2 2 2 4 8 5" xfId="14090"/>
    <cellStyle name="Nota 2 2 2 4 8 6" xfId="18122"/>
    <cellStyle name="Nota 2 2 2 4 8 7" xfId="22154"/>
    <cellStyle name="Nota 2 2 2 4 8 8" xfId="26186"/>
    <cellStyle name="Nota 2 2 2 4 8 9" xfId="30218"/>
    <cellStyle name="Nota 2 2 2 4 9" xfId="4544"/>
    <cellStyle name="Nota 2 2 2 4 9 10" xfId="38420"/>
    <cellStyle name="Nota 2 2 2 4 9 11" xfId="42452"/>
    <cellStyle name="Nota 2 2 2 4 9 12" xfId="46484"/>
    <cellStyle name="Nota 2 2 2 4 9 13" xfId="50563"/>
    <cellStyle name="Nota 2 2 2 4 9 2" xfId="8178"/>
    <cellStyle name="Nota 2 2 2 4 9 2 10" xfId="44468"/>
    <cellStyle name="Nota 2 2 2 4 9 2 11" xfId="48500"/>
    <cellStyle name="Nota 2 2 2 4 9 2 12" xfId="52579"/>
    <cellStyle name="Nota 2 2 2 4 9 2 2" xfId="12212"/>
    <cellStyle name="Nota 2 2 2 4 9 2 3" xfId="16244"/>
    <cellStyle name="Nota 2 2 2 4 9 2 4" xfId="20276"/>
    <cellStyle name="Nota 2 2 2 4 9 2 5" xfId="24308"/>
    <cellStyle name="Nota 2 2 2 4 9 2 6" xfId="28340"/>
    <cellStyle name="Nota 2 2 2 4 9 2 7" xfId="32372"/>
    <cellStyle name="Nota 2 2 2 4 9 2 8" xfId="36404"/>
    <cellStyle name="Nota 2 2 2 4 9 2 9" xfId="40436"/>
    <cellStyle name="Nota 2 2 2 4 9 3" xfId="10196"/>
    <cellStyle name="Nota 2 2 2 4 9 4" xfId="14228"/>
    <cellStyle name="Nota 2 2 2 4 9 5" xfId="18260"/>
    <cellStyle name="Nota 2 2 2 4 9 6" xfId="22292"/>
    <cellStyle name="Nota 2 2 2 4 9 7" xfId="26324"/>
    <cellStyle name="Nota 2 2 2 4 9 8" xfId="30356"/>
    <cellStyle name="Nota 2 2 2 4 9 9" xfId="34388"/>
    <cellStyle name="Nota 2 2 2 5" xfId="202"/>
    <cellStyle name="Nota 2 2 2 5 10" xfId="21280"/>
    <cellStyle name="Nota 2 2 2 5 11" xfId="25312"/>
    <cellStyle name="Nota 2 2 2 5 12" xfId="29344"/>
    <cellStyle name="Nota 2 2 2 5 13" xfId="33376"/>
    <cellStyle name="Nota 2 2 2 5 14" xfId="37408"/>
    <cellStyle name="Nota 2 2 2 5 15" xfId="41440"/>
    <cellStyle name="Nota 2 2 2 5 16" xfId="45472"/>
    <cellStyle name="Nota 2 2 2 5 17" xfId="49550"/>
    <cellStyle name="Nota 2 2 2 5 2" xfId="4320"/>
    <cellStyle name="Nota 2 2 2 5 2 10" xfId="34165"/>
    <cellStyle name="Nota 2 2 2 5 2 11" xfId="38197"/>
    <cellStyle name="Nota 2 2 2 5 2 12" xfId="42229"/>
    <cellStyle name="Nota 2 2 2 5 2 13" xfId="46261"/>
    <cellStyle name="Nota 2 2 2 5 2 14" xfId="50340"/>
    <cellStyle name="Nota 2 2 2 5 2 2" xfId="6890"/>
    <cellStyle name="Nota 2 2 2 5 2 2 10" xfId="39148"/>
    <cellStyle name="Nota 2 2 2 5 2 2 11" xfId="43180"/>
    <cellStyle name="Nota 2 2 2 5 2 2 12" xfId="47212"/>
    <cellStyle name="Nota 2 2 2 5 2 2 13" xfId="51291"/>
    <cellStyle name="Nota 2 2 2 5 2 2 2" xfId="8906"/>
    <cellStyle name="Nota 2 2 2 5 2 2 2 10" xfId="45196"/>
    <cellStyle name="Nota 2 2 2 5 2 2 2 11" xfId="49228"/>
    <cellStyle name="Nota 2 2 2 5 2 2 2 12" xfId="53307"/>
    <cellStyle name="Nota 2 2 2 5 2 2 2 2" xfId="12940"/>
    <cellStyle name="Nota 2 2 2 5 2 2 2 3" xfId="16972"/>
    <cellStyle name="Nota 2 2 2 5 2 2 2 4" xfId="21004"/>
    <cellStyle name="Nota 2 2 2 5 2 2 2 5" xfId="25036"/>
    <cellStyle name="Nota 2 2 2 5 2 2 2 6" xfId="29068"/>
    <cellStyle name="Nota 2 2 2 5 2 2 2 7" xfId="33100"/>
    <cellStyle name="Nota 2 2 2 5 2 2 2 8" xfId="37132"/>
    <cellStyle name="Nota 2 2 2 5 2 2 2 9" xfId="41164"/>
    <cellStyle name="Nota 2 2 2 5 2 2 3" xfId="10924"/>
    <cellStyle name="Nota 2 2 2 5 2 2 4" xfId="14956"/>
    <cellStyle name="Nota 2 2 2 5 2 2 5" xfId="18988"/>
    <cellStyle name="Nota 2 2 2 5 2 2 6" xfId="23020"/>
    <cellStyle name="Nota 2 2 2 5 2 2 7" xfId="27052"/>
    <cellStyle name="Nota 2 2 2 5 2 2 8" xfId="31084"/>
    <cellStyle name="Nota 2 2 2 5 2 2 9" xfId="35116"/>
    <cellStyle name="Nota 2 2 2 5 2 3" xfId="7955"/>
    <cellStyle name="Nota 2 2 2 5 2 3 10" xfId="44245"/>
    <cellStyle name="Nota 2 2 2 5 2 3 11" xfId="48277"/>
    <cellStyle name="Nota 2 2 2 5 2 3 12" xfId="52356"/>
    <cellStyle name="Nota 2 2 2 5 2 3 2" xfId="11989"/>
    <cellStyle name="Nota 2 2 2 5 2 3 3" xfId="16021"/>
    <cellStyle name="Nota 2 2 2 5 2 3 4" xfId="20053"/>
    <cellStyle name="Nota 2 2 2 5 2 3 5" xfId="24085"/>
    <cellStyle name="Nota 2 2 2 5 2 3 6" xfId="28117"/>
    <cellStyle name="Nota 2 2 2 5 2 3 7" xfId="32149"/>
    <cellStyle name="Nota 2 2 2 5 2 3 8" xfId="36181"/>
    <cellStyle name="Nota 2 2 2 5 2 3 9" xfId="40213"/>
    <cellStyle name="Nota 2 2 2 5 2 4" xfId="9973"/>
    <cellStyle name="Nota 2 2 2 5 2 5" xfId="14005"/>
    <cellStyle name="Nota 2 2 2 5 2 6" xfId="18037"/>
    <cellStyle name="Nota 2 2 2 5 2 7" xfId="22069"/>
    <cellStyle name="Nota 2 2 2 5 2 8" xfId="26101"/>
    <cellStyle name="Nota 2 2 2 5 2 9" xfId="30133"/>
    <cellStyle name="Nota 2 2 2 5 3" xfId="4459"/>
    <cellStyle name="Nota 2 2 2 5 3 10" xfId="34303"/>
    <cellStyle name="Nota 2 2 2 5 3 11" xfId="38335"/>
    <cellStyle name="Nota 2 2 2 5 3 12" xfId="42367"/>
    <cellStyle name="Nota 2 2 2 5 3 13" xfId="46399"/>
    <cellStyle name="Nota 2 2 2 5 3 14" xfId="50478"/>
    <cellStyle name="Nota 2 2 2 5 3 2" xfId="7028"/>
    <cellStyle name="Nota 2 2 2 5 3 2 10" xfId="39286"/>
    <cellStyle name="Nota 2 2 2 5 3 2 11" xfId="43318"/>
    <cellStyle name="Nota 2 2 2 5 3 2 12" xfId="47350"/>
    <cellStyle name="Nota 2 2 2 5 3 2 13" xfId="51429"/>
    <cellStyle name="Nota 2 2 2 5 3 2 2" xfId="9044"/>
    <cellStyle name="Nota 2 2 2 5 3 2 2 10" xfId="45334"/>
    <cellStyle name="Nota 2 2 2 5 3 2 2 11" xfId="49366"/>
    <cellStyle name="Nota 2 2 2 5 3 2 2 12" xfId="53445"/>
    <cellStyle name="Nota 2 2 2 5 3 2 2 2" xfId="13078"/>
    <cellStyle name="Nota 2 2 2 5 3 2 2 3" xfId="17110"/>
    <cellStyle name="Nota 2 2 2 5 3 2 2 4" xfId="21142"/>
    <cellStyle name="Nota 2 2 2 5 3 2 2 5" xfId="25174"/>
    <cellStyle name="Nota 2 2 2 5 3 2 2 6" xfId="29206"/>
    <cellStyle name="Nota 2 2 2 5 3 2 2 7" xfId="33238"/>
    <cellStyle name="Nota 2 2 2 5 3 2 2 8" xfId="37270"/>
    <cellStyle name="Nota 2 2 2 5 3 2 2 9" xfId="41302"/>
    <cellStyle name="Nota 2 2 2 5 3 2 3" xfId="11062"/>
    <cellStyle name="Nota 2 2 2 5 3 2 4" xfId="15094"/>
    <cellStyle name="Nota 2 2 2 5 3 2 5" xfId="19126"/>
    <cellStyle name="Nota 2 2 2 5 3 2 6" xfId="23158"/>
    <cellStyle name="Nota 2 2 2 5 3 2 7" xfId="27190"/>
    <cellStyle name="Nota 2 2 2 5 3 2 8" xfId="31222"/>
    <cellStyle name="Nota 2 2 2 5 3 2 9" xfId="35254"/>
    <cellStyle name="Nota 2 2 2 5 3 3" xfId="8093"/>
    <cellStyle name="Nota 2 2 2 5 3 3 10" xfId="44383"/>
    <cellStyle name="Nota 2 2 2 5 3 3 11" xfId="48415"/>
    <cellStyle name="Nota 2 2 2 5 3 3 12" xfId="52494"/>
    <cellStyle name="Nota 2 2 2 5 3 3 2" xfId="12127"/>
    <cellStyle name="Nota 2 2 2 5 3 3 3" xfId="16159"/>
    <cellStyle name="Nota 2 2 2 5 3 3 4" xfId="20191"/>
    <cellStyle name="Nota 2 2 2 5 3 3 5" xfId="24223"/>
    <cellStyle name="Nota 2 2 2 5 3 3 6" xfId="28255"/>
    <cellStyle name="Nota 2 2 2 5 3 3 7" xfId="32287"/>
    <cellStyle name="Nota 2 2 2 5 3 3 8" xfId="36319"/>
    <cellStyle name="Nota 2 2 2 5 3 3 9" xfId="40351"/>
    <cellStyle name="Nota 2 2 2 5 3 4" xfId="10111"/>
    <cellStyle name="Nota 2 2 2 5 3 5" xfId="14143"/>
    <cellStyle name="Nota 2 2 2 5 3 6" xfId="18175"/>
    <cellStyle name="Nota 2 2 2 5 3 7" xfId="22207"/>
    <cellStyle name="Nota 2 2 2 5 3 8" xfId="26239"/>
    <cellStyle name="Nota 2 2 2 5 3 9" xfId="30271"/>
    <cellStyle name="Nota 2 2 2 5 4" xfId="4599"/>
    <cellStyle name="Nota 2 2 2 5 4 10" xfId="38473"/>
    <cellStyle name="Nota 2 2 2 5 4 11" xfId="42505"/>
    <cellStyle name="Nota 2 2 2 5 4 12" xfId="46537"/>
    <cellStyle name="Nota 2 2 2 5 4 13" xfId="50616"/>
    <cellStyle name="Nota 2 2 2 5 4 2" xfId="8231"/>
    <cellStyle name="Nota 2 2 2 5 4 2 10" xfId="44521"/>
    <cellStyle name="Nota 2 2 2 5 4 2 11" xfId="48553"/>
    <cellStyle name="Nota 2 2 2 5 4 2 12" xfId="52632"/>
    <cellStyle name="Nota 2 2 2 5 4 2 2" xfId="12265"/>
    <cellStyle name="Nota 2 2 2 5 4 2 3" xfId="16297"/>
    <cellStyle name="Nota 2 2 2 5 4 2 4" xfId="20329"/>
    <cellStyle name="Nota 2 2 2 5 4 2 5" xfId="24361"/>
    <cellStyle name="Nota 2 2 2 5 4 2 6" xfId="28393"/>
    <cellStyle name="Nota 2 2 2 5 4 2 7" xfId="32425"/>
    <cellStyle name="Nota 2 2 2 5 4 2 8" xfId="36457"/>
    <cellStyle name="Nota 2 2 2 5 4 2 9" xfId="40489"/>
    <cellStyle name="Nota 2 2 2 5 4 3" xfId="10249"/>
    <cellStyle name="Nota 2 2 2 5 4 4" xfId="14281"/>
    <cellStyle name="Nota 2 2 2 5 4 5" xfId="18313"/>
    <cellStyle name="Nota 2 2 2 5 4 6" xfId="22345"/>
    <cellStyle name="Nota 2 2 2 5 4 7" xfId="26377"/>
    <cellStyle name="Nota 2 2 2 5 4 8" xfId="30409"/>
    <cellStyle name="Nota 2 2 2 5 4 9" xfId="34441"/>
    <cellStyle name="Nota 2 2 2 5 5" xfId="910"/>
    <cellStyle name="Nota 2 2 2 5 6" xfId="7166"/>
    <cellStyle name="Nota 2 2 2 5 6 10" xfId="43456"/>
    <cellStyle name="Nota 2 2 2 5 6 11" xfId="47488"/>
    <cellStyle name="Nota 2 2 2 5 6 12" xfId="51567"/>
    <cellStyle name="Nota 2 2 2 5 6 2" xfId="11200"/>
    <cellStyle name="Nota 2 2 2 5 6 3" xfId="15232"/>
    <cellStyle name="Nota 2 2 2 5 6 4" xfId="19264"/>
    <cellStyle name="Nota 2 2 2 5 6 5" xfId="23296"/>
    <cellStyle name="Nota 2 2 2 5 6 6" xfId="27328"/>
    <cellStyle name="Nota 2 2 2 5 6 7" xfId="31360"/>
    <cellStyle name="Nota 2 2 2 5 6 8" xfId="35392"/>
    <cellStyle name="Nota 2 2 2 5 6 9" xfId="39424"/>
    <cellStyle name="Nota 2 2 2 5 7" xfId="9184"/>
    <cellStyle name="Nota 2 2 2 5 8" xfId="13216"/>
    <cellStyle name="Nota 2 2 2 5 9" xfId="17248"/>
    <cellStyle name="Nota 2 2 2 6" xfId="326"/>
    <cellStyle name="Nota 2 2 2 6 10" xfId="33499"/>
    <cellStyle name="Nota 2 2 2 6 11" xfId="37531"/>
    <cellStyle name="Nota 2 2 2 6 12" xfId="41563"/>
    <cellStyle name="Nota 2 2 2 6 13" xfId="45595"/>
    <cellStyle name="Nota 2 2 2 6 14" xfId="49673"/>
    <cellStyle name="Nota 2 2 2 6 2" xfId="4663"/>
    <cellStyle name="Nota 2 2 2 6 2 10" xfId="38537"/>
    <cellStyle name="Nota 2 2 2 6 2 11" xfId="42569"/>
    <cellStyle name="Nota 2 2 2 6 2 12" xfId="46601"/>
    <cellStyle name="Nota 2 2 2 6 2 13" xfId="50680"/>
    <cellStyle name="Nota 2 2 2 6 2 2" xfId="8295"/>
    <cellStyle name="Nota 2 2 2 6 2 2 10" xfId="44585"/>
    <cellStyle name="Nota 2 2 2 6 2 2 11" xfId="48617"/>
    <cellStyle name="Nota 2 2 2 6 2 2 12" xfId="52696"/>
    <cellStyle name="Nota 2 2 2 6 2 2 2" xfId="12329"/>
    <cellStyle name="Nota 2 2 2 6 2 2 3" xfId="16361"/>
    <cellStyle name="Nota 2 2 2 6 2 2 4" xfId="20393"/>
    <cellStyle name="Nota 2 2 2 6 2 2 5" xfId="24425"/>
    <cellStyle name="Nota 2 2 2 6 2 2 6" xfId="28457"/>
    <cellStyle name="Nota 2 2 2 6 2 2 7" xfId="32489"/>
    <cellStyle name="Nota 2 2 2 6 2 2 8" xfId="36521"/>
    <cellStyle name="Nota 2 2 2 6 2 2 9" xfId="40553"/>
    <cellStyle name="Nota 2 2 2 6 2 3" xfId="10313"/>
    <cellStyle name="Nota 2 2 2 6 2 4" xfId="14345"/>
    <cellStyle name="Nota 2 2 2 6 2 5" xfId="18377"/>
    <cellStyle name="Nota 2 2 2 6 2 6" xfId="22409"/>
    <cellStyle name="Nota 2 2 2 6 2 7" xfId="26441"/>
    <cellStyle name="Nota 2 2 2 6 2 8" xfId="30473"/>
    <cellStyle name="Nota 2 2 2 6 2 9" xfId="34505"/>
    <cellStyle name="Nota 2 2 2 6 3" xfId="7289"/>
    <cellStyle name="Nota 2 2 2 6 3 10" xfId="43579"/>
    <cellStyle name="Nota 2 2 2 6 3 11" xfId="47611"/>
    <cellStyle name="Nota 2 2 2 6 3 12" xfId="51690"/>
    <cellStyle name="Nota 2 2 2 6 3 2" xfId="11323"/>
    <cellStyle name="Nota 2 2 2 6 3 3" xfId="15355"/>
    <cellStyle name="Nota 2 2 2 6 3 4" xfId="19387"/>
    <cellStyle name="Nota 2 2 2 6 3 5" xfId="23419"/>
    <cellStyle name="Nota 2 2 2 6 3 6" xfId="27451"/>
    <cellStyle name="Nota 2 2 2 6 3 7" xfId="31483"/>
    <cellStyle name="Nota 2 2 2 6 3 8" xfId="35515"/>
    <cellStyle name="Nota 2 2 2 6 3 9" xfId="39547"/>
    <cellStyle name="Nota 2 2 2 6 4" xfId="9307"/>
    <cellStyle name="Nota 2 2 2 6 5" xfId="13339"/>
    <cellStyle name="Nota 2 2 2 6 6" xfId="17371"/>
    <cellStyle name="Nota 2 2 2 6 7" xfId="21403"/>
    <cellStyle name="Nota 2 2 2 6 8" xfId="25435"/>
    <cellStyle name="Nota 2 2 2 6 9" xfId="29467"/>
    <cellStyle name="Nota 2 2 2 7" xfId="1636"/>
    <cellStyle name="Nota 2 2 2 7 10" xfId="33597"/>
    <cellStyle name="Nota 2 2 2 7 11" xfId="37629"/>
    <cellStyle name="Nota 2 2 2 7 12" xfId="41661"/>
    <cellStyle name="Nota 2 2 2 7 13" xfId="45693"/>
    <cellStyle name="Nota 2 2 2 7 14" xfId="49771"/>
    <cellStyle name="Nota 2 2 2 7 2" xfId="5325"/>
    <cellStyle name="Nota 2 2 2 7 2 10" xfId="38593"/>
    <cellStyle name="Nota 2 2 2 7 2 11" xfId="42625"/>
    <cellStyle name="Nota 2 2 2 7 2 12" xfId="46657"/>
    <cellStyle name="Nota 2 2 2 7 2 13" xfId="50736"/>
    <cellStyle name="Nota 2 2 2 7 2 2" xfId="8351"/>
    <cellStyle name="Nota 2 2 2 7 2 2 10" xfId="44641"/>
    <cellStyle name="Nota 2 2 2 7 2 2 11" xfId="48673"/>
    <cellStyle name="Nota 2 2 2 7 2 2 12" xfId="52752"/>
    <cellStyle name="Nota 2 2 2 7 2 2 2" xfId="12385"/>
    <cellStyle name="Nota 2 2 2 7 2 2 3" xfId="16417"/>
    <cellStyle name="Nota 2 2 2 7 2 2 4" xfId="20449"/>
    <cellStyle name="Nota 2 2 2 7 2 2 5" xfId="24481"/>
    <cellStyle name="Nota 2 2 2 7 2 2 6" xfId="28513"/>
    <cellStyle name="Nota 2 2 2 7 2 2 7" xfId="32545"/>
    <cellStyle name="Nota 2 2 2 7 2 2 8" xfId="36577"/>
    <cellStyle name="Nota 2 2 2 7 2 2 9" xfId="40609"/>
    <cellStyle name="Nota 2 2 2 7 2 3" xfId="10369"/>
    <cellStyle name="Nota 2 2 2 7 2 4" xfId="14401"/>
    <cellStyle name="Nota 2 2 2 7 2 5" xfId="18433"/>
    <cellStyle name="Nota 2 2 2 7 2 6" xfId="22465"/>
    <cellStyle name="Nota 2 2 2 7 2 7" xfId="26497"/>
    <cellStyle name="Nota 2 2 2 7 2 8" xfId="30529"/>
    <cellStyle name="Nota 2 2 2 7 2 9" xfId="34561"/>
    <cellStyle name="Nota 2 2 2 7 3" xfId="7387"/>
    <cellStyle name="Nota 2 2 2 7 3 10" xfId="43677"/>
    <cellStyle name="Nota 2 2 2 7 3 11" xfId="47709"/>
    <cellStyle name="Nota 2 2 2 7 3 12" xfId="51788"/>
    <cellStyle name="Nota 2 2 2 7 3 2" xfId="11421"/>
    <cellStyle name="Nota 2 2 2 7 3 3" xfId="15453"/>
    <cellStyle name="Nota 2 2 2 7 3 4" xfId="19485"/>
    <cellStyle name="Nota 2 2 2 7 3 5" xfId="23517"/>
    <cellStyle name="Nota 2 2 2 7 3 6" xfId="27549"/>
    <cellStyle name="Nota 2 2 2 7 3 7" xfId="31581"/>
    <cellStyle name="Nota 2 2 2 7 3 8" xfId="35613"/>
    <cellStyle name="Nota 2 2 2 7 3 9" xfId="39645"/>
    <cellStyle name="Nota 2 2 2 7 4" xfId="9405"/>
    <cellStyle name="Nota 2 2 2 7 5" xfId="13437"/>
    <cellStyle name="Nota 2 2 2 7 6" xfId="17469"/>
    <cellStyle name="Nota 2 2 2 7 7" xfId="21501"/>
    <cellStyle name="Nota 2 2 2 7 8" xfId="25533"/>
    <cellStyle name="Nota 2 2 2 7 9" xfId="29565"/>
    <cellStyle name="Nota 2 2 2 8" xfId="1710"/>
    <cellStyle name="Nota 2 2 2 8 10" xfId="33666"/>
    <cellStyle name="Nota 2 2 2 8 11" xfId="37698"/>
    <cellStyle name="Nota 2 2 2 8 12" xfId="41730"/>
    <cellStyle name="Nota 2 2 2 8 13" xfId="45762"/>
    <cellStyle name="Nota 2 2 2 8 14" xfId="49840"/>
    <cellStyle name="Nota 2 2 2 8 2" xfId="5381"/>
    <cellStyle name="Nota 2 2 2 8 2 10" xfId="38649"/>
    <cellStyle name="Nota 2 2 2 8 2 11" xfId="42681"/>
    <cellStyle name="Nota 2 2 2 8 2 12" xfId="46713"/>
    <cellStyle name="Nota 2 2 2 8 2 13" xfId="50792"/>
    <cellStyle name="Nota 2 2 2 8 2 2" xfId="8407"/>
    <cellStyle name="Nota 2 2 2 8 2 2 10" xfId="44697"/>
    <cellStyle name="Nota 2 2 2 8 2 2 11" xfId="48729"/>
    <cellStyle name="Nota 2 2 2 8 2 2 12" xfId="52808"/>
    <cellStyle name="Nota 2 2 2 8 2 2 2" xfId="12441"/>
    <cellStyle name="Nota 2 2 2 8 2 2 3" xfId="16473"/>
    <cellStyle name="Nota 2 2 2 8 2 2 4" xfId="20505"/>
    <cellStyle name="Nota 2 2 2 8 2 2 5" xfId="24537"/>
    <cellStyle name="Nota 2 2 2 8 2 2 6" xfId="28569"/>
    <cellStyle name="Nota 2 2 2 8 2 2 7" xfId="32601"/>
    <cellStyle name="Nota 2 2 2 8 2 2 8" xfId="36633"/>
    <cellStyle name="Nota 2 2 2 8 2 2 9" xfId="40665"/>
    <cellStyle name="Nota 2 2 2 8 2 3" xfId="10425"/>
    <cellStyle name="Nota 2 2 2 8 2 4" xfId="14457"/>
    <cellStyle name="Nota 2 2 2 8 2 5" xfId="18489"/>
    <cellStyle name="Nota 2 2 2 8 2 6" xfId="22521"/>
    <cellStyle name="Nota 2 2 2 8 2 7" xfId="26553"/>
    <cellStyle name="Nota 2 2 2 8 2 8" xfId="30585"/>
    <cellStyle name="Nota 2 2 2 8 2 9" xfId="34617"/>
    <cellStyle name="Nota 2 2 2 8 3" xfId="7456"/>
    <cellStyle name="Nota 2 2 2 8 3 10" xfId="43746"/>
    <cellStyle name="Nota 2 2 2 8 3 11" xfId="47778"/>
    <cellStyle name="Nota 2 2 2 8 3 12" xfId="51857"/>
    <cellStyle name="Nota 2 2 2 8 3 2" xfId="11490"/>
    <cellStyle name="Nota 2 2 2 8 3 3" xfId="15522"/>
    <cellStyle name="Nota 2 2 2 8 3 4" xfId="19554"/>
    <cellStyle name="Nota 2 2 2 8 3 5" xfId="23586"/>
    <cellStyle name="Nota 2 2 2 8 3 6" xfId="27618"/>
    <cellStyle name="Nota 2 2 2 8 3 7" xfId="31650"/>
    <cellStyle name="Nota 2 2 2 8 3 8" xfId="35682"/>
    <cellStyle name="Nota 2 2 2 8 3 9" xfId="39714"/>
    <cellStyle name="Nota 2 2 2 8 4" xfId="9474"/>
    <cellStyle name="Nota 2 2 2 8 5" xfId="13506"/>
    <cellStyle name="Nota 2 2 2 8 6" xfId="17538"/>
    <cellStyle name="Nota 2 2 2 8 7" xfId="21570"/>
    <cellStyle name="Nota 2 2 2 8 8" xfId="25602"/>
    <cellStyle name="Nota 2 2 2 8 9" xfId="29634"/>
    <cellStyle name="Nota 2 2 2 9" xfId="4032"/>
    <cellStyle name="Nota 2 2 2 9 10" xfId="33889"/>
    <cellStyle name="Nota 2 2 2 9 11" xfId="37921"/>
    <cellStyle name="Nota 2 2 2 9 12" xfId="41953"/>
    <cellStyle name="Nota 2 2 2 9 13" xfId="45985"/>
    <cellStyle name="Nota 2 2 2 9 14" xfId="50063"/>
    <cellStyle name="Nota 2 2 2 9 2" xfId="6614"/>
    <cellStyle name="Nota 2 2 2 9 2 10" xfId="38872"/>
    <cellStyle name="Nota 2 2 2 9 2 11" xfId="42904"/>
    <cellStyle name="Nota 2 2 2 9 2 12" xfId="46936"/>
    <cellStyle name="Nota 2 2 2 9 2 13" xfId="51015"/>
    <cellStyle name="Nota 2 2 2 9 2 2" xfId="8630"/>
    <cellStyle name="Nota 2 2 2 9 2 2 10" xfId="44920"/>
    <cellStyle name="Nota 2 2 2 9 2 2 11" xfId="48952"/>
    <cellStyle name="Nota 2 2 2 9 2 2 12" xfId="53031"/>
    <cellStyle name="Nota 2 2 2 9 2 2 2" xfId="12664"/>
    <cellStyle name="Nota 2 2 2 9 2 2 3" xfId="16696"/>
    <cellStyle name="Nota 2 2 2 9 2 2 4" xfId="20728"/>
    <cellStyle name="Nota 2 2 2 9 2 2 5" xfId="24760"/>
    <cellStyle name="Nota 2 2 2 9 2 2 6" xfId="28792"/>
    <cellStyle name="Nota 2 2 2 9 2 2 7" xfId="32824"/>
    <cellStyle name="Nota 2 2 2 9 2 2 8" xfId="36856"/>
    <cellStyle name="Nota 2 2 2 9 2 2 9" xfId="40888"/>
    <cellStyle name="Nota 2 2 2 9 2 3" xfId="10648"/>
    <cellStyle name="Nota 2 2 2 9 2 4" xfId="14680"/>
    <cellStyle name="Nota 2 2 2 9 2 5" xfId="18712"/>
    <cellStyle name="Nota 2 2 2 9 2 6" xfId="22744"/>
    <cellStyle name="Nota 2 2 2 9 2 7" xfId="26776"/>
    <cellStyle name="Nota 2 2 2 9 2 8" xfId="30808"/>
    <cellStyle name="Nota 2 2 2 9 2 9" xfId="34840"/>
    <cellStyle name="Nota 2 2 2 9 3" xfId="7679"/>
    <cellStyle name="Nota 2 2 2 9 3 10" xfId="43969"/>
    <cellStyle name="Nota 2 2 2 9 3 11" xfId="48001"/>
    <cellStyle name="Nota 2 2 2 9 3 12" xfId="52080"/>
    <cellStyle name="Nota 2 2 2 9 3 2" xfId="11713"/>
    <cellStyle name="Nota 2 2 2 9 3 3" xfId="15745"/>
    <cellStyle name="Nota 2 2 2 9 3 4" xfId="19777"/>
    <cellStyle name="Nota 2 2 2 9 3 5" xfId="23809"/>
    <cellStyle name="Nota 2 2 2 9 3 6" xfId="27841"/>
    <cellStyle name="Nota 2 2 2 9 3 7" xfId="31873"/>
    <cellStyle name="Nota 2 2 2 9 3 8" xfId="35905"/>
    <cellStyle name="Nota 2 2 2 9 3 9" xfId="39937"/>
    <cellStyle name="Nota 2 2 2 9 4" xfId="9697"/>
    <cellStyle name="Nota 2 2 2 9 5" xfId="13729"/>
    <cellStyle name="Nota 2 2 2 9 6" xfId="17761"/>
    <cellStyle name="Nota 2 2 2 9 7" xfId="21793"/>
    <cellStyle name="Nota 2 2 2 9 8" xfId="25825"/>
    <cellStyle name="Nota 2 2 2 9 9" xfId="29857"/>
    <cellStyle name="Nota 2 2 20" xfId="108"/>
    <cellStyle name="Nota 2 2 21" xfId="9103"/>
    <cellStyle name="Nota 2 2 22" xfId="13135"/>
    <cellStyle name="Nota 2 2 23" xfId="17167"/>
    <cellStyle name="Nota 2 2 24" xfId="21199"/>
    <cellStyle name="Nota 2 2 25" xfId="25231"/>
    <cellStyle name="Nota 2 2 26" xfId="29263"/>
    <cellStyle name="Nota 2 2 27" xfId="33295"/>
    <cellStyle name="Nota 2 2 28" xfId="37327"/>
    <cellStyle name="Nota 2 2 29" xfId="41359"/>
    <cellStyle name="Nota 2 2 3" xfId="39"/>
    <cellStyle name="Nota 2 2 3 10" xfId="4096"/>
    <cellStyle name="Nota 2 2 3 10 10" xfId="33952"/>
    <cellStyle name="Nota 2 2 3 10 11" xfId="37984"/>
    <cellStyle name="Nota 2 2 3 10 12" xfId="42016"/>
    <cellStyle name="Nota 2 2 3 10 13" xfId="46048"/>
    <cellStyle name="Nota 2 2 3 10 14" xfId="50126"/>
    <cellStyle name="Nota 2 2 3 10 2" xfId="6677"/>
    <cellStyle name="Nota 2 2 3 10 2 10" xfId="38935"/>
    <cellStyle name="Nota 2 2 3 10 2 11" xfId="42967"/>
    <cellStyle name="Nota 2 2 3 10 2 12" xfId="46999"/>
    <cellStyle name="Nota 2 2 3 10 2 13" xfId="51078"/>
    <cellStyle name="Nota 2 2 3 10 2 2" xfId="8693"/>
    <cellStyle name="Nota 2 2 3 10 2 2 10" xfId="44983"/>
    <cellStyle name="Nota 2 2 3 10 2 2 11" xfId="49015"/>
    <cellStyle name="Nota 2 2 3 10 2 2 12" xfId="53094"/>
    <cellStyle name="Nota 2 2 3 10 2 2 2" xfId="12727"/>
    <cellStyle name="Nota 2 2 3 10 2 2 3" xfId="16759"/>
    <cellStyle name="Nota 2 2 3 10 2 2 4" xfId="20791"/>
    <cellStyle name="Nota 2 2 3 10 2 2 5" xfId="24823"/>
    <cellStyle name="Nota 2 2 3 10 2 2 6" xfId="28855"/>
    <cellStyle name="Nota 2 2 3 10 2 2 7" xfId="32887"/>
    <cellStyle name="Nota 2 2 3 10 2 2 8" xfId="36919"/>
    <cellStyle name="Nota 2 2 3 10 2 2 9" xfId="40951"/>
    <cellStyle name="Nota 2 2 3 10 2 3" xfId="10711"/>
    <cellStyle name="Nota 2 2 3 10 2 4" xfId="14743"/>
    <cellStyle name="Nota 2 2 3 10 2 5" xfId="18775"/>
    <cellStyle name="Nota 2 2 3 10 2 6" xfId="22807"/>
    <cellStyle name="Nota 2 2 3 10 2 7" xfId="26839"/>
    <cellStyle name="Nota 2 2 3 10 2 8" xfId="30871"/>
    <cellStyle name="Nota 2 2 3 10 2 9" xfId="34903"/>
    <cellStyle name="Nota 2 2 3 10 3" xfId="7742"/>
    <cellStyle name="Nota 2 2 3 10 3 10" xfId="44032"/>
    <cellStyle name="Nota 2 2 3 10 3 11" xfId="48064"/>
    <cellStyle name="Nota 2 2 3 10 3 12" xfId="52143"/>
    <cellStyle name="Nota 2 2 3 10 3 2" xfId="11776"/>
    <cellStyle name="Nota 2 2 3 10 3 3" xfId="15808"/>
    <cellStyle name="Nota 2 2 3 10 3 4" xfId="19840"/>
    <cellStyle name="Nota 2 2 3 10 3 5" xfId="23872"/>
    <cellStyle name="Nota 2 2 3 10 3 6" xfId="27904"/>
    <cellStyle name="Nota 2 2 3 10 3 7" xfId="31936"/>
    <cellStyle name="Nota 2 2 3 10 3 8" xfId="35968"/>
    <cellStyle name="Nota 2 2 3 10 3 9" xfId="40000"/>
    <cellStyle name="Nota 2 2 3 10 4" xfId="9760"/>
    <cellStyle name="Nota 2 2 3 10 5" xfId="13792"/>
    <cellStyle name="Nota 2 2 3 10 6" xfId="17824"/>
    <cellStyle name="Nota 2 2 3 10 7" xfId="21856"/>
    <cellStyle name="Nota 2 2 3 10 8" xfId="25888"/>
    <cellStyle name="Nota 2 2 3 10 9" xfId="29920"/>
    <cellStyle name="Nota 2 2 3 11" xfId="4165"/>
    <cellStyle name="Nota 2 2 3 11 10" xfId="34021"/>
    <cellStyle name="Nota 2 2 3 11 11" xfId="38053"/>
    <cellStyle name="Nota 2 2 3 11 12" xfId="42085"/>
    <cellStyle name="Nota 2 2 3 11 13" xfId="46117"/>
    <cellStyle name="Nota 2 2 3 11 14" xfId="50195"/>
    <cellStyle name="Nota 2 2 3 11 2" xfId="6746"/>
    <cellStyle name="Nota 2 2 3 11 2 10" xfId="39004"/>
    <cellStyle name="Nota 2 2 3 11 2 11" xfId="43036"/>
    <cellStyle name="Nota 2 2 3 11 2 12" xfId="47068"/>
    <cellStyle name="Nota 2 2 3 11 2 13" xfId="51147"/>
    <cellStyle name="Nota 2 2 3 11 2 2" xfId="8762"/>
    <cellStyle name="Nota 2 2 3 11 2 2 10" xfId="45052"/>
    <cellStyle name="Nota 2 2 3 11 2 2 11" xfId="49084"/>
    <cellStyle name="Nota 2 2 3 11 2 2 12" xfId="53163"/>
    <cellStyle name="Nota 2 2 3 11 2 2 2" xfId="12796"/>
    <cellStyle name="Nota 2 2 3 11 2 2 3" xfId="16828"/>
    <cellStyle name="Nota 2 2 3 11 2 2 4" xfId="20860"/>
    <cellStyle name="Nota 2 2 3 11 2 2 5" xfId="24892"/>
    <cellStyle name="Nota 2 2 3 11 2 2 6" xfId="28924"/>
    <cellStyle name="Nota 2 2 3 11 2 2 7" xfId="32956"/>
    <cellStyle name="Nota 2 2 3 11 2 2 8" xfId="36988"/>
    <cellStyle name="Nota 2 2 3 11 2 2 9" xfId="41020"/>
    <cellStyle name="Nota 2 2 3 11 2 3" xfId="10780"/>
    <cellStyle name="Nota 2 2 3 11 2 4" xfId="14812"/>
    <cellStyle name="Nota 2 2 3 11 2 5" xfId="18844"/>
    <cellStyle name="Nota 2 2 3 11 2 6" xfId="22876"/>
    <cellStyle name="Nota 2 2 3 11 2 7" xfId="26908"/>
    <cellStyle name="Nota 2 2 3 11 2 8" xfId="30940"/>
    <cellStyle name="Nota 2 2 3 11 2 9" xfId="34972"/>
    <cellStyle name="Nota 2 2 3 11 3" xfId="7811"/>
    <cellStyle name="Nota 2 2 3 11 3 10" xfId="44101"/>
    <cellStyle name="Nota 2 2 3 11 3 11" xfId="48133"/>
    <cellStyle name="Nota 2 2 3 11 3 12" xfId="52212"/>
    <cellStyle name="Nota 2 2 3 11 3 2" xfId="11845"/>
    <cellStyle name="Nota 2 2 3 11 3 3" xfId="15877"/>
    <cellStyle name="Nota 2 2 3 11 3 4" xfId="19909"/>
    <cellStyle name="Nota 2 2 3 11 3 5" xfId="23941"/>
    <cellStyle name="Nota 2 2 3 11 3 6" xfId="27973"/>
    <cellStyle name="Nota 2 2 3 11 3 7" xfId="32005"/>
    <cellStyle name="Nota 2 2 3 11 3 8" xfId="36037"/>
    <cellStyle name="Nota 2 2 3 11 3 9" xfId="40069"/>
    <cellStyle name="Nota 2 2 3 11 4" xfId="9829"/>
    <cellStyle name="Nota 2 2 3 11 5" xfId="13861"/>
    <cellStyle name="Nota 2 2 3 11 6" xfId="17893"/>
    <cellStyle name="Nota 2 2 3 11 7" xfId="21925"/>
    <cellStyle name="Nota 2 2 3 11 8" xfId="25957"/>
    <cellStyle name="Nota 2 2 3 11 9" xfId="29989"/>
    <cellStyle name="Nota 2 2 3 12" xfId="4235"/>
    <cellStyle name="Nota 2 2 3 12 10" xfId="34090"/>
    <cellStyle name="Nota 2 2 3 12 11" xfId="38122"/>
    <cellStyle name="Nota 2 2 3 12 12" xfId="42154"/>
    <cellStyle name="Nota 2 2 3 12 13" xfId="46186"/>
    <cellStyle name="Nota 2 2 3 12 14" xfId="50264"/>
    <cellStyle name="Nota 2 2 3 12 2" xfId="6815"/>
    <cellStyle name="Nota 2 2 3 12 2 10" xfId="39073"/>
    <cellStyle name="Nota 2 2 3 12 2 11" xfId="43105"/>
    <cellStyle name="Nota 2 2 3 12 2 12" xfId="47137"/>
    <cellStyle name="Nota 2 2 3 12 2 13" xfId="51216"/>
    <cellStyle name="Nota 2 2 3 12 2 2" xfId="8831"/>
    <cellStyle name="Nota 2 2 3 12 2 2 10" xfId="45121"/>
    <cellStyle name="Nota 2 2 3 12 2 2 11" xfId="49153"/>
    <cellStyle name="Nota 2 2 3 12 2 2 12" xfId="53232"/>
    <cellStyle name="Nota 2 2 3 12 2 2 2" xfId="12865"/>
    <cellStyle name="Nota 2 2 3 12 2 2 3" xfId="16897"/>
    <cellStyle name="Nota 2 2 3 12 2 2 4" xfId="20929"/>
    <cellStyle name="Nota 2 2 3 12 2 2 5" xfId="24961"/>
    <cellStyle name="Nota 2 2 3 12 2 2 6" xfId="28993"/>
    <cellStyle name="Nota 2 2 3 12 2 2 7" xfId="33025"/>
    <cellStyle name="Nota 2 2 3 12 2 2 8" xfId="37057"/>
    <cellStyle name="Nota 2 2 3 12 2 2 9" xfId="41089"/>
    <cellStyle name="Nota 2 2 3 12 2 3" xfId="10849"/>
    <cellStyle name="Nota 2 2 3 12 2 4" xfId="14881"/>
    <cellStyle name="Nota 2 2 3 12 2 5" xfId="18913"/>
    <cellStyle name="Nota 2 2 3 12 2 6" xfId="22945"/>
    <cellStyle name="Nota 2 2 3 12 2 7" xfId="26977"/>
    <cellStyle name="Nota 2 2 3 12 2 8" xfId="31009"/>
    <cellStyle name="Nota 2 2 3 12 2 9" xfId="35041"/>
    <cellStyle name="Nota 2 2 3 12 3" xfId="7880"/>
    <cellStyle name="Nota 2 2 3 12 3 10" xfId="44170"/>
    <cellStyle name="Nota 2 2 3 12 3 11" xfId="48202"/>
    <cellStyle name="Nota 2 2 3 12 3 12" xfId="52281"/>
    <cellStyle name="Nota 2 2 3 12 3 2" xfId="11914"/>
    <cellStyle name="Nota 2 2 3 12 3 3" xfId="15946"/>
    <cellStyle name="Nota 2 2 3 12 3 4" xfId="19978"/>
    <cellStyle name="Nota 2 2 3 12 3 5" xfId="24010"/>
    <cellStyle name="Nota 2 2 3 12 3 6" xfId="28042"/>
    <cellStyle name="Nota 2 2 3 12 3 7" xfId="32074"/>
    <cellStyle name="Nota 2 2 3 12 3 8" xfId="36106"/>
    <cellStyle name="Nota 2 2 3 12 3 9" xfId="40138"/>
    <cellStyle name="Nota 2 2 3 12 4" xfId="9898"/>
    <cellStyle name="Nota 2 2 3 12 5" xfId="13930"/>
    <cellStyle name="Nota 2 2 3 12 6" xfId="17962"/>
    <cellStyle name="Nota 2 2 3 12 7" xfId="21994"/>
    <cellStyle name="Nota 2 2 3 12 8" xfId="26026"/>
    <cellStyle name="Nota 2 2 3 12 9" xfId="30058"/>
    <cellStyle name="Nota 2 2 3 13" xfId="4384"/>
    <cellStyle name="Nota 2 2 3 13 10" xfId="34228"/>
    <cellStyle name="Nota 2 2 3 13 11" xfId="38260"/>
    <cellStyle name="Nota 2 2 3 13 12" xfId="42292"/>
    <cellStyle name="Nota 2 2 3 13 13" xfId="46324"/>
    <cellStyle name="Nota 2 2 3 13 14" xfId="50403"/>
    <cellStyle name="Nota 2 2 3 13 2" xfId="6953"/>
    <cellStyle name="Nota 2 2 3 13 2 10" xfId="39211"/>
    <cellStyle name="Nota 2 2 3 13 2 11" xfId="43243"/>
    <cellStyle name="Nota 2 2 3 13 2 12" xfId="47275"/>
    <cellStyle name="Nota 2 2 3 13 2 13" xfId="51354"/>
    <cellStyle name="Nota 2 2 3 13 2 2" xfId="8969"/>
    <cellStyle name="Nota 2 2 3 13 2 2 10" xfId="45259"/>
    <cellStyle name="Nota 2 2 3 13 2 2 11" xfId="49291"/>
    <cellStyle name="Nota 2 2 3 13 2 2 12" xfId="53370"/>
    <cellStyle name="Nota 2 2 3 13 2 2 2" xfId="13003"/>
    <cellStyle name="Nota 2 2 3 13 2 2 3" xfId="17035"/>
    <cellStyle name="Nota 2 2 3 13 2 2 4" xfId="21067"/>
    <cellStyle name="Nota 2 2 3 13 2 2 5" xfId="25099"/>
    <cellStyle name="Nota 2 2 3 13 2 2 6" xfId="29131"/>
    <cellStyle name="Nota 2 2 3 13 2 2 7" xfId="33163"/>
    <cellStyle name="Nota 2 2 3 13 2 2 8" xfId="37195"/>
    <cellStyle name="Nota 2 2 3 13 2 2 9" xfId="41227"/>
    <cellStyle name="Nota 2 2 3 13 2 3" xfId="10987"/>
    <cellStyle name="Nota 2 2 3 13 2 4" xfId="15019"/>
    <cellStyle name="Nota 2 2 3 13 2 5" xfId="19051"/>
    <cellStyle name="Nota 2 2 3 13 2 6" xfId="23083"/>
    <cellStyle name="Nota 2 2 3 13 2 7" xfId="27115"/>
    <cellStyle name="Nota 2 2 3 13 2 8" xfId="31147"/>
    <cellStyle name="Nota 2 2 3 13 2 9" xfId="35179"/>
    <cellStyle name="Nota 2 2 3 13 3" xfId="8018"/>
    <cellStyle name="Nota 2 2 3 13 3 10" xfId="44308"/>
    <cellStyle name="Nota 2 2 3 13 3 11" xfId="48340"/>
    <cellStyle name="Nota 2 2 3 13 3 12" xfId="52419"/>
    <cellStyle name="Nota 2 2 3 13 3 2" xfId="12052"/>
    <cellStyle name="Nota 2 2 3 13 3 3" xfId="16084"/>
    <cellStyle name="Nota 2 2 3 13 3 4" xfId="20116"/>
    <cellStyle name="Nota 2 2 3 13 3 5" xfId="24148"/>
    <cellStyle name="Nota 2 2 3 13 3 6" xfId="28180"/>
    <cellStyle name="Nota 2 2 3 13 3 7" xfId="32212"/>
    <cellStyle name="Nota 2 2 3 13 3 8" xfId="36244"/>
    <cellStyle name="Nota 2 2 3 13 3 9" xfId="40276"/>
    <cellStyle name="Nota 2 2 3 13 4" xfId="10036"/>
    <cellStyle name="Nota 2 2 3 13 5" xfId="14068"/>
    <cellStyle name="Nota 2 2 3 13 6" xfId="18100"/>
    <cellStyle name="Nota 2 2 3 13 7" xfId="22132"/>
    <cellStyle name="Nota 2 2 3 13 8" xfId="26164"/>
    <cellStyle name="Nota 2 2 3 13 9" xfId="30196"/>
    <cellStyle name="Nota 2 2 3 14" xfId="4522"/>
    <cellStyle name="Nota 2 2 3 14 10" xfId="38398"/>
    <cellStyle name="Nota 2 2 3 14 11" xfId="42430"/>
    <cellStyle name="Nota 2 2 3 14 12" xfId="46462"/>
    <cellStyle name="Nota 2 2 3 14 13" xfId="50541"/>
    <cellStyle name="Nota 2 2 3 14 2" xfId="8156"/>
    <cellStyle name="Nota 2 2 3 14 2 10" xfId="44446"/>
    <cellStyle name="Nota 2 2 3 14 2 11" xfId="48478"/>
    <cellStyle name="Nota 2 2 3 14 2 12" xfId="52557"/>
    <cellStyle name="Nota 2 2 3 14 2 2" xfId="12190"/>
    <cellStyle name="Nota 2 2 3 14 2 3" xfId="16222"/>
    <cellStyle name="Nota 2 2 3 14 2 4" xfId="20254"/>
    <cellStyle name="Nota 2 2 3 14 2 5" xfId="24286"/>
    <cellStyle name="Nota 2 2 3 14 2 6" xfId="28318"/>
    <cellStyle name="Nota 2 2 3 14 2 7" xfId="32350"/>
    <cellStyle name="Nota 2 2 3 14 2 8" xfId="36382"/>
    <cellStyle name="Nota 2 2 3 14 2 9" xfId="40414"/>
    <cellStyle name="Nota 2 2 3 14 3" xfId="10174"/>
    <cellStyle name="Nota 2 2 3 14 4" xfId="14206"/>
    <cellStyle name="Nota 2 2 3 14 5" xfId="18238"/>
    <cellStyle name="Nota 2 2 3 14 6" xfId="22270"/>
    <cellStyle name="Nota 2 2 3 14 7" xfId="26302"/>
    <cellStyle name="Nota 2 2 3 14 8" xfId="30334"/>
    <cellStyle name="Nota 2 2 3 14 9" xfId="34366"/>
    <cellStyle name="Nota 2 2 3 15" xfId="266"/>
    <cellStyle name="Nota 2 2 3 15 10" xfId="37471"/>
    <cellStyle name="Nota 2 2 3 15 11" xfId="41503"/>
    <cellStyle name="Nota 2 2 3 15 12" xfId="45535"/>
    <cellStyle name="Nota 2 2 3 15 13" xfId="49613"/>
    <cellStyle name="Nota 2 2 3 15 2" xfId="7229"/>
    <cellStyle name="Nota 2 2 3 15 2 10" xfId="43519"/>
    <cellStyle name="Nota 2 2 3 15 2 11" xfId="47551"/>
    <cellStyle name="Nota 2 2 3 15 2 12" xfId="51630"/>
    <cellStyle name="Nota 2 2 3 15 2 2" xfId="11263"/>
    <cellStyle name="Nota 2 2 3 15 2 3" xfId="15295"/>
    <cellStyle name="Nota 2 2 3 15 2 4" xfId="19327"/>
    <cellStyle name="Nota 2 2 3 15 2 5" xfId="23359"/>
    <cellStyle name="Nota 2 2 3 15 2 6" xfId="27391"/>
    <cellStyle name="Nota 2 2 3 15 2 7" xfId="31423"/>
    <cellStyle name="Nota 2 2 3 15 2 8" xfId="35455"/>
    <cellStyle name="Nota 2 2 3 15 2 9" xfId="39487"/>
    <cellStyle name="Nota 2 2 3 15 3" xfId="9247"/>
    <cellStyle name="Nota 2 2 3 15 4" xfId="13279"/>
    <cellStyle name="Nota 2 2 3 15 5" xfId="17311"/>
    <cellStyle name="Nota 2 2 3 15 6" xfId="21343"/>
    <cellStyle name="Nota 2 2 3 15 7" xfId="25375"/>
    <cellStyle name="Nota 2 2 3 15 8" xfId="29407"/>
    <cellStyle name="Nota 2 2 3 15 9" xfId="33439"/>
    <cellStyle name="Nota 2 2 3 16" xfId="7091"/>
    <cellStyle name="Nota 2 2 3 16 10" xfId="43381"/>
    <cellStyle name="Nota 2 2 3 16 11" xfId="47413"/>
    <cellStyle name="Nota 2 2 3 16 12" xfId="51492"/>
    <cellStyle name="Nota 2 2 3 16 2" xfId="11125"/>
    <cellStyle name="Nota 2 2 3 16 3" xfId="15157"/>
    <cellStyle name="Nota 2 2 3 16 4" xfId="19189"/>
    <cellStyle name="Nota 2 2 3 16 5" xfId="23221"/>
    <cellStyle name="Nota 2 2 3 16 6" xfId="27253"/>
    <cellStyle name="Nota 2 2 3 16 7" xfId="31285"/>
    <cellStyle name="Nota 2 2 3 16 8" xfId="35317"/>
    <cellStyle name="Nota 2 2 3 16 9" xfId="39349"/>
    <cellStyle name="Nota 2 2 3 17" xfId="114"/>
    <cellStyle name="Nota 2 2 3 18" xfId="9109"/>
    <cellStyle name="Nota 2 2 3 19" xfId="13141"/>
    <cellStyle name="Nota 2 2 3 2" xfId="93"/>
    <cellStyle name="Nota 2 2 3 2 10" xfId="4289"/>
    <cellStyle name="Nota 2 2 3 2 10 10" xfId="34141"/>
    <cellStyle name="Nota 2 2 3 2 10 11" xfId="38173"/>
    <cellStyle name="Nota 2 2 3 2 10 12" xfId="42205"/>
    <cellStyle name="Nota 2 2 3 2 10 13" xfId="46237"/>
    <cellStyle name="Nota 2 2 3 2 10 14" xfId="50315"/>
    <cellStyle name="Nota 2 2 3 2 10 2" xfId="6866"/>
    <cellStyle name="Nota 2 2 3 2 10 2 10" xfId="39124"/>
    <cellStyle name="Nota 2 2 3 2 10 2 11" xfId="43156"/>
    <cellStyle name="Nota 2 2 3 2 10 2 12" xfId="47188"/>
    <cellStyle name="Nota 2 2 3 2 10 2 13" xfId="51267"/>
    <cellStyle name="Nota 2 2 3 2 10 2 2" xfId="8882"/>
    <cellStyle name="Nota 2 2 3 2 10 2 2 10" xfId="45172"/>
    <cellStyle name="Nota 2 2 3 2 10 2 2 11" xfId="49204"/>
    <cellStyle name="Nota 2 2 3 2 10 2 2 12" xfId="53283"/>
    <cellStyle name="Nota 2 2 3 2 10 2 2 2" xfId="12916"/>
    <cellStyle name="Nota 2 2 3 2 10 2 2 3" xfId="16948"/>
    <cellStyle name="Nota 2 2 3 2 10 2 2 4" xfId="20980"/>
    <cellStyle name="Nota 2 2 3 2 10 2 2 5" xfId="25012"/>
    <cellStyle name="Nota 2 2 3 2 10 2 2 6" xfId="29044"/>
    <cellStyle name="Nota 2 2 3 2 10 2 2 7" xfId="33076"/>
    <cellStyle name="Nota 2 2 3 2 10 2 2 8" xfId="37108"/>
    <cellStyle name="Nota 2 2 3 2 10 2 2 9" xfId="41140"/>
    <cellStyle name="Nota 2 2 3 2 10 2 3" xfId="10900"/>
    <cellStyle name="Nota 2 2 3 2 10 2 4" xfId="14932"/>
    <cellStyle name="Nota 2 2 3 2 10 2 5" xfId="18964"/>
    <cellStyle name="Nota 2 2 3 2 10 2 6" xfId="22996"/>
    <cellStyle name="Nota 2 2 3 2 10 2 7" xfId="27028"/>
    <cellStyle name="Nota 2 2 3 2 10 2 8" xfId="31060"/>
    <cellStyle name="Nota 2 2 3 2 10 2 9" xfId="35092"/>
    <cellStyle name="Nota 2 2 3 2 10 3" xfId="7931"/>
    <cellStyle name="Nota 2 2 3 2 10 3 10" xfId="44221"/>
    <cellStyle name="Nota 2 2 3 2 10 3 11" xfId="48253"/>
    <cellStyle name="Nota 2 2 3 2 10 3 12" xfId="52332"/>
    <cellStyle name="Nota 2 2 3 2 10 3 2" xfId="11965"/>
    <cellStyle name="Nota 2 2 3 2 10 3 3" xfId="15997"/>
    <cellStyle name="Nota 2 2 3 2 10 3 4" xfId="20029"/>
    <cellStyle name="Nota 2 2 3 2 10 3 5" xfId="24061"/>
    <cellStyle name="Nota 2 2 3 2 10 3 6" xfId="28093"/>
    <cellStyle name="Nota 2 2 3 2 10 3 7" xfId="32125"/>
    <cellStyle name="Nota 2 2 3 2 10 3 8" xfId="36157"/>
    <cellStyle name="Nota 2 2 3 2 10 3 9" xfId="40189"/>
    <cellStyle name="Nota 2 2 3 2 10 4" xfId="9949"/>
    <cellStyle name="Nota 2 2 3 2 10 5" xfId="13981"/>
    <cellStyle name="Nota 2 2 3 2 10 6" xfId="18013"/>
    <cellStyle name="Nota 2 2 3 2 10 7" xfId="22045"/>
    <cellStyle name="Nota 2 2 3 2 10 8" xfId="26077"/>
    <cellStyle name="Nota 2 2 3 2 10 9" xfId="30109"/>
    <cellStyle name="Nota 2 2 3 2 11" xfId="4435"/>
    <cellStyle name="Nota 2 2 3 2 11 10" xfId="34279"/>
    <cellStyle name="Nota 2 2 3 2 11 11" xfId="38311"/>
    <cellStyle name="Nota 2 2 3 2 11 12" xfId="42343"/>
    <cellStyle name="Nota 2 2 3 2 11 13" xfId="46375"/>
    <cellStyle name="Nota 2 2 3 2 11 14" xfId="50454"/>
    <cellStyle name="Nota 2 2 3 2 11 2" xfId="7004"/>
    <cellStyle name="Nota 2 2 3 2 11 2 10" xfId="39262"/>
    <cellStyle name="Nota 2 2 3 2 11 2 11" xfId="43294"/>
    <cellStyle name="Nota 2 2 3 2 11 2 12" xfId="47326"/>
    <cellStyle name="Nota 2 2 3 2 11 2 13" xfId="51405"/>
    <cellStyle name="Nota 2 2 3 2 11 2 2" xfId="9020"/>
    <cellStyle name="Nota 2 2 3 2 11 2 2 10" xfId="45310"/>
    <cellStyle name="Nota 2 2 3 2 11 2 2 11" xfId="49342"/>
    <cellStyle name="Nota 2 2 3 2 11 2 2 12" xfId="53421"/>
    <cellStyle name="Nota 2 2 3 2 11 2 2 2" xfId="13054"/>
    <cellStyle name="Nota 2 2 3 2 11 2 2 3" xfId="17086"/>
    <cellStyle name="Nota 2 2 3 2 11 2 2 4" xfId="21118"/>
    <cellStyle name="Nota 2 2 3 2 11 2 2 5" xfId="25150"/>
    <cellStyle name="Nota 2 2 3 2 11 2 2 6" xfId="29182"/>
    <cellStyle name="Nota 2 2 3 2 11 2 2 7" xfId="33214"/>
    <cellStyle name="Nota 2 2 3 2 11 2 2 8" xfId="37246"/>
    <cellStyle name="Nota 2 2 3 2 11 2 2 9" xfId="41278"/>
    <cellStyle name="Nota 2 2 3 2 11 2 3" xfId="11038"/>
    <cellStyle name="Nota 2 2 3 2 11 2 4" xfId="15070"/>
    <cellStyle name="Nota 2 2 3 2 11 2 5" xfId="19102"/>
    <cellStyle name="Nota 2 2 3 2 11 2 6" xfId="23134"/>
    <cellStyle name="Nota 2 2 3 2 11 2 7" xfId="27166"/>
    <cellStyle name="Nota 2 2 3 2 11 2 8" xfId="31198"/>
    <cellStyle name="Nota 2 2 3 2 11 2 9" xfId="35230"/>
    <cellStyle name="Nota 2 2 3 2 11 3" xfId="8069"/>
    <cellStyle name="Nota 2 2 3 2 11 3 10" xfId="44359"/>
    <cellStyle name="Nota 2 2 3 2 11 3 11" xfId="48391"/>
    <cellStyle name="Nota 2 2 3 2 11 3 12" xfId="52470"/>
    <cellStyle name="Nota 2 2 3 2 11 3 2" xfId="12103"/>
    <cellStyle name="Nota 2 2 3 2 11 3 3" xfId="16135"/>
    <cellStyle name="Nota 2 2 3 2 11 3 4" xfId="20167"/>
    <cellStyle name="Nota 2 2 3 2 11 3 5" xfId="24199"/>
    <cellStyle name="Nota 2 2 3 2 11 3 6" xfId="28231"/>
    <cellStyle name="Nota 2 2 3 2 11 3 7" xfId="32263"/>
    <cellStyle name="Nota 2 2 3 2 11 3 8" xfId="36295"/>
    <cellStyle name="Nota 2 2 3 2 11 3 9" xfId="40327"/>
    <cellStyle name="Nota 2 2 3 2 11 4" xfId="10087"/>
    <cellStyle name="Nota 2 2 3 2 11 5" xfId="14119"/>
    <cellStyle name="Nota 2 2 3 2 11 6" xfId="18151"/>
    <cellStyle name="Nota 2 2 3 2 11 7" xfId="22183"/>
    <cellStyle name="Nota 2 2 3 2 11 8" xfId="26215"/>
    <cellStyle name="Nota 2 2 3 2 11 9" xfId="30247"/>
    <cellStyle name="Nota 2 2 3 2 12" xfId="4573"/>
    <cellStyle name="Nota 2 2 3 2 12 10" xfId="38449"/>
    <cellStyle name="Nota 2 2 3 2 12 11" xfId="42481"/>
    <cellStyle name="Nota 2 2 3 2 12 12" xfId="46513"/>
    <cellStyle name="Nota 2 2 3 2 12 13" xfId="50592"/>
    <cellStyle name="Nota 2 2 3 2 12 2" xfId="8207"/>
    <cellStyle name="Nota 2 2 3 2 12 2 10" xfId="44497"/>
    <cellStyle name="Nota 2 2 3 2 12 2 11" xfId="48529"/>
    <cellStyle name="Nota 2 2 3 2 12 2 12" xfId="52608"/>
    <cellStyle name="Nota 2 2 3 2 12 2 2" xfId="12241"/>
    <cellStyle name="Nota 2 2 3 2 12 2 3" xfId="16273"/>
    <cellStyle name="Nota 2 2 3 2 12 2 4" xfId="20305"/>
    <cellStyle name="Nota 2 2 3 2 12 2 5" xfId="24337"/>
    <cellStyle name="Nota 2 2 3 2 12 2 6" xfId="28369"/>
    <cellStyle name="Nota 2 2 3 2 12 2 7" xfId="32401"/>
    <cellStyle name="Nota 2 2 3 2 12 2 8" xfId="36433"/>
    <cellStyle name="Nota 2 2 3 2 12 2 9" xfId="40465"/>
    <cellStyle name="Nota 2 2 3 2 12 3" xfId="10225"/>
    <cellStyle name="Nota 2 2 3 2 12 4" xfId="14257"/>
    <cellStyle name="Nota 2 2 3 2 12 5" xfId="18289"/>
    <cellStyle name="Nota 2 2 3 2 12 6" xfId="22321"/>
    <cellStyle name="Nota 2 2 3 2 12 7" xfId="26353"/>
    <cellStyle name="Nota 2 2 3 2 12 8" xfId="30385"/>
    <cellStyle name="Nota 2 2 3 2 12 9" xfId="34417"/>
    <cellStyle name="Nota 2 2 3 2 13" xfId="301"/>
    <cellStyle name="Nota 2 2 3 2 13 10" xfId="37506"/>
    <cellStyle name="Nota 2 2 3 2 13 11" xfId="41538"/>
    <cellStyle name="Nota 2 2 3 2 13 12" xfId="45570"/>
    <cellStyle name="Nota 2 2 3 2 13 13" xfId="49648"/>
    <cellStyle name="Nota 2 2 3 2 13 2" xfId="7264"/>
    <cellStyle name="Nota 2 2 3 2 13 2 10" xfId="43554"/>
    <cellStyle name="Nota 2 2 3 2 13 2 11" xfId="47586"/>
    <cellStyle name="Nota 2 2 3 2 13 2 12" xfId="51665"/>
    <cellStyle name="Nota 2 2 3 2 13 2 2" xfId="11298"/>
    <cellStyle name="Nota 2 2 3 2 13 2 3" xfId="15330"/>
    <cellStyle name="Nota 2 2 3 2 13 2 4" xfId="19362"/>
    <cellStyle name="Nota 2 2 3 2 13 2 5" xfId="23394"/>
    <cellStyle name="Nota 2 2 3 2 13 2 6" xfId="27426"/>
    <cellStyle name="Nota 2 2 3 2 13 2 7" xfId="31458"/>
    <cellStyle name="Nota 2 2 3 2 13 2 8" xfId="35490"/>
    <cellStyle name="Nota 2 2 3 2 13 2 9" xfId="39522"/>
    <cellStyle name="Nota 2 2 3 2 13 3" xfId="9282"/>
    <cellStyle name="Nota 2 2 3 2 13 4" xfId="13314"/>
    <cellStyle name="Nota 2 2 3 2 13 5" xfId="17346"/>
    <cellStyle name="Nota 2 2 3 2 13 6" xfId="21378"/>
    <cellStyle name="Nota 2 2 3 2 13 7" xfId="25410"/>
    <cellStyle name="Nota 2 2 3 2 13 8" xfId="29442"/>
    <cellStyle name="Nota 2 2 3 2 13 9" xfId="33474"/>
    <cellStyle name="Nota 2 2 3 2 14" xfId="7142"/>
    <cellStyle name="Nota 2 2 3 2 14 10" xfId="43432"/>
    <cellStyle name="Nota 2 2 3 2 14 11" xfId="47464"/>
    <cellStyle name="Nota 2 2 3 2 14 12" xfId="51543"/>
    <cellStyle name="Nota 2 2 3 2 14 2" xfId="11176"/>
    <cellStyle name="Nota 2 2 3 2 14 3" xfId="15208"/>
    <cellStyle name="Nota 2 2 3 2 14 4" xfId="19240"/>
    <cellStyle name="Nota 2 2 3 2 14 5" xfId="23272"/>
    <cellStyle name="Nota 2 2 3 2 14 6" xfId="27304"/>
    <cellStyle name="Nota 2 2 3 2 14 7" xfId="31336"/>
    <cellStyle name="Nota 2 2 3 2 14 8" xfId="35368"/>
    <cellStyle name="Nota 2 2 3 2 14 9" xfId="39400"/>
    <cellStyle name="Nota 2 2 3 2 15" xfId="168"/>
    <cellStyle name="Nota 2 2 3 2 16" xfId="9160"/>
    <cellStyle name="Nota 2 2 3 2 17" xfId="13192"/>
    <cellStyle name="Nota 2 2 3 2 18" xfId="17224"/>
    <cellStyle name="Nota 2 2 3 2 19" xfId="21256"/>
    <cellStyle name="Nota 2 2 3 2 2" xfId="247"/>
    <cellStyle name="Nota 2 2 3 2 2 10" xfId="17293"/>
    <cellStyle name="Nota 2 2 3 2 2 11" xfId="21325"/>
    <cellStyle name="Nota 2 2 3 2 2 12" xfId="25357"/>
    <cellStyle name="Nota 2 2 3 2 2 13" xfId="29389"/>
    <cellStyle name="Nota 2 2 3 2 2 14" xfId="33421"/>
    <cellStyle name="Nota 2 2 3 2 2 15" xfId="37453"/>
    <cellStyle name="Nota 2 2 3 2 2 16" xfId="41485"/>
    <cellStyle name="Nota 2 2 3 2 2 17" xfId="45517"/>
    <cellStyle name="Nota 2 2 3 2 2 18" xfId="49595"/>
    <cellStyle name="Nota 2 2 3 2 2 2" xfId="1575"/>
    <cellStyle name="Nota 2 2 3 2 2 2 2" xfId="5275"/>
    <cellStyle name="Nota 2 2 3 2 2 3" xfId="4365"/>
    <cellStyle name="Nota 2 2 3 2 2 3 10" xfId="34210"/>
    <cellStyle name="Nota 2 2 3 2 2 3 11" xfId="38242"/>
    <cellStyle name="Nota 2 2 3 2 2 3 12" xfId="42274"/>
    <cellStyle name="Nota 2 2 3 2 2 3 13" xfId="46306"/>
    <cellStyle name="Nota 2 2 3 2 2 3 14" xfId="50385"/>
    <cellStyle name="Nota 2 2 3 2 2 3 2" xfId="6935"/>
    <cellStyle name="Nota 2 2 3 2 2 3 2 10" xfId="39193"/>
    <cellStyle name="Nota 2 2 3 2 2 3 2 11" xfId="43225"/>
    <cellStyle name="Nota 2 2 3 2 2 3 2 12" xfId="47257"/>
    <cellStyle name="Nota 2 2 3 2 2 3 2 13" xfId="51336"/>
    <cellStyle name="Nota 2 2 3 2 2 3 2 2" xfId="8951"/>
    <cellStyle name="Nota 2 2 3 2 2 3 2 2 10" xfId="45241"/>
    <cellStyle name="Nota 2 2 3 2 2 3 2 2 11" xfId="49273"/>
    <cellStyle name="Nota 2 2 3 2 2 3 2 2 12" xfId="53352"/>
    <cellStyle name="Nota 2 2 3 2 2 3 2 2 2" xfId="12985"/>
    <cellStyle name="Nota 2 2 3 2 2 3 2 2 3" xfId="17017"/>
    <cellStyle name="Nota 2 2 3 2 2 3 2 2 4" xfId="21049"/>
    <cellStyle name="Nota 2 2 3 2 2 3 2 2 5" xfId="25081"/>
    <cellStyle name="Nota 2 2 3 2 2 3 2 2 6" xfId="29113"/>
    <cellStyle name="Nota 2 2 3 2 2 3 2 2 7" xfId="33145"/>
    <cellStyle name="Nota 2 2 3 2 2 3 2 2 8" xfId="37177"/>
    <cellStyle name="Nota 2 2 3 2 2 3 2 2 9" xfId="41209"/>
    <cellStyle name="Nota 2 2 3 2 2 3 2 3" xfId="10969"/>
    <cellStyle name="Nota 2 2 3 2 2 3 2 4" xfId="15001"/>
    <cellStyle name="Nota 2 2 3 2 2 3 2 5" xfId="19033"/>
    <cellStyle name="Nota 2 2 3 2 2 3 2 6" xfId="23065"/>
    <cellStyle name="Nota 2 2 3 2 2 3 2 7" xfId="27097"/>
    <cellStyle name="Nota 2 2 3 2 2 3 2 8" xfId="31129"/>
    <cellStyle name="Nota 2 2 3 2 2 3 2 9" xfId="35161"/>
    <cellStyle name="Nota 2 2 3 2 2 3 3" xfId="8000"/>
    <cellStyle name="Nota 2 2 3 2 2 3 3 10" xfId="44290"/>
    <cellStyle name="Nota 2 2 3 2 2 3 3 11" xfId="48322"/>
    <cellStyle name="Nota 2 2 3 2 2 3 3 12" xfId="52401"/>
    <cellStyle name="Nota 2 2 3 2 2 3 3 2" xfId="12034"/>
    <cellStyle name="Nota 2 2 3 2 2 3 3 3" xfId="16066"/>
    <cellStyle name="Nota 2 2 3 2 2 3 3 4" xfId="20098"/>
    <cellStyle name="Nota 2 2 3 2 2 3 3 5" xfId="24130"/>
    <cellStyle name="Nota 2 2 3 2 2 3 3 6" xfId="28162"/>
    <cellStyle name="Nota 2 2 3 2 2 3 3 7" xfId="32194"/>
    <cellStyle name="Nota 2 2 3 2 2 3 3 8" xfId="36226"/>
    <cellStyle name="Nota 2 2 3 2 2 3 3 9" xfId="40258"/>
    <cellStyle name="Nota 2 2 3 2 2 3 4" xfId="10018"/>
    <cellStyle name="Nota 2 2 3 2 2 3 5" xfId="14050"/>
    <cellStyle name="Nota 2 2 3 2 2 3 6" xfId="18082"/>
    <cellStyle name="Nota 2 2 3 2 2 3 7" xfId="22114"/>
    <cellStyle name="Nota 2 2 3 2 2 3 8" xfId="26146"/>
    <cellStyle name="Nota 2 2 3 2 2 3 9" xfId="30178"/>
    <cellStyle name="Nota 2 2 3 2 2 4" xfId="4504"/>
    <cellStyle name="Nota 2 2 3 2 2 4 10" xfId="34348"/>
    <cellStyle name="Nota 2 2 3 2 2 4 11" xfId="38380"/>
    <cellStyle name="Nota 2 2 3 2 2 4 12" xfId="42412"/>
    <cellStyle name="Nota 2 2 3 2 2 4 13" xfId="46444"/>
    <cellStyle name="Nota 2 2 3 2 2 4 14" xfId="50523"/>
    <cellStyle name="Nota 2 2 3 2 2 4 2" xfId="7073"/>
    <cellStyle name="Nota 2 2 3 2 2 4 2 10" xfId="39331"/>
    <cellStyle name="Nota 2 2 3 2 2 4 2 11" xfId="43363"/>
    <cellStyle name="Nota 2 2 3 2 2 4 2 12" xfId="47395"/>
    <cellStyle name="Nota 2 2 3 2 2 4 2 13" xfId="51474"/>
    <cellStyle name="Nota 2 2 3 2 2 4 2 2" xfId="9089"/>
    <cellStyle name="Nota 2 2 3 2 2 4 2 2 10" xfId="45379"/>
    <cellStyle name="Nota 2 2 3 2 2 4 2 2 11" xfId="49411"/>
    <cellStyle name="Nota 2 2 3 2 2 4 2 2 12" xfId="53490"/>
    <cellStyle name="Nota 2 2 3 2 2 4 2 2 2" xfId="13123"/>
    <cellStyle name="Nota 2 2 3 2 2 4 2 2 3" xfId="17155"/>
    <cellStyle name="Nota 2 2 3 2 2 4 2 2 4" xfId="21187"/>
    <cellStyle name="Nota 2 2 3 2 2 4 2 2 5" xfId="25219"/>
    <cellStyle name="Nota 2 2 3 2 2 4 2 2 6" xfId="29251"/>
    <cellStyle name="Nota 2 2 3 2 2 4 2 2 7" xfId="33283"/>
    <cellStyle name="Nota 2 2 3 2 2 4 2 2 8" xfId="37315"/>
    <cellStyle name="Nota 2 2 3 2 2 4 2 2 9" xfId="41347"/>
    <cellStyle name="Nota 2 2 3 2 2 4 2 3" xfId="11107"/>
    <cellStyle name="Nota 2 2 3 2 2 4 2 4" xfId="15139"/>
    <cellStyle name="Nota 2 2 3 2 2 4 2 5" xfId="19171"/>
    <cellStyle name="Nota 2 2 3 2 2 4 2 6" xfId="23203"/>
    <cellStyle name="Nota 2 2 3 2 2 4 2 7" xfId="27235"/>
    <cellStyle name="Nota 2 2 3 2 2 4 2 8" xfId="31267"/>
    <cellStyle name="Nota 2 2 3 2 2 4 2 9" xfId="35299"/>
    <cellStyle name="Nota 2 2 3 2 2 4 3" xfId="8138"/>
    <cellStyle name="Nota 2 2 3 2 2 4 3 10" xfId="44428"/>
    <cellStyle name="Nota 2 2 3 2 2 4 3 11" xfId="48460"/>
    <cellStyle name="Nota 2 2 3 2 2 4 3 12" xfId="52539"/>
    <cellStyle name="Nota 2 2 3 2 2 4 3 2" xfId="12172"/>
    <cellStyle name="Nota 2 2 3 2 2 4 3 3" xfId="16204"/>
    <cellStyle name="Nota 2 2 3 2 2 4 3 4" xfId="20236"/>
    <cellStyle name="Nota 2 2 3 2 2 4 3 5" xfId="24268"/>
    <cellStyle name="Nota 2 2 3 2 2 4 3 6" xfId="28300"/>
    <cellStyle name="Nota 2 2 3 2 2 4 3 7" xfId="32332"/>
    <cellStyle name="Nota 2 2 3 2 2 4 3 8" xfId="36364"/>
    <cellStyle name="Nota 2 2 3 2 2 4 3 9" xfId="40396"/>
    <cellStyle name="Nota 2 2 3 2 2 4 4" xfId="10156"/>
    <cellStyle name="Nota 2 2 3 2 2 4 5" xfId="14188"/>
    <cellStyle name="Nota 2 2 3 2 2 4 6" xfId="18220"/>
    <cellStyle name="Nota 2 2 3 2 2 4 7" xfId="22252"/>
    <cellStyle name="Nota 2 2 3 2 2 4 8" xfId="26284"/>
    <cellStyle name="Nota 2 2 3 2 2 4 9" xfId="30316"/>
    <cellStyle name="Nota 2 2 3 2 2 5" xfId="4644"/>
    <cellStyle name="Nota 2 2 3 2 2 5 10" xfId="38518"/>
    <cellStyle name="Nota 2 2 3 2 2 5 11" xfId="42550"/>
    <cellStyle name="Nota 2 2 3 2 2 5 12" xfId="46582"/>
    <cellStyle name="Nota 2 2 3 2 2 5 13" xfId="50661"/>
    <cellStyle name="Nota 2 2 3 2 2 5 2" xfId="8276"/>
    <cellStyle name="Nota 2 2 3 2 2 5 2 10" xfId="44566"/>
    <cellStyle name="Nota 2 2 3 2 2 5 2 11" xfId="48598"/>
    <cellStyle name="Nota 2 2 3 2 2 5 2 12" xfId="52677"/>
    <cellStyle name="Nota 2 2 3 2 2 5 2 2" xfId="12310"/>
    <cellStyle name="Nota 2 2 3 2 2 5 2 3" xfId="16342"/>
    <cellStyle name="Nota 2 2 3 2 2 5 2 4" xfId="20374"/>
    <cellStyle name="Nota 2 2 3 2 2 5 2 5" xfId="24406"/>
    <cellStyle name="Nota 2 2 3 2 2 5 2 6" xfId="28438"/>
    <cellStyle name="Nota 2 2 3 2 2 5 2 7" xfId="32470"/>
    <cellStyle name="Nota 2 2 3 2 2 5 2 8" xfId="36502"/>
    <cellStyle name="Nota 2 2 3 2 2 5 2 9" xfId="40534"/>
    <cellStyle name="Nota 2 2 3 2 2 5 3" xfId="10294"/>
    <cellStyle name="Nota 2 2 3 2 2 5 4" xfId="14326"/>
    <cellStyle name="Nota 2 2 3 2 2 5 5" xfId="18358"/>
    <cellStyle name="Nota 2 2 3 2 2 5 6" xfId="22390"/>
    <cellStyle name="Nota 2 2 3 2 2 5 7" xfId="26422"/>
    <cellStyle name="Nota 2 2 3 2 2 5 8" xfId="30454"/>
    <cellStyle name="Nota 2 2 3 2 2 5 9" xfId="34486"/>
    <cellStyle name="Nota 2 2 3 2 2 6" xfId="1475"/>
    <cellStyle name="Nota 2 2 3 2 2 7" xfId="7211"/>
    <cellStyle name="Nota 2 2 3 2 2 7 10" xfId="43501"/>
    <cellStyle name="Nota 2 2 3 2 2 7 11" xfId="47533"/>
    <cellStyle name="Nota 2 2 3 2 2 7 12" xfId="51612"/>
    <cellStyle name="Nota 2 2 3 2 2 7 2" xfId="11245"/>
    <cellStyle name="Nota 2 2 3 2 2 7 3" xfId="15277"/>
    <cellStyle name="Nota 2 2 3 2 2 7 4" xfId="19309"/>
    <cellStyle name="Nota 2 2 3 2 2 7 5" xfId="23341"/>
    <cellStyle name="Nota 2 2 3 2 2 7 6" xfId="27373"/>
    <cellStyle name="Nota 2 2 3 2 2 7 7" xfId="31405"/>
    <cellStyle name="Nota 2 2 3 2 2 7 8" xfId="35437"/>
    <cellStyle name="Nota 2 2 3 2 2 7 9" xfId="39469"/>
    <cellStyle name="Nota 2 2 3 2 2 8" xfId="9229"/>
    <cellStyle name="Nota 2 2 3 2 2 9" xfId="13261"/>
    <cellStyle name="Nota 2 2 3 2 20" xfId="25288"/>
    <cellStyle name="Nota 2 2 3 2 21" xfId="29320"/>
    <cellStyle name="Nota 2 2 3 2 22" xfId="33352"/>
    <cellStyle name="Nota 2 2 3 2 23" xfId="37384"/>
    <cellStyle name="Nota 2 2 3 2 24" xfId="41416"/>
    <cellStyle name="Nota 2 2 3 2 25" xfId="45448"/>
    <cellStyle name="Nota 2 2 3 2 26" xfId="49526"/>
    <cellStyle name="Nota 2 2 3 2 3" xfId="1297"/>
    <cellStyle name="Nota 2 2 3 2 3 2" xfId="5101"/>
    <cellStyle name="Nota 2 2 3 2 4" xfId="371"/>
    <cellStyle name="Nota 2 2 3 2 4 10" xfId="33544"/>
    <cellStyle name="Nota 2 2 3 2 4 11" xfId="37576"/>
    <cellStyle name="Nota 2 2 3 2 4 12" xfId="41608"/>
    <cellStyle name="Nota 2 2 3 2 4 13" xfId="45640"/>
    <cellStyle name="Nota 2 2 3 2 4 14" xfId="49718"/>
    <cellStyle name="Nota 2 2 3 2 4 2" xfId="4672"/>
    <cellStyle name="Nota 2 2 3 2 4 2 10" xfId="38546"/>
    <cellStyle name="Nota 2 2 3 2 4 2 11" xfId="42578"/>
    <cellStyle name="Nota 2 2 3 2 4 2 12" xfId="46610"/>
    <cellStyle name="Nota 2 2 3 2 4 2 13" xfId="50689"/>
    <cellStyle name="Nota 2 2 3 2 4 2 2" xfId="8304"/>
    <cellStyle name="Nota 2 2 3 2 4 2 2 10" xfId="44594"/>
    <cellStyle name="Nota 2 2 3 2 4 2 2 11" xfId="48626"/>
    <cellStyle name="Nota 2 2 3 2 4 2 2 12" xfId="52705"/>
    <cellStyle name="Nota 2 2 3 2 4 2 2 2" xfId="12338"/>
    <cellStyle name="Nota 2 2 3 2 4 2 2 3" xfId="16370"/>
    <cellStyle name="Nota 2 2 3 2 4 2 2 4" xfId="20402"/>
    <cellStyle name="Nota 2 2 3 2 4 2 2 5" xfId="24434"/>
    <cellStyle name="Nota 2 2 3 2 4 2 2 6" xfId="28466"/>
    <cellStyle name="Nota 2 2 3 2 4 2 2 7" xfId="32498"/>
    <cellStyle name="Nota 2 2 3 2 4 2 2 8" xfId="36530"/>
    <cellStyle name="Nota 2 2 3 2 4 2 2 9" xfId="40562"/>
    <cellStyle name="Nota 2 2 3 2 4 2 3" xfId="10322"/>
    <cellStyle name="Nota 2 2 3 2 4 2 4" xfId="14354"/>
    <cellStyle name="Nota 2 2 3 2 4 2 5" xfId="18386"/>
    <cellStyle name="Nota 2 2 3 2 4 2 6" xfId="22418"/>
    <cellStyle name="Nota 2 2 3 2 4 2 7" xfId="26450"/>
    <cellStyle name="Nota 2 2 3 2 4 2 8" xfId="30482"/>
    <cellStyle name="Nota 2 2 3 2 4 2 9" xfId="34514"/>
    <cellStyle name="Nota 2 2 3 2 4 3" xfId="7334"/>
    <cellStyle name="Nota 2 2 3 2 4 3 10" xfId="43624"/>
    <cellStyle name="Nota 2 2 3 2 4 3 11" xfId="47656"/>
    <cellStyle name="Nota 2 2 3 2 4 3 12" xfId="51735"/>
    <cellStyle name="Nota 2 2 3 2 4 3 2" xfId="11368"/>
    <cellStyle name="Nota 2 2 3 2 4 3 3" xfId="15400"/>
    <cellStyle name="Nota 2 2 3 2 4 3 4" xfId="19432"/>
    <cellStyle name="Nota 2 2 3 2 4 3 5" xfId="23464"/>
    <cellStyle name="Nota 2 2 3 2 4 3 6" xfId="27496"/>
    <cellStyle name="Nota 2 2 3 2 4 3 7" xfId="31528"/>
    <cellStyle name="Nota 2 2 3 2 4 3 8" xfId="35560"/>
    <cellStyle name="Nota 2 2 3 2 4 3 9" xfId="39592"/>
    <cellStyle name="Nota 2 2 3 2 4 4" xfId="9352"/>
    <cellStyle name="Nota 2 2 3 2 4 5" xfId="13384"/>
    <cellStyle name="Nota 2 2 3 2 4 6" xfId="17416"/>
    <cellStyle name="Nota 2 2 3 2 4 7" xfId="21448"/>
    <cellStyle name="Nota 2 2 3 2 4 8" xfId="25480"/>
    <cellStyle name="Nota 2 2 3 2 4 9" xfId="29512"/>
    <cellStyle name="Nota 2 2 3 2 5" xfId="1681"/>
    <cellStyle name="Nota 2 2 3 2 5 10" xfId="33642"/>
    <cellStyle name="Nota 2 2 3 2 5 11" xfId="37674"/>
    <cellStyle name="Nota 2 2 3 2 5 12" xfId="41706"/>
    <cellStyle name="Nota 2 2 3 2 5 13" xfId="45738"/>
    <cellStyle name="Nota 2 2 3 2 5 14" xfId="49816"/>
    <cellStyle name="Nota 2 2 3 2 5 2" xfId="5357"/>
    <cellStyle name="Nota 2 2 3 2 5 2 10" xfId="38625"/>
    <cellStyle name="Nota 2 2 3 2 5 2 11" xfId="42657"/>
    <cellStyle name="Nota 2 2 3 2 5 2 12" xfId="46689"/>
    <cellStyle name="Nota 2 2 3 2 5 2 13" xfId="50768"/>
    <cellStyle name="Nota 2 2 3 2 5 2 2" xfId="8383"/>
    <cellStyle name="Nota 2 2 3 2 5 2 2 10" xfId="44673"/>
    <cellStyle name="Nota 2 2 3 2 5 2 2 11" xfId="48705"/>
    <cellStyle name="Nota 2 2 3 2 5 2 2 12" xfId="52784"/>
    <cellStyle name="Nota 2 2 3 2 5 2 2 2" xfId="12417"/>
    <cellStyle name="Nota 2 2 3 2 5 2 2 3" xfId="16449"/>
    <cellStyle name="Nota 2 2 3 2 5 2 2 4" xfId="20481"/>
    <cellStyle name="Nota 2 2 3 2 5 2 2 5" xfId="24513"/>
    <cellStyle name="Nota 2 2 3 2 5 2 2 6" xfId="28545"/>
    <cellStyle name="Nota 2 2 3 2 5 2 2 7" xfId="32577"/>
    <cellStyle name="Nota 2 2 3 2 5 2 2 8" xfId="36609"/>
    <cellStyle name="Nota 2 2 3 2 5 2 2 9" xfId="40641"/>
    <cellStyle name="Nota 2 2 3 2 5 2 3" xfId="10401"/>
    <cellStyle name="Nota 2 2 3 2 5 2 4" xfId="14433"/>
    <cellStyle name="Nota 2 2 3 2 5 2 5" xfId="18465"/>
    <cellStyle name="Nota 2 2 3 2 5 2 6" xfId="22497"/>
    <cellStyle name="Nota 2 2 3 2 5 2 7" xfId="26529"/>
    <cellStyle name="Nota 2 2 3 2 5 2 8" xfId="30561"/>
    <cellStyle name="Nota 2 2 3 2 5 2 9" xfId="34593"/>
    <cellStyle name="Nota 2 2 3 2 5 3" xfId="7432"/>
    <cellStyle name="Nota 2 2 3 2 5 3 10" xfId="43722"/>
    <cellStyle name="Nota 2 2 3 2 5 3 11" xfId="47754"/>
    <cellStyle name="Nota 2 2 3 2 5 3 12" xfId="51833"/>
    <cellStyle name="Nota 2 2 3 2 5 3 2" xfId="11466"/>
    <cellStyle name="Nota 2 2 3 2 5 3 3" xfId="15498"/>
    <cellStyle name="Nota 2 2 3 2 5 3 4" xfId="19530"/>
    <cellStyle name="Nota 2 2 3 2 5 3 5" xfId="23562"/>
    <cellStyle name="Nota 2 2 3 2 5 3 6" xfId="27594"/>
    <cellStyle name="Nota 2 2 3 2 5 3 7" xfId="31626"/>
    <cellStyle name="Nota 2 2 3 2 5 3 8" xfId="35658"/>
    <cellStyle name="Nota 2 2 3 2 5 3 9" xfId="39690"/>
    <cellStyle name="Nota 2 2 3 2 5 4" xfId="9450"/>
    <cellStyle name="Nota 2 2 3 2 5 5" xfId="13482"/>
    <cellStyle name="Nota 2 2 3 2 5 6" xfId="17514"/>
    <cellStyle name="Nota 2 2 3 2 5 7" xfId="21546"/>
    <cellStyle name="Nota 2 2 3 2 5 8" xfId="25578"/>
    <cellStyle name="Nota 2 2 3 2 5 9" xfId="29610"/>
    <cellStyle name="Nota 2 2 3 2 6" xfId="1755"/>
    <cellStyle name="Nota 2 2 3 2 6 10" xfId="33711"/>
    <cellStyle name="Nota 2 2 3 2 6 11" xfId="37743"/>
    <cellStyle name="Nota 2 2 3 2 6 12" xfId="41775"/>
    <cellStyle name="Nota 2 2 3 2 6 13" xfId="45807"/>
    <cellStyle name="Nota 2 2 3 2 6 14" xfId="49885"/>
    <cellStyle name="Nota 2 2 3 2 6 2" xfId="5426"/>
    <cellStyle name="Nota 2 2 3 2 6 2 10" xfId="38694"/>
    <cellStyle name="Nota 2 2 3 2 6 2 11" xfId="42726"/>
    <cellStyle name="Nota 2 2 3 2 6 2 12" xfId="46758"/>
    <cellStyle name="Nota 2 2 3 2 6 2 13" xfId="50837"/>
    <cellStyle name="Nota 2 2 3 2 6 2 2" xfId="8452"/>
    <cellStyle name="Nota 2 2 3 2 6 2 2 10" xfId="44742"/>
    <cellStyle name="Nota 2 2 3 2 6 2 2 11" xfId="48774"/>
    <cellStyle name="Nota 2 2 3 2 6 2 2 12" xfId="52853"/>
    <cellStyle name="Nota 2 2 3 2 6 2 2 2" xfId="12486"/>
    <cellStyle name="Nota 2 2 3 2 6 2 2 3" xfId="16518"/>
    <cellStyle name="Nota 2 2 3 2 6 2 2 4" xfId="20550"/>
    <cellStyle name="Nota 2 2 3 2 6 2 2 5" xfId="24582"/>
    <cellStyle name="Nota 2 2 3 2 6 2 2 6" xfId="28614"/>
    <cellStyle name="Nota 2 2 3 2 6 2 2 7" xfId="32646"/>
    <cellStyle name="Nota 2 2 3 2 6 2 2 8" xfId="36678"/>
    <cellStyle name="Nota 2 2 3 2 6 2 2 9" xfId="40710"/>
    <cellStyle name="Nota 2 2 3 2 6 2 3" xfId="10470"/>
    <cellStyle name="Nota 2 2 3 2 6 2 4" xfId="14502"/>
    <cellStyle name="Nota 2 2 3 2 6 2 5" xfId="18534"/>
    <cellStyle name="Nota 2 2 3 2 6 2 6" xfId="22566"/>
    <cellStyle name="Nota 2 2 3 2 6 2 7" xfId="26598"/>
    <cellStyle name="Nota 2 2 3 2 6 2 8" xfId="30630"/>
    <cellStyle name="Nota 2 2 3 2 6 2 9" xfId="34662"/>
    <cellStyle name="Nota 2 2 3 2 6 3" xfId="7501"/>
    <cellStyle name="Nota 2 2 3 2 6 3 10" xfId="43791"/>
    <cellStyle name="Nota 2 2 3 2 6 3 11" xfId="47823"/>
    <cellStyle name="Nota 2 2 3 2 6 3 12" xfId="51902"/>
    <cellStyle name="Nota 2 2 3 2 6 3 2" xfId="11535"/>
    <cellStyle name="Nota 2 2 3 2 6 3 3" xfId="15567"/>
    <cellStyle name="Nota 2 2 3 2 6 3 4" xfId="19599"/>
    <cellStyle name="Nota 2 2 3 2 6 3 5" xfId="23631"/>
    <cellStyle name="Nota 2 2 3 2 6 3 6" xfId="27663"/>
    <cellStyle name="Nota 2 2 3 2 6 3 7" xfId="31695"/>
    <cellStyle name="Nota 2 2 3 2 6 3 8" xfId="35727"/>
    <cellStyle name="Nota 2 2 3 2 6 3 9" xfId="39759"/>
    <cellStyle name="Nota 2 2 3 2 6 4" xfId="9519"/>
    <cellStyle name="Nota 2 2 3 2 6 5" xfId="13551"/>
    <cellStyle name="Nota 2 2 3 2 6 6" xfId="17583"/>
    <cellStyle name="Nota 2 2 3 2 6 7" xfId="21615"/>
    <cellStyle name="Nota 2 2 3 2 6 8" xfId="25647"/>
    <cellStyle name="Nota 2 2 3 2 6 9" xfId="29679"/>
    <cellStyle name="Nota 2 2 3 2 7" xfId="4077"/>
    <cellStyle name="Nota 2 2 3 2 7 10" xfId="33934"/>
    <cellStyle name="Nota 2 2 3 2 7 11" xfId="37966"/>
    <cellStyle name="Nota 2 2 3 2 7 12" xfId="41998"/>
    <cellStyle name="Nota 2 2 3 2 7 13" xfId="46030"/>
    <cellStyle name="Nota 2 2 3 2 7 14" xfId="50108"/>
    <cellStyle name="Nota 2 2 3 2 7 2" xfId="6659"/>
    <cellStyle name="Nota 2 2 3 2 7 2 10" xfId="38917"/>
    <cellStyle name="Nota 2 2 3 2 7 2 11" xfId="42949"/>
    <cellStyle name="Nota 2 2 3 2 7 2 12" xfId="46981"/>
    <cellStyle name="Nota 2 2 3 2 7 2 13" xfId="51060"/>
    <cellStyle name="Nota 2 2 3 2 7 2 2" xfId="8675"/>
    <cellStyle name="Nota 2 2 3 2 7 2 2 10" xfId="44965"/>
    <cellStyle name="Nota 2 2 3 2 7 2 2 11" xfId="48997"/>
    <cellStyle name="Nota 2 2 3 2 7 2 2 12" xfId="53076"/>
    <cellStyle name="Nota 2 2 3 2 7 2 2 2" xfId="12709"/>
    <cellStyle name="Nota 2 2 3 2 7 2 2 3" xfId="16741"/>
    <cellStyle name="Nota 2 2 3 2 7 2 2 4" xfId="20773"/>
    <cellStyle name="Nota 2 2 3 2 7 2 2 5" xfId="24805"/>
    <cellStyle name="Nota 2 2 3 2 7 2 2 6" xfId="28837"/>
    <cellStyle name="Nota 2 2 3 2 7 2 2 7" xfId="32869"/>
    <cellStyle name="Nota 2 2 3 2 7 2 2 8" xfId="36901"/>
    <cellStyle name="Nota 2 2 3 2 7 2 2 9" xfId="40933"/>
    <cellStyle name="Nota 2 2 3 2 7 2 3" xfId="10693"/>
    <cellStyle name="Nota 2 2 3 2 7 2 4" xfId="14725"/>
    <cellStyle name="Nota 2 2 3 2 7 2 5" xfId="18757"/>
    <cellStyle name="Nota 2 2 3 2 7 2 6" xfId="22789"/>
    <cellStyle name="Nota 2 2 3 2 7 2 7" xfId="26821"/>
    <cellStyle name="Nota 2 2 3 2 7 2 8" xfId="30853"/>
    <cellStyle name="Nota 2 2 3 2 7 2 9" xfId="34885"/>
    <cellStyle name="Nota 2 2 3 2 7 3" xfId="7724"/>
    <cellStyle name="Nota 2 2 3 2 7 3 10" xfId="44014"/>
    <cellStyle name="Nota 2 2 3 2 7 3 11" xfId="48046"/>
    <cellStyle name="Nota 2 2 3 2 7 3 12" xfId="52125"/>
    <cellStyle name="Nota 2 2 3 2 7 3 2" xfId="11758"/>
    <cellStyle name="Nota 2 2 3 2 7 3 3" xfId="15790"/>
    <cellStyle name="Nota 2 2 3 2 7 3 4" xfId="19822"/>
    <cellStyle name="Nota 2 2 3 2 7 3 5" xfId="23854"/>
    <cellStyle name="Nota 2 2 3 2 7 3 6" xfId="27886"/>
    <cellStyle name="Nota 2 2 3 2 7 3 7" xfId="31918"/>
    <cellStyle name="Nota 2 2 3 2 7 3 8" xfId="35950"/>
    <cellStyle name="Nota 2 2 3 2 7 3 9" xfId="39982"/>
    <cellStyle name="Nota 2 2 3 2 7 4" xfId="9742"/>
    <cellStyle name="Nota 2 2 3 2 7 5" xfId="13774"/>
    <cellStyle name="Nota 2 2 3 2 7 6" xfId="17806"/>
    <cellStyle name="Nota 2 2 3 2 7 7" xfId="21838"/>
    <cellStyle name="Nota 2 2 3 2 7 8" xfId="25870"/>
    <cellStyle name="Nota 2 2 3 2 7 9" xfId="29902"/>
    <cellStyle name="Nota 2 2 3 2 8" xfId="4147"/>
    <cellStyle name="Nota 2 2 3 2 8 10" xfId="34003"/>
    <cellStyle name="Nota 2 2 3 2 8 11" xfId="38035"/>
    <cellStyle name="Nota 2 2 3 2 8 12" xfId="42067"/>
    <cellStyle name="Nota 2 2 3 2 8 13" xfId="46099"/>
    <cellStyle name="Nota 2 2 3 2 8 14" xfId="50177"/>
    <cellStyle name="Nota 2 2 3 2 8 2" xfId="6728"/>
    <cellStyle name="Nota 2 2 3 2 8 2 10" xfId="38986"/>
    <cellStyle name="Nota 2 2 3 2 8 2 11" xfId="43018"/>
    <cellStyle name="Nota 2 2 3 2 8 2 12" xfId="47050"/>
    <cellStyle name="Nota 2 2 3 2 8 2 13" xfId="51129"/>
    <cellStyle name="Nota 2 2 3 2 8 2 2" xfId="8744"/>
    <cellStyle name="Nota 2 2 3 2 8 2 2 10" xfId="45034"/>
    <cellStyle name="Nota 2 2 3 2 8 2 2 11" xfId="49066"/>
    <cellStyle name="Nota 2 2 3 2 8 2 2 12" xfId="53145"/>
    <cellStyle name="Nota 2 2 3 2 8 2 2 2" xfId="12778"/>
    <cellStyle name="Nota 2 2 3 2 8 2 2 3" xfId="16810"/>
    <cellStyle name="Nota 2 2 3 2 8 2 2 4" xfId="20842"/>
    <cellStyle name="Nota 2 2 3 2 8 2 2 5" xfId="24874"/>
    <cellStyle name="Nota 2 2 3 2 8 2 2 6" xfId="28906"/>
    <cellStyle name="Nota 2 2 3 2 8 2 2 7" xfId="32938"/>
    <cellStyle name="Nota 2 2 3 2 8 2 2 8" xfId="36970"/>
    <cellStyle name="Nota 2 2 3 2 8 2 2 9" xfId="41002"/>
    <cellStyle name="Nota 2 2 3 2 8 2 3" xfId="10762"/>
    <cellStyle name="Nota 2 2 3 2 8 2 4" xfId="14794"/>
    <cellStyle name="Nota 2 2 3 2 8 2 5" xfId="18826"/>
    <cellStyle name="Nota 2 2 3 2 8 2 6" xfId="22858"/>
    <cellStyle name="Nota 2 2 3 2 8 2 7" xfId="26890"/>
    <cellStyle name="Nota 2 2 3 2 8 2 8" xfId="30922"/>
    <cellStyle name="Nota 2 2 3 2 8 2 9" xfId="34954"/>
    <cellStyle name="Nota 2 2 3 2 8 3" xfId="7793"/>
    <cellStyle name="Nota 2 2 3 2 8 3 10" xfId="44083"/>
    <cellStyle name="Nota 2 2 3 2 8 3 11" xfId="48115"/>
    <cellStyle name="Nota 2 2 3 2 8 3 12" xfId="52194"/>
    <cellStyle name="Nota 2 2 3 2 8 3 2" xfId="11827"/>
    <cellStyle name="Nota 2 2 3 2 8 3 3" xfId="15859"/>
    <cellStyle name="Nota 2 2 3 2 8 3 4" xfId="19891"/>
    <cellStyle name="Nota 2 2 3 2 8 3 5" xfId="23923"/>
    <cellStyle name="Nota 2 2 3 2 8 3 6" xfId="27955"/>
    <cellStyle name="Nota 2 2 3 2 8 3 7" xfId="31987"/>
    <cellStyle name="Nota 2 2 3 2 8 3 8" xfId="36019"/>
    <cellStyle name="Nota 2 2 3 2 8 3 9" xfId="40051"/>
    <cellStyle name="Nota 2 2 3 2 8 4" xfId="9811"/>
    <cellStyle name="Nota 2 2 3 2 8 5" xfId="13843"/>
    <cellStyle name="Nota 2 2 3 2 8 6" xfId="17875"/>
    <cellStyle name="Nota 2 2 3 2 8 7" xfId="21907"/>
    <cellStyle name="Nota 2 2 3 2 8 8" xfId="25939"/>
    <cellStyle name="Nota 2 2 3 2 8 9" xfId="29971"/>
    <cellStyle name="Nota 2 2 3 2 9" xfId="4216"/>
    <cellStyle name="Nota 2 2 3 2 9 10" xfId="34072"/>
    <cellStyle name="Nota 2 2 3 2 9 11" xfId="38104"/>
    <cellStyle name="Nota 2 2 3 2 9 12" xfId="42136"/>
    <cellStyle name="Nota 2 2 3 2 9 13" xfId="46168"/>
    <cellStyle name="Nota 2 2 3 2 9 14" xfId="50246"/>
    <cellStyle name="Nota 2 2 3 2 9 2" xfId="6797"/>
    <cellStyle name="Nota 2 2 3 2 9 2 10" xfId="39055"/>
    <cellStyle name="Nota 2 2 3 2 9 2 11" xfId="43087"/>
    <cellStyle name="Nota 2 2 3 2 9 2 12" xfId="47119"/>
    <cellStyle name="Nota 2 2 3 2 9 2 13" xfId="51198"/>
    <cellStyle name="Nota 2 2 3 2 9 2 2" xfId="8813"/>
    <cellStyle name="Nota 2 2 3 2 9 2 2 10" xfId="45103"/>
    <cellStyle name="Nota 2 2 3 2 9 2 2 11" xfId="49135"/>
    <cellStyle name="Nota 2 2 3 2 9 2 2 12" xfId="53214"/>
    <cellStyle name="Nota 2 2 3 2 9 2 2 2" xfId="12847"/>
    <cellStyle name="Nota 2 2 3 2 9 2 2 3" xfId="16879"/>
    <cellStyle name="Nota 2 2 3 2 9 2 2 4" xfId="20911"/>
    <cellStyle name="Nota 2 2 3 2 9 2 2 5" xfId="24943"/>
    <cellStyle name="Nota 2 2 3 2 9 2 2 6" xfId="28975"/>
    <cellStyle name="Nota 2 2 3 2 9 2 2 7" xfId="33007"/>
    <cellStyle name="Nota 2 2 3 2 9 2 2 8" xfId="37039"/>
    <cellStyle name="Nota 2 2 3 2 9 2 2 9" xfId="41071"/>
    <cellStyle name="Nota 2 2 3 2 9 2 3" xfId="10831"/>
    <cellStyle name="Nota 2 2 3 2 9 2 4" xfId="14863"/>
    <cellStyle name="Nota 2 2 3 2 9 2 5" xfId="18895"/>
    <cellStyle name="Nota 2 2 3 2 9 2 6" xfId="22927"/>
    <cellStyle name="Nota 2 2 3 2 9 2 7" xfId="26959"/>
    <cellStyle name="Nota 2 2 3 2 9 2 8" xfId="30991"/>
    <cellStyle name="Nota 2 2 3 2 9 2 9" xfId="35023"/>
    <cellStyle name="Nota 2 2 3 2 9 3" xfId="7862"/>
    <cellStyle name="Nota 2 2 3 2 9 3 10" xfId="44152"/>
    <cellStyle name="Nota 2 2 3 2 9 3 11" xfId="48184"/>
    <cellStyle name="Nota 2 2 3 2 9 3 12" xfId="52263"/>
    <cellStyle name="Nota 2 2 3 2 9 3 2" xfId="11896"/>
    <cellStyle name="Nota 2 2 3 2 9 3 3" xfId="15928"/>
    <cellStyle name="Nota 2 2 3 2 9 3 4" xfId="19960"/>
    <cellStyle name="Nota 2 2 3 2 9 3 5" xfId="23992"/>
    <cellStyle name="Nota 2 2 3 2 9 3 6" xfId="28024"/>
    <cellStyle name="Nota 2 2 3 2 9 3 7" xfId="32056"/>
    <cellStyle name="Nota 2 2 3 2 9 3 8" xfId="36088"/>
    <cellStyle name="Nota 2 2 3 2 9 3 9" xfId="40120"/>
    <cellStyle name="Nota 2 2 3 2 9 4" xfId="9880"/>
    <cellStyle name="Nota 2 2 3 2 9 5" xfId="13912"/>
    <cellStyle name="Nota 2 2 3 2 9 6" xfId="17944"/>
    <cellStyle name="Nota 2 2 3 2 9 7" xfId="21976"/>
    <cellStyle name="Nota 2 2 3 2 9 8" xfId="26008"/>
    <cellStyle name="Nota 2 2 3 2 9 9" xfId="30040"/>
    <cellStyle name="Nota 2 2 3 20" xfId="17173"/>
    <cellStyle name="Nota 2 2 3 21" xfId="21205"/>
    <cellStyle name="Nota 2 2 3 22" xfId="25237"/>
    <cellStyle name="Nota 2 2 3 23" xfId="29269"/>
    <cellStyle name="Nota 2 2 3 24" xfId="33301"/>
    <cellStyle name="Nota 2 2 3 25" xfId="37333"/>
    <cellStyle name="Nota 2 2 3 26" xfId="41365"/>
    <cellStyle name="Nota 2 2 3 27" xfId="45397"/>
    <cellStyle name="Nota 2 2 3 28" xfId="49475"/>
    <cellStyle name="Nota 2 2 3 3" xfId="77"/>
    <cellStyle name="Nota 2 2 3 3 10" xfId="4557"/>
    <cellStyle name="Nota 2 2 3 3 10 10" xfId="38433"/>
    <cellStyle name="Nota 2 2 3 3 10 11" xfId="42465"/>
    <cellStyle name="Nota 2 2 3 3 10 12" xfId="46497"/>
    <cellStyle name="Nota 2 2 3 3 10 13" xfId="50576"/>
    <cellStyle name="Nota 2 2 3 3 10 2" xfId="8191"/>
    <cellStyle name="Nota 2 2 3 3 10 2 10" xfId="44481"/>
    <cellStyle name="Nota 2 2 3 3 10 2 11" xfId="48513"/>
    <cellStyle name="Nota 2 2 3 3 10 2 12" xfId="52592"/>
    <cellStyle name="Nota 2 2 3 3 10 2 2" xfId="12225"/>
    <cellStyle name="Nota 2 2 3 3 10 2 3" xfId="16257"/>
    <cellStyle name="Nota 2 2 3 3 10 2 4" xfId="20289"/>
    <cellStyle name="Nota 2 2 3 3 10 2 5" xfId="24321"/>
    <cellStyle name="Nota 2 2 3 3 10 2 6" xfId="28353"/>
    <cellStyle name="Nota 2 2 3 3 10 2 7" xfId="32385"/>
    <cellStyle name="Nota 2 2 3 3 10 2 8" xfId="36417"/>
    <cellStyle name="Nota 2 2 3 3 10 2 9" xfId="40449"/>
    <cellStyle name="Nota 2 2 3 3 10 3" xfId="10209"/>
    <cellStyle name="Nota 2 2 3 3 10 4" xfId="14241"/>
    <cellStyle name="Nota 2 2 3 3 10 5" xfId="18273"/>
    <cellStyle name="Nota 2 2 3 3 10 6" xfId="22305"/>
    <cellStyle name="Nota 2 2 3 3 10 7" xfId="26337"/>
    <cellStyle name="Nota 2 2 3 3 10 8" xfId="30369"/>
    <cellStyle name="Nota 2 2 3 3 10 9" xfId="34401"/>
    <cellStyle name="Nota 2 2 3 3 11" xfId="285"/>
    <cellStyle name="Nota 2 2 3 3 11 10" xfId="37490"/>
    <cellStyle name="Nota 2 2 3 3 11 11" xfId="41522"/>
    <cellStyle name="Nota 2 2 3 3 11 12" xfId="45554"/>
    <cellStyle name="Nota 2 2 3 3 11 13" xfId="49632"/>
    <cellStyle name="Nota 2 2 3 3 11 2" xfId="7248"/>
    <cellStyle name="Nota 2 2 3 3 11 2 10" xfId="43538"/>
    <cellStyle name="Nota 2 2 3 3 11 2 11" xfId="47570"/>
    <cellStyle name="Nota 2 2 3 3 11 2 12" xfId="51649"/>
    <cellStyle name="Nota 2 2 3 3 11 2 2" xfId="11282"/>
    <cellStyle name="Nota 2 2 3 3 11 2 3" xfId="15314"/>
    <cellStyle name="Nota 2 2 3 3 11 2 4" xfId="19346"/>
    <cellStyle name="Nota 2 2 3 3 11 2 5" xfId="23378"/>
    <cellStyle name="Nota 2 2 3 3 11 2 6" xfId="27410"/>
    <cellStyle name="Nota 2 2 3 3 11 2 7" xfId="31442"/>
    <cellStyle name="Nota 2 2 3 3 11 2 8" xfId="35474"/>
    <cellStyle name="Nota 2 2 3 3 11 2 9" xfId="39506"/>
    <cellStyle name="Nota 2 2 3 3 11 3" xfId="9266"/>
    <cellStyle name="Nota 2 2 3 3 11 4" xfId="13298"/>
    <cellStyle name="Nota 2 2 3 3 11 5" xfId="17330"/>
    <cellStyle name="Nota 2 2 3 3 11 6" xfId="21362"/>
    <cellStyle name="Nota 2 2 3 3 11 7" xfId="25394"/>
    <cellStyle name="Nota 2 2 3 3 11 8" xfId="29426"/>
    <cellStyle name="Nota 2 2 3 3 11 9" xfId="33458"/>
    <cellStyle name="Nota 2 2 3 3 12" xfId="7126"/>
    <cellStyle name="Nota 2 2 3 3 12 10" xfId="43416"/>
    <cellStyle name="Nota 2 2 3 3 12 11" xfId="47448"/>
    <cellStyle name="Nota 2 2 3 3 12 12" xfId="51527"/>
    <cellStyle name="Nota 2 2 3 3 12 2" xfId="11160"/>
    <cellStyle name="Nota 2 2 3 3 12 3" xfId="15192"/>
    <cellStyle name="Nota 2 2 3 3 12 4" xfId="19224"/>
    <cellStyle name="Nota 2 2 3 3 12 5" xfId="23256"/>
    <cellStyle name="Nota 2 2 3 3 12 6" xfId="27288"/>
    <cellStyle name="Nota 2 2 3 3 12 7" xfId="31320"/>
    <cellStyle name="Nota 2 2 3 3 12 8" xfId="35352"/>
    <cellStyle name="Nota 2 2 3 3 12 9" xfId="39384"/>
    <cellStyle name="Nota 2 2 3 3 13" xfId="152"/>
    <cellStyle name="Nota 2 2 3 3 14" xfId="9144"/>
    <cellStyle name="Nota 2 2 3 3 15" xfId="13176"/>
    <cellStyle name="Nota 2 2 3 3 16" xfId="17208"/>
    <cellStyle name="Nota 2 2 3 3 17" xfId="21240"/>
    <cellStyle name="Nota 2 2 3 3 18" xfId="25272"/>
    <cellStyle name="Nota 2 2 3 3 19" xfId="29304"/>
    <cellStyle name="Nota 2 2 3 3 2" xfId="231"/>
    <cellStyle name="Nota 2 2 3 3 2 10" xfId="21309"/>
    <cellStyle name="Nota 2 2 3 3 2 11" xfId="25341"/>
    <cellStyle name="Nota 2 2 3 3 2 12" xfId="29373"/>
    <cellStyle name="Nota 2 2 3 3 2 13" xfId="33405"/>
    <cellStyle name="Nota 2 2 3 3 2 14" xfId="37437"/>
    <cellStyle name="Nota 2 2 3 3 2 15" xfId="41469"/>
    <cellStyle name="Nota 2 2 3 3 2 16" xfId="45501"/>
    <cellStyle name="Nota 2 2 3 3 2 17" xfId="49579"/>
    <cellStyle name="Nota 2 2 3 3 2 2" xfId="4349"/>
    <cellStyle name="Nota 2 2 3 3 2 2 10" xfId="34194"/>
    <cellStyle name="Nota 2 2 3 3 2 2 11" xfId="38226"/>
    <cellStyle name="Nota 2 2 3 3 2 2 12" xfId="42258"/>
    <cellStyle name="Nota 2 2 3 3 2 2 13" xfId="46290"/>
    <cellStyle name="Nota 2 2 3 3 2 2 14" xfId="50369"/>
    <cellStyle name="Nota 2 2 3 3 2 2 2" xfId="6919"/>
    <cellStyle name="Nota 2 2 3 3 2 2 2 10" xfId="39177"/>
    <cellStyle name="Nota 2 2 3 3 2 2 2 11" xfId="43209"/>
    <cellStyle name="Nota 2 2 3 3 2 2 2 12" xfId="47241"/>
    <cellStyle name="Nota 2 2 3 3 2 2 2 13" xfId="51320"/>
    <cellStyle name="Nota 2 2 3 3 2 2 2 2" xfId="8935"/>
    <cellStyle name="Nota 2 2 3 3 2 2 2 2 10" xfId="45225"/>
    <cellStyle name="Nota 2 2 3 3 2 2 2 2 11" xfId="49257"/>
    <cellStyle name="Nota 2 2 3 3 2 2 2 2 12" xfId="53336"/>
    <cellStyle name="Nota 2 2 3 3 2 2 2 2 2" xfId="12969"/>
    <cellStyle name="Nota 2 2 3 3 2 2 2 2 3" xfId="17001"/>
    <cellStyle name="Nota 2 2 3 3 2 2 2 2 4" xfId="21033"/>
    <cellStyle name="Nota 2 2 3 3 2 2 2 2 5" xfId="25065"/>
    <cellStyle name="Nota 2 2 3 3 2 2 2 2 6" xfId="29097"/>
    <cellStyle name="Nota 2 2 3 3 2 2 2 2 7" xfId="33129"/>
    <cellStyle name="Nota 2 2 3 3 2 2 2 2 8" xfId="37161"/>
    <cellStyle name="Nota 2 2 3 3 2 2 2 2 9" xfId="41193"/>
    <cellStyle name="Nota 2 2 3 3 2 2 2 3" xfId="10953"/>
    <cellStyle name="Nota 2 2 3 3 2 2 2 4" xfId="14985"/>
    <cellStyle name="Nota 2 2 3 3 2 2 2 5" xfId="19017"/>
    <cellStyle name="Nota 2 2 3 3 2 2 2 6" xfId="23049"/>
    <cellStyle name="Nota 2 2 3 3 2 2 2 7" xfId="27081"/>
    <cellStyle name="Nota 2 2 3 3 2 2 2 8" xfId="31113"/>
    <cellStyle name="Nota 2 2 3 3 2 2 2 9" xfId="35145"/>
    <cellStyle name="Nota 2 2 3 3 2 2 3" xfId="7984"/>
    <cellStyle name="Nota 2 2 3 3 2 2 3 10" xfId="44274"/>
    <cellStyle name="Nota 2 2 3 3 2 2 3 11" xfId="48306"/>
    <cellStyle name="Nota 2 2 3 3 2 2 3 12" xfId="52385"/>
    <cellStyle name="Nota 2 2 3 3 2 2 3 2" xfId="12018"/>
    <cellStyle name="Nota 2 2 3 3 2 2 3 3" xfId="16050"/>
    <cellStyle name="Nota 2 2 3 3 2 2 3 4" xfId="20082"/>
    <cellStyle name="Nota 2 2 3 3 2 2 3 5" xfId="24114"/>
    <cellStyle name="Nota 2 2 3 3 2 2 3 6" xfId="28146"/>
    <cellStyle name="Nota 2 2 3 3 2 2 3 7" xfId="32178"/>
    <cellStyle name="Nota 2 2 3 3 2 2 3 8" xfId="36210"/>
    <cellStyle name="Nota 2 2 3 3 2 2 3 9" xfId="40242"/>
    <cellStyle name="Nota 2 2 3 3 2 2 4" xfId="10002"/>
    <cellStyle name="Nota 2 2 3 3 2 2 5" xfId="14034"/>
    <cellStyle name="Nota 2 2 3 3 2 2 6" xfId="18066"/>
    <cellStyle name="Nota 2 2 3 3 2 2 7" xfId="22098"/>
    <cellStyle name="Nota 2 2 3 3 2 2 8" xfId="26130"/>
    <cellStyle name="Nota 2 2 3 3 2 2 9" xfId="30162"/>
    <cellStyle name="Nota 2 2 3 3 2 3" xfId="4488"/>
    <cellStyle name="Nota 2 2 3 3 2 3 10" xfId="34332"/>
    <cellStyle name="Nota 2 2 3 3 2 3 11" xfId="38364"/>
    <cellStyle name="Nota 2 2 3 3 2 3 12" xfId="42396"/>
    <cellStyle name="Nota 2 2 3 3 2 3 13" xfId="46428"/>
    <cellStyle name="Nota 2 2 3 3 2 3 14" xfId="50507"/>
    <cellStyle name="Nota 2 2 3 3 2 3 2" xfId="7057"/>
    <cellStyle name="Nota 2 2 3 3 2 3 2 10" xfId="39315"/>
    <cellStyle name="Nota 2 2 3 3 2 3 2 11" xfId="43347"/>
    <cellStyle name="Nota 2 2 3 3 2 3 2 12" xfId="47379"/>
    <cellStyle name="Nota 2 2 3 3 2 3 2 13" xfId="51458"/>
    <cellStyle name="Nota 2 2 3 3 2 3 2 2" xfId="9073"/>
    <cellStyle name="Nota 2 2 3 3 2 3 2 2 10" xfId="45363"/>
    <cellStyle name="Nota 2 2 3 3 2 3 2 2 11" xfId="49395"/>
    <cellStyle name="Nota 2 2 3 3 2 3 2 2 12" xfId="53474"/>
    <cellStyle name="Nota 2 2 3 3 2 3 2 2 2" xfId="13107"/>
    <cellStyle name="Nota 2 2 3 3 2 3 2 2 3" xfId="17139"/>
    <cellStyle name="Nota 2 2 3 3 2 3 2 2 4" xfId="21171"/>
    <cellStyle name="Nota 2 2 3 3 2 3 2 2 5" xfId="25203"/>
    <cellStyle name="Nota 2 2 3 3 2 3 2 2 6" xfId="29235"/>
    <cellStyle name="Nota 2 2 3 3 2 3 2 2 7" xfId="33267"/>
    <cellStyle name="Nota 2 2 3 3 2 3 2 2 8" xfId="37299"/>
    <cellStyle name="Nota 2 2 3 3 2 3 2 2 9" xfId="41331"/>
    <cellStyle name="Nota 2 2 3 3 2 3 2 3" xfId="11091"/>
    <cellStyle name="Nota 2 2 3 3 2 3 2 4" xfId="15123"/>
    <cellStyle name="Nota 2 2 3 3 2 3 2 5" xfId="19155"/>
    <cellStyle name="Nota 2 2 3 3 2 3 2 6" xfId="23187"/>
    <cellStyle name="Nota 2 2 3 3 2 3 2 7" xfId="27219"/>
    <cellStyle name="Nota 2 2 3 3 2 3 2 8" xfId="31251"/>
    <cellStyle name="Nota 2 2 3 3 2 3 2 9" xfId="35283"/>
    <cellStyle name="Nota 2 2 3 3 2 3 3" xfId="8122"/>
    <cellStyle name="Nota 2 2 3 3 2 3 3 10" xfId="44412"/>
    <cellStyle name="Nota 2 2 3 3 2 3 3 11" xfId="48444"/>
    <cellStyle name="Nota 2 2 3 3 2 3 3 12" xfId="52523"/>
    <cellStyle name="Nota 2 2 3 3 2 3 3 2" xfId="12156"/>
    <cellStyle name="Nota 2 2 3 3 2 3 3 3" xfId="16188"/>
    <cellStyle name="Nota 2 2 3 3 2 3 3 4" xfId="20220"/>
    <cellStyle name="Nota 2 2 3 3 2 3 3 5" xfId="24252"/>
    <cellStyle name="Nota 2 2 3 3 2 3 3 6" xfId="28284"/>
    <cellStyle name="Nota 2 2 3 3 2 3 3 7" xfId="32316"/>
    <cellStyle name="Nota 2 2 3 3 2 3 3 8" xfId="36348"/>
    <cellStyle name="Nota 2 2 3 3 2 3 3 9" xfId="40380"/>
    <cellStyle name="Nota 2 2 3 3 2 3 4" xfId="10140"/>
    <cellStyle name="Nota 2 2 3 3 2 3 5" xfId="14172"/>
    <cellStyle name="Nota 2 2 3 3 2 3 6" xfId="18204"/>
    <cellStyle name="Nota 2 2 3 3 2 3 7" xfId="22236"/>
    <cellStyle name="Nota 2 2 3 3 2 3 8" xfId="26268"/>
    <cellStyle name="Nota 2 2 3 3 2 3 9" xfId="30300"/>
    <cellStyle name="Nota 2 2 3 3 2 4" xfId="4628"/>
    <cellStyle name="Nota 2 2 3 3 2 4 10" xfId="38502"/>
    <cellStyle name="Nota 2 2 3 3 2 4 11" xfId="42534"/>
    <cellStyle name="Nota 2 2 3 3 2 4 12" xfId="46566"/>
    <cellStyle name="Nota 2 2 3 3 2 4 13" xfId="50645"/>
    <cellStyle name="Nota 2 2 3 3 2 4 2" xfId="8260"/>
    <cellStyle name="Nota 2 2 3 3 2 4 2 10" xfId="44550"/>
    <cellStyle name="Nota 2 2 3 3 2 4 2 11" xfId="48582"/>
    <cellStyle name="Nota 2 2 3 3 2 4 2 12" xfId="52661"/>
    <cellStyle name="Nota 2 2 3 3 2 4 2 2" xfId="12294"/>
    <cellStyle name="Nota 2 2 3 3 2 4 2 3" xfId="16326"/>
    <cellStyle name="Nota 2 2 3 3 2 4 2 4" xfId="20358"/>
    <cellStyle name="Nota 2 2 3 3 2 4 2 5" xfId="24390"/>
    <cellStyle name="Nota 2 2 3 3 2 4 2 6" xfId="28422"/>
    <cellStyle name="Nota 2 2 3 3 2 4 2 7" xfId="32454"/>
    <cellStyle name="Nota 2 2 3 3 2 4 2 8" xfId="36486"/>
    <cellStyle name="Nota 2 2 3 3 2 4 2 9" xfId="40518"/>
    <cellStyle name="Nota 2 2 3 3 2 4 3" xfId="10278"/>
    <cellStyle name="Nota 2 2 3 3 2 4 4" xfId="14310"/>
    <cellStyle name="Nota 2 2 3 3 2 4 5" xfId="18342"/>
    <cellStyle name="Nota 2 2 3 3 2 4 6" xfId="22374"/>
    <cellStyle name="Nota 2 2 3 3 2 4 7" xfId="26406"/>
    <cellStyle name="Nota 2 2 3 3 2 4 8" xfId="30438"/>
    <cellStyle name="Nota 2 2 3 3 2 4 9" xfId="34470"/>
    <cellStyle name="Nota 2 2 3 3 2 5" xfId="355"/>
    <cellStyle name="Nota 2 2 3 3 2 5 10" xfId="37560"/>
    <cellStyle name="Nota 2 2 3 3 2 5 11" xfId="41592"/>
    <cellStyle name="Nota 2 2 3 3 2 5 12" xfId="45624"/>
    <cellStyle name="Nota 2 2 3 3 2 5 13" xfId="49702"/>
    <cellStyle name="Nota 2 2 3 3 2 5 2" xfId="7318"/>
    <cellStyle name="Nota 2 2 3 3 2 5 2 10" xfId="43608"/>
    <cellStyle name="Nota 2 2 3 3 2 5 2 11" xfId="47640"/>
    <cellStyle name="Nota 2 2 3 3 2 5 2 12" xfId="51719"/>
    <cellStyle name="Nota 2 2 3 3 2 5 2 2" xfId="11352"/>
    <cellStyle name="Nota 2 2 3 3 2 5 2 3" xfId="15384"/>
    <cellStyle name="Nota 2 2 3 3 2 5 2 4" xfId="19416"/>
    <cellStyle name="Nota 2 2 3 3 2 5 2 5" xfId="23448"/>
    <cellStyle name="Nota 2 2 3 3 2 5 2 6" xfId="27480"/>
    <cellStyle name="Nota 2 2 3 3 2 5 2 7" xfId="31512"/>
    <cellStyle name="Nota 2 2 3 3 2 5 2 8" xfId="35544"/>
    <cellStyle name="Nota 2 2 3 3 2 5 2 9" xfId="39576"/>
    <cellStyle name="Nota 2 2 3 3 2 5 3" xfId="9336"/>
    <cellStyle name="Nota 2 2 3 3 2 5 4" xfId="13368"/>
    <cellStyle name="Nota 2 2 3 3 2 5 5" xfId="17400"/>
    <cellStyle name="Nota 2 2 3 3 2 5 6" xfId="21432"/>
    <cellStyle name="Nota 2 2 3 3 2 5 7" xfId="25464"/>
    <cellStyle name="Nota 2 2 3 3 2 5 8" xfId="29496"/>
    <cellStyle name="Nota 2 2 3 3 2 5 9" xfId="33528"/>
    <cellStyle name="Nota 2 2 3 3 2 6" xfId="7195"/>
    <cellStyle name="Nota 2 2 3 3 2 6 10" xfId="43485"/>
    <cellStyle name="Nota 2 2 3 3 2 6 11" xfId="47517"/>
    <cellStyle name="Nota 2 2 3 3 2 6 12" xfId="51596"/>
    <cellStyle name="Nota 2 2 3 3 2 6 2" xfId="11229"/>
    <cellStyle name="Nota 2 2 3 3 2 6 3" xfId="15261"/>
    <cellStyle name="Nota 2 2 3 3 2 6 4" xfId="19293"/>
    <cellStyle name="Nota 2 2 3 3 2 6 5" xfId="23325"/>
    <cellStyle name="Nota 2 2 3 3 2 6 6" xfId="27357"/>
    <cellStyle name="Nota 2 2 3 3 2 6 7" xfId="31389"/>
    <cellStyle name="Nota 2 2 3 3 2 6 8" xfId="35421"/>
    <cellStyle name="Nota 2 2 3 3 2 6 9" xfId="39453"/>
    <cellStyle name="Nota 2 2 3 3 2 7" xfId="9213"/>
    <cellStyle name="Nota 2 2 3 3 2 8" xfId="13245"/>
    <cellStyle name="Nota 2 2 3 3 2 9" xfId="17277"/>
    <cellStyle name="Nota 2 2 3 3 20" xfId="33336"/>
    <cellStyle name="Nota 2 2 3 3 21" xfId="37368"/>
    <cellStyle name="Nota 2 2 3 3 22" xfId="41400"/>
    <cellStyle name="Nota 2 2 3 3 23" xfId="45432"/>
    <cellStyle name="Nota 2 2 3 3 24" xfId="49510"/>
    <cellStyle name="Nota 2 2 3 3 3" xfId="1665"/>
    <cellStyle name="Nota 2 2 3 3 3 10" xfId="33626"/>
    <cellStyle name="Nota 2 2 3 3 3 11" xfId="37658"/>
    <cellStyle name="Nota 2 2 3 3 3 12" xfId="41690"/>
    <cellStyle name="Nota 2 2 3 3 3 13" xfId="45722"/>
    <cellStyle name="Nota 2 2 3 3 3 14" xfId="49800"/>
    <cellStyle name="Nota 2 2 3 3 3 2" xfId="5341"/>
    <cellStyle name="Nota 2 2 3 3 3 2 10" xfId="38609"/>
    <cellStyle name="Nota 2 2 3 3 3 2 11" xfId="42641"/>
    <cellStyle name="Nota 2 2 3 3 3 2 12" xfId="46673"/>
    <cellStyle name="Nota 2 2 3 3 3 2 13" xfId="50752"/>
    <cellStyle name="Nota 2 2 3 3 3 2 2" xfId="8367"/>
    <cellStyle name="Nota 2 2 3 3 3 2 2 10" xfId="44657"/>
    <cellStyle name="Nota 2 2 3 3 3 2 2 11" xfId="48689"/>
    <cellStyle name="Nota 2 2 3 3 3 2 2 12" xfId="52768"/>
    <cellStyle name="Nota 2 2 3 3 3 2 2 2" xfId="12401"/>
    <cellStyle name="Nota 2 2 3 3 3 2 2 3" xfId="16433"/>
    <cellStyle name="Nota 2 2 3 3 3 2 2 4" xfId="20465"/>
    <cellStyle name="Nota 2 2 3 3 3 2 2 5" xfId="24497"/>
    <cellStyle name="Nota 2 2 3 3 3 2 2 6" xfId="28529"/>
    <cellStyle name="Nota 2 2 3 3 3 2 2 7" xfId="32561"/>
    <cellStyle name="Nota 2 2 3 3 3 2 2 8" xfId="36593"/>
    <cellStyle name="Nota 2 2 3 3 3 2 2 9" xfId="40625"/>
    <cellStyle name="Nota 2 2 3 3 3 2 3" xfId="10385"/>
    <cellStyle name="Nota 2 2 3 3 3 2 4" xfId="14417"/>
    <cellStyle name="Nota 2 2 3 3 3 2 5" xfId="18449"/>
    <cellStyle name="Nota 2 2 3 3 3 2 6" xfId="22481"/>
    <cellStyle name="Nota 2 2 3 3 3 2 7" xfId="26513"/>
    <cellStyle name="Nota 2 2 3 3 3 2 8" xfId="30545"/>
    <cellStyle name="Nota 2 2 3 3 3 2 9" xfId="34577"/>
    <cellStyle name="Nota 2 2 3 3 3 3" xfId="7416"/>
    <cellStyle name="Nota 2 2 3 3 3 3 10" xfId="43706"/>
    <cellStyle name="Nota 2 2 3 3 3 3 11" xfId="47738"/>
    <cellStyle name="Nota 2 2 3 3 3 3 12" xfId="51817"/>
    <cellStyle name="Nota 2 2 3 3 3 3 2" xfId="11450"/>
    <cellStyle name="Nota 2 2 3 3 3 3 3" xfId="15482"/>
    <cellStyle name="Nota 2 2 3 3 3 3 4" xfId="19514"/>
    <cellStyle name="Nota 2 2 3 3 3 3 5" xfId="23546"/>
    <cellStyle name="Nota 2 2 3 3 3 3 6" xfId="27578"/>
    <cellStyle name="Nota 2 2 3 3 3 3 7" xfId="31610"/>
    <cellStyle name="Nota 2 2 3 3 3 3 8" xfId="35642"/>
    <cellStyle name="Nota 2 2 3 3 3 3 9" xfId="39674"/>
    <cellStyle name="Nota 2 2 3 3 3 4" xfId="9434"/>
    <cellStyle name="Nota 2 2 3 3 3 5" xfId="13466"/>
    <cellStyle name="Nota 2 2 3 3 3 6" xfId="17498"/>
    <cellStyle name="Nota 2 2 3 3 3 7" xfId="21530"/>
    <cellStyle name="Nota 2 2 3 3 3 8" xfId="25562"/>
    <cellStyle name="Nota 2 2 3 3 3 9" xfId="29594"/>
    <cellStyle name="Nota 2 2 3 3 4" xfId="1739"/>
    <cellStyle name="Nota 2 2 3 3 4 10" xfId="33695"/>
    <cellStyle name="Nota 2 2 3 3 4 11" xfId="37727"/>
    <cellStyle name="Nota 2 2 3 3 4 12" xfId="41759"/>
    <cellStyle name="Nota 2 2 3 3 4 13" xfId="45791"/>
    <cellStyle name="Nota 2 2 3 3 4 14" xfId="49869"/>
    <cellStyle name="Nota 2 2 3 3 4 2" xfId="5410"/>
    <cellStyle name="Nota 2 2 3 3 4 2 10" xfId="38678"/>
    <cellStyle name="Nota 2 2 3 3 4 2 11" xfId="42710"/>
    <cellStyle name="Nota 2 2 3 3 4 2 12" xfId="46742"/>
    <cellStyle name="Nota 2 2 3 3 4 2 13" xfId="50821"/>
    <cellStyle name="Nota 2 2 3 3 4 2 2" xfId="8436"/>
    <cellStyle name="Nota 2 2 3 3 4 2 2 10" xfId="44726"/>
    <cellStyle name="Nota 2 2 3 3 4 2 2 11" xfId="48758"/>
    <cellStyle name="Nota 2 2 3 3 4 2 2 12" xfId="52837"/>
    <cellStyle name="Nota 2 2 3 3 4 2 2 2" xfId="12470"/>
    <cellStyle name="Nota 2 2 3 3 4 2 2 3" xfId="16502"/>
    <cellStyle name="Nota 2 2 3 3 4 2 2 4" xfId="20534"/>
    <cellStyle name="Nota 2 2 3 3 4 2 2 5" xfId="24566"/>
    <cellStyle name="Nota 2 2 3 3 4 2 2 6" xfId="28598"/>
    <cellStyle name="Nota 2 2 3 3 4 2 2 7" xfId="32630"/>
    <cellStyle name="Nota 2 2 3 3 4 2 2 8" xfId="36662"/>
    <cellStyle name="Nota 2 2 3 3 4 2 2 9" xfId="40694"/>
    <cellStyle name="Nota 2 2 3 3 4 2 3" xfId="10454"/>
    <cellStyle name="Nota 2 2 3 3 4 2 4" xfId="14486"/>
    <cellStyle name="Nota 2 2 3 3 4 2 5" xfId="18518"/>
    <cellStyle name="Nota 2 2 3 3 4 2 6" xfId="22550"/>
    <cellStyle name="Nota 2 2 3 3 4 2 7" xfId="26582"/>
    <cellStyle name="Nota 2 2 3 3 4 2 8" xfId="30614"/>
    <cellStyle name="Nota 2 2 3 3 4 2 9" xfId="34646"/>
    <cellStyle name="Nota 2 2 3 3 4 3" xfId="7485"/>
    <cellStyle name="Nota 2 2 3 3 4 3 10" xfId="43775"/>
    <cellStyle name="Nota 2 2 3 3 4 3 11" xfId="47807"/>
    <cellStyle name="Nota 2 2 3 3 4 3 12" xfId="51886"/>
    <cellStyle name="Nota 2 2 3 3 4 3 2" xfId="11519"/>
    <cellStyle name="Nota 2 2 3 3 4 3 3" xfId="15551"/>
    <cellStyle name="Nota 2 2 3 3 4 3 4" xfId="19583"/>
    <cellStyle name="Nota 2 2 3 3 4 3 5" xfId="23615"/>
    <cellStyle name="Nota 2 2 3 3 4 3 6" xfId="27647"/>
    <cellStyle name="Nota 2 2 3 3 4 3 7" xfId="31679"/>
    <cellStyle name="Nota 2 2 3 3 4 3 8" xfId="35711"/>
    <cellStyle name="Nota 2 2 3 3 4 3 9" xfId="39743"/>
    <cellStyle name="Nota 2 2 3 3 4 4" xfId="9503"/>
    <cellStyle name="Nota 2 2 3 3 4 5" xfId="13535"/>
    <cellStyle name="Nota 2 2 3 3 4 6" xfId="17567"/>
    <cellStyle name="Nota 2 2 3 3 4 7" xfId="21599"/>
    <cellStyle name="Nota 2 2 3 3 4 8" xfId="25631"/>
    <cellStyle name="Nota 2 2 3 3 4 9" xfId="29663"/>
    <cellStyle name="Nota 2 2 3 3 5" xfId="4061"/>
    <cellStyle name="Nota 2 2 3 3 5 10" xfId="33918"/>
    <cellStyle name="Nota 2 2 3 3 5 11" xfId="37950"/>
    <cellStyle name="Nota 2 2 3 3 5 12" xfId="41982"/>
    <cellStyle name="Nota 2 2 3 3 5 13" xfId="46014"/>
    <cellStyle name="Nota 2 2 3 3 5 14" xfId="50092"/>
    <cellStyle name="Nota 2 2 3 3 5 2" xfId="6643"/>
    <cellStyle name="Nota 2 2 3 3 5 2 10" xfId="38901"/>
    <cellStyle name="Nota 2 2 3 3 5 2 11" xfId="42933"/>
    <cellStyle name="Nota 2 2 3 3 5 2 12" xfId="46965"/>
    <cellStyle name="Nota 2 2 3 3 5 2 13" xfId="51044"/>
    <cellStyle name="Nota 2 2 3 3 5 2 2" xfId="8659"/>
    <cellStyle name="Nota 2 2 3 3 5 2 2 10" xfId="44949"/>
    <cellStyle name="Nota 2 2 3 3 5 2 2 11" xfId="48981"/>
    <cellStyle name="Nota 2 2 3 3 5 2 2 12" xfId="53060"/>
    <cellStyle name="Nota 2 2 3 3 5 2 2 2" xfId="12693"/>
    <cellStyle name="Nota 2 2 3 3 5 2 2 3" xfId="16725"/>
    <cellStyle name="Nota 2 2 3 3 5 2 2 4" xfId="20757"/>
    <cellStyle name="Nota 2 2 3 3 5 2 2 5" xfId="24789"/>
    <cellStyle name="Nota 2 2 3 3 5 2 2 6" xfId="28821"/>
    <cellStyle name="Nota 2 2 3 3 5 2 2 7" xfId="32853"/>
    <cellStyle name="Nota 2 2 3 3 5 2 2 8" xfId="36885"/>
    <cellStyle name="Nota 2 2 3 3 5 2 2 9" xfId="40917"/>
    <cellStyle name="Nota 2 2 3 3 5 2 3" xfId="10677"/>
    <cellStyle name="Nota 2 2 3 3 5 2 4" xfId="14709"/>
    <cellStyle name="Nota 2 2 3 3 5 2 5" xfId="18741"/>
    <cellStyle name="Nota 2 2 3 3 5 2 6" xfId="22773"/>
    <cellStyle name="Nota 2 2 3 3 5 2 7" xfId="26805"/>
    <cellStyle name="Nota 2 2 3 3 5 2 8" xfId="30837"/>
    <cellStyle name="Nota 2 2 3 3 5 2 9" xfId="34869"/>
    <cellStyle name="Nota 2 2 3 3 5 3" xfId="7708"/>
    <cellStyle name="Nota 2 2 3 3 5 3 10" xfId="43998"/>
    <cellStyle name="Nota 2 2 3 3 5 3 11" xfId="48030"/>
    <cellStyle name="Nota 2 2 3 3 5 3 12" xfId="52109"/>
    <cellStyle name="Nota 2 2 3 3 5 3 2" xfId="11742"/>
    <cellStyle name="Nota 2 2 3 3 5 3 3" xfId="15774"/>
    <cellStyle name="Nota 2 2 3 3 5 3 4" xfId="19806"/>
    <cellStyle name="Nota 2 2 3 3 5 3 5" xfId="23838"/>
    <cellStyle name="Nota 2 2 3 3 5 3 6" xfId="27870"/>
    <cellStyle name="Nota 2 2 3 3 5 3 7" xfId="31902"/>
    <cellStyle name="Nota 2 2 3 3 5 3 8" xfId="35934"/>
    <cellStyle name="Nota 2 2 3 3 5 3 9" xfId="39966"/>
    <cellStyle name="Nota 2 2 3 3 5 4" xfId="9726"/>
    <cellStyle name="Nota 2 2 3 3 5 5" xfId="13758"/>
    <cellStyle name="Nota 2 2 3 3 5 6" xfId="17790"/>
    <cellStyle name="Nota 2 2 3 3 5 7" xfId="21822"/>
    <cellStyle name="Nota 2 2 3 3 5 8" xfId="25854"/>
    <cellStyle name="Nota 2 2 3 3 5 9" xfId="29886"/>
    <cellStyle name="Nota 2 2 3 3 6" xfId="4131"/>
    <cellStyle name="Nota 2 2 3 3 6 10" xfId="33987"/>
    <cellStyle name="Nota 2 2 3 3 6 11" xfId="38019"/>
    <cellStyle name="Nota 2 2 3 3 6 12" xfId="42051"/>
    <cellStyle name="Nota 2 2 3 3 6 13" xfId="46083"/>
    <cellStyle name="Nota 2 2 3 3 6 14" xfId="50161"/>
    <cellStyle name="Nota 2 2 3 3 6 2" xfId="6712"/>
    <cellStyle name="Nota 2 2 3 3 6 2 10" xfId="38970"/>
    <cellStyle name="Nota 2 2 3 3 6 2 11" xfId="43002"/>
    <cellStyle name="Nota 2 2 3 3 6 2 12" xfId="47034"/>
    <cellStyle name="Nota 2 2 3 3 6 2 13" xfId="51113"/>
    <cellStyle name="Nota 2 2 3 3 6 2 2" xfId="8728"/>
    <cellStyle name="Nota 2 2 3 3 6 2 2 10" xfId="45018"/>
    <cellStyle name="Nota 2 2 3 3 6 2 2 11" xfId="49050"/>
    <cellStyle name="Nota 2 2 3 3 6 2 2 12" xfId="53129"/>
    <cellStyle name="Nota 2 2 3 3 6 2 2 2" xfId="12762"/>
    <cellStyle name="Nota 2 2 3 3 6 2 2 3" xfId="16794"/>
    <cellStyle name="Nota 2 2 3 3 6 2 2 4" xfId="20826"/>
    <cellStyle name="Nota 2 2 3 3 6 2 2 5" xfId="24858"/>
    <cellStyle name="Nota 2 2 3 3 6 2 2 6" xfId="28890"/>
    <cellStyle name="Nota 2 2 3 3 6 2 2 7" xfId="32922"/>
    <cellStyle name="Nota 2 2 3 3 6 2 2 8" xfId="36954"/>
    <cellStyle name="Nota 2 2 3 3 6 2 2 9" xfId="40986"/>
    <cellStyle name="Nota 2 2 3 3 6 2 3" xfId="10746"/>
    <cellStyle name="Nota 2 2 3 3 6 2 4" xfId="14778"/>
    <cellStyle name="Nota 2 2 3 3 6 2 5" xfId="18810"/>
    <cellStyle name="Nota 2 2 3 3 6 2 6" xfId="22842"/>
    <cellStyle name="Nota 2 2 3 3 6 2 7" xfId="26874"/>
    <cellStyle name="Nota 2 2 3 3 6 2 8" xfId="30906"/>
    <cellStyle name="Nota 2 2 3 3 6 2 9" xfId="34938"/>
    <cellStyle name="Nota 2 2 3 3 6 3" xfId="7777"/>
    <cellStyle name="Nota 2 2 3 3 6 3 10" xfId="44067"/>
    <cellStyle name="Nota 2 2 3 3 6 3 11" xfId="48099"/>
    <cellStyle name="Nota 2 2 3 3 6 3 12" xfId="52178"/>
    <cellStyle name="Nota 2 2 3 3 6 3 2" xfId="11811"/>
    <cellStyle name="Nota 2 2 3 3 6 3 3" xfId="15843"/>
    <cellStyle name="Nota 2 2 3 3 6 3 4" xfId="19875"/>
    <cellStyle name="Nota 2 2 3 3 6 3 5" xfId="23907"/>
    <cellStyle name="Nota 2 2 3 3 6 3 6" xfId="27939"/>
    <cellStyle name="Nota 2 2 3 3 6 3 7" xfId="31971"/>
    <cellStyle name="Nota 2 2 3 3 6 3 8" xfId="36003"/>
    <cellStyle name="Nota 2 2 3 3 6 3 9" xfId="40035"/>
    <cellStyle name="Nota 2 2 3 3 6 4" xfId="9795"/>
    <cellStyle name="Nota 2 2 3 3 6 5" xfId="13827"/>
    <cellStyle name="Nota 2 2 3 3 6 6" xfId="17859"/>
    <cellStyle name="Nota 2 2 3 3 6 7" xfId="21891"/>
    <cellStyle name="Nota 2 2 3 3 6 8" xfId="25923"/>
    <cellStyle name="Nota 2 2 3 3 6 9" xfId="29955"/>
    <cellStyle name="Nota 2 2 3 3 7" xfId="4200"/>
    <cellStyle name="Nota 2 2 3 3 7 10" xfId="34056"/>
    <cellStyle name="Nota 2 2 3 3 7 11" xfId="38088"/>
    <cellStyle name="Nota 2 2 3 3 7 12" xfId="42120"/>
    <cellStyle name="Nota 2 2 3 3 7 13" xfId="46152"/>
    <cellStyle name="Nota 2 2 3 3 7 14" xfId="50230"/>
    <cellStyle name="Nota 2 2 3 3 7 2" xfId="6781"/>
    <cellStyle name="Nota 2 2 3 3 7 2 10" xfId="39039"/>
    <cellStyle name="Nota 2 2 3 3 7 2 11" xfId="43071"/>
    <cellStyle name="Nota 2 2 3 3 7 2 12" xfId="47103"/>
    <cellStyle name="Nota 2 2 3 3 7 2 13" xfId="51182"/>
    <cellStyle name="Nota 2 2 3 3 7 2 2" xfId="8797"/>
    <cellStyle name="Nota 2 2 3 3 7 2 2 10" xfId="45087"/>
    <cellStyle name="Nota 2 2 3 3 7 2 2 11" xfId="49119"/>
    <cellStyle name="Nota 2 2 3 3 7 2 2 12" xfId="53198"/>
    <cellStyle name="Nota 2 2 3 3 7 2 2 2" xfId="12831"/>
    <cellStyle name="Nota 2 2 3 3 7 2 2 3" xfId="16863"/>
    <cellStyle name="Nota 2 2 3 3 7 2 2 4" xfId="20895"/>
    <cellStyle name="Nota 2 2 3 3 7 2 2 5" xfId="24927"/>
    <cellStyle name="Nota 2 2 3 3 7 2 2 6" xfId="28959"/>
    <cellStyle name="Nota 2 2 3 3 7 2 2 7" xfId="32991"/>
    <cellStyle name="Nota 2 2 3 3 7 2 2 8" xfId="37023"/>
    <cellStyle name="Nota 2 2 3 3 7 2 2 9" xfId="41055"/>
    <cellStyle name="Nota 2 2 3 3 7 2 3" xfId="10815"/>
    <cellStyle name="Nota 2 2 3 3 7 2 4" xfId="14847"/>
    <cellStyle name="Nota 2 2 3 3 7 2 5" xfId="18879"/>
    <cellStyle name="Nota 2 2 3 3 7 2 6" xfId="22911"/>
    <cellStyle name="Nota 2 2 3 3 7 2 7" xfId="26943"/>
    <cellStyle name="Nota 2 2 3 3 7 2 8" xfId="30975"/>
    <cellStyle name="Nota 2 2 3 3 7 2 9" xfId="35007"/>
    <cellStyle name="Nota 2 2 3 3 7 3" xfId="7846"/>
    <cellStyle name="Nota 2 2 3 3 7 3 10" xfId="44136"/>
    <cellStyle name="Nota 2 2 3 3 7 3 11" xfId="48168"/>
    <cellStyle name="Nota 2 2 3 3 7 3 12" xfId="52247"/>
    <cellStyle name="Nota 2 2 3 3 7 3 2" xfId="11880"/>
    <cellStyle name="Nota 2 2 3 3 7 3 3" xfId="15912"/>
    <cellStyle name="Nota 2 2 3 3 7 3 4" xfId="19944"/>
    <cellStyle name="Nota 2 2 3 3 7 3 5" xfId="23976"/>
    <cellStyle name="Nota 2 2 3 3 7 3 6" xfId="28008"/>
    <cellStyle name="Nota 2 2 3 3 7 3 7" xfId="32040"/>
    <cellStyle name="Nota 2 2 3 3 7 3 8" xfId="36072"/>
    <cellStyle name="Nota 2 2 3 3 7 3 9" xfId="40104"/>
    <cellStyle name="Nota 2 2 3 3 7 4" xfId="9864"/>
    <cellStyle name="Nota 2 2 3 3 7 5" xfId="13896"/>
    <cellStyle name="Nota 2 2 3 3 7 6" xfId="17928"/>
    <cellStyle name="Nota 2 2 3 3 7 7" xfId="21960"/>
    <cellStyle name="Nota 2 2 3 3 7 8" xfId="25992"/>
    <cellStyle name="Nota 2 2 3 3 7 9" xfId="30024"/>
    <cellStyle name="Nota 2 2 3 3 8" xfId="4273"/>
    <cellStyle name="Nota 2 2 3 3 8 10" xfId="34125"/>
    <cellStyle name="Nota 2 2 3 3 8 11" xfId="38157"/>
    <cellStyle name="Nota 2 2 3 3 8 12" xfId="42189"/>
    <cellStyle name="Nota 2 2 3 3 8 13" xfId="46221"/>
    <cellStyle name="Nota 2 2 3 3 8 14" xfId="50299"/>
    <cellStyle name="Nota 2 2 3 3 8 2" xfId="6850"/>
    <cellStyle name="Nota 2 2 3 3 8 2 10" xfId="39108"/>
    <cellStyle name="Nota 2 2 3 3 8 2 11" xfId="43140"/>
    <cellStyle name="Nota 2 2 3 3 8 2 12" xfId="47172"/>
    <cellStyle name="Nota 2 2 3 3 8 2 13" xfId="51251"/>
    <cellStyle name="Nota 2 2 3 3 8 2 2" xfId="8866"/>
    <cellStyle name="Nota 2 2 3 3 8 2 2 10" xfId="45156"/>
    <cellStyle name="Nota 2 2 3 3 8 2 2 11" xfId="49188"/>
    <cellStyle name="Nota 2 2 3 3 8 2 2 12" xfId="53267"/>
    <cellStyle name="Nota 2 2 3 3 8 2 2 2" xfId="12900"/>
    <cellStyle name="Nota 2 2 3 3 8 2 2 3" xfId="16932"/>
    <cellStyle name="Nota 2 2 3 3 8 2 2 4" xfId="20964"/>
    <cellStyle name="Nota 2 2 3 3 8 2 2 5" xfId="24996"/>
    <cellStyle name="Nota 2 2 3 3 8 2 2 6" xfId="29028"/>
    <cellStyle name="Nota 2 2 3 3 8 2 2 7" xfId="33060"/>
    <cellStyle name="Nota 2 2 3 3 8 2 2 8" xfId="37092"/>
    <cellStyle name="Nota 2 2 3 3 8 2 2 9" xfId="41124"/>
    <cellStyle name="Nota 2 2 3 3 8 2 3" xfId="10884"/>
    <cellStyle name="Nota 2 2 3 3 8 2 4" xfId="14916"/>
    <cellStyle name="Nota 2 2 3 3 8 2 5" xfId="18948"/>
    <cellStyle name="Nota 2 2 3 3 8 2 6" xfId="22980"/>
    <cellStyle name="Nota 2 2 3 3 8 2 7" xfId="27012"/>
    <cellStyle name="Nota 2 2 3 3 8 2 8" xfId="31044"/>
    <cellStyle name="Nota 2 2 3 3 8 2 9" xfId="35076"/>
    <cellStyle name="Nota 2 2 3 3 8 3" xfId="7915"/>
    <cellStyle name="Nota 2 2 3 3 8 3 10" xfId="44205"/>
    <cellStyle name="Nota 2 2 3 3 8 3 11" xfId="48237"/>
    <cellStyle name="Nota 2 2 3 3 8 3 12" xfId="52316"/>
    <cellStyle name="Nota 2 2 3 3 8 3 2" xfId="11949"/>
    <cellStyle name="Nota 2 2 3 3 8 3 3" xfId="15981"/>
    <cellStyle name="Nota 2 2 3 3 8 3 4" xfId="20013"/>
    <cellStyle name="Nota 2 2 3 3 8 3 5" xfId="24045"/>
    <cellStyle name="Nota 2 2 3 3 8 3 6" xfId="28077"/>
    <cellStyle name="Nota 2 2 3 3 8 3 7" xfId="32109"/>
    <cellStyle name="Nota 2 2 3 3 8 3 8" xfId="36141"/>
    <cellStyle name="Nota 2 2 3 3 8 3 9" xfId="40173"/>
    <cellStyle name="Nota 2 2 3 3 8 4" xfId="9933"/>
    <cellStyle name="Nota 2 2 3 3 8 5" xfId="13965"/>
    <cellStyle name="Nota 2 2 3 3 8 6" xfId="17997"/>
    <cellStyle name="Nota 2 2 3 3 8 7" xfId="22029"/>
    <cellStyle name="Nota 2 2 3 3 8 8" xfId="26061"/>
    <cellStyle name="Nota 2 2 3 3 8 9" xfId="30093"/>
    <cellStyle name="Nota 2 2 3 3 9" xfId="4419"/>
    <cellStyle name="Nota 2 2 3 3 9 10" xfId="34263"/>
    <cellStyle name="Nota 2 2 3 3 9 11" xfId="38295"/>
    <cellStyle name="Nota 2 2 3 3 9 12" xfId="42327"/>
    <cellStyle name="Nota 2 2 3 3 9 13" xfId="46359"/>
    <cellStyle name="Nota 2 2 3 3 9 14" xfId="50438"/>
    <cellStyle name="Nota 2 2 3 3 9 2" xfId="6988"/>
    <cellStyle name="Nota 2 2 3 3 9 2 10" xfId="39246"/>
    <cellStyle name="Nota 2 2 3 3 9 2 11" xfId="43278"/>
    <cellStyle name="Nota 2 2 3 3 9 2 12" xfId="47310"/>
    <cellStyle name="Nota 2 2 3 3 9 2 13" xfId="51389"/>
    <cellStyle name="Nota 2 2 3 3 9 2 2" xfId="9004"/>
    <cellStyle name="Nota 2 2 3 3 9 2 2 10" xfId="45294"/>
    <cellStyle name="Nota 2 2 3 3 9 2 2 11" xfId="49326"/>
    <cellStyle name="Nota 2 2 3 3 9 2 2 12" xfId="53405"/>
    <cellStyle name="Nota 2 2 3 3 9 2 2 2" xfId="13038"/>
    <cellStyle name="Nota 2 2 3 3 9 2 2 3" xfId="17070"/>
    <cellStyle name="Nota 2 2 3 3 9 2 2 4" xfId="21102"/>
    <cellStyle name="Nota 2 2 3 3 9 2 2 5" xfId="25134"/>
    <cellStyle name="Nota 2 2 3 3 9 2 2 6" xfId="29166"/>
    <cellStyle name="Nota 2 2 3 3 9 2 2 7" xfId="33198"/>
    <cellStyle name="Nota 2 2 3 3 9 2 2 8" xfId="37230"/>
    <cellStyle name="Nota 2 2 3 3 9 2 2 9" xfId="41262"/>
    <cellStyle name="Nota 2 2 3 3 9 2 3" xfId="11022"/>
    <cellStyle name="Nota 2 2 3 3 9 2 4" xfId="15054"/>
    <cellStyle name="Nota 2 2 3 3 9 2 5" xfId="19086"/>
    <cellStyle name="Nota 2 2 3 3 9 2 6" xfId="23118"/>
    <cellStyle name="Nota 2 2 3 3 9 2 7" xfId="27150"/>
    <cellStyle name="Nota 2 2 3 3 9 2 8" xfId="31182"/>
    <cellStyle name="Nota 2 2 3 3 9 2 9" xfId="35214"/>
    <cellStyle name="Nota 2 2 3 3 9 3" xfId="8053"/>
    <cellStyle name="Nota 2 2 3 3 9 3 10" xfId="44343"/>
    <cellStyle name="Nota 2 2 3 3 9 3 11" xfId="48375"/>
    <cellStyle name="Nota 2 2 3 3 9 3 12" xfId="52454"/>
    <cellStyle name="Nota 2 2 3 3 9 3 2" xfId="12087"/>
    <cellStyle name="Nota 2 2 3 3 9 3 3" xfId="16119"/>
    <cellStyle name="Nota 2 2 3 3 9 3 4" xfId="20151"/>
    <cellStyle name="Nota 2 2 3 3 9 3 5" xfId="24183"/>
    <cellStyle name="Nota 2 2 3 3 9 3 6" xfId="28215"/>
    <cellStyle name="Nota 2 2 3 3 9 3 7" xfId="32247"/>
    <cellStyle name="Nota 2 2 3 3 9 3 8" xfId="36279"/>
    <cellStyle name="Nota 2 2 3 3 9 3 9" xfId="40311"/>
    <cellStyle name="Nota 2 2 3 3 9 4" xfId="10071"/>
    <cellStyle name="Nota 2 2 3 3 9 5" xfId="14103"/>
    <cellStyle name="Nota 2 2 3 3 9 6" xfId="18135"/>
    <cellStyle name="Nota 2 2 3 3 9 7" xfId="22167"/>
    <cellStyle name="Nota 2 2 3 3 9 8" xfId="26199"/>
    <cellStyle name="Nota 2 2 3 3 9 9" xfId="30231"/>
    <cellStyle name="Nota 2 2 3 4" xfId="58"/>
    <cellStyle name="Nota 2 2 3 4 10" xfId="336"/>
    <cellStyle name="Nota 2 2 3 4 10 10" xfId="37541"/>
    <cellStyle name="Nota 2 2 3 4 10 11" xfId="41573"/>
    <cellStyle name="Nota 2 2 3 4 10 12" xfId="45605"/>
    <cellStyle name="Nota 2 2 3 4 10 13" xfId="49683"/>
    <cellStyle name="Nota 2 2 3 4 10 2" xfId="7299"/>
    <cellStyle name="Nota 2 2 3 4 10 2 10" xfId="43589"/>
    <cellStyle name="Nota 2 2 3 4 10 2 11" xfId="47621"/>
    <cellStyle name="Nota 2 2 3 4 10 2 12" xfId="51700"/>
    <cellStyle name="Nota 2 2 3 4 10 2 2" xfId="11333"/>
    <cellStyle name="Nota 2 2 3 4 10 2 3" xfId="15365"/>
    <cellStyle name="Nota 2 2 3 4 10 2 4" xfId="19397"/>
    <cellStyle name="Nota 2 2 3 4 10 2 5" xfId="23429"/>
    <cellStyle name="Nota 2 2 3 4 10 2 6" xfId="27461"/>
    <cellStyle name="Nota 2 2 3 4 10 2 7" xfId="31493"/>
    <cellStyle name="Nota 2 2 3 4 10 2 8" xfId="35525"/>
    <cellStyle name="Nota 2 2 3 4 10 2 9" xfId="39557"/>
    <cellStyle name="Nota 2 2 3 4 10 3" xfId="9317"/>
    <cellStyle name="Nota 2 2 3 4 10 4" xfId="13349"/>
    <cellStyle name="Nota 2 2 3 4 10 5" xfId="17381"/>
    <cellStyle name="Nota 2 2 3 4 10 6" xfId="21413"/>
    <cellStyle name="Nota 2 2 3 4 10 7" xfId="25445"/>
    <cellStyle name="Nota 2 2 3 4 10 8" xfId="29477"/>
    <cellStyle name="Nota 2 2 3 4 10 9" xfId="33509"/>
    <cellStyle name="Nota 2 2 3 4 11" xfId="7107"/>
    <cellStyle name="Nota 2 2 3 4 11 10" xfId="43397"/>
    <cellStyle name="Nota 2 2 3 4 11 11" xfId="47429"/>
    <cellStyle name="Nota 2 2 3 4 11 12" xfId="51508"/>
    <cellStyle name="Nota 2 2 3 4 11 2" xfId="11141"/>
    <cellStyle name="Nota 2 2 3 4 11 3" xfId="15173"/>
    <cellStyle name="Nota 2 2 3 4 11 4" xfId="19205"/>
    <cellStyle name="Nota 2 2 3 4 11 5" xfId="23237"/>
    <cellStyle name="Nota 2 2 3 4 11 6" xfId="27269"/>
    <cellStyle name="Nota 2 2 3 4 11 7" xfId="31301"/>
    <cellStyle name="Nota 2 2 3 4 11 8" xfId="35333"/>
    <cellStyle name="Nota 2 2 3 4 11 9" xfId="39365"/>
    <cellStyle name="Nota 2 2 3 4 12" xfId="133"/>
    <cellStyle name="Nota 2 2 3 4 13" xfId="9125"/>
    <cellStyle name="Nota 2 2 3 4 14" xfId="13157"/>
    <cellStyle name="Nota 2 2 3 4 15" xfId="17189"/>
    <cellStyle name="Nota 2 2 3 4 16" xfId="21221"/>
    <cellStyle name="Nota 2 2 3 4 17" xfId="25253"/>
    <cellStyle name="Nota 2 2 3 4 18" xfId="29285"/>
    <cellStyle name="Nota 2 2 3 4 19" xfId="33317"/>
    <cellStyle name="Nota 2 2 3 4 2" xfId="212"/>
    <cellStyle name="Nota 2 2 3 4 2 10" xfId="21290"/>
    <cellStyle name="Nota 2 2 3 4 2 11" xfId="25322"/>
    <cellStyle name="Nota 2 2 3 4 2 12" xfId="29354"/>
    <cellStyle name="Nota 2 2 3 4 2 13" xfId="33386"/>
    <cellStyle name="Nota 2 2 3 4 2 14" xfId="37418"/>
    <cellStyle name="Nota 2 2 3 4 2 15" xfId="41450"/>
    <cellStyle name="Nota 2 2 3 4 2 16" xfId="45482"/>
    <cellStyle name="Nota 2 2 3 4 2 17" xfId="49560"/>
    <cellStyle name="Nota 2 2 3 4 2 2" xfId="4330"/>
    <cellStyle name="Nota 2 2 3 4 2 2 10" xfId="34175"/>
    <cellStyle name="Nota 2 2 3 4 2 2 11" xfId="38207"/>
    <cellStyle name="Nota 2 2 3 4 2 2 12" xfId="42239"/>
    <cellStyle name="Nota 2 2 3 4 2 2 13" xfId="46271"/>
    <cellStyle name="Nota 2 2 3 4 2 2 14" xfId="50350"/>
    <cellStyle name="Nota 2 2 3 4 2 2 2" xfId="6900"/>
    <cellStyle name="Nota 2 2 3 4 2 2 2 10" xfId="39158"/>
    <cellStyle name="Nota 2 2 3 4 2 2 2 11" xfId="43190"/>
    <cellStyle name="Nota 2 2 3 4 2 2 2 12" xfId="47222"/>
    <cellStyle name="Nota 2 2 3 4 2 2 2 13" xfId="51301"/>
    <cellStyle name="Nota 2 2 3 4 2 2 2 2" xfId="8916"/>
    <cellStyle name="Nota 2 2 3 4 2 2 2 2 10" xfId="45206"/>
    <cellStyle name="Nota 2 2 3 4 2 2 2 2 11" xfId="49238"/>
    <cellStyle name="Nota 2 2 3 4 2 2 2 2 12" xfId="53317"/>
    <cellStyle name="Nota 2 2 3 4 2 2 2 2 2" xfId="12950"/>
    <cellStyle name="Nota 2 2 3 4 2 2 2 2 3" xfId="16982"/>
    <cellStyle name="Nota 2 2 3 4 2 2 2 2 4" xfId="21014"/>
    <cellStyle name="Nota 2 2 3 4 2 2 2 2 5" xfId="25046"/>
    <cellStyle name="Nota 2 2 3 4 2 2 2 2 6" xfId="29078"/>
    <cellStyle name="Nota 2 2 3 4 2 2 2 2 7" xfId="33110"/>
    <cellStyle name="Nota 2 2 3 4 2 2 2 2 8" xfId="37142"/>
    <cellStyle name="Nota 2 2 3 4 2 2 2 2 9" xfId="41174"/>
    <cellStyle name="Nota 2 2 3 4 2 2 2 3" xfId="10934"/>
    <cellStyle name="Nota 2 2 3 4 2 2 2 4" xfId="14966"/>
    <cellStyle name="Nota 2 2 3 4 2 2 2 5" xfId="18998"/>
    <cellStyle name="Nota 2 2 3 4 2 2 2 6" xfId="23030"/>
    <cellStyle name="Nota 2 2 3 4 2 2 2 7" xfId="27062"/>
    <cellStyle name="Nota 2 2 3 4 2 2 2 8" xfId="31094"/>
    <cellStyle name="Nota 2 2 3 4 2 2 2 9" xfId="35126"/>
    <cellStyle name="Nota 2 2 3 4 2 2 3" xfId="7965"/>
    <cellStyle name="Nota 2 2 3 4 2 2 3 10" xfId="44255"/>
    <cellStyle name="Nota 2 2 3 4 2 2 3 11" xfId="48287"/>
    <cellStyle name="Nota 2 2 3 4 2 2 3 12" xfId="52366"/>
    <cellStyle name="Nota 2 2 3 4 2 2 3 2" xfId="11999"/>
    <cellStyle name="Nota 2 2 3 4 2 2 3 3" xfId="16031"/>
    <cellStyle name="Nota 2 2 3 4 2 2 3 4" xfId="20063"/>
    <cellStyle name="Nota 2 2 3 4 2 2 3 5" xfId="24095"/>
    <cellStyle name="Nota 2 2 3 4 2 2 3 6" xfId="28127"/>
    <cellStyle name="Nota 2 2 3 4 2 2 3 7" xfId="32159"/>
    <cellStyle name="Nota 2 2 3 4 2 2 3 8" xfId="36191"/>
    <cellStyle name="Nota 2 2 3 4 2 2 3 9" xfId="40223"/>
    <cellStyle name="Nota 2 2 3 4 2 2 4" xfId="9983"/>
    <cellStyle name="Nota 2 2 3 4 2 2 5" xfId="14015"/>
    <cellStyle name="Nota 2 2 3 4 2 2 6" xfId="18047"/>
    <cellStyle name="Nota 2 2 3 4 2 2 7" xfId="22079"/>
    <cellStyle name="Nota 2 2 3 4 2 2 8" xfId="26111"/>
    <cellStyle name="Nota 2 2 3 4 2 2 9" xfId="30143"/>
    <cellStyle name="Nota 2 2 3 4 2 3" xfId="4469"/>
    <cellStyle name="Nota 2 2 3 4 2 3 10" xfId="34313"/>
    <cellStyle name="Nota 2 2 3 4 2 3 11" xfId="38345"/>
    <cellStyle name="Nota 2 2 3 4 2 3 12" xfId="42377"/>
    <cellStyle name="Nota 2 2 3 4 2 3 13" xfId="46409"/>
    <cellStyle name="Nota 2 2 3 4 2 3 14" xfId="50488"/>
    <cellStyle name="Nota 2 2 3 4 2 3 2" xfId="7038"/>
    <cellStyle name="Nota 2 2 3 4 2 3 2 10" xfId="39296"/>
    <cellStyle name="Nota 2 2 3 4 2 3 2 11" xfId="43328"/>
    <cellStyle name="Nota 2 2 3 4 2 3 2 12" xfId="47360"/>
    <cellStyle name="Nota 2 2 3 4 2 3 2 13" xfId="51439"/>
    <cellStyle name="Nota 2 2 3 4 2 3 2 2" xfId="9054"/>
    <cellStyle name="Nota 2 2 3 4 2 3 2 2 10" xfId="45344"/>
    <cellStyle name="Nota 2 2 3 4 2 3 2 2 11" xfId="49376"/>
    <cellStyle name="Nota 2 2 3 4 2 3 2 2 12" xfId="53455"/>
    <cellStyle name="Nota 2 2 3 4 2 3 2 2 2" xfId="13088"/>
    <cellStyle name="Nota 2 2 3 4 2 3 2 2 3" xfId="17120"/>
    <cellStyle name="Nota 2 2 3 4 2 3 2 2 4" xfId="21152"/>
    <cellStyle name="Nota 2 2 3 4 2 3 2 2 5" xfId="25184"/>
    <cellStyle name="Nota 2 2 3 4 2 3 2 2 6" xfId="29216"/>
    <cellStyle name="Nota 2 2 3 4 2 3 2 2 7" xfId="33248"/>
    <cellStyle name="Nota 2 2 3 4 2 3 2 2 8" xfId="37280"/>
    <cellStyle name="Nota 2 2 3 4 2 3 2 2 9" xfId="41312"/>
    <cellStyle name="Nota 2 2 3 4 2 3 2 3" xfId="11072"/>
    <cellStyle name="Nota 2 2 3 4 2 3 2 4" xfId="15104"/>
    <cellStyle name="Nota 2 2 3 4 2 3 2 5" xfId="19136"/>
    <cellStyle name="Nota 2 2 3 4 2 3 2 6" xfId="23168"/>
    <cellStyle name="Nota 2 2 3 4 2 3 2 7" xfId="27200"/>
    <cellStyle name="Nota 2 2 3 4 2 3 2 8" xfId="31232"/>
    <cellStyle name="Nota 2 2 3 4 2 3 2 9" xfId="35264"/>
    <cellStyle name="Nota 2 2 3 4 2 3 3" xfId="8103"/>
    <cellStyle name="Nota 2 2 3 4 2 3 3 10" xfId="44393"/>
    <cellStyle name="Nota 2 2 3 4 2 3 3 11" xfId="48425"/>
    <cellStyle name="Nota 2 2 3 4 2 3 3 12" xfId="52504"/>
    <cellStyle name="Nota 2 2 3 4 2 3 3 2" xfId="12137"/>
    <cellStyle name="Nota 2 2 3 4 2 3 3 3" xfId="16169"/>
    <cellStyle name="Nota 2 2 3 4 2 3 3 4" xfId="20201"/>
    <cellStyle name="Nota 2 2 3 4 2 3 3 5" xfId="24233"/>
    <cellStyle name="Nota 2 2 3 4 2 3 3 6" xfId="28265"/>
    <cellStyle name="Nota 2 2 3 4 2 3 3 7" xfId="32297"/>
    <cellStyle name="Nota 2 2 3 4 2 3 3 8" xfId="36329"/>
    <cellStyle name="Nota 2 2 3 4 2 3 3 9" xfId="40361"/>
    <cellStyle name="Nota 2 2 3 4 2 3 4" xfId="10121"/>
    <cellStyle name="Nota 2 2 3 4 2 3 5" xfId="14153"/>
    <cellStyle name="Nota 2 2 3 4 2 3 6" xfId="18185"/>
    <cellStyle name="Nota 2 2 3 4 2 3 7" xfId="22217"/>
    <cellStyle name="Nota 2 2 3 4 2 3 8" xfId="26249"/>
    <cellStyle name="Nota 2 2 3 4 2 3 9" xfId="30281"/>
    <cellStyle name="Nota 2 2 3 4 2 4" xfId="4609"/>
    <cellStyle name="Nota 2 2 3 4 2 4 10" xfId="38483"/>
    <cellStyle name="Nota 2 2 3 4 2 4 11" xfId="42515"/>
    <cellStyle name="Nota 2 2 3 4 2 4 12" xfId="46547"/>
    <cellStyle name="Nota 2 2 3 4 2 4 13" xfId="50626"/>
    <cellStyle name="Nota 2 2 3 4 2 4 2" xfId="8241"/>
    <cellStyle name="Nota 2 2 3 4 2 4 2 10" xfId="44531"/>
    <cellStyle name="Nota 2 2 3 4 2 4 2 11" xfId="48563"/>
    <cellStyle name="Nota 2 2 3 4 2 4 2 12" xfId="52642"/>
    <cellStyle name="Nota 2 2 3 4 2 4 2 2" xfId="12275"/>
    <cellStyle name="Nota 2 2 3 4 2 4 2 3" xfId="16307"/>
    <cellStyle name="Nota 2 2 3 4 2 4 2 4" xfId="20339"/>
    <cellStyle name="Nota 2 2 3 4 2 4 2 5" xfId="24371"/>
    <cellStyle name="Nota 2 2 3 4 2 4 2 6" xfId="28403"/>
    <cellStyle name="Nota 2 2 3 4 2 4 2 7" xfId="32435"/>
    <cellStyle name="Nota 2 2 3 4 2 4 2 8" xfId="36467"/>
    <cellStyle name="Nota 2 2 3 4 2 4 2 9" xfId="40499"/>
    <cellStyle name="Nota 2 2 3 4 2 4 3" xfId="10259"/>
    <cellStyle name="Nota 2 2 3 4 2 4 4" xfId="14291"/>
    <cellStyle name="Nota 2 2 3 4 2 4 5" xfId="18323"/>
    <cellStyle name="Nota 2 2 3 4 2 4 6" xfId="22355"/>
    <cellStyle name="Nota 2 2 3 4 2 4 7" xfId="26387"/>
    <cellStyle name="Nota 2 2 3 4 2 4 8" xfId="30419"/>
    <cellStyle name="Nota 2 2 3 4 2 4 9" xfId="34451"/>
    <cellStyle name="Nota 2 2 3 4 2 5" xfId="1646"/>
    <cellStyle name="Nota 2 2 3 4 2 5 10" xfId="37639"/>
    <cellStyle name="Nota 2 2 3 4 2 5 11" xfId="41671"/>
    <cellStyle name="Nota 2 2 3 4 2 5 12" xfId="45703"/>
    <cellStyle name="Nota 2 2 3 4 2 5 13" xfId="49781"/>
    <cellStyle name="Nota 2 2 3 4 2 5 2" xfId="7397"/>
    <cellStyle name="Nota 2 2 3 4 2 5 2 10" xfId="43687"/>
    <cellStyle name="Nota 2 2 3 4 2 5 2 11" xfId="47719"/>
    <cellStyle name="Nota 2 2 3 4 2 5 2 12" xfId="51798"/>
    <cellStyle name="Nota 2 2 3 4 2 5 2 2" xfId="11431"/>
    <cellStyle name="Nota 2 2 3 4 2 5 2 3" xfId="15463"/>
    <cellStyle name="Nota 2 2 3 4 2 5 2 4" xfId="19495"/>
    <cellStyle name="Nota 2 2 3 4 2 5 2 5" xfId="23527"/>
    <cellStyle name="Nota 2 2 3 4 2 5 2 6" xfId="27559"/>
    <cellStyle name="Nota 2 2 3 4 2 5 2 7" xfId="31591"/>
    <cellStyle name="Nota 2 2 3 4 2 5 2 8" xfId="35623"/>
    <cellStyle name="Nota 2 2 3 4 2 5 2 9" xfId="39655"/>
    <cellStyle name="Nota 2 2 3 4 2 5 3" xfId="9415"/>
    <cellStyle name="Nota 2 2 3 4 2 5 4" xfId="13447"/>
    <cellStyle name="Nota 2 2 3 4 2 5 5" xfId="17479"/>
    <cellStyle name="Nota 2 2 3 4 2 5 6" xfId="21511"/>
    <cellStyle name="Nota 2 2 3 4 2 5 7" xfId="25543"/>
    <cellStyle name="Nota 2 2 3 4 2 5 8" xfId="29575"/>
    <cellStyle name="Nota 2 2 3 4 2 5 9" xfId="33607"/>
    <cellStyle name="Nota 2 2 3 4 2 6" xfId="7176"/>
    <cellStyle name="Nota 2 2 3 4 2 6 10" xfId="43466"/>
    <cellStyle name="Nota 2 2 3 4 2 6 11" xfId="47498"/>
    <cellStyle name="Nota 2 2 3 4 2 6 12" xfId="51577"/>
    <cellStyle name="Nota 2 2 3 4 2 6 2" xfId="11210"/>
    <cellStyle name="Nota 2 2 3 4 2 6 3" xfId="15242"/>
    <cellStyle name="Nota 2 2 3 4 2 6 4" xfId="19274"/>
    <cellStyle name="Nota 2 2 3 4 2 6 5" xfId="23306"/>
    <cellStyle name="Nota 2 2 3 4 2 6 6" xfId="27338"/>
    <cellStyle name="Nota 2 2 3 4 2 6 7" xfId="31370"/>
    <cellStyle name="Nota 2 2 3 4 2 6 8" xfId="35402"/>
    <cellStyle name="Nota 2 2 3 4 2 6 9" xfId="39434"/>
    <cellStyle name="Nota 2 2 3 4 2 7" xfId="9194"/>
    <cellStyle name="Nota 2 2 3 4 2 8" xfId="13226"/>
    <cellStyle name="Nota 2 2 3 4 2 9" xfId="17258"/>
    <cellStyle name="Nota 2 2 3 4 20" xfId="37349"/>
    <cellStyle name="Nota 2 2 3 4 21" xfId="41381"/>
    <cellStyle name="Nota 2 2 3 4 22" xfId="45413"/>
    <cellStyle name="Nota 2 2 3 4 23" xfId="49491"/>
    <cellStyle name="Nota 2 2 3 4 3" xfId="1720"/>
    <cellStyle name="Nota 2 2 3 4 3 10" xfId="33676"/>
    <cellStyle name="Nota 2 2 3 4 3 11" xfId="37708"/>
    <cellStyle name="Nota 2 2 3 4 3 12" xfId="41740"/>
    <cellStyle name="Nota 2 2 3 4 3 13" xfId="45772"/>
    <cellStyle name="Nota 2 2 3 4 3 14" xfId="49850"/>
    <cellStyle name="Nota 2 2 3 4 3 2" xfId="5391"/>
    <cellStyle name="Nota 2 2 3 4 3 2 10" xfId="38659"/>
    <cellStyle name="Nota 2 2 3 4 3 2 11" xfId="42691"/>
    <cellStyle name="Nota 2 2 3 4 3 2 12" xfId="46723"/>
    <cellStyle name="Nota 2 2 3 4 3 2 13" xfId="50802"/>
    <cellStyle name="Nota 2 2 3 4 3 2 2" xfId="8417"/>
    <cellStyle name="Nota 2 2 3 4 3 2 2 10" xfId="44707"/>
    <cellStyle name="Nota 2 2 3 4 3 2 2 11" xfId="48739"/>
    <cellStyle name="Nota 2 2 3 4 3 2 2 12" xfId="52818"/>
    <cellStyle name="Nota 2 2 3 4 3 2 2 2" xfId="12451"/>
    <cellStyle name="Nota 2 2 3 4 3 2 2 3" xfId="16483"/>
    <cellStyle name="Nota 2 2 3 4 3 2 2 4" xfId="20515"/>
    <cellStyle name="Nota 2 2 3 4 3 2 2 5" xfId="24547"/>
    <cellStyle name="Nota 2 2 3 4 3 2 2 6" xfId="28579"/>
    <cellStyle name="Nota 2 2 3 4 3 2 2 7" xfId="32611"/>
    <cellStyle name="Nota 2 2 3 4 3 2 2 8" xfId="36643"/>
    <cellStyle name="Nota 2 2 3 4 3 2 2 9" xfId="40675"/>
    <cellStyle name="Nota 2 2 3 4 3 2 3" xfId="10435"/>
    <cellStyle name="Nota 2 2 3 4 3 2 4" xfId="14467"/>
    <cellStyle name="Nota 2 2 3 4 3 2 5" xfId="18499"/>
    <cellStyle name="Nota 2 2 3 4 3 2 6" xfId="22531"/>
    <cellStyle name="Nota 2 2 3 4 3 2 7" xfId="26563"/>
    <cellStyle name="Nota 2 2 3 4 3 2 8" xfId="30595"/>
    <cellStyle name="Nota 2 2 3 4 3 2 9" xfId="34627"/>
    <cellStyle name="Nota 2 2 3 4 3 3" xfId="7466"/>
    <cellStyle name="Nota 2 2 3 4 3 3 10" xfId="43756"/>
    <cellStyle name="Nota 2 2 3 4 3 3 11" xfId="47788"/>
    <cellStyle name="Nota 2 2 3 4 3 3 12" xfId="51867"/>
    <cellStyle name="Nota 2 2 3 4 3 3 2" xfId="11500"/>
    <cellStyle name="Nota 2 2 3 4 3 3 3" xfId="15532"/>
    <cellStyle name="Nota 2 2 3 4 3 3 4" xfId="19564"/>
    <cellStyle name="Nota 2 2 3 4 3 3 5" xfId="23596"/>
    <cellStyle name="Nota 2 2 3 4 3 3 6" xfId="27628"/>
    <cellStyle name="Nota 2 2 3 4 3 3 7" xfId="31660"/>
    <cellStyle name="Nota 2 2 3 4 3 3 8" xfId="35692"/>
    <cellStyle name="Nota 2 2 3 4 3 3 9" xfId="39724"/>
    <cellStyle name="Nota 2 2 3 4 3 4" xfId="9484"/>
    <cellStyle name="Nota 2 2 3 4 3 5" xfId="13516"/>
    <cellStyle name="Nota 2 2 3 4 3 6" xfId="17548"/>
    <cellStyle name="Nota 2 2 3 4 3 7" xfId="21580"/>
    <cellStyle name="Nota 2 2 3 4 3 8" xfId="25612"/>
    <cellStyle name="Nota 2 2 3 4 3 9" xfId="29644"/>
    <cellStyle name="Nota 2 2 3 4 4" xfId="4042"/>
    <cellStyle name="Nota 2 2 3 4 4 10" xfId="33899"/>
    <cellStyle name="Nota 2 2 3 4 4 11" xfId="37931"/>
    <cellStyle name="Nota 2 2 3 4 4 12" xfId="41963"/>
    <cellStyle name="Nota 2 2 3 4 4 13" xfId="45995"/>
    <cellStyle name="Nota 2 2 3 4 4 14" xfId="50073"/>
    <cellStyle name="Nota 2 2 3 4 4 2" xfId="6624"/>
    <cellStyle name="Nota 2 2 3 4 4 2 10" xfId="38882"/>
    <cellStyle name="Nota 2 2 3 4 4 2 11" xfId="42914"/>
    <cellStyle name="Nota 2 2 3 4 4 2 12" xfId="46946"/>
    <cellStyle name="Nota 2 2 3 4 4 2 13" xfId="51025"/>
    <cellStyle name="Nota 2 2 3 4 4 2 2" xfId="8640"/>
    <cellStyle name="Nota 2 2 3 4 4 2 2 10" xfId="44930"/>
    <cellStyle name="Nota 2 2 3 4 4 2 2 11" xfId="48962"/>
    <cellStyle name="Nota 2 2 3 4 4 2 2 12" xfId="53041"/>
    <cellStyle name="Nota 2 2 3 4 4 2 2 2" xfId="12674"/>
    <cellStyle name="Nota 2 2 3 4 4 2 2 3" xfId="16706"/>
    <cellStyle name="Nota 2 2 3 4 4 2 2 4" xfId="20738"/>
    <cellStyle name="Nota 2 2 3 4 4 2 2 5" xfId="24770"/>
    <cellStyle name="Nota 2 2 3 4 4 2 2 6" xfId="28802"/>
    <cellStyle name="Nota 2 2 3 4 4 2 2 7" xfId="32834"/>
    <cellStyle name="Nota 2 2 3 4 4 2 2 8" xfId="36866"/>
    <cellStyle name="Nota 2 2 3 4 4 2 2 9" xfId="40898"/>
    <cellStyle name="Nota 2 2 3 4 4 2 3" xfId="10658"/>
    <cellStyle name="Nota 2 2 3 4 4 2 4" xfId="14690"/>
    <cellStyle name="Nota 2 2 3 4 4 2 5" xfId="18722"/>
    <cellStyle name="Nota 2 2 3 4 4 2 6" xfId="22754"/>
    <cellStyle name="Nota 2 2 3 4 4 2 7" xfId="26786"/>
    <cellStyle name="Nota 2 2 3 4 4 2 8" xfId="30818"/>
    <cellStyle name="Nota 2 2 3 4 4 2 9" xfId="34850"/>
    <cellStyle name="Nota 2 2 3 4 4 3" xfId="7689"/>
    <cellStyle name="Nota 2 2 3 4 4 3 10" xfId="43979"/>
    <cellStyle name="Nota 2 2 3 4 4 3 11" xfId="48011"/>
    <cellStyle name="Nota 2 2 3 4 4 3 12" xfId="52090"/>
    <cellStyle name="Nota 2 2 3 4 4 3 2" xfId="11723"/>
    <cellStyle name="Nota 2 2 3 4 4 3 3" xfId="15755"/>
    <cellStyle name="Nota 2 2 3 4 4 3 4" xfId="19787"/>
    <cellStyle name="Nota 2 2 3 4 4 3 5" xfId="23819"/>
    <cellStyle name="Nota 2 2 3 4 4 3 6" xfId="27851"/>
    <cellStyle name="Nota 2 2 3 4 4 3 7" xfId="31883"/>
    <cellStyle name="Nota 2 2 3 4 4 3 8" xfId="35915"/>
    <cellStyle name="Nota 2 2 3 4 4 3 9" xfId="39947"/>
    <cellStyle name="Nota 2 2 3 4 4 4" xfId="9707"/>
    <cellStyle name="Nota 2 2 3 4 4 5" xfId="13739"/>
    <cellStyle name="Nota 2 2 3 4 4 6" xfId="17771"/>
    <cellStyle name="Nota 2 2 3 4 4 7" xfId="21803"/>
    <cellStyle name="Nota 2 2 3 4 4 8" xfId="25835"/>
    <cellStyle name="Nota 2 2 3 4 4 9" xfId="29867"/>
    <cellStyle name="Nota 2 2 3 4 5" xfId="4112"/>
    <cellStyle name="Nota 2 2 3 4 5 10" xfId="33968"/>
    <cellStyle name="Nota 2 2 3 4 5 11" xfId="38000"/>
    <cellStyle name="Nota 2 2 3 4 5 12" xfId="42032"/>
    <cellStyle name="Nota 2 2 3 4 5 13" xfId="46064"/>
    <cellStyle name="Nota 2 2 3 4 5 14" xfId="50142"/>
    <cellStyle name="Nota 2 2 3 4 5 2" xfId="6693"/>
    <cellStyle name="Nota 2 2 3 4 5 2 10" xfId="38951"/>
    <cellStyle name="Nota 2 2 3 4 5 2 11" xfId="42983"/>
    <cellStyle name="Nota 2 2 3 4 5 2 12" xfId="47015"/>
    <cellStyle name="Nota 2 2 3 4 5 2 13" xfId="51094"/>
    <cellStyle name="Nota 2 2 3 4 5 2 2" xfId="8709"/>
    <cellStyle name="Nota 2 2 3 4 5 2 2 10" xfId="44999"/>
    <cellStyle name="Nota 2 2 3 4 5 2 2 11" xfId="49031"/>
    <cellStyle name="Nota 2 2 3 4 5 2 2 12" xfId="53110"/>
    <cellStyle name="Nota 2 2 3 4 5 2 2 2" xfId="12743"/>
    <cellStyle name="Nota 2 2 3 4 5 2 2 3" xfId="16775"/>
    <cellStyle name="Nota 2 2 3 4 5 2 2 4" xfId="20807"/>
    <cellStyle name="Nota 2 2 3 4 5 2 2 5" xfId="24839"/>
    <cellStyle name="Nota 2 2 3 4 5 2 2 6" xfId="28871"/>
    <cellStyle name="Nota 2 2 3 4 5 2 2 7" xfId="32903"/>
    <cellStyle name="Nota 2 2 3 4 5 2 2 8" xfId="36935"/>
    <cellStyle name="Nota 2 2 3 4 5 2 2 9" xfId="40967"/>
    <cellStyle name="Nota 2 2 3 4 5 2 3" xfId="10727"/>
    <cellStyle name="Nota 2 2 3 4 5 2 4" xfId="14759"/>
    <cellStyle name="Nota 2 2 3 4 5 2 5" xfId="18791"/>
    <cellStyle name="Nota 2 2 3 4 5 2 6" xfId="22823"/>
    <cellStyle name="Nota 2 2 3 4 5 2 7" xfId="26855"/>
    <cellStyle name="Nota 2 2 3 4 5 2 8" xfId="30887"/>
    <cellStyle name="Nota 2 2 3 4 5 2 9" xfId="34919"/>
    <cellStyle name="Nota 2 2 3 4 5 3" xfId="7758"/>
    <cellStyle name="Nota 2 2 3 4 5 3 10" xfId="44048"/>
    <cellStyle name="Nota 2 2 3 4 5 3 11" xfId="48080"/>
    <cellStyle name="Nota 2 2 3 4 5 3 12" xfId="52159"/>
    <cellStyle name="Nota 2 2 3 4 5 3 2" xfId="11792"/>
    <cellStyle name="Nota 2 2 3 4 5 3 3" xfId="15824"/>
    <cellStyle name="Nota 2 2 3 4 5 3 4" xfId="19856"/>
    <cellStyle name="Nota 2 2 3 4 5 3 5" xfId="23888"/>
    <cellStyle name="Nota 2 2 3 4 5 3 6" xfId="27920"/>
    <cellStyle name="Nota 2 2 3 4 5 3 7" xfId="31952"/>
    <cellStyle name="Nota 2 2 3 4 5 3 8" xfId="35984"/>
    <cellStyle name="Nota 2 2 3 4 5 3 9" xfId="40016"/>
    <cellStyle name="Nota 2 2 3 4 5 4" xfId="9776"/>
    <cellStyle name="Nota 2 2 3 4 5 5" xfId="13808"/>
    <cellStyle name="Nota 2 2 3 4 5 6" xfId="17840"/>
    <cellStyle name="Nota 2 2 3 4 5 7" xfId="21872"/>
    <cellStyle name="Nota 2 2 3 4 5 8" xfId="25904"/>
    <cellStyle name="Nota 2 2 3 4 5 9" xfId="29936"/>
    <cellStyle name="Nota 2 2 3 4 6" xfId="4181"/>
    <cellStyle name="Nota 2 2 3 4 6 10" xfId="34037"/>
    <cellStyle name="Nota 2 2 3 4 6 11" xfId="38069"/>
    <cellStyle name="Nota 2 2 3 4 6 12" xfId="42101"/>
    <cellStyle name="Nota 2 2 3 4 6 13" xfId="46133"/>
    <cellStyle name="Nota 2 2 3 4 6 14" xfId="50211"/>
    <cellStyle name="Nota 2 2 3 4 6 2" xfId="6762"/>
    <cellStyle name="Nota 2 2 3 4 6 2 10" xfId="39020"/>
    <cellStyle name="Nota 2 2 3 4 6 2 11" xfId="43052"/>
    <cellStyle name="Nota 2 2 3 4 6 2 12" xfId="47084"/>
    <cellStyle name="Nota 2 2 3 4 6 2 13" xfId="51163"/>
    <cellStyle name="Nota 2 2 3 4 6 2 2" xfId="8778"/>
    <cellStyle name="Nota 2 2 3 4 6 2 2 10" xfId="45068"/>
    <cellStyle name="Nota 2 2 3 4 6 2 2 11" xfId="49100"/>
    <cellStyle name="Nota 2 2 3 4 6 2 2 12" xfId="53179"/>
    <cellStyle name="Nota 2 2 3 4 6 2 2 2" xfId="12812"/>
    <cellStyle name="Nota 2 2 3 4 6 2 2 3" xfId="16844"/>
    <cellStyle name="Nota 2 2 3 4 6 2 2 4" xfId="20876"/>
    <cellStyle name="Nota 2 2 3 4 6 2 2 5" xfId="24908"/>
    <cellStyle name="Nota 2 2 3 4 6 2 2 6" xfId="28940"/>
    <cellStyle name="Nota 2 2 3 4 6 2 2 7" xfId="32972"/>
    <cellStyle name="Nota 2 2 3 4 6 2 2 8" xfId="37004"/>
    <cellStyle name="Nota 2 2 3 4 6 2 2 9" xfId="41036"/>
    <cellStyle name="Nota 2 2 3 4 6 2 3" xfId="10796"/>
    <cellStyle name="Nota 2 2 3 4 6 2 4" xfId="14828"/>
    <cellStyle name="Nota 2 2 3 4 6 2 5" xfId="18860"/>
    <cellStyle name="Nota 2 2 3 4 6 2 6" xfId="22892"/>
    <cellStyle name="Nota 2 2 3 4 6 2 7" xfId="26924"/>
    <cellStyle name="Nota 2 2 3 4 6 2 8" xfId="30956"/>
    <cellStyle name="Nota 2 2 3 4 6 2 9" xfId="34988"/>
    <cellStyle name="Nota 2 2 3 4 6 3" xfId="7827"/>
    <cellStyle name="Nota 2 2 3 4 6 3 10" xfId="44117"/>
    <cellStyle name="Nota 2 2 3 4 6 3 11" xfId="48149"/>
    <cellStyle name="Nota 2 2 3 4 6 3 12" xfId="52228"/>
    <cellStyle name="Nota 2 2 3 4 6 3 2" xfId="11861"/>
    <cellStyle name="Nota 2 2 3 4 6 3 3" xfId="15893"/>
    <cellStyle name="Nota 2 2 3 4 6 3 4" xfId="19925"/>
    <cellStyle name="Nota 2 2 3 4 6 3 5" xfId="23957"/>
    <cellStyle name="Nota 2 2 3 4 6 3 6" xfId="27989"/>
    <cellStyle name="Nota 2 2 3 4 6 3 7" xfId="32021"/>
    <cellStyle name="Nota 2 2 3 4 6 3 8" xfId="36053"/>
    <cellStyle name="Nota 2 2 3 4 6 3 9" xfId="40085"/>
    <cellStyle name="Nota 2 2 3 4 6 4" xfId="9845"/>
    <cellStyle name="Nota 2 2 3 4 6 5" xfId="13877"/>
    <cellStyle name="Nota 2 2 3 4 6 6" xfId="17909"/>
    <cellStyle name="Nota 2 2 3 4 6 7" xfId="21941"/>
    <cellStyle name="Nota 2 2 3 4 6 8" xfId="25973"/>
    <cellStyle name="Nota 2 2 3 4 6 9" xfId="30005"/>
    <cellStyle name="Nota 2 2 3 4 7" xfId="4254"/>
    <cellStyle name="Nota 2 2 3 4 7 10" xfId="34106"/>
    <cellStyle name="Nota 2 2 3 4 7 11" xfId="38138"/>
    <cellStyle name="Nota 2 2 3 4 7 12" xfId="42170"/>
    <cellStyle name="Nota 2 2 3 4 7 13" xfId="46202"/>
    <cellStyle name="Nota 2 2 3 4 7 14" xfId="50280"/>
    <cellStyle name="Nota 2 2 3 4 7 2" xfId="6831"/>
    <cellStyle name="Nota 2 2 3 4 7 2 10" xfId="39089"/>
    <cellStyle name="Nota 2 2 3 4 7 2 11" xfId="43121"/>
    <cellStyle name="Nota 2 2 3 4 7 2 12" xfId="47153"/>
    <cellStyle name="Nota 2 2 3 4 7 2 13" xfId="51232"/>
    <cellStyle name="Nota 2 2 3 4 7 2 2" xfId="8847"/>
    <cellStyle name="Nota 2 2 3 4 7 2 2 10" xfId="45137"/>
    <cellStyle name="Nota 2 2 3 4 7 2 2 11" xfId="49169"/>
    <cellStyle name="Nota 2 2 3 4 7 2 2 12" xfId="53248"/>
    <cellStyle name="Nota 2 2 3 4 7 2 2 2" xfId="12881"/>
    <cellStyle name="Nota 2 2 3 4 7 2 2 3" xfId="16913"/>
    <cellStyle name="Nota 2 2 3 4 7 2 2 4" xfId="20945"/>
    <cellStyle name="Nota 2 2 3 4 7 2 2 5" xfId="24977"/>
    <cellStyle name="Nota 2 2 3 4 7 2 2 6" xfId="29009"/>
    <cellStyle name="Nota 2 2 3 4 7 2 2 7" xfId="33041"/>
    <cellStyle name="Nota 2 2 3 4 7 2 2 8" xfId="37073"/>
    <cellStyle name="Nota 2 2 3 4 7 2 2 9" xfId="41105"/>
    <cellStyle name="Nota 2 2 3 4 7 2 3" xfId="10865"/>
    <cellStyle name="Nota 2 2 3 4 7 2 4" xfId="14897"/>
    <cellStyle name="Nota 2 2 3 4 7 2 5" xfId="18929"/>
    <cellStyle name="Nota 2 2 3 4 7 2 6" xfId="22961"/>
    <cellStyle name="Nota 2 2 3 4 7 2 7" xfId="26993"/>
    <cellStyle name="Nota 2 2 3 4 7 2 8" xfId="31025"/>
    <cellStyle name="Nota 2 2 3 4 7 2 9" xfId="35057"/>
    <cellStyle name="Nota 2 2 3 4 7 3" xfId="7896"/>
    <cellStyle name="Nota 2 2 3 4 7 3 10" xfId="44186"/>
    <cellStyle name="Nota 2 2 3 4 7 3 11" xfId="48218"/>
    <cellStyle name="Nota 2 2 3 4 7 3 12" xfId="52297"/>
    <cellStyle name="Nota 2 2 3 4 7 3 2" xfId="11930"/>
    <cellStyle name="Nota 2 2 3 4 7 3 3" xfId="15962"/>
    <cellStyle name="Nota 2 2 3 4 7 3 4" xfId="19994"/>
    <cellStyle name="Nota 2 2 3 4 7 3 5" xfId="24026"/>
    <cellStyle name="Nota 2 2 3 4 7 3 6" xfId="28058"/>
    <cellStyle name="Nota 2 2 3 4 7 3 7" xfId="32090"/>
    <cellStyle name="Nota 2 2 3 4 7 3 8" xfId="36122"/>
    <cellStyle name="Nota 2 2 3 4 7 3 9" xfId="40154"/>
    <cellStyle name="Nota 2 2 3 4 7 4" xfId="9914"/>
    <cellStyle name="Nota 2 2 3 4 7 5" xfId="13946"/>
    <cellStyle name="Nota 2 2 3 4 7 6" xfId="17978"/>
    <cellStyle name="Nota 2 2 3 4 7 7" xfId="22010"/>
    <cellStyle name="Nota 2 2 3 4 7 8" xfId="26042"/>
    <cellStyle name="Nota 2 2 3 4 7 9" xfId="30074"/>
    <cellStyle name="Nota 2 2 3 4 8" xfId="4400"/>
    <cellStyle name="Nota 2 2 3 4 8 10" xfId="34244"/>
    <cellStyle name="Nota 2 2 3 4 8 11" xfId="38276"/>
    <cellStyle name="Nota 2 2 3 4 8 12" xfId="42308"/>
    <cellStyle name="Nota 2 2 3 4 8 13" xfId="46340"/>
    <cellStyle name="Nota 2 2 3 4 8 14" xfId="50419"/>
    <cellStyle name="Nota 2 2 3 4 8 2" xfId="6969"/>
    <cellStyle name="Nota 2 2 3 4 8 2 10" xfId="39227"/>
    <cellStyle name="Nota 2 2 3 4 8 2 11" xfId="43259"/>
    <cellStyle name="Nota 2 2 3 4 8 2 12" xfId="47291"/>
    <cellStyle name="Nota 2 2 3 4 8 2 13" xfId="51370"/>
    <cellStyle name="Nota 2 2 3 4 8 2 2" xfId="8985"/>
    <cellStyle name="Nota 2 2 3 4 8 2 2 10" xfId="45275"/>
    <cellStyle name="Nota 2 2 3 4 8 2 2 11" xfId="49307"/>
    <cellStyle name="Nota 2 2 3 4 8 2 2 12" xfId="53386"/>
    <cellStyle name="Nota 2 2 3 4 8 2 2 2" xfId="13019"/>
    <cellStyle name="Nota 2 2 3 4 8 2 2 3" xfId="17051"/>
    <cellStyle name="Nota 2 2 3 4 8 2 2 4" xfId="21083"/>
    <cellStyle name="Nota 2 2 3 4 8 2 2 5" xfId="25115"/>
    <cellStyle name="Nota 2 2 3 4 8 2 2 6" xfId="29147"/>
    <cellStyle name="Nota 2 2 3 4 8 2 2 7" xfId="33179"/>
    <cellStyle name="Nota 2 2 3 4 8 2 2 8" xfId="37211"/>
    <cellStyle name="Nota 2 2 3 4 8 2 2 9" xfId="41243"/>
    <cellStyle name="Nota 2 2 3 4 8 2 3" xfId="11003"/>
    <cellStyle name="Nota 2 2 3 4 8 2 4" xfId="15035"/>
    <cellStyle name="Nota 2 2 3 4 8 2 5" xfId="19067"/>
    <cellStyle name="Nota 2 2 3 4 8 2 6" xfId="23099"/>
    <cellStyle name="Nota 2 2 3 4 8 2 7" xfId="27131"/>
    <cellStyle name="Nota 2 2 3 4 8 2 8" xfId="31163"/>
    <cellStyle name="Nota 2 2 3 4 8 2 9" xfId="35195"/>
    <cellStyle name="Nota 2 2 3 4 8 3" xfId="8034"/>
    <cellStyle name="Nota 2 2 3 4 8 3 10" xfId="44324"/>
    <cellStyle name="Nota 2 2 3 4 8 3 11" xfId="48356"/>
    <cellStyle name="Nota 2 2 3 4 8 3 12" xfId="52435"/>
    <cellStyle name="Nota 2 2 3 4 8 3 2" xfId="12068"/>
    <cellStyle name="Nota 2 2 3 4 8 3 3" xfId="16100"/>
    <cellStyle name="Nota 2 2 3 4 8 3 4" xfId="20132"/>
    <cellStyle name="Nota 2 2 3 4 8 3 5" xfId="24164"/>
    <cellStyle name="Nota 2 2 3 4 8 3 6" xfId="28196"/>
    <cellStyle name="Nota 2 2 3 4 8 3 7" xfId="32228"/>
    <cellStyle name="Nota 2 2 3 4 8 3 8" xfId="36260"/>
    <cellStyle name="Nota 2 2 3 4 8 3 9" xfId="40292"/>
    <cellStyle name="Nota 2 2 3 4 8 4" xfId="10052"/>
    <cellStyle name="Nota 2 2 3 4 8 5" xfId="14084"/>
    <cellStyle name="Nota 2 2 3 4 8 6" xfId="18116"/>
    <cellStyle name="Nota 2 2 3 4 8 7" xfId="22148"/>
    <cellStyle name="Nota 2 2 3 4 8 8" xfId="26180"/>
    <cellStyle name="Nota 2 2 3 4 8 9" xfId="30212"/>
    <cellStyle name="Nota 2 2 3 4 9" xfId="4538"/>
    <cellStyle name="Nota 2 2 3 4 9 10" xfId="38414"/>
    <cellStyle name="Nota 2 2 3 4 9 11" xfId="42446"/>
    <cellStyle name="Nota 2 2 3 4 9 12" xfId="46478"/>
    <cellStyle name="Nota 2 2 3 4 9 13" xfId="50557"/>
    <cellStyle name="Nota 2 2 3 4 9 2" xfId="8172"/>
    <cellStyle name="Nota 2 2 3 4 9 2 10" xfId="44462"/>
    <cellStyle name="Nota 2 2 3 4 9 2 11" xfId="48494"/>
    <cellStyle name="Nota 2 2 3 4 9 2 12" xfId="52573"/>
    <cellStyle name="Nota 2 2 3 4 9 2 2" xfId="12206"/>
    <cellStyle name="Nota 2 2 3 4 9 2 3" xfId="16238"/>
    <cellStyle name="Nota 2 2 3 4 9 2 4" xfId="20270"/>
    <cellStyle name="Nota 2 2 3 4 9 2 5" xfId="24302"/>
    <cellStyle name="Nota 2 2 3 4 9 2 6" xfId="28334"/>
    <cellStyle name="Nota 2 2 3 4 9 2 7" xfId="32366"/>
    <cellStyle name="Nota 2 2 3 4 9 2 8" xfId="36398"/>
    <cellStyle name="Nota 2 2 3 4 9 2 9" xfId="40430"/>
    <cellStyle name="Nota 2 2 3 4 9 3" xfId="10190"/>
    <cellStyle name="Nota 2 2 3 4 9 4" xfId="14222"/>
    <cellStyle name="Nota 2 2 3 4 9 5" xfId="18254"/>
    <cellStyle name="Nota 2 2 3 4 9 6" xfId="22286"/>
    <cellStyle name="Nota 2 2 3 4 9 7" xfId="26318"/>
    <cellStyle name="Nota 2 2 3 4 9 8" xfId="30350"/>
    <cellStyle name="Nota 2 2 3 4 9 9" xfId="34382"/>
    <cellStyle name="Nota 2 2 3 5" xfId="193"/>
    <cellStyle name="Nota 2 2 3 5 10" xfId="21274"/>
    <cellStyle name="Nota 2 2 3 5 11" xfId="25306"/>
    <cellStyle name="Nota 2 2 3 5 12" xfId="29338"/>
    <cellStyle name="Nota 2 2 3 5 13" xfId="33370"/>
    <cellStyle name="Nota 2 2 3 5 14" xfId="37402"/>
    <cellStyle name="Nota 2 2 3 5 15" xfId="41434"/>
    <cellStyle name="Nota 2 2 3 5 16" xfId="45466"/>
    <cellStyle name="Nota 2 2 3 5 17" xfId="49544"/>
    <cellStyle name="Nota 2 2 3 5 2" xfId="4312"/>
    <cellStyle name="Nota 2 2 3 5 2 10" xfId="34159"/>
    <cellStyle name="Nota 2 2 3 5 2 11" xfId="38191"/>
    <cellStyle name="Nota 2 2 3 5 2 12" xfId="42223"/>
    <cellStyle name="Nota 2 2 3 5 2 13" xfId="46255"/>
    <cellStyle name="Nota 2 2 3 5 2 14" xfId="50334"/>
    <cellStyle name="Nota 2 2 3 5 2 2" xfId="6884"/>
    <cellStyle name="Nota 2 2 3 5 2 2 10" xfId="39142"/>
    <cellStyle name="Nota 2 2 3 5 2 2 11" xfId="43174"/>
    <cellStyle name="Nota 2 2 3 5 2 2 12" xfId="47206"/>
    <cellStyle name="Nota 2 2 3 5 2 2 13" xfId="51285"/>
    <cellStyle name="Nota 2 2 3 5 2 2 2" xfId="8900"/>
    <cellStyle name="Nota 2 2 3 5 2 2 2 10" xfId="45190"/>
    <cellStyle name="Nota 2 2 3 5 2 2 2 11" xfId="49222"/>
    <cellStyle name="Nota 2 2 3 5 2 2 2 12" xfId="53301"/>
    <cellStyle name="Nota 2 2 3 5 2 2 2 2" xfId="12934"/>
    <cellStyle name="Nota 2 2 3 5 2 2 2 3" xfId="16966"/>
    <cellStyle name="Nota 2 2 3 5 2 2 2 4" xfId="20998"/>
    <cellStyle name="Nota 2 2 3 5 2 2 2 5" xfId="25030"/>
    <cellStyle name="Nota 2 2 3 5 2 2 2 6" xfId="29062"/>
    <cellStyle name="Nota 2 2 3 5 2 2 2 7" xfId="33094"/>
    <cellStyle name="Nota 2 2 3 5 2 2 2 8" xfId="37126"/>
    <cellStyle name="Nota 2 2 3 5 2 2 2 9" xfId="41158"/>
    <cellStyle name="Nota 2 2 3 5 2 2 3" xfId="10918"/>
    <cellStyle name="Nota 2 2 3 5 2 2 4" xfId="14950"/>
    <cellStyle name="Nota 2 2 3 5 2 2 5" xfId="18982"/>
    <cellStyle name="Nota 2 2 3 5 2 2 6" xfId="23014"/>
    <cellStyle name="Nota 2 2 3 5 2 2 7" xfId="27046"/>
    <cellStyle name="Nota 2 2 3 5 2 2 8" xfId="31078"/>
    <cellStyle name="Nota 2 2 3 5 2 2 9" xfId="35110"/>
    <cellStyle name="Nota 2 2 3 5 2 3" xfId="7949"/>
    <cellStyle name="Nota 2 2 3 5 2 3 10" xfId="44239"/>
    <cellStyle name="Nota 2 2 3 5 2 3 11" xfId="48271"/>
    <cellStyle name="Nota 2 2 3 5 2 3 12" xfId="52350"/>
    <cellStyle name="Nota 2 2 3 5 2 3 2" xfId="11983"/>
    <cellStyle name="Nota 2 2 3 5 2 3 3" xfId="16015"/>
    <cellStyle name="Nota 2 2 3 5 2 3 4" xfId="20047"/>
    <cellStyle name="Nota 2 2 3 5 2 3 5" xfId="24079"/>
    <cellStyle name="Nota 2 2 3 5 2 3 6" xfId="28111"/>
    <cellStyle name="Nota 2 2 3 5 2 3 7" xfId="32143"/>
    <cellStyle name="Nota 2 2 3 5 2 3 8" xfId="36175"/>
    <cellStyle name="Nota 2 2 3 5 2 3 9" xfId="40207"/>
    <cellStyle name="Nota 2 2 3 5 2 4" xfId="9967"/>
    <cellStyle name="Nota 2 2 3 5 2 5" xfId="13999"/>
    <cellStyle name="Nota 2 2 3 5 2 6" xfId="18031"/>
    <cellStyle name="Nota 2 2 3 5 2 7" xfId="22063"/>
    <cellStyle name="Nota 2 2 3 5 2 8" xfId="26095"/>
    <cellStyle name="Nota 2 2 3 5 2 9" xfId="30127"/>
    <cellStyle name="Nota 2 2 3 5 3" xfId="4453"/>
    <cellStyle name="Nota 2 2 3 5 3 10" xfId="34297"/>
    <cellStyle name="Nota 2 2 3 5 3 11" xfId="38329"/>
    <cellStyle name="Nota 2 2 3 5 3 12" xfId="42361"/>
    <cellStyle name="Nota 2 2 3 5 3 13" xfId="46393"/>
    <cellStyle name="Nota 2 2 3 5 3 14" xfId="50472"/>
    <cellStyle name="Nota 2 2 3 5 3 2" xfId="7022"/>
    <cellStyle name="Nota 2 2 3 5 3 2 10" xfId="39280"/>
    <cellStyle name="Nota 2 2 3 5 3 2 11" xfId="43312"/>
    <cellStyle name="Nota 2 2 3 5 3 2 12" xfId="47344"/>
    <cellStyle name="Nota 2 2 3 5 3 2 13" xfId="51423"/>
    <cellStyle name="Nota 2 2 3 5 3 2 2" xfId="9038"/>
    <cellStyle name="Nota 2 2 3 5 3 2 2 10" xfId="45328"/>
    <cellStyle name="Nota 2 2 3 5 3 2 2 11" xfId="49360"/>
    <cellStyle name="Nota 2 2 3 5 3 2 2 12" xfId="53439"/>
    <cellStyle name="Nota 2 2 3 5 3 2 2 2" xfId="13072"/>
    <cellStyle name="Nota 2 2 3 5 3 2 2 3" xfId="17104"/>
    <cellStyle name="Nota 2 2 3 5 3 2 2 4" xfId="21136"/>
    <cellStyle name="Nota 2 2 3 5 3 2 2 5" xfId="25168"/>
    <cellStyle name="Nota 2 2 3 5 3 2 2 6" xfId="29200"/>
    <cellStyle name="Nota 2 2 3 5 3 2 2 7" xfId="33232"/>
    <cellStyle name="Nota 2 2 3 5 3 2 2 8" xfId="37264"/>
    <cellStyle name="Nota 2 2 3 5 3 2 2 9" xfId="41296"/>
    <cellStyle name="Nota 2 2 3 5 3 2 3" xfId="11056"/>
    <cellStyle name="Nota 2 2 3 5 3 2 4" xfId="15088"/>
    <cellStyle name="Nota 2 2 3 5 3 2 5" xfId="19120"/>
    <cellStyle name="Nota 2 2 3 5 3 2 6" xfId="23152"/>
    <cellStyle name="Nota 2 2 3 5 3 2 7" xfId="27184"/>
    <cellStyle name="Nota 2 2 3 5 3 2 8" xfId="31216"/>
    <cellStyle name="Nota 2 2 3 5 3 2 9" xfId="35248"/>
    <cellStyle name="Nota 2 2 3 5 3 3" xfId="8087"/>
    <cellStyle name="Nota 2 2 3 5 3 3 10" xfId="44377"/>
    <cellStyle name="Nota 2 2 3 5 3 3 11" xfId="48409"/>
    <cellStyle name="Nota 2 2 3 5 3 3 12" xfId="52488"/>
    <cellStyle name="Nota 2 2 3 5 3 3 2" xfId="12121"/>
    <cellStyle name="Nota 2 2 3 5 3 3 3" xfId="16153"/>
    <cellStyle name="Nota 2 2 3 5 3 3 4" xfId="20185"/>
    <cellStyle name="Nota 2 2 3 5 3 3 5" xfId="24217"/>
    <cellStyle name="Nota 2 2 3 5 3 3 6" xfId="28249"/>
    <cellStyle name="Nota 2 2 3 5 3 3 7" xfId="32281"/>
    <cellStyle name="Nota 2 2 3 5 3 3 8" xfId="36313"/>
    <cellStyle name="Nota 2 2 3 5 3 3 9" xfId="40345"/>
    <cellStyle name="Nota 2 2 3 5 3 4" xfId="10105"/>
    <cellStyle name="Nota 2 2 3 5 3 5" xfId="14137"/>
    <cellStyle name="Nota 2 2 3 5 3 6" xfId="18169"/>
    <cellStyle name="Nota 2 2 3 5 3 7" xfId="22201"/>
    <cellStyle name="Nota 2 2 3 5 3 8" xfId="26233"/>
    <cellStyle name="Nota 2 2 3 5 3 9" xfId="30265"/>
    <cellStyle name="Nota 2 2 3 5 4" xfId="4593"/>
    <cellStyle name="Nota 2 2 3 5 4 10" xfId="38467"/>
    <cellStyle name="Nota 2 2 3 5 4 11" xfId="42499"/>
    <cellStyle name="Nota 2 2 3 5 4 12" xfId="46531"/>
    <cellStyle name="Nota 2 2 3 5 4 13" xfId="50610"/>
    <cellStyle name="Nota 2 2 3 5 4 2" xfId="8225"/>
    <cellStyle name="Nota 2 2 3 5 4 2 10" xfId="44515"/>
    <cellStyle name="Nota 2 2 3 5 4 2 11" xfId="48547"/>
    <cellStyle name="Nota 2 2 3 5 4 2 12" xfId="52626"/>
    <cellStyle name="Nota 2 2 3 5 4 2 2" xfId="12259"/>
    <cellStyle name="Nota 2 2 3 5 4 2 3" xfId="16291"/>
    <cellStyle name="Nota 2 2 3 5 4 2 4" xfId="20323"/>
    <cellStyle name="Nota 2 2 3 5 4 2 5" xfId="24355"/>
    <cellStyle name="Nota 2 2 3 5 4 2 6" xfId="28387"/>
    <cellStyle name="Nota 2 2 3 5 4 2 7" xfId="32419"/>
    <cellStyle name="Nota 2 2 3 5 4 2 8" xfId="36451"/>
    <cellStyle name="Nota 2 2 3 5 4 2 9" xfId="40483"/>
    <cellStyle name="Nota 2 2 3 5 4 3" xfId="10243"/>
    <cellStyle name="Nota 2 2 3 5 4 4" xfId="14275"/>
    <cellStyle name="Nota 2 2 3 5 4 5" xfId="18307"/>
    <cellStyle name="Nota 2 2 3 5 4 6" xfId="22339"/>
    <cellStyle name="Nota 2 2 3 5 4 7" xfId="26371"/>
    <cellStyle name="Nota 2 2 3 5 4 8" xfId="30403"/>
    <cellStyle name="Nota 2 2 3 5 4 9" xfId="34435"/>
    <cellStyle name="Nota 2 2 3 5 5" xfId="978"/>
    <cellStyle name="Nota 2 2 3 5 6" xfId="7160"/>
    <cellStyle name="Nota 2 2 3 5 6 10" xfId="43450"/>
    <cellStyle name="Nota 2 2 3 5 6 11" xfId="47482"/>
    <cellStyle name="Nota 2 2 3 5 6 12" xfId="51561"/>
    <cellStyle name="Nota 2 2 3 5 6 2" xfId="11194"/>
    <cellStyle name="Nota 2 2 3 5 6 3" xfId="15226"/>
    <cellStyle name="Nota 2 2 3 5 6 4" xfId="19258"/>
    <cellStyle name="Nota 2 2 3 5 6 5" xfId="23290"/>
    <cellStyle name="Nota 2 2 3 5 6 6" xfId="27322"/>
    <cellStyle name="Nota 2 2 3 5 6 7" xfId="31354"/>
    <cellStyle name="Nota 2 2 3 5 6 8" xfId="35386"/>
    <cellStyle name="Nota 2 2 3 5 6 9" xfId="39418"/>
    <cellStyle name="Nota 2 2 3 5 7" xfId="9178"/>
    <cellStyle name="Nota 2 2 3 5 8" xfId="13210"/>
    <cellStyle name="Nota 2 2 3 5 9" xfId="17242"/>
    <cellStyle name="Nota 2 2 3 6" xfId="320"/>
    <cellStyle name="Nota 2 2 3 6 10" xfId="33493"/>
    <cellStyle name="Nota 2 2 3 6 11" xfId="37525"/>
    <cellStyle name="Nota 2 2 3 6 12" xfId="41557"/>
    <cellStyle name="Nota 2 2 3 6 13" xfId="45589"/>
    <cellStyle name="Nota 2 2 3 6 14" xfId="49667"/>
    <cellStyle name="Nota 2 2 3 6 2" xfId="4660"/>
    <cellStyle name="Nota 2 2 3 6 2 10" xfId="38534"/>
    <cellStyle name="Nota 2 2 3 6 2 11" xfId="42566"/>
    <cellStyle name="Nota 2 2 3 6 2 12" xfId="46598"/>
    <cellStyle name="Nota 2 2 3 6 2 13" xfId="50677"/>
    <cellStyle name="Nota 2 2 3 6 2 2" xfId="8292"/>
    <cellStyle name="Nota 2 2 3 6 2 2 10" xfId="44582"/>
    <cellStyle name="Nota 2 2 3 6 2 2 11" xfId="48614"/>
    <cellStyle name="Nota 2 2 3 6 2 2 12" xfId="52693"/>
    <cellStyle name="Nota 2 2 3 6 2 2 2" xfId="12326"/>
    <cellStyle name="Nota 2 2 3 6 2 2 3" xfId="16358"/>
    <cellStyle name="Nota 2 2 3 6 2 2 4" xfId="20390"/>
    <cellStyle name="Nota 2 2 3 6 2 2 5" xfId="24422"/>
    <cellStyle name="Nota 2 2 3 6 2 2 6" xfId="28454"/>
    <cellStyle name="Nota 2 2 3 6 2 2 7" xfId="32486"/>
    <cellStyle name="Nota 2 2 3 6 2 2 8" xfId="36518"/>
    <cellStyle name="Nota 2 2 3 6 2 2 9" xfId="40550"/>
    <cellStyle name="Nota 2 2 3 6 2 3" xfId="10310"/>
    <cellStyle name="Nota 2 2 3 6 2 4" xfId="14342"/>
    <cellStyle name="Nota 2 2 3 6 2 5" xfId="18374"/>
    <cellStyle name="Nota 2 2 3 6 2 6" xfId="22406"/>
    <cellStyle name="Nota 2 2 3 6 2 7" xfId="26438"/>
    <cellStyle name="Nota 2 2 3 6 2 8" xfId="30470"/>
    <cellStyle name="Nota 2 2 3 6 2 9" xfId="34502"/>
    <cellStyle name="Nota 2 2 3 6 3" xfId="7283"/>
    <cellStyle name="Nota 2 2 3 6 3 10" xfId="43573"/>
    <cellStyle name="Nota 2 2 3 6 3 11" xfId="47605"/>
    <cellStyle name="Nota 2 2 3 6 3 12" xfId="51684"/>
    <cellStyle name="Nota 2 2 3 6 3 2" xfId="11317"/>
    <cellStyle name="Nota 2 2 3 6 3 3" xfId="15349"/>
    <cellStyle name="Nota 2 2 3 6 3 4" xfId="19381"/>
    <cellStyle name="Nota 2 2 3 6 3 5" xfId="23413"/>
    <cellStyle name="Nota 2 2 3 6 3 6" xfId="27445"/>
    <cellStyle name="Nota 2 2 3 6 3 7" xfId="31477"/>
    <cellStyle name="Nota 2 2 3 6 3 8" xfId="35509"/>
    <cellStyle name="Nota 2 2 3 6 3 9" xfId="39541"/>
    <cellStyle name="Nota 2 2 3 6 4" xfId="9301"/>
    <cellStyle name="Nota 2 2 3 6 5" xfId="13333"/>
    <cellStyle name="Nota 2 2 3 6 6" xfId="17365"/>
    <cellStyle name="Nota 2 2 3 6 7" xfId="21397"/>
    <cellStyle name="Nota 2 2 3 6 8" xfId="25429"/>
    <cellStyle name="Nota 2 2 3 6 9" xfId="29461"/>
    <cellStyle name="Nota 2 2 3 7" xfId="1630"/>
    <cellStyle name="Nota 2 2 3 7 10" xfId="33591"/>
    <cellStyle name="Nota 2 2 3 7 11" xfId="37623"/>
    <cellStyle name="Nota 2 2 3 7 12" xfId="41655"/>
    <cellStyle name="Nota 2 2 3 7 13" xfId="45687"/>
    <cellStyle name="Nota 2 2 3 7 14" xfId="49765"/>
    <cellStyle name="Nota 2 2 3 7 2" xfId="5319"/>
    <cellStyle name="Nota 2 2 3 7 2 10" xfId="38587"/>
    <cellStyle name="Nota 2 2 3 7 2 11" xfId="42619"/>
    <cellStyle name="Nota 2 2 3 7 2 12" xfId="46651"/>
    <cellStyle name="Nota 2 2 3 7 2 13" xfId="50730"/>
    <cellStyle name="Nota 2 2 3 7 2 2" xfId="8345"/>
    <cellStyle name="Nota 2 2 3 7 2 2 10" xfId="44635"/>
    <cellStyle name="Nota 2 2 3 7 2 2 11" xfId="48667"/>
    <cellStyle name="Nota 2 2 3 7 2 2 12" xfId="52746"/>
    <cellStyle name="Nota 2 2 3 7 2 2 2" xfId="12379"/>
    <cellStyle name="Nota 2 2 3 7 2 2 3" xfId="16411"/>
    <cellStyle name="Nota 2 2 3 7 2 2 4" xfId="20443"/>
    <cellStyle name="Nota 2 2 3 7 2 2 5" xfId="24475"/>
    <cellStyle name="Nota 2 2 3 7 2 2 6" xfId="28507"/>
    <cellStyle name="Nota 2 2 3 7 2 2 7" xfId="32539"/>
    <cellStyle name="Nota 2 2 3 7 2 2 8" xfId="36571"/>
    <cellStyle name="Nota 2 2 3 7 2 2 9" xfId="40603"/>
    <cellStyle name="Nota 2 2 3 7 2 3" xfId="10363"/>
    <cellStyle name="Nota 2 2 3 7 2 4" xfId="14395"/>
    <cellStyle name="Nota 2 2 3 7 2 5" xfId="18427"/>
    <cellStyle name="Nota 2 2 3 7 2 6" xfId="22459"/>
    <cellStyle name="Nota 2 2 3 7 2 7" xfId="26491"/>
    <cellStyle name="Nota 2 2 3 7 2 8" xfId="30523"/>
    <cellStyle name="Nota 2 2 3 7 2 9" xfId="34555"/>
    <cellStyle name="Nota 2 2 3 7 3" xfId="7381"/>
    <cellStyle name="Nota 2 2 3 7 3 10" xfId="43671"/>
    <cellStyle name="Nota 2 2 3 7 3 11" xfId="47703"/>
    <cellStyle name="Nota 2 2 3 7 3 12" xfId="51782"/>
    <cellStyle name="Nota 2 2 3 7 3 2" xfId="11415"/>
    <cellStyle name="Nota 2 2 3 7 3 3" xfId="15447"/>
    <cellStyle name="Nota 2 2 3 7 3 4" xfId="19479"/>
    <cellStyle name="Nota 2 2 3 7 3 5" xfId="23511"/>
    <cellStyle name="Nota 2 2 3 7 3 6" xfId="27543"/>
    <cellStyle name="Nota 2 2 3 7 3 7" xfId="31575"/>
    <cellStyle name="Nota 2 2 3 7 3 8" xfId="35607"/>
    <cellStyle name="Nota 2 2 3 7 3 9" xfId="39639"/>
    <cellStyle name="Nota 2 2 3 7 4" xfId="9399"/>
    <cellStyle name="Nota 2 2 3 7 5" xfId="13431"/>
    <cellStyle name="Nota 2 2 3 7 6" xfId="17463"/>
    <cellStyle name="Nota 2 2 3 7 7" xfId="21495"/>
    <cellStyle name="Nota 2 2 3 7 8" xfId="25527"/>
    <cellStyle name="Nota 2 2 3 7 9" xfId="29559"/>
    <cellStyle name="Nota 2 2 3 8" xfId="1704"/>
    <cellStyle name="Nota 2 2 3 8 10" xfId="33660"/>
    <cellStyle name="Nota 2 2 3 8 11" xfId="37692"/>
    <cellStyle name="Nota 2 2 3 8 12" xfId="41724"/>
    <cellStyle name="Nota 2 2 3 8 13" xfId="45756"/>
    <cellStyle name="Nota 2 2 3 8 14" xfId="49834"/>
    <cellStyle name="Nota 2 2 3 8 2" xfId="5375"/>
    <cellStyle name="Nota 2 2 3 8 2 10" xfId="38643"/>
    <cellStyle name="Nota 2 2 3 8 2 11" xfId="42675"/>
    <cellStyle name="Nota 2 2 3 8 2 12" xfId="46707"/>
    <cellStyle name="Nota 2 2 3 8 2 13" xfId="50786"/>
    <cellStyle name="Nota 2 2 3 8 2 2" xfId="8401"/>
    <cellStyle name="Nota 2 2 3 8 2 2 10" xfId="44691"/>
    <cellStyle name="Nota 2 2 3 8 2 2 11" xfId="48723"/>
    <cellStyle name="Nota 2 2 3 8 2 2 12" xfId="52802"/>
    <cellStyle name="Nota 2 2 3 8 2 2 2" xfId="12435"/>
    <cellStyle name="Nota 2 2 3 8 2 2 3" xfId="16467"/>
    <cellStyle name="Nota 2 2 3 8 2 2 4" xfId="20499"/>
    <cellStyle name="Nota 2 2 3 8 2 2 5" xfId="24531"/>
    <cellStyle name="Nota 2 2 3 8 2 2 6" xfId="28563"/>
    <cellStyle name="Nota 2 2 3 8 2 2 7" xfId="32595"/>
    <cellStyle name="Nota 2 2 3 8 2 2 8" xfId="36627"/>
    <cellStyle name="Nota 2 2 3 8 2 2 9" xfId="40659"/>
    <cellStyle name="Nota 2 2 3 8 2 3" xfId="10419"/>
    <cellStyle name="Nota 2 2 3 8 2 4" xfId="14451"/>
    <cellStyle name="Nota 2 2 3 8 2 5" xfId="18483"/>
    <cellStyle name="Nota 2 2 3 8 2 6" xfId="22515"/>
    <cellStyle name="Nota 2 2 3 8 2 7" xfId="26547"/>
    <cellStyle name="Nota 2 2 3 8 2 8" xfId="30579"/>
    <cellStyle name="Nota 2 2 3 8 2 9" xfId="34611"/>
    <cellStyle name="Nota 2 2 3 8 3" xfId="7450"/>
    <cellStyle name="Nota 2 2 3 8 3 10" xfId="43740"/>
    <cellStyle name="Nota 2 2 3 8 3 11" xfId="47772"/>
    <cellStyle name="Nota 2 2 3 8 3 12" xfId="51851"/>
    <cellStyle name="Nota 2 2 3 8 3 2" xfId="11484"/>
    <cellStyle name="Nota 2 2 3 8 3 3" xfId="15516"/>
    <cellStyle name="Nota 2 2 3 8 3 4" xfId="19548"/>
    <cellStyle name="Nota 2 2 3 8 3 5" xfId="23580"/>
    <cellStyle name="Nota 2 2 3 8 3 6" xfId="27612"/>
    <cellStyle name="Nota 2 2 3 8 3 7" xfId="31644"/>
    <cellStyle name="Nota 2 2 3 8 3 8" xfId="35676"/>
    <cellStyle name="Nota 2 2 3 8 3 9" xfId="39708"/>
    <cellStyle name="Nota 2 2 3 8 4" xfId="9468"/>
    <cellStyle name="Nota 2 2 3 8 5" xfId="13500"/>
    <cellStyle name="Nota 2 2 3 8 6" xfId="17532"/>
    <cellStyle name="Nota 2 2 3 8 7" xfId="21564"/>
    <cellStyle name="Nota 2 2 3 8 8" xfId="25596"/>
    <cellStyle name="Nota 2 2 3 8 9" xfId="29628"/>
    <cellStyle name="Nota 2 2 3 9" xfId="4026"/>
    <cellStyle name="Nota 2 2 3 9 10" xfId="33883"/>
    <cellStyle name="Nota 2 2 3 9 11" xfId="37915"/>
    <cellStyle name="Nota 2 2 3 9 12" xfId="41947"/>
    <cellStyle name="Nota 2 2 3 9 13" xfId="45979"/>
    <cellStyle name="Nota 2 2 3 9 14" xfId="50057"/>
    <cellStyle name="Nota 2 2 3 9 2" xfId="6608"/>
    <cellStyle name="Nota 2 2 3 9 2 10" xfId="38866"/>
    <cellStyle name="Nota 2 2 3 9 2 11" xfId="42898"/>
    <cellStyle name="Nota 2 2 3 9 2 12" xfId="46930"/>
    <cellStyle name="Nota 2 2 3 9 2 13" xfId="51009"/>
    <cellStyle name="Nota 2 2 3 9 2 2" xfId="8624"/>
    <cellStyle name="Nota 2 2 3 9 2 2 10" xfId="44914"/>
    <cellStyle name="Nota 2 2 3 9 2 2 11" xfId="48946"/>
    <cellStyle name="Nota 2 2 3 9 2 2 12" xfId="53025"/>
    <cellStyle name="Nota 2 2 3 9 2 2 2" xfId="12658"/>
    <cellStyle name="Nota 2 2 3 9 2 2 3" xfId="16690"/>
    <cellStyle name="Nota 2 2 3 9 2 2 4" xfId="20722"/>
    <cellStyle name="Nota 2 2 3 9 2 2 5" xfId="24754"/>
    <cellStyle name="Nota 2 2 3 9 2 2 6" xfId="28786"/>
    <cellStyle name="Nota 2 2 3 9 2 2 7" xfId="32818"/>
    <cellStyle name="Nota 2 2 3 9 2 2 8" xfId="36850"/>
    <cellStyle name="Nota 2 2 3 9 2 2 9" xfId="40882"/>
    <cellStyle name="Nota 2 2 3 9 2 3" xfId="10642"/>
    <cellStyle name="Nota 2 2 3 9 2 4" xfId="14674"/>
    <cellStyle name="Nota 2 2 3 9 2 5" xfId="18706"/>
    <cellStyle name="Nota 2 2 3 9 2 6" xfId="22738"/>
    <cellStyle name="Nota 2 2 3 9 2 7" xfId="26770"/>
    <cellStyle name="Nota 2 2 3 9 2 8" xfId="30802"/>
    <cellStyle name="Nota 2 2 3 9 2 9" xfId="34834"/>
    <cellStyle name="Nota 2 2 3 9 3" xfId="7673"/>
    <cellStyle name="Nota 2 2 3 9 3 10" xfId="43963"/>
    <cellStyle name="Nota 2 2 3 9 3 11" xfId="47995"/>
    <cellStyle name="Nota 2 2 3 9 3 12" xfId="52074"/>
    <cellStyle name="Nota 2 2 3 9 3 2" xfId="11707"/>
    <cellStyle name="Nota 2 2 3 9 3 3" xfId="15739"/>
    <cellStyle name="Nota 2 2 3 9 3 4" xfId="19771"/>
    <cellStyle name="Nota 2 2 3 9 3 5" xfId="23803"/>
    <cellStyle name="Nota 2 2 3 9 3 6" xfId="27835"/>
    <cellStyle name="Nota 2 2 3 9 3 7" xfId="31867"/>
    <cellStyle name="Nota 2 2 3 9 3 8" xfId="35899"/>
    <cellStyle name="Nota 2 2 3 9 3 9" xfId="39931"/>
    <cellStyle name="Nota 2 2 3 9 4" xfId="9691"/>
    <cellStyle name="Nota 2 2 3 9 5" xfId="13723"/>
    <cellStyle name="Nota 2 2 3 9 6" xfId="17755"/>
    <cellStyle name="Nota 2 2 3 9 7" xfId="21787"/>
    <cellStyle name="Nota 2 2 3 9 8" xfId="25819"/>
    <cellStyle name="Nota 2 2 3 9 9" xfId="29851"/>
    <cellStyle name="Nota 2 2 30" xfId="45391"/>
    <cellStyle name="Nota 2 2 31" xfId="49469"/>
    <cellStyle name="Nota 2 2 4" xfId="87"/>
    <cellStyle name="Nota 2 2 4 10" xfId="4283"/>
    <cellStyle name="Nota 2 2 4 10 10" xfId="34135"/>
    <cellStyle name="Nota 2 2 4 10 11" xfId="38167"/>
    <cellStyle name="Nota 2 2 4 10 12" xfId="42199"/>
    <cellStyle name="Nota 2 2 4 10 13" xfId="46231"/>
    <cellStyle name="Nota 2 2 4 10 14" xfId="50309"/>
    <cellStyle name="Nota 2 2 4 10 2" xfId="6860"/>
    <cellStyle name="Nota 2 2 4 10 2 10" xfId="39118"/>
    <cellStyle name="Nota 2 2 4 10 2 11" xfId="43150"/>
    <cellStyle name="Nota 2 2 4 10 2 12" xfId="47182"/>
    <cellStyle name="Nota 2 2 4 10 2 13" xfId="51261"/>
    <cellStyle name="Nota 2 2 4 10 2 2" xfId="8876"/>
    <cellStyle name="Nota 2 2 4 10 2 2 10" xfId="45166"/>
    <cellStyle name="Nota 2 2 4 10 2 2 11" xfId="49198"/>
    <cellStyle name="Nota 2 2 4 10 2 2 12" xfId="53277"/>
    <cellStyle name="Nota 2 2 4 10 2 2 2" xfId="12910"/>
    <cellStyle name="Nota 2 2 4 10 2 2 3" xfId="16942"/>
    <cellStyle name="Nota 2 2 4 10 2 2 4" xfId="20974"/>
    <cellStyle name="Nota 2 2 4 10 2 2 5" xfId="25006"/>
    <cellStyle name="Nota 2 2 4 10 2 2 6" xfId="29038"/>
    <cellStyle name="Nota 2 2 4 10 2 2 7" xfId="33070"/>
    <cellStyle name="Nota 2 2 4 10 2 2 8" xfId="37102"/>
    <cellStyle name="Nota 2 2 4 10 2 2 9" xfId="41134"/>
    <cellStyle name="Nota 2 2 4 10 2 3" xfId="10894"/>
    <cellStyle name="Nota 2 2 4 10 2 4" xfId="14926"/>
    <cellStyle name="Nota 2 2 4 10 2 5" xfId="18958"/>
    <cellStyle name="Nota 2 2 4 10 2 6" xfId="22990"/>
    <cellStyle name="Nota 2 2 4 10 2 7" xfId="27022"/>
    <cellStyle name="Nota 2 2 4 10 2 8" xfId="31054"/>
    <cellStyle name="Nota 2 2 4 10 2 9" xfId="35086"/>
    <cellStyle name="Nota 2 2 4 10 3" xfId="7925"/>
    <cellStyle name="Nota 2 2 4 10 3 10" xfId="44215"/>
    <cellStyle name="Nota 2 2 4 10 3 11" xfId="48247"/>
    <cellStyle name="Nota 2 2 4 10 3 12" xfId="52326"/>
    <cellStyle name="Nota 2 2 4 10 3 2" xfId="11959"/>
    <cellStyle name="Nota 2 2 4 10 3 3" xfId="15991"/>
    <cellStyle name="Nota 2 2 4 10 3 4" xfId="20023"/>
    <cellStyle name="Nota 2 2 4 10 3 5" xfId="24055"/>
    <cellStyle name="Nota 2 2 4 10 3 6" xfId="28087"/>
    <cellStyle name="Nota 2 2 4 10 3 7" xfId="32119"/>
    <cellStyle name="Nota 2 2 4 10 3 8" xfId="36151"/>
    <cellStyle name="Nota 2 2 4 10 3 9" xfId="40183"/>
    <cellStyle name="Nota 2 2 4 10 4" xfId="9943"/>
    <cellStyle name="Nota 2 2 4 10 5" xfId="13975"/>
    <cellStyle name="Nota 2 2 4 10 6" xfId="18007"/>
    <cellStyle name="Nota 2 2 4 10 7" xfId="22039"/>
    <cellStyle name="Nota 2 2 4 10 8" xfId="26071"/>
    <cellStyle name="Nota 2 2 4 10 9" xfId="30103"/>
    <cellStyle name="Nota 2 2 4 11" xfId="4429"/>
    <cellStyle name="Nota 2 2 4 11 10" xfId="34273"/>
    <cellStyle name="Nota 2 2 4 11 11" xfId="38305"/>
    <cellStyle name="Nota 2 2 4 11 12" xfId="42337"/>
    <cellStyle name="Nota 2 2 4 11 13" xfId="46369"/>
    <cellStyle name="Nota 2 2 4 11 14" xfId="50448"/>
    <cellStyle name="Nota 2 2 4 11 2" xfId="6998"/>
    <cellStyle name="Nota 2 2 4 11 2 10" xfId="39256"/>
    <cellStyle name="Nota 2 2 4 11 2 11" xfId="43288"/>
    <cellStyle name="Nota 2 2 4 11 2 12" xfId="47320"/>
    <cellStyle name="Nota 2 2 4 11 2 13" xfId="51399"/>
    <cellStyle name="Nota 2 2 4 11 2 2" xfId="9014"/>
    <cellStyle name="Nota 2 2 4 11 2 2 10" xfId="45304"/>
    <cellStyle name="Nota 2 2 4 11 2 2 11" xfId="49336"/>
    <cellStyle name="Nota 2 2 4 11 2 2 12" xfId="53415"/>
    <cellStyle name="Nota 2 2 4 11 2 2 2" xfId="13048"/>
    <cellStyle name="Nota 2 2 4 11 2 2 3" xfId="17080"/>
    <cellStyle name="Nota 2 2 4 11 2 2 4" xfId="21112"/>
    <cellStyle name="Nota 2 2 4 11 2 2 5" xfId="25144"/>
    <cellStyle name="Nota 2 2 4 11 2 2 6" xfId="29176"/>
    <cellStyle name="Nota 2 2 4 11 2 2 7" xfId="33208"/>
    <cellStyle name="Nota 2 2 4 11 2 2 8" xfId="37240"/>
    <cellStyle name="Nota 2 2 4 11 2 2 9" xfId="41272"/>
    <cellStyle name="Nota 2 2 4 11 2 3" xfId="11032"/>
    <cellStyle name="Nota 2 2 4 11 2 4" xfId="15064"/>
    <cellStyle name="Nota 2 2 4 11 2 5" xfId="19096"/>
    <cellStyle name="Nota 2 2 4 11 2 6" xfId="23128"/>
    <cellStyle name="Nota 2 2 4 11 2 7" xfId="27160"/>
    <cellStyle name="Nota 2 2 4 11 2 8" xfId="31192"/>
    <cellStyle name="Nota 2 2 4 11 2 9" xfId="35224"/>
    <cellStyle name="Nota 2 2 4 11 3" xfId="8063"/>
    <cellStyle name="Nota 2 2 4 11 3 10" xfId="44353"/>
    <cellStyle name="Nota 2 2 4 11 3 11" xfId="48385"/>
    <cellStyle name="Nota 2 2 4 11 3 12" xfId="52464"/>
    <cellStyle name="Nota 2 2 4 11 3 2" xfId="12097"/>
    <cellStyle name="Nota 2 2 4 11 3 3" xfId="16129"/>
    <cellStyle name="Nota 2 2 4 11 3 4" xfId="20161"/>
    <cellStyle name="Nota 2 2 4 11 3 5" xfId="24193"/>
    <cellStyle name="Nota 2 2 4 11 3 6" xfId="28225"/>
    <cellStyle name="Nota 2 2 4 11 3 7" xfId="32257"/>
    <cellStyle name="Nota 2 2 4 11 3 8" xfId="36289"/>
    <cellStyle name="Nota 2 2 4 11 3 9" xfId="40321"/>
    <cellStyle name="Nota 2 2 4 11 4" xfId="10081"/>
    <cellStyle name="Nota 2 2 4 11 5" xfId="14113"/>
    <cellStyle name="Nota 2 2 4 11 6" xfId="18145"/>
    <cellStyle name="Nota 2 2 4 11 7" xfId="22177"/>
    <cellStyle name="Nota 2 2 4 11 8" xfId="26209"/>
    <cellStyle name="Nota 2 2 4 11 9" xfId="30241"/>
    <cellStyle name="Nota 2 2 4 12" xfId="4567"/>
    <cellStyle name="Nota 2 2 4 12 10" xfId="38443"/>
    <cellStyle name="Nota 2 2 4 12 11" xfId="42475"/>
    <cellStyle name="Nota 2 2 4 12 12" xfId="46507"/>
    <cellStyle name="Nota 2 2 4 12 13" xfId="50586"/>
    <cellStyle name="Nota 2 2 4 12 2" xfId="8201"/>
    <cellStyle name="Nota 2 2 4 12 2 10" xfId="44491"/>
    <cellStyle name="Nota 2 2 4 12 2 11" xfId="48523"/>
    <cellStyle name="Nota 2 2 4 12 2 12" xfId="52602"/>
    <cellStyle name="Nota 2 2 4 12 2 2" xfId="12235"/>
    <cellStyle name="Nota 2 2 4 12 2 3" xfId="16267"/>
    <cellStyle name="Nota 2 2 4 12 2 4" xfId="20299"/>
    <cellStyle name="Nota 2 2 4 12 2 5" xfId="24331"/>
    <cellStyle name="Nota 2 2 4 12 2 6" xfId="28363"/>
    <cellStyle name="Nota 2 2 4 12 2 7" xfId="32395"/>
    <cellStyle name="Nota 2 2 4 12 2 8" xfId="36427"/>
    <cellStyle name="Nota 2 2 4 12 2 9" xfId="40459"/>
    <cellStyle name="Nota 2 2 4 12 3" xfId="10219"/>
    <cellStyle name="Nota 2 2 4 12 4" xfId="14251"/>
    <cellStyle name="Nota 2 2 4 12 5" xfId="18283"/>
    <cellStyle name="Nota 2 2 4 12 6" xfId="22315"/>
    <cellStyle name="Nota 2 2 4 12 7" xfId="26347"/>
    <cellStyle name="Nota 2 2 4 12 8" xfId="30379"/>
    <cellStyle name="Nota 2 2 4 12 9" xfId="34411"/>
    <cellStyle name="Nota 2 2 4 13" xfId="295"/>
    <cellStyle name="Nota 2 2 4 13 10" xfId="37500"/>
    <cellStyle name="Nota 2 2 4 13 11" xfId="41532"/>
    <cellStyle name="Nota 2 2 4 13 12" xfId="45564"/>
    <cellStyle name="Nota 2 2 4 13 13" xfId="49642"/>
    <cellStyle name="Nota 2 2 4 13 2" xfId="7258"/>
    <cellStyle name="Nota 2 2 4 13 2 10" xfId="43548"/>
    <cellStyle name="Nota 2 2 4 13 2 11" xfId="47580"/>
    <cellStyle name="Nota 2 2 4 13 2 12" xfId="51659"/>
    <cellStyle name="Nota 2 2 4 13 2 2" xfId="11292"/>
    <cellStyle name="Nota 2 2 4 13 2 3" xfId="15324"/>
    <cellStyle name="Nota 2 2 4 13 2 4" xfId="19356"/>
    <cellStyle name="Nota 2 2 4 13 2 5" xfId="23388"/>
    <cellStyle name="Nota 2 2 4 13 2 6" xfId="27420"/>
    <cellStyle name="Nota 2 2 4 13 2 7" xfId="31452"/>
    <cellStyle name="Nota 2 2 4 13 2 8" xfId="35484"/>
    <cellStyle name="Nota 2 2 4 13 2 9" xfId="39516"/>
    <cellStyle name="Nota 2 2 4 13 3" xfId="9276"/>
    <cellStyle name="Nota 2 2 4 13 4" xfId="13308"/>
    <cellStyle name="Nota 2 2 4 13 5" xfId="17340"/>
    <cellStyle name="Nota 2 2 4 13 6" xfId="21372"/>
    <cellStyle name="Nota 2 2 4 13 7" xfId="25404"/>
    <cellStyle name="Nota 2 2 4 13 8" xfId="29436"/>
    <cellStyle name="Nota 2 2 4 13 9" xfId="33468"/>
    <cellStyle name="Nota 2 2 4 14" xfId="7136"/>
    <cellStyle name="Nota 2 2 4 14 10" xfId="43426"/>
    <cellStyle name="Nota 2 2 4 14 11" xfId="47458"/>
    <cellStyle name="Nota 2 2 4 14 12" xfId="51537"/>
    <cellStyle name="Nota 2 2 4 14 2" xfId="11170"/>
    <cellStyle name="Nota 2 2 4 14 3" xfId="15202"/>
    <cellStyle name="Nota 2 2 4 14 4" xfId="19234"/>
    <cellStyle name="Nota 2 2 4 14 5" xfId="23266"/>
    <cellStyle name="Nota 2 2 4 14 6" xfId="27298"/>
    <cellStyle name="Nota 2 2 4 14 7" xfId="31330"/>
    <cellStyle name="Nota 2 2 4 14 8" xfId="35362"/>
    <cellStyle name="Nota 2 2 4 14 9" xfId="39394"/>
    <cellStyle name="Nota 2 2 4 15" xfId="162"/>
    <cellStyle name="Nota 2 2 4 16" xfId="9154"/>
    <cellStyle name="Nota 2 2 4 17" xfId="13186"/>
    <cellStyle name="Nota 2 2 4 18" xfId="17218"/>
    <cellStyle name="Nota 2 2 4 19" xfId="21250"/>
    <cellStyle name="Nota 2 2 4 2" xfId="241"/>
    <cellStyle name="Nota 2 2 4 2 10" xfId="17287"/>
    <cellStyle name="Nota 2 2 4 2 11" xfId="21319"/>
    <cellStyle name="Nota 2 2 4 2 12" xfId="25351"/>
    <cellStyle name="Nota 2 2 4 2 13" xfId="29383"/>
    <cellStyle name="Nota 2 2 4 2 14" xfId="33415"/>
    <cellStyle name="Nota 2 2 4 2 15" xfId="37447"/>
    <cellStyle name="Nota 2 2 4 2 16" xfId="41479"/>
    <cellStyle name="Nota 2 2 4 2 17" xfId="45511"/>
    <cellStyle name="Nota 2 2 4 2 18" xfId="49589"/>
    <cellStyle name="Nota 2 2 4 2 2" xfId="1558"/>
    <cellStyle name="Nota 2 2 4 2 2 2" xfId="5270"/>
    <cellStyle name="Nota 2 2 4 2 3" xfId="4359"/>
    <cellStyle name="Nota 2 2 4 2 3 10" xfId="34204"/>
    <cellStyle name="Nota 2 2 4 2 3 11" xfId="38236"/>
    <cellStyle name="Nota 2 2 4 2 3 12" xfId="42268"/>
    <cellStyle name="Nota 2 2 4 2 3 13" xfId="46300"/>
    <cellStyle name="Nota 2 2 4 2 3 14" xfId="50379"/>
    <cellStyle name="Nota 2 2 4 2 3 2" xfId="6929"/>
    <cellStyle name="Nota 2 2 4 2 3 2 10" xfId="39187"/>
    <cellStyle name="Nota 2 2 4 2 3 2 11" xfId="43219"/>
    <cellStyle name="Nota 2 2 4 2 3 2 12" xfId="47251"/>
    <cellStyle name="Nota 2 2 4 2 3 2 13" xfId="51330"/>
    <cellStyle name="Nota 2 2 4 2 3 2 2" xfId="8945"/>
    <cellStyle name="Nota 2 2 4 2 3 2 2 10" xfId="45235"/>
    <cellStyle name="Nota 2 2 4 2 3 2 2 11" xfId="49267"/>
    <cellStyle name="Nota 2 2 4 2 3 2 2 12" xfId="53346"/>
    <cellStyle name="Nota 2 2 4 2 3 2 2 2" xfId="12979"/>
    <cellStyle name="Nota 2 2 4 2 3 2 2 3" xfId="17011"/>
    <cellStyle name="Nota 2 2 4 2 3 2 2 4" xfId="21043"/>
    <cellStyle name="Nota 2 2 4 2 3 2 2 5" xfId="25075"/>
    <cellStyle name="Nota 2 2 4 2 3 2 2 6" xfId="29107"/>
    <cellStyle name="Nota 2 2 4 2 3 2 2 7" xfId="33139"/>
    <cellStyle name="Nota 2 2 4 2 3 2 2 8" xfId="37171"/>
    <cellStyle name="Nota 2 2 4 2 3 2 2 9" xfId="41203"/>
    <cellStyle name="Nota 2 2 4 2 3 2 3" xfId="10963"/>
    <cellStyle name="Nota 2 2 4 2 3 2 4" xfId="14995"/>
    <cellStyle name="Nota 2 2 4 2 3 2 5" xfId="19027"/>
    <cellStyle name="Nota 2 2 4 2 3 2 6" xfId="23059"/>
    <cellStyle name="Nota 2 2 4 2 3 2 7" xfId="27091"/>
    <cellStyle name="Nota 2 2 4 2 3 2 8" xfId="31123"/>
    <cellStyle name="Nota 2 2 4 2 3 2 9" xfId="35155"/>
    <cellStyle name="Nota 2 2 4 2 3 3" xfId="7994"/>
    <cellStyle name="Nota 2 2 4 2 3 3 10" xfId="44284"/>
    <cellStyle name="Nota 2 2 4 2 3 3 11" xfId="48316"/>
    <cellStyle name="Nota 2 2 4 2 3 3 12" xfId="52395"/>
    <cellStyle name="Nota 2 2 4 2 3 3 2" xfId="12028"/>
    <cellStyle name="Nota 2 2 4 2 3 3 3" xfId="16060"/>
    <cellStyle name="Nota 2 2 4 2 3 3 4" xfId="20092"/>
    <cellStyle name="Nota 2 2 4 2 3 3 5" xfId="24124"/>
    <cellStyle name="Nota 2 2 4 2 3 3 6" xfId="28156"/>
    <cellStyle name="Nota 2 2 4 2 3 3 7" xfId="32188"/>
    <cellStyle name="Nota 2 2 4 2 3 3 8" xfId="36220"/>
    <cellStyle name="Nota 2 2 4 2 3 3 9" xfId="40252"/>
    <cellStyle name="Nota 2 2 4 2 3 4" xfId="10012"/>
    <cellStyle name="Nota 2 2 4 2 3 5" xfId="14044"/>
    <cellStyle name="Nota 2 2 4 2 3 6" xfId="18076"/>
    <cellStyle name="Nota 2 2 4 2 3 7" xfId="22108"/>
    <cellStyle name="Nota 2 2 4 2 3 8" xfId="26140"/>
    <cellStyle name="Nota 2 2 4 2 3 9" xfId="30172"/>
    <cellStyle name="Nota 2 2 4 2 4" xfId="4498"/>
    <cellStyle name="Nota 2 2 4 2 4 10" xfId="34342"/>
    <cellStyle name="Nota 2 2 4 2 4 11" xfId="38374"/>
    <cellStyle name="Nota 2 2 4 2 4 12" xfId="42406"/>
    <cellStyle name="Nota 2 2 4 2 4 13" xfId="46438"/>
    <cellStyle name="Nota 2 2 4 2 4 14" xfId="50517"/>
    <cellStyle name="Nota 2 2 4 2 4 2" xfId="7067"/>
    <cellStyle name="Nota 2 2 4 2 4 2 10" xfId="39325"/>
    <cellStyle name="Nota 2 2 4 2 4 2 11" xfId="43357"/>
    <cellStyle name="Nota 2 2 4 2 4 2 12" xfId="47389"/>
    <cellStyle name="Nota 2 2 4 2 4 2 13" xfId="51468"/>
    <cellStyle name="Nota 2 2 4 2 4 2 2" xfId="9083"/>
    <cellStyle name="Nota 2 2 4 2 4 2 2 10" xfId="45373"/>
    <cellStyle name="Nota 2 2 4 2 4 2 2 11" xfId="49405"/>
    <cellStyle name="Nota 2 2 4 2 4 2 2 12" xfId="53484"/>
    <cellStyle name="Nota 2 2 4 2 4 2 2 2" xfId="13117"/>
    <cellStyle name="Nota 2 2 4 2 4 2 2 3" xfId="17149"/>
    <cellStyle name="Nota 2 2 4 2 4 2 2 4" xfId="21181"/>
    <cellStyle name="Nota 2 2 4 2 4 2 2 5" xfId="25213"/>
    <cellStyle name="Nota 2 2 4 2 4 2 2 6" xfId="29245"/>
    <cellStyle name="Nota 2 2 4 2 4 2 2 7" xfId="33277"/>
    <cellStyle name="Nota 2 2 4 2 4 2 2 8" xfId="37309"/>
    <cellStyle name="Nota 2 2 4 2 4 2 2 9" xfId="41341"/>
    <cellStyle name="Nota 2 2 4 2 4 2 3" xfId="11101"/>
    <cellStyle name="Nota 2 2 4 2 4 2 4" xfId="15133"/>
    <cellStyle name="Nota 2 2 4 2 4 2 5" xfId="19165"/>
    <cellStyle name="Nota 2 2 4 2 4 2 6" xfId="23197"/>
    <cellStyle name="Nota 2 2 4 2 4 2 7" xfId="27229"/>
    <cellStyle name="Nota 2 2 4 2 4 2 8" xfId="31261"/>
    <cellStyle name="Nota 2 2 4 2 4 2 9" xfId="35293"/>
    <cellStyle name="Nota 2 2 4 2 4 3" xfId="8132"/>
    <cellStyle name="Nota 2 2 4 2 4 3 10" xfId="44422"/>
    <cellStyle name="Nota 2 2 4 2 4 3 11" xfId="48454"/>
    <cellStyle name="Nota 2 2 4 2 4 3 12" xfId="52533"/>
    <cellStyle name="Nota 2 2 4 2 4 3 2" xfId="12166"/>
    <cellStyle name="Nota 2 2 4 2 4 3 3" xfId="16198"/>
    <cellStyle name="Nota 2 2 4 2 4 3 4" xfId="20230"/>
    <cellStyle name="Nota 2 2 4 2 4 3 5" xfId="24262"/>
    <cellStyle name="Nota 2 2 4 2 4 3 6" xfId="28294"/>
    <cellStyle name="Nota 2 2 4 2 4 3 7" xfId="32326"/>
    <cellStyle name="Nota 2 2 4 2 4 3 8" xfId="36358"/>
    <cellStyle name="Nota 2 2 4 2 4 3 9" xfId="40390"/>
    <cellStyle name="Nota 2 2 4 2 4 4" xfId="10150"/>
    <cellStyle name="Nota 2 2 4 2 4 5" xfId="14182"/>
    <cellStyle name="Nota 2 2 4 2 4 6" xfId="18214"/>
    <cellStyle name="Nota 2 2 4 2 4 7" xfId="22246"/>
    <cellStyle name="Nota 2 2 4 2 4 8" xfId="26278"/>
    <cellStyle name="Nota 2 2 4 2 4 9" xfId="30310"/>
    <cellStyle name="Nota 2 2 4 2 5" xfId="4638"/>
    <cellStyle name="Nota 2 2 4 2 5 10" xfId="38512"/>
    <cellStyle name="Nota 2 2 4 2 5 11" xfId="42544"/>
    <cellStyle name="Nota 2 2 4 2 5 12" xfId="46576"/>
    <cellStyle name="Nota 2 2 4 2 5 13" xfId="50655"/>
    <cellStyle name="Nota 2 2 4 2 5 2" xfId="8270"/>
    <cellStyle name="Nota 2 2 4 2 5 2 10" xfId="44560"/>
    <cellStyle name="Nota 2 2 4 2 5 2 11" xfId="48592"/>
    <cellStyle name="Nota 2 2 4 2 5 2 12" xfId="52671"/>
    <cellStyle name="Nota 2 2 4 2 5 2 2" xfId="12304"/>
    <cellStyle name="Nota 2 2 4 2 5 2 3" xfId="16336"/>
    <cellStyle name="Nota 2 2 4 2 5 2 4" xfId="20368"/>
    <cellStyle name="Nota 2 2 4 2 5 2 5" xfId="24400"/>
    <cellStyle name="Nota 2 2 4 2 5 2 6" xfId="28432"/>
    <cellStyle name="Nota 2 2 4 2 5 2 7" xfId="32464"/>
    <cellStyle name="Nota 2 2 4 2 5 2 8" xfId="36496"/>
    <cellStyle name="Nota 2 2 4 2 5 2 9" xfId="40528"/>
    <cellStyle name="Nota 2 2 4 2 5 3" xfId="10288"/>
    <cellStyle name="Nota 2 2 4 2 5 4" xfId="14320"/>
    <cellStyle name="Nota 2 2 4 2 5 5" xfId="18352"/>
    <cellStyle name="Nota 2 2 4 2 5 6" xfId="22384"/>
    <cellStyle name="Nota 2 2 4 2 5 7" xfId="26416"/>
    <cellStyle name="Nota 2 2 4 2 5 8" xfId="30448"/>
    <cellStyle name="Nota 2 2 4 2 5 9" xfId="34480"/>
    <cellStyle name="Nota 2 2 4 2 6" xfId="1458"/>
    <cellStyle name="Nota 2 2 4 2 7" xfId="7205"/>
    <cellStyle name="Nota 2 2 4 2 7 10" xfId="43495"/>
    <cellStyle name="Nota 2 2 4 2 7 11" xfId="47527"/>
    <cellStyle name="Nota 2 2 4 2 7 12" xfId="51606"/>
    <cellStyle name="Nota 2 2 4 2 7 2" xfId="11239"/>
    <cellStyle name="Nota 2 2 4 2 7 3" xfId="15271"/>
    <cellStyle name="Nota 2 2 4 2 7 4" xfId="19303"/>
    <cellStyle name="Nota 2 2 4 2 7 5" xfId="23335"/>
    <cellStyle name="Nota 2 2 4 2 7 6" xfId="27367"/>
    <cellStyle name="Nota 2 2 4 2 7 7" xfId="31399"/>
    <cellStyle name="Nota 2 2 4 2 7 8" xfId="35431"/>
    <cellStyle name="Nota 2 2 4 2 7 9" xfId="39463"/>
    <cellStyle name="Nota 2 2 4 2 8" xfId="9223"/>
    <cellStyle name="Nota 2 2 4 2 9" xfId="13255"/>
    <cellStyle name="Nota 2 2 4 20" xfId="25282"/>
    <cellStyle name="Nota 2 2 4 21" xfId="29314"/>
    <cellStyle name="Nota 2 2 4 22" xfId="33346"/>
    <cellStyle name="Nota 2 2 4 23" xfId="37378"/>
    <cellStyle name="Nota 2 2 4 24" xfId="41410"/>
    <cellStyle name="Nota 2 2 4 25" xfId="45442"/>
    <cellStyle name="Nota 2 2 4 26" xfId="49520"/>
    <cellStyle name="Nota 2 2 4 3" xfId="1298"/>
    <cellStyle name="Nota 2 2 4 3 2" xfId="5102"/>
    <cellStyle name="Nota 2 2 4 4" xfId="365"/>
    <cellStyle name="Nota 2 2 4 4 10" xfId="33538"/>
    <cellStyle name="Nota 2 2 4 4 11" xfId="37570"/>
    <cellStyle name="Nota 2 2 4 4 12" xfId="41602"/>
    <cellStyle name="Nota 2 2 4 4 13" xfId="45634"/>
    <cellStyle name="Nota 2 2 4 4 14" xfId="49712"/>
    <cellStyle name="Nota 2 2 4 4 2" xfId="4669"/>
    <cellStyle name="Nota 2 2 4 4 2 10" xfId="38543"/>
    <cellStyle name="Nota 2 2 4 4 2 11" xfId="42575"/>
    <cellStyle name="Nota 2 2 4 4 2 12" xfId="46607"/>
    <cellStyle name="Nota 2 2 4 4 2 13" xfId="50686"/>
    <cellStyle name="Nota 2 2 4 4 2 2" xfId="8301"/>
    <cellStyle name="Nota 2 2 4 4 2 2 10" xfId="44591"/>
    <cellStyle name="Nota 2 2 4 4 2 2 11" xfId="48623"/>
    <cellStyle name="Nota 2 2 4 4 2 2 12" xfId="52702"/>
    <cellStyle name="Nota 2 2 4 4 2 2 2" xfId="12335"/>
    <cellStyle name="Nota 2 2 4 4 2 2 3" xfId="16367"/>
    <cellStyle name="Nota 2 2 4 4 2 2 4" xfId="20399"/>
    <cellStyle name="Nota 2 2 4 4 2 2 5" xfId="24431"/>
    <cellStyle name="Nota 2 2 4 4 2 2 6" xfId="28463"/>
    <cellStyle name="Nota 2 2 4 4 2 2 7" xfId="32495"/>
    <cellStyle name="Nota 2 2 4 4 2 2 8" xfId="36527"/>
    <cellStyle name="Nota 2 2 4 4 2 2 9" xfId="40559"/>
    <cellStyle name="Nota 2 2 4 4 2 3" xfId="10319"/>
    <cellStyle name="Nota 2 2 4 4 2 4" xfId="14351"/>
    <cellStyle name="Nota 2 2 4 4 2 5" xfId="18383"/>
    <cellStyle name="Nota 2 2 4 4 2 6" xfId="22415"/>
    <cellStyle name="Nota 2 2 4 4 2 7" xfId="26447"/>
    <cellStyle name="Nota 2 2 4 4 2 8" xfId="30479"/>
    <cellStyle name="Nota 2 2 4 4 2 9" xfId="34511"/>
    <cellStyle name="Nota 2 2 4 4 3" xfId="7328"/>
    <cellStyle name="Nota 2 2 4 4 3 10" xfId="43618"/>
    <cellStyle name="Nota 2 2 4 4 3 11" xfId="47650"/>
    <cellStyle name="Nota 2 2 4 4 3 12" xfId="51729"/>
    <cellStyle name="Nota 2 2 4 4 3 2" xfId="11362"/>
    <cellStyle name="Nota 2 2 4 4 3 3" xfId="15394"/>
    <cellStyle name="Nota 2 2 4 4 3 4" xfId="19426"/>
    <cellStyle name="Nota 2 2 4 4 3 5" xfId="23458"/>
    <cellStyle name="Nota 2 2 4 4 3 6" xfId="27490"/>
    <cellStyle name="Nota 2 2 4 4 3 7" xfId="31522"/>
    <cellStyle name="Nota 2 2 4 4 3 8" xfId="35554"/>
    <cellStyle name="Nota 2 2 4 4 3 9" xfId="39586"/>
    <cellStyle name="Nota 2 2 4 4 4" xfId="9346"/>
    <cellStyle name="Nota 2 2 4 4 5" xfId="13378"/>
    <cellStyle name="Nota 2 2 4 4 6" xfId="17410"/>
    <cellStyle name="Nota 2 2 4 4 7" xfId="21442"/>
    <cellStyle name="Nota 2 2 4 4 8" xfId="25474"/>
    <cellStyle name="Nota 2 2 4 4 9" xfId="29506"/>
    <cellStyle name="Nota 2 2 4 5" xfId="1675"/>
    <cellStyle name="Nota 2 2 4 5 10" xfId="33636"/>
    <cellStyle name="Nota 2 2 4 5 11" xfId="37668"/>
    <cellStyle name="Nota 2 2 4 5 12" xfId="41700"/>
    <cellStyle name="Nota 2 2 4 5 13" xfId="45732"/>
    <cellStyle name="Nota 2 2 4 5 14" xfId="49810"/>
    <cellStyle name="Nota 2 2 4 5 2" xfId="5351"/>
    <cellStyle name="Nota 2 2 4 5 2 10" xfId="38619"/>
    <cellStyle name="Nota 2 2 4 5 2 11" xfId="42651"/>
    <cellStyle name="Nota 2 2 4 5 2 12" xfId="46683"/>
    <cellStyle name="Nota 2 2 4 5 2 13" xfId="50762"/>
    <cellStyle name="Nota 2 2 4 5 2 2" xfId="8377"/>
    <cellStyle name="Nota 2 2 4 5 2 2 10" xfId="44667"/>
    <cellStyle name="Nota 2 2 4 5 2 2 11" xfId="48699"/>
    <cellStyle name="Nota 2 2 4 5 2 2 12" xfId="52778"/>
    <cellStyle name="Nota 2 2 4 5 2 2 2" xfId="12411"/>
    <cellStyle name="Nota 2 2 4 5 2 2 3" xfId="16443"/>
    <cellStyle name="Nota 2 2 4 5 2 2 4" xfId="20475"/>
    <cellStyle name="Nota 2 2 4 5 2 2 5" xfId="24507"/>
    <cellStyle name="Nota 2 2 4 5 2 2 6" xfId="28539"/>
    <cellStyle name="Nota 2 2 4 5 2 2 7" xfId="32571"/>
    <cellStyle name="Nota 2 2 4 5 2 2 8" xfId="36603"/>
    <cellStyle name="Nota 2 2 4 5 2 2 9" xfId="40635"/>
    <cellStyle name="Nota 2 2 4 5 2 3" xfId="10395"/>
    <cellStyle name="Nota 2 2 4 5 2 4" xfId="14427"/>
    <cellStyle name="Nota 2 2 4 5 2 5" xfId="18459"/>
    <cellStyle name="Nota 2 2 4 5 2 6" xfId="22491"/>
    <cellStyle name="Nota 2 2 4 5 2 7" xfId="26523"/>
    <cellStyle name="Nota 2 2 4 5 2 8" xfId="30555"/>
    <cellStyle name="Nota 2 2 4 5 2 9" xfId="34587"/>
    <cellStyle name="Nota 2 2 4 5 3" xfId="7426"/>
    <cellStyle name="Nota 2 2 4 5 3 10" xfId="43716"/>
    <cellStyle name="Nota 2 2 4 5 3 11" xfId="47748"/>
    <cellStyle name="Nota 2 2 4 5 3 12" xfId="51827"/>
    <cellStyle name="Nota 2 2 4 5 3 2" xfId="11460"/>
    <cellStyle name="Nota 2 2 4 5 3 3" xfId="15492"/>
    <cellStyle name="Nota 2 2 4 5 3 4" xfId="19524"/>
    <cellStyle name="Nota 2 2 4 5 3 5" xfId="23556"/>
    <cellStyle name="Nota 2 2 4 5 3 6" xfId="27588"/>
    <cellStyle name="Nota 2 2 4 5 3 7" xfId="31620"/>
    <cellStyle name="Nota 2 2 4 5 3 8" xfId="35652"/>
    <cellStyle name="Nota 2 2 4 5 3 9" xfId="39684"/>
    <cellStyle name="Nota 2 2 4 5 4" xfId="9444"/>
    <cellStyle name="Nota 2 2 4 5 5" xfId="13476"/>
    <cellStyle name="Nota 2 2 4 5 6" xfId="17508"/>
    <cellStyle name="Nota 2 2 4 5 7" xfId="21540"/>
    <cellStyle name="Nota 2 2 4 5 8" xfId="25572"/>
    <cellStyle name="Nota 2 2 4 5 9" xfId="29604"/>
    <cellStyle name="Nota 2 2 4 6" xfId="1749"/>
    <cellStyle name="Nota 2 2 4 6 10" xfId="33705"/>
    <cellStyle name="Nota 2 2 4 6 11" xfId="37737"/>
    <cellStyle name="Nota 2 2 4 6 12" xfId="41769"/>
    <cellStyle name="Nota 2 2 4 6 13" xfId="45801"/>
    <cellStyle name="Nota 2 2 4 6 14" xfId="49879"/>
    <cellStyle name="Nota 2 2 4 6 2" xfId="5420"/>
    <cellStyle name="Nota 2 2 4 6 2 10" xfId="38688"/>
    <cellStyle name="Nota 2 2 4 6 2 11" xfId="42720"/>
    <cellStyle name="Nota 2 2 4 6 2 12" xfId="46752"/>
    <cellStyle name="Nota 2 2 4 6 2 13" xfId="50831"/>
    <cellStyle name="Nota 2 2 4 6 2 2" xfId="8446"/>
    <cellStyle name="Nota 2 2 4 6 2 2 10" xfId="44736"/>
    <cellStyle name="Nota 2 2 4 6 2 2 11" xfId="48768"/>
    <cellStyle name="Nota 2 2 4 6 2 2 12" xfId="52847"/>
    <cellStyle name="Nota 2 2 4 6 2 2 2" xfId="12480"/>
    <cellStyle name="Nota 2 2 4 6 2 2 3" xfId="16512"/>
    <cellStyle name="Nota 2 2 4 6 2 2 4" xfId="20544"/>
    <cellStyle name="Nota 2 2 4 6 2 2 5" xfId="24576"/>
    <cellStyle name="Nota 2 2 4 6 2 2 6" xfId="28608"/>
    <cellStyle name="Nota 2 2 4 6 2 2 7" xfId="32640"/>
    <cellStyle name="Nota 2 2 4 6 2 2 8" xfId="36672"/>
    <cellStyle name="Nota 2 2 4 6 2 2 9" xfId="40704"/>
    <cellStyle name="Nota 2 2 4 6 2 3" xfId="10464"/>
    <cellStyle name="Nota 2 2 4 6 2 4" xfId="14496"/>
    <cellStyle name="Nota 2 2 4 6 2 5" xfId="18528"/>
    <cellStyle name="Nota 2 2 4 6 2 6" xfId="22560"/>
    <cellStyle name="Nota 2 2 4 6 2 7" xfId="26592"/>
    <cellStyle name="Nota 2 2 4 6 2 8" xfId="30624"/>
    <cellStyle name="Nota 2 2 4 6 2 9" xfId="34656"/>
    <cellStyle name="Nota 2 2 4 6 3" xfId="7495"/>
    <cellStyle name="Nota 2 2 4 6 3 10" xfId="43785"/>
    <cellStyle name="Nota 2 2 4 6 3 11" xfId="47817"/>
    <cellStyle name="Nota 2 2 4 6 3 12" xfId="51896"/>
    <cellStyle name="Nota 2 2 4 6 3 2" xfId="11529"/>
    <cellStyle name="Nota 2 2 4 6 3 3" xfId="15561"/>
    <cellStyle name="Nota 2 2 4 6 3 4" xfId="19593"/>
    <cellStyle name="Nota 2 2 4 6 3 5" xfId="23625"/>
    <cellStyle name="Nota 2 2 4 6 3 6" xfId="27657"/>
    <cellStyle name="Nota 2 2 4 6 3 7" xfId="31689"/>
    <cellStyle name="Nota 2 2 4 6 3 8" xfId="35721"/>
    <cellStyle name="Nota 2 2 4 6 3 9" xfId="39753"/>
    <cellStyle name="Nota 2 2 4 6 4" xfId="9513"/>
    <cellStyle name="Nota 2 2 4 6 5" xfId="13545"/>
    <cellStyle name="Nota 2 2 4 6 6" xfId="17577"/>
    <cellStyle name="Nota 2 2 4 6 7" xfId="21609"/>
    <cellStyle name="Nota 2 2 4 6 8" xfId="25641"/>
    <cellStyle name="Nota 2 2 4 6 9" xfId="29673"/>
    <cellStyle name="Nota 2 2 4 7" xfId="4071"/>
    <cellStyle name="Nota 2 2 4 7 10" xfId="33928"/>
    <cellStyle name="Nota 2 2 4 7 11" xfId="37960"/>
    <cellStyle name="Nota 2 2 4 7 12" xfId="41992"/>
    <cellStyle name="Nota 2 2 4 7 13" xfId="46024"/>
    <cellStyle name="Nota 2 2 4 7 14" xfId="50102"/>
    <cellStyle name="Nota 2 2 4 7 2" xfId="6653"/>
    <cellStyle name="Nota 2 2 4 7 2 10" xfId="38911"/>
    <cellStyle name="Nota 2 2 4 7 2 11" xfId="42943"/>
    <cellStyle name="Nota 2 2 4 7 2 12" xfId="46975"/>
    <cellStyle name="Nota 2 2 4 7 2 13" xfId="51054"/>
    <cellStyle name="Nota 2 2 4 7 2 2" xfId="8669"/>
    <cellStyle name="Nota 2 2 4 7 2 2 10" xfId="44959"/>
    <cellStyle name="Nota 2 2 4 7 2 2 11" xfId="48991"/>
    <cellStyle name="Nota 2 2 4 7 2 2 12" xfId="53070"/>
    <cellStyle name="Nota 2 2 4 7 2 2 2" xfId="12703"/>
    <cellStyle name="Nota 2 2 4 7 2 2 3" xfId="16735"/>
    <cellStyle name="Nota 2 2 4 7 2 2 4" xfId="20767"/>
    <cellStyle name="Nota 2 2 4 7 2 2 5" xfId="24799"/>
    <cellStyle name="Nota 2 2 4 7 2 2 6" xfId="28831"/>
    <cellStyle name="Nota 2 2 4 7 2 2 7" xfId="32863"/>
    <cellStyle name="Nota 2 2 4 7 2 2 8" xfId="36895"/>
    <cellStyle name="Nota 2 2 4 7 2 2 9" xfId="40927"/>
    <cellStyle name="Nota 2 2 4 7 2 3" xfId="10687"/>
    <cellStyle name="Nota 2 2 4 7 2 4" xfId="14719"/>
    <cellStyle name="Nota 2 2 4 7 2 5" xfId="18751"/>
    <cellStyle name="Nota 2 2 4 7 2 6" xfId="22783"/>
    <cellStyle name="Nota 2 2 4 7 2 7" xfId="26815"/>
    <cellStyle name="Nota 2 2 4 7 2 8" xfId="30847"/>
    <cellStyle name="Nota 2 2 4 7 2 9" xfId="34879"/>
    <cellStyle name="Nota 2 2 4 7 3" xfId="7718"/>
    <cellStyle name="Nota 2 2 4 7 3 10" xfId="44008"/>
    <cellStyle name="Nota 2 2 4 7 3 11" xfId="48040"/>
    <cellStyle name="Nota 2 2 4 7 3 12" xfId="52119"/>
    <cellStyle name="Nota 2 2 4 7 3 2" xfId="11752"/>
    <cellStyle name="Nota 2 2 4 7 3 3" xfId="15784"/>
    <cellStyle name="Nota 2 2 4 7 3 4" xfId="19816"/>
    <cellStyle name="Nota 2 2 4 7 3 5" xfId="23848"/>
    <cellStyle name="Nota 2 2 4 7 3 6" xfId="27880"/>
    <cellStyle name="Nota 2 2 4 7 3 7" xfId="31912"/>
    <cellStyle name="Nota 2 2 4 7 3 8" xfId="35944"/>
    <cellStyle name="Nota 2 2 4 7 3 9" xfId="39976"/>
    <cellStyle name="Nota 2 2 4 7 4" xfId="9736"/>
    <cellStyle name="Nota 2 2 4 7 5" xfId="13768"/>
    <cellStyle name="Nota 2 2 4 7 6" xfId="17800"/>
    <cellStyle name="Nota 2 2 4 7 7" xfId="21832"/>
    <cellStyle name="Nota 2 2 4 7 8" xfId="25864"/>
    <cellStyle name="Nota 2 2 4 7 9" xfId="29896"/>
    <cellStyle name="Nota 2 2 4 8" xfId="4141"/>
    <cellStyle name="Nota 2 2 4 8 10" xfId="33997"/>
    <cellStyle name="Nota 2 2 4 8 11" xfId="38029"/>
    <cellStyle name="Nota 2 2 4 8 12" xfId="42061"/>
    <cellStyle name="Nota 2 2 4 8 13" xfId="46093"/>
    <cellStyle name="Nota 2 2 4 8 14" xfId="50171"/>
    <cellStyle name="Nota 2 2 4 8 2" xfId="6722"/>
    <cellStyle name="Nota 2 2 4 8 2 10" xfId="38980"/>
    <cellStyle name="Nota 2 2 4 8 2 11" xfId="43012"/>
    <cellStyle name="Nota 2 2 4 8 2 12" xfId="47044"/>
    <cellStyle name="Nota 2 2 4 8 2 13" xfId="51123"/>
    <cellStyle name="Nota 2 2 4 8 2 2" xfId="8738"/>
    <cellStyle name="Nota 2 2 4 8 2 2 10" xfId="45028"/>
    <cellStyle name="Nota 2 2 4 8 2 2 11" xfId="49060"/>
    <cellStyle name="Nota 2 2 4 8 2 2 12" xfId="53139"/>
    <cellStyle name="Nota 2 2 4 8 2 2 2" xfId="12772"/>
    <cellStyle name="Nota 2 2 4 8 2 2 3" xfId="16804"/>
    <cellStyle name="Nota 2 2 4 8 2 2 4" xfId="20836"/>
    <cellStyle name="Nota 2 2 4 8 2 2 5" xfId="24868"/>
    <cellStyle name="Nota 2 2 4 8 2 2 6" xfId="28900"/>
    <cellStyle name="Nota 2 2 4 8 2 2 7" xfId="32932"/>
    <cellStyle name="Nota 2 2 4 8 2 2 8" xfId="36964"/>
    <cellStyle name="Nota 2 2 4 8 2 2 9" xfId="40996"/>
    <cellStyle name="Nota 2 2 4 8 2 3" xfId="10756"/>
    <cellStyle name="Nota 2 2 4 8 2 4" xfId="14788"/>
    <cellStyle name="Nota 2 2 4 8 2 5" xfId="18820"/>
    <cellStyle name="Nota 2 2 4 8 2 6" xfId="22852"/>
    <cellStyle name="Nota 2 2 4 8 2 7" xfId="26884"/>
    <cellStyle name="Nota 2 2 4 8 2 8" xfId="30916"/>
    <cellStyle name="Nota 2 2 4 8 2 9" xfId="34948"/>
    <cellStyle name="Nota 2 2 4 8 3" xfId="7787"/>
    <cellStyle name="Nota 2 2 4 8 3 10" xfId="44077"/>
    <cellStyle name="Nota 2 2 4 8 3 11" xfId="48109"/>
    <cellStyle name="Nota 2 2 4 8 3 12" xfId="52188"/>
    <cellStyle name="Nota 2 2 4 8 3 2" xfId="11821"/>
    <cellStyle name="Nota 2 2 4 8 3 3" xfId="15853"/>
    <cellStyle name="Nota 2 2 4 8 3 4" xfId="19885"/>
    <cellStyle name="Nota 2 2 4 8 3 5" xfId="23917"/>
    <cellStyle name="Nota 2 2 4 8 3 6" xfId="27949"/>
    <cellStyle name="Nota 2 2 4 8 3 7" xfId="31981"/>
    <cellStyle name="Nota 2 2 4 8 3 8" xfId="36013"/>
    <cellStyle name="Nota 2 2 4 8 3 9" xfId="40045"/>
    <cellStyle name="Nota 2 2 4 8 4" xfId="9805"/>
    <cellStyle name="Nota 2 2 4 8 5" xfId="13837"/>
    <cellStyle name="Nota 2 2 4 8 6" xfId="17869"/>
    <cellStyle name="Nota 2 2 4 8 7" xfId="21901"/>
    <cellStyle name="Nota 2 2 4 8 8" xfId="25933"/>
    <cellStyle name="Nota 2 2 4 8 9" xfId="29965"/>
    <cellStyle name="Nota 2 2 4 9" xfId="4210"/>
    <cellStyle name="Nota 2 2 4 9 10" xfId="34066"/>
    <cellStyle name="Nota 2 2 4 9 11" xfId="38098"/>
    <cellStyle name="Nota 2 2 4 9 12" xfId="42130"/>
    <cellStyle name="Nota 2 2 4 9 13" xfId="46162"/>
    <cellStyle name="Nota 2 2 4 9 14" xfId="50240"/>
    <cellStyle name="Nota 2 2 4 9 2" xfId="6791"/>
    <cellStyle name="Nota 2 2 4 9 2 10" xfId="39049"/>
    <cellStyle name="Nota 2 2 4 9 2 11" xfId="43081"/>
    <cellStyle name="Nota 2 2 4 9 2 12" xfId="47113"/>
    <cellStyle name="Nota 2 2 4 9 2 13" xfId="51192"/>
    <cellStyle name="Nota 2 2 4 9 2 2" xfId="8807"/>
    <cellStyle name="Nota 2 2 4 9 2 2 10" xfId="45097"/>
    <cellStyle name="Nota 2 2 4 9 2 2 11" xfId="49129"/>
    <cellStyle name="Nota 2 2 4 9 2 2 12" xfId="53208"/>
    <cellStyle name="Nota 2 2 4 9 2 2 2" xfId="12841"/>
    <cellStyle name="Nota 2 2 4 9 2 2 3" xfId="16873"/>
    <cellStyle name="Nota 2 2 4 9 2 2 4" xfId="20905"/>
    <cellStyle name="Nota 2 2 4 9 2 2 5" xfId="24937"/>
    <cellStyle name="Nota 2 2 4 9 2 2 6" xfId="28969"/>
    <cellStyle name="Nota 2 2 4 9 2 2 7" xfId="33001"/>
    <cellStyle name="Nota 2 2 4 9 2 2 8" xfId="37033"/>
    <cellStyle name="Nota 2 2 4 9 2 2 9" xfId="41065"/>
    <cellStyle name="Nota 2 2 4 9 2 3" xfId="10825"/>
    <cellStyle name="Nota 2 2 4 9 2 4" xfId="14857"/>
    <cellStyle name="Nota 2 2 4 9 2 5" xfId="18889"/>
    <cellStyle name="Nota 2 2 4 9 2 6" xfId="22921"/>
    <cellStyle name="Nota 2 2 4 9 2 7" xfId="26953"/>
    <cellStyle name="Nota 2 2 4 9 2 8" xfId="30985"/>
    <cellStyle name="Nota 2 2 4 9 2 9" xfId="35017"/>
    <cellStyle name="Nota 2 2 4 9 3" xfId="7856"/>
    <cellStyle name="Nota 2 2 4 9 3 10" xfId="44146"/>
    <cellStyle name="Nota 2 2 4 9 3 11" xfId="48178"/>
    <cellStyle name="Nota 2 2 4 9 3 12" xfId="52257"/>
    <cellStyle name="Nota 2 2 4 9 3 2" xfId="11890"/>
    <cellStyle name="Nota 2 2 4 9 3 3" xfId="15922"/>
    <cellStyle name="Nota 2 2 4 9 3 4" xfId="19954"/>
    <cellStyle name="Nota 2 2 4 9 3 5" xfId="23986"/>
    <cellStyle name="Nota 2 2 4 9 3 6" xfId="28018"/>
    <cellStyle name="Nota 2 2 4 9 3 7" xfId="32050"/>
    <cellStyle name="Nota 2 2 4 9 3 8" xfId="36082"/>
    <cellStyle name="Nota 2 2 4 9 3 9" xfId="40114"/>
    <cellStyle name="Nota 2 2 4 9 4" xfId="9874"/>
    <cellStyle name="Nota 2 2 4 9 5" xfId="13906"/>
    <cellStyle name="Nota 2 2 4 9 6" xfId="17938"/>
    <cellStyle name="Nota 2 2 4 9 7" xfId="21970"/>
    <cellStyle name="Nota 2 2 4 9 8" xfId="26002"/>
    <cellStyle name="Nota 2 2 4 9 9" xfId="30034"/>
    <cellStyle name="Nota 2 2 5" xfId="71"/>
    <cellStyle name="Nota 2 2 5 10" xfId="4413"/>
    <cellStyle name="Nota 2 2 5 10 10" xfId="34257"/>
    <cellStyle name="Nota 2 2 5 10 11" xfId="38289"/>
    <cellStyle name="Nota 2 2 5 10 12" xfId="42321"/>
    <cellStyle name="Nota 2 2 5 10 13" xfId="46353"/>
    <cellStyle name="Nota 2 2 5 10 14" xfId="50432"/>
    <cellStyle name="Nota 2 2 5 10 2" xfId="6982"/>
    <cellStyle name="Nota 2 2 5 10 2 10" xfId="39240"/>
    <cellStyle name="Nota 2 2 5 10 2 11" xfId="43272"/>
    <cellStyle name="Nota 2 2 5 10 2 12" xfId="47304"/>
    <cellStyle name="Nota 2 2 5 10 2 13" xfId="51383"/>
    <cellStyle name="Nota 2 2 5 10 2 2" xfId="8998"/>
    <cellStyle name="Nota 2 2 5 10 2 2 10" xfId="45288"/>
    <cellStyle name="Nota 2 2 5 10 2 2 11" xfId="49320"/>
    <cellStyle name="Nota 2 2 5 10 2 2 12" xfId="53399"/>
    <cellStyle name="Nota 2 2 5 10 2 2 2" xfId="13032"/>
    <cellStyle name="Nota 2 2 5 10 2 2 3" xfId="17064"/>
    <cellStyle name="Nota 2 2 5 10 2 2 4" xfId="21096"/>
    <cellStyle name="Nota 2 2 5 10 2 2 5" xfId="25128"/>
    <cellStyle name="Nota 2 2 5 10 2 2 6" xfId="29160"/>
    <cellStyle name="Nota 2 2 5 10 2 2 7" xfId="33192"/>
    <cellStyle name="Nota 2 2 5 10 2 2 8" xfId="37224"/>
    <cellStyle name="Nota 2 2 5 10 2 2 9" xfId="41256"/>
    <cellStyle name="Nota 2 2 5 10 2 3" xfId="11016"/>
    <cellStyle name="Nota 2 2 5 10 2 4" xfId="15048"/>
    <cellStyle name="Nota 2 2 5 10 2 5" xfId="19080"/>
    <cellStyle name="Nota 2 2 5 10 2 6" xfId="23112"/>
    <cellStyle name="Nota 2 2 5 10 2 7" xfId="27144"/>
    <cellStyle name="Nota 2 2 5 10 2 8" xfId="31176"/>
    <cellStyle name="Nota 2 2 5 10 2 9" xfId="35208"/>
    <cellStyle name="Nota 2 2 5 10 3" xfId="8047"/>
    <cellStyle name="Nota 2 2 5 10 3 10" xfId="44337"/>
    <cellStyle name="Nota 2 2 5 10 3 11" xfId="48369"/>
    <cellStyle name="Nota 2 2 5 10 3 12" xfId="52448"/>
    <cellStyle name="Nota 2 2 5 10 3 2" xfId="12081"/>
    <cellStyle name="Nota 2 2 5 10 3 3" xfId="16113"/>
    <cellStyle name="Nota 2 2 5 10 3 4" xfId="20145"/>
    <cellStyle name="Nota 2 2 5 10 3 5" xfId="24177"/>
    <cellStyle name="Nota 2 2 5 10 3 6" xfId="28209"/>
    <cellStyle name="Nota 2 2 5 10 3 7" xfId="32241"/>
    <cellStyle name="Nota 2 2 5 10 3 8" xfId="36273"/>
    <cellStyle name="Nota 2 2 5 10 3 9" xfId="40305"/>
    <cellStyle name="Nota 2 2 5 10 4" xfId="10065"/>
    <cellStyle name="Nota 2 2 5 10 5" xfId="14097"/>
    <cellStyle name="Nota 2 2 5 10 6" xfId="18129"/>
    <cellStyle name="Nota 2 2 5 10 7" xfId="22161"/>
    <cellStyle name="Nota 2 2 5 10 8" xfId="26193"/>
    <cellStyle name="Nota 2 2 5 10 9" xfId="30225"/>
    <cellStyle name="Nota 2 2 5 11" xfId="4551"/>
    <cellStyle name="Nota 2 2 5 11 10" xfId="38427"/>
    <cellStyle name="Nota 2 2 5 11 11" xfId="42459"/>
    <cellStyle name="Nota 2 2 5 11 12" xfId="46491"/>
    <cellStyle name="Nota 2 2 5 11 13" xfId="50570"/>
    <cellStyle name="Nota 2 2 5 11 2" xfId="8185"/>
    <cellStyle name="Nota 2 2 5 11 2 10" xfId="44475"/>
    <cellStyle name="Nota 2 2 5 11 2 11" xfId="48507"/>
    <cellStyle name="Nota 2 2 5 11 2 12" xfId="52586"/>
    <cellStyle name="Nota 2 2 5 11 2 2" xfId="12219"/>
    <cellStyle name="Nota 2 2 5 11 2 3" xfId="16251"/>
    <cellStyle name="Nota 2 2 5 11 2 4" xfId="20283"/>
    <cellStyle name="Nota 2 2 5 11 2 5" xfId="24315"/>
    <cellStyle name="Nota 2 2 5 11 2 6" xfId="28347"/>
    <cellStyle name="Nota 2 2 5 11 2 7" xfId="32379"/>
    <cellStyle name="Nota 2 2 5 11 2 8" xfId="36411"/>
    <cellStyle name="Nota 2 2 5 11 2 9" xfId="40443"/>
    <cellStyle name="Nota 2 2 5 11 3" xfId="10203"/>
    <cellStyle name="Nota 2 2 5 11 4" xfId="14235"/>
    <cellStyle name="Nota 2 2 5 11 5" xfId="18267"/>
    <cellStyle name="Nota 2 2 5 11 6" xfId="22299"/>
    <cellStyle name="Nota 2 2 5 11 7" xfId="26331"/>
    <cellStyle name="Nota 2 2 5 11 8" xfId="30363"/>
    <cellStyle name="Nota 2 2 5 11 9" xfId="34395"/>
    <cellStyle name="Nota 2 2 5 12" xfId="279"/>
    <cellStyle name="Nota 2 2 5 12 10" xfId="37484"/>
    <cellStyle name="Nota 2 2 5 12 11" xfId="41516"/>
    <cellStyle name="Nota 2 2 5 12 12" xfId="45548"/>
    <cellStyle name="Nota 2 2 5 12 13" xfId="49626"/>
    <cellStyle name="Nota 2 2 5 12 2" xfId="7242"/>
    <cellStyle name="Nota 2 2 5 12 2 10" xfId="43532"/>
    <cellStyle name="Nota 2 2 5 12 2 11" xfId="47564"/>
    <cellStyle name="Nota 2 2 5 12 2 12" xfId="51643"/>
    <cellStyle name="Nota 2 2 5 12 2 2" xfId="11276"/>
    <cellStyle name="Nota 2 2 5 12 2 3" xfId="15308"/>
    <cellStyle name="Nota 2 2 5 12 2 4" xfId="19340"/>
    <cellStyle name="Nota 2 2 5 12 2 5" xfId="23372"/>
    <cellStyle name="Nota 2 2 5 12 2 6" xfId="27404"/>
    <cellStyle name="Nota 2 2 5 12 2 7" xfId="31436"/>
    <cellStyle name="Nota 2 2 5 12 2 8" xfId="35468"/>
    <cellStyle name="Nota 2 2 5 12 2 9" xfId="39500"/>
    <cellStyle name="Nota 2 2 5 12 3" xfId="9260"/>
    <cellStyle name="Nota 2 2 5 12 4" xfId="13292"/>
    <cellStyle name="Nota 2 2 5 12 5" xfId="17324"/>
    <cellStyle name="Nota 2 2 5 12 6" xfId="21356"/>
    <cellStyle name="Nota 2 2 5 12 7" xfId="25388"/>
    <cellStyle name="Nota 2 2 5 12 8" xfId="29420"/>
    <cellStyle name="Nota 2 2 5 12 9" xfId="33452"/>
    <cellStyle name="Nota 2 2 5 13" xfId="7120"/>
    <cellStyle name="Nota 2 2 5 13 10" xfId="43410"/>
    <cellStyle name="Nota 2 2 5 13 11" xfId="47442"/>
    <cellStyle name="Nota 2 2 5 13 12" xfId="51521"/>
    <cellStyle name="Nota 2 2 5 13 2" xfId="11154"/>
    <cellStyle name="Nota 2 2 5 13 3" xfId="15186"/>
    <cellStyle name="Nota 2 2 5 13 4" xfId="19218"/>
    <cellStyle name="Nota 2 2 5 13 5" xfId="23250"/>
    <cellStyle name="Nota 2 2 5 13 6" xfId="27282"/>
    <cellStyle name="Nota 2 2 5 13 7" xfId="31314"/>
    <cellStyle name="Nota 2 2 5 13 8" xfId="35346"/>
    <cellStyle name="Nota 2 2 5 13 9" xfId="39378"/>
    <cellStyle name="Nota 2 2 5 14" xfId="146"/>
    <cellStyle name="Nota 2 2 5 15" xfId="9138"/>
    <cellStyle name="Nota 2 2 5 16" xfId="13170"/>
    <cellStyle name="Nota 2 2 5 17" xfId="17202"/>
    <cellStyle name="Nota 2 2 5 18" xfId="21234"/>
    <cellStyle name="Nota 2 2 5 19" xfId="25266"/>
    <cellStyle name="Nota 2 2 5 2" xfId="225"/>
    <cellStyle name="Nota 2 2 5 2 10" xfId="21303"/>
    <cellStyle name="Nota 2 2 5 2 11" xfId="25335"/>
    <cellStyle name="Nota 2 2 5 2 12" xfId="29367"/>
    <cellStyle name="Nota 2 2 5 2 13" xfId="33399"/>
    <cellStyle name="Nota 2 2 5 2 14" xfId="37431"/>
    <cellStyle name="Nota 2 2 5 2 15" xfId="41463"/>
    <cellStyle name="Nota 2 2 5 2 16" xfId="45495"/>
    <cellStyle name="Nota 2 2 5 2 17" xfId="49573"/>
    <cellStyle name="Nota 2 2 5 2 2" xfId="4343"/>
    <cellStyle name="Nota 2 2 5 2 2 10" xfId="34188"/>
    <cellStyle name="Nota 2 2 5 2 2 11" xfId="38220"/>
    <cellStyle name="Nota 2 2 5 2 2 12" xfId="42252"/>
    <cellStyle name="Nota 2 2 5 2 2 13" xfId="46284"/>
    <cellStyle name="Nota 2 2 5 2 2 14" xfId="50363"/>
    <cellStyle name="Nota 2 2 5 2 2 2" xfId="6913"/>
    <cellStyle name="Nota 2 2 5 2 2 2 10" xfId="39171"/>
    <cellStyle name="Nota 2 2 5 2 2 2 11" xfId="43203"/>
    <cellStyle name="Nota 2 2 5 2 2 2 12" xfId="47235"/>
    <cellStyle name="Nota 2 2 5 2 2 2 13" xfId="51314"/>
    <cellStyle name="Nota 2 2 5 2 2 2 2" xfId="8929"/>
    <cellStyle name="Nota 2 2 5 2 2 2 2 10" xfId="45219"/>
    <cellStyle name="Nota 2 2 5 2 2 2 2 11" xfId="49251"/>
    <cellStyle name="Nota 2 2 5 2 2 2 2 12" xfId="53330"/>
    <cellStyle name="Nota 2 2 5 2 2 2 2 2" xfId="12963"/>
    <cellStyle name="Nota 2 2 5 2 2 2 2 3" xfId="16995"/>
    <cellStyle name="Nota 2 2 5 2 2 2 2 4" xfId="21027"/>
    <cellStyle name="Nota 2 2 5 2 2 2 2 5" xfId="25059"/>
    <cellStyle name="Nota 2 2 5 2 2 2 2 6" xfId="29091"/>
    <cellStyle name="Nota 2 2 5 2 2 2 2 7" xfId="33123"/>
    <cellStyle name="Nota 2 2 5 2 2 2 2 8" xfId="37155"/>
    <cellStyle name="Nota 2 2 5 2 2 2 2 9" xfId="41187"/>
    <cellStyle name="Nota 2 2 5 2 2 2 3" xfId="10947"/>
    <cellStyle name="Nota 2 2 5 2 2 2 4" xfId="14979"/>
    <cellStyle name="Nota 2 2 5 2 2 2 5" xfId="19011"/>
    <cellStyle name="Nota 2 2 5 2 2 2 6" xfId="23043"/>
    <cellStyle name="Nota 2 2 5 2 2 2 7" xfId="27075"/>
    <cellStyle name="Nota 2 2 5 2 2 2 8" xfId="31107"/>
    <cellStyle name="Nota 2 2 5 2 2 2 9" xfId="35139"/>
    <cellStyle name="Nota 2 2 5 2 2 3" xfId="7978"/>
    <cellStyle name="Nota 2 2 5 2 2 3 10" xfId="44268"/>
    <cellStyle name="Nota 2 2 5 2 2 3 11" xfId="48300"/>
    <cellStyle name="Nota 2 2 5 2 2 3 12" xfId="52379"/>
    <cellStyle name="Nota 2 2 5 2 2 3 2" xfId="12012"/>
    <cellStyle name="Nota 2 2 5 2 2 3 3" xfId="16044"/>
    <cellStyle name="Nota 2 2 5 2 2 3 4" xfId="20076"/>
    <cellStyle name="Nota 2 2 5 2 2 3 5" xfId="24108"/>
    <cellStyle name="Nota 2 2 5 2 2 3 6" xfId="28140"/>
    <cellStyle name="Nota 2 2 5 2 2 3 7" xfId="32172"/>
    <cellStyle name="Nota 2 2 5 2 2 3 8" xfId="36204"/>
    <cellStyle name="Nota 2 2 5 2 2 3 9" xfId="40236"/>
    <cellStyle name="Nota 2 2 5 2 2 4" xfId="9996"/>
    <cellStyle name="Nota 2 2 5 2 2 5" xfId="14028"/>
    <cellStyle name="Nota 2 2 5 2 2 6" xfId="18060"/>
    <cellStyle name="Nota 2 2 5 2 2 7" xfId="22092"/>
    <cellStyle name="Nota 2 2 5 2 2 8" xfId="26124"/>
    <cellStyle name="Nota 2 2 5 2 2 9" xfId="30156"/>
    <cellStyle name="Nota 2 2 5 2 3" xfId="4482"/>
    <cellStyle name="Nota 2 2 5 2 3 10" xfId="34326"/>
    <cellStyle name="Nota 2 2 5 2 3 11" xfId="38358"/>
    <cellStyle name="Nota 2 2 5 2 3 12" xfId="42390"/>
    <cellStyle name="Nota 2 2 5 2 3 13" xfId="46422"/>
    <cellStyle name="Nota 2 2 5 2 3 14" xfId="50501"/>
    <cellStyle name="Nota 2 2 5 2 3 2" xfId="7051"/>
    <cellStyle name="Nota 2 2 5 2 3 2 10" xfId="39309"/>
    <cellStyle name="Nota 2 2 5 2 3 2 11" xfId="43341"/>
    <cellStyle name="Nota 2 2 5 2 3 2 12" xfId="47373"/>
    <cellStyle name="Nota 2 2 5 2 3 2 13" xfId="51452"/>
    <cellStyle name="Nota 2 2 5 2 3 2 2" xfId="9067"/>
    <cellStyle name="Nota 2 2 5 2 3 2 2 10" xfId="45357"/>
    <cellStyle name="Nota 2 2 5 2 3 2 2 11" xfId="49389"/>
    <cellStyle name="Nota 2 2 5 2 3 2 2 12" xfId="53468"/>
    <cellStyle name="Nota 2 2 5 2 3 2 2 2" xfId="13101"/>
    <cellStyle name="Nota 2 2 5 2 3 2 2 3" xfId="17133"/>
    <cellStyle name="Nota 2 2 5 2 3 2 2 4" xfId="21165"/>
    <cellStyle name="Nota 2 2 5 2 3 2 2 5" xfId="25197"/>
    <cellStyle name="Nota 2 2 5 2 3 2 2 6" xfId="29229"/>
    <cellStyle name="Nota 2 2 5 2 3 2 2 7" xfId="33261"/>
    <cellStyle name="Nota 2 2 5 2 3 2 2 8" xfId="37293"/>
    <cellStyle name="Nota 2 2 5 2 3 2 2 9" xfId="41325"/>
    <cellStyle name="Nota 2 2 5 2 3 2 3" xfId="11085"/>
    <cellStyle name="Nota 2 2 5 2 3 2 4" xfId="15117"/>
    <cellStyle name="Nota 2 2 5 2 3 2 5" xfId="19149"/>
    <cellStyle name="Nota 2 2 5 2 3 2 6" xfId="23181"/>
    <cellStyle name="Nota 2 2 5 2 3 2 7" xfId="27213"/>
    <cellStyle name="Nota 2 2 5 2 3 2 8" xfId="31245"/>
    <cellStyle name="Nota 2 2 5 2 3 2 9" xfId="35277"/>
    <cellStyle name="Nota 2 2 5 2 3 3" xfId="8116"/>
    <cellStyle name="Nota 2 2 5 2 3 3 10" xfId="44406"/>
    <cellStyle name="Nota 2 2 5 2 3 3 11" xfId="48438"/>
    <cellStyle name="Nota 2 2 5 2 3 3 12" xfId="52517"/>
    <cellStyle name="Nota 2 2 5 2 3 3 2" xfId="12150"/>
    <cellStyle name="Nota 2 2 5 2 3 3 3" xfId="16182"/>
    <cellStyle name="Nota 2 2 5 2 3 3 4" xfId="20214"/>
    <cellStyle name="Nota 2 2 5 2 3 3 5" xfId="24246"/>
    <cellStyle name="Nota 2 2 5 2 3 3 6" xfId="28278"/>
    <cellStyle name="Nota 2 2 5 2 3 3 7" xfId="32310"/>
    <cellStyle name="Nota 2 2 5 2 3 3 8" xfId="36342"/>
    <cellStyle name="Nota 2 2 5 2 3 3 9" xfId="40374"/>
    <cellStyle name="Nota 2 2 5 2 3 4" xfId="10134"/>
    <cellStyle name="Nota 2 2 5 2 3 5" xfId="14166"/>
    <cellStyle name="Nota 2 2 5 2 3 6" xfId="18198"/>
    <cellStyle name="Nota 2 2 5 2 3 7" xfId="22230"/>
    <cellStyle name="Nota 2 2 5 2 3 8" xfId="26262"/>
    <cellStyle name="Nota 2 2 5 2 3 9" xfId="30294"/>
    <cellStyle name="Nota 2 2 5 2 4" xfId="4622"/>
    <cellStyle name="Nota 2 2 5 2 4 10" xfId="38496"/>
    <cellStyle name="Nota 2 2 5 2 4 11" xfId="42528"/>
    <cellStyle name="Nota 2 2 5 2 4 12" xfId="46560"/>
    <cellStyle name="Nota 2 2 5 2 4 13" xfId="50639"/>
    <cellStyle name="Nota 2 2 5 2 4 2" xfId="8254"/>
    <cellStyle name="Nota 2 2 5 2 4 2 10" xfId="44544"/>
    <cellStyle name="Nota 2 2 5 2 4 2 11" xfId="48576"/>
    <cellStyle name="Nota 2 2 5 2 4 2 12" xfId="52655"/>
    <cellStyle name="Nota 2 2 5 2 4 2 2" xfId="12288"/>
    <cellStyle name="Nota 2 2 5 2 4 2 3" xfId="16320"/>
    <cellStyle name="Nota 2 2 5 2 4 2 4" xfId="20352"/>
    <cellStyle name="Nota 2 2 5 2 4 2 5" xfId="24384"/>
    <cellStyle name="Nota 2 2 5 2 4 2 6" xfId="28416"/>
    <cellStyle name="Nota 2 2 5 2 4 2 7" xfId="32448"/>
    <cellStyle name="Nota 2 2 5 2 4 2 8" xfId="36480"/>
    <cellStyle name="Nota 2 2 5 2 4 2 9" xfId="40512"/>
    <cellStyle name="Nota 2 2 5 2 4 3" xfId="10272"/>
    <cellStyle name="Nota 2 2 5 2 4 4" xfId="14304"/>
    <cellStyle name="Nota 2 2 5 2 4 5" xfId="18336"/>
    <cellStyle name="Nota 2 2 5 2 4 6" xfId="22368"/>
    <cellStyle name="Nota 2 2 5 2 4 7" xfId="26400"/>
    <cellStyle name="Nota 2 2 5 2 4 8" xfId="30432"/>
    <cellStyle name="Nota 2 2 5 2 4 9" xfId="34464"/>
    <cellStyle name="Nota 2 2 5 2 5" xfId="1418"/>
    <cellStyle name="Nota 2 2 5 2 6" xfId="7189"/>
    <cellStyle name="Nota 2 2 5 2 6 10" xfId="43479"/>
    <cellStyle name="Nota 2 2 5 2 6 11" xfId="47511"/>
    <cellStyle name="Nota 2 2 5 2 6 12" xfId="51590"/>
    <cellStyle name="Nota 2 2 5 2 6 2" xfId="11223"/>
    <cellStyle name="Nota 2 2 5 2 6 3" xfId="15255"/>
    <cellStyle name="Nota 2 2 5 2 6 4" xfId="19287"/>
    <cellStyle name="Nota 2 2 5 2 6 5" xfId="23319"/>
    <cellStyle name="Nota 2 2 5 2 6 6" xfId="27351"/>
    <cellStyle name="Nota 2 2 5 2 6 7" xfId="31383"/>
    <cellStyle name="Nota 2 2 5 2 6 8" xfId="35415"/>
    <cellStyle name="Nota 2 2 5 2 6 9" xfId="39447"/>
    <cellStyle name="Nota 2 2 5 2 7" xfId="9207"/>
    <cellStyle name="Nota 2 2 5 2 8" xfId="13239"/>
    <cellStyle name="Nota 2 2 5 2 9" xfId="17271"/>
    <cellStyle name="Nota 2 2 5 20" xfId="29298"/>
    <cellStyle name="Nota 2 2 5 21" xfId="33330"/>
    <cellStyle name="Nota 2 2 5 22" xfId="37362"/>
    <cellStyle name="Nota 2 2 5 23" xfId="41394"/>
    <cellStyle name="Nota 2 2 5 24" xfId="45426"/>
    <cellStyle name="Nota 2 2 5 25" xfId="49504"/>
    <cellStyle name="Nota 2 2 5 3" xfId="349"/>
    <cellStyle name="Nota 2 2 5 3 10" xfId="33522"/>
    <cellStyle name="Nota 2 2 5 3 11" xfId="37554"/>
    <cellStyle name="Nota 2 2 5 3 12" xfId="41586"/>
    <cellStyle name="Nota 2 2 5 3 13" xfId="45618"/>
    <cellStyle name="Nota 2 2 5 3 14" xfId="49696"/>
    <cellStyle name="Nota 2 2 5 3 2" xfId="4665"/>
    <cellStyle name="Nota 2 2 5 3 2 10" xfId="38539"/>
    <cellStyle name="Nota 2 2 5 3 2 11" xfId="42571"/>
    <cellStyle name="Nota 2 2 5 3 2 12" xfId="46603"/>
    <cellStyle name="Nota 2 2 5 3 2 13" xfId="50682"/>
    <cellStyle name="Nota 2 2 5 3 2 2" xfId="8297"/>
    <cellStyle name="Nota 2 2 5 3 2 2 10" xfId="44587"/>
    <cellStyle name="Nota 2 2 5 3 2 2 11" xfId="48619"/>
    <cellStyle name="Nota 2 2 5 3 2 2 12" xfId="52698"/>
    <cellStyle name="Nota 2 2 5 3 2 2 2" xfId="12331"/>
    <cellStyle name="Nota 2 2 5 3 2 2 3" xfId="16363"/>
    <cellStyle name="Nota 2 2 5 3 2 2 4" xfId="20395"/>
    <cellStyle name="Nota 2 2 5 3 2 2 5" xfId="24427"/>
    <cellStyle name="Nota 2 2 5 3 2 2 6" xfId="28459"/>
    <cellStyle name="Nota 2 2 5 3 2 2 7" xfId="32491"/>
    <cellStyle name="Nota 2 2 5 3 2 2 8" xfId="36523"/>
    <cellStyle name="Nota 2 2 5 3 2 2 9" xfId="40555"/>
    <cellStyle name="Nota 2 2 5 3 2 3" xfId="10315"/>
    <cellStyle name="Nota 2 2 5 3 2 4" xfId="14347"/>
    <cellStyle name="Nota 2 2 5 3 2 5" xfId="18379"/>
    <cellStyle name="Nota 2 2 5 3 2 6" xfId="22411"/>
    <cellStyle name="Nota 2 2 5 3 2 7" xfId="26443"/>
    <cellStyle name="Nota 2 2 5 3 2 8" xfId="30475"/>
    <cellStyle name="Nota 2 2 5 3 2 9" xfId="34507"/>
    <cellStyle name="Nota 2 2 5 3 3" xfId="7312"/>
    <cellStyle name="Nota 2 2 5 3 3 10" xfId="43602"/>
    <cellStyle name="Nota 2 2 5 3 3 11" xfId="47634"/>
    <cellStyle name="Nota 2 2 5 3 3 12" xfId="51713"/>
    <cellStyle name="Nota 2 2 5 3 3 2" xfId="11346"/>
    <cellStyle name="Nota 2 2 5 3 3 3" xfId="15378"/>
    <cellStyle name="Nota 2 2 5 3 3 4" xfId="19410"/>
    <cellStyle name="Nota 2 2 5 3 3 5" xfId="23442"/>
    <cellStyle name="Nota 2 2 5 3 3 6" xfId="27474"/>
    <cellStyle name="Nota 2 2 5 3 3 7" xfId="31506"/>
    <cellStyle name="Nota 2 2 5 3 3 8" xfId="35538"/>
    <cellStyle name="Nota 2 2 5 3 3 9" xfId="39570"/>
    <cellStyle name="Nota 2 2 5 3 4" xfId="9330"/>
    <cellStyle name="Nota 2 2 5 3 5" xfId="13362"/>
    <cellStyle name="Nota 2 2 5 3 6" xfId="17394"/>
    <cellStyle name="Nota 2 2 5 3 7" xfId="21426"/>
    <cellStyle name="Nota 2 2 5 3 8" xfId="25458"/>
    <cellStyle name="Nota 2 2 5 3 9" xfId="29490"/>
    <cellStyle name="Nota 2 2 5 4" xfId="1659"/>
    <cellStyle name="Nota 2 2 5 4 10" xfId="33620"/>
    <cellStyle name="Nota 2 2 5 4 11" xfId="37652"/>
    <cellStyle name="Nota 2 2 5 4 12" xfId="41684"/>
    <cellStyle name="Nota 2 2 5 4 13" xfId="45716"/>
    <cellStyle name="Nota 2 2 5 4 14" xfId="49794"/>
    <cellStyle name="Nota 2 2 5 4 2" xfId="5335"/>
    <cellStyle name="Nota 2 2 5 4 2 10" xfId="38603"/>
    <cellStyle name="Nota 2 2 5 4 2 11" xfId="42635"/>
    <cellStyle name="Nota 2 2 5 4 2 12" xfId="46667"/>
    <cellStyle name="Nota 2 2 5 4 2 13" xfId="50746"/>
    <cellStyle name="Nota 2 2 5 4 2 2" xfId="8361"/>
    <cellStyle name="Nota 2 2 5 4 2 2 10" xfId="44651"/>
    <cellStyle name="Nota 2 2 5 4 2 2 11" xfId="48683"/>
    <cellStyle name="Nota 2 2 5 4 2 2 12" xfId="52762"/>
    <cellStyle name="Nota 2 2 5 4 2 2 2" xfId="12395"/>
    <cellStyle name="Nota 2 2 5 4 2 2 3" xfId="16427"/>
    <cellStyle name="Nota 2 2 5 4 2 2 4" xfId="20459"/>
    <cellStyle name="Nota 2 2 5 4 2 2 5" xfId="24491"/>
    <cellStyle name="Nota 2 2 5 4 2 2 6" xfId="28523"/>
    <cellStyle name="Nota 2 2 5 4 2 2 7" xfId="32555"/>
    <cellStyle name="Nota 2 2 5 4 2 2 8" xfId="36587"/>
    <cellStyle name="Nota 2 2 5 4 2 2 9" xfId="40619"/>
    <cellStyle name="Nota 2 2 5 4 2 3" xfId="10379"/>
    <cellStyle name="Nota 2 2 5 4 2 4" xfId="14411"/>
    <cellStyle name="Nota 2 2 5 4 2 5" xfId="18443"/>
    <cellStyle name="Nota 2 2 5 4 2 6" xfId="22475"/>
    <cellStyle name="Nota 2 2 5 4 2 7" xfId="26507"/>
    <cellStyle name="Nota 2 2 5 4 2 8" xfId="30539"/>
    <cellStyle name="Nota 2 2 5 4 2 9" xfId="34571"/>
    <cellStyle name="Nota 2 2 5 4 3" xfId="7410"/>
    <cellStyle name="Nota 2 2 5 4 3 10" xfId="43700"/>
    <cellStyle name="Nota 2 2 5 4 3 11" xfId="47732"/>
    <cellStyle name="Nota 2 2 5 4 3 12" xfId="51811"/>
    <cellStyle name="Nota 2 2 5 4 3 2" xfId="11444"/>
    <cellStyle name="Nota 2 2 5 4 3 3" xfId="15476"/>
    <cellStyle name="Nota 2 2 5 4 3 4" xfId="19508"/>
    <cellStyle name="Nota 2 2 5 4 3 5" xfId="23540"/>
    <cellStyle name="Nota 2 2 5 4 3 6" xfId="27572"/>
    <cellStyle name="Nota 2 2 5 4 3 7" xfId="31604"/>
    <cellStyle name="Nota 2 2 5 4 3 8" xfId="35636"/>
    <cellStyle name="Nota 2 2 5 4 3 9" xfId="39668"/>
    <cellStyle name="Nota 2 2 5 4 4" xfId="9428"/>
    <cellStyle name="Nota 2 2 5 4 5" xfId="13460"/>
    <cellStyle name="Nota 2 2 5 4 6" xfId="17492"/>
    <cellStyle name="Nota 2 2 5 4 7" xfId="21524"/>
    <cellStyle name="Nota 2 2 5 4 8" xfId="25556"/>
    <cellStyle name="Nota 2 2 5 4 9" xfId="29588"/>
    <cellStyle name="Nota 2 2 5 5" xfId="1733"/>
    <cellStyle name="Nota 2 2 5 5 10" xfId="33689"/>
    <cellStyle name="Nota 2 2 5 5 11" xfId="37721"/>
    <cellStyle name="Nota 2 2 5 5 12" xfId="41753"/>
    <cellStyle name="Nota 2 2 5 5 13" xfId="45785"/>
    <cellStyle name="Nota 2 2 5 5 14" xfId="49863"/>
    <cellStyle name="Nota 2 2 5 5 2" xfId="5404"/>
    <cellStyle name="Nota 2 2 5 5 2 10" xfId="38672"/>
    <cellStyle name="Nota 2 2 5 5 2 11" xfId="42704"/>
    <cellStyle name="Nota 2 2 5 5 2 12" xfId="46736"/>
    <cellStyle name="Nota 2 2 5 5 2 13" xfId="50815"/>
    <cellStyle name="Nota 2 2 5 5 2 2" xfId="8430"/>
    <cellStyle name="Nota 2 2 5 5 2 2 10" xfId="44720"/>
    <cellStyle name="Nota 2 2 5 5 2 2 11" xfId="48752"/>
    <cellStyle name="Nota 2 2 5 5 2 2 12" xfId="52831"/>
    <cellStyle name="Nota 2 2 5 5 2 2 2" xfId="12464"/>
    <cellStyle name="Nota 2 2 5 5 2 2 3" xfId="16496"/>
    <cellStyle name="Nota 2 2 5 5 2 2 4" xfId="20528"/>
    <cellStyle name="Nota 2 2 5 5 2 2 5" xfId="24560"/>
    <cellStyle name="Nota 2 2 5 5 2 2 6" xfId="28592"/>
    <cellStyle name="Nota 2 2 5 5 2 2 7" xfId="32624"/>
    <cellStyle name="Nota 2 2 5 5 2 2 8" xfId="36656"/>
    <cellStyle name="Nota 2 2 5 5 2 2 9" xfId="40688"/>
    <cellStyle name="Nota 2 2 5 5 2 3" xfId="10448"/>
    <cellStyle name="Nota 2 2 5 5 2 4" xfId="14480"/>
    <cellStyle name="Nota 2 2 5 5 2 5" xfId="18512"/>
    <cellStyle name="Nota 2 2 5 5 2 6" xfId="22544"/>
    <cellStyle name="Nota 2 2 5 5 2 7" xfId="26576"/>
    <cellStyle name="Nota 2 2 5 5 2 8" xfId="30608"/>
    <cellStyle name="Nota 2 2 5 5 2 9" xfId="34640"/>
    <cellStyle name="Nota 2 2 5 5 3" xfId="7479"/>
    <cellStyle name="Nota 2 2 5 5 3 10" xfId="43769"/>
    <cellStyle name="Nota 2 2 5 5 3 11" xfId="47801"/>
    <cellStyle name="Nota 2 2 5 5 3 12" xfId="51880"/>
    <cellStyle name="Nota 2 2 5 5 3 2" xfId="11513"/>
    <cellStyle name="Nota 2 2 5 5 3 3" xfId="15545"/>
    <cellStyle name="Nota 2 2 5 5 3 4" xfId="19577"/>
    <cellStyle name="Nota 2 2 5 5 3 5" xfId="23609"/>
    <cellStyle name="Nota 2 2 5 5 3 6" xfId="27641"/>
    <cellStyle name="Nota 2 2 5 5 3 7" xfId="31673"/>
    <cellStyle name="Nota 2 2 5 5 3 8" xfId="35705"/>
    <cellStyle name="Nota 2 2 5 5 3 9" xfId="39737"/>
    <cellStyle name="Nota 2 2 5 5 4" xfId="9497"/>
    <cellStyle name="Nota 2 2 5 5 5" xfId="13529"/>
    <cellStyle name="Nota 2 2 5 5 6" xfId="17561"/>
    <cellStyle name="Nota 2 2 5 5 7" xfId="21593"/>
    <cellStyle name="Nota 2 2 5 5 8" xfId="25625"/>
    <cellStyle name="Nota 2 2 5 5 9" xfId="29657"/>
    <cellStyle name="Nota 2 2 5 6" xfId="4055"/>
    <cellStyle name="Nota 2 2 5 6 10" xfId="33912"/>
    <cellStyle name="Nota 2 2 5 6 11" xfId="37944"/>
    <cellStyle name="Nota 2 2 5 6 12" xfId="41976"/>
    <cellStyle name="Nota 2 2 5 6 13" xfId="46008"/>
    <cellStyle name="Nota 2 2 5 6 14" xfId="50086"/>
    <cellStyle name="Nota 2 2 5 6 2" xfId="6637"/>
    <cellStyle name="Nota 2 2 5 6 2 10" xfId="38895"/>
    <cellStyle name="Nota 2 2 5 6 2 11" xfId="42927"/>
    <cellStyle name="Nota 2 2 5 6 2 12" xfId="46959"/>
    <cellStyle name="Nota 2 2 5 6 2 13" xfId="51038"/>
    <cellStyle name="Nota 2 2 5 6 2 2" xfId="8653"/>
    <cellStyle name="Nota 2 2 5 6 2 2 10" xfId="44943"/>
    <cellStyle name="Nota 2 2 5 6 2 2 11" xfId="48975"/>
    <cellStyle name="Nota 2 2 5 6 2 2 12" xfId="53054"/>
    <cellStyle name="Nota 2 2 5 6 2 2 2" xfId="12687"/>
    <cellStyle name="Nota 2 2 5 6 2 2 3" xfId="16719"/>
    <cellStyle name="Nota 2 2 5 6 2 2 4" xfId="20751"/>
    <cellStyle name="Nota 2 2 5 6 2 2 5" xfId="24783"/>
    <cellStyle name="Nota 2 2 5 6 2 2 6" xfId="28815"/>
    <cellStyle name="Nota 2 2 5 6 2 2 7" xfId="32847"/>
    <cellStyle name="Nota 2 2 5 6 2 2 8" xfId="36879"/>
    <cellStyle name="Nota 2 2 5 6 2 2 9" xfId="40911"/>
    <cellStyle name="Nota 2 2 5 6 2 3" xfId="10671"/>
    <cellStyle name="Nota 2 2 5 6 2 4" xfId="14703"/>
    <cellStyle name="Nota 2 2 5 6 2 5" xfId="18735"/>
    <cellStyle name="Nota 2 2 5 6 2 6" xfId="22767"/>
    <cellStyle name="Nota 2 2 5 6 2 7" xfId="26799"/>
    <cellStyle name="Nota 2 2 5 6 2 8" xfId="30831"/>
    <cellStyle name="Nota 2 2 5 6 2 9" xfId="34863"/>
    <cellStyle name="Nota 2 2 5 6 3" xfId="7702"/>
    <cellStyle name="Nota 2 2 5 6 3 10" xfId="43992"/>
    <cellStyle name="Nota 2 2 5 6 3 11" xfId="48024"/>
    <cellStyle name="Nota 2 2 5 6 3 12" xfId="52103"/>
    <cellStyle name="Nota 2 2 5 6 3 2" xfId="11736"/>
    <cellStyle name="Nota 2 2 5 6 3 3" xfId="15768"/>
    <cellStyle name="Nota 2 2 5 6 3 4" xfId="19800"/>
    <cellStyle name="Nota 2 2 5 6 3 5" xfId="23832"/>
    <cellStyle name="Nota 2 2 5 6 3 6" xfId="27864"/>
    <cellStyle name="Nota 2 2 5 6 3 7" xfId="31896"/>
    <cellStyle name="Nota 2 2 5 6 3 8" xfId="35928"/>
    <cellStyle name="Nota 2 2 5 6 3 9" xfId="39960"/>
    <cellStyle name="Nota 2 2 5 6 4" xfId="9720"/>
    <cellStyle name="Nota 2 2 5 6 5" xfId="13752"/>
    <cellStyle name="Nota 2 2 5 6 6" xfId="17784"/>
    <cellStyle name="Nota 2 2 5 6 7" xfId="21816"/>
    <cellStyle name="Nota 2 2 5 6 8" xfId="25848"/>
    <cellStyle name="Nota 2 2 5 6 9" xfId="29880"/>
    <cellStyle name="Nota 2 2 5 7" xfId="4125"/>
    <cellStyle name="Nota 2 2 5 7 10" xfId="33981"/>
    <cellStyle name="Nota 2 2 5 7 11" xfId="38013"/>
    <cellStyle name="Nota 2 2 5 7 12" xfId="42045"/>
    <cellStyle name="Nota 2 2 5 7 13" xfId="46077"/>
    <cellStyle name="Nota 2 2 5 7 14" xfId="50155"/>
    <cellStyle name="Nota 2 2 5 7 2" xfId="6706"/>
    <cellStyle name="Nota 2 2 5 7 2 10" xfId="38964"/>
    <cellStyle name="Nota 2 2 5 7 2 11" xfId="42996"/>
    <cellStyle name="Nota 2 2 5 7 2 12" xfId="47028"/>
    <cellStyle name="Nota 2 2 5 7 2 13" xfId="51107"/>
    <cellStyle name="Nota 2 2 5 7 2 2" xfId="8722"/>
    <cellStyle name="Nota 2 2 5 7 2 2 10" xfId="45012"/>
    <cellStyle name="Nota 2 2 5 7 2 2 11" xfId="49044"/>
    <cellStyle name="Nota 2 2 5 7 2 2 12" xfId="53123"/>
    <cellStyle name="Nota 2 2 5 7 2 2 2" xfId="12756"/>
    <cellStyle name="Nota 2 2 5 7 2 2 3" xfId="16788"/>
    <cellStyle name="Nota 2 2 5 7 2 2 4" xfId="20820"/>
    <cellStyle name="Nota 2 2 5 7 2 2 5" xfId="24852"/>
    <cellStyle name="Nota 2 2 5 7 2 2 6" xfId="28884"/>
    <cellStyle name="Nota 2 2 5 7 2 2 7" xfId="32916"/>
    <cellStyle name="Nota 2 2 5 7 2 2 8" xfId="36948"/>
    <cellStyle name="Nota 2 2 5 7 2 2 9" xfId="40980"/>
    <cellStyle name="Nota 2 2 5 7 2 3" xfId="10740"/>
    <cellStyle name="Nota 2 2 5 7 2 4" xfId="14772"/>
    <cellStyle name="Nota 2 2 5 7 2 5" xfId="18804"/>
    <cellStyle name="Nota 2 2 5 7 2 6" xfId="22836"/>
    <cellStyle name="Nota 2 2 5 7 2 7" xfId="26868"/>
    <cellStyle name="Nota 2 2 5 7 2 8" xfId="30900"/>
    <cellStyle name="Nota 2 2 5 7 2 9" xfId="34932"/>
    <cellStyle name="Nota 2 2 5 7 3" xfId="7771"/>
    <cellStyle name="Nota 2 2 5 7 3 10" xfId="44061"/>
    <cellStyle name="Nota 2 2 5 7 3 11" xfId="48093"/>
    <cellStyle name="Nota 2 2 5 7 3 12" xfId="52172"/>
    <cellStyle name="Nota 2 2 5 7 3 2" xfId="11805"/>
    <cellStyle name="Nota 2 2 5 7 3 3" xfId="15837"/>
    <cellStyle name="Nota 2 2 5 7 3 4" xfId="19869"/>
    <cellStyle name="Nota 2 2 5 7 3 5" xfId="23901"/>
    <cellStyle name="Nota 2 2 5 7 3 6" xfId="27933"/>
    <cellStyle name="Nota 2 2 5 7 3 7" xfId="31965"/>
    <cellStyle name="Nota 2 2 5 7 3 8" xfId="35997"/>
    <cellStyle name="Nota 2 2 5 7 3 9" xfId="40029"/>
    <cellStyle name="Nota 2 2 5 7 4" xfId="9789"/>
    <cellStyle name="Nota 2 2 5 7 5" xfId="13821"/>
    <cellStyle name="Nota 2 2 5 7 6" xfId="17853"/>
    <cellStyle name="Nota 2 2 5 7 7" xfId="21885"/>
    <cellStyle name="Nota 2 2 5 7 8" xfId="25917"/>
    <cellStyle name="Nota 2 2 5 7 9" xfId="29949"/>
    <cellStyle name="Nota 2 2 5 8" xfId="4194"/>
    <cellStyle name="Nota 2 2 5 8 10" xfId="34050"/>
    <cellStyle name="Nota 2 2 5 8 11" xfId="38082"/>
    <cellStyle name="Nota 2 2 5 8 12" xfId="42114"/>
    <cellStyle name="Nota 2 2 5 8 13" xfId="46146"/>
    <cellStyle name="Nota 2 2 5 8 14" xfId="50224"/>
    <cellStyle name="Nota 2 2 5 8 2" xfId="6775"/>
    <cellStyle name="Nota 2 2 5 8 2 10" xfId="39033"/>
    <cellStyle name="Nota 2 2 5 8 2 11" xfId="43065"/>
    <cellStyle name="Nota 2 2 5 8 2 12" xfId="47097"/>
    <cellStyle name="Nota 2 2 5 8 2 13" xfId="51176"/>
    <cellStyle name="Nota 2 2 5 8 2 2" xfId="8791"/>
    <cellStyle name="Nota 2 2 5 8 2 2 10" xfId="45081"/>
    <cellStyle name="Nota 2 2 5 8 2 2 11" xfId="49113"/>
    <cellStyle name="Nota 2 2 5 8 2 2 12" xfId="53192"/>
    <cellStyle name="Nota 2 2 5 8 2 2 2" xfId="12825"/>
    <cellStyle name="Nota 2 2 5 8 2 2 3" xfId="16857"/>
    <cellStyle name="Nota 2 2 5 8 2 2 4" xfId="20889"/>
    <cellStyle name="Nota 2 2 5 8 2 2 5" xfId="24921"/>
    <cellStyle name="Nota 2 2 5 8 2 2 6" xfId="28953"/>
    <cellStyle name="Nota 2 2 5 8 2 2 7" xfId="32985"/>
    <cellStyle name="Nota 2 2 5 8 2 2 8" xfId="37017"/>
    <cellStyle name="Nota 2 2 5 8 2 2 9" xfId="41049"/>
    <cellStyle name="Nota 2 2 5 8 2 3" xfId="10809"/>
    <cellStyle name="Nota 2 2 5 8 2 4" xfId="14841"/>
    <cellStyle name="Nota 2 2 5 8 2 5" xfId="18873"/>
    <cellStyle name="Nota 2 2 5 8 2 6" xfId="22905"/>
    <cellStyle name="Nota 2 2 5 8 2 7" xfId="26937"/>
    <cellStyle name="Nota 2 2 5 8 2 8" xfId="30969"/>
    <cellStyle name="Nota 2 2 5 8 2 9" xfId="35001"/>
    <cellStyle name="Nota 2 2 5 8 3" xfId="7840"/>
    <cellStyle name="Nota 2 2 5 8 3 10" xfId="44130"/>
    <cellStyle name="Nota 2 2 5 8 3 11" xfId="48162"/>
    <cellStyle name="Nota 2 2 5 8 3 12" xfId="52241"/>
    <cellStyle name="Nota 2 2 5 8 3 2" xfId="11874"/>
    <cellStyle name="Nota 2 2 5 8 3 3" xfId="15906"/>
    <cellStyle name="Nota 2 2 5 8 3 4" xfId="19938"/>
    <cellStyle name="Nota 2 2 5 8 3 5" xfId="23970"/>
    <cellStyle name="Nota 2 2 5 8 3 6" xfId="28002"/>
    <cellStyle name="Nota 2 2 5 8 3 7" xfId="32034"/>
    <cellStyle name="Nota 2 2 5 8 3 8" xfId="36066"/>
    <cellStyle name="Nota 2 2 5 8 3 9" xfId="40098"/>
    <cellStyle name="Nota 2 2 5 8 4" xfId="9858"/>
    <cellStyle name="Nota 2 2 5 8 5" xfId="13890"/>
    <cellStyle name="Nota 2 2 5 8 6" xfId="17922"/>
    <cellStyle name="Nota 2 2 5 8 7" xfId="21954"/>
    <cellStyle name="Nota 2 2 5 8 8" xfId="25986"/>
    <cellStyle name="Nota 2 2 5 8 9" xfId="30018"/>
    <cellStyle name="Nota 2 2 5 9" xfId="4267"/>
    <cellStyle name="Nota 2 2 5 9 10" xfId="34119"/>
    <cellStyle name="Nota 2 2 5 9 11" xfId="38151"/>
    <cellStyle name="Nota 2 2 5 9 12" xfId="42183"/>
    <cellStyle name="Nota 2 2 5 9 13" xfId="46215"/>
    <cellStyle name="Nota 2 2 5 9 14" xfId="50293"/>
    <cellStyle name="Nota 2 2 5 9 2" xfId="6844"/>
    <cellStyle name="Nota 2 2 5 9 2 10" xfId="39102"/>
    <cellStyle name="Nota 2 2 5 9 2 11" xfId="43134"/>
    <cellStyle name="Nota 2 2 5 9 2 12" xfId="47166"/>
    <cellStyle name="Nota 2 2 5 9 2 13" xfId="51245"/>
    <cellStyle name="Nota 2 2 5 9 2 2" xfId="8860"/>
    <cellStyle name="Nota 2 2 5 9 2 2 10" xfId="45150"/>
    <cellStyle name="Nota 2 2 5 9 2 2 11" xfId="49182"/>
    <cellStyle name="Nota 2 2 5 9 2 2 12" xfId="53261"/>
    <cellStyle name="Nota 2 2 5 9 2 2 2" xfId="12894"/>
    <cellStyle name="Nota 2 2 5 9 2 2 3" xfId="16926"/>
    <cellStyle name="Nota 2 2 5 9 2 2 4" xfId="20958"/>
    <cellStyle name="Nota 2 2 5 9 2 2 5" xfId="24990"/>
    <cellStyle name="Nota 2 2 5 9 2 2 6" xfId="29022"/>
    <cellStyle name="Nota 2 2 5 9 2 2 7" xfId="33054"/>
    <cellStyle name="Nota 2 2 5 9 2 2 8" xfId="37086"/>
    <cellStyle name="Nota 2 2 5 9 2 2 9" xfId="41118"/>
    <cellStyle name="Nota 2 2 5 9 2 3" xfId="10878"/>
    <cellStyle name="Nota 2 2 5 9 2 4" xfId="14910"/>
    <cellStyle name="Nota 2 2 5 9 2 5" xfId="18942"/>
    <cellStyle name="Nota 2 2 5 9 2 6" xfId="22974"/>
    <cellStyle name="Nota 2 2 5 9 2 7" xfId="27006"/>
    <cellStyle name="Nota 2 2 5 9 2 8" xfId="31038"/>
    <cellStyle name="Nota 2 2 5 9 2 9" xfId="35070"/>
    <cellStyle name="Nota 2 2 5 9 3" xfId="7909"/>
    <cellStyle name="Nota 2 2 5 9 3 10" xfId="44199"/>
    <cellStyle name="Nota 2 2 5 9 3 11" xfId="48231"/>
    <cellStyle name="Nota 2 2 5 9 3 12" xfId="52310"/>
    <cellStyle name="Nota 2 2 5 9 3 2" xfId="11943"/>
    <cellStyle name="Nota 2 2 5 9 3 3" xfId="15975"/>
    <cellStyle name="Nota 2 2 5 9 3 4" xfId="20007"/>
    <cellStyle name="Nota 2 2 5 9 3 5" xfId="24039"/>
    <cellStyle name="Nota 2 2 5 9 3 6" xfId="28071"/>
    <cellStyle name="Nota 2 2 5 9 3 7" xfId="32103"/>
    <cellStyle name="Nota 2 2 5 9 3 8" xfId="36135"/>
    <cellStyle name="Nota 2 2 5 9 3 9" xfId="40167"/>
    <cellStyle name="Nota 2 2 5 9 4" xfId="9927"/>
    <cellStyle name="Nota 2 2 5 9 5" xfId="13959"/>
    <cellStyle name="Nota 2 2 5 9 6" xfId="17991"/>
    <cellStyle name="Nota 2 2 5 9 7" xfId="22023"/>
    <cellStyle name="Nota 2 2 5 9 8" xfId="26055"/>
    <cellStyle name="Nota 2 2 5 9 9" xfId="30087"/>
    <cellStyle name="Nota 2 2 6" xfId="52"/>
    <cellStyle name="Nota 2 2 6 10" xfId="330"/>
    <cellStyle name="Nota 2 2 6 10 10" xfId="37535"/>
    <cellStyle name="Nota 2 2 6 10 11" xfId="41567"/>
    <cellStyle name="Nota 2 2 6 10 12" xfId="45599"/>
    <cellStyle name="Nota 2 2 6 10 13" xfId="49677"/>
    <cellStyle name="Nota 2 2 6 10 2" xfId="7293"/>
    <cellStyle name="Nota 2 2 6 10 2 10" xfId="43583"/>
    <cellStyle name="Nota 2 2 6 10 2 11" xfId="47615"/>
    <cellStyle name="Nota 2 2 6 10 2 12" xfId="51694"/>
    <cellStyle name="Nota 2 2 6 10 2 2" xfId="11327"/>
    <cellStyle name="Nota 2 2 6 10 2 3" xfId="15359"/>
    <cellStyle name="Nota 2 2 6 10 2 4" xfId="19391"/>
    <cellStyle name="Nota 2 2 6 10 2 5" xfId="23423"/>
    <cellStyle name="Nota 2 2 6 10 2 6" xfId="27455"/>
    <cellStyle name="Nota 2 2 6 10 2 7" xfId="31487"/>
    <cellStyle name="Nota 2 2 6 10 2 8" xfId="35519"/>
    <cellStyle name="Nota 2 2 6 10 2 9" xfId="39551"/>
    <cellStyle name="Nota 2 2 6 10 3" xfId="9311"/>
    <cellStyle name="Nota 2 2 6 10 4" xfId="13343"/>
    <cellStyle name="Nota 2 2 6 10 5" xfId="17375"/>
    <cellStyle name="Nota 2 2 6 10 6" xfId="21407"/>
    <cellStyle name="Nota 2 2 6 10 7" xfId="25439"/>
    <cellStyle name="Nota 2 2 6 10 8" xfId="29471"/>
    <cellStyle name="Nota 2 2 6 10 9" xfId="33503"/>
    <cellStyle name="Nota 2 2 6 11" xfId="7101"/>
    <cellStyle name="Nota 2 2 6 11 10" xfId="43391"/>
    <cellStyle name="Nota 2 2 6 11 11" xfId="47423"/>
    <cellStyle name="Nota 2 2 6 11 12" xfId="51502"/>
    <cellStyle name="Nota 2 2 6 11 2" xfId="11135"/>
    <cellStyle name="Nota 2 2 6 11 3" xfId="15167"/>
    <cellStyle name="Nota 2 2 6 11 4" xfId="19199"/>
    <cellStyle name="Nota 2 2 6 11 5" xfId="23231"/>
    <cellStyle name="Nota 2 2 6 11 6" xfId="27263"/>
    <cellStyle name="Nota 2 2 6 11 7" xfId="31295"/>
    <cellStyle name="Nota 2 2 6 11 8" xfId="35327"/>
    <cellStyle name="Nota 2 2 6 11 9" xfId="39359"/>
    <cellStyle name="Nota 2 2 6 12" xfId="127"/>
    <cellStyle name="Nota 2 2 6 13" xfId="9119"/>
    <cellStyle name="Nota 2 2 6 14" xfId="13151"/>
    <cellStyle name="Nota 2 2 6 15" xfId="17183"/>
    <cellStyle name="Nota 2 2 6 16" xfId="21215"/>
    <cellStyle name="Nota 2 2 6 17" xfId="25247"/>
    <cellStyle name="Nota 2 2 6 18" xfId="29279"/>
    <cellStyle name="Nota 2 2 6 19" xfId="33311"/>
    <cellStyle name="Nota 2 2 6 2" xfId="206"/>
    <cellStyle name="Nota 2 2 6 2 10" xfId="21284"/>
    <cellStyle name="Nota 2 2 6 2 11" xfId="25316"/>
    <cellStyle name="Nota 2 2 6 2 12" xfId="29348"/>
    <cellStyle name="Nota 2 2 6 2 13" xfId="33380"/>
    <cellStyle name="Nota 2 2 6 2 14" xfId="37412"/>
    <cellStyle name="Nota 2 2 6 2 15" xfId="41444"/>
    <cellStyle name="Nota 2 2 6 2 16" xfId="45476"/>
    <cellStyle name="Nota 2 2 6 2 17" xfId="49554"/>
    <cellStyle name="Nota 2 2 6 2 2" xfId="4324"/>
    <cellStyle name="Nota 2 2 6 2 2 10" xfId="34169"/>
    <cellStyle name="Nota 2 2 6 2 2 11" xfId="38201"/>
    <cellStyle name="Nota 2 2 6 2 2 12" xfId="42233"/>
    <cellStyle name="Nota 2 2 6 2 2 13" xfId="46265"/>
    <cellStyle name="Nota 2 2 6 2 2 14" xfId="50344"/>
    <cellStyle name="Nota 2 2 6 2 2 2" xfId="6894"/>
    <cellStyle name="Nota 2 2 6 2 2 2 10" xfId="39152"/>
    <cellStyle name="Nota 2 2 6 2 2 2 11" xfId="43184"/>
    <cellStyle name="Nota 2 2 6 2 2 2 12" xfId="47216"/>
    <cellStyle name="Nota 2 2 6 2 2 2 13" xfId="51295"/>
    <cellStyle name="Nota 2 2 6 2 2 2 2" xfId="8910"/>
    <cellStyle name="Nota 2 2 6 2 2 2 2 10" xfId="45200"/>
    <cellStyle name="Nota 2 2 6 2 2 2 2 11" xfId="49232"/>
    <cellStyle name="Nota 2 2 6 2 2 2 2 12" xfId="53311"/>
    <cellStyle name="Nota 2 2 6 2 2 2 2 2" xfId="12944"/>
    <cellStyle name="Nota 2 2 6 2 2 2 2 3" xfId="16976"/>
    <cellStyle name="Nota 2 2 6 2 2 2 2 4" xfId="21008"/>
    <cellStyle name="Nota 2 2 6 2 2 2 2 5" xfId="25040"/>
    <cellStyle name="Nota 2 2 6 2 2 2 2 6" xfId="29072"/>
    <cellStyle name="Nota 2 2 6 2 2 2 2 7" xfId="33104"/>
    <cellStyle name="Nota 2 2 6 2 2 2 2 8" xfId="37136"/>
    <cellStyle name="Nota 2 2 6 2 2 2 2 9" xfId="41168"/>
    <cellStyle name="Nota 2 2 6 2 2 2 3" xfId="10928"/>
    <cellStyle name="Nota 2 2 6 2 2 2 4" xfId="14960"/>
    <cellStyle name="Nota 2 2 6 2 2 2 5" xfId="18992"/>
    <cellStyle name="Nota 2 2 6 2 2 2 6" xfId="23024"/>
    <cellStyle name="Nota 2 2 6 2 2 2 7" xfId="27056"/>
    <cellStyle name="Nota 2 2 6 2 2 2 8" xfId="31088"/>
    <cellStyle name="Nota 2 2 6 2 2 2 9" xfId="35120"/>
    <cellStyle name="Nota 2 2 6 2 2 3" xfId="7959"/>
    <cellStyle name="Nota 2 2 6 2 2 3 10" xfId="44249"/>
    <cellStyle name="Nota 2 2 6 2 2 3 11" xfId="48281"/>
    <cellStyle name="Nota 2 2 6 2 2 3 12" xfId="52360"/>
    <cellStyle name="Nota 2 2 6 2 2 3 2" xfId="11993"/>
    <cellStyle name="Nota 2 2 6 2 2 3 3" xfId="16025"/>
    <cellStyle name="Nota 2 2 6 2 2 3 4" xfId="20057"/>
    <cellStyle name="Nota 2 2 6 2 2 3 5" xfId="24089"/>
    <cellStyle name="Nota 2 2 6 2 2 3 6" xfId="28121"/>
    <cellStyle name="Nota 2 2 6 2 2 3 7" xfId="32153"/>
    <cellStyle name="Nota 2 2 6 2 2 3 8" xfId="36185"/>
    <cellStyle name="Nota 2 2 6 2 2 3 9" xfId="40217"/>
    <cellStyle name="Nota 2 2 6 2 2 4" xfId="9977"/>
    <cellStyle name="Nota 2 2 6 2 2 5" xfId="14009"/>
    <cellStyle name="Nota 2 2 6 2 2 6" xfId="18041"/>
    <cellStyle name="Nota 2 2 6 2 2 7" xfId="22073"/>
    <cellStyle name="Nota 2 2 6 2 2 8" xfId="26105"/>
    <cellStyle name="Nota 2 2 6 2 2 9" xfId="30137"/>
    <cellStyle name="Nota 2 2 6 2 3" xfId="4463"/>
    <cellStyle name="Nota 2 2 6 2 3 10" xfId="34307"/>
    <cellStyle name="Nota 2 2 6 2 3 11" xfId="38339"/>
    <cellStyle name="Nota 2 2 6 2 3 12" xfId="42371"/>
    <cellStyle name="Nota 2 2 6 2 3 13" xfId="46403"/>
    <cellStyle name="Nota 2 2 6 2 3 14" xfId="50482"/>
    <cellStyle name="Nota 2 2 6 2 3 2" xfId="7032"/>
    <cellStyle name="Nota 2 2 6 2 3 2 10" xfId="39290"/>
    <cellStyle name="Nota 2 2 6 2 3 2 11" xfId="43322"/>
    <cellStyle name="Nota 2 2 6 2 3 2 12" xfId="47354"/>
    <cellStyle name="Nota 2 2 6 2 3 2 13" xfId="51433"/>
    <cellStyle name="Nota 2 2 6 2 3 2 2" xfId="9048"/>
    <cellStyle name="Nota 2 2 6 2 3 2 2 10" xfId="45338"/>
    <cellStyle name="Nota 2 2 6 2 3 2 2 11" xfId="49370"/>
    <cellStyle name="Nota 2 2 6 2 3 2 2 12" xfId="53449"/>
    <cellStyle name="Nota 2 2 6 2 3 2 2 2" xfId="13082"/>
    <cellStyle name="Nota 2 2 6 2 3 2 2 3" xfId="17114"/>
    <cellStyle name="Nota 2 2 6 2 3 2 2 4" xfId="21146"/>
    <cellStyle name="Nota 2 2 6 2 3 2 2 5" xfId="25178"/>
    <cellStyle name="Nota 2 2 6 2 3 2 2 6" xfId="29210"/>
    <cellStyle name="Nota 2 2 6 2 3 2 2 7" xfId="33242"/>
    <cellStyle name="Nota 2 2 6 2 3 2 2 8" xfId="37274"/>
    <cellStyle name="Nota 2 2 6 2 3 2 2 9" xfId="41306"/>
    <cellStyle name="Nota 2 2 6 2 3 2 3" xfId="11066"/>
    <cellStyle name="Nota 2 2 6 2 3 2 4" xfId="15098"/>
    <cellStyle name="Nota 2 2 6 2 3 2 5" xfId="19130"/>
    <cellStyle name="Nota 2 2 6 2 3 2 6" xfId="23162"/>
    <cellStyle name="Nota 2 2 6 2 3 2 7" xfId="27194"/>
    <cellStyle name="Nota 2 2 6 2 3 2 8" xfId="31226"/>
    <cellStyle name="Nota 2 2 6 2 3 2 9" xfId="35258"/>
    <cellStyle name="Nota 2 2 6 2 3 3" xfId="8097"/>
    <cellStyle name="Nota 2 2 6 2 3 3 10" xfId="44387"/>
    <cellStyle name="Nota 2 2 6 2 3 3 11" xfId="48419"/>
    <cellStyle name="Nota 2 2 6 2 3 3 12" xfId="52498"/>
    <cellStyle name="Nota 2 2 6 2 3 3 2" xfId="12131"/>
    <cellStyle name="Nota 2 2 6 2 3 3 3" xfId="16163"/>
    <cellStyle name="Nota 2 2 6 2 3 3 4" xfId="20195"/>
    <cellStyle name="Nota 2 2 6 2 3 3 5" xfId="24227"/>
    <cellStyle name="Nota 2 2 6 2 3 3 6" xfId="28259"/>
    <cellStyle name="Nota 2 2 6 2 3 3 7" xfId="32291"/>
    <cellStyle name="Nota 2 2 6 2 3 3 8" xfId="36323"/>
    <cellStyle name="Nota 2 2 6 2 3 3 9" xfId="40355"/>
    <cellStyle name="Nota 2 2 6 2 3 4" xfId="10115"/>
    <cellStyle name="Nota 2 2 6 2 3 5" xfId="14147"/>
    <cellStyle name="Nota 2 2 6 2 3 6" xfId="18179"/>
    <cellStyle name="Nota 2 2 6 2 3 7" xfId="22211"/>
    <cellStyle name="Nota 2 2 6 2 3 8" xfId="26243"/>
    <cellStyle name="Nota 2 2 6 2 3 9" xfId="30275"/>
    <cellStyle name="Nota 2 2 6 2 4" xfId="4603"/>
    <cellStyle name="Nota 2 2 6 2 4 10" xfId="38477"/>
    <cellStyle name="Nota 2 2 6 2 4 11" xfId="42509"/>
    <cellStyle name="Nota 2 2 6 2 4 12" xfId="46541"/>
    <cellStyle name="Nota 2 2 6 2 4 13" xfId="50620"/>
    <cellStyle name="Nota 2 2 6 2 4 2" xfId="8235"/>
    <cellStyle name="Nota 2 2 6 2 4 2 10" xfId="44525"/>
    <cellStyle name="Nota 2 2 6 2 4 2 11" xfId="48557"/>
    <cellStyle name="Nota 2 2 6 2 4 2 12" xfId="52636"/>
    <cellStyle name="Nota 2 2 6 2 4 2 2" xfId="12269"/>
    <cellStyle name="Nota 2 2 6 2 4 2 3" xfId="16301"/>
    <cellStyle name="Nota 2 2 6 2 4 2 4" xfId="20333"/>
    <cellStyle name="Nota 2 2 6 2 4 2 5" xfId="24365"/>
    <cellStyle name="Nota 2 2 6 2 4 2 6" xfId="28397"/>
    <cellStyle name="Nota 2 2 6 2 4 2 7" xfId="32429"/>
    <cellStyle name="Nota 2 2 6 2 4 2 8" xfId="36461"/>
    <cellStyle name="Nota 2 2 6 2 4 2 9" xfId="40493"/>
    <cellStyle name="Nota 2 2 6 2 4 3" xfId="10253"/>
    <cellStyle name="Nota 2 2 6 2 4 4" xfId="14285"/>
    <cellStyle name="Nota 2 2 6 2 4 5" xfId="18317"/>
    <cellStyle name="Nota 2 2 6 2 4 6" xfId="22349"/>
    <cellStyle name="Nota 2 2 6 2 4 7" xfId="26381"/>
    <cellStyle name="Nota 2 2 6 2 4 8" xfId="30413"/>
    <cellStyle name="Nota 2 2 6 2 4 9" xfId="34445"/>
    <cellStyle name="Nota 2 2 6 2 5" xfId="1640"/>
    <cellStyle name="Nota 2 2 6 2 5 10" xfId="37633"/>
    <cellStyle name="Nota 2 2 6 2 5 11" xfId="41665"/>
    <cellStyle name="Nota 2 2 6 2 5 12" xfId="45697"/>
    <cellStyle name="Nota 2 2 6 2 5 13" xfId="49775"/>
    <cellStyle name="Nota 2 2 6 2 5 2" xfId="7391"/>
    <cellStyle name="Nota 2 2 6 2 5 2 10" xfId="43681"/>
    <cellStyle name="Nota 2 2 6 2 5 2 11" xfId="47713"/>
    <cellStyle name="Nota 2 2 6 2 5 2 12" xfId="51792"/>
    <cellStyle name="Nota 2 2 6 2 5 2 2" xfId="11425"/>
    <cellStyle name="Nota 2 2 6 2 5 2 3" xfId="15457"/>
    <cellStyle name="Nota 2 2 6 2 5 2 4" xfId="19489"/>
    <cellStyle name="Nota 2 2 6 2 5 2 5" xfId="23521"/>
    <cellStyle name="Nota 2 2 6 2 5 2 6" xfId="27553"/>
    <cellStyle name="Nota 2 2 6 2 5 2 7" xfId="31585"/>
    <cellStyle name="Nota 2 2 6 2 5 2 8" xfId="35617"/>
    <cellStyle name="Nota 2 2 6 2 5 2 9" xfId="39649"/>
    <cellStyle name="Nota 2 2 6 2 5 3" xfId="9409"/>
    <cellStyle name="Nota 2 2 6 2 5 4" xfId="13441"/>
    <cellStyle name="Nota 2 2 6 2 5 5" xfId="17473"/>
    <cellStyle name="Nota 2 2 6 2 5 6" xfId="21505"/>
    <cellStyle name="Nota 2 2 6 2 5 7" xfId="25537"/>
    <cellStyle name="Nota 2 2 6 2 5 8" xfId="29569"/>
    <cellStyle name="Nota 2 2 6 2 5 9" xfId="33601"/>
    <cellStyle name="Nota 2 2 6 2 6" xfId="7170"/>
    <cellStyle name="Nota 2 2 6 2 6 10" xfId="43460"/>
    <cellStyle name="Nota 2 2 6 2 6 11" xfId="47492"/>
    <cellStyle name="Nota 2 2 6 2 6 12" xfId="51571"/>
    <cellStyle name="Nota 2 2 6 2 6 2" xfId="11204"/>
    <cellStyle name="Nota 2 2 6 2 6 3" xfId="15236"/>
    <cellStyle name="Nota 2 2 6 2 6 4" xfId="19268"/>
    <cellStyle name="Nota 2 2 6 2 6 5" xfId="23300"/>
    <cellStyle name="Nota 2 2 6 2 6 6" xfId="27332"/>
    <cellStyle name="Nota 2 2 6 2 6 7" xfId="31364"/>
    <cellStyle name="Nota 2 2 6 2 6 8" xfId="35396"/>
    <cellStyle name="Nota 2 2 6 2 6 9" xfId="39428"/>
    <cellStyle name="Nota 2 2 6 2 7" xfId="9188"/>
    <cellStyle name="Nota 2 2 6 2 8" xfId="13220"/>
    <cellStyle name="Nota 2 2 6 2 9" xfId="17252"/>
    <cellStyle name="Nota 2 2 6 20" xfId="37343"/>
    <cellStyle name="Nota 2 2 6 21" xfId="41375"/>
    <cellStyle name="Nota 2 2 6 22" xfId="45407"/>
    <cellStyle name="Nota 2 2 6 23" xfId="49485"/>
    <cellStyle name="Nota 2 2 6 3" xfId="1714"/>
    <cellStyle name="Nota 2 2 6 3 10" xfId="33670"/>
    <cellStyle name="Nota 2 2 6 3 11" xfId="37702"/>
    <cellStyle name="Nota 2 2 6 3 12" xfId="41734"/>
    <cellStyle name="Nota 2 2 6 3 13" xfId="45766"/>
    <cellStyle name="Nota 2 2 6 3 14" xfId="49844"/>
    <cellStyle name="Nota 2 2 6 3 2" xfId="5385"/>
    <cellStyle name="Nota 2 2 6 3 2 10" xfId="38653"/>
    <cellStyle name="Nota 2 2 6 3 2 11" xfId="42685"/>
    <cellStyle name="Nota 2 2 6 3 2 12" xfId="46717"/>
    <cellStyle name="Nota 2 2 6 3 2 13" xfId="50796"/>
    <cellStyle name="Nota 2 2 6 3 2 2" xfId="8411"/>
    <cellStyle name="Nota 2 2 6 3 2 2 10" xfId="44701"/>
    <cellStyle name="Nota 2 2 6 3 2 2 11" xfId="48733"/>
    <cellStyle name="Nota 2 2 6 3 2 2 12" xfId="52812"/>
    <cellStyle name="Nota 2 2 6 3 2 2 2" xfId="12445"/>
    <cellStyle name="Nota 2 2 6 3 2 2 3" xfId="16477"/>
    <cellStyle name="Nota 2 2 6 3 2 2 4" xfId="20509"/>
    <cellStyle name="Nota 2 2 6 3 2 2 5" xfId="24541"/>
    <cellStyle name="Nota 2 2 6 3 2 2 6" xfId="28573"/>
    <cellStyle name="Nota 2 2 6 3 2 2 7" xfId="32605"/>
    <cellStyle name="Nota 2 2 6 3 2 2 8" xfId="36637"/>
    <cellStyle name="Nota 2 2 6 3 2 2 9" xfId="40669"/>
    <cellStyle name="Nota 2 2 6 3 2 3" xfId="10429"/>
    <cellStyle name="Nota 2 2 6 3 2 4" xfId="14461"/>
    <cellStyle name="Nota 2 2 6 3 2 5" xfId="18493"/>
    <cellStyle name="Nota 2 2 6 3 2 6" xfId="22525"/>
    <cellStyle name="Nota 2 2 6 3 2 7" xfId="26557"/>
    <cellStyle name="Nota 2 2 6 3 2 8" xfId="30589"/>
    <cellStyle name="Nota 2 2 6 3 2 9" xfId="34621"/>
    <cellStyle name="Nota 2 2 6 3 3" xfId="7460"/>
    <cellStyle name="Nota 2 2 6 3 3 10" xfId="43750"/>
    <cellStyle name="Nota 2 2 6 3 3 11" xfId="47782"/>
    <cellStyle name="Nota 2 2 6 3 3 12" xfId="51861"/>
    <cellStyle name="Nota 2 2 6 3 3 2" xfId="11494"/>
    <cellStyle name="Nota 2 2 6 3 3 3" xfId="15526"/>
    <cellStyle name="Nota 2 2 6 3 3 4" xfId="19558"/>
    <cellStyle name="Nota 2 2 6 3 3 5" xfId="23590"/>
    <cellStyle name="Nota 2 2 6 3 3 6" xfId="27622"/>
    <cellStyle name="Nota 2 2 6 3 3 7" xfId="31654"/>
    <cellStyle name="Nota 2 2 6 3 3 8" xfId="35686"/>
    <cellStyle name="Nota 2 2 6 3 3 9" xfId="39718"/>
    <cellStyle name="Nota 2 2 6 3 4" xfId="9478"/>
    <cellStyle name="Nota 2 2 6 3 5" xfId="13510"/>
    <cellStyle name="Nota 2 2 6 3 6" xfId="17542"/>
    <cellStyle name="Nota 2 2 6 3 7" xfId="21574"/>
    <cellStyle name="Nota 2 2 6 3 8" xfId="25606"/>
    <cellStyle name="Nota 2 2 6 3 9" xfId="29638"/>
    <cellStyle name="Nota 2 2 6 4" xfId="4036"/>
    <cellStyle name="Nota 2 2 6 4 10" xfId="33893"/>
    <cellStyle name="Nota 2 2 6 4 11" xfId="37925"/>
    <cellStyle name="Nota 2 2 6 4 12" xfId="41957"/>
    <cellStyle name="Nota 2 2 6 4 13" xfId="45989"/>
    <cellStyle name="Nota 2 2 6 4 14" xfId="50067"/>
    <cellStyle name="Nota 2 2 6 4 2" xfId="6618"/>
    <cellStyle name="Nota 2 2 6 4 2 10" xfId="38876"/>
    <cellStyle name="Nota 2 2 6 4 2 11" xfId="42908"/>
    <cellStyle name="Nota 2 2 6 4 2 12" xfId="46940"/>
    <cellStyle name="Nota 2 2 6 4 2 13" xfId="51019"/>
    <cellStyle name="Nota 2 2 6 4 2 2" xfId="8634"/>
    <cellStyle name="Nota 2 2 6 4 2 2 10" xfId="44924"/>
    <cellStyle name="Nota 2 2 6 4 2 2 11" xfId="48956"/>
    <cellStyle name="Nota 2 2 6 4 2 2 12" xfId="53035"/>
    <cellStyle name="Nota 2 2 6 4 2 2 2" xfId="12668"/>
    <cellStyle name="Nota 2 2 6 4 2 2 3" xfId="16700"/>
    <cellStyle name="Nota 2 2 6 4 2 2 4" xfId="20732"/>
    <cellStyle name="Nota 2 2 6 4 2 2 5" xfId="24764"/>
    <cellStyle name="Nota 2 2 6 4 2 2 6" xfId="28796"/>
    <cellStyle name="Nota 2 2 6 4 2 2 7" xfId="32828"/>
    <cellStyle name="Nota 2 2 6 4 2 2 8" xfId="36860"/>
    <cellStyle name="Nota 2 2 6 4 2 2 9" xfId="40892"/>
    <cellStyle name="Nota 2 2 6 4 2 3" xfId="10652"/>
    <cellStyle name="Nota 2 2 6 4 2 4" xfId="14684"/>
    <cellStyle name="Nota 2 2 6 4 2 5" xfId="18716"/>
    <cellStyle name="Nota 2 2 6 4 2 6" xfId="22748"/>
    <cellStyle name="Nota 2 2 6 4 2 7" xfId="26780"/>
    <cellStyle name="Nota 2 2 6 4 2 8" xfId="30812"/>
    <cellStyle name="Nota 2 2 6 4 2 9" xfId="34844"/>
    <cellStyle name="Nota 2 2 6 4 3" xfId="7683"/>
    <cellStyle name="Nota 2 2 6 4 3 10" xfId="43973"/>
    <cellStyle name="Nota 2 2 6 4 3 11" xfId="48005"/>
    <cellStyle name="Nota 2 2 6 4 3 12" xfId="52084"/>
    <cellStyle name="Nota 2 2 6 4 3 2" xfId="11717"/>
    <cellStyle name="Nota 2 2 6 4 3 3" xfId="15749"/>
    <cellStyle name="Nota 2 2 6 4 3 4" xfId="19781"/>
    <cellStyle name="Nota 2 2 6 4 3 5" xfId="23813"/>
    <cellStyle name="Nota 2 2 6 4 3 6" xfId="27845"/>
    <cellStyle name="Nota 2 2 6 4 3 7" xfId="31877"/>
    <cellStyle name="Nota 2 2 6 4 3 8" xfId="35909"/>
    <cellStyle name="Nota 2 2 6 4 3 9" xfId="39941"/>
    <cellStyle name="Nota 2 2 6 4 4" xfId="9701"/>
    <cellStyle name="Nota 2 2 6 4 5" xfId="13733"/>
    <cellStyle name="Nota 2 2 6 4 6" xfId="17765"/>
    <cellStyle name="Nota 2 2 6 4 7" xfId="21797"/>
    <cellStyle name="Nota 2 2 6 4 8" xfId="25829"/>
    <cellStyle name="Nota 2 2 6 4 9" xfId="29861"/>
    <cellStyle name="Nota 2 2 6 5" xfId="4106"/>
    <cellStyle name="Nota 2 2 6 5 10" xfId="33962"/>
    <cellStyle name="Nota 2 2 6 5 11" xfId="37994"/>
    <cellStyle name="Nota 2 2 6 5 12" xfId="42026"/>
    <cellStyle name="Nota 2 2 6 5 13" xfId="46058"/>
    <cellStyle name="Nota 2 2 6 5 14" xfId="50136"/>
    <cellStyle name="Nota 2 2 6 5 2" xfId="6687"/>
    <cellStyle name="Nota 2 2 6 5 2 10" xfId="38945"/>
    <cellStyle name="Nota 2 2 6 5 2 11" xfId="42977"/>
    <cellStyle name="Nota 2 2 6 5 2 12" xfId="47009"/>
    <cellStyle name="Nota 2 2 6 5 2 13" xfId="51088"/>
    <cellStyle name="Nota 2 2 6 5 2 2" xfId="8703"/>
    <cellStyle name="Nota 2 2 6 5 2 2 10" xfId="44993"/>
    <cellStyle name="Nota 2 2 6 5 2 2 11" xfId="49025"/>
    <cellStyle name="Nota 2 2 6 5 2 2 12" xfId="53104"/>
    <cellStyle name="Nota 2 2 6 5 2 2 2" xfId="12737"/>
    <cellStyle name="Nota 2 2 6 5 2 2 3" xfId="16769"/>
    <cellStyle name="Nota 2 2 6 5 2 2 4" xfId="20801"/>
    <cellStyle name="Nota 2 2 6 5 2 2 5" xfId="24833"/>
    <cellStyle name="Nota 2 2 6 5 2 2 6" xfId="28865"/>
    <cellStyle name="Nota 2 2 6 5 2 2 7" xfId="32897"/>
    <cellStyle name="Nota 2 2 6 5 2 2 8" xfId="36929"/>
    <cellStyle name="Nota 2 2 6 5 2 2 9" xfId="40961"/>
    <cellStyle name="Nota 2 2 6 5 2 3" xfId="10721"/>
    <cellStyle name="Nota 2 2 6 5 2 4" xfId="14753"/>
    <cellStyle name="Nota 2 2 6 5 2 5" xfId="18785"/>
    <cellStyle name="Nota 2 2 6 5 2 6" xfId="22817"/>
    <cellStyle name="Nota 2 2 6 5 2 7" xfId="26849"/>
    <cellStyle name="Nota 2 2 6 5 2 8" xfId="30881"/>
    <cellStyle name="Nota 2 2 6 5 2 9" xfId="34913"/>
    <cellStyle name="Nota 2 2 6 5 3" xfId="7752"/>
    <cellStyle name="Nota 2 2 6 5 3 10" xfId="44042"/>
    <cellStyle name="Nota 2 2 6 5 3 11" xfId="48074"/>
    <cellStyle name="Nota 2 2 6 5 3 12" xfId="52153"/>
    <cellStyle name="Nota 2 2 6 5 3 2" xfId="11786"/>
    <cellStyle name="Nota 2 2 6 5 3 3" xfId="15818"/>
    <cellStyle name="Nota 2 2 6 5 3 4" xfId="19850"/>
    <cellStyle name="Nota 2 2 6 5 3 5" xfId="23882"/>
    <cellStyle name="Nota 2 2 6 5 3 6" xfId="27914"/>
    <cellStyle name="Nota 2 2 6 5 3 7" xfId="31946"/>
    <cellStyle name="Nota 2 2 6 5 3 8" xfId="35978"/>
    <cellStyle name="Nota 2 2 6 5 3 9" xfId="40010"/>
    <cellStyle name="Nota 2 2 6 5 4" xfId="9770"/>
    <cellStyle name="Nota 2 2 6 5 5" xfId="13802"/>
    <cellStyle name="Nota 2 2 6 5 6" xfId="17834"/>
    <cellStyle name="Nota 2 2 6 5 7" xfId="21866"/>
    <cellStyle name="Nota 2 2 6 5 8" xfId="25898"/>
    <cellStyle name="Nota 2 2 6 5 9" xfId="29930"/>
    <cellStyle name="Nota 2 2 6 6" xfId="4175"/>
    <cellStyle name="Nota 2 2 6 6 10" xfId="34031"/>
    <cellStyle name="Nota 2 2 6 6 11" xfId="38063"/>
    <cellStyle name="Nota 2 2 6 6 12" xfId="42095"/>
    <cellStyle name="Nota 2 2 6 6 13" xfId="46127"/>
    <cellStyle name="Nota 2 2 6 6 14" xfId="50205"/>
    <cellStyle name="Nota 2 2 6 6 2" xfId="6756"/>
    <cellStyle name="Nota 2 2 6 6 2 10" xfId="39014"/>
    <cellStyle name="Nota 2 2 6 6 2 11" xfId="43046"/>
    <cellStyle name="Nota 2 2 6 6 2 12" xfId="47078"/>
    <cellStyle name="Nota 2 2 6 6 2 13" xfId="51157"/>
    <cellStyle name="Nota 2 2 6 6 2 2" xfId="8772"/>
    <cellStyle name="Nota 2 2 6 6 2 2 10" xfId="45062"/>
    <cellStyle name="Nota 2 2 6 6 2 2 11" xfId="49094"/>
    <cellStyle name="Nota 2 2 6 6 2 2 12" xfId="53173"/>
    <cellStyle name="Nota 2 2 6 6 2 2 2" xfId="12806"/>
    <cellStyle name="Nota 2 2 6 6 2 2 3" xfId="16838"/>
    <cellStyle name="Nota 2 2 6 6 2 2 4" xfId="20870"/>
    <cellStyle name="Nota 2 2 6 6 2 2 5" xfId="24902"/>
    <cellStyle name="Nota 2 2 6 6 2 2 6" xfId="28934"/>
    <cellStyle name="Nota 2 2 6 6 2 2 7" xfId="32966"/>
    <cellStyle name="Nota 2 2 6 6 2 2 8" xfId="36998"/>
    <cellStyle name="Nota 2 2 6 6 2 2 9" xfId="41030"/>
    <cellStyle name="Nota 2 2 6 6 2 3" xfId="10790"/>
    <cellStyle name="Nota 2 2 6 6 2 4" xfId="14822"/>
    <cellStyle name="Nota 2 2 6 6 2 5" xfId="18854"/>
    <cellStyle name="Nota 2 2 6 6 2 6" xfId="22886"/>
    <cellStyle name="Nota 2 2 6 6 2 7" xfId="26918"/>
    <cellStyle name="Nota 2 2 6 6 2 8" xfId="30950"/>
    <cellStyle name="Nota 2 2 6 6 2 9" xfId="34982"/>
    <cellStyle name="Nota 2 2 6 6 3" xfId="7821"/>
    <cellStyle name="Nota 2 2 6 6 3 10" xfId="44111"/>
    <cellStyle name="Nota 2 2 6 6 3 11" xfId="48143"/>
    <cellStyle name="Nota 2 2 6 6 3 12" xfId="52222"/>
    <cellStyle name="Nota 2 2 6 6 3 2" xfId="11855"/>
    <cellStyle name="Nota 2 2 6 6 3 3" xfId="15887"/>
    <cellStyle name="Nota 2 2 6 6 3 4" xfId="19919"/>
    <cellStyle name="Nota 2 2 6 6 3 5" xfId="23951"/>
    <cellStyle name="Nota 2 2 6 6 3 6" xfId="27983"/>
    <cellStyle name="Nota 2 2 6 6 3 7" xfId="32015"/>
    <cellStyle name="Nota 2 2 6 6 3 8" xfId="36047"/>
    <cellStyle name="Nota 2 2 6 6 3 9" xfId="40079"/>
    <cellStyle name="Nota 2 2 6 6 4" xfId="9839"/>
    <cellStyle name="Nota 2 2 6 6 5" xfId="13871"/>
    <cellStyle name="Nota 2 2 6 6 6" xfId="17903"/>
    <cellStyle name="Nota 2 2 6 6 7" xfId="21935"/>
    <cellStyle name="Nota 2 2 6 6 8" xfId="25967"/>
    <cellStyle name="Nota 2 2 6 6 9" xfId="29999"/>
    <cellStyle name="Nota 2 2 6 7" xfId="4248"/>
    <cellStyle name="Nota 2 2 6 7 10" xfId="34100"/>
    <cellStyle name="Nota 2 2 6 7 11" xfId="38132"/>
    <cellStyle name="Nota 2 2 6 7 12" xfId="42164"/>
    <cellStyle name="Nota 2 2 6 7 13" xfId="46196"/>
    <cellStyle name="Nota 2 2 6 7 14" xfId="50274"/>
    <cellStyle name="Nota 2 2 6 7 2" xfId="6825"/>
    <cellStyle name="Nota 2 2 6 7 2 10" xfId="39083"/>
    <cellStyle name="Nota 2 2 6 7 2 11" xfId="43115"/>
    <cellStyle name="Nota 2 2 6 7 2 12" xfId="47147"/>
    <cellStyle name="Nota 2 2 6 7 2 13" xfId="51226"/>
    <cellStyle name="Nota 2 2 6 7 2 2" xfId="8841"/>
    <cellStyle name="Nota 2 2 6 7 2 2 10" xfId="45131"/>
    <cellStyle name="Nota 2 2 6 7 2 2 11" xfId="49163"/>
    <cellStyle name="Nota 2 2 6 7 2 2 12" xfId="53242"/>
    <cellStyle name="Nota 2 2 6 7 2 2 2" xfId="12875"/>
    <cellStyle name="Nota 2 2 6 7 2 2 3" xfId="16907"/>
    <cellStyle name="Nota 2 2 6 7 2 2 4" xfId="20939"/>
    <cellStyle name="Nota 2 2 6 7 2 2 5" xfId="24971"/>
    <cellStyle name="Nota 2 2 6 7 2 2 6" xfId="29003"/>
    <cellStyle name="Nota 2 2 6 7 2 2 7" xfId="33035"/>
    <cellStyle name="Nota 2 2 6 7 2 2 8" xfId="37067"/>
    <cellStyle name="Nota 2 2 6 7 2 2 9" xfId="41099"/>
    <cellStyle name="Nota 2 2 6 7 2 3" xfId="10859"/>
    <cellStyle name="Nota 2 2 6 7 2 4" xfId="14891"/>
    <cellStyle name="Nota 2 2 6 7 2 5" xfId="18923"/>
    <cellStyle name="Nota 2 2 6 7 2 6" xfId="22955"/>
    <cellStyle name="Nota 2 2 6 7 2 7" xfId="26987"/>
    <cellStyle name="Nota 2 2 6 7 2 8" xfId="31019"/>
    <cellStyle name="Nota 2 2 6 7 2 9" xfId="35051"/>
    <cellStyle name="Nota 2 2 6 7 3" xfId="7890"/>
    <cellStyle name="Nota 2 2 6 7 3 10" xfId="44180"/>
    <cellStyle name="Nota 2 2 6 7 3 11" xfId="48212"/>
    <cellStyle name="Nota 2 2 6 7 3 12" xfId="52291"/>
    <cellStyle name="Nota 2 2 6 7 3 2" xfId="11924"/>
    <cellStyle name="Nota 2 2 6 7 3 3" xfId="15956"/>
    <cellStyle name="Nota 2 2 6 7 3 4" xfId="19988"/>
    <cellStyle name="Nota 2 2 6 7 3 5" xfId="24020"/>
    <cellStyle name="Nota 2 2 6 7 3 6" xfId="28052"/>
    <cellStyle name="Nota 2 2 6 7 3 7" xfId="32084"/>
    <cellStyle name="Nota 2 2 6 7 3 8" xfId="36116"/>
    <cellStyle name="Nota 2 2 6 7 3 9" xfId="40148"/>
    <cellStyle name="Nota 2 2 6 7 4" xfId="9908"/>
    <cellStyle name="Nota 2 2 6 7 5" xfId="13940"/>
    <cellStyle name="Nota 2 2 6 7 6" xfId="17972"/>
    <cellStyle name="Nota 2 2 6 7 7" xfId="22004"/>
    <cellStyle name="Nota 2 2 6 7 8" xfId="26036"/>
    <cellStyle name="Nota 2 2 6 7 9" xfId="30068"/>
    <cellStyle name="Nota 2 2 6 8" xfId="4394"/>
    <cellStyle name="Nota 2 2 6 8 10" xfId="34238"/>
    <cellStyle name="Nota 2 2 6 8 11" xfId="38270"/>
    <cellStyle name="Nota 2 2 6 8 12" xfId="42302"/>
    <cellStyle name="Nota 2 2 6 8 13" xfId="46334"/>
    <cellStyle name="Nota 2 2 6 8 14" xfId="50413"/>
    <cellStyle name="Nota 2 2 6 8 2" xfId="6963"/>
    <cellStyle name="Nota 2 2 6 8 2 10" xfId="39221"/>
    <cellStyle name="Nota 2 2 6 8 2 11" xfId="43253"/>
    <cellStyle name="Nota 2 2 6 8 2 12" xfId="47285"/>
    <cellStyle name="Nota 2 2 6 8 2 13" xfId="51364"/>
    <cellStyle name="Nota 2 2 6 8 2 2" xfId="8979"/>
    <cellStyle name="Nota 2 2 6 8 2 2 10" xfId="45269"/>
    <cellStyle name="Nota 2 2 6 8 2 2 11" xfId="49301"/>
    <cellStyle name="Nota 2 2 6 8 2 2 12" xfId="53380"/>
    <cellStyle name="Nota 2 2 6 8 2 2 2" xfId="13013"/>
    <cellStyle name="Nota 2 2 6 8 2 2 3" xfId="17045"/>
    <cellStyle name="Nota 2 2 6 8 2 2 4" xfId="21077"/>
    <cellStyle name="Nota 2 2 6 8 2 2 5" xfId="25109"/>
    <cellStyle name="Nota 2 2 6 8 2 2 6" xfId="29141"/>
    <cellStyle name="Nota 2 2 6 8 2 2 7" xfId="33173"/>
    <cellStyle name="Nota 2 2 6 8 2 2 8" xfId="37205"/>
    <cellStyle name="Nota 2 2 6 8 2 2 9" xfId="41237"/>
    <cellStyle name="Nota 2 2 6 8 2 3" xfId="10997"/>
    <cellStyle name="Nota 2 2 6 8 2 4" xfId="15029"/>
    <cellStyle name="Nota 2 2 6 8 2 5" xfId="19061"/>
    <cellStyle name="Nota 2 2 6 8 2 6" xfId="23093"/>
    <cellStyle name="Nota 2 2 6 8 2 7" xfId="27125"/>
    <cellStyle name="Nota 2 2 6 8 2 8" xfId="31157"/>
    <cellStyle name="Nota 2 2 6 8 2 9" xfId="35189"/>
    <cellStyle name="Nota 2 2 6 8 3" xfId="8028"/>
    <cellStyle name="Nota 2 2 6 8 3 10" xfId="44318"/>
    <cellStyle name="Nota 2 2 6 8 3 11" xfId="48350"/>
    <cellStyle name="Nota 2 2 6 8 3 12" xfId="52429"/>
    <cellStyle name="Nota 2 2 6 8 3 2" xfId="12062"/>
    <cellStyle name="Nota 2 2 6 8 3 3" xfId="16094"/>
    <cellStyle name="Nota 2 2 6 8 3 4" xfId="20126"/>
    <cellStyle name="Nota 2 2 6 8 3 5" xfId="24158"/>
    <cellStyle name="Nota 2 2 6 8 3 6" xfId="28190"/>
    <cellStyle name="Nota 2 2 6 8 3 7" xfId="32222"/>
    <cellStyle name="Nota 2 2 6 8 3 8" xfId="36254"/>
    <cellStyle name="Nota 2 2 6 8 3 9" xfId="40286"/>
    <cellStyle name="Nota 2 2 6 8 4" xfId="10046"/>
    <cellStyle name="Nota 2 2 6 8 5" xfId="14078"/>
    <cellStyle name="Nota 2 2 6 8 6" xfId="18110"/>
    <cellStyle name="Nota 2 2 6 8 7" xfId="22142"/>
    <cellStyle name="Nota 2 2 6 8 8" xfId="26174"/>
    <cellStyle name="Nota 2 2 6 8 9" xfId="30206"/>
    <cellStyle name="Nota 2 2 6 9" xfId="4532"/>
    <cellStyle name="Nota 2 2 6 9 10" xfId="38408"/>
    <cellStyle name="Nota 2 2 6 9 11" xfId="42440"/>
    <cellStyle name="Nota 2 2 6 9 12" xfId="46472"/>
    <cellStyle name="Nota 2 2 6 9 13" xfId="50551"/>
    <cellStyle name="Nota 2 2 6 9 2" xfId="8166"/>
    <cellStyle name="Nota 2 2 6 9 2 10" xfId="44456"/>
    <cellStyle name="Nota 2 2 6 9 2 11" xfId="48488"/>
    <cellStyle name="Nota 2 2 6 9 2 12" xfId="52567"/>
    <cellStyle name="Nota 2 2 6 9 2 2" xfId="12200"/>
    <cellStyle name="Nota 2 2 6 9 2 3" xfId="16232"/>
    <cellStyle name="Nota 2 2 6 9 2 4" xfId="20264"/>
    <cellStyle name="Nota 2 2 6 9 2 5" xfId="24296"/>
    <cellStyle name="Nota 2 2 6 9 2 6" xfId="28328"/>
    <cellStyle name="Nota 2 2 6 9 2 7" xfId="32360"/>
    <cellStyle name="Nota 2 2 6 9 2 8" xfId="36392"/>
    <cellStyle name="Nota 2 2 6 9 2 9" xfId="40424"/>
    <cellStyle name="Nota 2 2 6 9 3" xfId="10184"/>
    <cellStyle name="Nota 2 2 6 9 4" xfId="14216"/>
    <cellStyle name="Nota 2 2 6 9 5" xfId="18248"/>
    <cellStyle name="Nota 2 2 6 9 6" xfId="22280"/>
    <cellStyle name="Nota 2 2 6 9 7" xfId="26312"/>
    <cellStyle name="Nota 2 2 6 9 8" xfId="30344"/>
    <cellStyle name="Nota 2 2 6 9 9" xfId="34376"/>
    <cellStyle name="Nota 2 2 7" xfId="187"/>
    <cellStyle name="Nota 2 2 7 10" xfId="21268"/>
    <cellStyle name="Nota 2 2 7 11" xfId="25300"/>
    <cellStyle name="Nota 2 2 7 12" xfId="29332"/>
    <cellStyle name="Nota 2 2 7 13" xfId="33364"/>
    <cellStyle name="Nota 2 2 7 14" xfId="37396"/>
    <cellStyle name="Nota 2 2 7 15" xfId="41428"/>
    <cellStyle name="Nota 2 2 7 16" xfId="45460"/>
    <cellStyle name="Nota 2 2 7 17" xfId="49538"/>
    <cellStyle name="Nota 2 2 7 2" xfId="4306"/>
    <cellStyle name="Nota 2 2 7 2 10" xfId="34153"/>
    <cellStyle name="Nota 2 2 7 2 11" xfId="38185"/>
    <cellStyle name="Nota 2 2 7 2 12" xfId="42217"/>
    <cellStyle name="Nota 2 2 7 2 13" xfId="46249"/>
    <cellStyle name="Nota 2 2 7 2 14" xfId="50328"/>
    <cellStyle name="Nota 2 2 7 2 2" xfId="6878"/>
    <cellStyle name="Nota 2 2 7 2 2 10" xfId="39136"/>
    <cellStyle name="Nota 2 2 7 2 2 11" xfId="43168"/>
    <cellStyle name="Nota 2 2 7 2 2 12" xfId="47200"/>
    <cellStyle name="Nota 2 2 7 2 2 13" xfId="51279"/>
    <cellStyle name="Nota 2 2 7 2 2 2" xfId="8894"/>
    <cellStyle name="Nota 2 2 7 2 2 2 10" xfId="45184"/>
    <cellStyle name="Nota 2 2 7 2 2 2 11" xfId="49216"/>
    <cellStyle name="Nota 2 2 7 2 2 2 12" xfId="53295"/>
    <cellStyle name="Nota 2 2 7 2 2 2 2" xfId="12928"/>
    <cellStyle name="Nota 2 2 7 2 2 2 3" xfId="16960"/>
    <cellStyle name="Nota 2 2 7 2 2 2 4" xfId="20992"/>
    <cellStyle name="Nota 2 2 7 2 2 2 5" xfId="25024"/>
    <cellStyle name="Nota 2 2 7 2 2 2 6" xfId="29056"/>
    <cellStyle name="Nota 2 2 7 2 2 2 7" xfId="33088"/>
    <cellStyle name="Nota 2 2 7 2 2 2 8" xfId="37120"/>
    <cellStyle name="Nota 2 2 7 2 2 2 9" xfId="41152"/>
    <cellStyle name="Nota 2 2 7 2 2 3" xfId="10912"/>
    <cellStyle name="Nota 2 2 7 2 2 4" xfId="14944"/>
    <cellStyle name="Nota 2 2 7 2 2 5" xfId="18976"/>
    <cellStyle name="Nota 2 2 7 2 2 6" xfId="23008"/>
    <cellStyle name="Nota 2 2 7 2 2 7" xfId="27040"/>
    <cellStyle name="Nota 2 2 7 2 2 8" xfId="31072"/>
    <cellStyle name="Nota 2 2 7 2 2 9" xfId="35104"/>
    <cellStyle name="Nota 2 2 7 2 3" xfId="7943"/>
    <cellStyle name="Nota 2 2 7 2 3 10" xfId="44233"/>
    <cellStyle name="Nota 2 2 7 2 3 11" xfId="48265"/>
    <cellStyle name="Nota 2 2 7 2 3 12" xfId="52344"/>
    <cellStyle name="Nota 2 2 7 2 3 2" xfId="11977"/>
    <cellStyle name="Nota 2 2 7 2 3 3" xfId="16009"/>
    <cellStyle name="Nota 2 2 7 2 3 4" xfId="20041"/>
    <cellStyle name="Nota 2 2 7 2 3 5" xfId="24073"/>
    <cellStyle name="Nota 2 2 7 2 3 6" xfId="28105"/>
    <cellStyle name="Nota 2 2 7 2 3 7" xfId="32137"/>
    <cellStyle name="Nota 2 2 7 2 3 8" xfId="36169"/>
    <cellStyle name="Nota 2 2 7 2 3 9" xfId="40201"/>
    <cellStyle name="Nota 2 2 7 2 4" xfId="9961"/>
    <cellStyle name="Nota 2 2 7 2 5" xfId="13993"/>
    <cellStyle name="Nota 2 2 7 2 6" xfId="18025"/>
    <cellStyle name="Nota 2 2 7 2 7" xfId="22057"/>
    <cellStyle name="Nota 2 2 7 2 8" xfId="26089"/>
    <cellStyle name="Nota 2 2 7 2 9" xfId="30121"/>
    <cellStyle name="Nota 2 2 7 3" xfId="4447"/>
    <cellStyle name="Nota 2 2 7 3 10" xfId="34291"/>
    <cellStyle name="Nota 2 2 7 3 11" xfId="38323"/>
    <cellStyle name="Nota 2 2 7 3 12" xfId="42355"/>
    <cellStyle name="Nota 2 2 7 3 13" xfId="46387"/>
    <cellStyle name="Nota 2 2 7 3 14" xfId="50466"/>
    <cellStyle name="Nota 2 2 7 3 2" xfId="7016"/>
    <cellStyle name="Nota 2 2 7 3 2 10" xfId="39274"/>
    <cellStyle name="Nota 2 2 7 3 2 11" xfId="43306"/>
    <cellStyle name="Nota 2 2 7 3 2 12" xfId="47338"/>
    <cellStyle name="Nota 2 2 7 3 2 13" xfId="51417"/>
    <cellStyle name="Nota 2 2 7 3 2 2" xfId="9032"/>
    <cellStyle name="Nota 2 2 7 3 2 2 10" xfId="45322"/>
    <cellStyle name="Nota 2 2 7 3 2 2 11" xfId="49354"/>
    <cellStyle name="Nota 2 2 7 3 2 2 12" xfId="53433"/>
    <cellStyle name="Nota 2 2 7 3 2 2 2" xfId="13066"/>
    <cellStyle name="Nota 2 2 7 3 2 2 3" xfId="17098"/>
    <cellStyle name="Nota 2 2 7 3 2 2 4" xfId="21130"/>
    <cellStyle name="Nota 2 2 7 3 2 2 5" xfId="25162"/>
    <cellStyle name="Nota 2 2 7 3 2 2 6" xfId="29194"/>
    <cellStyle name="Nota 2 2 7 3 2 2 7" xfId="33226"/>
    <cellStyle name="Nota 2 2 7 3 2 2 8" xfId="37258"/>
    <cellStyle name="Nota 2 2 7 3 2 2 9" xfId="41290"/>
    <cellStyle name="Nota 2 2 7 3 2 3" xfId="11050"/>
    <cellStyle name="Nota 2 2 7 3 2 4" xfId="15082"/>
    <cellStyle name="Nota 2 2 7 3 2 5" xfId="19114"/>
    <cellStyle name="Nota 2 2 7 3 2 6" xfId="23146"/>
    <cellStyle name="Nota 2 2 7 3 2 7" xfId="27178"/>
    <cellStyle name="Nota 2 2 7 3 2 8" xfId="31210"/>
    <cellStyle name="Nota 2 2 7 3 2 9" xfId="35242"/>
    <cellStyle name="Nota 2 2 7 3 3" xfId="8081"/>
    <cellStyle name="Nota 2 2 7 3 3 10" xfId="44371"/>
    <cellStyle name="Nota 2 2 7 3 3 11" xfId="48403"/>
    <cellStyle name="Nota 2 2 7 3 3 12" xfId="52482"/>
    <cellStyle name="Nota 2 2 7 3 3 2" xfId="12115"/>
    <cellStyle name="Nota 2 2 7 3 3 3" xfId="16147"/>
    <cellStyle name="Nota 2 2 7 3 3 4" xfId="20179"/>
    <cellStyle name="Nota 2 2 7 3 3 5" xfId="24211"/>
    <cellStyle name="Nota 2 2 7 3 3 6" xfId="28243"/>
    <cellStyle name="Nota 2 2 7 3 3 7" xfId="32275"/>
    <cellStyle name="Nota 2 2 7 3 3 8" xfId="36307"/>
    <cellStyle name="Nota 2 2 7 3 3 9" xfId="40339"/>
    <cellStyle name="Nota 2 2 7 3 4" xfId="10099"/>
    <cellStyle name="Nota 2 2 7 3 5" xfId="14131"/>
    <cellStyle name="Nota 2 2 7 3 6" xfId="18163"/>
    <cellStyle name="Nota 2 2 7 3 7" xfId="22195"/>
    <cellStyle name="Nota 2 2 7 3 8" xfId="26227"/>
    <cellStyle name="Nota 2 2 7 3 9" xfId="30259"/>
    <cellStyle name="Nota 2 2 7 4" xfId="4587"/>
    <cellStyle name="Nota 2 2 7 4 10" xfId="38461"/>
    <cellStyle name="Nota 2 2 7 4 11" xfId="42493"/>
    <cellStyle name="Nota 2 2 7 4 12" xfId="46525"/>
    <cellStyle name="Nota 2 2 7 4 13" xfId="50604"/>
    <cellStyle name="Nota 2 2 7 4 2" xfId="8219"/>
    <cellStyle name="Nota 2 2 7 4 2 10" xfId="44509"/>
    <cellStyle name="Nota 2 2 7 4 2 11" xfId="48541"/>
    <cellStyle name="Nota 2 2 7 4 2 12" xfId="52620"/>
    <cellStyle name="Nota 2 2 7 4 2 2" xfId="12253"/>
    <cellStyle name="Nota 2 2 7 4 2 3" xfId="16285"/>
    <cellStyle name="Nota 2 2 7 4 2 4" xfId="20317"/>
    <cellStyle name="Nota 2 2 7 4 2 5" xfId="24349"/>
    <cellStyle name="Nota 2 2 7 4 2 6" xfId="28381"/>
    <cellStyle name="Nota 2 2 7 4 2 7" xfId="32413"/>
    <cellStyle name="Nota 2 2 7 4 2 8" xfId="36445"/>
    <cellStyle name="Nota 2 2 7 4 2 9" xfId="40477"/>
    <cellStyle name="Nota 2 2 7 4 3" xfId="10237"/>
    <cellStyle name="Nota 2 2 7 4 4" xfId="14269"/>
    <cellStyle name="Nota 2 2 7 4 5" xfId="18301"/>
    <cellStyle name="Nota 2 2 7 4 6" xfId="22333"/>
    <cellStyle name="Nota 2 2 7 4 7" xfId="26365"/>
    <cellStyle name="Nota 2 2 7 4 8" xfId="30397"/>
    <cellStyle name="Nota 2 2 7 4 9" xfId="34429"/>
    <cellStyle name="Nota 2 2 7 5" xfId="646"/>
    <cellStyle name="Nota 2 2 7 6" xfId="7154"/>
    <cellStyle name="Nota 2 2 7 6 10" xfId="43444"/>
    <cellStyle name="Nota 2 2 7 6 11" xfId="47476"/>
    <cellStyle name="Nota 2 2 7 6 12" xfId="51555"/>
    <cellStyle name="Nota 2 2 7 6 2" xfId="11188"/>
    <cellStyle name="Nota 2 2 7 6 3" xfId="15220"/>
    <cellStyle name="Nota 2 2 7 6 4" xfId="19252"/>
    <cellStyle name="Nota 2 2 7 6 5" xfId="23284"/>
    <cellStyle name="Nota 2 2 7 6 6" xfId="27316"/>
    <cellStyle name="Nota 2 2 7 6 7" xfId="31348"/>
    <cellStyle name="Nota 2 2 7 6 8" xfId="35380"/>
    <cellStyle name="Nota 2 2 7 6 9" xfId="39412"/>
    <cellStyle name="Nota 2 2 7 7" xfId="9172"/>
    <cellStyle name="Nota 2 2 7 8" xfId="13204"/>
    <cellStyle name="Nota 2 2 7 9" xfId="17236"/>
    <cellStyle name="Nota 2 2 8" xfId="314"/>
    <cellStyle name="Nota 2 2 8 10" xfId="33487"/>
    <cellStyle name="Nota 2 2 8 11" xfId="37519"/>
    <cellStyle name="Nota 2 2 8 12" xfId="41551"/>
    <cellStyle name="Nota 2 2 8 13" xfId="45583"/>
    <cellStyle name="Nota 2 2 8 14" xfId="49661"/>
    <cellStyle name="Nota 2 2 8 2" xfId="4656"/>
    <cellStyle name="Nota 2 2 8 2 10" xfId="38530"/>
    <cellStyle name="Nota 2 2 8 2 11" xfId="42562"/>
    <cellStyle name="Nota 2 2 8 2 12" xfId="46594"/>
    <cellStyle name="Nota 2 2 8 2 13" xfId="50673"/>
    <cellStyle name="Nota 2 2 8 2 2" xfId="8288"/>
    <cellStyle name="Nota 2 2 8 2 2 10" xfId="44578"/>
    <cellStyle name="Nota 2 2 8 2 2 11" xfId="48610"/>
    <cellStyle name="Nota 2 2 8 2 2 12" xfId="52689"/>
    <cellStyle name="Nota 2 2 8 2 2 2" xfId="12322"/>
    <cellStyle name="Nota 2 2 8 2 2 3" xfId="16354"/>
    <cellStyle name="Nota 2 2 8 2 2 4" xfId="20386"/>
    <cellStyle name="Nota 2 2 8 2 2 5" xfId="24418"/>
    <cellStyle name="Nota 2 2 8 2 2 6" xfId="28450"/>
    <cellStyle name="Nota 2 2 8 2 2 7" xfId="32482"/>
    <cellStyle name="Nota 2 2 8 2 2 8" xfId="36514"/>
    <cellStyle name="Nota 2 2 8 2 2 9" xfId="40546"/>
    <cellStyle name="Nota 2 2 8 2 3" xfId="10306"/>
    <cellStyle name="Nota 2 2 8 2 4" xfId="14338"/>
    <cellStyle name="Nota 2 2 8 2 5" xfId="18370"/>
    <cellStyle name="Nota 2 2 8 2 6" xfId="22402"/>
    <cellStyle name="Nota 2 2 8 2 7" xfId="26434"/>
    <cellStyle name="Nota 2 2 8 2 8" xfId="30466"/>
    <cellStyle name="Nota 2 2 8 2 9" xfId="34498"/>
    <cellStyle name="Nota 2 2 8 3" xfId="7277"/>
    <cellStyle name="Nota 2 2 8 3 10" xfId="43567"/>
    <cellStyle name="Nota 2 2 8 3 11" xfId="47599"/>
    <cellStyle name="Nota 2 2 8 3 12" xfId="51678"/>
    <cellStyle name="Nota 2 2 8 3 2" xfId="11311"/>
    <cellStyle name="Nota 2 2 8 3 3" xfId="15343"/>
    <cellStyle name="Nota 2 2 8 3 4" xfId="19375"/>
    <cellStyle name="Nota 2 2 8 3 5" xfId="23407"/>
    <cellStyle name="Nota 2 2 8 3 6" xfId="27439"/>
    <cellStyle name="Nota 2 2 8 3 7" xfId="31471"/>
    <cellStyle name="Nota 2 2 8 3 8" xfId="35503"/>
    <cellStyle name="Nota 2 2 8 3 9" xfId="39535"/>
    <cellStyle name="Nota 2 2 8 4" xfId="9295"/>
    <cellStyle name="Nota 2 2 8 5" xfId="13327"/>
    <cellStyle name="Nota 2 2 8 6" xfId="17359"/>
    <cellStyle name="Nota 2 2 8 7" xfId="21391"/>
    <cellStyle name="Nota 2 2 8 8" xfId="25423"/>
    <cellStyle name="Nota 2 2 8 9" xfId="29455"/>
    <cellStyle name="Nota 2 2 9" xfId="1624"/>
    <cellStyle name="Nota 2 2 9 10" xfId="33585"/>
    <cellStyle name="Nota 2 2 9 11" xfId="37617"/>
    <cellStyle name="Nota 2 2 9 12" xfId="41649"/>
    <cellStyle name="Nota 2 2 9 13" xfId="45681"/>
    <cellStyle name="Nota 2 2 9 14" xfId="49759"/>
    <cellStyle name="Nota 2 2 9 2" xfId="5313"/>
    <cellStyle name="Nota 2 2 9 2 10" xfId="38581"/>
    <cellStyle name="Nota 2 2 9 2 11" xfId="42613"/>
    <cellStyle name="Nota 2 2 9 2 12" xfId="46645"/>
    <cellStyle name="Nota 2 2 9 2 13" xfId="50724"/>
    <cellStyle name="Nota 2 2 9 2 2" xfId="8339"/>
    <cellStyle name="Nota 2 2 9 2 2 10" xfId="44629"/>
    <cellStyle name="Nota 2 2 9 2 2 11" xfId="48661"/>
    <cellStyle name="Nota 2 2 9 2 2 12" xfId="52740"/>
    <cellStyle name="Nota 2 2 9 2 2 2" xfId="12373"/>
    <cellStyle name="Nota 2 2 9 2 2 3" xfId="16405"/>
    <cellStyle name="Nota 2 2 9 2 2 4" xfId="20437"/>
    <cellStyle name="Nota 2 2 9 2 2 5" xfId="24469"/>
    <cellStyle name="Nota 2 2 9 2 2 6" xfId="28501"/>
    <cellStyle name="Nota 2 2 9 2 2 7" xfId="32533"/>
    <cellStyle name="Nota 2 2 9 2 2 8" xfId="36565"/>
    <cellStyle name="Nota 2 2 9 2 2 9" xfId="40597"/>
    <cellStyle name="Nota 2 2 9 2 3" xfId="10357"/>
    <cellStyle name="Nota 2 2 9 2 4" xfId="14389"/>
    <cellStyle name="Nota 2 2 9 2 5" xfId="18421"/>
    <cellStyle name="Nota 2 2 9 2 6" xfId="22453"/>
    <cellStyle name="Nota 2 2 9 2 7" xfId="26485"/>
    <cellStyle name="Nota 2 2 9 2 8" xfId="30517"/>
    <cellStyle name="Nota 2 2 9 2 9" xfId="34549"/>
    <cellStyle name="Nota 2 2 9 3" xfId="7375"/>
    <cellStyle name="Nota 2 2 9 3 10" xfId="43665"/>
    <cellStyle name="Nota 2 2 9 3 11" xfId="47697"/>
    <cellStyle name="Nota 2 2 9 3 12" xfId="51776"/>
    <cellStyle name="Nota 2 2 9 3 2" xfId="11409"/>
    <cellStyle name="Nota 2 2 9 3 3" xfId="15441"/>
    <cellStyle name="Nota 2 2 9 3 4" xfId="19473"/>
    <cellStyle name="Nota 2 2 9 3 5" xfId="23505"/>
    <cellStyle name="Nota 2 2 9 3 6" xfId="27537"/>
    <cellStyle name="Nota 2 2 9 3 7" xfId="31569"/>
    <cellStyle name="Nota 2 2 9 3 8" xfId="35601"/>
    <cellStyle name="Nota 2 2 9 3 9" xfId="39633"/>
    <cellStyle name="Nota 2 2 9 4" xfId="9393"/>
    <cellStyle name="Nota 2 2 9 5" xfId="13425"/>
    <cellStyle name="Nota 2 2 9 6" xfId="17457"/>
    <cellStyle name="Nota 2 2 9 7" xfId="21489"/>
    <cellStyle name="Nota 2 2 9 8" xfId="25521"/>
    <cellStyle name="Nota 2 2 9 9" xfId="29553"/>
    <cellStyle name="Nota 2 20" xfId="3444"/>
    <cellStyle name="Nota 2 21" xfId="2890"/>
    <cellStyle name="Nota 2 21 10" xfId="33847"/>
    <cellStyle name="Nota 2 21 11" xfId="37879"/>
    <cellStyle name="Nota 2 21 12" xfId="41911"/>
    <cellStyle name="Nota 2 21 13" xfId="45943"/>
    <cellStyle name="Nota 2 21 14" xfId="50021"/>
    <cellStyle name="Nota 2 21 2" xfId="5837"/>
    <cellStyle name="Nota 2 21 2 10" xfId="38830"/>
    <cellStyle name="Nota 2 21 2 11" xfId="42862"/>
    <cellStyle name="Nota 2 21 2 12" xfId="46894"/>
    <cellStyle name="Nota 2 21 2 13" xfId="50973"/>
    <cellStyle name="Nota 2 21 2 2" xfId="8588"/>
    <cellStyle name="Nota 2 21 2 2 10" xfId="44878"/>
    <cellStyle name="Nota 2 21 2 2 11" xfId="48910"/>
    <cellStyle name="Nota 2 21 2 2 12" xfId="52989"/>
    <cellStyle name="Nota 2 21 2 2 2" xfId="12622"/>
    <cellStyle name="Nota 2 21 2 2 3" xfId="16654"/>
    <cellStyle name="Nota 2 21 2 2 4" xfId="20686"/>
    <cellStyle name="Nota 2 21 2 2 5" xfId="24718"/>
    <cellStyle name="Nota 2 21 2 2 6" xfId="28750"/>
    <cellStyle name="Nota 2 21 2 2 7" xfId="32782"/>
    <cellStyle name="Nota 2 21 2 2 8" xfId="36814"/>
    <cellStyle name="Nota 2 21 2 2 9" xfId="40846"/>
    <cellStyle name="Nota 2 21 2 3" xfId="10606"/>
    <cellStyle name="Nota 2 21 2 4" xfId="14638"/>
    <cellStyle name="Nota 2 21 2 5" xfId="18670"/>
    <cellStyle name="Nota 2 21 2 6" xfId="22702"/>
    <cellStyle name="Nota 2 21 2 7" xfId="26734"/>
    <cellStyle name="Nota 2 21 2 8" xfId="30766"/>
    <cellStyle name="Nota 2 21 2 9" xfId="34798"/>
    <cellStyle name="Nota 2 21 3" xfId="7637"/>
    <cellStyle name="Nota 2 21 3 10" xfId="43927"/>
    <cellStyle name="Nota 2 21 3 11" xfId="47959"/>
    <cellStyle name="Nota 2 21 3 12" xfId="52038"/>
    <cellStyle name="Nota 2 21 3 2" xfId="11671"/>
    <cellStyle name="Nota 2 21 3 3" xfId="15703"/>
    <cellStyle name="Nota 2 21 3 4" xfId="19735"/>
    <cellStyle name="Nota 2 21 3 5" xfId="23767"/>
    <cellStyle name="Nota 2 21 3 6" xfId="27799"/>
    <cellStyle name="Nota 2 21 3 7" xfId="31831"/>
    <cellStyle name="Nota 2 21 3 8" xfId="35863"/>
    <cellStyle name="Nota 2 21 3 9" xfId="39895"/>
    <cellStyle name="Nota 2 21 4" xfId="9655"/>
    <cellStyle name="Nota 2 21 5" xfId="13687"/>
    <cellStyle name="Nota 2 21 6" xfId="17719"/>
    <cellStyle name="Nota 2 21 7" xfId="21751"/>
    <cellStyle name="Nota 2 21 8" xfId="25783"/>
    <cellStyle name="Nota 2 21 9" xfId="29815"/>
    <cellStyle name="Nota 2 22" xfId="4018"/>
    <cellStyle name="Nota 2 22 10" xfId="33875"/>
    <cellStyle name="Nota 2 22 11" xfId="37907"/>
    <cellStyle name="Nota 2 22 12" xfId="41939"/>
    <cellStyle name="Nota 2 22 13" xfId="45971"/>
    <cellStyle name="Nota 2 22 14" xfId="50049"/>
    <cellStyle name="Nota 2 22 2" xfId="6600"/>
    <cellStyle name="Nota 2 22 2 10" xfId="38858"/>
    <cellStyle name="Nota 2 22 2 11" xfId="42890"/>
    <cellStyle name="Nota 2 22 2 12" xfId="46922"/>
    <cellStyle name="Nota 2 22 2 13" xfId="51001"/>
    <cellStyle name="Nota 2 22 2 2" xfId="8616"/>
    <cellStyle name="Nota 2 22 2 2 10" xfId="44906"/>
    <cellStyle name="Nota 2 22 2 2 11" xfId="48938"/>
    <cellStyle name="Nota 2 22 2 2 12" xfId="53017"/>
    <cellStyle name="Nota 2 22 2 2 2" xfId="12650"/>
    <cellStyle name="Nota 2 22 2 2 3" xfId="16682"/>
    <cellStyle name="Nota 2 22 2 2 4" xfId="20714"/>
    <cellStyle name="Nota 2 22 2 2 5" xfId="24746"/>
    <cellStyle name="Nota 2 22 2 2 6" xfId="28778"/>
    <cellStyle name="Nota 2 22 2 2 7" xfId="32810"/>
    <cellStyle name="Nota 2 22 2 2 8" xfId="36842"/>
    <cellStyle name="Nota 2 22 2 2 9" xfId="40874"/>
    <cellStyle name="Nota 2 22 2 3" xfId="10634"/>
    <cellStyle name="Nota 2 22 2 4" xfId="14666"/>
    <cellStyle name="Nota 2 22 2 5" xfId="18698"/>
    <cellStyle name="Nota 2 22 2 6" xfId="22730"/>
    <cellStyle name="Nota 2 22 2 7" xfId="26762"/>
    <cellStyle name="Nota 2 22 2 8" xfId="30794"/>
    <cellStyle name="Nota 2 22 2 9" xfId="34826"/>
    <cellStyle name="Nota 2 22 3" xfId="7665"/>
    <cellStyle name="Nota 2 22 3 10" xfId="43955"/>
    <cellStyle name="Nota 2 22 3 11" xfId="47987"/>
    <cellStyle name="Nota 2 22 3 12" xfId="52066"/>
    <cellStyle name="Nota 2 22 3 2" xfId="11699"/>
    <cellStyle name="Nota 2 22 3 3" xfId="15731"/>
    <cellStyle name="Nota 2 22 3 4" xfId="19763"/>
    <cellStyle name="Nota 2 22 3 5" xfId="23795"/>
    <cellStyle name="Nota 2 22 3 6" xfId="27827"/>
    <cellStyle name="Nota 2 22 3 7" xfId="31859"/>
    <cellStyle name="Nota 2 22 3 8" xfId="35891"/>
    <cellStyle name="Nota 2 22 3 9" xfId="39923"/>
    <cellStyle name="Nota 2 22 4" xfId="9683"/>
    <cellStyle name="Nota 2 22 5" xfId="13715"/>
    <cellStyle name="Nota 2 22 6" xfId="17747"/>
    <cellStyle name="Nota 2 22 7" xfId="21779"/>
    <cellStyle name="Nota 2 22 8" xfId="25811"/>
    <cellStyle name="Nota 2 22 9" xfId="29843"/>
    <cellStyle name="Nota 2 23" xfId="4088"/>
    <cellStyle name="Nota 2 23 10" xfId="33944"/>
    <cellStyle name="Nota 2 23 11" xfId="37976"/>
    <cellStyle name="Nota 2 23 12" xfId="42008"/>
    <cellStyle name="Nota 2 23 13" xfId="46040"/>
    <cellStyle name="Nota 2 23 14" xfId="50118"/>
    <cellStyle name="Nota 2 23 2" xfId="6669"/>
    <cellStyle name="Nota 2 23 2 10" xfId="38927"/>
    <cellStyle name="Nota 2 23 2 11" xfId="42959"/>
    <cellStyle name="Nota 2 23 2 12" xfId="46991"/>
    <cellStyle name="Nota 2 23 2 13" xfId="51070"/>
    <cellStyle name="Nota 2 23 2 2" xfId="8685"/>
    <cellStyle name="Nota 2 23 2 2 10" xfId="44975"/>
    <cellStyle name="Nota 2 23 2 2 11" xfId="49007"/>
    <cellStyle name="Nota 2 23 2 2 12" xfId="53086"/>
    <cellStyle name="Nota 2 23 2 2 2" xfId="12719"/>
    <cellStyle name="Nota 2 23 2 2 3" xfId="16751"/>
    <cellStyle name="Nota 2 23 2 2 4" xfId="20783"/>
    <cellStyle name="Nota 2 23 2 2 5" xfId="24815"/>
    <cellStyle name="Nota 2 23 2 2 6" xfId="28847"/>
    <cellStyle name="Nota 2 23 2 2 7" xfId="32879"/>
    <cellStyle name="Nota 2 23 2 2 8" xfId="36911"/>
    <cellStyle name="Nota 2 23 2 2 9" xfId="40943"/>
    <cellStyle name="Nota 2 23 2 3" xfId="10703"/>
    <cellStyle name="Nota 2 23 2 4" xfId="14735"/>
    <cellStyle name="Nota 2 23 2 5" xfId="18767"/>
    <cellStyle name="Nota 2 23 2 6" xfId="22799"/>
    <cellStyle name="Nota 2 23 2 7" xfId="26831"/>
    <cellStyle name="Nota 2 23 2 8" xfId="30863"/>
    <cellStyle name="Nota 2 23 2 9" xfId="34895"/>
    <cellStyle name="Nota 2 23 3" xfId="7734"/>
    <cellStyle name="Nota 2 23 3 10" xfId="44024"/>
    <cellStyle name="Nota 2 23 3 11" xfId="48056"/>
    <cellStyle name="Nota 2 23 3 12" xfId="52135"/>
    <cellStyle name="Nota 2 23 3 2" xfId="11768"/>
    <cellStyle name="Nota 2 23 3 3" xfId="15800"/>
    <cellStyle name="Nota 2 23 3 4" xfId="19832"/>
    <cellStyle name="Nota 2 23 3 5" xfId="23864"/>
    <cellStyle name="Nota 2 23 3 6" xfId="27896"/>
    <cellStyle name="Nota 2 23 3 7" xfId="31928"/>
    <cellStyle name="Nota 2 23 3 8" xfId="35960"/>
    <cellStyle name="Nota 2 23 3 9" xfId="39992"/>
    <cellStyle name="Nota 2 23 4" xfId="9752"/>
    <cellStyle name="Nota 2 23 5" xfId="13784"/>
    <cellStyle name="Nota 2 23 6" xfId="17816"/>
    <cellStyle name="Nota 2 23 7" xfId="21848"/>
    <cellStyle name="Nota 2 23 8" xfId="25880"/>
    <cellStyle name="Nota 2 23 9" xfId="29912"/>
    <cellStyle name="Nota 2 24" xfId="4157"/>
    <cellStyle name="Nota 2 24 10" xfId="34013"/>
    <cellStyle name="Nota 2 24 11" xfId="38045"/>
    <cellStyle name="Nota 2 24 12" xfId="42077"/>
    <cellStyle name="Nota 2 24 13" xfId="46109"/>
    <cellStyle name="Nota 2 24 14" xfId="50187"/>
    <cellStyle name="Nota 2 24 2" xfId="6738"/>
    <cellStyle name="Nota 2 24 2 10" xfId="38996"/>
    <cellStyle name="Nota 2 24 2 11" xfId="43028"/>
    <cellStyle name="Nota 2 24 2 12" xfId="47060"/>
    <cellStyle name="Nota 2 24 2 13" xfId="51139"/>
    <cellStyle name="Nota 2 24 2 2" xfId="8754"/>
    <cellStyle name="Nota 2 24 2 2 10" xfId="45044"/>
    <cellStyle name="Nota 2 24 2 2 11" xfId="49076"/>
    <cellStyle name="Nota 2 24 2 2 12" xfId="53155"/>
    <cellStyle name="Nota 2 24 2 2 2" xfId="12788"/>
    <cellStyle name="Nota 2 24 2 2 3" xfId="16820"/>
    <cellStyle name="Nota 2 24 2 2 4" xfId="20852"/>
    <cellStyle name="Nota 2 24 2 2 5" xfId="24884"/>
    <cellStyle name="Nota 2 24 2 2 6" xfId="28916"/>
    <cellStyle name="Nota 2 24 2 2 7" xfId="32948"/>
    <cellStyle name="Nota 2 24 2 2 8" xfId="36980"/>
    <cellStyle name="Nota 2 24 2 2 9" xfId="41012"/>
    <cellStyle name="Nota 2 24 2 3" xfId="10772"/>
    <cellStyle name="Nota 2 24 2 4" xfId="14804"/>
    <cellStyle name="Nota 2 24 2 5" xfId="18836"/>
    <cellStyle name="Nota 2 24 2 6" xfId="22868"/>
    <cellStyle name="Nota 2 24 2 7" xfId="26900"/>
    <cellStyle name="Nota 2 24 2 8" xfId="30932"/>
    <cellStyle name="Nota 2 24 2 9" xfId="34964"/>
    <cellStyle name="Nota 2 24 3" xfId="7803"/>
    <cellStyle name="Nota 2 24 3 10" xfId="44093"/>
    <cellStyle name="Nota 2 24 3 11" xfId="48125"/>
    <cellStyle name="Nota 2 24 3 12" xfId="52204"/>
    <cellStyle name="Nota 2 24 3 2" xfId="11837"/>
    <cellStyle name="Nota 2 24 3 3" xfId="15869"/>
    <cellStyle name="Nota 2 24 3 4" xfId="19901"/>
    <cellStyle name="Nota 2 24 3 5" xfId="23933"/>
    <cellStyle name="Nota 2 24 3 6" xfId="27965"/>
    <cellStyle name="Nota 2 24 3 7" xfId="31997"/>
    <cellStyle name="Nota 2 24 3 8" xfId="36029"/>
    <cellStyle name="Nota 2 24 3 9" xfId="40061"/>
    <cellStyle name="Nota 2 24 4" xfId="9821"/>
    <cellStyle name="Nota 2 24 5" xfId="13853"/>
    <cellStyle name="Nota 2 24 6" xfId="17885"/>
    <cellStyle name="Nota 2 24 7" xfId="21917"/>
    <cellStyle name="Nota 2 24 8" xfId="25949"/>
    <cellStyle name="Nota 2 24 9" xfId="29981"/>
    <cellStyle name="Nota 2 25" xfId="4227"/>
    <cellStyle name="Nota 2 25 10" xfId="34082"/>
    <cellStyle name="Nota 2 25 11" xfId="38114"/>
    <cellStyle name="Nota 2 25 12" xfId="42146"/>
    <cellStyle name="Nota 2 25 13" xfId="46178"/>
    <cellStyle name="Nota 2 25 14" xfId="50256"/>
    <cellStyle name="Nota 2 25 2" xfId="6807"/>
    <cellStyle name="Nota 2 25 2 10" xfId="39065"/>
    <cellStyle name="Nota 2 25 2 11" xfId="43097"/>
    <cellStyle name="Nota 2 25 2 12" xfId="47129"/>
    <cellStyle name="Nota 2 25 2 13" xfId="51208"/>
    <cellStyle name="Nota 2 25 2 2" xfId="8823"/>
    <cellStyle name="Nota 2 25 2 2 10" xfId="45113"/>
    <cellStyle name="Nota 2 25 2 2 11" xfId="49145"/>
    <cellStyle name="Nota 2 25 2 2 12" xfId="53224"/>
    <cellStyle name="Nota 2 25 2 2 2" xfId="12857"/>
    <cellStyle name="Nota 2 25 2 2 3" xfId="16889"/>
    <cellStyle name="Nota 2 25 2 2 4" xfId="20921"/>
    <cellStyle name="Nota 2 25 2 2 5" xfId="24953"/>
    <cellStyle name="Nota 2 25 2 2 6" xfId="28985"/>
    <cellStyle name="Nota 2 25 2 2 7" xfId="33017"/>
    <cellStyle name="Nota 2 25 2 2 8" xfId="37049"/>
    <cellStyle name="Nota 2 25 2 2 9" xfId="41081"/>
    <cellStyle name="Nota 2 25 2 3" xfId="10841"/>
    <cellStyle name="Nota 2 25 2 4" xfId="14873"/>
    <cellStyle name="Nota 2 25 2 5" xfId="18905"/>
    <cellStyle name="Nota 2 25 2 6" xfId="22937"/>
    <cellStyle name="Nota 2 25 2 7" xfId="26969"/>
    <cellStyle name="Nota 2 25 2 8" xfId="31001"/>
    <cellStyle name="Nota 2 25 2 9" xfId="35033"/>
    <cellStyle name="Nota 2 25 3" xfId="7872"/>
    <cellStyle name="Nota 2 25 3 10" xfId="44162"/>
    <cellStyle name="Nota 2 25 3 11" xfId="48194"/>
    <cellStyle name="Nota 2 25 3 12" xfId="52273"/>
    <cellStyle name="Nota 2 25 3 2" xfId="11906"/>
    <cellStyle name="Nota 2 25 3 3" xfId="15938"/>
    <cellStyle name="Nota 2 25 3 4" xfId="19970"/>
    <cellStyle name="Nota 2 25 3 5" xfId="24002"/>
    <cellStyle name="Nota 2 25 3 6" xfId="28034"/>
    <cellStyle name="Nota 2 25 3 7" xfId="32066"/>
    <cellStyle name="Nota 2 25 3 8" xfId="36098"/>
    <cellStyle name="Nota 2 25 3 9" xfId="40130"/>
    <cellStyle name="Nota 2 25 4" xfId="9890"/>
    <cellStyle name="Nota 2 25 5" xfId="13922"/>
    <cellStyle name="Nota 2 25 6" xfId="17954"/>
    <cellStyle name="Nota 2 25 7" xfId="21986"/>
    <cellStyle name="Nota 2 25 8" xfId="26018"/>
    <cellStyle name="Nota 2 25 9" xfId="30050"/>
    <cellStyle name="Nota 2 26" xfId="4376"/>
    <cellStyle name="Nota 2 26 10" xfId="34220"/>
    <cellStyle name="Nota 2 26 11" xfId="38252"/>
    <cellStyle name="Nota 2 26 12" xfId="42284"/>
    <cellStyle name="Nota 2 26 13" xfId="46316"/>
    <cellStyle name="Nota 2 26 14" xfId="50395"/>
    <cellStyle name="Nota 2 26 2" xfId="6945"/>
    <cellStyle name="Nota 2 26 2 10" xfId="39203"/>
    <cellStyle name="Nota 2 26 2 11" xfId="43235"/>
    <cellStyle name="Nota 2 26 2 12" xfId="47267"/>
    <cellStyle name="Nota 2 26 2 13" xfId="51346"/>
    <cellStyle name="Nota 2 26 2 2" xfId="8961"/>
    <cellStyle name="Nota 2 26 2 2 10" xfId="45251"/>
    <cellStyle name="Nota 2 26 2 2 11" xfId="49283"/>
    <cellStyle name="Nota 2 26 2 2 12" xfId="53362"/>
    <cellStyle name="Nota 2 26 2 2 2" xfId="12995"/>
    <cellStyle name="Nota 2 26 2 2 3" xfId="17027"/>
    <cellStyle name="Nota 2 26 2 2 4" xfId="21059"/>
    <cellStyle name="Nota 2 26 2 2 5" xfId="25091"/>
    <cellStyle name="Nota 2 26 2 2 6" xfId="29123"/>
    <cellStyle name="Nota 2 26 2 2 7" xfId="33155"/>
    <cellStyle name="Nota 2 26 2 2 8" xfId="37187"/>
    <cellStyle name="Nota 2 26 2 2 9" xfId="41219"/>
    <cellStyle name="Nota 2 26 2 3" xfId="10979"/>
    <cellStyle name="Nota 2 26 2 4" xfId="15011"/>
    <cellStyle name="Nota 2 26 2 5" xfId="19043"/>
    <cellStyle name="Nota 2 26 2 6" xfId="23075"/>
    <cellStyle name="Nota 2 26 2 7" xfId="27107"/>
    <cellStyle name="Nota 2 26 2 8" xfId="31139"/>
    <cellStyle name="Nota 2 26 2 9" xfId="35171"/>
    <cellStyle name="Nota 2 26 3" xfId="8010"/>
    <cellStyle name="Nota 2 26 3 10" xfId="44300"/>
    <cellStyle name="Nota 2 26 3 11" xfId="48332"/>
    <cellStyle name="Nota 2 26 3 12" xfId="52411"/>
    <cellStyle name="Nota 2 26 3 2" xfId="12044"/>
    <cellStyle name="Nota 2 26 3 3" xfId="16076"/>
    <cellStyle name="Nota 2 26 3 4" xfId="20108"/>
    <cellStyle name="Nota 2 26 3 5" xfId="24140"/>
    <cellStyle name="Nota 2 26 3 6" xfId="28172"/>
    <cellStyle name="Nota 2 26 3 7" xfId="32204"/>
    <cellStyle name="Nota 2 26 3 8" xfId="36236"/>
    <cellStyle name="Nota 2 26 3 9" xfId="40268"/>
    <cellStyle name="Nota 2 26 4" xfId="10028"/>
    <cellStyle name="Nota 2 26 5" xfId="14060"/>
    <cellStyle name="Nota 2 26 6" xfId="18092"/>
    <cellStyle name="Nota 2 26 7" xfId="22124"/>
    <cellStyle name="Nota 2 26 8" xfId="26156"/>
    <cellStyle name="Nota 2 26 9" xfId="30188"/>
    <cellStyle name="Nota 2 27" xfId="4514"/>
    <cellStyle name="Nota 2 27 10" xfId="38390"/>
    <cellStyle name="Nota 2 27 11" xfId="42422"/>
    <cellStyle name="Nota 2 27 12" xfId="46454"/>
    <cellStyle name="Nota 2 27 13" xfId="50533"/>
    <cellStyle name="Nota 2 27 2" xfId="8148"/>
    <cellStyle name="Nota 2 27 2 10" xfId="44438"/>
    <cellStyle name="Nota 2 27 2 11" xfId="48470"/>
    <cellStyle name="Nota 2 27 2 12" xfId="52549"/>
    <cellStyle name="Nota 2 27 2 2" xfId="12182"/>
    <cellStyle name="Nota 2 27 2 3" xfId="16214"/>
    <cellStyle name="Nota 2 27 2 4" xfId="20246"/>
    <cellStyle name="Nota 2 27 2 5" xfId="24278"/>
    <cellStyle name="Nota 2 27 2 6" xfId="28310"/>
    <cellStyle name="Nota 2 27 2 7" xfId="32342"/>
    <cellStyle name="Nota 2 27 2 8" xfId="36374"/>
    <cellStyle name="Nota 2 27 2 9" xfId="40406"/>
    <cellStyle name="Nota 2 27 3" xfId="10166"/>
    <cellStyle name="Nota 2 27 4" xfId="14198"/>
    <cellStyle name="Nota 2 27 5" xfId="18230"/>
    <cellStyle name="Nota 2 27 6" xfId="22262"/>
    <cellStyle name="Nota 2 27 7" xfId="26294"/>
    <cellStyle name="Nota 2 27 8" xfId="30326"/>
    <cellStyle name="Nota 2 27 9" xfId="34358"/>
    <cellStyle name="Nota 2 28" xfId="258"/>
    <cellStyle name="Nota 2 28 10" xfId="37463"/>
    <cellStyle name="Nota 2 28 11" xfId="41495"/>
    <cellStyle name="Nota 2 28 12" xfId="45527"/>
    <cellStyle name="Nota 2 28 13" xfId="49605"/>
    <cellStyle name="Nota 2 28 2" xfId="7221"/>
    <cellStyle name="Nota 2 28 2 10" xfId="43511"/>
    <cellStyle name="Nota 2 28 2 11" xfId="47543"/>
    <cellStyle name="Nota 2 28 2 12" xfId="51622"/>
    <cellStyle name="Nota 2 28 2 2" xfId="11255"/>
    <cellStyle name="Nota 2 28 2 3" xfId="15287"/>
    <cellStyle name="Nota 2 28 2 4" xfId="19319"/>
    <cellStyle name="Nota 2 28 2 5" xfId="23351"/>
    <cellStyle name="Nota 2 28 2 6" xfId="27383"/>
    <cellStyle name="Nota 2 28 2 7" xfId="31415"/>
    <cellStyle name="Nota 2 28 2 8" xfId="35447"/>
    <cellStyle name="Nota 2 28 2 9" xfId="39479"/>
    <cellStyle name="Nota 2 28 3" xfId="9239"/>
    <cellStyle name="Nota 2 28 4" xfId="13271"/>
    <cellStyle name="Nota 2 28 5" xfId="17303"/>
    <cellStyle name="Nota 2 28 6" xfId="21335"/>
    <cellStyle name="Nota 2 28 7" xfId="25367"/>
    <cellStyle name="Nota 2 28 8" xfId="29399"/>
    <cellStyle name="Nota 2 28 9" xfId="33431"/>
    <cellStyle name="Nota 2 29" xfId="7083"/>
    <cellStyle name="Nota 2 29 10" xfId="43373"/>
    <cellStyle name="Nota 2 29 11" xfId="47405"/>
    <cellStyle name="Nota 2 29 12" xfId="51484"/>
    <cellStyle name="Nota 2 29 2" xfId="11117"/>
    <cellStyle name="Nota 2 29 3" xfId="15149"/>
    <cellStyle name="Nota 2 29 4" xfId="19181"/>
    <cellStyle name="Nota 2 29 5" xfId="23213"/>
    <cellStyle name="Nota 2 29 6" xfId="27245"/>
    <cellStyle name="Nota 2 29 7" xfId="31277"/>
    <cellStyle name="Nota 2 29 8" xfId="35309"/>
    <cellStyle name="Nota 2 29 9" xfId="39341"/>
    <cellStyle name="Nota 2 3" xfId="37"/>
    <cellStyle name="Nota 2 3 10" xfId="1702"/>
    <cellStyle name="Nota 2 3 10 10" xfId="33658"/>
    <cellStyle name="Nota 2 3 10 11" xfId="37690"/>
    <cellStyle name="Nota 2 3 10 12" xfId="41722"/>
    <cellStyle name="Nota 2 3 10 13" xfId="45754"/>
    <cellStyle name="Nota 2 3 10 14" xfId="49832"/>
    <cellStyle name="Nota 2 3 10 2" xfId="5373"/>
    <cellStyle name="Nota 2 3 10 2 10" xfId="38641"/>
    <cellStyle name="Nota 2 3 10 2 11" xfId="42673"/>
    <cellStyle name="Nota 2 3 10 2 12" xfId="46705"/>
    <cellStyle name="Nota 2 3 10 2 13" xfId="50784"/>
    <cellStyle name="Nota 2 3 10 2 2" xfId="8399"/>
    <cellStyle name="Nota 2 3 10 2 2 10" xfId="44689"/>
    <cellStyle name="Nota 2 3 10 2 2 11" xfId="48721"/>
    <cellStyle name="Nota 2 3 10 2 2 12" xfId="52800"/>
    <cellStyle name="Nota 2 3 10 2 2 2" xfId="12433"/>
    <cellStyle name="Nota 2 3 10 2 2 3" xfId="16465"/>
    <cellStyle name="Nota 2 3 10 2 2 4" xfId="20497"/>
    <cellStyle name="Nota 2 3 10 2 2 5" xfId="24529"/>
    <cellStyle name="Nota 2 3 10 2 2 6" xfId="28561"/>
    <cellStyle name="Nota 2 3 10 2 2 7" xfId="32593"/>
    <cellStyle name="Nota 2 3 10 2 2 8" xfId="36625"/>
    <cellStyle name="Nota 2 3 10 2 2 9" xfId="40657"/>
    <cellStyle name="Nota 2 3 10 2 3" xfId="10417"/>
    <cellStyle name="Nota 2 3 10 2 4" xfId="14449"/>
    <cellStyle name="Nota 2 3 10 2 5" xfId="18481"/>
    <cellStyle name="Nota 2 3 10 2 6" xfId="22513"/>
    <cellStyle name="Nota 2 3 10 2 7" xfId="26545"/>
    <cellStyle name="Nota 2 3 10 2 8" xfId="30577"/>
    <cellStyle name="Nota 2 3 10 2 9" xfId="34609"/>
    <cellStyle name="Nota 2 3 10 3" xfId="7448"/>
    <cellStyle name="Nota 2 3 10 3 10" xfId="43738"/>
    <cellStyle name="Nota 2 3 10 3 11" xfId="47770"/>
    <cellStyle name="Nota 2 3 10 3 12" xfId="51849"/>
    <cellStyle name="Nota 2 3 10 3 2" xfId="11482"/>
    <cellStyle name="Nota 2 3 10 3 3" xfId="15514"/>
    <cellStyle name="Nota 2 3 10 3 4" xfId="19546"/>
    <cellStyle name="Nota 2 3 10 3 5" xfId="23578"/>
    <cellStyle name="Nota 2 3 10 3 6" xfId="27610"/>
    <cellStyle name="Nota 2 3 10 3 7" xfId="31642"/>
    <cellStyle name="Nota 2 3 10 3 8" xfId="35674"/>
    <cellStyle name="Nota 2 3 10 3 9" xfId="39706"/>
    <cellStyle name="Nota 2 3 10 4" xfId="9466"/>
    <cellStyle name="Nota 2 3 10 5" xfId="13498"/>
    <cellStyle name="Nota 2 3 10 6" xfId="17530"/>
    <cellStyle name="Nota 2 3 10 7" xfId="21562"/>
    <cellStyle name="Nota 2 3 10 8" xfId="25594"/>
    <cellStyle name="Nota 2 3 10 9" xfId="29626"/>
    <cellStyle name="Nota 2 3 11" xfId="2902"/>
    <cellStyle name="Nota 2 3 12" xfId="4024"/>
    <cellStyle name="Nota 2 3 12 10" xfId="33881"/>
    <cellStyle name="Nota 2 3 12 11" xfId="37913"/>
    <cellStyle name="Nota 2 3 12 12" xfId="41945"/>
    <cellStyle name="Nota 2 3 12 13" xfId="45977"/>
    <cellStyle name="Nota 2 3 12 14" xfId="50055"/>
    <cellStyle name="Nota 2 3 12 2" xfId="6606"/>
    <cellStyle name="Nota 2 3 12 2 10" xfId="38864"/>
    <cellStyle name="Nota 2 3 12 2 11" xfId="42896"/>
    <cellStyle name="Nota 2 3 12 2 12" xfId="46928"/>
    <cellStyle name="Nota 2 3 12 2 13" xfId="51007"/>
    <cellStyle name="Nota 2 3 12 2 2" xfId="8622"/>
    <cellStyle name="Nota 2 3 12 2 2 10" xfId="44912"/>
    <cellStyle name="Nota 2 3 12 2 2 11" xfId="48944"/>
    <cellStyle name="Nota 2 3 12 2 2 12" xfId="53023"/>
    <cellStyle name="Nota 2 3 12 2 2 2" xfId="12656"/>
    <cellStyle name="Nota 2 3 12 2 2 3" xfId="16688"/>
    <cellStyle name="Nota 2 3 12 2 2 4" xfId="20720"/>
    <cellStyle name="Nota 2 3 12 2 2 5" xfId="24752"/>
    <cellStyle name="Nota 2 3 12 2 2 6" xfId="28784"/>
    <cellStyle name="Nota 2 3 12 2 2 7" xfId="32816"/>
    <cellStyle name="Nota 2 3 12 2 2 8" xfId="36848"/>
    <cellStyle name="Nota 2 3 12 2 2 9" xfId="40880"/>
    <cellStyle name="Nota 2 3 12 2 3" xfId="10640"/>
    <cellStyle name="Nota 2 3 12 2 4" xfId="14672"/>
    <cellStyle name="Nota 2 3 12 2 5" xfId="18704"/>
    <cellStyle name="Nota 2 3 12 2 6" xfId="22736"/>
    <cellStyle name="Nota 2 3 12 2 7" xfId="26768"/>
    <cellStyle name="Nota 2 3 12 2 8" xfId="30800"/>
    <cellStyle name="Nota 2 3 12 2 9" xfId="34832"/>
    <cellStyle name="Nota 2 3 12 3" xfId="7671"/>
    <cellStyle name="Nota 2 3 12 3 10" xfId="43961"/>
    <cellStyle name="Nota 2 3 12 3 11" xfId="47993"/>
    <cellStyle name="Nota 2 3 12 3 12" xfId="52072"/>
    <cellStyle name="Nota 2 3 12 3 2" xfId="11705"/>
    <cellStyle name="Nota 2 3 12 3 3" xfId="15737"/>
    <cellStyle name="Nota 2 3 12 3 4" xfId="19769"/>
    <cellStyle name="Nota 2 3 12 3 5" xfId="23801"/>
    <cellStyle name="Nota 2 3 12 3 6" xfId="27833"/>
    <cellStyle name="Nota 2 3 12 3 7" xfId="31865"/>
    <cellStyle name="Nota 2 3 12 3 8" xfId="35897"/>
    <cellStyle name="Nota 2 3 12 3 9" xfId="39929"/>
    <cellStyle name="Nota 2 3 12 4" xfId="9689"/>
    <cellStyle name="Nota 2 3 12 5" xfId="13721"/>
    <cellStyle name="Nota 2 3 12 6" xfId="17753"/>
    <cellStyle name="Nota 2 3 12 7" xfId="21785"/>
    <cellStyle name="Nota 2 3 12 8" xfId="25817"/>
    <cellStyle name="Nota 2 3 12 9" xfId="29849"/>
    <cellStyle name="Nota 2 3 13" xfId="4094"/>
    <cellStyle name="Nota 2 3 13 10" xfId="33950"/>
    <cellStyle name="Nota 2 3 13 11" xfId="37982"/>
    <cellStyle name="Nota 2 3 13 12" xfId="42014"/>
    <cellStyle name="Nota 2 3 13 13" xfId="46046"/>
    <cellStyle name="Nota 2 3 13 14" xfId="50124"/>
    <cellStyle name="Nota 2 3 13 2" xfId="6675"/>
    <cellStyle name="Nota 2 3 13 2 10" xfId="38933"/>
    <cellStyle name="Nota 2 3 13 2 11" xfId="42965"/>
    <cellStyle name="Nota 2 3 13 2 12" xfId="46997"/>
    <cellStyle name="Nota 2 3 13 2 13" xfId="51076"/>
    <cellStyle name="Nota 2 3 13 2 2" xfId="8691"/>
    <cellStyle name="Nota 2 3 13 2 2 10" xfId="44981"/>
    <cellStyle name="Nota 2 3 13 2 2 11" xfId="49013"/>
    <cellStyle name="Nota 2 3 13 2 2 12" xfId="53092"/>
    <cellStyle name="Nota 2 3 13 2 2 2" xfId="12725"/>
    <cellStyle name="Nota 2 3 13 2 2 3" xfId="16757"/>
    <cellStyle name="Nota 2 3 13 2 2 4" xfId="20789"/>
    <cellStyle name="Nota 2 3 13 2 2 5" xfId="24821"/>
    <cellStyle name="Nota 2 3 13 2 2 6" xfId="28853"/>
    <cellStyle name="Nota 2 3 13 2 2 7" xfId="32885"/>
    <cellStyle name="Nota 2 3 13 2 2 8" xfId="36917"/>
    <cellStyle name="Nota 2 3 13 2 2 9" xfId="40949"/>
    <cellStyle name="Nota 2 3 13 2 3" xfId="10709"/>
    <cellStyle name="Nota 2 3 13 2 4" xfId="14741"/>
    <cellStyle name="Nota 2 3 13 2 5" xfId="18773"/>
    <cellStyle name="Nota 2 3 13 2 6" xfId="22805"/>
    <cellStyle name="Nota 2 3 13 2 7" xfId="26837"/>
    <cellStyle name="Nota 2 3 13 2 8" xfId="30869"/>
    <cellStyle name="Nota 2 3 13 2 9" xfId="34901"/>
    <cellStyle name="Nota 2 3 13 3" xfId="7740"/>
    <cellStyle name="Nota 2 3 13 3 10" xfId="44030"/>
    <cellStyle name="Nota 2 3 13 3 11" xfId="48062"/>
    <cellStyle name="Nota 2 3 13 3 12" xfId="52141"/>
    <cellStyle name="Nota 2 3 13 3 2" xfId="11774"/>
    <cellStyle name="Nota 2 3 13 3 3" xfId="15806"/>
    <cellStyle name="Nota 2 3 13 3 4" xfId="19838"/>
    <cellStyle name="Nota 2 3 13 3 5" xfId="23870"/>
    <cellStyle name="Nota 2 3 13 3 6" xfId="27902"/>
    <cellStyle name="Nota 2 3 13 3 7" xfId="31934"/>
    <cellStyle name="Nota 2 3 13 3 8" xfId="35966"/>
    <cellStyle name="Nota 2 3 13 3 9" xfId="39998"/>
    <cellStyle name="Nota 2 3 13 4" xfId="9758"/>
    <cellStyle name="Nota 2 3 13 5" xfId="13790"/>
    <cellStyle name="Nota 2 3 13 6" xfId="17822"/>
    <cellStyle name="Nota 2 3 13 7" xfId="21854"/>
    <cellStyle name="Nota 2 3 13 8" xfId="25886"/>
    <cellStyle name="Nota 2 3 13 9" xfId="29918"/>
    <cellStyle name="Nota 2 3 14" xfId="4163"/>
    <cellStyle name="Nota 2 3 14 10" xfId="34019"/>
    <cellStyle name="Nota 2 3 14 11" xfId="38051"/>
    <cellStyle name="Nota 2 3 14 12" xfId="42083"/>
    <cellStyle name="Nota 2 3 14 13" xfId="46115"/>
    <cellStyle name="Nota 2 3 14 14" xfId="50193"/>
    <cellStyle name="Nota 2 3 14 2" xfId="6744"/>
    <cellStyle name="Nota 2 3 14 2 10" xfId="39002"/>
    <cellStyle name="Nota 2 3 14 2 11" xfId="43034"/>
    <cellStyle name="Nota 2 3 14 2 12" xfId="47066"/>
    <cellStyle name="Nota 2 3 14 2 13" xfId="51145"/>
    <cellStyle name="Nota 2 3 14 2 2" xfId="8760"/>
    <cellStyle name="Nota 2 3 14 2 2 10" xfId="45050"/>
    <cellStyle name="Nota 2 3 14 2 2 11" xfId="49082"/>
    <cellStyle name="Nota 2 3 14 2 2 12" xfId="53161"/>
    <cellStyle name="Nota 2 3 14 2 2 2" xfId="12794"/>
    <cellStyle name="Nota 2 3 14 2 2 3" xfId="16826"/>
    <cellStyle name="Nota 2 3 14 2 2 4" xfId="20858"/>
    <cellStyle name="Nota 2 3 14 2 2 5" xfId="24890"/>
    <cellStyle name="Nota 2 3 14 2 2 6" xfId="28922"/>
    <cellStyle name="Nota 2 3 14 2 2 7" xfId="32954"/>
    <cellStyle name="Nota 2 3 14 2 2 8" xfId="36986"/>
    <cellStyle name="Nota 2 3 14 2 2 9" xfId="41018"/>
    <cellStyle name="Nota 2 3 14 2 3" xfId="10778"/>
    <cellStyle name="Nota 2 3 14 2 4" xfId="14810"/>
    <cellStyle name="Nota 2 3 14 2 5" xfId="18842"/>
    <cellStyle name="Nota 2 3 14 2 6" xfId="22874"/>
    <cellStyle name="Nota 2 3 14 2 7" xfId="26906"/>
    <cellStyle name="Nota 2 3 14 2 8" xfId="30938"/>
    <cellStyle name="Nota 2 3 14 2 9" xfId="34970"/>
    <cellStyle name="Nota 2 3 14 3" xfId="7809"/>
    <cellStyle name="Nota 2 3 14 3 10" xfId="44099"/>
    <cellStyle name="Nota 2 3 14 3 11" xfId="48131"/>
    <cellStyle name="Nota 2 3 14 3 12" xfId="52210"/>
    <cellStyle name="Nota 2 3 14 3 2" xfId="11843"/>
    <cellStyle name="Nota 2 3 14 3 3" xfId="15875"/>
    <cellStyle name="Nota 2 3 14 3 4" xfId="19907"/>
    <cellStyle name="Nota 2 3 14 3 5" xfId="23939"/>
    <cellStyle name="Nota 2 3 14 3 6" xfId="27971"/>
    <cellStyle name="Nota 2 3 14 3 7" xfId="32003"/>
    <cellStyle name="Nota 2 3 14 3 8" xfId="36035"/>
    <cellStyle name="Nota 2 3 14 3 9" xfId="40067"/>
    <cellStyle name="Nota 2 3 14 4" xfId="9827"/>
    <cellStyle name="Nota 2 3 14 5" xfId="13859"/>
    <cellStyle name="Nota 2 3 14 6" xfId="17891"/>
    <cellStyle name="Nota 2 3 14 7" xfId="21923"/>
    <cellStyle name="Nota 2 3 14 8" xfId="25955"/>
    <cellStyle name="Nota 2 3 14 9" xfId="29987"/>
    <cellStyle name="Nota 2 3 15" xfId="4233"/>
    <cellStyle name="Nota 2 3 15 10" xfId="34088"/>
    <cellStyle name="Nota 2 3 15 11" xfId="38120"/>
    <cellStyle name="Nota 2 3 15 12" xfId="42152"/>
    <cellStyle name="Nota 2 3 15 13" xfId="46184"/>
    <cellStyle name="Nota 2 3 15 14" xfId="50262"/>
    <cellStyle name="Nota 2 3 15 2" xfId="6813"/>
    <cellStyle name="Nota 2 3 15 2 10" xfId="39071"/>
    <cellStyle name="Nota 2 3 15 2 11" xfId="43103"/>
    <cellStyle name="Nota 2 3 15 2 12" xfId="47135"/>
    <cellStyle name="Nota 2 3 15 2 13" xfId="51214"/>
    <cellStyle name="Nota 2 3 15 2 2" xfId="8829"/>
    <cellStyle name="Nota 2 3 15 2 2 10" xfId="45119"/>
    <cellStyle name="Nota 2 3 15 2 2 11" xfId="49151"/>
    <cellStyle name="Nota 2 3 15 2 2 12" xfId="53230"/>
    <cellStyle name="Nota 2 3 15 2 2 2" xfId="12863"/>
    <cellStyle name="Nota 2 3 15 2 2 3" xfId="16895"/>
    <cellStyle name="Nota 2 3 15 2 2 4" xfId="20927"/>
    <cellStyle name="Nota 2 3 15 2 2 5" xfId="24959"/>
    <cellStyle name="Nota 2 3 15 2 2 6" xfId="28991"/>
    <cellStyle name="Nota 2 3 15 2 2 7" xfId="33023"/>
    <cellStyle name="Nota 2 3 15 2 2 8" xfId="37055"/>
    <cellStyle name="Nota 2 3 15 2 2 9" xfId="41087"/>
    <cellStyle name="Nota 2 3 15 2 3" xfId="10847"/>
    <cellStyle name="Nota 2 3 15 2 4" xfId="14879"/>
    <cellStyle name="Nota 2 3 15 2 5" xfId="18911"/>
    <cellStyle name="Nota 2 3 15 2 6" xfId="22943"/>
    <cellStyle name="Nota 2 3 15 2 7" xfId="26975"/>
    <cellStyle name="Nota 2 3 15 2 8" xfId="31007"/>
    <cellStyle name="Nota 2 3 15 2 9" xfId="35039"/>
    <cellStyle name="Nota 2 3 15 3" xfId="7878"/>
    <cellStyle name="Nota 2 3 15 3 10" xfId="44168"/>
    <cellStyle name="Nota 2 3 15 3 11" xfId="48200"/>
    <cellStyle name="Nota 2 3 15 3 12" xfId="52279"/>
    <cellStyle name="Nota 2 3 15 3 2" xfId="11912"/>
    <cellStyle name="Nota 2 3 15 3 3" xfId="15944"/>
    <cellStyle name="Nota 2 3 15 3 4" xfId="19976"/>
    <cellStyle name="Nota 2 3 15 3 5" xfId="24008"/>
    <cellStyle name="Nota 2 3 15 3 6" xfId="28040"/>
    <cellStyle name="Nota 2 3 15 3 7" xfId="32072"/>
    <cellStyle name="Nota 2 3 15 3 8" xfId="36104"/>
    <cellStyle name="Nota 2 3 15 3 9" xfId="40136"/>
    <cellStyle name="Nota 2 3 15 4" xfId="9896"/>
    <cellStyle name="Nota 2 3 15 5" xfId="13928"/>
    <cellStyle name="Nota 2 3 15 6" xfId="17960"/>
    <cellStyle name="Nota 2 3 15 7" xfId="21992"/>
    <cellStyle name="Nota 2 3 15 8" xfId="26024"/>
    <cellStyle name="Nota 2 3 15 9" xfId="30056"/>
    <cellStyle name="Nota 2 3 16" xfId="4382"/>
    <cellStyle name="Nota 2 3 16 10" xfId="34226"/>
    <cellStyle name="Nota 2 3 16 11" xfId="38258"/>
    <cellStyle name="Nota 2 3 16 12" xfId="42290"/>
    <cellStyle name="Nota 2 3 16 13" xfId="46322"/>
    <cellStyle name="Nota 2 3 16 14" xfId="50401"/>
    <cellStyle name="Nota 2 3 16 2" xfId="6951"/>
    <cellStyle name="Nota 2 3 16 2 10" xfId="39209"/>
    <cellStyle name="Nota 2 3 16 2 11" xfId="43241"/>
    <cellStyle name="Nota 2 3 16 2 12" xfId="47273"/>
    <cellStyle name="Nota 2 3 16 2 13" xfId="51352"/>
    <cellStyle name="Nota 2 3 16 2 2" xfId="8967"/>
    <cellStyle name="Nota 2 3 16 2 2 10" xfId="45257"/>
    <cellStyle name="Nota 2 3 16 2 2 11" xfId="49289"/>
    <cellStyle name="Nota 2 3 16 2 2 12" xfId="53368"/>
    <cellStyle name="Nota 2 3 16 2 2 2" xfId="13001"/>
    <cellStyle name="Nota 2 3 16 2 2 3" xfId="17033"/>
    <cellStyle name="Nota 2 3 16 2 2 4" xfId="21065"/>
    <cellStyle name="Nota 2 3 16 2 2 5" xfId="25097"/>
    <cellStyle name="Nota 2 3 16 2 2 6" xfId="29129"/>
    <cellStyle name="Nota 2 3 16 2 2 7" xfId="33161"/>
    <cellStyle name="Nota 2 3 16 2 2 8" xfId="37193"/>
    <cellStyle name="Nota 2 3 16 2 2 9" xfId="41225"/>
    <cellStyle name="Nota 2 3 16 2 3" xfId="10985"/>
    <cellStyle name="Nota 2 3 16 2 4" xfId="15017"/>
    <cellStyle name="Nota 2 3 16 2 5" xfId="19049"/>
    <cellStyle name="Nota 2 3 16 2 6" xfId="23081"/>
    <cellStyle name="Nota 2 3 16 2 7" xfId="27113"/>
    <cellStyle name="Nota 2 3 16 2 8" xfId="31145"/>
    <cellStyle name="Nota 2 3 16 2 9" xfId="35177"/>
    <cellStyle name="Nota 2 3 16 3" xfId="8016"/>
    <cellStyle name="Nota 2 3 16 3 10" xfId="44306"/>
    <cellStyle name="Nota 2 3 16 3 11" xfId="48338"/>
    <cellStyle name="Nota 2 3 16 3 12" xfId="52417"/>
    <cellStyle name="Nota 2 3 16 3 2" xfId="12050"/>
    <cellStyle name="Nota 2 3 16 3 3" xfId="16082"/>
    <cellStyle name="Nota 2 3 16 3 4" xfId="20114"/>
    <cellStyle name="Nota 2 3 16 3 5" xfId="24146"/>
    <cellStyle name="Nota 2 3 16 3 6" xfId="28178"/>
    <cellStyle name="Nota 2 3 16 3 7" xfId="32210"/>
    <cellStyle name="Nota 2 3 16 3 8" xfId="36242"/>
    <cellStyle name="Nota 2 3 16 3 9" xfId="40274"/>
    <cellStyle name="Nota 2 3 16 4" xfId="10034"/>
    <cellStyle name="Nota 2 3 16 5" xfId="14066"/>
    <cellStyle name="Nota 2 3 16 6" xfId="18098"/>
    <cellStyle name="Nota 2 3 16 7" xfId="22130"/>
    <cellStyle name="Nota 2 3 16 8" xfId="26162"/>
    <cellStyle name="Nota 2 3 16 9" xfId="30194"/>
    <cellStyle name="Nota 2 3 17" xfId="4520"/>
    <cellStyle name="Nota 2 3 17 10" xfId="38396"/>
    <cellStyle name="Nota 2 3 17 11" xfId="42428"/>
    <cellStyle name="Nota 2 3 17 12" xfId="46460"/>
    <cellStyle name="Nota 2 3 17 13" xfId="50539"/>
    <cellStyle name="Nota 2 3 17 2" xfId="8154"/>
    <cellStyle name="Nota 2 3 17 2 10" xfId="44444"/>
    <cellStyle name="Nota 2 3 17 2 11" xfId="48476"/>
    <cellStyle name="Nota 2 3 17 2 12" xfId="52555"/>
    <cellStyle name="Nota 2 3 17 2 2" xfId="12188"/>
    <cellStyle name="Nota 2 3 17 2 3" xfId="16220"/>
    <cellStyle name="Nota 2 3 17 2 4" xfId="20252"/>
    <cellStyle name="Nota 2 3 17 2 5" xfId="24284"/>
    <cellStyle name="Nota 2 3 17 2 6" xfId="28316"/>
    <cellStyle name="Nota 2 3 17 2 7" xfId="32348"/>
    <cellStyle name="Nota 2 3 17 2 8" xfId="36380"/>
    <cellStyle name="Nota 2 3 17 2 9" xfId="40412"/>
    <cellStyle name="Nota 2 3 17 3" xfId="10172"/>
    <cellStyle name="Nota 2 3 17 4" xfId="14204"/>
    <cellStyle name="Nota 2 3 17 5" xfId="18236"/>
    <cellStyle name="Nota 2 3 17 6" xfId="22268"/>
    <cellStyle name="Nota 2 3 17 7" xfId="26300"/>
    <cellStyle name="Nota 2 3 17 8" xfId="30332"/>
    <cellStyle name="Nota 2 3 17 9" xfId="34364"/>
    <cellStyle name="Nota 2 3 18" xfId="264"/>
    <cellStyle name="Nota 2 3 18 10" xfId="37469"/>
    <cellStyle name="Nota 2 3 18 11" xfId="41501"/>
    <cellStyle name="Nota 2 3 18 12" xfId="45533"/>
    <cellStyle name="Nota 2 3 18 13" xfId="49611"/>
    <cellStyle name="Nota 2 3 18 2" xfId="7227"/>
    <cellStyle name="Nota 2 3 18 2 10" xfId="43517"/>
    <cellStyle name="Nota 2 3 18 2 11" xfId="47549"/>
    <cellStyle name="Nota 2 3 18 2 12" xfId="51628"/>
    <cellStyle name="Nota 2 3 18 2 2" xfId="11261"/>
    <cellStyle name="Nota 2 3 18 2 3" xfId="15293"/>
    <cellStyle name="Nota 2 3 18 2 4" xfId="19325"/>
    <cellStyle name="Nota 2 3 18 2 5" xfId="23357"/>
    <cellStyle name="Nota 2 3 18 2 6" xfId="27389"/>
    <cellStyle name="Nota 2 3 18 2 7" xfId="31421"/>
    <cellStyle name="Nota 2 3 18 2 8" xfId="35453"/>
    <cellStyle name="Nota 2 3 18 2 9" xfId="39485"/>
    <cellStyle name="Nota 2 3 18 3" xfId="9245"/>
    <cellStyle name="Nota 2 3 18 4" xfId="13277"/>
    <cellStyle name="Nota 2 3 18 5" xfId="17309"/>
    <cellStyle name="Nota 2 3 18 6" xfId="21341"/>
    <cellStyle name="Nota 2 3 18 7" xfId="25373"/>
    <cellStyle name="Nota 2 3 18 8" xfId="29405"/>
    <cellStyle name="Nota 2 3 18 9" xfId="33437"/>
    <cellStyle name="Nota 2 3 19" xfId="7089"/>
    <cellStyle name="Nota 2 3 19 10" xfId="43379"/>
    <cellStyle name="Nota 2 3 19 11" xfId="47411"/>
    <cellStyle name="Nota 2 3 19 12" xfId="51490"/>
    <cellStyle name="Nota 2 3 19 2" xfId="11123"/>
    <cellStyle name="Nota 2 3 19 3" xfId="15155"/>
    <cellStyle name="Nota 2 3 19 4" xfId="19187"/>
    <cellStyle name="Nota 2 3 19 5" xfId="23219"/>
    <cellStyle name="Nota 2 3 19 6" xfId="27251"/>
    <cellStyle name="Nota 2 3 19 7" xfId="31283"/>
    <cellStyle name="Nota 2 3 19 8" xfId="35315"/>
    <cellStyle name="Nota 2 3 19 9" xfId="39347"/>
    <cellStyle name="Nota 2 3 2" xfId="46"/>
    <cellStyle name="Nota 2 3 2 10" xfId="4030"/>
    <cellStyle name="Nota 2 3 2 10 10" xfId="33887"/>
    <cellStyle name="Nota 2 3 2 10 11" xfId="37919"/>
    <cellStyle name="Nota 2 3 2 10 12" xfId="41951"/>
    <cellStyle name="Nota 2 3 2 10 13" xfId="45983"/>
    <cellStyle name="Nota 2 3 2 10 14" xfId="50061"/>
    <cellStyle name="Nota 2 3 2 10 2" xfId="6612"/>
    <cellStyle name="Nota 2 3 2 10 2 10" xfId="38870"/>
    <cellStyle name="Nota 2 3 2 10 2 11" xfId="42902"/>
    <cellStyle name="Nota 2 3 2 10 2 12" xfId="46934"/>
    <cellStyle name="Nota 2 3 2 10 2 13" xfId="51013"/>
    <cellStyle name="Nota 2 3 2 10 2 2" xfId="8628"/>
    <cellStyle name="Nota 2 3 2 10 2 2 10" xfId="44918"/>
    <cellStyle name="Nota 2 3 2 10 2 2 11" xfId="48950"/>
    <cellStyle name="Nota 2 3 2 10 2 2 12" xfId="53029"/>
    <cellStyle name="Nota 2 3 2 10 2 2 2" xfId="12662"/>
    <cellStyle name="Nota 2 3 2 10 2 2 3" xfId="16694"/>
    <cellStyle name="Nota 2 3 2 10 2 2 4" xfId="20726"/>
    <cellStyle name="Nota 2 3 2 10 2 2 5" xfId="24758"/>
    <cellStyle name="Nota 2 3 2 10 2 2 6" xfId="28790"/>
    <cellStyle name="Nota 2 3 2 10 2 2 7" xfId="32822"/>
    <cellStyle name="Nota 2 3 2 10 2 2 8" xfId="36854"/>
    <cellStyle name="Nota 2 3 2 10 2 2 9" xfId="40886"/>
    <cellStyle name="Nota 2 3 2 10 2 3" xfId="10646"/>
    <cellStyle name="Nota 2 3 2 10 2 4" xfId="14678"/>
    <cellStyle name="Nota 2 3 2 10 2 5" xfId="18710"/>
    <cellStyle name="Nota 2 3 2 10 2 6" xfId="22742"/>
    <cellStyle name="Nota 2 3 2 10 2 7" xfId="26774"/>
    <cellStyle name="Nota 2 3 2 10 2 8" xfId="30806"/>
    <cellStyle name="Nota 2 3 2 10 2 9" xfId="34838"/>
    <cellStyle name="Nota 2 3 2 10 3" xfId="7677"/>
    <cellStyle name="Nota 2 3 2 10 3 10" xfId="43967"/>
    <cellStyle name="Nota 2 3 2 10 3 11" xfId="47999"/>
    <cellStyle name="Nota 2 3 2 10 3 12" xfId="52078"/>
    <cellStyle name="Nota 2 3 2 10 3 2" xfId="11711"/>
    <cellStyle name="Nota 2 3 2 10 3 3" xfId="15743"/>
    <cellStyle name="Nota 2 3 2 10 3 4" xfId="19775"/>
    <cellStyle name="Nota 2 3 2 10 3 5" xfId="23807"/>
    <cellStyle name="Nota 2 3 2 10 3 6" xfId="27839"/>
    <cellStyle name="Nota 2 3 2 10 3 7" xfId="31871"/>
    <cellStyle name="Nota 2 3 2 10 3 8" xfId="35903"/>
    <cellStyle name="Nota 2 3 2 10 3 9" xfId="39935"/>
    <cellStyle name="Nota 2 3 2 10 4" xfId="9695"/>
    <cellStyle name="Nota 2 3 2 10 5" xfId="13727"/>
    <cellStyle name="Nota 2 3 2 10 6" xfId="17759"/>
    <cellStyle name="Nota 2 3 2 10 7" xfId="21791"/>
    <cellStyle name="Nota 2 3 2 10 8" xfId="25823"/>
    <cellStyle name="Nota 2 3 2 10 9" xfId="29855"/>
    <cellStyle name="Nota 2 3 2 11" xfId="4100"/>
    <cellStyle name="Nota 2 3 2 11 10" xfId="33956"/>
    <cellStyle name="Nota 2 3 2 11 11" xfId="37988"/>
    <cellStyle name="Nota 2 3 2 11 12" xfId="42020"/>
    <cellStyle name="Nota 2 3 2 11 13" xfId="46052"/>
    <cellStyle name="Nota 2 3 2 11 14" xfId="50130"/>
    <cellStyle name="Nota 2 3 2 11 2" xfId="6681"/>
    <cellStyle name="Nota 2 3 2 11 2 10" xfId="38939"/>
    <cellStyle name="Nota 2 3 2 11 2 11" xfId="42971"/>
    <cellStyle name="Nota 2 3 2 11 2 12" xfId="47003"/>
    <cellStyle name="Nota 2 3 2 11 2 13" xfId="51082"/>
    <cellStyle name="Nota 2 3 2 11 2 2" xfId="8697"/>
    <cellStyle name="Nota 2 3 2 11 2 2 10" xfId="44987"/>
    <cellStyle name="Nota 2 3 2 11 2 2 11" xfId="49019"/>
    <cellStyle name="Nota 2 3 2 11 2 2 12" xfId="53098"/>
    <cellStyle name="Nota 2 3 2 11 2 2 2" xfId="12731"/>
    <cellStyle name="Nota 2 3 2 11 2 2 3" xfId="16763"/>
    <cellStyle name="Nota 2 3 2 11 2 2 4" xfId="20795"/>
    <cellStyle name="Nota 2 3 2 11 2 2 5" xfId="24827"/>
    <cellStyle name="Nota 2 3 2 11 2 2 6" xfId="28859"/>
    <cellStyle name="Nota 2 3 2 11 2 2 7" xfId="32891"/>
    <cellStyle name="Nota 2 3 2 11 2 2 8" xfId="36923"/>
    <cellStyle name="Nota 2 3 2 11 2 2 9" xfId="40955"/>
    <cellStyle name="Nota 2 3 2 11 2 3" xfId="10715"/>
    <cellStyle name="Nota 2 3 2 11 2 4" xfId="14747"/>
    <cellStyle name="Nota 2 3 2 11 2 5" xfId="18779"/>
    <cellStyle name="Nota 2 3 2 11 2 6" xfId="22811"/>
    <cellStyle name="Nota 2 3 2 11 2 7" xfId="26843"/>
    <cellStyle name="Nota 2 3 2 11 2 8" xfId="30875"/>
    <cellStyle name="Nota 2 3 2 11 2 9" xfId="34907"/>
    <cellStyle name="Nota 2 3 2 11 3" xfId="7746"/>
    <cellStyle name="Nota 2 3 2 11 3 10" xfId="44036"/>
    <cellStyle name="Nota 2 3 2 11 3 11" xfId="48068"/>
    <cellStyle name="Nota 2 3 2 11 3 12" xfId="52147"/>
    <cellStyle name="Nota 2 3 2 11 3 2" xfId="11780"/>
    <cellStyle name="Nota 2 3 2 11 3 3" xfId="15812"/>
    <cellStyle name="Nota 2 3 2 11 3 4" xfId="19844"/>
    <cellStyle name="Nota 2 3 2 11 3 5" xfId="23876"/>
    <cellStyle name="Nota 2 3 2 11 3 6" xfId="27908"/>
    <cellStyle name="Nota 2 3 2 11 3 7" xfId="31940"/>
    <cellStyle name="Nota 2 3 2 11 3 8" xfId="35972"/>
    <cellStyle name="Nota 2 3 2 11 3 9" xfId="40004"/>
    <cellStyle name="Nota 2 3 2 11 4" xfId="9764"/>
    <cellStyle name="Nota 2 3 2 11 5" xfId="13796"/>
    <cellStyle name="Nota 2 3 2 11 6" xfId="17828"/>
    <cellStyle name="Nota 2 3 2 11 7" xfId="21860"/>
    <cellStyle name="Nota 2 3 2 11 8" xfId="25892"/>
    <cellStyle name="Nota 2 3 2 11 9" xfId="29924"/>
    <cellStyle name="Nota 2 3 2 12" xfId="4169"/>
    <cellStyle name="Nota 2 3 2 12 10" xfId="34025"/>
    <cellStyle name="Nota 2 3 2 12 11" xfId="38057"/>
    <cellStyle name="Nota 2 3 2 12 12" xfId="42089"/>
    <cellStyle name="Nota 2 3 2 12 13" xfId="46121"/>
    <cellStyle name="Nota 2 3 2 12 14" xfId="50199"/>
    <cellStyle name="Nota 2 3 2 12 2" xfId="6750"/>
    <cellStyle name="Nota 2 3 2 12 2 10" xfId="39008"/>
    <cellStyle name="Nota 2 3 2 12 2 11" xfId="43040"/>
    <cellStyle name="Nota 2 3 2 12 2 12" xfId="47072"/>
    <cellStyle name="Nota 2 3 2 12 2 13" xfId="51151"/>
    <cellStyle name="Nota 2 3 2 12 2 2" xfId="8766"/>
    <cellStyle name="Nota 2 3 2 12 2 2 10" xfId="45056"/>
    <cellStyle name="Nota 2 3 2 12 2 2 11" xfId="49088"/>
    <cellStyle name="Nota 2 3 2 12 2 2 12" xfId="53167"/>
    <cellStyle name="Nota 2 3 2 12 2 2 2" xfId="12800"/>
    <cellStyle name="Nota 2 3 2 12 2 2 3" xfId="16832"/>
    <cellStyle name="Nota 2 3 2 12 2 2 4" xfId="20864"/>
    <cellStyle name="Nota 2 3 2 12 2 2 5" xfId="24896"/>
    <cellStyle name="Nota 2 3 2 12 2 2 6" xfId="28928"/>
    <cellStyle name="Nota 2 3 2 12 2 2 7" xfId="32960"/>
    <cellStyle name="Nota 2 3 2 12 2 2 8" xfId="36992"/>
    <cellStyle name="Nota 2 3 2 12 2 2 9" xfId="41024"/>
    <cellStyle name="Nota 2 3 2 12 2 3" xfId="10784"/>
    <cellStyle name="Nota 2 3 2 12 2 4" xfId="14816"/>
    <cellStyle name="Nota 2 3 2 12 2 5" xfId="18848"/>
    <cellStyle name="Nota 2 3 2 12 2 6" xfId="22880"/>
    <cellStyle name="Nota 2 3 2 12 2 7" xfId="26912"/>
    <cellStyle name="Nota 2 3 2 12 2 8" xfId="30944"/>
    <cellStyle name="Nota 2 3 2 12 2 9" xfId="34976"/>
    <cellStyle name="Nota 2 3 2 12 3" xfId="7815"/>
    <cellStyle name="Nota 2 3 2 12 3 10" xfId="44105"/>
    <cellStyle name="Nota 2 3 2 12 3 11" xfId="48137"/>
    <cellStyle name="Nota 2 3 2 12 3 12" xfId="52216"/>
    <cellStyle name="Nota 2 3 2 12 3 2" xfId="11849"/>
    <cellStyle name="Nota 2 3 2 12 3 3" xfId="15881"/>
    <cellStyle name="Nota 2 3 2 12 3 4" xfId="19913"/>
    <cellStyle name="Nota 2 3 2 12 3 5" xfId="23945"/>
    <cellStyle name="Nota 2 3 2 12 3 6" xfId="27977"/>
    <cellStyle name="Nota 2 3 2 12 3 7" xfId="32009"/>
    <cellStyle name="Nota 2 3 2 12 3 8" xfId="36041"/>
    <cellStyle name="Nota 2 3 2 12 3 9" xfId="40073"/>
    <cellStyle name="Nota 2 3 2 12 4" xfId="9833"/>
    <cellStyle name="Nota 2 3 2 12 5" xfId="13865"/>
    <cellStyle name="Nota 2 3 2 12 6" xfId="17897"/>
    <cellStyle name="Nota 2 3 2 12 7" xfId="21929"/>
    <cellStyle name="Nota 2 3 2 12 8" xfId="25961"/>
    <cellStyle name="Nota 2 3 2 12 9" xfId="29993"/>
    <cellStyle name="Nota 2 3 2 13" xfId="4242"/>
    <cellStyle name="Nota 2 3 2 13 10" xfId="34094"/>
    <cellStyle name="Nota 2 3 2 13 11" xfId="38126"/>
    <cellStyle name="Nota 2 3 2 13 12" xfId="42158"/>
    <cellStyle name="Nota 2 3 2 13 13" xfId="46190"/>
    <cellStyle name="Nota 2 3 2 13 14" xfId="50268"/>
    <cellStyle name="Nota 2 3 2 13 2" xfId="6819"/>
    <cellStyle name="Nota 2 3 2 13 2 10" xfId="39077"/>
    <cellStyle name="Nota 2 3 2 13 2 11" xfId="43109"/>
    <cellStyle name="Nota 2 3 2 13 2 12" xfId="47141"/>
    <cellStyle name="Nota 2 3 2 13 2 13" xfId="51220"/>
    <cellStyle name="Nota 2 3 2 13 2 2" xfId="8835"/>
    <cellStyle name="Nota 2 3 2 13 2 2 10" xfId="45125"/>
    <cellStyle name="Nota 2 3 2 13 2 2 11" xfId="49157"/>
    <cellStyle name="Nota 2 3 2 13 2 2 12" xfId="53236"/>
    <cellStyle name="Nota 2 3 2 13 2 2 2" xfId="12869"/>
    <cellStyle name="Nota 2 3 2 13 2 2 3" xfId="16901"/>
    <cellStyle name="Nota 2 3 2 13 2 2 4" xfId="20933"/>
    <cellStyle name="Nota 2 3 2 13 2 2 5" xfId="24965"/>
    <cellStyle name="Nota 2 3 2 13 2 2 6" xfId="28997"/>
    <cellStyle name="Nota 2 3 2 13 2 2 7" xfId="33029"/>
    <cellStyle name="Nota 2 3 2 13 2 2 8" xfId="37061"/>
    <cellStyle name="Nota 2 3 2 13 2 2 9" xfId="41093"/>
    <cellStyle name="Nota 2 3 2 13 2 3" xfId="10853"/>
    <cellStyle name="Nota 2 3 2 13 2 4" xfId="14885"/>
    <cellStyle name="Nota 2 3 2 13 2 5" xfId="18917"/>
    <cellStyle name="Nota 2 3 2 13 2 6" xfId="22949"/>
    <cellStyle name="Nota 2 3 2 13 2 7" xfId="26981"/>
    <cellStyle name="Nota 2 3 2 13 2 8" xfId="31013"/>
    <cellStyle name="Nota 2 3 2 13 2 9" xfId="35045"/>
    <cellStyle name="Nota 2 3 2 13 3" xfId="7884"/>
    <cellStyle name="Nota 2 3 2 13 3 10" xfId="44174"/>
    <cellStyle name="Nota 2 3 2 13 3 11" xfId="48206"/>
    <cellStyle name="Nota 2 3 2 13 3 12" xfId="52285"/>
    <cellStyle name="Nota 2 3 2 13 3 2" xfId="11918"/>
    <cellStyle name="Nota 2 3 2 13 3 3" xfId="15950"/>
    <cellStyle name="Nota 2 3 2 13 3 4" xfId="19982"/>
    <cellStyle name="Nota 2 3 2 13 3 5" xfId="24014"/>
    <cellStyle name="Nota 2 3 2 13 3 6" xfId="28046"/>
    <cellStyle name="Nota 2 3 2 13 3 7" xfId="32078"/>
    <cellStyle name="Nota 2 3 2 13 3 8" xfId="36110"/>
    <cellStyle name="Nota 2 3 2 13 3 9" xfId="40142"/>
    <cellStyle name="Nota 2 3 2 13 4" xfId="9902"/>
    <cellStyle name="Nota 2 3 2 13 5" xfId="13934"/>
    <cellStyle name="Nota 2 3 2 13 6" xfId="17966"/>
    <cellStyle name="Nota 2 3 2 13 7" xfId="21998"/>
    <cellStyle name="Nota 2 3 2 13 8" xfId="26030"/>
    <cellStyle name="Nota 2 3 2 13 9" xfId="30062"/>
    <cellStyle name="Nota 2 3 2 14" xfId="4388"/>
    <cellStyle name="Nota 2 3 2 14 10" xfId="34232"/>
    <cellStyle name="Nota 2 3 2 14 11" xfId="38264"/>
    <cellStyle name="Nota 2 3 2 14 12" xfId="42296"/>
    <cellStyle name="Nota 2 3 2 14 13" xfId="46328"/>
    <cellStyle name="Nota 2 3 2 14 14" xfId="50407"/>
    <cellStyle name="Nota 2 3 2 14 2" xfId="6957"/>
    <cellStyle name="Nota 2 3 2 14 2 10" xfId="39215"/>
    <cellStyle name="Nota 2 3 2 14 2 11" xfId="43247"/>
    <cellStyle name="Nota 2 3 2 14 2 12" xfId="47279"/>
    <cellStyle name="Nota 2 3 2 14 2 13" xfId="51358"/>
    <cellStyle name="Nota 2 3 2 14 2 2" xfId="8973"/>
    <cellStyle name="Nota 2 3 2 14 2 2 10" xfId="45263"/>
    <cellStyle name="Nota 2 3 2 14 2 2 11" xfId="49295"/>
    <cellStyle name="Nota 2 3 2 14 2 2 12" xfId="53374"/>
    <cellStyle name="Nota 2 3 2 14 2 2 2" xfId="13007"/>
    <cellStyle name="Nota 2 3 2 14 2 2 3" xfId="17039"/>
    <cellStyle name="Nota 2 3 2 14 2 2 4" xfId="21071"/>
    <cellStyle name="Nota 2 3 2 14 2 2 5" xfId="25103"/>
    <cellStyle name="Nota 2 3 2 14 2 2 6" xfId="29135"/>
    <cellStyle name="Nota 2 3 2 14 2 2 7" xfId="33167"/>
    <cellStyle name="Nota 2 3 2 14 2 2 8" xfId="37199"/>
    <cellStyle name="Nota 2 3 2 14 2 2 9" xfId="41231"/>
    <cellStyle name="Nota 2 3 2 14 2 3" xfId="10991"/>
    <cellStyle name="Nota 2 3 2 14 2 4" xfId="15023"/>
    <cellStyle name="Nota 2 3 2 14 2 5" xfId="19055"/>
    <cellStyle name="Nota 2 3 2 14 2 6" xfId="23087"/>
    <cellStyle name="Nota 2 3 2 14 2 7" xfId="27119"/>
    <cellStyle name="Nota 2 3 2 14 2 8" xfId="31151"/>
    <cellStyle name="Nota 2 3 2 14 2 9" xfId="35183"/>
    <cellStyle name="Nota 2 3 2 14 3" xfId="8022"/>
    <cellStyle name="Nota 2 3 2 14 3 10" xfId="44312"/>
    <cellStyle name="Nota 2 3 2 14 3 11" xfId="48344"/>
    <cellStyle name="Nota 2 3 2 14 3 12" xfId="52423"/>
    <cellStyle name="Nota 2 3 2 14 3 2" xfId="12056"/>
    <cellStyle name="Nota 2 3 2 14 3 3" xfId="16088"/>
    <cellStyle name="Nota 2 3 2 14 3 4" xfId="20120"/>
    <cellStyle name="Nota 2 3 2 14 3 5" xfId="24152"/>
    <cellStyle name="Nota 2 3 2 14 3 6" xfId="28184"/>
    <cellStyle name="Nota 2 3 2 14 3 7" xfId="32216"/>
    <cellStyle name="Nota 2 3 2 14 3 8" xfId="36248"/>
    <cellStyle name="Nota 2 3 2 14 3 9" xfId="40280"/>
    <cellStyle name="Nota 2 3 2 14 4" xfId="10040"/>
    <cellStyle name="Nota 2 3 2 14 5" xfId="14072"/>
    <cellStyle name="Nota 2 3 2 14 6" xfId="18104"/>
    <cellStyle name="Nota 2 3 2 14 7" xfId="22136"/>
    <cellStyle name="Nota 2 3 2 14 8" xfId="26168"/>
    <cellStyle name="Nota 2 3 2 14 9" xfId="30200"/>
    <cellStyle name="Nota 2 3 2 15" xfId="4526"/>
    <cellStyle name="Nota 2 3 2 15 10" xfId="38402"/>
    <cellStyle name="Nota 2 3 2 15 11" xfId="42434"/>
    <cellStyle name="Nota 2 3 2 15 12" xfId="46466"/>
    <cellStyle name="Nota 2 3 2 15 13" xfId="50545"/>
    <cellStyle name="Nota 2 3 2 15 2" xfId="8160"/>
    <cellStyle name="Nota 2 3 2 15 2 10" xfId="44450"/>
    <cellStyle name="Nota 2 3 2 15 2 11" xfId="48482"/>
    <cellStyle name="Nota 2 3 2 15 2 12" xfId="52561"/>
    <cellStyle name="Nota 2 3 2 15 2 2" xfId="12194"/>
    <cellStyle name="Nota 2 3 2 15 2 3" xfId="16226"/>
    <cellStyle name="Nota 2 3 2 15 2 4" xfId="20258"/>
    <cellStyle name="Nota 2 3 2 15 2 5" xfId="24290"/>
    <cellStyle name="Nota 2 3 2 15 2 6" xfId="28322"/>
    <cellStyle name="Nota 2 3 2 15 2 7" xfId="32354"/>
    <cellStyle name="Nota 2 3 2 15 2 8" xfId="36386"/>
    <cellStyle name="Nota 2 3 2 15 2 9" xfId="40418"/>
    <cellStyle name="Nota 2 3 2 15 3" xfId="10178"/>
    <cellStyle name="Nota 2 3 2 15 4" xfId="14210"/>
    <cellStyle name="Nota 2 3 2 15 5" xfId="18242"/>
    <cellStyle name="Nota 2 3 2 15 6" xfId="22274"/>
    <cellStyle name="Nota 2 3 2 15 7" xfId="26306"/>
    <cellStyle name="Nota 2 3 2 15 8" xfId="30338"/>
    <cellStyle name="Nota 2 3 2 15 9" xfId="34370"/>
    <cellStyle name="Nota 2 3 2 16" xfId="270"/>
    <cellStyle name="Nota 2 3 2 16 10" xfId="37475"/>
    <cellStyle name="Nota 2 3 2 16 11" xfId="41507"/>
    <cellStyle name="Nota 2 3 2 16 12" xfId="45539"/>
    <cellStyle name="Nota 2 3 2 16 13" xfId="49617"/>
    <cellStyle name="Nota 2 3 2 16 2" xfId="7233"/>
    <cellStyle name="Nota 2 3 2 16 2 10" xfId="43523"/>
    <cellStyle name="Nota 2 3 2 16 2 11" xfId="47555"/>
    <cellStyle name="Nota 2 3 2 16 2 12" xfId="51634"/>
    <cellStyle name="Nota 2 3 2 16 2 2" xfId="11267"/>
    <cellStyle name="Nota 2 3 2 16 2 3" xfId="15299"/>
    <cellStyle name="Nota 2 3 2 16 2 4" xfId="19331"/>
    <cellStyle name="Nota 2 3 2 16 2 5" xfId="23363"/>
    <cellStyle name="Nota 2 3 2 16 2 6" xfId="27395"/>
    <cellStyle name="Nota 2 3 2 16 2 7" xfId="31427"/>
    <cellStyle name="Nota 2 3 2 16 2 8" xfId="35459"/>
    <cellStyle name="Nota 2 3 2 16 2 9" xfId="39491"/>
    <cellStyle name="Nota 2 3 2 16 3" xfId="9251"/>
    <cellStyle name="Nota 2 3 2 16 4" xfId="13283"/>
    <cellStyle name="Nota 2 3 2 16 5" xfId="17315"/>
    <cellStyle name="Nota 2 3 2 16 6" xfId="21347"/>
    <cellStyle name="Nota 2 3 2 16 7" xfId="25379"/>
    <cellStyle name="Nota 2 3 2 16 8" xfId="29411"/>
    <cellStyle name="Nota 2 3 2 16 9" xfId="33443"/>
    <cellStyle name="Nota 2 3 2 17" xfId="7095"/>
    <cellStyle name="Nota 2 3 2 17 10" xfId="43385"/>
    <cellStyle name="Nota 2 3 2 17 11" xfId="47417"/>
    <cellStyle name="Nota 2 3 2 17 12" xfId="51496"/>
    <cellStyle name="Nota 2 3 2 17 2" xfId="11129"/>
    <cellStyle name="Nota 2 3 2 17 3" xfId="15161"/>
    <cellStyle name="Nota 2 3 2 17 4" xfId="19193"/>
    <cellStyle name="Nota 2 3 2 17 5" xfId="23225"/>
    <cellStyle name="Nota 2 3 2 17 6" xfId="27257"/>
    <cellStyle name="Nota 2 3 2 17 7" xfId="31289"/>
    <cellStyle name="Nota 2 3 2 17 8" xfId="35321"/>
    <cellStyle name="Nota 2 3 2 17 9" xfId="39353"/>
    <cellStyle name="Nota 2 3 2 18" xfId="121"/>
    <cellStyle name="Nota 2 3 2 19" xfId="9113"/>
    <cellStyle name="Nota 2 3 2 2" xfId="97"/>
    <cellStyle name="Nota 2 3 2 2 10" xfId="4293"/>
    <cellStyle name="Nota 2 3 2 2 10 10" xfId="34145"/>
    <cellStyle name="Nota 2 3 2 2 10 11" xfId="38177"/>
    <cellStyle name="Nota 2 3 2 2 10 12" xfId="42209"/>
    <cellStyle name="Nota 2 3 2 2 10 13" xfId="46241"/>
    <cellStyle name="Nota 2 3 2 2 10 14" xfId="50319"/>
    <cellStyle name="Nota 2 3 2 2 10 2" xfId="6870"/>
    <cellStyle name="Nota 2 3 2 2 10 2 10" xfId="39128"/>
    <cellStyle name="Nota 2 3 2 2 10 2 11" xfId="43160"/>
    <cellStyle name="Nota 2 3 2 2 10 2 12" xfId="47192"/>
    <cellStyle name="Nota 2 3 2 2 10 2 13" xfId="51271"/>
    <cellStyle name="Nota 2 3 2 2 10 2 2" xfId="8886"/>
    <cellStyle name="Nota 2 3 2 2 10 2 2 10" xfId="45176"/>
    <cellStyle name="Nota 2 3 2 2 10 2 2 11" xfId="49208"/>
    <cellStyle name="Nota 2 3 2 2 10 2 2 12" xfId="53287"/>
    <cellStyle name="Nota 2 3 2 2 10 2 2 2" xfId="12920"/>
    <cellStyle name="Nota 2 3 2 2 10 2 2 3" xfId="16952"/>
    <cellStyle name="Nota 2 3 2 2 10 2 2 4" xfId="20984"/>
    <cellStyle name="Nota 2 3 2 2 10 2 2 5" xfId="25016"/>
    <cellStyle name="Nota 2 3 2 2 10 2 2 6" xfId="29048"/>
    <cellStyle name="Nota 2 3 2 2 10 2 2 7" xfId="33080"/>
    <cellStyle name="Nota 2 3 2 2 10 2 2 8" xfId="37112"/>
    <cellStyle name="Nota 2 3 2 2 10 2 2 9" xfId="41144"/>
    <cellStyle name="Nota 2 3 2 2 10 2 3" xfId="10904"/>
    <cellStyle name="Nota 2 3 2 2 10 2 4" xfId="14936"/>
    <cellStyle name="Nota 2 3 2 2 10 2 5" xfId="18968"/>
    <cellStyle name="Nota 2 3 2 2 10 2 6" xfId="23000"/>
    <cellStyle name="Nota 2 3 2 2 10 2 7" xfId="27032"/>
    <cellStyle name="Nota 2 3 2 2 10 2 8" xfId="31064"/>
    <cellStyle name="Nota 2 3 2 2 10 2 9" xfId="35096"/>
    <cellStyle name="Nota 2 3 2 2 10 3" xfId="7935"/>
    <cellStyle name="Nota 2 3 2 2 10 3 10" xfId="44225"/>
    <cellStyle name="Nota 2 3 2 2 10 3 11" xfId="48257"/>
    <cellStyle name="Nota 2 3 2 2 10 3 12" xfId="52336"/>
    <cellStyle name="Nota 2 3 2 2 10 3 2" xfId="11969"/>
    <cellStyle name="Nota 2 3 2 2 10 3 3" xfId="16001"/>
    <cellStyle name="Nota 2 3 2 2 10 3 4" xfId="20033"/>
    <cellStyle name="Nota 2 3 2 2 10 3 5" xfId="24065"/>
    <cellStyle name="Nota 2 3 2 2 10 3 6" xfId="28097"/>
    <cellStyle name="Nota 2 3 2 2 10 3 7" xfId="32129"/>
    <cellStyle name="Nota 2 3 2 2 10 3 8" xfId="36161"/>
    <cellStyle name="Nota 2 3 2 2 10 3 9" xfId="40193"/>
    <cellStyle name="Nota 2 3 2 2 10 4" xfId="9953"/>
    <cellStyle name="Nota 2 3 2 2 10 5" xfId="13985"/>
    <cellStyle name="Nota 2 3 2 2 10 6" xfId="18017"/>
    <cellStyle name="Nota 2 3 2 2 10 7" xfId="22049"/>
    <cellStyle name="Nota 2 3 2 2 10 8" xfId="26081"/>
    <cellStyle name="Nota 2 3 2 2 10 9" xfId="30113"/>
    <cellStyle name="Nota 2 3 2 2 11" xfId="4439"/>
    <cellStyle name="Nota 2 3 2 2 11 10" xfId="34283"/>
    <cellStyle name="Nota 2 3 2 2 11 11" xfId="38315"/>
    <cellStyle name="Nota 2 3 2 2 11 12" xfId="42347"/>
    <cellStyle name="Nota 2 3 2 2 11 13" xfId="46379"/>
    <cellStyle name="Nota 2 3 2 2 11 14" xfId="50458"/>
    <cellStyle name="Nota 2 3 2 2 11 2" xfId="7008"/>
    <cellStyle name="Nota 2 3 2 2 11 2 10" xfId="39266"/>
    <cellStyle name="Nota 2 3 2 2 11 2 11" xfId="43298"/>
    <cellStyle name="Nota 2 3 2 2 11 2 12" xfId="47330"/>
    <cellStyle name="Nota 2 3 2 2 11 2 13" xfId="51409"/>
    <cellStyle name="Nota 2 3 2 2 11 2 2" xfId="9024"/>
    <cellStyle name="Nota 2 3 2 2 11 2 2 10" xfId="45314"/>
    <cellStyle name="Nota 2 3 2 2 11 2 2 11" xfId="49346"/>
    <cellStyle name="Nota 2 3 2 2 11 2 2 12" xfId="53425"/>
    <cellStyle name="Nota 2 3 2 2 11 2 2 2" xfId="13058"/>
    <cellStyle name="Nota 2 3 2 2 11 2 2 3" xfId="17090"/>
    <cellStyle name="Nota 2 3 2 2 11 2 2 4" xfId="21122"/>
    <cellStyle name="Nota 2 3 2 2 11 2 2 5" xfId="25154"/>
    <cellStyle name="Nota 2 3 2 2 11 2 2 6" xfId="29186"/>
    <cellStyle name="Nota 2 3 2 2 11 2 2 7" xfId="33218"/>
    <cellStyle name="Nota 2 3 2 2 11 2 2 8" xfId="37250"/>
    <cellStyle name="Nota 2 3 2 2 11 2 2 9" xfId="41282"/>
    <cellStyle name="Nota 2 3 2 2 11 2 3" xfId="11042"/>
    <cellStyle name="Nota 2 3 2 2 11 2 4" xfId="15074"/>
    <cellStyle name="Nota 2 3 2 2 11 2 5" xfId="19106"/>
    <cellStyle name="Nota 2 3 2 2 11 2 6" xfId="23138"/>
    <cellStyle name="Nota 2 3 2 2 11 2 7" xfId="27170"/>
    <cellStyle name="Nota 2 3 2 2 11 2 8" xfId="31202"/>
    <cellStyle name="Nota 2 3 2 2 11 2 9" xfId="35234"/>
    <cellStyle name="Nota 2 3 2 2 11 3" xfId="8073"/>
    <cellStyle name="Nota 2 3 2 2 11 3 10" xfId="44363"/>
    <cellStyle name="Nota 2 3 2 2 11 3 11" xfId="48395"/>
    <cellStyle name="Nota 2 3 2 2 11 3 12" xfId="52474"/>
    <cellStyle name="Nota 2 3 2 2 11 3 2" xfId="12107"/>
    <cellStyle name="Nota 2 3 2 2 11 3 3" xfId="16139"/>
    <cellStyle name="Nota 2 3 2 2 11 3 4" xfId="20171"/>
    <cellStyle name="Nota 2 3 2 2 11 3 5" xfId="24203"/>
    <cellStyle name="Nota 2 3 2 2 11 3 6" xfId="28235"/>
    <cellStyle name="Nota 2 3 2 2 11 3 7" xfId="32267"/>
    <cellStyle name="Nota 2 3 2 2 11 3 8" xfId="36299"/>
    <cellStyle name="Nota 2 3 2 2 11 3 9" xfId="40331"/>
    <cellStyle name="Nota 2 3 2 2 11 4" xfId="10091"/>
    <cellStyle name="Nota 2 3 2 2 11 5" xfId="14123"/>
    <cellStyle name="Nota 2 3 2 2 11 6" xfId="18155"/>
    <cellStyle name="Nota 2 3 2 2 11 7" xfId="22187"/>
    <cellStyle name="Nota 2 3 2 2 11 8" xfId="26219"/>
    <cellStyle name="Nota 2 3 2 2 11 9" xfId="30251"/>
    <cellStyle name="Nota 2 3 2 2 12" xfId="4577"/>
    <cellStyle name="Nota 2 3 2 2 12 10" xfId="38453"/>
    <cellStyle name="Nota 2 3 2 2 12 11" xfId="42485"/>
    <cellStyle name="Nota 2 3 2 2 12 12" xfId="46517"/>
    <cellStyle name="Nota 2 3 2 2 12 13" xfId="50596"/>
    <cellStyle name="Nota 2 3 2 2 12 2" xfId="8211"/>
    <cellStyle name="Nota 2 3 2 2 12 2 10" xfId="44501"/>
    <cellStyle name="Nota 2 3 2 2 12 2 11" xfId="48533"/>
    <cellStyle name="Nota 2 3 2 2 12 2 12" xfId="52612"/>
    <cellStyle name="Nota 2 3 2 2 12 2 2" xfId="12245"/>
    <cellStyle name="Nota 2 3 2 2 12 2 3" xfId="16277"/>
    <cellStyle name="Nota 2 3 2 2 12 2 4" xfId="20309"/>
    <cellStyle name="Nota 2 3 2 2 12 2 5" xfId="24341"/>
    <cellStyle name="Nota 2 3 2 2 12 2 6" xfId="28373"/>
    <cellStyle name="Nota 2 3 2 2 12 2 7" xfId="32405"/>
    <cellStyle name="Nota 2 3 2 2 12 2 8" xfId="36437"/>
    <cellStyle name="Nota 2 3 2 2 12 2 9" xfId="40469"/>
    <cellStyle name="Nota 2 3 2 2 12 3" xfId="10229"/>
    <cellStyle name="Nota 2 3 2 2 12 4" xfId="14261"/>
    <cellStyle name="Nota 2 3 2 2 12 5" xfId="18293"/>
    <cellStyle name="Nota 2 3 2 2 12 6" xfId="22325"/>
    <cellStyle name="Nota 2 3 2 2 12 7" xfId="26357"/>
    <cellStyle name="Nota 2 3 2 2 12 8" xfId="30389"/>
    <cellStyle name="Nota 2 3 2 2 12 9" xfId="34421"/>
    <cellStyle name="Nota 2 3 2 2 13" xfId="305"/>
    <cellStyle name="Nota 2 3 2 2 13 10" xfId="37510"/>
    <cellStyle name="Nota 2 3 2 2 13 11" xfId="41542"/>
    <cellStyle name="Nota 2 3 2 2 13 12" xfId="45574"/>
    <cellStyle name="Nota 2 3 2 2 13 13" xfId="49652"/>
    <cellStyle name="Nota 2 3 2 2 13 2" xfId="7268"/>
    <cellStyle name="Nota 2 3 2 2 13 2 10" xfId="43558"/>
    <cellStyle name="Nota 2 3 2 2 13 2 11" xfId="47590"/>
    <cellStyle name="Nota 2 3 2 2 13 2 12" xfId="51669"/>
    <cellStyle name="Nota 2 3 2 2 13 2 2" xfId="11302"/>
    <cellStyle name="Nota 2 3 2 2 13 2 3" xfId="15334"/>
    <cellStyle name="Nota 2 3 2 2 13 2 4" xfId="19366"/>
    <cellStyle name="Nota 2 3 2 2 13 2 5" xfId="23398"/>
    <cellStyle name="Nota 2 3 2 2 13 2 6" xfId="27430"/>
    <cellStyle name="Nota 2 3 2 2 13 2 7" xfId="31462"/>
    <cellStyle name="Nota 2 3 2 2 13 2 8" xfId="35494"/>
    <cellStyle name="Nota 2 3 2 2 13 2 9" xfId="39526"/>
    <cellStyle name="Nota 2 3 2 2 13 3" xfId="9286"/>
    <cellStyle name="Nota 2 3 2 2 13 4" xfId="13318"/>
    <cellStyle name="Nota 2 3 2 2 13 5" xfId="17350"/>
    <cellStyle name="Nota 2 3 2 2 13 6" xfId="21382"/>
    <cellStyle name="Nota 2 3 2 2 13 7" xfId="25414"/>
    <cellStyle name="Nota 2 3 2 2 13 8" xfId="29446"/>
    <cellStyle name="Nota 2 3 2 2 13 9" xfId="33478"/>
    <cellStyle name="Nota 2 3 2 2 14" xfId="7146"/>
    <cellStyle name="Nota 2 3 2 2 14 10" xfId="43436"/>
    <cellStyle name="Nota 2 3 2 2 14 11" xfId="47468"/>
    <cellStyle name="Nota 2 3 2 2 14 12" xfId="51547"/>
    <cellStyle name="Nota 2 3 2 2 14 2" xfId="11180"/>
    <cellStyle name="Nota 2 3 2 2 14 3" xfId="15212"/>
    <cellStyle name="Nota 2 3 2 2 14 4" xfId="19244"/>
    <cellStyle name="Nota 2 3 2 2 14 5" xfId="23276"/>
    <cellStyle name="Nota 2 3 2 2 14 6" xfId="27308"/>
    <cellStyle name="Nota 2 3 2 2 14 7" xfId="31340"/>
    <cellStyle name="Nota 2 3 2 2 14 8" xfId="35372"/>
    <cellStyle name="Nota 2 3 2 2 14 9" xfId="39404"/>
    <cellStyle name="Nota 2 3 2 2 15" xfId="172"/>
    <cellStyle name="Nota 2 3 2 2 16" xfId="9164"/>
    <cellStyle name="Nota 2 3 2 2 17" xfId="13196"/>
    <cellStyle name="Nota 2 3 2 2 18" xfId="17228"/>
    <cellStyle name="Nota 2 3 2 2 19" xfId="21260"/>
    <cellStyle name="Nota 2 3 2 2 2" xfId="251"/>
    <cellStyle name="Nota 2 3 2 2 2 10" xfId="17297"/>
    <cellStyle name="Nota 2 3 2 2 2 11" xfId="21329"/>
    <cellStyle name="Nota 2 3 2 2 2 12" xfId="25361"/>
    <cellStyle name="Nota 2 3 2 2 2 13" xfId="29393"/>
    <cellStyle name="Nota 2 3 2 2 2 14" xfId="33425"/>
    <cellStyle name="Nota 2 3 2 2 2 15" xfId="37457"/>
    <cellStyle name="Nota 2 3 2 2 2 16" xfId="41489"/>
    <cellStyle name="Nota 2 3 2 2 2 17" xfId="45521"/>
    <cellStyle name="Nota 2 3 2 2 2 18" xfId="49599"/>
    <cellStyle name="Nota 2 3 2 2 2 2" xfId="1553"/>
    <cellStyle name="Nota 2 3 2 2 2 2 2" xfId="5265"/>
    <cellStyle name="Nota 2 3 2 2 2 3" xfId="4369"/>
    <cellStyle name="Nota 2 3 2 2 2 3 10" xfId="34214"/>
    <cellStyle name="Nota 2 3 2 2 2 3 11" xfId="38246"/>
    <cellStyle name="Nota 2 3 2 2 2 3 12" xfId="42278"/>
    <cellStyle name="Nota 2 3 2 2 2 3 13" xfId="46310"/>
    <cellStyle name="Nota 2 3 2 2 2 3 14" xfId="50389"/>
    <cellStyle name="Nota 2 3 2 2 2 3 2" xfId="6939"/>
    <cellStyle name="Nota 2 3 2 2 2 3 2 10" xfId="39197"/>
    <cellStyle name="Nota 2 3 2 2 2 3 2 11" xfId="43229"/>
    <cellStyle name="Nota 2 3 2 2 2 3 2 12" xfId="47261"/>
    <cellStyle name="Nota 2 3 2 2 2 3 2 13" xfId="51340"/>
    <cellStyle name="Nota 2 3 2 2 2 3 2 2" xfId="8955"/>
    <cellStyle name="Nota 2 3 2 2 2 3 2 2 10" xfId="45245"/>
    <cellStyle name="Nota 2 3 2 2 2 3 2 2 11" xfId="49277"/>
    <cellStyle name="Nota 2 3 2 2 2 3 2 2 12" xfId="53356"/>
    <cellStyle name="Nota 2 3 2 2 2 3 2 2 2" xfId="12989"/>
    <cellStyle name="Nota 2 3 2 2 2 3 2 2 3" xfId="17021"/>
    <cellStyle name="Nota 2 3 2 2 2 3 2 2 4" xfId="21053"/>
    <cellStyle name="Nota 2 3 2 2 2 3 2 2 5" xfId="25085"/>
    <cellStyle name="Nota 2 3 2 2 2 3 2 2 6" xfId="29117"/>
    <cellStyle name="Nota 2 3 2 2 2 3 2 2 7" xfId="33149"/>
    <cellStyle name="Nota 2 3 2 2 2 3 2 2 8" xfId="37181"/>
    <cellStyle name="Nota 2 3 2 2 2 3 2 2 9" xfId="41213"/>
    <cellStyle name="Nota 2 3 2 2 2 3 2 3" xfId="10973"/>
    <cellStyle name="Nota 2 3 2 2 2 3 2 4" xfId="15005"/>
    <cellStyle name="Nota 2 3 2 2 2 3 2 5" xfId="19037"/>
    <cellStyle name="Nota 2 3 2 2 2 3 2 6" xfId="23069"/>
    <cellStyle name="Nota 2 3 2 2 2 3 2 7" xfId="27101"/>
    <cellStyle name="Nota 2 3 2 2 2 3 2 8" xfId="31133"/>
    <cellStyle name="Nota 2 3 2 2 2 3 2 9" xfId="35165"/>
    <cellStyle name="Nota 2 3 2 2 2 3 3" xfId="8004"/>
    <cellStyle name="Nota 2 3 2 2 2 3 3 10" xfId="44294"/>
    <cellStyle name="Nota 2 3 2 2 2 3 3 11" xfId="48326"/>
    <cellStyle name="Nota 2 3 2 2 2 3 3 12" xfId="52405"/>
    <cellStyle name="Nota 2 3 2 2 2 3 3 2" xfId="12038"/>
    <cellStyle name="Nota 2 3 2 2 2 3 3 3" xfId="16070"/>
    <cellStyle name="Nota 2 3 2 2 2 3 3 4" xfId="20102"/>
    <cellStyle name="Nota 2 3 2 2 2 3 3 5" xfId="24134"/>
    <cellStyle name="Nota 2 3 2 2 2 3 3 6" xfId="28166"/>
    <cellStyle name="Nota 2 3 2 2 2 3 3 7" xfId="32198"/>
    <cellStyle name="Nota 2 3 2 2 2 3 3 8" xfId="36230"/>
    <cellStyle name="Nota 2 3 2 2 2 3 3 9" xfId="40262"/>
    <cellStyle name="Nota 2 3 2 2 2 3 4" xfId="10022"/>
    <cellStyle name="Nota 2 3 2 2 2 3 5" xfId="14054"/>
    <cellStyle name="Nota 2 3 2 2 2 3 6" xfId="18086"/>
    <cellStyle name="Nota 2 3 2 2 2 3 7" xfId="22118"/>
    <cellStyle name="Nota 2 3 2 2 2 3 8" xfId="26150"/>
    <cellStyle name="Nota 2 3 2 2 2 3 9" xfId="30182"/>
    <cellStyle name="Nota 2 3 2 2 2 4" xfId="4508"/>
    <cellStyle name="Nota 2 3 2 2 2 4 10" xfId="34352"/>
    <cellStyle name="Nota 2 3 2 2 2 4 11" xfId="38384"/>
    <cellStyle name="Nota 2 3 2 2 2 4 12" xfId="42416"/>
    <cellStyle name="Nota 2 3 2 2 2 4 13" xfId="46448"/>
    <cellStyle name="Nota 2 3 2 2 2 4 14" xfId="50527"/>
    <cellStyle name="Nota 2 3 2 2 2 4 2" xfId="7077"/>
    <cellStyle name="Nota 2 3 2 2 2 4 2 10" xfId="39335"/>
    <cellStyle name="Nota 2 3 2 2 2 4 2 11" xfId="43367"/>
    <cellStyle name="Nota 2 3 2 2 2 4 2 12" xfId="47399"/>
    <cellStyle name="Nota 2 3 2 2 2 4 2 13" xfId="51478"/>
    <cellStyle name="Nota 2 3 2 2 2 4 2 2" xfId="9093"/>
    <cellStyle name="Nota 2 3 2 2 2 4 2 2 10" xfId="45383"/>
    <cellStyle name="Nota 2 3 2 2 2 4 2 2 11" xfId="49415"/>
    <cellStyle name="Nota 2 3 2 2 2 4 2 2 12" xfId="53494"/>
    <cellStyle name="Nota 2 3 2 2 2 4 2 2 2" xfId="13127"/>
    <cellStyle name="Nota 2 3 2 2 2 4 2 2 3" xfId="17159"/>
    <cellStyle name="Nota 2 3 2 2 2 4 2 2 4" xfId="21191"/>
    <cellStyle name="Nota 2 3 2 2 2 4 2 2 5" xfId="25223"/>
    <cellStyle name="Nota 2 3 2 2 2 4 2 2 6" xfId="29255"/>
    <cellStyle name="Nota 2 3 2 2 2 4 2 2 7" xfId="33287"/>
    <cellStyle name="Nota 2 3 2 2 2 4 2 2 8" xfId="37319"/>
    <cellStyle name="Nota 2 3 2 2 2 4 2 2 9" xfId="41351"/>
    <cellStyle name="Nota 2 3 2 2 2 4 2 3" xfId="11111"/>
    <cellStyle name="Nota 2 3 2 2 2 4 2 4" xfId="15143"/>
    <cellStyle name="Nota 2 3 2 2 2 4 2 5" xfId="19175"/>
    <cellStyle name="Nota 2 3 2 2 2 4 2 6" xfId="23207"/>
    <cellStyle name="Nota 2 3 2 2 2 4 2 7" xfId="27239"/>
    <cellStyle name="Nota 2 3 2 2 2 4 2 8" xfId="31271"/>
    <cellStyle name="Nota 2 3 2 2 2 4 2 9" xfId="35303"/>
    <cellStyle name="Nota 2 3 2 2 2 4 3" xfId="8142"/>
    <cellStyle name="Nota 2 3 2 2 2 4 3 10" xfId="44432"/>
    <cellStyle name="Nota 2 3 2 2 2 4 3 11" xfId="48464"/>
    <cellStyle name="Nota 2 3 2 2 2 4 3 12" xfId="52543"/>
    <cellStyle name="Nota 2 3 2 2 2 4 3 2" xfId="12176"/>
    <cellStyle name="Nota 2 3 2 2 2 4 3 3" xfId="16208"/>
    <cellStyle name="Nota 2 3 2 2 2 4 3 4" xfId="20240"/>
    <cellStyle name="Nota 2 3 2 2 2 4 3 5" xfId="24272"/>
    <cellStyle name="Nota 2 3 2 2 2 4 3 6" xfId="28304"/>
    <cellStyle name="Nota 2 3 2 2 2 4 3 7" xfId="32336"/>
    <cellStyle name="Nota 2 3 2 2 2 4 3 8" xfId="36368"/>
    <cellStyle name="Nota 2 3 2 2 2 4 3 9" xfId="40400"/>
    <cellStyle name="Nota 2 3 2 2 2 4 4" xfId="10160"/>
    <cellStyle name="Nota 2 3 2 2 2 4 5" xfId="14192"/>
    <cellStyle name="Nota 2 3 2 2 2 4 6" xfId="18224"/>
    <cellStyle name="Nota 2 3 2 2 2 4 7" xfId="22256"/>
    <cellStyle name="Nota 2 3 2 2 2 4 8" xfId="26288"/>
    <cellStyle name="Nota 2 3 2 2 2 4 9" xfId="30320"/>
    <cellStyle name="Nota 2 3 2 2 2 5" xfId="4648"/>
    <cellStyle name="Nota 2 3 2 2 2 5 10" xfId="38522"/>
    <cellStyle name="Nota 2 3 2 2 2 5 11" xfId="42554"/>
    <cellStyle name="Nota 2 3 2 2 2 5 12" xfId="46586"/>
    <cellStyle name="Nota 2 3 2 2 2 5 13" xfId="50665"/>
    <cellStyle name="Nota 2 3 2 2 2 5 2" xfId="8280"/>
    <cellStyle name="Nota 2 3 2 2 2 5 2 10" xfId="44570"/>
    <cellStyle name="Nota 2 3 2 2 2 5 2 11" xfId="48602"/>
    <cellStyle name="Nota 2 3 2 2 2 5 2 12" xfId="52681"/>
    <cellStyle name="Nota 2 3 2 2 2 5 2 2" xfId="12314"/>
    <cellStyle name="Nota 2 3 2 2 2 5 2 3" xfId="16346"/>
    <cellStyle name="Nota 2 3 2 2 2 5 2 4" xfId="20378"/>
    <cellStyle name="Nota 2 3 2 2 2 5 2 5" xfId="24410"/>
    <cellStyle name="Nota 2 3 2 2 2 5 2 6" xfId="28442"/>
    <cellStyle name="Nota 2 3 2 2 2 5 2 7" xfId="32474"/>
    <cellStyle name="Nota 2 3 2 2 2 5 2 8" xfId="36506"/>
    <cellStyle name="Nota 2 3 2 2 2 5 2 9" xfId="40538"/>
    <cellStyle name="Nota 2 3 2 2 2 5 3" xfId="10298"/>
    <cellStyle name="Nota 2 3 2 2 2 5 4" xfId="14330"/>
    <cellStyle name="Nota 2 3 2 2 2 5 5" xfId="18362"/>
    <cellStyle name="Nota 2 3 2 2 2 5 6" xfId="22394"/>
    <cellStyle name="Nota 2 3 2 2 2 5 7" xfId="26426"/>
    <cellStyle name="Nota 2 3 2 2 2 5 8" xfId="30458"/>
    <cellStyle name="Nota 2 3 2 2 2 5 9" xfId="34490"/>
    <cellStyle name="Nota 2 3 2 2 2 6" xfId="1435"/>
    <cellStyle name="Nota 2 3 2 2 2 7" xfId="7215"/>
    <cellStyle name="Nota 2 3 2 2 2 7 10" xfId="43505"/>
    <cellStyle name="Nota 2 3 2 2 2 7 11" xfId="47537"/>
    <cellStyle name="Nota 2 3 2 2 2 7 12" xfId="51616"/>
    <cellStyle name="Nota 2 3 2 2 2 7 2" xfId="11249"/>
    <cellStyle name="Nota 2 3 2 2 2 7 3" xfId="15281"/>
    <cellStyle name="Nota 2 3 2 2 2 7 4" xfId="19313"/>
    <cellStyle name="Nota 2 3 2 2 2 7 5" xfId="23345"/>
    <cellStyle name="Nota 2 3 2 2 2 7 6" xfId="27377"/>
    <cellStyle name="Nota 2 3 2 2 2 7 7" xfId="31409"/>
    <cellStyle name="Nota 2 3 2 2 2 7 8" xfId="35441"/>
    <cellStyle name="Nota 2 3 2 2 2 7 9" xfId="39473"/>
    <cellStyle name="Nota 2 3 2 2 2 8" xfId="9233"/>
    <cellStyle name="Nota 2 3 2 2 2 9" xfId="13265"/>
    <cellStyle name="Nota 2 3 2 2 20" xfId="25292"/>
    <cellStyle name="Nota 2 3 2 2 21" xfId="29324"/>
    <cellStyle name="Nota 2 3 2 2 22" xfId="33356"/>
    <cellStyle name="Nota 2 3 2 2 23" xfId="37388"/>
    <cellStyle name="Nota 2 3 2 2 24" xfId="41420"/>
    <cellStyle name="Nota 2 3 2 2 25" xfId="45452"/>
    <cellStyle name="Nota 2 3 2 2 26" xfId="49530"/>
    <cellStyle name="Nota 2 3 2 2 3" xfId="911"/>
    <cellStyle name="Nota 2 3 2 2 3 2" xfId="4957"/>
    <cellStyle name="Nota 2 3 2 2 4" xfId="375"/>
    <cellStyle name="Nota 2 3 2 2 4 10" xfId="33548"/>
    <cellStyle name="Nota 2 3 2 2 4 11" xfId="37580"/>
    <cellStyle name="Nota 2 3 2 2 4 12" xfId="41612"/>
    <cellStyle name="Nota 2 3 2 2 4 13" xfId="45644"/>
    <cellStyle name="Nota 2 3 2 2 4 14" xfId="49722"/>
    <cellStyle name="Nota 2 3 2 2 4 2" xfId="4674"/>
    <cellStyle name="Nota 2 3 2 2 4 2 10" xfId="38548"/>
    <cellStyle name="Nota 2 3 2 2 4 2 11" xfId="42580"/>
    <cellStyle name="Nota 2 3 2 2 4 2 12" xfId="46612"/>
    <cellStyle name="Nota 2 3 2 2 4 2 13" xfId="50691"/>
    <cellStyle name="Nota 2 3 2 2 4 2 2" xfId="8306"/>
    <cellStyle name="Nota 2 3 2 2 4 2 2 10" xfId="44596"/>
    <cellStyle name="Nota 2 3 2 2 4 2 2 11" xfId="48628"/>
    <cellStyle name="Nota 2 3 2 2 4 2 2 12" xfId="52707"/>
    <cellStyle name="Nota 2 3 2 2 4 2 2 2" xfId="12340"/>
    <cellStyle name="Nota 2 3 2 2 4 2 2 3" xfId="16372"/>
    <cellStyle name="Nota 2 3 2 2 4 2 2 4" xfId="20404"/>
    <cellStyle name="Nota 2 3 2 2 4 2 2 5" xfId="24436"/>
    <cellStyle name="Nota 2 3 2 2 4 2 2 6" xfId="28468"/>
    <cellStyle name="Nota 2 3 2 2 4 2 2 7" xfId="32500"/>
    <cellStyle name="Nota 2 3 2 2 4 2 2 8" xfId="36532"/>
    <cellStyle name="Nota 2 3 2 2 4 2 2 9" xfId="40564"/>
    <cellStyle name="Nota 2 3 2 2 4 2 3" xfId="10324"/>
    <cellStyle name="Nota 2 3 2 2 4 2 4" xfId="14356"/>
    <cellStyle name="Nota 2 3 2 2 4 2 5" xfId="18388"/>
    <cellStyle name="Nota 2 3 2 2 4 2 6" xfId="22420"/>
    <cellStyle name="Nota 2 3 2 2 4 2 7" xfId="26452"/>
    <cellStyle name="Nota 2 3 2 2 4 2 8" xfId="30484"/>
    <cellStyle name="Nota 2 3 2 2 4 2 9" xfId="34516"/>
    <cellStyle name="Nota 2 3 2 2 4 3" xfId="7338"/>
    <cellStyle name="Nota 2 3 2 2 4 3 10" xfId="43628"/>
    <cellStyle name="Nota 2 3 2 2 4 3 11" xfId="47660"/>
    <cellStyle name="Nota 2 3 2 2 4 3 12" xfId="51739"/>
    <cellStyle name="Nota 2 3 2 2 4 3 2" xfId="11372"/>
    <cellStyle name="Nota 2 3 2 2 4 3 3" xfId="15404"/>
    <cellStyle name="Nota 2 3 2 2 4 3 4" xfId="19436"/>
    <cellStyle name="Nota 2 3 2 2 4 3 5" xfId="23468"/>
    <cellStyle name="Nota 2 3 2 2 4 3 6" xfId="27500"/>
    <cellStyle name="Nota 2 3 2 2 4 3 7" xfId="31532"/>
    <cellStyle name="Nota 2 3 2 2 4 3 8" xfId="35564"/>
    <cellStyle name="Nota 2 3 2 2 4 3 9" xfId="39596"/>
    <cellStyle name="Nota 2 3 2 2 4 4" xfId="9356"/>
    <cellStyle name="Nota 2 3 2 2 4 5" xfId="13388"/>
    <cellStyle name="Nota 2 3 2 2 4 6" xfId="17420"/>
    <cellStyle name="Nota 2 3 2 2 4 7" xfId="21452"/>
    <cellStyle name="Nota 2 3 2 2 4 8" xfId="25484"/>
    <cellStyle name="Nota 2 3 2 2 4 9" xfId="29516"/>
    <cellStyle name="Nota 2 3 2 2 5" xfId="1685"/>
    <cellStyle name="Nota 2 3 2 2 5 10" xfId="33646"/>
    <cellStyle name="Nota 2 3 2 2 5 11" xfId="37678"/>
    <cellStyle name="Nota 2 3 2 2 5 12" xfId="41710"/>
    <cellStyle name="Nota 2 3 2 2 5 13" xfId="45742"/>
    <cellStyle name="Nota 2 3 2 2 5 14" xfId="49820"/>
    <cellStyle name="Nota 2 3 2 2 5 2" xfId="5361"/>
    <cellStyle name="Nota 2 3 2 2 5 2 10" xfId="38629"/>
    <cellStyle name="Nota 2 3 2 2 5 2 11" xfId="42661"/>
    <cellStyle name="Nota 2 3 2 2 5 2 12" xfId="46693"/>
    <cellStyle name="Nota 2 3 2 2 5 2 13" xfId="50772"/>
    <cellStyle name="Nota 2 3 2 2 5 2 2" xfId="8387"/>
    <cellStyle name="Nota 2 3 2 2 5 2 2 10" xfId="44677"/>
    <cellStyle name="Nota 2 3 2 2 5 2 2 11" xfId="48709"/>
    <cellStyle name="Nota 2 3 2 2 5 2 2 12" xfId="52788"/>
    <cellStyle name="Nota 2 3 2 2 5 2 2 2" xfId="12421"/>
    <cellStyle name="Nota 2 3 2 2 5 2 2 3" xfId="16453"/>
    <cellStyle name="Nota 2 3 2 2 5 2 2 4" xfId="20485"/>
    <cellStyle name="Nota 2 3 2 2 5 2 2 5" xfId="24517"/>
    <cellStyle name="Nota 2 3 2 2 5 2 2 6" xfId="28549"/>
    <cellStyle name="Nota 2 3 2 2 5 2 2 7" xfId="32581"/>
    <cellStyle name="Nota 2 3 2 2 5 2 2 8" xfId="36613"/>
    <cellStyle name="Nota 2 3 2 2 5 2 2 9" xfId="40645"/>
    <cellStyle name="Nota 2 3 2 2 5 2 3" xfId="10405"/>
    <cellStyle name="Nota 2 3 2 2 5 2 4" xfId="14437"/>
    <cellStyle name="Nota 2 3 2 2 5 2 5" xfId="18469"/>
    <cellStyle name="Nota 2 3 2 2 5 2 6" xfId="22501"/>
    <cellStyle name="Nota 2 3 2 2 5 2 7" xfId="26533"/>
    <cellStyle name="Nota 2 3 2 2 5 2 8" xfId="30565"/>
    <cellStyle name="Nota 2 3 2 2 5 2 9" xfId="34597"/>
    <cellStyle name="Nota 2 3 2 2 5 3" xfId="7436"/>
    <cellStyle name="Nota 2 3 2 2 5 3 10" xfId="43726"/>
    <cellStyle name="Nota 2 3 2 2 5 3 11" xfId="47758"/>
    <cellStyle name="Nota 2 3 2 2 5 3 12" xfId="51837"/>
    <cellStyle name="Nota 2 3 2 2 5 3 2" xfId="11470"/>
    <cellStyle name="Nota 2 3 2 2 5 3 3" xfId="15502"/>
    <cellStyle name="Nota 2 3 2 2 5 3 4" xfId="19534"/>
    <cellStyle name="Nota 2 3 2 2 5 3 5" xfId="23566"/>
    <cellStyle name="Nota 2 3 2 2 5 3 6" xfId="27598"/>
    <cellStyle name="Nota 2 3 2 2 5 3 7" xfId="31630"/>
    <cellStyle name="Nota 2 3 2 2 5 3 8" xfId="35662"/>
    <cellStyle name="Nota 2 3 2 2 5 3 9" xfId="39694"/>
    <cellStyle name="Nota 2 3 2 2 5 4" xfId="9454"/>
    <cellStyle name="Nota 2 3 2 2 5 5" xfId="13486"/>
    <cellStyle name="Nota 2 3 2 2 5 6" xfId="17518"/>
    <cellStyle name="Nota 2 3 2 2 5 7" xfId="21550"/>
    <cellStyle name="Nota 2 3 2 2 5 8" xfId="25582"/>
    <cellStyle name="Nota 2 3 2 2 5 9" xfId="29614"/>
    <cellStyle name="Nota 2 3 2 2 6" xfId="1759"/>
    <cellStyle name="Nota 2 3 2 2 6 10" xfId="33715"/>
    <cellStyle name="Nota 2 3 2 2 6 11" xfId="37747"/>
    <cellStyle name="Nota 2 3 2 2 6 12" xfId="41779"/>
    <cellStyle name="Nota 2 3 2 2 6 13" xfId="45811"/>
    <cellStyle name="Nota 2 3 2 2 6 14" xfId="49889"/>
    <cellStyle name="Nota 2 3 2 2 6 2" xfId="5430"/>
    <cellStyle name="Nota 2 3 2 2 6 2 10" xfId="38698"/>
    <cellStyle name="Nota 2 3 2 2 6 2 11" xfId="42730"/>
    <cellStyle name="Nota 2 3 2 2 6 2 12" xfId="46762"/>
    <cellStyle name="Nota 2 3 2 2 6 2 13" xfId="50841"/>
    <cellStyle name="Nota 2 3 2 2 6 2 2" xfId="8456"/>
    <cellStyle name="Nota 2 3 2 2 6 2 2 10" xfId="44746"/>
    <cellStyle name="Nota 2 3 2 2 6 2 2 11" xfId="48778"/>
    <cellStyle name="Nota 2 3 2 2 6 2 2 12" xfId="52857"/>
    <cellStyle name="Nota 2 3 2 2 6 2 2 2" xfId="12490"/>
    <cellStyle name="Nota 2 3 2 2 6 2 2 3" xfId="16522"/>
    <cellStyle name="Nota 2 3 2 2 6 2 2 4" xfId="20554"/>
    <cellStyle name="Nota 2 3 2 2 6 2 2 5" xfId="24586"/>
    <cellStyle name="Nota 2 3 2 2 6 2 2 6" xfId="28618"/>
    <cellStyle name="Nota 2 3 2 2 6 2 2 7" xfId="32650"/>
    <cellStyle name="Nota 2 3 2 2 6 2 2 8" xfId="36682"/>
    <cellStyle name="Nota 2 3 2 2 6 2 2 9" xfId="40714"/>
    <cellStyle name="Nota 2 3 2 2 6 2 3" xfId="10474"/>
    <cellStyle name="Nota 2 3 2 2 6 2 4" xfId="14506"/>
    <cellStyle name="Nota 2 3 2 2 6 2 5" xfId="18538"/>
    <cellStyle name="Nota 2 3 2 2 6 2 6" xfId="22570"/>
    <cellStyle name="Nota 2 3 2 2 6 2 7" xfId="26602"/>
    <cellStyle name="Nota 2 3 2 2 6 2 8" xfId="30634"/>
    <cellStyle name="Nota 2 3 2 2 6 2 9" xfId="34666"/>
    <cellStyle name="Nota 2 3 2 2 6 3" xfId="7505"/>
    <cellStyle name="Nota 2 3 2 2 6 3 10" xfId="43795"/>
    <cellStyle name="Nota 2 3 2 2 6 3 11" xfId="47827"/>
    <cellStyle name="Nota 2 3 2 2 6 3 12" xfId="51906"/>
    <cellStyle name="Nota 2 3 2 2 6 3 2" xfId="11539"/>
    <cellStyle name="Nota 2 3 2 2 6 3 3" xfId="15571"/>
    <cellStyle name="Nota 2 3 2 2 6 3 4" xfId="19603"/>
    <cellStyle name="Nota 2 3 2 2 6 3 5" xfId="23635"/>
    <cellStyle name="Nota 2 3 2 2 6 3 6" xfId="27667"/>
    <cellStyle name="Nota 2 3 2 2 6 3 7" xfId="31699"/>
    <cellStyle name="Nota 2 3 2 2 6 3 8" xfId="35731"/>
    <cellStyle name="Nota 2 3 2 2 6 3 9" xfId="39763"/>
    <cellStyle name="Nota 2 3 2 2 6 4" xfId="9523"/>
    <cellStyle name="Nota 2 3 2 2 6 5" xfId="13555"/>
    <cellStyle name="Nota 2 3 2 2 6 6" xfId="17587"/>
    <cellStyle name="Nota 2 3 2 2 6 7" xfId="21619"/>
    <cellStyle name="Nota 2 3 2 2 6 8" xfId="25651"/>
    <cellStyle name="Nota 2 3 2 2 6 9" xfId="29683"/>
    <cellStyle name="Nota 2 3 2 2 7" xfId="4081"/>
    <cellStyle name="Nota 2 3 2 2 7 10" xfId="33938"/>
    <cellStyle name="Nota 2 3 2 2 7 11" xfId="37970"/>
    <cellStyle name="Nota 2 3 2 2 7 12" xfId="42002"/>
    <cellStyle name="Nota 2 3 2 2 7 13" xfId="46034"/>
    <cellStyle name="Nota 2 3 2 2 7 14" xfId="50112"/>
    <cellStyle name="Nota 2 3 2 2 7 2" xfId="6663"/>
    <cellStyle name="Nota 2 3 2 2 7 2 10" xfId="38921"/>
    <cellStyle name="Nota 2 3 2 2 7 2 11" xfId="42953"/>
    <cellStyle name="Nota 2 3 2 2 7 2 12" xfId="46985"/>
    <cellStyle name="Nota 2 3 2 2 7 2 13" xfId="51064"/>
    <cellStyle name="Nota 2 3 2 2 7 2 2" xfId="8679"/>
    <cellStyle name="Nota 2 3 2 2 7 2 2 10" xfId="44969"/>
    <cellStyle name="Nota 2 3 2 2 7 2 2 11" xfId="49001"/>
    <cellStyle name="Nota 2 3 2 2 7 2 2 12" xfId="53080"/>
    <cellStyle name="Nota 2 3 2 2 7 2 2 2" xfId="12713"/>
    <cellStyle name="Nota 2 3 2 2 7 2 2 3" xfId="16745"/>
    <cellStyle name="Nota 2 3 2 2 7 2 2 4" xfId="20777"/>
    <cellStyle name="Nota 2 3 2 2 7 2 2 5" xfId="24809"/>
    <cellStyle name="Nota 2 3 2 2 7 2 2 6" xfId="28841"/>
    <cellStyle name="Nota 2 3 2 2 7 2 2 7" xfId="32873"/>
    <cellStyle name="Nota 2 3 2 2 7 2 2 8" xfId="36905"/>
    <cellStyle name="Nota 2 3 2 2 7 2 2 9" xfId="40937"/>
    <cellStyle name="Nota 2 3 2 2 7 2 3" xfId="10697"/>
    <cellStyle name="Nota 2 3 2 2 7 2 4" xfId="14729"/>
    <cellStyle name="Nota 2 3 2 2 7 2 5" xfId="18761"/>
    <cellStyle name="Nota 2 3 2 2 7 2 6" xfId="22793"/>
    <cellStyle name="Nota 2 3 2 2 7 2 7" xfId="26825"/>
    <cellStyle name="Nota 2 3 2 2 7 2 8" xfId="30857"/>
    <cellStyle name="Nota 2 3 2 2 7 2 9" xfId="34889"/>
    <cellStyle name="Nota 2 3 2 2 7 3" xfId="7728"/>
    <cellStyle name="Nota 2 3 2 2 7 3 10" xfId="44018"/>
    <cellStyle name="Nota 2 3 2 2 7 3 11" xfId="48050"/>
    <cellStyle name="Nota 2 3 2 2 7 3 12" xfId="52129"/>
    <cellStyle name="Nota 2 3 2 2 7 3 2" xfId="11762"/>
    <cellStyle name="Nota 2 3 2 2 7 3 3" xfId="15794"/>
    <cellStyle name="Nota 2 3 2 2 7 3 4" xfId="19826"/>
    <cellStyle name="Nota 2 3 2 2 7 3 5" xfId="23858"/>
    <cellStyle name="Nota 2 3 2 2 7 3 6" xfId="27890"/>
    <cellStyle name="Nota 2 3 2 2 7 3 7" xfId="31922"/>
    <cellStyle name="Nota 2 3 2 2 7 3 8" xfId="35954"/>
    <cellStyle name="Nota 2 3 2 2 7 3 9" xfId="39986"/>
    <cellStyle name="Nota 2 3 2 2 7 4" xfId="9746"/>
    <cellStyle name="Nota 2 3 2 2 7 5" xfId="13778"/>
    <cellStyle name="Nota 2 3 2 2 7 6" xfId="17810"/>
    <cellStyle name="Nota 2 3 2 2 7 7" xfId="21842"/>
    <cellStyle name="Nota 2 3 2 2 7 8" xfId="25874"/>
    <cellStyle name="Nota 2 3 2 2 7 9" xfId="29906"/>
    <cellStyle name="Nota 2 3 2 2 8" xfId="4151"/>
    <cellStyle name="Nota 2 3 2 2 8 10" xfId="34007"/>
    <cellStyle name="Nota 2 3 2 2 8 11" xfId="38039"/>
    <cellStyle name="Nota 2 3 2 2 8 12" xfId="42071"/>
    <cellStyle name="Nota 2 3 2 2 8 13" xfId="46103"/>
    <cellStyle name="Nota 2 3 2 2 8 14" xfId="50181"/>
    <cellStyle name="Nota 2 3 2 2 8 2" xfId="6732"/>
    <cellStyle name="Nota 2 3 2 2 8 2 10" xfId="38990"/>
    <cellStyle name="Nota 2 3 2 2 8 2 11" xfId="43022"/>
    <cellStyle name="Nota 2 3 2 2 8 2 12" xfId="47054"/>
    <cellStyle name="Nota 2 3 2 2 8 2 13" xfId="51133"/>
    <cellStyle name="Nota 2 3 2 2 8 2 2" xfId="8748"/>
    <cellStyle name="Nota 2 3 2 2 8 2 2 10" xfId="45038"/>
    <cellStyle name="Nota 2 3 2 2 8 2 2 11" xfId="49070"/>
    <cellStyle name="Nota 2 3 2 2 8 2 2 12" xfId="53149"/>
    <cellStyle name="Nota 2 3 2 2 8 2 2 2" xfId="12782"/>
    <cellStyle name="Nota 2 3 2 2 8 2 2 3" xfId="16814"/>
    <cellStyle name="Nota 2 3 2 2 8 2 2 4" xfId="20846"/>
    <cellStyle name="Nota 2 3 2 2 8 2 2 5" xfId="24878"/>
    <cellStyle name="Nota 2 3 2 2 8 2 2 6" xfId="28910"/>
    <cellStyle name="Nota 2 3 2 2 8 2 2 7" xfId="32942"/>
    <cellStyle name="Nota 2 3 2 2 8 2 2 8" xfId="36974"/>
    <cellStyle name="Nota 2 3 2 2 8 2 2 9" xfId="41006"/>
    <cellStyle name="Nota 2 3 2 2 8 2 3" xfId="10766"/>
    <cellStyle name="Nota 2 3 2 2 8 2 4" xfId="14798"/>
    <cellStyle name="Nota 2 3 2 2 8 2 5" xfId="18830"/>
    <cellStyle name="Nota 2 3 2 2 8 2 6" xfId="22862"/>
    <cellStyle name="Nota 2 3 2 2 8 2 7" xfId="26894"/>
    <cellStyle name="Nota 2 3 2 2 8 2 8" xfId="30926"/>
    <cellStyle name="Nota 2 3 2 2 8 2 9" xfId="34958"/>
    <cellStyle name="Nota 2 3 2 2 8 3" xfId="7797"/>
    <cellStyle name="Nota 2 3 2 2 8 3 10" xfId="44087"/>
    <cellStyle name="Nota 2 3 2 2 8 3 11" xfId="48119"/>
    <cellStyle name="Nota 2 3 2 2 8 3 12" xfId="52198"/>
    <cellStyle name="Nota 2 3 2 2 8 3 2" xfId="11831"/>
    <cellStyle name="Nota 2 3 2 2 8 3 3" xfId="15863"/>
    <cellStyle name="Nota 2 3 2 2 8 3 4" xfId="19895"/>
    <cellStyle name="Nota 2 3 2 2 8 3 5" xfId="23927"/>
    <cellStyle name="Nota 2 3 2 2 8 3 6" xfId="27959"/>
    <cellStyle name="Nota 2 3 2 2 8 3 7" xfId="31991"/>
    <cellStyle name="Nota 2 3 2 2 8 3 8" xfId="36023"/>
    <cellStyle name="Nota 2 3 2 2 8 3 9" xfId="40055"/>
    <cellStyle name="Nota 2 3 2 2 8 4" xfId="9815"/>
    <cellStyle name="Nota 2 3 2 2 8 5" xfId="13847"/>
    <cellStyle name="Nota 2 3 2 2 8 6" xfId="17879"/>
    <cellStyle name="Nota 2 3 2 2 8 7" xfId="21911"/>
    <cellStyle name="Nota 2 3 2 2 8 8" xfId="25943"/>
    <cellStyle name="Nota 2 3 2 2 8 9" xfId="29975"/>
    <cellStyle name="Nota 2 3 2 2 9" xfId="4220"/>
    <cellStyle name="Nota 2 3 2 2 9 10" xfId="34076"/>
    <cellStyle name="Nota 2 3 2 2 9 11" xfId="38108"/>
    <cellStyle name="Nota 2 3 2 2 9 12" xfId="42140"/>
    <cellStyle name="Nota 2 3 2 2 9 13" xfId="46172"/>
    <cellStyle name="Nota 2 3 2 2 9 14" xfId="50250"/>
    <cellStyle name="Nota 2 3 2 2 9 2" xfId="6801"/>
    <cellStyle name="Nota 2 3 2 2 9 2 10" xfId="39059"/>
    <cellStyle name="Nota 2 3 2 2 9 2 11" xfId="43091"/>
    <cellStyle name="Nota 2 3 2 2 9 2 12" xfId="47123"/>
    <cellStyle name="Nota 2 3 2 2 9 2 13" xfId="51202"/>
    <cellStyle name="Nota 2 3 2 2 9 2 2" xfId="8817"/>
    <cellStyle name="Nota 2 3 2 2 9 2 2 10" xfId="45107"/>
    <cellStyle name="Nota 2 3 2 2 9 2 2 11" xfId="49139"/>
    <cellStyle name="Nota 2 3 2 2 9 2 2 12" xfId="53218"/>
    <cellStyle name="Nota 2 3 2 2 9 2 2 2" xfId="12851"/>
    <cellStyle name="Nota 2 3 2 2 9 2 2 3" xfId="16883"/>
    <cellStyle name="Nota 2 3 2 2 9 2 2 4" xfId="20915"/>
    <cellStyle name="Nota 2 3 2 2 9 2 2 5" xfId="24947"/>
    <cellStyle name="Nota 2 3 2 2 9 2 2 6" xfId="28979"/>
    <cellStyle name="Nota 2 3 2 2 9 2 2 7" xfId="33011"/>
    <cellStyle name="Nota 2 3 2 2 9 2 2 8" xfId="37043"/>
    <cellStyle name="Nota 2 3 2 2 9 2 2 9" xfId="41075"/>
    <cellStyle name="Nota 2 3 2 2 9 2 3" xfId="10835"/>
    <cellStyle name="Nota 2 3 2 2 9 2 4" xfId="14867"/>
    <cellStyle name="Nota 2 3 2 2 9 2 5" xfId="18899"/>
    <cellStyle name="Nota 2 3 2 2 9 2 6" xfId="22931"/>
    <cellStyle name="Nota 2 3 2 2 9 2 7" xfId="26963"/>
    <cellStyle name="Nota 2 3 2 2 9 2 8" xfId="30995"/>
    <cellStyle name="Nota 2 3 2 2 9 2 9" xfId="35027"/>
    <cellStyle name="Nota 2 3 2 2 9 3" xfId="7866"/>
    <cellStyle name="Nota 2 3 2 2 9 3 10" xfId="44156"/>
    <cellStyle name="Nota 2 3 2 2 9 3 11" xfId="48188"/>
    <cellStyle name="Nota 2 3 2 2 9 3 12" xfId="52267"/>
    <cellStyle name="Nota 2 3 2 2 9 3 2" xfId="11900"/>
    <cellStyle name="Nota 2 3 2 2 9 3 3" xfId="15932"/>
    <cellStyle name="Nota 2 3 2 2 9 3 4" xfId="19964"/>
    <cellStyle name="Nota 2 3 2 2 9 3 5" xfId="23996"/>
    <cellStyle name="Nota 2 3 2 2 9 3 6" xfId="28028"/>
    <cellStyle name="Nota 2 3 2 2 9 3 7" xfId="32060"/>
    <cellStyle name="Nota 2 3 2 2 9 3 8" xfId="36092"/>
    <cellStyle name="Nota 2 3 2 2 9 3 9" xfId="40124"/>
    <cellStyle name="Nota 2 3 2 2 9 4" xfId="9884"/>
    <cellStyle name="Nota 2 3 2 2 9 5" xfId="13916"/>
    <cellStyle name="Nota 2 3 2 2 9 6" xfId="17948"/>
    <cellStyle name="Nota 2 3 2 2 9 7" xfId="21980"/>
    <cellStyle name="Nota 2 3 2 2 9 8" xfId="26012"/>
    <cellStyle name="Nota 2 3 2 2 9 9" xfId="30044"/>
    <cellStyle name="Nota 2 3 2 20" xfId="13145"/>
    <cellStyle name="Nota 2 3 2 21" xfId="17177"/>
    <cellStyle name="Nota 2 3 2 22" xfId="21209"/>
    <cellStyle name="Nota 2 3 2 23" xfId="25241"/>
    <cellStyle name="Nota 2 3 2 24" xfId="29273"/>
    <cellStyle name="Nota 2 3 2 25" xfId="33305"/>
    <cellStyle name="Nota 2 3 2 26" xfId="37337"/>
    <cellStyle name="Nota 2 3 2 27" xfId="41369"/>
    <cellStyle name="Nota 2 3 2 28" xfId="45401"/>
    <cellStyle name="Nota 2 3 2 29" xfId="49479"/>
    <cellStyle name="Nota 2 3 2 3" xfId="81"/>
    <cellStyle name="Nota 2 3 2 3 10" xfId="4277"/>
    <cellStyle name="Nota 2 3 2 3 10 10" xfId="34129"/>
    <cellStyle name="Nota 2 3 2 3 10 11" xfId="38161"/>
    <cellStyle name="Nota 2 3 2 3 10 12" xfId="42193"/>
    <cellStyle name="Nota 2 3 2 3 10 13" xfId="46225"/>
    <cellStyle name="Nota 2 3 2 3 10 14" xfId="50303"/>
    <cellStyle name="Nota 2 3 2 3 10 2" xfId="6854"/>
    <cellStyle name="Nota 2 3 2 3 10 2 10" xfId="39112"/>
    <cellStyle name="Nota 2 3 2 3 10 2 11" xfId="43144"/>
    <cellStyle name="Nota 2 3 2 3 10 2 12" xfId="47176"/>
    <cellStyle name="Nota 2 3 2 3 10 2 13" xfId="51255"/>
    <cellStyle name="Nota 2 3 2 3 10 2 2" xfId="8870"/>
    <cellStyle name="Nota 2 3 2 3 10 2 2 10" xfId="45160"/>
    <cellStyle name="Nota 2 3 2 3 10 2 2 11" xfId="49192"/>
    <cellStyle name="Nota 2 3 2 3 10 2 2 12" xfId="53271"/>
    <cellStyle name="Nota 2 3 2 3 10 2 2 2" xfId="12904"/>
    <cellStyle name="Nota 2 3 2 3 10 2 2 3" xfId="16936"/>
    <cellStyle name="Nota 2 3 2 3 10 2 2 4" xfId="20968"/>
    <cellStyle name="Nota 2 3 2 3 10 2 2 5" xfId="25000"/>
    <cellStyle name="Nota 2 3 2 3 10 2 2 6" xfId="29032"/>
    <cellStyle name="Nota 2 3 2 3 10 2 2 7" xfId="33064"/>
    <cellStyle name="Nota 2 3 2 3 10 2 2 8" xfId="37096"/>
    <cellStyle name="Nota 2 3 2 3 10 2 2 9" xfId="41128"/>
    <cellStyle name="Nota 2 3 2 3 10 2 3" xfId="10888"/>
    <cellStyle name="Nota 2 3 2 3 10 2 4" xfId="14920"/>
    <cellStyle name="Nota 2 3 2 3 10 2 5" xfId="18952"/>
    <cellStyle name="Nota 2 3 2 3 10 2 6" xfId="22984"/>
    <cellStyle name="Nota 2 3 2 3 10 2 7" xfId="27016"/>
    <cellStyle name="Nota 2 3 2 3 10 2 8" xfId="31048"/>
    <cellStyle name="Nota 2 3 2 3 10 2 9" xfId="35080"/>
    <cellStyle name="Nota 2 3 2 3 10 3" xfId="7919"/>
    <cellStyle name="Nota 2 3 2 3 10 3 10" xfId="44209"/>
    <cellStyle name="Nota 2 3 2 3 10 3 11" xfId="48241"/>
    <cellStyle name="Nota 2 3 2 3 10 3 12" xfId="52320"/>
    <cellStyle name="Nota 2 3 2 3 10 3 2" xfId="11953"/>
    <cellStyle name="Nota 2 3 2 3 10 3 3" xfId="15985"/>
    <cellStyle name="Nota 2 3 2 3 10 3 4" xfId="20017"/>
    <cellStyle name="Nota 2 3 2 3 10 3 5" xfId="24049"/>
    <cellStyle name="Nota 2 3 2 3 10 3 6" xfId="28081"/>
    <cellStyle name="Nota 2 3 2 3 10 3 7" xfId="32113"/>
    <cellStyle name="Nota 2 3 2 3 10 3 8" xfId="36145"/>
    <cellStyle name="Nota 2 3 2 3 10 3 9" xfId="40177"/>
    <cellStyle name="Nota 2 3 2 3 10 4" xfId="9937"/>
    <cellStyle name="Nota 2 3 2 3 10 5" xfId="13969"/>
    <cellStyle name="Nota 2 3 2 3 10 6" xfId="18001"/>
    <cellStyle name="Nota 2 3 2 3 10 7" xfId="22033"/>
    <cellStyle name="Nota 2 3 2 3 10 8" xfId="26065"/>
    <cellStyle name="Nota 2 3 2 3 10 9" xfId="30097"/>
    <cellStyle name="Nota 2 3 2 3 11" xfId="4423"/>
    <cellStyle name="Nota 2 3 2 3 11 10" xfId="34267"/>
    <cellStyle name="Nota 2 3 2 3 11 11" xfId="38299"/>
    <cellStyle name="Nota 2 3 2 3 11 12" xfId="42331"/>
    <cellStyle name="Nota 2 3 2 3 11 13" xfId="46363"/>
    <cellStyle name="Nota 2 3 2 3 11 14" xfId="50442"/>
    <cellStyle name="Nota 2 3 2 3 11 2" xfId="6992"/>
    <cellStyle name="Nota 2 3 2 3 11 2 10" xfId="39250"/>
    <cellStyle name="Nota 2 3 2 3 11 2 11" xfId="43282"/>
    <cellStyle name="Nota 2 3 2 3 11 2 12" xfId="47314"/>
    <cellStyle name="Nota 2 3 2 3 11 2 13" xfId="51393"/>
    <cellStyle name="Nota 2 3 2 3 11 2 2" xfId="9008"/>
    <cellStyle name="Nota 2 3 2 3 11 2 2 10" xfId="45298"/>
    <cellStyle name="Nota 2 3 2 3 11 2 2 11" xfId="49330"/>
    <cellStyle name="Nota 2 3 2 3 11 2 2 12" xfId="53409"/>
    <cellStyle name="Nota 2 3 2 3 11 2 2 2" xfId="13042"/>
    <cellStyle name="Nota 2 3 2 3 11 2 2 3" xfId="17074"/>
    <cellStyle name="Nota 2 3 2 3 11 2 2 4" xfId="21106"/>
    <cellStyle name="Nota 2 3 2 3 11 2 2 5" xfId="25138"/>
    <cellStyle name="Nota 2 3 2 3 11 2 2 6" xfId="29170"/>
    <cellStyle name="Nota 2 3 2 3 11 2 2 7" xfId="33202"/>
    <cellStyle name="Nota 2 3 2 3 11 2 2 8" xfId="37234"/>
    <cellStyle name="Nota 2 3 2 3 11 2 2 9" xfId="41266"/>
    <cellStyle name="Nota 2 3 2 3 11 2 3" xfId="11026"/>
    <cellStyle name="Nota 2 3 2 3 11 2 4" xfId="15058"/>
    <cellStyle name="Nota 2 3 2 3 11 2 5" xfId="19090"/>
    <cellStyle name="Nota 2 3 2 3 11 2 6" xfId="23122"/>
    <cellStyle name="Nota 2 3 2 3 11 2 7" xfId="27154"/>
    <cellStyle name="Nota 2 3 2 3 11 2 8" xfId="31186"/>
    <cellStyle name="Nota 2 3 2 3 11 2 9" xfId="35218"/>
    <cellStyle name="Nota 2 3 2 3 11 3" xfId="8057"/>
    <cellStyle name="Nota 2 3 2 3 11 3 10" xfId="44347"/>
    <cellStyle name="Nota 2 3 2 3 11 3 11" xfId="48379"/>
    <cellStyle name="Nota 2 3 2 3 11 3 12" xfId="52458"/>
    <cellStyle name="Nota 2 3 2 3 11 3 2" xfId="12091"/>
    <cellStyle name="Nota 2 3 2 3 11 3 3" xfId="16123"/>
    <cellStyle name="Nota 2 3 2 3 11 3 4" xfId="20155"/>
    <cellStyle name="Nota 2 3 2 3 11 3 5" xfId="24187"/>
    <cellStyle name="Nota 2 3 2 3 11 3 6" xfId="28219"/>
    <cellStyle name="Nota 2 3 2 3 11 3 7" xfId="32251"/>
    <cellStyle name="Nota 2 3 2 3 11 3 8" xfId="36283"/>
    <cellStyle name="Nota 2 3 2 3 11 3 9" xfId="40315"/>
    <cellStyle name="Nota 2 3 2 3 11 4" xfId="10075"/>
    <cellStyle name="Nota 2 3 2 3 11 5" xfId="14107"/>
    <cellStyle name="Nota 2 3 2 3 11 6" xfId="18139"/>
    <cellStyle name="Nota 2 3 2 3 11 7" xfId="22171"/>
    <cellStyle name="Nota 2 3 2 3 11 8" xfId="26203"/>
    <cellStyle name="Nota 2 3 2 3 11 9" xfId="30235"/>
    <cellStyle name="Nota 2 3 2 3 12" xfId="4561"/>
    <cellStyle name="Nota 2 3 2 3 12 10" xfId="38437"/>
    <cellStyle name="Nota 2 3 2 3 12 11" xfId="42469"/>
    <cellStyle name="Nota 2 3 2 3 12 12" xfId="46501"/>
    <cellStyle name="Nota 2 3 2 3 12 13" xfId="50580"/>
    <cellStyle name="Nota 2 3 2 3 12 2" xfId="8195"/>
    <cellStyle name="Nota 2 3 2 3 12 2 10" xfId="44485"/>
    <cellStyle name="Nota 2 3 2 3 12 2 11" xfId="48517"/>
    <cellStyle name="Nota 2 3 2 3 12 2 12" xfId="52596"/>
    <cellStyle name="Nota 2 3 2 3 12 2 2" xfId="12229"/>
    <cellStyle name="Nota 2 3 2 3 12 2 3" xfId="16261"/>
    <cellStyle name="Nota 2 3 2 3 12 2 4" xfId="20293"/>
    <cellStyle name="Nota 2 3 2 3 12 2 5" xfId="24325"/>
    <cellStyle name="Nota 2 3 2 3 12 2 6" xfId="28357"/>
    <cellStyle name="Nota 2 3 2 3 12 2 7" xfId="32389"/>
    <cellStyle name="Nota 2 3 2 3 12 2 8" xfId="36421"/>
    <cellStyle name="Nota 2 3 2 3 12 2 9" xfId="40453"/>
    <cellStyle name="Nota 2 3 2 3 12 3" xfId="10213"/>
    <cellStyle name="Nota 2 3 2 3 12 4" xfId="14245"/>
    <cellStyle name="Nota 2 3 2 3 12 5" xfId="18277"/>
    <cellStyle name="Nota 2 3 2 3 12 6" xfId="22309"/>
    <cellStyle name="Nota 2 3 2 3 12 7" xfId="26341"/>
    <cellStyle name="Nota 2 3 2 3 12 8" xfId="30373"/>
    <cellStyle name="Nota 2 3 2 3 12 9" xfId="34405"/>
    <cellStyle name="Nota 2 3 2 3 13" xfId="289"/>
    <cellStyle name="Nota 2 3 2 3 13 10" xfId="37494"/>
    <cellStyle name="Nota 2 3 2 3 13 11" xfId="41526"/>
    <cellStyle name="Nota 2 3 2 3 13 12" xfId="45558"/>
    <cellStyle name="Nota 2 3 2 3 13 13" xfId="49636"/>
    <cellStyle name="Nota 2 3 2 3 13 2" xfId="7252"/>
    <cellStyle name="Nota 2 3 2 3 13 2 10" xfId="43542"/>
    <cellStyle name="Nota 2 3 2 3 13 2 11" xfId="47574"/>
    <cellStyle name="Nota 2 3 2 3 13 2 12" xfId="51653"/>
    <cellStyle name="Nota 2 3 2 3 13 2 2" xfId="11286"/>
    <cellStyle name="Nota 2 3 2 3 13 2 3" xfId="15318"/>
    <cellStyle name="Nota 2 3 2 3 13 2 4" xfId="19350"/>
    <cellStyle name="Nota 2 3 2 3 13 2 5" xfId="23382"/>
    <cellStyle name="Nota 2 3 2 3 13 2 6" xfId="27414"/>
    <cellStyle name="Nota 2 3 2 3 13 2 7" xfId="31446"/>
    <cellStyle name="Nota 2 3 2 3 13 2 8" xfId="35478"/>
    <cellStyle name="Nota 2 3 2 3 13 2 9" xfId="39510"/>
    <cellStyle name="Nota 2 3 2 3 13 3" xfId="9270"/>
    <cellStyle name="Nota 2 3 2 3 13 4" xfId="13302"/>
    <cellStyle name="Nota 2 3 2 3 13 5" xfId="17334"/>
    <cellStyle name="Nota 2 3 2 3 13 6" xfId="21366"/>
    <cellStyle name="Nota 2 3 2 3 13 7" xfId="25398"/>
    <cellStyle name="Nota 2 3 2 3 13 8" xfId="29430"/>
    <cellStyle name="Nota 2 3 2 3 13 9" xfId="33462"/>
    <cellStyle name="Nota 2 3 2 3 14" xfId="7130"/>
    <cellStyle name="Nota 2 3 2 3 14 10" xfId="43420"/>
    <cellStyle name="Nota 2 3 2 3 14 11" xfId="47452"/>
    <cellStyle name="Nota 2 3 2 3 14 12" xfId="51531"/>
    <cellStyle name="Nota 2 3 2 3 14 2" xfId="11164"/>
    <cellStyle name="Nota 2 3 2 3 14 3" xfId="15196"/>
    <cellStyle name="Nota 2 3 2 3 14 4" xfId="19228"/>
    <cellStyle name="Nota 2 3 2 3 14 5" xfId="23260"/>
    <cellStyle name="Nota 2 3 2 3 14 6" xfId="27292"/>
    <cellStyle name="Nota 2 3 2 3 14 7" xfId="31324"/>
    <cellStyle name="Nota 2 3 2 3 14 8" xfId="35356"/>
    <cellStyle name="Nota 2 3 2 3 14 9" xfId="39388"/>
    <cellStyle name="Nota 2 3 2 3 15" xfId="156"/>
    <cellStyle name="Nota 2 3 2 3 16" xfId="9148"/>
    <cellStyle name="Nota 2 3 2 3 17" xfId="13180"/>
    <cellStyle name="Nota 2 3 2 3 18" xfId="17212"/>
    <cellStyle name="Nota 2 3 2 3 19" xfId="21244"/>
    <cellStyle name="Nota 2 3 2 3 2" xfId="235"/>
    <cellStyle name="Nota 2 3 2 3 2 10" xfId="17281"/>
    <cellStyle name="Nota 2 3 2 3 2 11" xfId="21313"/>
    <cellStyle name="Nota 2 3 2 3 2 12" xfId="25345"/>
    <cellStyle name="Nota 2 3 2 3 2 13" xfId="29377"/>
    <cellStyle name="Nota 2 3 2 3 2 14" xfId="33409"/>
    <cellStyle name="Nota 2 3 2 3 2 15" xfId="37441"/>
    <cellStyle name="Nota 2 3 2 3 2 16" xfId="41473"/>
    <cellStyle name="Nota 2 3 2 3 2 17" xfId="45505"/>
    <cellStyle name="Nota 2 3 2 3 2 18" xfId="49583"/>
    <cellStyle name="Nota 2 3 2 3 2 2" xfId="1477"/>
    <cellStyle name="Nota 2 3 2 3 2 2 2" xfId="1577"/>
    <cellStyle name="Nota 2 3 2 3 2 2 2 2" xfId="5277"/>
    <cellStyle name="Nota 2 3 2 3 2 2 3" xfId="5231"/>
    <cellStyle name="Nota 2 3 2 3 2 3" xfId="4353"/>
    <cellStyle name="Nota 2 3 2 3 2 3 10" xfId="34198"/>
    <cellStyle name="Nota 2 3 2 3 2 3 11" xfId="38230"/>
    <cellStyle name="Nota 2 3 2 3 2 3 12" xfId="42262"/>
    <cellStyle name="Nota 2 3 2 3 2 3 13" xfId="46294"/>
    <cellStyle name="Nota 2 3 2 3 2 3 14" xfId="50373"/>
    <cellStyle name="Nota 2 3 2 3 2 3 2" xfId="6923"/>
    <cellStyle name="Nota 2 3 2 3 2 3 2 10" xfId="39181"/>
    <cellStyle name="Nota 2 3 2 3 2 3 2 11" xfId="43213"/>
    <cellStyle name="Nota 2 3 2 3 2 3 2 12" xfId="47245"/>
    <cellStyle name="Nota 2 3 2 3 2 3 2 13" xfId="51324"/>
    <cellStyle name="Nota 2 3 2 3 2 3 2 2" xfId="8939"/>
    <cellStyle name="Nota 2 3 2 3 2 3 2 2 10" xfId="45229"/>
    <cellStyle name="Nota 2 3 2 3 2 3 2 2 11" xfId="49261"/>
    <cellStyle name="Nota 2 3 2 3 2 3 2 2 12" xfId="53340"/>
    <cellStyle name="Nota 2 3 2 3 2 3 2 2 2" xfId="12973"/>
    <cellStyle name="Nota 2 3 2 3 2 3 2 2 3" xfId="17005"/>
    <cellStyle name="Nota 2 3 2 3 2 3 2 2 4" xfId="21037"/>
    <cellStyle name="Nota 2 3 2 3 2 3 2 2 5" xfId="25069"/>
    <cellStyle name="Nota 2 3 2 3 2 3 2 2 6" xfId="29101"/>
    <cellStyle name="Nota 2 3 2 3 2 3 2 2 7" xfId="33133"/>
    <cellStyle name="Nota 2 3 2 3 2 3 2 2 8" xfId="37165"/>
    <cellStyle name="Nota 2 3 2 3 2 3 2 2 9" xfId="41197"/>
    <cellStyle name="Nota 2 3 2 3 2 3 2 3" xfId="10957"/>
    <cellStyle name="Nota 2 3 2 3 2 3 2 4" xfId="14989"/>
    <cellStyle name="Nota 2 3 2 3 2 3 2 5" xfId="19021"/>
    <cellStyle name="Nota 2 3 2 3 2 3 2 6" xfId="23053"/>
    <cellStyle name="Nota 2 3 2 3 2 3 2 7" xfId="27085"/>
    <cellStyle name="Nota 2 3 2 3 2 3 2 8" xfId="31117"/>
    <cellStyle name="Nota 2 3 2 3 2 3 2 9" xfId="35149"/>
    <cellStyle name="Nota 2 3 2 3 2 3 3" xfId="7988"/>
    <cellStyle name="Nota 2 3 2 3 2 3 3 10" xfId="44278"/>
    <cellStyle name="Nota 2 3 2 3 2 3 3 11" xfId="48310"/>
    <cellStyle name="Nota 2 3 2 3 2 3 3 12" xfId="52389"/>
    <cellStyle name="Nota 2 3 2 3 2 3 3 2" xfId="12022"/>
    <cellStyle name="Nota 2 3 2 3 2 3 3 3" xfId="16054"/>
    <cellStyle name="Nota 2 3 2 3 2 3 3 4" xfId="20086"/>
    <cellStyle name="Nota 2 3 2 3 2 3 3 5" xfId="24118"/>
    <cellStyle name="Nota 2 3 2 3 2 3 3 6" xfId="28150"/>
    <cellStyle name="Nota 2 3 2 3 2 3 3 7" xfId="32182"/>
    <cellStyle name="Nota 2 3 2 3 2 3 3 8" xfId="36214"/>
    <cellStyle name="Nota 2 3 2 3 2 3 3 9" xfId="40246"/>
    <cellStyle name="Nota 2 3 2 3 2 3 4" xfId="10006"/>
    <cellStyle name="Nota 2 3 2 3 2 3 5" xfId="14038"/>
    <cellStyle name="Nota 2 3 2 3 2 3 6" xfId="18070"/>
    <cellStyle name="Nota 2 3 2 3 2 3 7" xfId="22102"/>
    <cellStyle name="Nota 2 3 2 3 2 3 8" xfId="26134"/>
    <cellStyle name="Nota 2 3 2 3 2 3 9" xfId="30166"/>
    <cellStyle name="Nota 2 3 2 3 2 4" xfId="4492"/>
    <cellStyle name="Nota 2 3 2 3 2 4 10" xfId="34336"/>
    <cellStyle name="Nota 2 3 2 3 2 4 11" xfId="38368"/>
    <cellStyle name="Nota 2 3 2 3 2 4 12" xfId="42400"/>
    <cellStyle name="Nota 2 3 2 3 2 4 13" xfId="46432"/>
    <cellStyle name="Nota 2 3 2 3 2 4 14" xfId="50511"/>
    <cellStyle name="Nota 2 3 2 3 2 4 2" xfId="7061"/>
    <cellStyle name="Nota 2 3 2 3 2 4 2 10" xfId="39319"/>
    <cellStyle name="Nota 2 3 2 3 2 4 2 11" xfId="43351"/>
    <cellStyle name="Nota 2 3 2 3 2 4 2 12" xfId="47383"/>
    <cellStyle name="Nota 2 3 2 3 2 4 2 13" xfId="51462"/>
    <cellStyle name="Nota 2 3 2 3 2 4 2 2" xfId="9077"/>
    <cellStyle name="Nota 2 3 2 3 2 4 2 2 10" xfId="45367"/>
    <cellStyle name="Nota 2 3 2 3 2 4 2 2 11" xfId="49399"/>
    <cellStyle name="Nota 2 3 2 3 2 4 2 2 12" xfId="53478"/>
    <cellStyle name="Nota 2 3 2 3 2 4 2 2 2" xfId="13111"/>
    <cellStyle name="Nota 2 3 2 3 2 4 2 2 3" xfId="17143"/>
    <cellStyle name="Nota 2 3 2 3 2 4 2 2 4" xfId="21175"/>
    <cellStyle name="Nota 2 3 2 3 2 4 2 2 5" xfId="25207"/>
    <cellStyle name="Nota 2 3 2 3 2 4 2 2 6" xfId="29239"/>
    <cellStyle name="Nota 2 3 2 3 2 4 2 2 7" xfId="33271"/>
    <cellStyle name="Nota 2 3 2 3 2 4 2 2 8" xfId="37303"/>
    <cellStyle name="Nota 2 3 2 3 2 4 2 2 9" xfId="41335"/>
    <cellStyle name="Nota 2 3 2 3 2 4 2 3" xfId="11095"/>
    <cellStyle name="Nota 2 3 2 3 2 4 2 4" xfId="15127"/>
    <cellStyle name="Nota 2 3 2 3 2 4 2 5" xfId="19159"/>
    <cellStyle name="Nota 2 3 2 3 2 4 2 6" xfId="23191"/>
    <cellStyle name="Nota 2 3 2 3 2 4 2 7" xfId="27223"/>
    <cellStyle name="Nota 2 3 2 3 2 4 2 8" xfId="31255"/>
    <cellStyle name="Nota 2 3 2 3 2 4 2 9" xfId="35287"/>
    <cellStyle name="Nota 2 3 2 3 2 4 3" xfId="8126"/>
    <cellStyle name="Nota 2 3 2 3 2 4 3 10" xfId="44416"/>
    <cellStyle name="Nota 2 3 2 3 2 4 3 11" xfId="48448"/>
    <cellStyle name="Nota 2 3 2 3 2 4 3 12" xfId="52527"/>
    <cellStyle name="Nota 2 3 2 3 2 4 3 2" xfId="12160"/>
    <cellStyle name="Nota 2 3 2 3 2 4 3 3" xfId="16192"/>
    <cellStyle name="Nota 2 3 2 3 2 4 3 4" xfId="20224"/>
    <cellStyle name="Nota 2 3 2 3 2 4 3 5" xfId="24256"/>
    <cellStyle name="Nota 2 3 2 3 2 4 3 6" xfId="28288"/>
    <cellStyle name="Nota 2 3 2 3 2 4 3 7" xfId="32320"/>
    <cellStyle name="Nota 2 3 2 3 2 4 3 8" xfId="36352"/>
    <cellStyle name="Nota 2 3 2 3 2 4 3 9" xfId="40384"/>
    <cellStyle name="Nota 2 3 2 3 2 4 4" xfId="10144"/>
    <cellStyle name="Nota 2 3 2 3 2 4 5" xfId="14176"/>
    <cellStyle name="Nota 2 3 2 3 2 4 6" xfId="18208"/>
    <cellStyle name="Nota 2 3 2 3 2 4 7" xfId="22240"/>
    <cellStyle name="Nota 2 3 2 3 2 4 8" xfId="26272"/>
    <cellStyle name="Nota 2 3 2 3 2 4 9" xfId="30304"/>
    <cellStyle name="Nota 2 3 2 3 2 5" xfId="4632"/>
    <cellStyle name="Nota 2 3 2 3 2 5 10" xfId="38506"/>
    <cellStyle name="Nota 2 3 2 3 2 5 11" xfId="42538"/>
    <cellStyle name="Nota 2 3 2 3 2 5 12" xfId="46570"/>
    <cellStyle name="Nota 2 3 2 3 2 5 13" xfId="50649"/>
    <cellStyle name="Nota 2 3 2 3 2 5 2" xfId="8264"/>
    <cellStyle name="Nota 2 3 2 3 2 5 2 10" xfId="44554"/>
    <cellStyle name="Nota 2 3 2 3 2 5 2 11" xfId="48586"/>
    <cellStyle name="Nota 2 3 2 3 2 5 2 12" xfId="52665"/>
    <cellStyle name="Nota 2 3 2 3 2 5 2 2" xfId="12298"/>
    <cellStyle name="Nota 2 3 2 3 2 5 2 3" xfId="16330"/>
    <cellStyle name="Nota 2 3 2 3 2 5 2 4" xfId="20362"/>
    <cellStyle name="Nota 2 3 2 3 2 5 2 5" xfId="24394"/>
    <cellStyle name="Nota 2 3 2 3 2 5 2 6" xfId="28426"/>
    <cellStyle name="Nota 2 3 2 3 2 5 2 7" xfId="32458"/>
    <cellStyle name="Nota 2 3 2 3 2 5 2 8" xfId="36490"/>
    <cellStyle name="Nota 2 3 2 3 2 5 2 9" xfId="40522"/>
    <cellStyle name="Nota 2 3 2 3 2 5 3" xfId="10282"/>
    <cellStyle name="Nota 2 3 2 3 2 5 4" xfId="14314"/>
    <cellStyle name="Nota 2 3 2 3 2 5 5" xfId="18346"/>
    <cellStyle name="Nota 2 3 2 3 2 5 6" xfId="22378"/>
    <cellStyle name="Nota 2 3 2 3 2 5 7" xfId="26410"/>
    <cellStyle name="Nota 2 3 2 3 2 5 8" xfId="30442"/>
    <cellStyle name="Nota 2 3 2 3 2 5 9" xfId="34474"/>
    <cellStyle name="Nota 2 3 2 3 2 6" xfId="1299"/>
    <cellStyle name="Nota 2 3 2 3 2 7" xfId="7199"/>
    <cellStyle name="Nota 2 3 2 3 2 7 10" xfId="43489"/>
    <cellStyle name="Nota 2 3 2 3 2 7 11" xfId="47521"/>
    <cellStyle name="Nota 2 3 2 3 2 7 12" xfId="51600"/>
    <cellStyle name="Nota 2 3 2 3 2 7 2" xfId="11233"/>
    <cellStyle name="Nota 2 3 2 3 2 7 3" xfId="15265"/>
    <cellStyle name="Nota 2 3 2 3 2 7 4" xfId="19297"/>
    <cellStyle name="Nota 2 3 2 3 2 7 5" xfId="23329"/>
    <cellStyle name="Nota 2 3 2 3 2 7 6" xfId="27361"/>
    <cellStyle name="Nota 2 3 2 3 2 7 7" xfId="31393"/>
    <cellStyle name="Nota 2 3 2 3 2 7 8" xfId="35425"/>
    <cellStyle name="Nota 2 3 2 3 2 7 9" xfId="39457"/>
    <cellStyle name="Nota 2 3 2 3 2 8" xfId="9217"/>
    <cellStyle name="Nota 2 3 2 3 2 9" xfId="13249"/>
    <cellStyle name="Nota 2 3 2 3 20" xfId="25276"/>
    <cellStyle name="Nota 2 3 2 3 21" xfId="29308"/>
    <cellStyle name="Nota 2 3 2 3 22" xfId="33340"/>
    <cellStyle name="Nota 2 3 2 3 23" xfId="37372"/>
    <cellStyle name="Nota 2 3 2 3 24" xfId="41404"/>
    <cellStyle name="Nota 2 3 2 3 25" xfId="45436"/>
    <cellStyle name="Nota 2 3 2 3 26" xfId="49514"/>
    <cellStyle name="Nota 2 3 2 3 3" xfId="980"/>
    <cellStyle name="Nota 2 3 2 3 3 2" xfId="5008"/>
    <cellStyle name="Nota 2 3 2 3 4" xfId="359"/>
    <cellStyle name="Nota 2 3 2 3 4 10" xfId="33532"/>
    <cellStyle name="Nota 2 3 2 3 4 11" xfId="37564"/>
    <cellStyle name="Nota 2 3 2 3 4 12" xfId="41596"/>
    <cellStyle name="Nota 2 3 2 3 4 13" xfId="45628"/>
    <cellStyle name="Nota 2 3 2 3 4 14" xfId="49706"/>
    <cellStyle name="Nota 2 3 2 3 4 2" xfId="4667"/>
    <cellStyle name="Nota 2 3 2 3 4 2 10" xfId="38541"/>
    <cellStyle name="Nota 2 3 2 3 4 2 11" xfId="42573"/>
    <cellStyle name="Nota 2 3 2 3 4 2 12" xfId="46605"/>
    <cellStyle name="Nota 2 3 2 3 4 2 13" xfId="50684"/>
    <cellStyle name="Nota 2 3 2 3 4 2 2" xfId="8299"/>
    <cellStyle name="Nota 2 3 2 3 4 2 2 10" xfId="44589"/>
    <cellStyle name="Nota 2 3 2 3 4 2 2 11" xfId="48621"/>
    <cellStyle name="Nota 2 3 2 3 4 2 2 12" xfId="52700"/>
    <cellStyle name="Nota 2 3 2 3 4 2 2 2" xfId="12333"/>
    <cellStyle name="Nota 2 3 2 3 4 2 2 3" xfId="16365"/>
    <cellStyle name="Nota 2 3 2 3 4 2 2 4" xfId="20397"/>
    <cellStyle name="Nota 2 3 2 3 4 2 2 5" xfId="24429"/>
    <cellStyle name="Nota 2 3 2 3 4 2 2 6" xfId="28461"/>
    <cellStyle name="Nota 2 3 2 3 4 2 2 7" xfId="32493"/>
    <cellStyle name="Nota 2 3 2 3 4 2 2 8" xfId="36525"/>
    <cellStyle name="Nota 2 3 2 3 4 2 2 9" xfId="40557"/>
    <cellStyle name="Nota 2 3 2 3 4 2 3" xfId="10317"/>
    <cellStyle name="Nota 2 3 2 3 4 2 4" xfId="14349"/>
    <cellStyle name="Nota 2 3 2 3 4 2 5" xfId="18381"/>
    <cellStyle name="Nota 2 3 2 3 4 2 6" xfId="22413"/>
    <cellStyle name="Nota 2 3 2 3 4 2 7" xfId="26445"/>
    <cellStyle name="Nota 2 3 2 3 4 2 8" xfId="30477"/>
    <cellStyle name="Nota 2 3 2 3 4 2 9" xfId="34509"/>
    <cellStyle name="Nota 2 3 2 3 4 3" xfId="7322"/>
    <cellStyle name="Nota 2 3 2 3 4 3 10" xfId="43612"/>
    <cellStyle name="Nota 2 3 2 3 4 3 11" xfId="47644"/>
    <cellStyle name="Nota 2 3 2 3 4 3 12" xfId="51723"/>
    <cellStyle name="Nota 2 3 2 3 4 3 2" xfId="11356"/>
    <cellStyle name="Nota 2 3 2 3 4 3 3" xfId="15388"/>
    <cellStyle name="Nota 2 3 2 3 4 3 4" xfId="19420"/>
    <cellStyle name="Nota 2 3 2 3 4 3 5" xfId="23452"/>
    <cellStyle name="Nota 2 3 2 3 4 3 6" xfId="27484"/>
    <cellStyle name="Nota 2 3 2 3 4 3 7" xfId="31516"/>
    <cellStyle name="Nota 2 3 2 3 4 3 8" xfId="35548"/>
    <cellStyle name="Nota 2 3 2 3 4 3 9" xfId="39580"/>
    <cellStyle name="Nota 2 3 2 3 4 4" xfId="9340"/>
    <cellStyle name="Nota 2 3 2 3 4 5" xfId="13372"/>
    <cellStyle name="Nota 2 3 2 3 4 6" xfId="17404"/>
    <cellStyle name="Nota 2 3 2 3 4 7" xfId="21436"/>
    <cellStyle name="Nota 2 3 2 3 4 8" xfId="25468"/>
    <cellStyle name="Nota 2 3 2 3 4 9" xfId="29500"/>
    <cellStyle name="Nota 2 3 2 3 5" xfId="1669"/>
    <cellStyle name="Nota 2 3 2 3 5 10" xfId="33630"/>
    <cellStyle name="Nota 2 3 2 3 5 11" xfId="37662"/>
    <cellStyle name="Nota 2 3 2 3 5 12" xfId="41694"/>
    <cellStyle name="Nota 2 3 2 3 5 13" xfId="45726"/>
    <cellStyle name="Nota 2 3 2 3 5 14" xfId="49804"/>
    <cellStyle name="Nota 2 3 2 3 5 2" xfId="5345"/>
    <cellStyle name="Nota 2 3 2 3 5 2 10" xfId="38613"/>
    <cellStyle name="Nota 2 3 2 3 5 2 11" xfId="42645"/>
    <cellStyle name="Nota 2 3 2 3 5 2 12" xfId="46677"/>
    <cellStyle name="Nota 2 3 2 3 5 2 13" xfId="50756"/>
    <cellStyle name="Nota 2 3 2 3 5 2 2" xfId="8371"/>
    <cellStyle name="Nota 2 3 2 3 5 2 2 10" xfId="44661"/>
    <cellStyle name="Nota 2 3 2 3 5 2 2 11" xfId="48693"/>
    <cellStyle name="Nota 2 3 2 3 5 2 2 12" xfId="52772"/>
    <cellStyle name="Nota 2 3 2 3 5 2 2 2" xfId="12405"/>
    <cellStyle name="Nota 2 3 2 3 5 2 2 3" xfId="16437"/>
    <cellStyle name="Nota 2 3 2 3 5 2 2 4" xfId="20469"/>
    <cellStyle name="Nota 2 3 2 3 5 2 2 5" xfId="24501"/>
    <cellStyle name="Nota 2 3 2 3 5 2 2 6" xfId="28533"/>
    <cellStyle name="Nota 2 3 2 3 5 2 2 7" xfId="32565"/>
    <cellStyle name="Nota 2 3 2 3 5 2 2 8" xfId="36597"/>
    <cellStyle name="Nota 2 3 2 3 5 2 2 9" xfId="40629"/>
    <cellStyle name="Nota 2 3 2 3 5 2 3" xfId="10389"/>
    <cellStyle name="Nota 2 3 2 3 5 2 4" xfId="14421"/>
    <cellStyle name="Nota 2 3 2 3 5 2 5" xfId="18453"/>
    <cellStyle name="Nota 2 3 2 3 5 2 6" xfId="22485"/>
    <cellStyle name="Nota 2 3 2 3 5 2 7" xfId="26517"/>
    <cellStyle name="Nota 2 3 2 3 5 2 8" xfId="30549"/>
    <cellStyle name="Nota 2 3 2 3 5 2 9" xfId="34581"/>
    <cellStyle name="Nota 2 3 2 3 5 3" xfId="7420"/>
    <cellStyle name="Nota 2 3 2 3 5 3 10" xfId="43710"/>
    <cellStyle name="Nota 2 3 2 3 5 3 11" xfId="47742"/>
    <cellStyle name="Nota 2 3 2 3 5 3 12" xfId="51821"/>
    <cellStyle name="Nota 2 3 2 3 5 3 2" xfId="11454"/>
    <cellStyle name="Nota 2 3 2 3 5 3 3" xfId="15486"/>
    <cellStyle name="Nota 2 3 2 3 5 3 4" xfId="19518"/>
    <cellStyle name="Nota 2 3 2 3 5 3 5" xfId="23550"/>
    <cellStyle name="Nota 2 3 2 3 5 3 6" xfId="27582"/>
    <cellStyle name="Nota 2 3 2 3 5 3 7" xfId="31614"/>
    <cellStyle name="Nota 2 3 2 3 5 3 8" xfId="35646"/>
    <cellStyle name="Nota 2 3 2 3 5 3 9" xfId="39678"/>
    <cellStyle name="Nota 2 3 2 3 5 4" xfId="9438"/>
    <cellStyle name="Nota 2 3 2 3 5 5" xfId="13470"/>
    <cellStyle name="Nota 2 3 2 3 5 6" xfId="17502"/>
    <cellStyle name="Nota 2 3 2 3 5 7" xfId="21534"/>
    <cellStyle name="Nota 2 3 2 3 5 8" xfId="25566"/>
    <cellStyle name="Nota 2 3 2 3 5 9" xfId="29598"/>
    <cellStyle name="Nota 2 3 2 3 6" xfId="1743"/>
    <cellStyle name="Nota 2 3 2 3 6 10" xfId="33699"/>
    <cellStyle name="Nota 2 3 2 3 6 11" xfId="37731"/>
    <cellStyle name="Nota 2 3 2 3 6 12" xfId="41763"/>
    <cellStyle name="Nota 2 3 2 3 6 13" xfId="45795"/>
    <cellStyle name="Nota 2 3 2 3 6 14" xfId="49873"/>
    <cellStyle name="Nota 2 3 2 3 6 2" xfId="5414"/>
    <cellStyle name="Nota 2 3 2 3 6 2 10" xfId="38682"/>
    <cellStyle name="Nota 2 3 2 3 6 2 11" xfId="42714"/>
    <cellStyle name="Nota 2 3 2 3 6 2 12" xfId="46746"/>
    <cellStyle name="Nota 2 3 2 3 6 2 13" xfId="50825"/>
    <cellStyle name="Nota 2 3 2 3 6 2 2" xfId="8440"/>
    <cellStyle name="Nota 2 3 2 3 6 2 2 10" xfId="44730"/>
    <cellStyle name="Nota 2 3 2 3 6 2 2 11" xfId="48762"/>
    <cellStyle name="Nota 2 3 2 3 6 2 2 12" xfId="52841"/>
    <cellStyle name="Nota 2 3 2 3 6 2 2 2" xfId="12474"/>
    <cellStyle name="Nota 2 3 2 3 6 2 2 3" xfId="16506"/>
    <cellStyle name="Nota 2 3 2 3 6 2 2 4" xfId="20538"/>
    <cellStyle name="Nota 2 3 2 3 6 2 2 5" xfId="24570"/>
    <cellStyle name="Nota 2 3 2 3 6 2 2 6" xfId="28602"/>
    <cellStyle name="Nota 2 3 2 3 6 2 2 7" xfId="32634"/>
    <cellStyle name="Nota 2 3 2 3 6 2 2 8" xfId="36666"/>
    <cellStyle name="Nota 2 3 2 3 6 2 2 9" xfId="40698"/>
    <cellStyle name="Nota 2 3 2 3 6 2 3" xfId="10458"/>
    <cellStyle name="Nota 2 3 2 3 6 2 4" xfId="14490"/>
    <cellStyle name="Nota 2 3 2 3 6 2 5" xfId="18522"/>
    <cellStyle name="Nota 2 3 2 3 6 2 6" xfId="22554"/>
    <cellStyle name="Nota 2 3 2 3 6 2 7" xfId="26586"/>
    <cellStyle name="Nota 2 3 2 3 6 2 8" xfId="30618"/>
    <cellStyle name="Nota 2 3 2 3 6 2 9" xfId="34650"/>
    <cellStyle name="Nota 2 3 2 3 6 3" xfId="7489"/>
    <cellStyle name="Nota 2 3 2 3 6 3 10" xfId="43779"/>
    <cellStyle name="Nota 2 3 2 3 6 3 11" xfId="47811"/>
    <cellStyle name="Nota 2 3 2 3 6 3 12" xfId="51890"/>
    <cellStyle name="Nota 2 3 2 3 6 3 2" xfId="11523"/>
    <cellStyle name="Nota 2 3 2 3 6 3 3" xfId="15555"/>
    <cellStyle name="Nota 2 3 2 3 6 3 4" xfId="19587"/>
    <cellStyle name="Nota 2 3 2 3 6 3 5" xfId="23619"/>
    <cellStyle name="Nota 2 3 2 3 6 3 6" xfId="27651"/>
    <cellStyle name="Nota 2 3 2 3 6 3 7" xfId="31683"/>
    <cellStyle name="Nota 2 3 2 3 6 3 8" xfId="35715"/>
    <cellStyle name="Nota 2 3 2 3 6 3 9" xfId="39747"/>
    <cellStyle name="Nota 2 3 2 3 6 4" xfId="9507"/>
    <cellStyle name="Nota 2 3 2 3 6 5" xfId="13539"/>
    <cellStyle name="Nota 2 3 2 3 6 6" xfId="17571"/>
    <cellStyle name="Nota 2 3 2 3 6 7" xfId="21603"/>
    <cellStyle name="Nota 2 3 2 3 6 8" xfId="25635"/>
    <cellStyle name="Nota 2 3 2 3 6 9" xfId="29667"/>
    <cellStyle name="Nota 2 3 2 3 7" xfId="4065"/>
    <cellStyle name="Nota 2 3 2 3 7 10" xfId="33922"/>
    <cellStyle name="Nota 2 3 2 3 7 11" xfId="37954"/>
    <cellStyle name="Nota 2 3 2 3 7 12" xfId="41986"/>
    <cellStyle name="Nota 2 3 2 3 7 13" xfId="46018"/>
    <cellStyle name="Nota 2 3 2 3 7 14" xfId="50096"/>
    <cellStyle name="Nota 2 3 2 3 7 2" xfId="6647"/>
    <cellStyle name="Nota 2 3 2 3 7 2 10" xfId="38905"/>
    <cellStyle name="Nota 2 3 2 3 7 2 11" xfId="42937"/>
    <cellStyle name="Nota 2 3 2 3 7 2 12" xfId="46969"/>
    <cellStyle name="Nota 2 3 2 3 7 2 13" xfId="51048"/>
    <cellStyle name="Nota 2 3 2 3 7 2 2" xfId="8663"/>
    <cellStyle name="Nota 2 3 2 3 7 2 2 10" xfId="44953"/>
    <cellStyle name="Nota 2 3 2 3 7 2 2 11" xfId="48985"/>
    <cellStyle name="Nota 2 3 2 3 7 2 2 12" xfId="53064"/>
    <cellStyle name="Nota 2 3 2 3 7 2 2 2" xfId="12697"/>
    <cellStyle name="Nota 2 3 2 3 7 2 2 3" xfId="16729"/>
    <cellStyle name="Nota 2 3 2 3 7 2 2 4" xfId="20761"/>
    <cellStyle name="Nota 2 3 2 3 7 2 2 5" xfId="24793"/>
    <cellStyle name="Nota 2 3 2 3 7 2 2 6" xfId="28825"/>
    <cellStyle name="Nota 2 3 2 3 7 2 2 7" xfId="32857"/>
    <cellStyle name="Nota 2 3 2 3 7 2 2 8" xfId="36889"/>
    <cellStyle name="Nota 2 3 2 3 7 2 2 9" xfId="40921"/>
    <cellStyle name="Nota 2 3 2 3 7 2 3" xfId="10681"/>
    <cellStyle name="Nota 2 3 2 3 7 2 4" xfId="14713"/>
    <cellStyle name="Nota 2 3 2 3 7 2 5" xfId="18745"/>
    <cellStyle name="Nota 2 3 2 3 7 2 6" xfId="22777"/>
    <cellStyle name="Nota 2 3 2 3 7 2 7" xfId="26809"/>
    <cellStyle name="Nota 2 3 2 3 7 2 8" xfId="30841"/>
    <cellStyle name="Nota 2 3 2 3 7 2 9" xfId="34873"/>
    <cellStyle name="Nota 2 3 2 3 7 3" xfId="7712"/>
    <cellStyle name="Nota 2 3 2 3 7 3 10" xfId="44002"/>
    <cellStyle name="Nota 2 3 2 3 7 3 11" xfId="48034"/>
    <cellStyle name="Nota 2 3 2 3 7 3 12" xfId="52113"/>
    <cellStyle name="Nota 2 3 2 3 7 3 2" xfId="11746"/>
    <cellStyle name="Nota 2 3 2 3 7 3 3" xfId="15778"/>
    <cellStyle name="Nota 2 3 2 3 7 3 4" xfId="19810"/>
    <cellStyle name="Nota 2 3 2 3 7 3 5" xfId="23842"/>
    <cellStyle name="Nota 2 3 2 3 7 3 6" xfId="27874"/>
    <cellStyle name="Nota 2 3 2 3 7 3 7" xfId="31906"/>
    <cellStyle name="Nota 2 3 2 3 7 3 8" xfId="35938"/>
    <cellStyle name="Nota 2 3 2 3 7 3 9" xfId="39970"/>
    <cellStyle name="Nota 2 3 2 3 7 4" xfId="9730"/>
    <cellStyle name="Nota 2 3 2 3 7 5" xfId="13762"/>
    <cellStyle name="Nota 2 3 2 3 7 6" xfId="17794"/>
    <cellStyle name="Nota 2 3 2 3 7 7" xfId="21826"/>
    <cellStyle name="Nota 2 3 2 3 7 8" xfId="25858"/>
    <cellStyle name="Nota 2 3 2 3 7 9" xfId="29890"/>
    <cellStyle name="Nota 2 3 2 3 8" xfId="4135"/>
    <cellStyle name="Nota 2 3 2 3 8 10" xfId="33991"/>
    <cellStyle name="Nota 2 3 2 3 8 11" xfId="38023"/>
    <cellStyle name="Nota 2 3 2 3 8 12" xfId="42055"/>
    <cellStyle name="Nota 2 3 2 3 8 13" xfId="46087"/>
    <cellStyle name="Nota 2 3 2 3 8 14" xfId="50165"/>
    <cellStyle name="Nota 2 3 2 3 8 2" xfId="6716"/>
    <cellStyle name="Nota 2 3 2 3 8 2 10" xfId="38974"/>
    <cellStyle name="Nota 2 3 2 3 8 2 11" xfId="43006"/>
    <cellStyle name="Nota 2 3 2 3 8 2 12" xfId="47038"/>
    <cellStyle name="Nota 2 3 2 3 8 2 13" xfId="51117"/>
    <cellStyle name="Nota 2 3 2 3 8 2 2" xfId="8732"/>
    <cellStyle name="Nota 2 3 2 3 8 2 2 10" xfId="45022"/>
    <cellStyle name="Nota 2 3 2 3 8 2 2 11" xfId="49054"/>
    <cellStyle name="Nota 2 3 2 3 8 2 2 12" xfId="53133"/>
    <cellStyle name="Nota 2 3 2 3 8 2 2 2" xfId="12766"/>
    <cellStyle name="Nota 2 3 2 3 8 2 2 3" xfId="16798"/>
    <cellStyle name="Nota 2 3 2 3 8 2 2 4" xfId="20830"/>
    <cellStyle name="Nota 2 3 2 3 8 2 2 5" xfId="24862"/>
    <cellStyle name="Nota 2 3 2 3 8 2 2 6" xfId="28894"/>
    <cellStyle name="Nota 2 3 2 3 8 2 2 7" xfId="32926"/>
    <cellStyle name="Nota 2 3 2 3 8 2 2 8" xfId="36958"/>
    <cellStyle name="Nota 2 3 2 3 8 2 2 9" xfId="40990"/>
    <cellStyle name="Nota 2 3 2 3 8 2 3" xfId="10750"/>
    <cellStyle name="Nota 2 3 2 3 8 2 4" xfId="14782"/>
    <cellStyle name="Nota 2 3 2 3 8 2 5" xfId="18814"/>
    <cellStyle name="Nota 2 3 2 3 8 2 6" xfId="22846"/>
    <cellStyle name="Nota 2 3 2 3 8 2 7" xfId="26878"/>
    <cellStyle name="Nota 2 3 2 3 8 2 8" xfId="30910"/>
    <cellStyle name="Nota 2 3 2 3 8 2 9" xfId="34942"/>
    <cellStyle name="Nota 2 3 2 3 8 3" xfId="7781"/>
    <cellStyle name="Nota 2 3 2 3 8 3 10" xfId="44071"/>
    <cellStyle name="Nota 2 3 2 3 8 3 11" xfId="48103"/>
    <cellStyle name="Nota 2 3 2 3 8 3 12" xfId="52182"/>
    <cellStyle name="Nota 2 3 2 3 8 3 2" xfId="11815"/>
    <cellStyle name="Nota 2 3 2 3 8 3 3" xfId="15847"/>
    <cellStyle name="Nota 2 3 2 3 8 3 4" xfId="19879"/>
    <cellStyle name="Nota 2 3 2 3 8 3 5" xfId="23911"/>
    <cellStyle name="Nota 2 3 2 3 8 3 6" xfId="27943"/>
    <cellStyle name="Nota 2 3 2 3 8 3 7" xfId="31975"/>
    <cellStyle name="Nota 2 3 2 3 8 3 8" xfId="36007"/>
    <cellStyle name="Nota 2 3 2 3 8 3 9" xfId="40039"/>
    <cellStyle name="Nota 2 3 2 3 8 4" xfId="9799"/>
    <cellStyle name="Nota 2 3 2 3 8 5" xfId="13831"/>
    <cellStyle name="Nota 2 3 2 3 8 6" xfId="17863"/>
    <cellStyle name="Nota 2 3 2 3 8 7" xfId="21895"/>
    <cellStyle name="Nota 2 3 2 3 8 8" xfId="25927"/>
    <cellStyle name="Nota 2 3 2 3 8 9" xfId="29959"/>
    <cellStyle name="Nota 2 3 2 3 9" xfId="4204"/>
    <cellStyle name="Nota 2 3 2 3 9 10" xfId="34060"/>
    <cellStyle name="Nota 2 3 2 3 9 11" xfId="38092"/>
    <cellStyle name="Nota 2 3 2 3 9 12" xfId="42124"/>
    <cellStyle name="Nota 2 3 2 3 9 13" xfId="46156"/>
    <cellStyle name="Nota 2 3 2 3 9 14" xfId="50234"/>
    <cellStyle name="Nota 2 3 2 3 9 2" xfId="6785"/>
    <cellStyle name="Nota 2 3 2 3 9 2 10" xfId="39043"/>
    <cellStyle name="Nota 2 3 2 3 9 2 11" xfId="43075"/>
    <cellStyle name="Nota 2 3 2 3 9 2 12" xfId="47107"/>
    <cellStyle name="Nota 2 3 2 3 9 2 13" xfId="51186"/>
    <cellStyle name="Nota 2 3 2 3 9 2 2" xfId="8801"/>
    <cellStyle name="Nota 2 3 2 3 9 2 2 10" xfId="45091"/>
    <cellStyle name="Nota 2 3 2 3 9 2 2 11" xfId="49123"/>
    <cellStyle name="Nota 2 3 2 3 9 2 2 12" xfId="53202"/>
    <cellStyle name="Nota 2 3 2 3 9 2 2 2" xfId="12835"/>
    <cellStyle name="Nota 2 3 2 3 9 2 2 3" xfId="16867"/>
    <cellStyle name="Nota 2 3 2 3 9 2 2 4" xfId="20899"/>
    <cellStyle name="Nota 2 3 2 3 9 2 2 5" xfId="24931"/>
    <cellStyle name="Nota 2 3 2 3 9 2 2 6" xfId="28963"/>
    <cellStyle name="Nota 2 3 2 3 9 2 2 7" xfId="32995"/>
    <cellStyle name="Nota 2 3 2 3 9 2 2 8" xfId="37027"/>
    <cellStyle name="Nota 2 3 2 3 9 2 2 9" xfId="41059"/>
    <cellStyle name="Nota 2 3 2 3 9 2 3" xfId="10819"/>
    <cellStyle name="Nota 2 3 2 3 9 2 4" xfId="14851"/>
    <cellStyle name="Nota 2 3 2 3 9 2 5" xfId="18883"/>
    <cellStyle name="Nota 2 3 2 3 9 2 6" xfId="22915"/>
    <cellStyle name="Nota 2 3 2 3 9 2 7" xfId="26947"/>
    <cellStyle name="Nota 2 3 2 3 9 2 8" xfId="30979"/>
    <cellStyle name="Nota 2 3 2 3 9 2 9" xfId="35011"/>
    <cellStyle name="Nota 2 3 2 3 9 3" xfId="7850"/>
    <cellStyle name="Nota 2 3 2 3 9 3 10" xfId="44140"/>
    <cellStyle name="Nota 2 3 2 3 9 3 11" xfId="48172"/>
    <cellStyle name="Nota 2 3 2 3 9 3 12" xfId="52251"/>
    <cellStyle name="Nota 2 3 2 3 9 3 2" xfId="11884"/>
    <cellStyle name="Nota 2 3 2 3 9 3 3" xfId="15916"/>
    <cellStyle name="Nota 2 3 2 3 9 3 4" xfId="19948"/>
    <cellStyle name="Nota 2 3 2 3 9 3 5" xfId="23980"/>
    <cellStyle name="Nota 2 3 2 3 9 3 6" xfId="28012"/>
    <cellStyle name="Nota 2 3 2 3 9 3 7" xfId="32044"/>
    <cellStyle name="Nota 2 3 2 3 9 3 8" xfId="36076"/>
    <cellStyle name="Nota 2 3 2 3 9 3 9" xfId="40108"/>
    <cellStyle name="Nota 2 3 2 3 9 4" xfId="9868"/>
    <cellStyle name="Nota 2 3 2 3 9 5" xfId="13900"/>
    <cellStyle name="Nota 2 3 2 3 9 6" xfId="17932"/>
    <cellStyle name="Nota 2 3 2 3 9 7" xfId="21964"/>
    <cellStyle name="Nota 2 3 2 3 9 8" xfId="25996"/>
    <cellStyle name="Nota 2 3 2 3 9 9" xfId="30028"/>
    <cellStyle name="Nota 2 3 2 4" xfId="62"/>
    <cellStyle name="Nota 2 3 2 4 10" xfId="4404"/>
    <cellStyle name="Nota 2 3 2 4 10 10" xfId="34248"/>
    <cellStyle name="Nota 2 3 2 4 10 11" xfId="38280"/>
    <cellStyle name="Nota 2 3 2 4 10 12" xfId="42312"/>
    <cellStyle name="Nota 2 3 2 4 10 13" xfId="46344"/>
    <cellStyle name="Nota 2 3 2 4 10 14" xfId="50423"/>
    <cellStyle name="Nota 2 3 2 4 10 2" xfId="6973"/>
    <cellStyle name="Nota 2 3 2 4 10 2 10" xfId="39231"/>
    <cellStyle name="Nota 2 3 2 4 10 2 11" xfId="43263"/>
    <cellStyle name="Nota 2 3 2 4 10 2 12" xfId="47295"/>
    <cellStyle name="Nota 2 3 2 4 10 2 13" xfId="51374"/>
    <cellStyle name="Nota 2 3 2 4 10 2 2" xfId="8989"/>
    <cellStyle name="Nota 2 3 2 4 10 2 2 10" xfId="45279"/>
    <cellStyle name="Nota 2 3 2 4 10 2 2 11" xfId="49311"/>
    <cellStyle name="Nota 2 3 2 4 10 2 2 12" xfId="53390"/>
    <cellStyle name="Nota 2 3 2 4 10 2 2 2" xfId="13023"/>
    <cellStyle name="Nota 2 3 2 4 10 2 2 3" xfId="17055"/>
    <cellStyle name="Nota 2 3 2 4 10 2 2 4" xfId="21087"/>
    <cellStyle name="Nota 2 3 2 4 10 2 2 5" xfId="25119"/>
    <cellStyle name="Nota 2 3 2 4 10 2 2 6" xfId="29151"/>
    <cellStyle name="Nota 2 3 2 4 10 2 2 7" xfId="33183"/>
    <cellStyle name="Nota 2 3 2 4 10 2 2 8" xfId="37215"/>
    <cellStyle name="Nota 2 3 2 4 10 2 2 9" xfId="41247"/>
    <cellStyle name="Nota 2 3 2 4 10 2 3" xfId="11007"/>
    <cellStyle name="Nota 2 3 2 4 10 2 4" xfId="15039"/>
    <cellStyle name="Nota 2 3 2 4 10 2 5" xfId="19071"/>
    <cellStyle name="Nota 2 3 2 4 10 2 6" xfId="23103"/>
    <cellStyle name="Nota 2 3 2 4 10 2 7" xfId="27135"/>
    <cellStyle name="Nota 2 3 2 4 10 2 8" xfId="31167"/>
    <cellStyle name="Nota 2 3 2 4 10 2 9" xfId="35199"/>
    <cellStyle name="Nota 2 3 2 4 10 3" xfId="8038"/>
    <cellStyle name="Nota 2 3 2 4 10 3 10" xfId="44328"/>
    <cellStyle name="Nota 2 3 2 4 10 3 11" xfId="48360"/>
    <cellStyle name="Nota 2 3 2 4 10 3 12" xfId="52439"/>
    <cellStyle name="Nota 2 3 2 4 10 3 2" xfId="12072"/>
    <cellStyle name="Nota 2 3 2 4 10 3 3" xfId="16104"/>
    <cellStyle name="Nota 2 3 2 4 10 3 4" xfId="20136"/>
    <cellStyle name="Nota 2 3 2 4 10 3 5" xfId="24168"/>
    <cellStyle name="Nota 2 3 2 4 10 3 6" xfId="28200"/>
    <cellStyle name="Nota 2 3 2 4 10 3 7" xfId="32232"/>
    <cellStyle name="Nota 2 3 2 4 10 3 8" xfId="36264"/>
    <cellStyle name="Nota 2 3 2 4 10 3 9" xfId="40296"/>
    <cellStyle name="Nota 2 3 2 4 10 4" xfId="10056"/>
    <cellStyle name="Nota 2 3 2 4 10 5" xfId="14088"/>
    <cellStyle name="Nota 2 3 2 4 10 6" xfId="18120"/>
    <cellStyle name="Nota 2 3 2 4 10 7" xfId="22152"/>
    <cellStyle name="Nota 2 3 2 4 10 8" xfId="26184"/>
    <cellStyle name="Nota 2 3 2 4 10 9" xfId="30216"/>
    <cellStyle name="Nota 2 3 2 4 11" xfId="4542"/>
    <cellStyle name="Nota 2 3 2 4 11 10" xfId="38418"/>
    <cellStyle name="Nota 2 3 2 4 11 11" xfId="42450"/>
    <cellStyle name="Nota 2 3 2 4 11 12" xfId="46482"/>
    <cellStyle name="Nota 2 3 2 4 11 13" xfId="50561"/>
    <cellStyle name="Nota 2 3 2 4 11 2" xfId="8176"/>
    <cellStyle name="Nota 2 3 2 4 11 2 10" xfId="44466"/>
    <cellStyle name="Nota 2 3 2 4 11 2 11" xfId="48498"/>
    <cellStyle name="Nota 2 3 2 4 11 2 12" xfId="52577"/>
    <cellStyle name="Nota 2 3 2 4 11 2 2" xfId="12210"/>
    <cellStyle name="Nota 2 3 2 4 11 2 3" xfId="16242"/>
    <cellStyle name="Nota 2 3 2 4 11 2 4" xfId="20274"/>
    <cellStyle name="Nota 2 3 2 4 11 2 5" xfId="24306"/>
    <cellStyle name="Nota 2 3 2 4 11 2 6" xfId="28338"/>
    <cellStyle name="Nota 2 3 2 4 11 2 7" xfId="32370"/>
    <cellStyle name="Nota 2 3 2 4 11 2 8" xfId="36402"/>
    <cellStyle name="Nota 2 3 2 4 11 2 9" xfId="40434"/>
    <cellStyle name="Nota 2 3 2 4 11 3" xfId="10194"/>
    <cellStyle name="Nota 2 3 2 4 11 4" xfId="14226"/>
    <cellStyle name="Nota 2 3 2 4 11 5" xfId="18258"/>
    <cellStyle name="Nota 2 3 2 4 11 6" xfId="22290"/>
    <cellStyle name="Nota 2 3 2 4 11 7" xfId="26322"/>
    <cellStyle name="Nota 2 3 2 4 11 8" xfId="30354"/>
    <cellStyle name="Nota 2 3 2 4 11 9" xfId="34386"/>
    <cellStyle name="Nota 2 3 2 4 12" xfId="340"/>
    <cellStyle name="Nota 2 3 2 4 12 10" xfId="37545"/>
    <cellStyle name="Nota 2 3 2 4 12 11" xfId="41577"/>
    <cellStyle name="Nota 2 3 2 4 12 12" xfId="45609"/>
    <cellStyle name="Nota 2 3 2 4 12 13" xfId="49687"/>
    <cellStyle name="Nota 2 3 2 4 12 2" xfId="7303"/>
    <cellStyle name="Nota 2 3 2 4 12 2 10" xfId="43593"/>
    <cellStyle name="Nota 2 3 2 4 12 2 11" xfId="47625"/>
    <cellStyle name="Nota 2 3 2 4 12 2 12" xfId="51704"/>
    <cellStyle name="Nota 2 3 2 4 12 2 2" xfId="11337"/>
    <cellStyle name="Nota 2 3 2 4 12 2 3" xfId="15369"/>
    <cellStyle name="Nota 2 3 2 4 12 2 4" xfId="19401"/>
    <cellStyle name="Nota 2 3 2 4 12 2 5" xfId="23433"/>
    <cellStyle name="Nota 2 3 2 4 12 2 6" xfId="27465"/>
    <cellStyle name="Nota 2 3 2 4 12 2 7" xfId="31497"/>
    <cellStyle name="Nota 2 3 2 4 12 2 8" xfId="35529"/>
    <cellStyle name="Nota 2 3 2 4 12 2 9" xfId="39561"/>
    <cellStyle name="Nota 2 3 2 4 12 3" xfId="9321"/>
    <cellStyle name="Nota 2 3 2 4 12 4" xfId="13353"/>
    <cellStyle name="Nota 2 3 2 4 12 5" xfId="17385"/>
    <cellStyle name="Nota 2 3 2 4 12 6" xfId="21417"/>
    <cellStyle name="Nota 2 3 2 4 12 7" xfId="25449"/>
    <cellStyle name="Nota 2 3 2 4 12 8" xfId="29481"/>
    <cellStyle name="Nota 2 3 2 4 12 9" xfId="33513"/>
    <cellStyle name="Nota 2 3 2 4 13" xfId="7111"/>
    <cellStyle name="Nota 2 3 2 4 13 10" xfId="43401"/>
    <cellStyle name="Nota 2 3 2 4 13 11" xfId="47433"/>
    <cellStyle name="Nota 2 3 2 4 13 12" xfId="51512"/>
    <cellStyle name="Nota 2 3 2 4 13 2" xfId="11145"/>
    <cellStyle name="Nota 2 3 2 4 13 3" xfId="15177"/>
    <cellStyle name="Nota 2 3 2 4 13 4" xfId="19209"/>
    <cellStyle name="Nota 2 3 2 4 13 5" xfId="23241"/>
    <cellStyle name="Nota 2 3 2 4 13 6" xfId="27273"/>
    <cellStyle name="Nota 2 3 2 4 13 7" xfId="31305"/>
    <cellStyle name="Nota 2 3 2 4 13 8" xfId="35337"/>
    <cellStyle name="Nota 2 3 2 4 13 9" xfId="39369"/>
    <cellStyle name="Nota 2 3 2 4 14" xfId="137"/>
    <cellStyle name="Nota 2 3 2 4 15" xfId="9129"/>
    <cellStyle name="Nota 2 3 2 4 16" xfId="13161"/>
    <cellStyle name="Nota 2 3 2 4 17" xfId="17193"/>
    <cellStyle name="Nota 2 3 2 4 18" xfId="21225"/>
    <cellStyle name="Nota 2 3 2 4 19" xfId="25257"/>
    <cellStyle name="Nota 2 3 2 4 2" xfId="216"/>
    <cellStyle name="Nota 2 3 2 4 2 10" xfId="17262"/>
    <cellStyle name="Nota 2 3 2 4 2 11" xfId="21294"/>
    <cellStyle name="Nota 2 3 2 4 2 12" xfId="25326"/>
    <cellStyle name="Nota 2 3 2 4 2 13" xfId="29358"/>
    <cellStyle name="Nota 2 3 2 4 2 14" xfId="33390"/>
    <cellStyle name="Nota 2 3 2 4 2 15" xfId="37422"/>
    <cellStyle name="Nota 2 3 2 4 2 16" xfId="41454"/>
    <cellStyle name="Nota 2 3 2 4 2 17" xfId="45486"/>
    <cellStyle name="Nota 2 3 2 4 2 18" xfId="49564"/>
    <cellStyle name="Nota 2 3 2 4 2 2" xfId="1559"/>
    <cellStyle name="Nota 2 3 2 4 2 2 2" xfId="5271"/>
    <cellStyle name="Nota 2 3 2 4 2 3" xfId="4334"/>
    <cellStyle name="Nota 2 3 2 4 2 3 10" xfId="34179"/>
    <cellStyle name="Nota 2 3 2 4 2 3 11" xfId="38211"/>
    <cellStyle name="Nota 2 3 2 4 2 3 12" xfId="42243"/>
    <cellStyle name="Nota 2 3 2 4 2 3 13" xfId="46275"/>
    <cellStyle name="Nota 2 3 2 4 2 3 14" xfId="50354"/>
    <cellStyle name="Nota 2 3 2 4 2 3 2" xfId="6904"/>
    <cellStyle name="Nota 2 3 2 4 2 3 2 10" xfId="39162"/>
    <cellStyle name="Nota 2 3 2 4 2 3 2 11" xfId="43194"/>
    <cellStyle name="Nota 2 3 2 4 2 3 2 12" xfId="47226"/>
    <cellStyle name="Nota 2 3 2 4 2 3 2 13" xfId="51305"/>
    <cellStyle name="Nota 2 3 2 4 2 3 2 2" xfId="8920"/>
    <cellStyle name="Nota 2 3 2 4 2 3 2 2 10" xfId="45210"/>
    <cellStyle name="Nota 2 3 2 4 2 3 2 2 11" xfId="49242"/>
    <cellStyle name="Nota 2 3 2 4 2 3 2 2 12" xfId="53321"/>
    <cellStyle name="Nota 2 3 2 4 2 3 2 2 2" xfId="12954"/>
    <cellStyle name="Nota 2 3 2 4 2 3 2 2 3" xfId="16986"/>
    <cellStyle name="Nota 2 3 2 4 2 3 2 2 4" xfId="21018"/>
    <cellStyle name="Nota 2 3 2 4 2 3 2 2 5" xfId="25050"/>
    <cellStyle name="Nota 2 3 2 4 2 3 2 2 6" xfId="29082"/>
    <cellStyle name="Nota 2 3 2 4 2 3 2 2 7" xfId="33114"/>
    <cellStyle name="Nota 2 3 2 4 2 3 2 2 8" xfId="37146"/>
    <cellStyle name="Nota 2 3 2 4 2 3 2 2 9" xfId="41178"/>
    <cellStyle name="Nota 2 3 2 4 2 3 2 3" xfId="10938"/>
    <cellStyle name="Nota 2 3 2 4 2 3 2 4" xfId="14970"/>
    <cellStyle name="Nota 2 3 2 4 2 3 2 5" xfId="19002"/>
    <cellStyle name="Nota 2 3 2 4 2 3 2 6" xfId="23034"/>
    <cellStyle name="Nota 2 3 2 4 2 3 2 7" xfId="27066"/>
    <cellStyle name="Nota 2 3 2 4 2 3 2 8" xfId="31098"/>
    <cellStyle name="Nota 2 3 2 4 2 3 2 9" xfId="35130"/>
    <cellStyle name="Nota 2 3 2 4 2 3 3" xfId="7969"/>
    <cellStyle name="Nota 2 3 2 4 2 3 3 10" xfId="44259"/>
    <cellStyle name="Nota 2 3 2 4 2 3 3 11" xfId="48291"/>
    <cellStyle name="Nota 2 3 2 4 2 3 3 12" xfId="52370"/>
    <cellStyle name="Nota 2 3 2 4 2 3 3 2" xfId="12003"/>
    <cellStyle name="Nota 2 3 2 4 2 3 3 3" xfId="16035"/>
    <cellStyle name="Nota 2 3 2 4 2 3 3 4" xfId="20067"/>
    <cellStyle name="Nota 2 3 2 4 2 3 3 5" xfId="24099"/>
    <cellStyle name="Nota 2 3 2 4 2 3 3 6" xfId="28131"/>
    <cellStyle name="Nota 2 3 2 4 2 3 3 7" xfId="32163"/>
    <cellStyle name="Nota 2 3 2 4 2 3 3 8" xfId="36195"/>
    <cellStyle name="Nota 2 3 2 4 2 3 3 9" xfId="40227"/>
    <cellStyle name="Nota 2 3 2 4 2 3 4" xfId="9987"/>
    <cellStyle name="Nota 2 3 2 4 2 3 5" xfId="14019"/>
    <cellStyle name="Nota 2 3 2 4 2 3 6" xfId="18051"/>
    <cellStyle name="Nota 2 3 2 4 2 3 7" xfId="22083"/>
    <cellStyle name="Nota 2 3 2 4 2 3 8" xfId="26115"/>
    <cellStyle name="Nota 2 3 2 4 2 3 9" xfId="30147"/>
    <cellStyle name="Nota 2 3 2 4 2 4" xfId="4473"/>
    <cellStyle name="Nota 2 3 2 4 2 4 10" xfId="34317"/>
    <cellStyle name="Nota 2 3 2 4 2 4 11" xfId="38349"/>
    <cellStyle name="Nota 2 3 2 4 2 4 12" xfId="42381"/>
    <cellStyle name="Nota 2 3 2 4 2 4 13" xfId="46413"/>
    <cellStyle name="Nota 2 3 2 4 2 4 14" xfId="50492"/>
    <cellStyle name="Nota 2 3 2 4 2 4 2" xfId="7042"/>
    <cellStyle name="Nota 2 3 2 4 2 4 2 10" xfId="39300"/>
    <cellStyle name="Nota 2 3 2 4 2 4 2 11" xfId="43332"/>
    <cellStyle name="Nota 2 3 2 4 2 4 2 12" xfId="47364"/>
    <cellStyle name="Nota 2 3 2 4 2 4 2 13" xfId="51443"/>
    <cellStyle name="Nota 2 3 2 4 2 4 2 2" xfId="9058"/>
    <cellStyle name="Nota 2 3 2 4 2 4 2 2 10" xfId="45348"/>
    <cellStyle name="Nota 2 3 2 4 2 4 2 2 11" xfId="49380"/>
    <cellStyle name="Nota 2 3 2 4 2 4 2 2 12" xfId="53459"/>
    <cellStyle name="Nota 2 3 2 4 2 4 2 2 2" xfId="13092"/>
    <cellStyle name="Nota 2 3 2 4 2 4 2 2 3" xfId="17124"/>
    <cellStyle name="Nota 2 3 2 4 2 4 2 2 4" xfId="21156"/>
    <cellStyle name="Nota 2 3 2 4 2 4 2 2 5" xfId="25188"/>
    <cellStyle name="Nota 2 3 2 4 2 4 2 2 6" xfId="29220"/>
    <cellStyle name="Nota 2 3 2 4 2 4 2 2 7" xfId="33252"/>
    <cellStyle name="Nota 2 3 2 4 2 4 2 2 8" xfId="37284"/>
    <cellStyle name="Nota 2 3 2 4 2 4 2 2 9" xfId="41316"/>
    <cellStyle name="Nota 2 3 2 4 2 4 2 3" xfId="11076"/>
    <cellStyle name="Nota 2 3 2 4 2 4 2 4" xfId="15108"/>
    <cellStyle name="Nota 2 3 2 4 2 4 2 5" xfId="19140"/>
    <cellStyle name="Nota 2 3 2 4 2 4 2 6" xfId="23172"/>
    <cellStyle name="Nota 2 3 2 4 2 4 2 7" xfId="27204"/>
    <cellStyle name="Nota 2 3 2 4 2 4 2 8" xfId="31236"/>
    <cellStyle name="Nota 2 3 2 4 2 4 2 9" xfId="35268"/>
    <cellStyle name="Nota 2 3 2 4 2 4 3" xfId="8107"/>
    <cellStyle name="Nota 2 3 2 4 2 4 3 10" xfId="44397"/>
    <cellStyle name="Nota 2 3 2 4 2 4 3 11" xfId="48429"/>
    <cellStyle name="Nota 2 3 2 4 2 4 3 12" xfId="52508"/>
    <cellStyle name="Nota 2 3 2 4 2 4 3 2" xfId="12141"/>
    <cellStyle name="Nota 2 3 2 4 2 4 3 3" xfId="16173"/>
    <cellStyle name="Nota 2 3 2 4 2 4 3 4" xfId="20205"/>
    <cellStyle name="Nota 2 3 2 4 2 4 3 5" xfId="24237"/>
    <cellStyle name="Nota 2 3 2 4 2 4 3 6" xfId="28269"/>
    <cellStyle name="Nota 2 3 2 4 2 4 3 7" xfId="32301"/>
    <cellStyle name="Nota 2 3 2 4 2 4 3 8" xfId="36333"/>
    <cellStyle name="Nota 2 3 2 4 2 4 3 9" xfId="40365"/>
    <cellStyle name="Nota 2 3 2 4 2 4 4" xfId="10125"/>
    <cellStyle name="Nota 2 3 2 4 2 4 5" xfId="14157"/>
    <cellStyle name="Nota 2 3 2 4 2 4 6" xfId="18189"/>
    <cellStyle name="Nota 2 3 2 4 2 4 7" xfId="22221"/>
    <cellStyle name="Nota 2 3 2 4 2 4 8" xfId="26253"/>
    <cellStyle name="Nota 2 3 2 4 2 4 9" xfId="30285"/>
    <cellStyle name="Nota 2 3 2 4 2 5" xfId="4613"/>
    <cellStyle name="Nota 2 3 2 4 2 5 10" xfId="38487"/>
    <cellStyle name="Nota 2 3 2 4 2 5 11" xfId="42519"/>
    <cellStyle name="Nota 2 3 2 4 2 5 12" xfId="46551"/>
    <cellStyle name="Nota 2 3 2 4 2 5 13" xfId="50630"/>
    <cellStyle name="Nota 2 3 2 4 2 5 2" xfId="8245"/>
    <cellStyle name="Nota 2 3 2 4 2 5 2 10" xfId="44535"/>
    <cellStyle name="Nota 2 3 2 4 2 5 2 11" xfId="48567"/>
    <cellStyle name="Nota 2 3 2 4 2 5 2 12" xfId="52646"/>
    <cellStyle name="Nota 2 3 2 4 2 5 2 2" xfId="12279"/>
    <cellStyle name="Nota 2 3 2 4 2 5 2 3" xfId="16311"/>
    <cellStyle name="Nota 2 3 2 4 2 5 2 4" xfId="20343"/>
    <cellStyle name="Nota 2 3 2 4 2 5 2 5" xfId="24375"/>
    <cellStyle name="Nota 2 3 2 4 2 5 2 6" xfId="28407"/>
    <cellStyle name="Nota 2 3 2 4 2 5 2 7" xfId="32439"/>
    <cellStyle name="Nota 2 3 2 4 2 5 2 8" xfId="36471"/>
    <cellStyle name="Nota 2 3 2 4 2 5 2 9" xfId="40503"/>
    <cellStyle name="Nota 2 3 2 4 2 5 3" xfId="10263"/>
    <cellStyle name="Nota 2 3 2 4 2 5 4" xfId="14295"/>
    <cellStyle name="Nota 2 3 2 4 2 5 5" xfId="18327"/>
    <cellStyle name="Nota 2 3 2 4 2 5 6" xfId="22359"/>
    <cellStyle name="Nota 2 3 2 4 2 5 7" xfId="26391"/>
    <cellStyle name="Nota 2 3 2 4 2 5 8" xfId="30423"/>
    <cellStyle name="Nota 2 3 2 4 2 5 9" xfId="34455"/>
    <cellStyle name="Nota 2 3 2 4 2 6" xfId="1459"/>
    <cellStyle name="Nota 2 3 2 4 2 7" xfId="7180"/>
    <cellStyle name="Nota 2 3 2 4 2 7 10" xfId="43470"/>
    <cellStyle name="Nota 2 3 2 4 2 7 11" xfId="47502"/>
    <cellStyle name="Nota 2 3 2 4 2 7 12" xfId="51581"/>
    <cellStyle name="Nota 2 3 2 4 2 7 2" xfId="11214"/>
    <cellStyle name="Nota 2 3 2 4 2 7 3" xfId="15246"/>
    <cellStyle name="Nota 2 3 2 4 2 7 4" xfId="19278"/>
    <cellStyle name="Nota 2 3 2 4 2 7 5" xfId="23310"/>
    <cellStyle name="Nota 2 3 2 4 2 7 6" xfId="27342"/>
    <cellStyle name="Nota 2 3 2 4 2 7 7" xfId="31374"/>
    <cellStyle name="Nota 2 3 2 4 2 7 8" xfId="35406"/>
    <cellStyle name="Nota 2 3 2 4 2 7 9" xfId="39438"/>
    <cellStyle name="Nota 2 3 2 4 2 8" xfId="9198"/>
    <cellStyle name="Nota 2 3 2 4 2 9" xfId="13230"/>
    <cellStyle name="Nota 2 3 2 4 20" xfId="29289"/>
    <cellStyle name="Nota 2 3 2 4 21" xfId="33321"/>
    <cellStyle name="Nota 2 3 2 4 22" xfId="37353"/>
    <cellStyle name="Nota 2 3 2 4 23" xfId="41385"/>
    <cellStyle name="Nota 2 3 2 4 24" xfId="45417"/>
    <cellStyle name="Nota 2 3 2 4 25" xfId="49495"/>
    <cellStyle name="Nota 2 3 2 4 3" xfId="1300"/>
    <cellStyle name="Nota 2 3 2 4 3 2" xfId="5103"/>
    <cellStyle name="Nota 2 3 2 4 4" xfId="1650"/>
    <cellStyle name="Nota 2 3 2 4 4 10" xfId="33611"/>
    <cellStyle name="Nota 2 3 2 4 4 11" xfId="37643"/>
    <cellStyle name="Nota 2 3 2 4 4 12" xfId="41675"/>
    <cellStyle name="Nota 2 3 2 4 4 13" xfId="45707"/>
    <cellStyle name="Nota 2 3 2 4 4 14" xfId="49785"/>
    <cellStyle name="Nota 2 3 2 4 4 2" xfId="5328"/>
    <cellStyle name="Nota 2 3 2 4 4 2 10" xfId="38596"/>
    <cellStyle name="Nota 2 3 2 4 4 2 11" xfId="42628"/>
    <cellStyle name="Nota 2 3 2 4 4 2 12" xfId="46660"/>
    <cellStyle name="Nota 2 3 2 4 4 2 13" xfId="50739"/>
    <cellStyle name="Nota 2 3 2 4 4 2 2" xfId="8354"/>
    <cellStyle name="Nota 2 3 2 4 4 2 2 10" xfId="44644"/>
    <cellStyle name="Nota 2 3 2 4 4 2 2 11" xfId="48676"/>
    <cellStyle name="Nota 2 3 2 4 4 2 2 12" xfId="52755"/>
    <cellStyle name="Nota 2 3 2 4 4 2 2 2" xfId="12388"/>
    <cellStyle name="Nota 2 3 2 4 4 2 2 3" xfId="16420"/>
    <cellStyle name="Nota 2 3 2 4 4 2 2 4" xfId="20452"/>
    <cellStyle name="Nota 2 3 2 4 4 2 2 5" xfId="24484"/>
    <cellStyle name="Nota 2 3 2 4 4 2 2 6" xfId="28516"/>
    <cellStyle name="Nota 2 3 2 4 4 2 2 7" xfId="32548"/>
    <cellStyle name="Nota 2 3 2 4 4 2 2 8" xfId="36580"/>
    <cellStyle name="Nota 2 3 2 4 4 2 2 9" xfId="40612"/>
    <cellStyle name="Nota 2 3 2 4 4 2 3" xfId="10372"/>
    <cellStyle name="Nota 2 3 2 4 4 2 4" xfId="14404"/>
    <cellStyle name="Nota 2 3 2 4 4 2 5" xfId="18436"/>
    <cellStyle name="Nota 2 3 2 4 4 2 6" xfId="22468"/>
    <cellStyle name="Nota 2 3 2 4 4 2 7" xfId="26500"/>
    <cellStyle name="Nota 2 3 2 4 4 2 8" xfId="30532"/>
    <cellStyle name="Nota 2 3 2 4 4 2 9" xfId="34564"/>
    <cellStyle name="Nota 2 3 2 4 4 3" xfId="7401"/>
    <cellStyle name="Nota 2 3 2 4 4 3 10" xfId="43691"/>
    <cellStyle name="Nota 2 3 2 4 4 3 11" xfId="47723"/>
    <cellStyle name="Nota 2 3 2 4 4 3 12" xfId="51802"/>
    <cellStyle name="Nota 2 3 2 4 4 3 2" xfId="11435"/>
    <cellStyle name="Nota 2 3 2 4 4 3 3" xfId="15467"/>
    <cellStyle name="Nota 2 3 2 4 4 3 4" xfId="19499"/>
    <cellStyle name="Nota 2 3 2 4 4 3 5" xfId="23531"/>
    <cellStyle name="Nota 2 3 2 4 4 3 6" xfId="27563"/>
    <cellStyle name="Nota 2 3 2 4 4 3 7" xfId="31595"/>
    <cellStyle name="Nota 2 3 2 4 4 3 8" xfId="35627"/>
    <cellStyle name="Nota 2 3 2 4 4 3 9" xfId="39659"/>
    <cellStyle name="Nota 2 3 2 4 4 4" xfId="9419"/>
    <cellStyle name="Nota 2 3 2 4 4 5" xfId="13451"/>
    <cellStyle name="Nota 2 3 2 4 4 6" xfId="17483"/>
    <cellStyle name="Nota 2 3 2 4 4 7" xfId="21515"/>
    <cellStyle name="Nota 2 3 2 4 4 8" xfId="25547"/>
    <cellStyle name="Nota 2 3 2 4 4 9" xfId="29579"/>
    <cellStyle name="Nota 2 3 2 4 5" xfId="1724"/>
    <cellStyle name="Nota 2 3 2 4 5 10" xfId="33680"/>
    <cellStyle name="Nota 2 3 2 4 5 11" xfId="37712"/>
    <cellStyle name="Nota 2 3 2 4 5 12" xfId="41744"/>
    <cellStyle name="Nota 2 3 2 4 5 13" xfId="45776"/>
    <cellStyle name="Nota 2 3 2 4 5 14" xfId="49854"/>
    <cellStyle name="Nota 2 3 2 4 5 2" xfId="5395"/>
    <cellStyle name="Nota 2 3 2 4 5 2 10" xfId="38663"/>
    <cellStyle name="Nota 2 3 2 4 5 2 11" xfId="42695"/>
    <cellStyle name="Nota 2 3 2 4 5 2 12" xfId="46727"/>
    <cellStyle name="Nota 2 3 2 4 5 2 13" xfId="50806"/>
    <cellStyle name="Nota 2 3 2 4 5 2 2" xfId="8421"/>
    <cellStyle name="Nota 2 3 2 4 5 2 2 10" xfId="44711"/>
    <cellStyle name="Nota 2 3 2 4 5 2 2 11" xfId="48743"/>
    <cellStyle name="Nota 2 3 2 4 5 2 2 12" xfId="52822"/>
    <cellStyle name="Nota 2 3 2 4 5 2 2 2" xfId="12455"/>
    <cellStyle name="Nota 2 3 2 4 5 2 2 3" xfId="16487"/>
    <cellStyle name="Nota 2 3 2 4 5 2 2 4" xfId="20519"/>
    <cellStyle name="Nota 2 3 2 4 5 2 2 5" xfId="24551"/>
    <cellStyle name="Nota 2 3 2 4 5 2 2 6" xfId="28583"/>
    <cellStyle name="Nota 2 3 2 4 5 2 2 7" xfId="32615"/>
    <cellStyle name="Nota 2 3 2 4 5 2 2 8" xfId="36647"/>
    <cellStyle name="Nota 2 3 2 4 5 2 2 9" xfId="40679"/>
    <cellStyle name="Nota 2 3 2 4 5 2 3" xfId="10439"/>
    <cellStyle name="Nota 2 3 2 4 5 2 4" xfId="14471"/>
    <cellStyle name="Nota 2 3 2 4 5 2 5" xfId="18503"/>
    <cellStyle name="Nota 2 3 2 4 5 2 6" xfId="22535"/>
    <cellStyle name="Nota 2 3 2 4 5 2 7" xfId="26567"/>
    <cellStyle name="Nota 2 3 2 4 5 2 8" xfId="30599"/>
    <cellStyle name="Nota 2 3 2 4 5 2 9" xfId="34631"/>
    <cellStyle name="Nota 2 3 2 4 5 3" xfId="7470"/>
    <cellStyle name="Nota 2 3 2 4 5 3 10" xfId="43760"/>
    <cellStyle name="Nota 2 3 2 4 5 3 11" xfId="47792"/>
    <cellStyle name="Nota 2 3 2 4 5 3 12" xfId="51871"/>
    <cellStyle name="Nota 2 3 2 4 5 3 2" xfId="11504"/>
    <cellStyle name="Nota 2 3 2 4 5 3 3" xfId="15536"/>
    <cellStyle name="Nota 2 3 2 4 5 3 4" xfId="19568"/>
    <cellStyle name="Nota 2 3 2 4 5 3 5" xfId="23600"/>
    <cellStyle name="Nota 2 3 2 4 5 3 6" xfId="27632"/>
    <cellStyle name="Nota 2 3 2 4 5 3 7" xfId="31664"/>
    <cellStyle name="Nota 2 3 2 4 5 3 8" xfId="35696"/>
    <cellStyle name="Nota 2 3 2 4 5 3 9" xfId="39728"/>
    <cellStyle name="Nota 2 3 2 4 5 4" xfId="9488"/>
    <cellStyle name="Nota 2 3 2 4 5 5" xfId="13520"/>
    <cellStyle name="Nota 2 3 2 4 5 6" xfId="17552"/>
    <cellStyle name="Nota 2 3 2 4 5 7" xfId="21584"/>
    <cellStyle name="Nota 2 3 2 4 5 8" xfId="25616"/>
    <cellStyle name="Nota 2 3 2 4 5 9" xfId="29648"/>
    <cellStyle name="Nota 2 3 2 4 6" xfId="4046"/>
    <cellStyle name="Nota 2 3 2 4 6 10" xfId="33903"/>
    <cellStyle name="Nota 2 3 2 4 6 11" xfId="37935"/>
    <cellStyle name="Nota 2 3 2 4 6 12" xfId="41967"/>
    <cellStyle name="Nota 2 3 2 4 6 13" xfId="45999"/>
    <cellStyle name="Nota 2 3 2 4 6 14" xfId="50077"/>
    <cellStyle name="Nota 2 3 2 4 6 2" xfId="6628"/>
    <cellStyle name="Nota 2 3 2 4 6 2 10" xfId="38886"/>
    <cellStyle name="Nota 2 3 2 4 6 2 11" xfId="42918"/>
    <cellStyle name="Nota 2 3 2 4 6 2 12" xfId="46950"/>
    <cellStyle name="Nota 2 3 2 4 6 2 13" xfId="51029"/>
    <cellStyle name="Nota 2 3 2 4 6 2 2" xfId="8644"/>
    <cellStyle name="Nota 2 3 2 4 6 2 2 10" xfId="44934"/>
    <cellStyle name="Nota 2 3 2 4 6 2 2 11" xfId="48966"/>
    <cellStyle name="Nota 2 3 2 4 6 2 2 12" xfId="53045"/>
    <cellStyle name="Nota 2 3 2 4 6 2 2 2" xfId="12678"/>
    <cellStyle name="Nota 2 3 2 4 6 2 2 3" xfId="16710"/>
    <cellStyle name="Nota 2 3 2 4 6 2 2 4" xfId="20742"/>
    <cellStyle name="Nota 2 3 2 4 6 2 2 5" xfId="24774"/>
    <cellStyle name="Nota 2 3 2 4 6 2 2 6" xfId="28806"/>
    <cellStyle name="Nota 2 3 2 4 6 2 2 7" xfId="32838"/>
    <cellStyle name="Nota 2 3 2 4 6 2 2 8" xfId="36870"/>
    <cellStyle name="Nota 2 3 2 4 6 2 2 9" xfId="40902"/>
    <cellStyle name="Nota 2 3 2 4 6 2 3" xfId="10662"/>
    <cellStyle name="Nota 2 3 2 4 6 2 4" xfId="14694"/>
    <cellStyle name="Nota 2 3 2 4 6 2 5" xfId="18726"/>
    <cellStyle name="Nota 2 3 2 4 6 2 6" xfId="22758"/>
    <cellStyle name="Nota 2 3 2 4 6 2 7" xfId="26790"/>
    <cellStyle name="Nota 2 3 2 4 6 2 8" xfId="30822"/>
    <cellStyle name="Nota 2 3 2 4 6 2 9" xfId="34854"/>
    <cellStyle name="Nota 2 3 2 4 6 3" xfId="7693"/>
    <cellStyle name="Nota 2 3 2 4 6 3 10" xfId="43983"/>
    <cellStyle name="Nota 2 3 2 4 6 3 11" xfId="48015"/>
    <cellStyle name="Nota 2 3 2 4 6 3 12" xfId="52094"/>
    <cellStyle name="Nota 2 3 2 4 6 3 2" xfId="11727"/>
    <cellStyle name="Nota 2 3 2 4 6 3 3" xfId="15759"/>
    <cellStyle name="Nota 2 3 2 4 6 3 4" xfId="19791"/>
    <cellStyle name="Nota 2 3 2 4 6 3 5" xfId="23823"/>
    <cellStyle name="Nota 2 3 2 4 6 3 6" xfId="27855"/>
    <cellStyle name="Nota 2 3 2 4 6 3 7" xfId="31887"/>
    <cellStyle name="Nota 2 3 2 4 6 3 8" xfId="35919"/>
    <cellStyle name="Nota 2 3 2 4 6 3 9" xfId="39951"/>
    <cellStyle name="Nota 2 3 2 4 6 4" xfId="9711"/>
    <cellStyle name="Nota 2 3 2 4 6 5" xfId="13743"/>
    <cellStyle name="Nota 2 3 2 4 6 6" xfId="17775"/>
    <cellStyle name="Nota 2 3 2 4 6 7" xfId="21807"/>
    <cellStyle name="Nota 2 3 2 4 6 8" xfId="25839"/>
    <cellStyle name="Nota 2 3 2 4 6 9" xfId="29871"/>
    <cellStyle name="Nota 2 3 2 4 7" xfId="4116"/>
    <cellStyle name="Nota 2 3 2 4 7 10" xfId="33972"/>
    <cellStyle name="Nota 2 3 2 4 7 11" xfId="38004"/>
    <cellStyle name="Nota 2 3 2 4 7 12" xfId="42036"/>
    <cellStyle name="Nota 2 3 2 4 7 13" xfId="46068"/>
    <cellStyle name="Nota 2 3 2 4 7 14" xfId="50146"/>
    <cellStyle name="Nota 2 3 2 4 7 2" xfId="6697"/>
    <cellStyle name="Nota 2 3 2 4 7 2 10" xfId="38955"/>
    <cellStyle name="Nota 2 3 2 4 7 2 11" xfId="42987"/>
    <cellStyle name="Nota 2 3 2 4 7 2 12" xfId="47019"/>
    <cellStyle name="Nota 2 3 2 4 7 2 13" xfId="51098"/>
    <cellStyle name="Nota 2 3 2 4 7 2 2" xfId="8713"/>
    <cellStyle name="Nota 2 3 2 4 7 2 2 10" xfId="45003"/>
    <cellStyle name="Nota 2 3 2 4 7 2 2 11" xfId="49035"/>
    <cellStyle name="Nota 2 3 2 4 7 2 2 12" xfId="53114"/>
    <cellStyle name="Nota 2 3 2 4 7 2 2 2" xfId="12747"/>
    <cellStyle name="Nota 2 3 2 4 7 2 2 3" xfId="16779"/>
    <cellStyle name="Nota 2 3 2 4 7 2 2 4" xfId="20811"/>
    <cellStyle name="Nota 2 3 2 4 7 2 2 5" xfId="24843"/>
    <cellStyle name="Nota 2 3 2 4 7 2 2 6" xfId="28875"/>
    <cellStyle name="Nota 2 3 2 4 7 2 2 7" xfId="32907"/>
    <cellStyle name="Nota 2 3 2 4 7 2 2 8" xfId="36939"/>
    <cellStyle name="Nota 2 3 2 4 7 2 2 9" xfId="40971"/>
    <cellStyle name="Nota 2 3 2 4 7 2 3" xfId="10731"/>
    <cellStyle name="Nota 2 3 2 4 7 2 4" xfId="14763"/>
    <cellStyle name="Nota 2 3 2 4 7 2 5" xfId="18795"/>
    <cellStyle name="Nota 2 3 2 4 7 2 6" xfId="22827"/>
    <cellStyle name="Nota 2 3 2 4 7 2 7" xfId="26859"/>
    <cellStyle name="Nota 2 3 2 4 7 2 8" xfId="30891"/>
    <cellStyle name="Nota 2 3 2 4 7 2 9" xfId="34923"/>
    <cellStyle name="Nota 2 3 2 4 7 3" xfId="7762"/>
    <cellStyle name="Nota 2 3 2 4 7 3 10" xfId="44052"/>
    <cellStyle name="Nota 2 3 2 4 7 3 11" xfId="48084"/>
    <cellStyle name="Nota 2 3 2 4 7 3 12" xfId="52163"/>
    <cellStyle name="Nota 2 3 2 4 7 3 2" xfId="11796"/>
    <cellStyle name="Nota 2 3 2 4 7 3 3" xfId="15828"/>
    <cellStyle name="Nota 2 3 2 4 7 3 4" xfId="19860"/>
    <cellStyle name="Nota 2 3 2 4 7 3 5" xfId="23892"/>
    <cellStyle name="Nota 2 3 2 4 7 3 6" xfId="27924"/>
    <cellStyle name="Nota 2 3 2 4 7 3 7" xfId="31956"/>
    <cellStyle name="Nota 2 3 2 4 7 3 8" xfId="35988"/>
    <cellStyle name="Nota 2 3 2 4 7 3 9" xfId="40020"/>
    <cellStyle name="Nota 2 3 2 4 7 4" xfId="9780"/>
    <cellStyle name="Nota 2 3 2 4 7 5" xfId="13812"/>
    <cellStyle name="Nota 2 3 2 4 7 6" xfId="17844"/>
    <cellStyle name="Nota 2 3 2 4 7 7" xfId="21876"/>
    <cellStyle name="Nota 2 3 2 4 7 8" xfId="25908"/>
    <cellStyle name="Nota 2 3 2 4 7 9" xfId="29940"/>
    <cellStyle name="Nota 2 3 2 4 8" xfId="4185"/>
    <cellStyle name="Nota 2 3 2 4 8 10" xfId="34041"/>
    <cellStyle name="Nota 2 3 2 4 8 11" xfId="38073"/>
    <cellStyle name="Nota 2 3 2 4 8 12" xfId="42105"/>
    <cellStyle name="Nota 2 3 2 4 8 13" xfId="46137"/>
    <cellStyle name="Nota 2 3 2 4 8 14" xfId="50215"/>
    <cellStyle name="Nota 2 3 2 4 8 2" xfId="6766"/>
    <cellStyle name="Nota 2 3 2 4 8 2 10" xfId="39024"/>
    <cellStyle name="Nota 2 3 2 4 8 2 11" xfId="43056"/>
    <cellStyle name="Nota 2 3 2 4 8 2 12" xfId="47088"/>
    <cellStyle name="Nota 2 3 2 4 8 2 13" xfId="51167"/>
    <cellStyle name="Nota 2 3 2 4 8 2 2" xfId="8782"/>
    <cellStyle name="Nota 2 3 2 4 8 2 2 10" xfId="45072"/>
    <cellStyle name="Nota 2 3 2 4 8 2 2 11" xfId="49104"/>
    <cellStyle name="Nota 2 3 2 4 8 2 2 12" xfId="53183"/>
    <cellStyle name="Nota 2 3 2 4 8 2 2 2" xfId="12816"/>
    <cellStyle name="Nota 2 3 2 4 8 2 2 3" xfId="16848"/>
    <cellStyle name="Nota 2 3 2 4 8 2 2 4" xfId="20880"/>
    <cellStyle name="Nota 2 3 2 4 8 2 2 5" xfId="24912"/>
    <cellStyle name="Nota 2 3 2 4 8 2 2 6" xfId="28944"/>
    <cellStyle name="Nota 2 3 2 4 8 2 2 7" xfId="32976"/>
    <cellStyle name="Nota 2 3 2 4 8 2 2 8" xfId="37008"/>
    <cellStyle name="Nota 2 3 2 4 8 2 2 9" xfId="41040"/>
    <cellStyle name="Nota 2 3 2 4 8 2 3" xfId="10800"/>
    <cellStyle name="Nota 2 3 2 4 8 2 4" xfId="14832"/>
    <cellStyle name="Nota 2 3 2 4 8 2 5" xfId="18864"/>
    <cellStyle name="Nota 2 3 2 4 8 2 6" xfId="22896"/>
    <cellStyle name="Nota 2 3 2 4 8 2 7" xfId="26928"/>
    <cellStyle name="Nota 2 3 2 4 8 2 8" xfId="30960"/>
    <cellStyle name="Nota 2 3 2 4 8 2 9" xfId="34992"/>
    <cellStyle name="Nota 2 3 2 4 8 3" xfId="7831"/>
    <cellStyle name="Nota 2 3 2 4 8 3 10" xfId="44121"/>
    <cellStyle name="Nota 2 3 2 4 8 3 11" xfId="48153"/>
    <cellStyle name="Nota 2 3 2 4 8 3 12" xfId="52232"/>
    <cellStyle name="Nota 2 3 2 4 8 3 2" xfId="11865"/>
    <cellStyle name="Nota 2 3 2 4 8 3 3" xfId="15897"/>
    <cellStyle name="Nota 2 3 2 4 8 3 4" xfId="19929"/>
    <cellStyle name="Nota 2 3 2 4 8 3 5" xfId="23961"/>
    <cellStyle name="Nota 2 3 2 4 8 3 6" xfId="27993"/>
    <cellStyle name="Nota 2 3 2 4 8 3 7" xfId="32025"/>
    <cellStyle name="Nota 2 3 2 4 8 3 8" xfId="36057"/>
    <cellStyle name="Nota 2 3 2 4 8 3 9" xfId="40089"/>
    <cellStyle name="Nota 2 3 2 4 8 4" xfId="9849"/>
    <cellStyle name="Nota 2 3 2 4 8 5" xfId="13881"/>
    <cellStyle name="Nota 2 3 2 4 8 6" xfId="17913"/>
    <cellStyle name="Nota 2 3 2 4 8 7" xfId="21945"/>
    <cellStyle name="Nota 2 3 2 4 8 8" xfId="25977"/>
    <cellStyle name="Nota 2 3 2 4 8 9" xfId="30009"/>
    <cellStyle name="Nota 2 3 2 4 9" xfId="4258"/>
    <cellStyle name="Nota 2 3 2 4 9 10" xfId="34110"/>
    <cellStyle name="Nota 2 3 2 4 9 11" xfId="38142"/>
    <cellStyle name="Nota 2 3 2 4 9 12" xfId="42174"/>
    <cellStyle name="Nota 2 3 2 4 9 13" xfId="46206"/>
    <cellStyle name="Nota 2 3 2 4 9 14" xfId="50284"/>
    <cellStyle name="Nota 2 3 2 4 9 2" xfId="6835"/>
    <cellStyle name="Nota 2 3 2 4 9 2 10" xfId="39093"/>
    <cellStyle name="Nota 2 3 2 4 9 2 11" xfId="43125"/>
    <cellStyle name="Nota 2 3 2 4 9 2 12" xfId="47157"/>
    <cellStyle name="Nota 2 3 2 4 9 2 13" xfId="51236"/>
    <cellStyle name="Nota 2 3 2 4 9 2 2" xfId="8851"/>
    <cellStyle name="Nota 2 3 2 4 9 2 2 10" xfId="45141"/>
    <cellStyle name="Nota 2 3 2 4 9 2 2 11" xfId="49173"/>
    <cellStyle name="Nota 2 3 2 4 9 2 2 12" xfId="53252"/>
    <cellStyle name="Nota 2 3 2 4 9 2 2 2" xfId="12885"/>
    <cellStyle name="Nota 2 3 2 4 9 2 2 3" xfId="16917"/>
    <cellStyle name="Nota 2 3 2 4 9 2 2 4" xfId="20949"/>
    <cellStyle name="Nota 2 3 2 4 9 2 2 5" xfId="24981"/>
    <cellStyle name="Nota 2 3 2 4 9 2 2 6" xfId="29013"/>
    <cellStyle name="Nota 2 3 2 4 9 2 2 7" xfId="33045"/>
    <cellStyle name="Nota 2 3 2 4 9 2 2 8" xfId="37077"/>
    <cellStyle name="Nota 2 3 2 4 9 2 2 9" xfId="41109"/>
    <cellStyle name="Nota 2 3 2 4 9 2 3" xfId="10869"/>
    <cellStyle name="Nota 2 3 2 4 9 2 4" xfId="14901"/>
    <cellStyle name="Nota 2 3 2 4 9 2 5" xfId="18933"/>
    <cellStyle name="Nota 2 3 2 4 9 2 6" xfId="22965"/>
    <cellStyle name="Nota 2 3 2 4 9 2 7" xfId="26997"/>
    <cellStyle name="Nota 2 3 2 4 9 2 8" xfId="31029"/>
    <cellStyle name="Nota 2 3 2 4 9 2 9" xfId="35061"/>
    <cellStyle name="Nota 2 3 2 4 9 3" xfId="7900"/>
    <cellStyle name="Nota 2 3 2 4 9 3 10" xfId="44190"/>
    <cellStyle name="Nota 2 3 2 4 9 3 11" xfId="48222"/>
    <cellStyle name="Nota 2 3 2 4 9 3 12" xfId="52301"/>
    <cellStyle name="Nota 2 3 2 4 9 3 2" xfId="11934"/>
    <cellStyle name="Nota 2 3 2 4 9 3 3" xfId="15966"/>
    <cellStyle name="Nota 2 3 2 4 9 3 4" xfId="19998"/>
    <cellStyle name="Nota 2 3 2 4 9 3 5" xfId="24030"/>
    <cellStyle name="Nota 2 3 2 4 9 3 6" xfId="28062"/>
    <cellStyle name="Nota 2 3 2 4 9 3 7" xfId="32094"/>
    <cellStyle name="Nota 2 3 2 4 9 3 8" xfId="36126"/>
    <cellStyle name="Nota 2 3 2 4 9 3 9" xfId="40158"/>
    <cellStyle name="Nota 2 3 2 4 9 4" xfId="9918"/>
    <cellStyle name="Nota 2 3 2 4 9 5" xfId="13950"/>
    <cellStyle name="Nota 2 3 2 4 9 6" xfId="17982"/>
    <cellStyle name="Nota 2 3 2 4 9 7" xfId="22014"/>
    <cellStyle name="Nota 2 3 2 4 9 8" xfId="26046"/>
    <cellStyle name="Nota 2 3 2 4 9 9" xfId="30078"/>
    <cellStyle name="Nota 2 3 2 5" xfId="200"/>
    <cellStyle name="Nota 2 3 2 5 10" xfId="21278"/>
    <cellStyle name="Nota 2 3 2 5 11" xfId="25310"/>
    <cellStyle name="Nota 2 3 2 5 12" xfId="29342"/>
    <cellStyle name="Nota 2 3 2 5 13" xfId="33374"/>
    <cellStyle name="Nota 2 3 2 5 14" xfId="37406"/>
    <cellStyle name="Nota 2 3 2 5 15" xfId="41438"/>
    <cellStyle name="Nota 2 3 2 5 16" xfId="45470"/>
    <cellStyle name="Nota 2 3 2 5 17" xfId="49548"/>
    <cellStyle name="Nota 2 3 2 5 2" xfId="4318"/>
    <cellStyle name="Nota 2 3 2 5 2 10" xfId="34163"/>
    <cellStyle name="Nota 2 3 2 5 2 11" xfId="38195"/>
    <cellStyle name="Nota 2 3 2 5 2 12" xfId="42227"/>
    <cellStyle name="Nota 2 3 2 5 2 13" xfId="46259"/>
    <cellStyle name="Nota 2 3 2 5 2 14" xfId="50338"/>
    <cellStyle name="Nota 2 3 2 5 2 2" xfId="6888"/>
    <cellStyle name="Nota 2 3 2 5 2 2 10" xfId="39146"/>
    <cellStyle name="Nota 2 3 2 5 2 2 11" xfId="43178"/>
    <cellStyle name="Nota 2 3 2 5 2 2 12" xfId="47210"/>
    <cellStyle name="Nota 2 3 2 5 2 2 13" xfId="51289"/>
    <cellStyle name="Nota 2 3 2 5 2 2 2" xfId="8904"/>
    <cellStyle name="Nota 2 3 2 5 2 2 2 10" xfId="45194"/>
    <cellStyle name="Nota 2 3 2 5 2 2 2 11" xfId="49226"/>
    <cellStyle name="Nota 2 3 2 5 2 2 2 12" xfId="53305"/>
    <cellStyle name="Nota 2 3 2 5 2 2 2 2" xfId="12938"/>
    <cellStyle name="Nota 2 3 2 5 2 2 2 3" xfId="16970"/>
    <cellStyle name="Nota 2 3 2 5 2 2 2 4" xfId="21002"/>
    <cellStyle name="Nota 2 3 2 5 2 2 2 5" xfId="25034"/>
    <cellStyle name="Nota 2 3 2 5 2 2 2 6" xfId="29066"/>
    <cellStyle name="Nota 2 3 2 5 2 2 2 7" xfId="33098"/>
    <cellStyle name="Nota 2 3 2 5 2 2 2 8" xfId="37130"/>
    <cellStyle name="Nota 2 3 2 5 2 2 2 9" xfId="41162"/>
    <cellStyle name="Nota 2 3 2 5 2 2 3" xfId="10922"/>
    <cellStyle name="Nota 2 3 2 5 2 2 4" xfId="14954"/>
    <cellStyle name="Nota 2 3 2 5 2 2 5" xfId="18986"/>
    <cellStyle name="Nota 2 3 2 5 2 2 6" xfId="23018"/>
    <cellStyle name="Nota 2 3 2 5 2 2 7" xfId="27050"/>
    <cellStyle name="Nota 2 3 2 5 2 2 8" xfId="31082"/>
    <cellStyle name="Nota 2 3 2 5 2 2 9" xfId="35114"/>
    <cellStyle name="Nota 2 3 2 5 2 3" xfId="7953"/>
    <cellStyle name="Nota 2 3 2 5 2 3 10" xfId="44243"/>
    <cellStyle name="Nota 2 3 2 5 2 3 11" xfId="48275"/>
    <cellStyle name="Nota 2 3 2 5 2 3 12" xfId="52354"/>
    <cellStyle name="Nota 2 3 2 5 2 3 2" xfId="11987"/>
    <cellStyle name="Nota 2 3 2 5 2 3 3" xfId="16019"/>
    <cellStyle name="Nota 2 3 2 5 2 3 4" xfId="20051"/>
    <cellStyle name="Nota 2 3 2 5 2 3 5" xfId="24083"/>
    <cellStyle name="Nota 2 3 2 5 2 3 6" xfId="28115"/>
    <cellStyle name="Nota 2 3 2 5 2 3 7" xfId="32147"/>
    <cellStyle name="Nota 2 3 2 5 2 3 8" xfId="36179"/>
    <cellStyle name="Nota 2 3 2 5 2 3 9" xfId="40211"/>
    <cellStyle name="Nota 2 3 2 5 2 4" xfId="9971"/>
    <cellStyle name="Nota 2 3 2 5 2 5" xfId="14003"/>
    <cellStyle name="Nota 2 3 2 5 2 6" xfId="18035"/>
    <cellStyle name="Nota 2 3 2 5 2 7" xfId="22067"/>
    <cellStyle name="Nota 2 3 2 5 2 8" xfId="26099"/>
    <cellStyle name="Nota 2 3 2 5 2 9" xfId="30131"/>
    <cellStyle name="Nota 2 3 2 5 3" xfId="4457"/>
    <cellStyle name="Nota 2 3 2 5 3 10" xfId="34301"/>
    <cellStyle name="Nota 2 3 2 5 3 11" xfId="38333"/>
    <cellStyle name="Nota 2 3 2 5 3 12" xfId="42365"/>
    <cellStyle name="Nota 2 3 2 5 3 13" xfId="46397"/>
    <cellStyle name="Nota 2 3 2 5 3 14" xfId="50476"/>
    <cellStyle name="Nota 2 3 2 5 3 2" xfId="7026"/>
    <cellStyle name="Nota 2 3 2 5 3 2 10" xfId="39284"/>
    <cellStyle name="Nota 2 3 2 5 3 2 11" xfId="43316"/>
    <cellStyle name="Nota 2 3 2 5 3 2 12" xfId="47348"/>
    <cellStyle name="Nota 2 3 2 5 3 2 13" xfId="51427"/>
    <cellStyle name="Nota 2 3 2 5 3 2 2" xfId="9042"/>
    <cellStyle name="Nota 2 3 2 5 3 2 2 10" xfId="45332"/>
    <cellStyle name="Nota 2 3 2 5 3 2 2 11" xfId="49364"/>
    <cellStyle name="Nota 2 3 2 5 3 2 2 12" xfId="53443"/>
    <cellStyle name="Nota 2 3 2 5 3 2 2 2" xfId="13076"/>
    <cellStyle name="Nota 2 3 2 5 3 2 2 3" xfId="17108"/>
    <cellStyle name="Nota 2 3 2 5 3 2 2 4" xfId="21140"/>
    <cellStyle name="Nota 2 3 2 5 3 2 2 5" xfId="25172"/>
    <cellStyle name="Nota 2 3 2 5 3 2 2 6" xfId="29204"/>
    <cellStyle name="Nota 2 3 2 5 3 2 2 7" xfId="33236"/>
    <cellStyle name="Nota 2 3 2 5 3 2 2 8" xfId="37268"/>
    <cellStyle name="Nota 2 3 2 5 3 2 2 9" xfId="41300"/>
    <cellStyle name="Nota 2 3 2 5 3 2 3" xfId="11060"/>
    <cellStyle name="Nota 2 3 2 5 3 2 4" xfId="15092"/>
    <cellStyle name="Nota 2 3 2 5 3 2 5" xfId="19124"/>
    <cellStyle name="Nota 2 3 2 5 3 2 6" xfId="23156"/>
    <cellStyle name="Nota 2 3 2 5 3 2 7" xfId="27188"/>
    <cellStyle name="Nota 2 3 2 5 3 2 8" xfId="31220"/>
    <cellStyle name="Nota 2 3 2 5 3 2 9" xfId="35252"/>
    <cellStyle name="Nota 2 3 2 5 3 3" xfId="8091"/>
    <cellStyle name="Nota 2 3 2 5 3 3 10" xfId="44381"/>
    <cellStyle name="Nota 2 3 2 5 3 3 11" xfId="48413"/>
    <cellStyle name="Nota 2 3 2 5 3 3 12" xfId="52492"/>
    <cellStyle name="Nota 2 3 2 5 3 3 2" xfId="12125"/>
    <cellStyle name="Nota 2 3 2 5 3 3 3" xfId="16157"/>
    <cellStyle name="Nota 2 3 2 5 3 3 4" xfId="20189"/>
    <cellStyle name="Nota 2 3 2 5 3 3 5" xfId="24221"/>
    <cellStyle name="Nota 2 3 2 5 3 3 6" xfId="28253"/>
    <cellStyle name="Nota 2 3 2 5 3 3 7" xfId="32285"/>
    <cellStyle name="Nota 2 3 2 5 3 3 8" xfId="36317"/>
    <cellStyle name="Nota 2 3 2 5 3 3 9" xfId="40349"/>
    <cellStyle name="Nota 2 3 2 5 3 4" xfId="10109"/>
    <cellStyle name="Nota 2 3 2 5 3 5" xfId="14141"/>
    <cellStyle name="Nota 2 3 2 5 3 6" xfId="18173"/>
    <cellStyle name="Nota 2 3 2 5 3 7" xfId="22205"/>
    <cellStyle name="Nota 2 3 2 5 3 8" xfId="26237"/>
    <cellStyle name="Nota 2 3 2 5 3 9" xfId="30269"/>
    <cellStyle name="Nota 2 3 2 5 4" xfId="4597"/>
    <cellStyle name="Nota 2 3 2 5 4 10" xfId="38471"/>
    <cellStyle name="Nota 2 3 2 5 4 11" xfId="42503"/>
    <cellStyle name="Nota 2 3 2 5 4 12" xfId="46535"/>
    <cellStyle name="Nota 2 3 2 5 4 13" xfId="50614"/>
    <cellStyle name="Nota 2 3 2 5 4 2" xfId="8229"/>
    <cellStyle name="Nota 2 3 2 5 4 2 10" xfId="44519"/>
    <cellStyle name="Nota 2 3 2 5 4 2 11" xfId="48551"/>
    <cellStyle name="Nota 2 3 2 5 4 2 12" xfId="52630"/>
    <cellStyle name="Nota 2 3 2 5 4 2 2" xfId="12263"/>
    <cellStyle name="Nota 2 3 2 5 4 2 3" xfId="16295"/>
    <cellStyle name="Nota 2 3 2 5 4 2 4" xfId="20327"/>
    <cellStyle name="Nota 2 3 2 5 4 2 5" xfId="24359"/>
    <cellStyle name="Nota 2 3 2 5 4 2 6" xfId="28391"/>
    <cellStyle name="Nota 2 3 2 5 4 2 7" xfId="32423"/>
    <cellStyle name="Nota 2 3 2 5 4 2 8" xfId="36455"/>
    <cellStyle name="Nota 2 3 2 5 4 2 9" xfId="40487"/>
    <cellStyle name="Nota 2 3 2 5 4 3" xfId="10247"/>
    <cellStyle name="Nota 2 3 2 5 4 4" xfId="14279"/>
    <cellStyle name="Nota 2 3 2 5 4 5" xfId="18311"/>
    <cellStyle name="Nota 2 3 2 5 4 6" xfId="22343"/>
    <cellStyle name="Nota 2 3 2 5 4 7" xfId="26375"/>
    <cellStyle name="Nota 2 3 2 5 4 8" xfId="30407"/>
    <cellStyle name="Nota 2 3 2 5 4 9" xfId="34439"/>
    <cellStyle name="Nota 2 3 2 5 5" xfId="1420"/>
    <cellStyle name="Nota 2 3 2 5 6" xfId="7164"/>
    <cellStyle name="Nota 2 3 2 5 6 10" xfId="43454"/>
    <cellStyle name="Nota 2 3 2 5 6 11" xfId="47486"/>
    <cellStyle name="Nota 2 3 2 5 6 12" xfId="51565"/>
    <cellStyle name="Nota 2 3 2 5 6 2" xfId="11198"/>
    <cellStyle name="Nota 2 3 2 5 6 3" xfId="15230"/>
    <cellStyle name="Nota 2 3 2 5 6 4" xfId="19262"/>
    <cellStyle name="Nota 2 3 2 5 6 5" xfId="23294"/>
    <cellStyle name="Nota 2 3 2 5 6 6" xfId="27326"/>
    <cellStyle name="Nota 2 3 2 5 6 7" xfId="31358"/>
    <cellStyle name="Nota 2 3 2 5 6 8" xfId="35390"/>
    <cellStyle name="Nota 2 3 2 5 6 9" xfId="39422"/>
    <cellStyle name="Nota 2 3 2 5 7" xfId="9182"/>
    <cellStyle name="Nota 2 3 2 5 8" xfId="13214"/>
    <cellStyle name="Nota 2 3 2 5 9" xfId="17246"/>
    <cellStyle name="Nota 2 3 2 6" xfId="648"/>
    <cellStyle name="Nota 2 3 2 6 2" xfId="4768"/>
    <cellStyle name="Nota 2 3 2 7" xfId="324"/>
    <cellStyle name="Nota 2 3 2 7 10" xfId="33497"/>
    <cellStyle name="Nota 2 3 2 7 11" xfId="37529"/>
    <cellStyle name="Nota 2 3 2 7 12" xfId="41561"/>
    <cellStyle name="Nota 2 3 2 7 13" xfId="45593"/>
    <cellStyle name="Nota 2 3 2 7 14" xfId="49671"/>
    <cellStyle name="Nota 2 3 2 7 2" xfId="4662"/>
    <cellStyle name="Nota 2 3 2 7 2 10" xfId="38536"/>
    <cellStyle name="Nota 2 3 2 7 2 11" xfId="42568"/>
    <cellStyle name="Nota 2 3 2 7 2 12" xfId="46600"/>
    <cellStyle name="Nota 2 3 2 7 2 13" xfId="50679"/>
    <cellStyle name="Nota 2 3 2 7 2 2" xfId="8294"/>
    <cellStyle name="Nota 2 3 2 7 2 2 10" xfId="44584"/>
    <cellStyle name="Nota 2 3 2 7 2 2 11" xfId="48616"/>
    <cellStyle name="Nota 2 3 2 7 2 2 12" xfId="52695"/>
    <cellStyle name="Nota 2 3 2 7 2 2 2" xfId="12328"/>
    <cellStyle name="Nota 2 3 2 7 2 2 3" xfId="16360"/>
    <cellStyle name="Nota 2 3 2 7 2 2 4" xfId="20392"/>
    <cellStyle name="Nota 2 3 2 7 2 2 5" xfId="24424"/>
    <cellStyle name="Nota 2 3 2 7 2 2 6" xfId="28456"/>
    <cellStyle name="Nota 2 3 2 7 2 2 7" xfId="32488"/>
    <cellStyle name="Nota 2 3 2 7 2 2 8" xfId="36520"/>
    <cellStyle name="Nota 2 3 2 7 2 2 9" xfId="40552"/>
    <cellStyle name="Nota 2 3 2 7 2 3" xfId="10312"/>
    <cellStyle name="Nota 2 3 2 7 2 4" xfId="14344"/>
    <cellStyle name="Nota 2 3 2 7 2 5" xfId="18376"/>
    <cellStyle name="Nota 2 3 2 7 2 6" xfId="22408"/>
    <cellStyle name="Nota 2 3 2 7 2 7" xfId="26440"/>
    <cellStyle name="Nota 2 3 2 7 2 8" xfId="30472"/>
    <cellStyle name="Nota 2 3 2 7 2 9" xfId="34504"/>
    <cellStyle name="Nota 2 3 2 7 3" xfId="7287"/>
    <cellStyle name="Nota 2 3 2 7 3 10" xfId="43577"/>
    <cellStyle name="Nota 2 3 2 7 3 11" xfId="47609"/>
    <cellStyle name="Nota 2 3 2 7 3 12" xfId="51688"/>
    <cellStyle name="Nota 2 3 2 7 3 2" xfId="11321"/>
    <cellStyle name="Nota 2 3 2 7 3 3" xfId="15353"/>
    <cellStyle name="Nota 2 3 2 7 3 4" xfId="19385"/>
    <cellStyle name="Nota 2 3 2 7 3 5" xfId="23417"/>
    <cellStyle name="Nota 2 3 2 7 3 6" xfId="27449"/>
    <cellStyle name="Nota 2 3 2 7 3 7" xfId="31481"/>
    <cellStyle name="Nota 2 3 2 7 3 8" xfId="35513"/>
    <cellStyle name="Nota 2 3 2 7 3 9" xfId="39545"/>
    <cellStyle name="Nota 2 3 2 7 4" xfId="9305"/>
    <cellStyle name="Nota 2 3 2 7 5" xfId="13337"/>
    <cellStyle name="Nota 2 3 2 7 6" xfId="17369"/>
    <cellStyle name="Nota 2 3 2 7 7" xfId="21401"/>
    <cellStyle name="Nota 2 3 2 7 8" xfId="25433"/>
    <cellStyle name="Nota 2 3 2 7 9" xfId="29465"/>
    <cellStyle name="Nota 2 3 2 8" xfId="1634"/>
    <cellStyle name="Nota 2 3 2 8 10" xfId="33595"/>
    <cellStyle name="Nota 2 3 2 8 11" xfId="37627"/>
    <cellStyle name="Nota 2 3 2 8 12" xfId="41659"/>
    <cellStyle name="Nota 2 3 2 8 13" xfId="45691"/>
    <cellStyle name="Nota 2 3 2 8 14" xfId="49769"/>
    <cellStyle name="Nota 2 3 2 8 2" xfId="5323"/>
    <cellStyle name="Nota 2 3 2 8 2 10" xfId="38591"/>
    <cellStyle name="Nota 2 3 2 8 2 11" xfId="42623"/>
    <cellStyle name="Nota 2 3 2 8 2 12" xfId="46655"/>
    <cellStyle name="Nota 2 3 2 8 2 13" xfId="50734"/>
    <cellStyle name="Nota 2 3 2 8 2 2" xfId="8349"/>
    <cellStyle name="Nota 2 3 2 8 2 2 10" xfId="44639"/>
    <cellStyle name="Nota 2 3 2 8 2 2 11" xfId="48671"/>
    <cellStyle name="Nota 2 3 2 8 2 2 12" xfId="52750"/>
    <cellStyle name="Nota 2 3 2 8 2 2 2" xfId="12383"/>
    <cellStyle name="Nota 2 3 2 8 2 2 3" xfId="16415"/>
    <cellStyle name="Nota 2 3 2 8 2 2 4" xfId="20447"/>
    <cellStyle name="Nota 2 3 2 8 2 2 5" xfId="24479"/>
    <cellStyle name="Nota 2 3 2 8 2 2 6" xfId="28511"/>
    <cellStyle name="Nota 2 3 2 8 2 2 7" xfId="32543"/>
    <cellStyle name="Nota 2 3 2 8 2 2 8" xfId="36575"/>
    <cellStyle name="Nota 2 3 2 8 2 2 9" xfId="40607"/>
    <cellStyle name="Nota 2 3 2 8 2 3" xfId="10367"/>
    <cellStyle name="Nota 2 3 2 8 2 4" xfId="14399"/>
    <cellStyle name="Nota 2 3 2 8 2 5" xfId="18431"/>
    <cellStyle name="Nota 2 3 2 8 2 6" xfId="22463"/>
    <cellStyle name="Nota 2 3 2 8 2 7" xfId="26495"/>
    <cellStyle name="Nota 2 3 2 8 2 8" xfId="30527"/>
    <cellStyle name="Nota 2 3 2 8 2 9" xfId="34559"/>
    <cellStyle name="Nota 2 3 2 8 3" xfId="7385"/>
    <cellStyle name="Nota 2 3 2 8 3 10" xfId="43675"/>
    <cellStyle name="Nota 2 3 2 8 3 11" xfId="47707"/>
    <cellStyle name="Nota 2 3 2 8 3 12" xfId="51786"/>
    <cellStyle name="Nota 2 3 2 8 3 2" xfId="11419"/>
    <cellStyle name="Nota 2 3 2 8 3 3" xfId="15451"/>
    <cellStyle name="Nota 2 3 2 8 3 4" xfId="19483"/>
    <cellStyle name="Nota 2 3 2 8 3 5" xfId="23515"/>
    <cellStyle name="Nota 2 3 2 8 3 6" xfId="27547"/>
    <cellStyle name="Nota 2 3 2 8 3 7" xfId="31579"/>
    <cellStyle name="Nota 2 3 2 8 3 8" xfId="35611"/>
    <cellStyle name="Nota 2 3 2 8 3 9" xfId="39643"/>
    <cellStyle name="Nota 2 3 2 8 4" xfId="9403"/>
    <cellStyle name="Nota 2 3 2 8 5" xfId="13435"/>
    <cellStyle name="Nota 2 3 2 8 6" xfId="17467"/>
    <cellStyle name="Nota 2 3 2 8 7" xfId="21499"/>
    <cellStyle name="Nota 2 3 2 8 8" xfId="25531"/>
    <cellStyle name="Nota 2 3 2 8 9" xfId="29563"/>
    <cellStyle name="Nota 2 3 2 9" xfId="1708"/>
    <cellStyle name="Nota 2 3 2 9 10" xfId="33664"/>
    <cellStyle name="Nota 2 3 2 9 11" xfId="37696"/>
    <cellStyle name="Nota 2 3 2 9 12" xfId="41728"/>
    <cellStyle name="Nota 2 3 2 9 13" xfId="45760"/>
    <cellStyle name="Nota 2 3 2 9 14" xfId="49838"/>
    <cellStyle name="Nota 2 3 2 9 2" xfId="5379"/>
    <cellStyle name="Nota 2 3 2 9 2 10" xfId="38647"/>
    <cellStyle name="Nota 2 3 2 9 2 11" xfId="42679"/>
    <cellStyle name="Nota 2 3 2 9 2 12" xfId="46711"/>
    <cellStyle name="Nota 2 3 2 9 2 13" xfId="50790"/>
    <cellStyle name="Nota 2 3 2 9 2 2" xfId="8405"/>
    <cellStyle name="Nota 2 3 2 9 2 2 10" xfId="44695"/>
    <cellStyle name="Nota 2 3 2 9 2 2 11" xfId="48727"/>
    <cellStyle name="Nota 2 3 2 9 2 2 12" xfId="52806"/>
    <cellStyle name="Nota 2 3 2 9 2 2 2" xfId="12439"/>
    <cellStyle name="Nota 2 3 2 9 2 2 3" xfId="16471"/>
    <cellStyle name="Nota 2 3 2 9 2 2 4" xfId="20503"/>
    <cellStyle name="Nota 2 3 2 9 2 2 5" xfId="24535"/>
    <cellStyle name="Nota 2 3 2 9 2 2 6" xfId="28567"/>
    <cellStyle name="Nota 2 3 2 9 2 2 7" xfId="32599"/>
    <cellStyle name="Nota 2 3 2 9 2 2 8" xfId="36631"/>
    <cellStyle name="Nota 2 3 2 9 2 2 9" xfId="40663"/>
    <cellStyle name="Nota 2 3 2 9 2 3" xfId="10423"/>
    <cellStyle name="Nota 2 3 2 9 2 4" xfId="14455"/>
    <cellStyle name="Nota 2 3 2 9 2 5" xfId="18487"/>
    <cellStyle name="Nota 2 3 2 9 2 6" xfId="22519"/>
    <cellStyle name="Nota 2 3 2 9 2 7" xfId="26551"/>
    <cellStyle name="Nota 2 3 2 9 2 8" xfId="30583"/>
    <cellStyle name="Nota 2 3 2 9 2 9" xfId="34615"/>
    <cellStyle name="Nota 2 3 2 9 3" xfId="7454"/>
    <cellStyle name="Nota 2 3 2 9 3 10" xfId="43744"/>
    <cellStyle name="Nota 2 3 2 9 3 11" xfId="47776"/>
    <cellStyle name="Nota 2 3 2 9 3 12" xfId="51855"/>
    <cellStyle name="Nota 2 3 2 9 3 2" xfId="11488"/>
    <cellStyle name="Nota 2 3 2 9 3 3" xfId="15520"/>
    <cellStyle name="Nota 2 3 2 9 3 4" xfId="19552"/>
    <cellStyle name="Nota 2 3 2 9 3 5" xfId="23584"/>
    <cellStyle name="Nota 2 3 2 9 3 6" xfId="27616"/>
    <cellStyle name="Nota 2 3 2 9 3 7" xfId="31648"/>
    <cellStyle name="Nota 2 3 2 9 3 8" xfId="35680"/>
    <cellStyle name="Nota 2 3 2 9 3 9" xfId="39712"/>
    <cellStyle name="Nota 2 3 2 9 4" xfId="9472"/>
    <cellStyle name="Nota 2 3 2 9 5" xfId="13504"/>
    <cellStyle name="Nota 2 3 2 9 6" xfId="17536"/>
    <cellStyle name="Nota 2 3 2 9 7" xfId="21568"/>
    <cellStyle name="Nota 2 3 2 9 8" xfId="25600"/>
    <cellStyle name="Nota 2 3 2 9 9" xfId="29632"/>
    <cellStyle name="Nota 2 3 20" xfId="112"/>
    <cellStyle name="Nota 2 3 21" xfId="9107"/>
    <cellStyle name="Nota 2 3 22" xfId="13139"/>
    <cellStyle name="Nota 2 3 23" xfId="17171"/>
    <cellStyle name="Nota 2 3 24" xfId="21203"/>
    <cellStyle name="Nota 2 3 25" xfId="25235"/>
    <cellStyle name="Nota 2 3 26" xfId="29267"/>
    <cellStyle name="Nota 2 3 27" xfId="33299"/>
    <cellStyle name="Nota 2 3 28" xfId="37331"/>
    <cellStyle name="Nota 2 3 29" xfId="41363"/>
    <cellStyle name="Nota 2 3 3" xfId="91"/>
    <cellStyle name="Nota 2 3 3 10" xfId="4075"/>
    <cellStyle name="Nota 2 3 3 10 10" xfId="33932"/>
    <cellStyle name="Nota 2 3 3 10 11" xfId="37964"/>
    <cellStyle name="Nota 2 3 3 10 12" xfId="41996"/>
    <cellStyle name="Nota 2 3 3 10 13" xfId="46028"/>
    <cellStyle name="Nota 2 3 3 10 14" xfId="50106"/>
    <cellStyle name="Nota 2 3 3 10 2" xfId="6657"/>
    <cellStyle name="Nota 2 3 3 10 2 10" xfId="38915"/>
    <cellStyle name="Nota 2 3 3 10 2 11" xfId="42947"/>
    <cellStyle name="Nota 2 3 3 10 2 12" xfId="46979"/>
    <cellStyle name="Nota 2 3 3 10 2 13" xfId="51058"/>
    <cellStyle name="Nota 2 3 3 10 2 2" xfId="8673"/>
    <cellStyle name="Nota 2 3 3 10 2 2 10" xfId="44963"/>
    <cellStyle name="Nota 2 3 3 10 2 2 11" xfId="48995"/>
    <cellStyle name="Nota 2 3 3 10 2 2 12" xfId="53074"/>
    <cellStyle name="Nota 2 3 3 10 2 2 2" xfId="12707"/>
    <cellStyle name="Nota 2 3 3 10 2 2 3" xfId="16739"/>
    <cellStyle name="Nota 2 3 3 10 2 2 4" xfId="20771"/>
    <cellStyle name="Nota 2 3 3 10 2 2 5" xfId="24803"/>
    <cellStyle name="Nota 2 3 3 10 2 2 6" xfId="28835"/>
    <cellStyle name="Nota 2 3 3 10 2 2 7" xfId="32867"/>
    <cellStyle name="Nota 2 3 3 10 2 2 8" xfId="36899"/>
    <cellStyle name="Nota 2 3 3 10 2 2 9" xfId="40931"/>
    <cellStyle name="Nota 2 3 3 10 2 3" xfId="10691"/>
    <cellStyle name="Nota 2 3 3 10 2 4" xfId="14723"/>
    <cellStyle name="Nota 2 3 3 10 2 5" xfId="18755"/>
    <cellStyle name="Nota 2 3 3 10 2 6" xfId="22787"/>
    <cellStyle name="Nota 2 3 3 10 2 7" xfId="26819"/>
    <cellStyle name="Nota 2 3 3 10 2 8" xfId="30851"/>
    <cellStyle name="Nota 2 3 3 10 2 9" xfId="34883"/>
    <cellStyle name="Nota 2 3 3 10 3" xfId="7722"/>
    <cellStyle name="Nota 2 3 3 10 3 10" xfId="44012"/>
    <cellStyle name="Nota 2 3 3 10 3 11" xfId="48044"/>
    <cellStyle name="Nota 2 3 3 10 3 12" xfId="52123"/>
    <cellStyle name="Nota 2 3 3 10 3 2" xfId="11756"/>
    <cellStyle name="Nota 2 3 3 10 3 3" xfId="15788"/>
    <cellStyle name="Nota 2 3 3 10 3 4" xfId="19820"/>
    <cellStyle name="Nota 2 3 3 10 3 5" xfId="23852"/>
    <cellStyle name="Nota 2 3 3 10 3 6" xfId="27884"/>
    <cellStyle name="Nota 2 3 3 10 3 7" xfId="31916"/>
    <cellStyle name="Nota 2 3 3 10 3 8" xfId="35948"/>
    <cellStyle name="Nota 2 3 3 10 3 9" xfId="39980"/>
    <cellStyle name="Nota 2 3 3 10 4" xfId="9740"/>
    <cellStyle name="Nota 2 3 3 10 5" xfId="13772"/>
    <cellStyle name="Nota 2 3 3 10 6" xfId="17804"/>
    <cellStyle name="Nota 2 3 3 10 7" xfId="21836"/>
    <cellStyle name="Nota 2 3 3 10 8" xfId="25868"/>
    <cellStyle name="Nota 2 3 3 10 9" xfId="29900"/>
    <cellStyle name="Nota 2 3 3 11" xfId="4145"/>
    <cellStyle name="Nota 2 3 3 11 10" xfId="34001"/>
    <cellStyle name="Nota 2 3 3 11 11" xfId="38033"/>
    <cellStyle name="Nota 2 3 3 11 12" xfId="42065"/>
    <cellStyle name="Nota 2 3 3 11 13" xfId="46097"/>
    <cellStyle name="Nota 2 3 3 11 14" xfId="50175"/>
    <cellStyle name="Nota 2 3 3 11 2" xfId="6726"/>
    <cellStyle name="Nota 2 3 3 11 2 10" xfId="38984"/>
    <cellStyle name="Nota 2 3 3 11 2 11" xfId="43016"/>
    <cellStyle name="Nota 2 3 3 11 2 12" xfId="47048"/>
    <cellStyle name="Nota 2 3 3 11 2 13" xfId="51127"/>
    <cellStyle name="Nota 2 3 3 11 2 2" xfId="8742"/>
    <cellStyle name="Nota 2 3 3 11 2 2 10" xfId="45032"/>
    <cellStyle name="Nota 2 3 3 11 2 2 11" xfId="49064"/>
    <cellStyle name="Nota 2 3 3 11 2 2 12" xfId="53143"/>
    <cellStyle name="Nota 2 3 3 11 2 2 2" xfId="12776"/>
    <cellStyle name="Nota 2 3 3 11 2 2 3" xfId="16808"/>
    <cellStyle name="Nota 2 3 3 11 2 2 4" xfId="20840"/>
    <cellStyle name="Nota 2 3 3 11 2 2 5" xfId="24872"/>
    <cellStyle name="Nota 2 3 3 11 2 2 6" xfId="28904"/>
    <cellStyle name="Nota 2 3 3 11 2 2 7" xfId="32936"/>
    <cellStyle name="Nota 2 3 3 11 2 2 8" xfId="36968"/>
    <cellStyle name="Nota 2 3 3 11 2 2 9" xfId="41000"/>
    <cellStyle name="Nota 2 3 3 11 2 3" xfId="10760"/>
    <cellStyle name="Nota 2 3 3 11 2 4" xfId="14792"/>
    <cellStyle name="Nota 2 3 3 11 2 5" xfId="18824"/>
    <cellStyle name="Nota 2 3 3 11 2 6" xfId="22856"/>
    <cellStyle name="Nota 2 3 3 11 2 7" xfId="26888"/>
    <cellStyle name="Nota 2 3 3 11 2 8" xfId="30920"/>
    <cellStyle name="Nota 2 3 3 11 2 9" xfId="34952"/>
    <cellStyle name="Nota 2 3 3 11 3" xfId="7791"/>
    <cellStyle name="Nota 2 3 3 11 3 10" xfId="44081"/>
    <cellStyle name="Nota 2 3 3 11 3 11" xfId="48113"/>
    <cellStyle name="Nota 2 3 3 11 3 12" xfId="52192"/>
    <cellStyle name="Nota 2 3 3 11 3 2" xfId="11825"/>
    <cellStyle name="Nota 2 3 3 11 3 3" xfId="15857"/>
    <cellStyle name="Nota 2 3 3 11 3 4" xfId="19889"/>
    <cellStyle name="Nota 2 3 3 11 3 5" xfId="23921"/>
    <cellStyle name="Nota 2 3 3 11 3 6" xfId="27953"/>
    <cellStyle name="Nota 2 3 3 11 3 7" xfId="31985"/>
    <cellStyle name="Nota 2 3 3 11 3 8" xfId="36017"/>
    <cellStyle name="Nota 2 3 3 11 3 9" xfId="40049"/>
    <cellStyle name="Nota 2 3 3 11 4" xfId="9809"/>
    <cellStyle name="Nota 2 3 3 11 5" xfId="13841"/>
    <cellStyle name="Nota 2 3 3 11 6" xfId="17873"/>
    <cellStyle name="Nota 2 3 3 11 7" xfId="21905"/>
    <cellStyle name="Nota 2 3 3 11 8" xfId="25937"/>
    <cellStyle name="Nota 2 3 3 11 9" xfId="29969"/>
    <cellStyle name="Nota 2 3 3 12" xfId="4214"/>
    <cellStyle name="Nota 2 3 3 12 10" xfId="34070"/>
    <cellStyle name="Nota 2 3 3 12 11" xfId="38102"/>
    <cellStyle name="Nota 2 3 3 12 12" xfId="42134"/>
    <cellStyle name="Nota 2 3 3 12 13" xfId="46166"/>
    <cellStyle name="Nota 2 3 3 12 14" xfId="50244"/>
    <cellStyle name="Nota 2 3 3 12 2" xfId="6795"/>
    <cellStyle name="Nota 2 3 3 12 2 10" xfId="39053"/>
    <cellStyle name="Nota 2 3 3 12 2 11" xfId="43085"/>
    <cellStyle name="Nota 2 3 3 12 2 12" xfId="47117"/>
    <cellStyle name="Nota 2 3 3 12 2 13" xfId="51196"/>
    <cellStyle name="Nota 2 3 3 12 2 2" xfId="8811"/>
    <cellStyle name="Nota 2 3 3 12 2 2 10" xfId="45101"/>
    <cellStyle name="Nota 2 3 3 12 2 2 11" xfId="49133"/>
    <cellStyle name="Nota 2 3 3 12 2 2 12" xfId="53212"/>
    <cellStyle name="Nota 2 3 3 12 2 2 2" xfId="12845"/>
    <cellStyle name="Nota 2 3 3 12 2 2 3" xfId="16877"/>
    <cellStyle name="Nota 2 3 3 12 2 2 4" xfId="20909"/>
    <cellStyle name="Nota 2 3 3 12 2 2 5" xfId="24941"/>
    <cellStyle name="Nota 2 3 3 12 2 2 6" xfId="28973"/>
    <cellStyle name="Nota 2 3 3 12 2 2 7" xfId="33005"/>
    <cellStyle name="Nota 2 3 3 12 2 2 8" xfId="37037"/>
    <cellStyle name="Nota 2 3 3 12 2 2 9" xfId="41069"/>
    <cellStyle name="Nota 2 3 3 12 2 3" xfId="10829"/>
    <cellStyle name="Nota 2 3 3 12 2 4" xfId="14861"/>
    <cellStyle name="Nota 2 3 3 12 2 5" xfId="18893"/>
    <cellStyle name="Nota 2 3 3 12 2 6" xfId="22925"/>
    <cellStyle name="Nota 2 3 3 12 2 7" xfId="26957"/>
    <cellStyle name="Nota 2 3 3 12 2 8" xfId="30989"/>
    <cellStyle name="Nota 2 3 3 12 2 9" xfId="35021"/>
    <cellStyle name="Nota 2 3 3 12 3" xfId="7860"/>
    <cellStyle name="Nota 2 3 3 12 3 10" xfId="44150"/>
    <cellStyle name="Nota 2 3 3 12 3 11" xfId="48182"/>
    <cellStyle name="Nota 2 3 3 12 3 12" xfId="52261"/>
    <cellStyle name="Nota 2 3 3 12 3 2" xfId="11894"/>
    <cellStyle name="Nota 2 3 3 12 3 3" xfId="15926"/>
    <cellStyle name="Nota 2 3 3 12 3 4" xfId="19958"/>
    <cellStyle name="Nota 2 3 3 12 3 5" xfId="23990"/>
    <cellStyle name="Nota 2 3 3 12 3 6" xfId="28022"/>
    <cellStyle name="Nota 2 3 3 12 3 7" xfId="32054"/>
    <cellStyle name="Nota 2 3 3 12 3 8" xfId="36086"/>
    <cellStyle name="Nota 2 3 3 12 3 9" xfId="40118"/>
    <cellStyle name="Nota 2 3 3 12 4" xfId="9878"/>
    <cellStyle name="Nota 2 3 3 12 5" xfId="13910"/>
    <cellStyle name="Nota 2 3 3 12 6" xfId="17942"/>
    <cellStyle name="Nota 2 3 3 12 7" xfId="21974"/>
    <cellStyle name="Nota 2 3 3 12 8" xfId="26006"/>
    <cellStyle name="Nota 2 3 3 12 9" xfId="30038"/>
    <cellStyle name="Nota 2 3 3 13" xfId="4287"/>
    <cellStyle name="Nota 2 3 3 13 10" xfId="34139"/>
    <cellStyle name="Nota 2 3 3 13 11" xfId="38171"/>
    <cellStyle name="Nota 2 3 3 13 12" xfId="42203"/>
    <cellStyle name="Nota 2 3 3 13 13" xfId="46235"/>
    <cellStyle name="Nota 2 3 3 13 14" xfId="50313"/>
    <cellStyle name="Nota 2 3 3 13 2" xfId="6864"/>
    <cellStyle name="Nota 2 3 3 13 2 10" xfId="39122"/>
    <cellStyle name="Nota 2 3 3 13 2 11" xfId="43154"/>
    <cellStyle name="Nota 2 3 3 13 2 12" xfId="47186"/>
    <cellStyle name="Nota 2 3 3 13 2 13" xfId="51265"/>
    <cellStyle name="Nota 2 3 3 13 2 2" xfId="8880"/>
    <cellStyle name="Nota 2 3 3 13 2 2 10" xfId="45170"/>
    <cellStyle name="Nota 2 3 3 13 2 2 11" xfId="49202"/>
    <cellStyle name="Nota 2 3 3 13 2 2 12" xfId="53281"/>
    <cellStyle name="Nota 2 3 3 13 2 2 2" xfId="12914"/>
    <cellStyle name="Nota 2 3 3 13 2 2 3" xfId="16946"/>
    <cellStyle name="Nota 2 3 3 13 2 2 4" xfId="20978"/>
    <cellStyle name="Nota 2 3 3 13 2 2 5" xfId="25010"/>
    <cellStyle name="Nota 2 3 3 13 2 2 6" xfId="29042"/>
    <cellStyle name="Nota 2 3 3 13 2 2 7" xfId="33074"/>
    <cellStyle name="Nota 2 3 3 13 2 2 8" xfId="37106"/>
    <cellStyle name="Nota 2 3 3 13 2 2 9" xfId="41138"/>
    <cellStyle name="Nota 2 3 3 13 2 3" xfId="10898"/>
    <cellStyle name="Nota 2 3 3 13 2 4" xfId="14930"/>
    <cellStyle name="Nota 2 3 3 13 2 5" xfId="18962"/>
    <cellStyle name="Nota 2 3 3 13 2 6" xfId="22994"/>
    <cellStyle name="Nota 2 3 3 13 2 7" xfId="27026"/>
    <cellStyle name="Nota 2 3 3 13 2 8" xfId="31058"/>
    <cellStyle name="Nota 2 3 3 13 2 9" xfId="35090"/>
    <cellStyle name="Nota 2 3 3 13 3" xfId="7929"/>
    <cellStyle name="Nota 2 3 3 13 3 10" xfId="44219"/>
    <cellStyle name="Nota 2 3 3 13 3 11" xfId="48251"/>
    <cellStyle name="Nota 2 3 3 13 3 12" xfId="52330"/>
    <cellStyle name="Nota 2 3 3 13 3 2" xfId="11963"/>
    <cellStyle name="Nota 2 3 3 13 3 3" xfId="15995"/>
    <cellStyle name="Nota 2 3 3 13 3 4" xfId="20027"/>
    <cellStyle name="Nota 2 3 3 13 3 5" xfId="24059"/>
    <cellStyle name="Nota 2 3 3 13 3 6" xfId="28091"/>
    <cellStyle name="Nota 2 3 3 13 3 7" xfId="32123"/>
    <cellStyle name="Nota 2 3 3 13 3 8" xfId="36155"/>
    <cellStyle name="Nota 2 3 3 13 3 9" xfId="40187"/>
    <cellStyle name="Nota 2 3 3 13 4" xfId="9947"/>
    <cellStyle name="Nota 2 3 3 13 5" xfId="13979"/>
    <cellStyle name="Nota 2 3 3 13 6" xfId="18011"/>
    <cellStyle name="Nota 2 3 3 13 7" xfId="22043"/>
    <cellStyle name="Nota 2 3 3 13 8" xfId="26075"/>
    <cellStyle name="Nota 2 3 3 13 9" xfId="30107"/>
    <cellStyle name="Nota 2 3 3 14" xfId="4433"/>
    <cellStyle name="Nota 2 3 3 14 10" xfId="34277"/>
    <cellStyle name="Nota 2 3 3 14 11" xfId="38309"/>
    <cellStyle name="Nota 2 3 3 14 12" xfId="42341"/>
    <cellStyle name="Nota 2 3 3 14 13" xfId="46373"/>
    <cellStyle name="Nota 2 3 3 14 14" xfId="50452"/>
    <cellStyle name="Nota 2 3 3 14 2" xfId="7002"/>
    <cellStyle name="Nota 2 3 3 14 2 10" xfId="39260"/>
    <cellStyle name="Nota 2 3 3 14 2 11" xfId="43292"/>
    <cellStyle name="Nota 2 3 3 14 2 12" xfId="47324"/>
    <cellStyle name="Nota 2 3 3 14 2 13" xfId="51403"/>
    <cellStyle name="Nota 2 3 3 14 2 2" xfId="9018"/>
    <cellStyle name="Nota 2 3 3 14 2 2 10" xfId="45308"/>
    <cellStyle name="Nota 2 3 3 14 2 2 11" xfId="49340"/>
    <cellStyle name="Nota 2 3 3 14 2 2 12" xfId="53419"/>
    <cellStyle name="Nota 2 3 3 14 2 2 2" xfId="13052"/>
    <cellStyle name="Nota 2 3 3 14 2 2 3" xfId="17084"/>
    <cellStyle name="Nota 2 3 3 14 2 2 4" xfId="21116"/>
    <cellStyle name="Nota 2 3 3 14 2 2 5" xfId="25148"/>
    <cellStyle name="Nota 2 3 3 14 2 2 6" xfId="29180"/>
    <cellStyle name="Nota 2 3 3 14 2 2 7" xfId="33212"/>
    <cellStyle name="Nota 2 3 3 14 2 2 8" xfId="37244"/>
    <cellStyle name="Nota 2 3 3 14 2 2 9" xfId="41276"/>
    <cellStyle name="Nota 2 3 3 14 2 3" xfId="11036"/>
    <cellStyle name="Nota 2 3 3 14 2 4" xfId="15068"/>
    <cellStyle name="Nota 2 3 3 14 2 5" xfId="19100"/>
    <cellStyle name="Nota 2 3 3 14 2 6" xfId="23132"/>
    <cellStyle name="Nota 2 3 3 14 2 7" xfId="27164"/>
    <cellStyle name="Nota 2 3 3 14 2 8" xfId="31196"/>
    <cellStyle name="Nota 2 3 3 14 2 9" xfId="35228"/>
    <cellStyle name="Nota 2 3 3 14 3" xfId="8067"/>
    <cellStyle name="Nota 2 3 3 14 3 10" xfId="44357"/>
    <cellStyle name="Nota 2 3 3 14 3 11" xfId="48389"/>
    <cellStyle name="Nota 2 3 3 14 3 12" xfId="52468"/>
    <cellStyle name="Nota 2 3 3 14 3 2" xfId="12101"/>
    <cellStyle name="Nota 2 3 3 14 3 3" xfId="16133"/>
    <cellStyle name="Nota 2 3 3 14 3 4" xfId="20165"/>
    <cellStyle name="Nota 2 3 3 14 3 5" xfId="24197"/>
    <cellStyle name="Nota 2 3 3 14 3 6" xfId="28229"/>
    <cellStyle name="Nota 2 3 3 14 3 7" xfId="32261"/>
    <cellStyle name="Nota 2 3 3 14 3 8" xfId="36293"/>
    <cellStyle name="Nota 2 3 3 14 3 9" xfId="40325"/>
    <cellStyle name="Nota 2 3 3 14 4" xfId="10085"/>
    <cellStyle name="Nota 2 3 3 14 5" xfId="14117"/>
    <cellStyle name="Nota 2 3 3 14 6" xfId="18149"/>
    <cellStyle name="Nota 2 3 3 14 7" xfId="22181"/>
    <cellStyle name="Nota 2 3 3 14 8" xfId="26213"/>
    <cellStyle name="Nota 2 3 3 14 9" xfId="30245"/>
    <cellStyle name="Nota 2 3 3 15" xfId="4571"/>
    <cellStyle name="Nota 2 3 3 15 10" xfId="38447"/>
    <cellStyle name="Nota 2 3 3 15 11" xfId="42479"/>
    <cellStyle name="Nota 2 3 3 15 12" xfId="46511"/>
    <cellStyle name="Nota 2 3 3 15 13" xfId="50590"/>
    <cellStyle name="Nota 2 3 3 15 2" xfId="8205"/>
    <cellStyle name="Nota 2 3 3 15 2 10" xfId="44495"/>
    <cellStyle name="Nota 2 3 3 15 2 11" xfId="48527"/>
    <cellStyle name="Nota 2 3 3 15 2 12" xfId="52606"/>
    <cellStyle name="Nota 2 3 3 15 2 2" xfId="12239"/>
    <cellStyle name="Nota 2 3 3 15 2 3" xfId="16271"/>
    <cellStyle name="Nota 2 3 3 15 2 4" xfId="20303"/>
    <cellStyle name="Nota 2 3 3 15 2 5" xfId="24335"/>
    <cellStyle name="Nota 2 3 3 15 2 6" xfId="28367"/>
    <cellStyle name="Nota 2 3 3 15 2 7" xfId="32399"/>
    <cellStyle name="Nota 2 3 3 15 2 8" xfId="36431"/>
    <cellStyle name="Nota 2 3 3 15 2 9" xfId="40463"/>
    <cellStyle name="Nota 2 3 3 15 3" xfId="10223"/>
    <cellStyle name="Nota 2 3 3 15 4" xfId="14255"/>
    <cellStyle name="Nota 2 3 3 15 5" xfId="18287"/>
    <cellStyle name="Nota 2 3 3 15 6" xfId="22319"/>
    <cellStyle name="Nota 2 3 3 15 7" xfId="26351"/>
    <cellStyle name="Nota 2 3 3 15 8" xfId="30383"/>
    <cellStyle name="Nota 2 3 3 15 9" xfId="34415"/>
    <cellStyle name="Nota 2 3 3 16" xfId="299"/>
    <cellStyle name="Nota 2 3 3 16 10" xfId="37504"/>
    <cellStyle name="Nota 2 3 3 16 11" xfId="41536"/>
    <cellStyle name="Nota 2 3 3 16 12" xfId="45568"/>
    <cellStyle name="Nota 2 3 3 16 13" xfId="49646"/>
    <cellStyle name="Nota 2 3 3 16 2" xfId="7262"/>
    <cellStyle name="Nota 2 3 3 16 2 10" xfId="43552"/>
    <cellStyle name="Nota 2 3 3 16 2 11" xfId="47584"/>
    <cellStyle name="Nota 2 3 3 16 2 12" xfId="51663"/>
    <cellStyle name="Nota 2 3 3 16 2 2" xfId="11296"/>
    <cellStyle name="Nota 2 3 3 16 2 3" xfId="15328"/>
    <cellStyle name="Nota 2 3 3 16 2 4" xfId="19360"/>
    <cellStyle name="Nota 2 3 3 16 2 5" xfId="23392"/>
    <cellStyle name="Nota 2 3 3 16 2 6" xfId="27424"/>
    <cellStyle name="Nota 2 3 3 16 2 7" xfId="31456"/>
    <cellStyle name="Nota 2 3 3 16 2 8" xfId="35488"/>
    <cellStyle name="Nota 2 3 3 16 2 9" xfId="39520"/>
    <cellStyle name="Nota 2 3 3 16 3" xfId="9280"/>
    <cellStyle name="Nota 2 3 3 16 4" xfId="13312"/>
    <cellStyle name="Nota 2 3 3 16 5" xfId="17344"/>
    <cellStyle name="Nota 2 3 3 16 6" xfId="21376"/>
    <cellStyle name="Nota 2 3 3 16 7" xfId="25408"/>
    <cellStyle name="Nota 2 3 3 16 8" xfId="29440"/>
    <cellStyle name="Nota 2 3 3 16 9" xfId="33472"/>
    <cellStyle name="Nota 2 3 3 17" xfId="7140"/>
    <cellStyle name="Nota 2 3 3 17 10" xfId="43430"/>
    <cellStyle name="Nota 2 3 3 17 11" xfId="47462"/>
    <cellStyle name="Nota 2 3 3 17 12" xfId="51541"/>
    <cellStyle name="Nota 2 3 3 17 2" xfId="11174"/>
    <cellStyle name="Nota 2 3 3 17 3" xfId="15206"/>
    <cellStyle name="Nota 2 3 3 17 4" xfId="19238"/>
    <cellStyle name="Nota 2 3 3 17 5" xfId="23270"/>
    <cellStyle name="Nota 2 3 3 17 6" xfId="27302"/>
    <cellStyle name="Nota 2 3 3 17 7" xfId="31334"/>
    <cellStyle name="Nota 2 3 3 17 8" xfId="35366"/>
    <cellStyle name="Nota 2 3 3 17 9" xfId="39398"/>
    <cellStyle name="Nota 2 3 3 18" xfId="166"/>
    <cellStyle name="Nota 2 3 3 19" xfId="9158"/>
    <cellStyle name="Nota 2 3 3 2" xfId="245"/>
    <cellStyle name="Nota 2 3 3 2 10" xfId="7209"/>
    <cellStyle name="Nota 2 3 3 2 10 10" xfId="43499"/>
    <cellStyle name="Nota 2 3 3 2 10 11" xfId="47531"/>
    <cellStyle name="Nota 2 3 3 2 10 12" xfId="51610"/>
    <cellStyle name="Nota 2 3 3 2 10 2" xfId="11243"/>
    <cellStyle name="Nota 2 3 3 2 10 3" xfId="15275"/>
    <cellStyle name="Nota 2 3 3 2 10 4" xfId="19307"/>
    <cellStyle name="Nota 2 3 3 2 10 5" xfId="23339"/>
    <cellStyle name="Nota 2 3 3 2 10 6" xfId="27371"/>
    <cellStyle name="Nota 2 3 3 2 10 7" xfId="31403"/>
    <cellStyle name="Nota 2 3 3 2 10 8" xfId="35435"/>
    <cellStyle name="Nota 2 3 3 2 10 9" xfId="39467"/>
    <cellStyle name="Nota 2 3 3 2 11" xfId="9227"/>
    <cellStyle name="Nota 2 3 3 2 12" xfId="13259"/>
    <cellStyle name="Nota 2 3 3 2 13" xfId="17291"/>
    <cellStyle name="Nota 2 3 3 2 14" xfId="21323"/>
    <cellStyle name="Nota 2 3 3 2 15" xfId="25355"/>
    <cellStyle name="Nota 2 3 3 2 16" xfId="29387"/>
    <cellStyle name="Nota 2 3 3 2 17" xfId="33419"/>
    <cellStyle name="Nota 2 3 3 2 18" xfId="37451"/>
    <cellStyle name="Nota 2 3 3 2 19" xfId="41483"/>
    <cellStyle name="Nota 2 3 3 2 2" xfId="651"/>
    <cellStyle name="Nota 2 3 3 2 2 2" xfId="652"/>
    <cellStyle name="Nota 2 3 3 2 2 2 2" xfId="984"/>
    <cellStyle name="Nota 2 3 3 2 2 2 2 2" xfId="1301"/>
    <cellStyle name="Nota 2 3 3 2 2 2 2 2 2" xfId="1481"/>
    <cellStyle name="Nota 2 3 3 2 2 2 2 2 2 2" xfId="1581"/>
    <cellStyle name="Nota 2 3 3 2 2 2 2 2 2 2 2" xfId="5281"/>
    <cellStyle name="Nota 2 3 3 2 2 2 2 2 2 3" xfId="5235"/>
    <cellStyle name="Nota 2 3 3 2 2 2 2 2 3" xfId="5104"/>
    <cellStyle name="Nota 2 3 3 2 2 2 2 3" xfId="5012"/>
    <cellStyle name="Nota 2 3 3 2 2 2 3" xfId="1438"/>
    <cellStyle name="Nota 2 3 3 2 2 2 3 2" xfId="5207"/>
    <cellStyle name="Nota 2 3 3 2 2 2 4" xfId="4771"/>
    <cellStyle name="Nota 2 3 3 2 2 3" xfId="983"/>
    <cellStyle name="Nota 2 3 3 2 2 3 2" xfId="1302"/>
    <cellStyle name="Nota 2 3 3 2 2 3 2 2" xfId="1480"/>
    <cellStyle name="Nota 2 3 3 2 2 3 2 2 2" xfId="1580"/>
    <cellStyle name="Nota 2 3 3 2 2 3 2 2 2 2" xfId="5280"/>
    <cellStyle name="Nota 2 3 3 2 2 3 2 2 3" xfId="5234"/>
    <cellStyle name="Nota 2 3 3 2 2 3 2 3" xfId="5105"/>
    <cellStyle name="Nota 2 3 3 2 2 3 3" xfId="5011"/>
    <cellStyle name="Nota 2 3 3 2 2 4" xfId="1437"/>
    <cellStyle name="Nota 2 3 3 2 2 4 2" xfId="5206"/>
    <cellStyle name="Nota 2 3 3 2 2 5" xfId="4770"/>
    <cellStyle name="Nota 2 3 3 2 20" xfId="45515"/>
    <cellStyle name="Nota 2 3 3 2 21" xfId="49593"/>
    <cellStyle name="Nota 2 3 3 2 3" xfId="653"/>
    <cellStyle name="Nota 2 3 3 2 3 2" xfId="985"/>
    <cellStyle name="Nota 2 3 3 2 3 2 2" xfId="1303"/>
    <cellStyle name="Nota 2 3 3 2 3 2 2 2" xfId="1482"/>
    <cellStyle name="Nota 2 3 3 2 3 2 2 2 2" xfId="1582"/>
    <cellStyle name="Nota 2 3 3 2 3 2 2 2 2 2" xfId="5282"/>
    <cellStyle name="Nota 2 3 3 2 3 2 2 2 3" xfId="5236"/>
    <cellStyle name="Nota 2 3 3 2 3 2 2 3" xfId="5106"/>
    <cellStyle name="Nota 2 3 3 2 3 2 3" xfId="5013"/>
    <cellStyle name="Nota 2 3 3 2 3 3" xfId="1439"/>
    <cellStyle name="Nota 2 3 3 2 3 3 2" xfId="5208"/>
    <cellStyle name="Nota 2 3 3 2 3 4" xfId="4772"/>
    <cellStyle name="Nota 2 3 3 2 3 5" xfId="49442"/>
    <cellStyle name="Nota 2 3 3 2 4" xfId="982"/>
    <cellStyle name="Nota 2 3 3 2 4 2" xfId="1304"/>
    <cellStyle name="Nota 2 3 3 2 4 2 2" xfId="1479"/>
    <cellStyle name="Nota 2 3 3 2 4 2 2 2" xfId="1579"/>
    <cellStyle name="Nota 2 3 3 2 4 2 2 2 2" xfId="5279"/>
    <cellStyle name="Nota 2 3 3 2 4 2 2 3" xfId="5233"/>
    <cellStyle name="Nota 2 3 3 2 4 2 3" xfId="5107"/>
    <cellStyle name="Nota 2 3 3 2 4 3" xfId="5010"/>
    <cellStyle name="Nota 2 3 3 2 5" xfId="1436"/>
    <cellStyle name="Nota 2 3 3 2 5 2" xfId="5205"/>
    <cellStyle name="Nota 2 3 3 2 6" xfId="4363"/>
    <cellStyle name="Nota 2 3 3 2 6 10" xfId="34208"/>
    <cellStyle name="Nota 2 3 3 2 6 11" xfId="38240"/>
    <cellStyle name="Nota 2 3 3 2 6 12" xfId="42272"/>
    <cellStyle name="Nota 2 3 3 2 6 13" xfId="46304"/>
    <cellStyle name="Nota 2 3 3 2 6 14" xfId="50383"/>
    <cellStyle name="Nota 2 3 3 2 6 2" xfId="6933"/>
    <cellStyle name="Nota 2 3 3 2 6 2 10" xfId="39191"/>
    <cellStyle name="Nota 2 3 3 2 6 2 11" xfId="43223"/>
    <cellStyle name="Nota 2 3 3 2 6 2 12" xfId="47255"/>
    <cellStyle name="Nota 2 3 3 2 6 2 13" xfId="51334"/>
    <cellStyle name="Nota 2 3 3 2 6 2 2" xfId="8949"/>
    <cellStyle name="Nota 2 3 3 2 6 2 2 10" xfId="45239"/>
    <cellStyle name="Nota 2 3 3 2 6 2 2 11" xfId="49271"/>
    <cellStyle name="Nota 2 3 3 2 6 2 2 12" xfId="53350"/>
    <cellStyle name="Nota 2 3 3 2 6 2 2 2" xfId="12983"/>
    <cellStyle name="Nota 2 3 3 2 6 2 2 3" xfId="17015"/>
    <cellStyle name="Nota 2 3 3 2 6 2 2 4" xfId="21047"/>
    <cellStyle name="Nota 2 3 3 2 6 2 2 5" xfId="25079"/>
    <cellStyle name="Nota 2 3 3 2 6 2 2 6" xfId="29111"/>
    <cellStyle name="Nota 2 3 3 2 6 2 2 7" xfId="33143"/>
    <cellStyle name="Nota 2 3 3 2 6 2 2 8" xfId="37175"/>
    <cellStyle name="Nota 2 3 3 2 6 2 2 9" xfId="41207"/>
    <cellStyle name="Nota 2 3 3 2 6 2 3" xfId="10967"/>
    <cellStyle name="Nota 2 3 3 2 6 2 4" xfId="14999"/>
    <cellStyle name="Nota 2 3 3 2 6 2 5" xfId="19031"/>
    <cellStyle name="Nota 2 3 3 2 6 2 6" xfId="23063"/>
    <cellStyle name="Nota 2 3 3 2 6 2 7" xfId="27095"/>
    <cellStyle name="Nota 2 3 3 2 6 2 8" xfId="31127"/>
    <cellStyle name="Nota 2 3 3 2 6 2 9" xfId="35159"/>
    <cellStyle name="Nota 2 3 3 2 6 3" xfId="7998"/>
    <cellStyle name="Nota 2 3 3 2 6 3 10" xfId="44288"/>
    <cellStyle name="Nota 2 3 3 2 6 3 11" xfId="48320"/>
    <cellStyle name="Nota 2 3 3 2 6 3 12" xfId="52399"/>
    <cellStyle name="Nota 2 3 3 2 6 3 2" xfId="12032"/>
    <cellStyle name="Nota 2 3 3 2 6 3 3" xfId="16064"/>
    <cellStyle name="Nota 2 3 3 2 6 3 4" xfId="20096"/>
    <cellStyle name="Nota 2 3 3 2 6 3 5" xfId="24128"/>
    <cellStyle name="Nota 2 3 3 2 6 3 6" xfId="28160"/>
    <cellStyle name="Nota 2 3 3 2 6 3 7" xfId="32192"/>
    <cellStyle name="Nota 2 3 3 2 6 3 8" xfId="36224"/>
    <cellStyle name="Nota 2 3 3 2 6 3 9" xfId="40256"/>
    <cellStyle name="Nota 2 3 3 2 6 4" xfId="10016"/>
    <cellStyle name="Nota 2 3 3 2 6 5" xfId="14048"/>
    <cellStyle name="Nota 2 3 3 2 6 6" xfId="18080"/>
    <cellStyle name="Nota 2 3 3 2 6 7" xfId="22112"/>
    <cellStyle name="Nota 2 3 3 2 6 8" xfId="26144"/>
    <cellStyle name="Nota 2 3 3 2 6 9" xfId="30176"/>
    <cellStyle name="Nota 2 3 3 2 7" xfId="4502"/>
    <cellStyle name="Nota 2 3 3 2 7 10" xfId="34346"/>
    <cellStyle name="Nota 2 3 3 2 7 11" xfId="38378"/>
    <cellStyle name="Nota 2 3 3 2 7 12" xfId="42410"/>
    <cellStyle name="Nota 2 3 3 2 7 13" xfId="46442"/>
    <cellStyle name="Nota 2 3 3 2 7 14" xfId="50521"/>
    <cellStyle name="Nota 2 3 3 2 7 2" xfId="7071"/>
    <cellStyle name="Nota 2 3 3 2 7 2 10" xfId="39329"/>
    <cellStyle name="Nota 2 3 3 2 7 2 11" xfId="43361"/>
    <cellStyle name="Nota 2 3 3 2 7 2 12" xfId="47393"/>
    <cellStyle name="Nota 2 3 3 2 7 2 13" xfId="51472"/>
    <cellStyle name="Nota 2 3 3 2 7 2 2" xfId="9087"/>
    <cellStyle name="Nota 2 3 3 2 7 2 2 10" xfId="45377"/>
    <cellStyle name="Nota 2 3 3 2 7 2 2 11" xfId="49409"/>
    <cellStyle name="Nota 2 3 3 2 7 2 2 12" xfId="53488"/>
    <cellStyle name="Nota 2 3 3 2 7 2 2 2" xfId="13121"/>
    <cellStyle name="Nota 2 3 3 2 7 2 2 3" xfId="17153"/>
    <cellStyle name="Nota 2 3 3 2 7 2 2 4" xfId="21185"/>
    <cellStyle name="Nota 2 3 3 2 7 2 2 5" xfId="25217"/>
    <cellStyle name="Nota 2 3 3 2 7 2 2 6" xfId="29249"/>
    <cellStyle name="Nota 2 3 3 2 7 2 2 7" xfId="33281"/>
    <cellStyle name="Nota 2 3 3 2 7 2 2 8" xfId="37313"/>
    <cellStyle name="Nota 2 3 3 2 7 2 2 9" xfId="41345"/>
    <cellStyle name="Nota 2 3 3 2 7 2 3" xfId="11105"/>
    <cellStyle name="Nota 2 3 3 2 7 2 4" xfId="15137"/>
    <cellStyle name="Nota 2 3 3 2 7 2 5" xfId="19169"/>
    <cellStyle name="Nota 2 3 3 2 7 2 6" xfId="23201"/>
    <cellStyle name="Nota 2 3 3 2 7 2 7" xfId="27233"/>
    <cellStyle name="Nota 2 3 3 2 7 2 8" xfId="31265"/>
    <cellStyle name="Nota 2 3 3 2 7 2 9" xfId="35297"/>
    <cellStyle name="Nota 2 3 3 2 7 3" xfId="8136"/>
    <cellStyle name="Nota 2 3 3 2 7 3 10" xfId="44426"/>
    <cellStyle name="Nota 2 3 3 2 7 3 11" xfId="48458"/>
    <cellStyle name="Nota 2 3 3 2 7 3 12" xfId="52537"/>
    <cellStyle name="Nota 2 3 3 2 7 3 2" xfId="12170"/>
    <cellStyle name="Nota 2 3 3 2 7 3 3" xfId="16202"/>
    <cellStyle name="Nota 2 3 3 2 7 3 4" xfId="20234"/>
    <cellStyle name="Nota 2 3 3 2 7 3 5" xfId="24266"/>
    <cellStyle name="Nota 2 3 3 2 7 3 6" xfId="28298"/>
    <cellStyle name="Nota 2 3 3 2 7 3 7" xfId="32330"/>
    <cellStyle name="Nota 2 3 3 2 7 3 8" xfId="36362"/>
    <cellStyle name="Nota 2 3 3 2 7 3 9" xfId="40394"/>
    <cellStyle name="Nota 2 3 3 2 7 4" xfId="10154"/>
    <cellStyle name="Nota 2 3 3 2 7 5" xfId="14186"/>
    <cellStyle name="Nota 2 3 3 2 7 6" xfId="18218"/>
    <cellStyle name="Nota 2 3 3 2 7 7" xfId="22250"/>
    <cellStyle name="Nota 2 3 3 2 7 8" xfId="26282"/>
    <cellStyle name="Nota 2 3 3 2 7 9" xfId="30314"/>
    <cellStyle name="Nota 2 3 3 2 8" xfId="4642"/>
    <cellStyle name="Nota 2 3 3 2 8 10" xfId="38516"/>
    <cellStyle name="Nota 2 3 3 2 8 11" xfId="42548"/>
    <cellStyle name="Nota 2 3 3 2 8 12" xfId="46580"/>
    <cellStyle name="Nota 2 3 3 2 8 13" xfId="50659"/>
    <cellStyle name="Nota 2 3 3 2 8 2" xfId="8274"/>
    <cellStyle name="Nota 2 3 3 2 8 2 10" xfId="44564"/>
    <cellStyle name="Nota 2 3 3 2 8 2 11" xfId="48596"/>
    <cellStyle name="Nota 2 3 3 2 8 2 12" xfId="52675"/>
    <cellStyle name="Nota 2 3 3 2 8 2 2" xfId="12308"/>
    <cellStyle name="Nota 2 3 3 2 8 2 3" xfId="16340"/>
    <cellStyle name="Nota 2 3 3 2 8 2 4" xfId="20372"/>
    <cellStyle name="Nota 2 3 3 2 8 2 5" xfId="24404"/>
    <cellStyle name="Nota 2 3 3 2 8 2 6" xfId="28436"/>
    <cellStyle name="Nota 2 3 3 2 8 2 7" xfId="32468"/>
    <cellStyle name="Nota 2 3 3 2 8 2 8" xfId="36500"/>
    <cellStyle name="Nota 2 3 3 2 8 2 9" xfId="40532"/>
    <cellStyle name="Nota 2 3 3 2 8 3" xfId="10292"/>
    <cellStyle name="Nota 2 3 3 2 8 4" xfId="14324"/>
    <cellStyle name="Nota 2 3 3 2 8 5" xfId="18356"/>
    <cellStyle name="Nota 2 3 3 2 8 6" xfId="22388"/>
    <cellStyle name="Nota 2 3 3 2 8 7" xfId="26420"/>
    <cellStyle name="Nota 2 3 3 2 8 8" xfId="30452"/>
    <cellStyle name="Nota 2 3 3 2 8 9" xfId="34484"/>
    <cellStyle name="Nota 2 3 3 2 9" xfId="650"/>
    <cellStyle name="Nota 2 3 3 20" xfId="13190"/>
    <cellStyle name="Nota 2 3 3 21" xfId="17222"/>
    <cellStyle name="Nota 2 3 3 22" xfId="21254"/>
    <cellStyle name="Nota 2 3 3 23" xfId="25286"/>
    <cellStyle name="Nota 2 3 3 24" xfId="29318"/>
    <cellStyle name="Nota 2 3 3 25" xfId="33350"/>
    <cellStyle name="Nota 2 3 3 26" xfId="37382"/>
    <cellStyle name="Nota 2 3 3 27" xfId="41414"/>
    <cellStyle name="Nota 2 3 3 28" xfId="45446"/>
    <cellStyle name="Nota 2 3 3 29" xfId="49524"/>
    <cellStyle name="Nota 2 3 3 3" xfId="654"/>
    <cellStyle name="Nota 2 3 3 3 2" xfId="986"/>
    <cellStyle name="Nota 2 3 3 3 2 2" xfId="1305"/>
    <cellStyle name="Nota 2 3 3 3 2 2 2" xfId="1483"/>
    <cellStyle name="Nota 2 3 3 3 2 2 2 2" xfId="1583"/>
    <cellStyle name="Nota 2 3 3 3 2 2 2 2 2" xfId="5283"/>
    <cellStyle name="Nota 2 3 3 3 2 2 2 3" xfId="5237"/>
    <cellStyle name="Nota 2 3 3 3 2 2 3" xfId="5108"/>
    <cellStyle name="Nota 2 3 3 3 2 3" xfId="5014"/>
    <cellStyle name="Nota 2 3 3 3 3" xfId="1440"/>
    <cellStyle name="Nota 2 3 3 3 3 2" xfId="5209"/>
    <cellStyle name="Nota 2 3 3 3 4" xfId="4773"/>
    <cellStyle name="Nota 2 3 3 4" xfId="981"/>
    <cellStyle name="Nota 2 3 3 4 2" xfId="1306"/>
    <cellStyle name="Nota 2 3 3 4 2 2" xfId="1478"/>
    <cellStyle name="Nota 2 3 3 4 2 2 2" xfId="1578"/>
    <cellStyle name="Nota 2 3 3 4 2 2 2 2" xfId="5278"/>
    <cellStyle name="Nota 2 3 3 4 2 2 3" xfId="5232"/>
    <cellStyle name="Nota 2 3 3 4 2 3" xfId="5109"/>
    <cellStyle name="Nota 2 3 3 4 3" xfId="5009"/>
    <cellStyle name="Nota 2 3 3 5" xfId="1421"/>
    <cellStyle name="Nota 2 3 3 5 2" xfId="5196"/>
    <cellStyle name="Nota 2 3 3 6" xfId="649"/>
    <cellStyle name="Nota 2 3 3 6 2" xfId="4769"/>
    <cellStyle name="Nota 2 3 3 7" xfId="369"/>
    <cellStyle name="Nota 2 3 3 7 10" xfId="33542"/>
    <cellStyle name="Nota 2 3 3 7 11" xfId="37574"/>
    <cellStyle name="Nota 2 3 3 7 12" xfId="41606"/>
    <cellStyle name="Nota 2 3 3 7 13" xfId="45638"/>
    <cellStyle name="Nota 2 3 3 7 14" xfId="49716"/>
    <cellStyle name="Nota 2 3 3 7 2" xfId="4671"/>
    <cellStyle name="Nota 2 3 3 7 2 10" xfId="38545"/>
    <cellStyle name="Nota 2 3 3 7 2 11" xfId="42577"/>
    <cellStyle name="Nota 2 3 3 7 2 12" xfId="46609"/>
    <cellStyle name="Nota 2 3 3 7 2 13" xfId="50688"/>
    <cellStyle name="Nota 2 3 3 7 2 2" xfId="8303"/>
    <cellStyle name="Nota 2 3 3 7 2 2 10" xfId="44593"/>
    <cellStyle name="Nota 2 3 3 7 2 2 11" xfId="48625"/>
    <cellStyle name="Nota 2 3 3 7 2 2 12" xfId="52704"/>
    <cellStyle name="Nota 2 3 3 7 2 2 2" xfId="12337"/>
    <cellStyle name="Nota 2 3 3 7 2 2 3" xfId="16369"/>
    <cellStyle name="Nota 2 3 3 7 2 2 4" xfId="20401"/>
    <cellStyle name="Nota 2 3 3 7 2 2 5" xfId="24433"/>
    <cellStyle name="Nota 2 3 3 7 2 2 6" xfId="28465"/>
    <cellStyle name="Nota 2 3 3 7 2 2 7" xfId="32497"/>
    <cellStyle name="Nota 2 3 3 7 2 2 8" xfId="36529"/>
    <cellStyle name="Nota 2 3 3 7 2 2 9" xfId="40561"/>
    <cellStyle name="Nota 2 3 3 7 2 3" xfId="10321"/>
    <cellStyle name="Nota 2 3 3 7 2 4" xfId="14353"/>
    <cellStyle name="Nota 2 3 3 7 2 5" xfId="18385"/>
    <cellStyle name="Nota 2 3 3 7 2 6" xfId="22417"/>
    <cellStyle name="Nota 2 3 3 7 2 7" xfId="26449"/>
    <cellStyle name="Nota 2 3 3 7 2 8" xfId="30481"/>
    <cellStyle name="Nota 2 3 3 7 2 9" xfId="34513"/>
    <cellStyle name="Nota 2 3 3 7 3" xfId="7332"/>
    <cellStyle name="Nota 2 3 3 7 3 10" xfId="43622"/>
    <cellStyle name="Nota 2 3 3 7 3 11" xfId="47654"/>
    <cellStyle name="Nota 2 3 3 7 3 12" xfId="51733"/>
    <cellStyle name="Nota 2 3 3 7 3 2" xfId="11366"/>
    <cellStyle name="Nota 2 3 3 7 3 3" xfId="15398"/>
    <cellStyle name="Nota 2 3 3 7 3 4" xfId="19430"/>
    <cellStyle name="Nota 2 3 3 7 3 5" xfId="23462"/>
    <cellStyle name="Nota 2 3 3 7 3 6" xfId="27494"/>
    <cellStyle name="Nota 2 3 3 7 3 7" xfId="31526"/>
    <cellStyle name="Nota 2 3 3 7 3 8" xfId="35558"/>
    <cellStyle name="Nota 2 3 3 7 3 9" xfId="39590"/>
    <cellStyle name="Nota 2 3 3 7 4" xfId="9350"/>
    <cellStyle name="Nota 2 3 3 7 5" xfId="13382"/>
    <cellStyle name="Nota 2 3 3 7 6" xfId="17414"/>
    <cellStyle name="Nota 2 3 3 7 7" xfId="21446"/>
    <cellStyle name="Nota 2 3 3 7 8" xfId="25478"/>
    <cellStyle name="Nota 2 3 3 7 9" xfId="29510"/>
    <cellStyle name="Nota 2 3 3 8" xfId="1679"/>
    <cellStyle name="Nota 2 3 3 8 10" xfId="33640"/>
    <cellStyle name="Nota 2 3 3 8 11" xfId="37672"/>
    <cellStyle name="Nota 2 3 3 8 12" xfId="41704"/>
    <cellStyle name="Nota 2 3 3 8 13" xfId="45736"/>
    <cellStyle name="Nota 2 3 3 8 14" xfId="49814"/>
    <cellStyle name="Nota 2 3 3 8 2" xfId="5355"/>
    <cellStyle name="Nota 2 3 3 8 2 10" xfId="38623"/>
    <cellStyle name="Nota 2 3 3 8 2 11" xfId="42655"/>
    <cellStyle name="Nota 2 3 3 8 2 12" xfId="46687"/>
    <cellStyle name="Nota 2 3 3 8 2 13" xfId="50766"/>
    <cellStyle name="Nota 2 3 3 8 2 2" xfId="8381"/>
    <cellStyle name="Nota 2 3 3 8 2 2 10" xfId="44671"/>
    <cellStyle name="Nota 2 3 3 8 2 2 11" xfId="48703"/>
    <cellStyle name="Nota 2 3 3 8 2 2 12" xfId="52782"/>
    <cellStyle name="Nota 2 3 3 8 2 2 2" xfId="12415"/>
    <cellStyle name="Nota 2 3 3 8 2 2 3" xfId="16447"/>
    <cellStyle name="Nota 2 3 3 8 2 2 4" xfId="20479"/>
    <cellStyle name="Nota 2 3 3 8 2 2 5" xfId="24511"/>
    <cellStyle name="Nota 2 3 3 8 2 2 6" xfId="28543"/>
    <cellStyle name="Nota 2 3 3 8 2 2 7" xfId="32575"/>
    <cellStyle name="Nota 2 3 3 8 2 2 8" xfId="36607"/>
    <cellStyle name="Nota 2 3 3 8 2 2 9" xfId="40639"/>
    <cellStyle name="Nota 2 3 3 8 2 3" xfId="10399"/>
    <cellStyle name="Nota 2 3 3 8 2 4" xfId="14431"/>
    <cellStyle name="Nota 2 3 3 8 2 5" xfId="18463"/>
    <cellStyle name="Nota 2 3 3 8 2 6" xfId="22495"/>
    <cellStyle name="Nota 2 3 3 8 2 7" xfId="26527"/>
    <cellStyle name="Nota 2 3 3 8 2 8" xfId="30559"/>
    <cellStyle name="Nota 2 3 3 8 2 9" xfId="34591"/>
    <cellStyle name="Nota 2 3 3 8 3" xfId="7430"/>
    <cellStyle name="Nota 2 3 3 8 3 10" xfId="43720"/>
    <cellStyle name="Nota 2 3 3 8 3 11" xfId="47752"/>
    <cellStyle name="Nota 2 3 3 8 3 12" xfId="51831"/>
    <cellStyle name="Nota 2 3 3 8 3 2" xfId="11464"/>
    <cellStyle name="Nota 2 3 3 8 3 3" xfId="15496"/>
    <cellStyle name="Nota 2 3 3 8 3 4" xfId="19528"/>
    <cellStyle name="Nota 2 3 3 8 3 5" xfId="23560"/>
    <cellStyle name="Nota 2 3 3 8 3 6" xfId="27592"/>
    <cellStyle name="Nota 2 3 3 8 3 7" xfId="31624"/>
    <cellStyle name="Nota 2 3 3 8 3 8" xfId="35656"/>
    <cellStyle name="Nota 2 3 3 8 3 9" xfId="39688"/>
    <cellStyle name="Nota 2 3 3 8 4" xfId="9448"/>
    <cellStyle name="Nota 2 3 3 8 5" xfId="13480"/>
    <cellStyle name="Nota 2 3 3 8 6" xfId="17512"/>
    <cellStyle name="Nota 2 3 3 8 7" xfId="21544"/>
    <cellStyle name="Nota 2 3 3 8 8" xfId="25576"/>
    <cellStyle name="Nota 2 3 3 8 9" xfId="29608"/>
    <cellStyle name="Nota 2 3 3 9" xfId="1753"/>
    <cellStyle name="Nota 2 3 3 9 10" xfId="33709"/>
    <cellStyle name="Nota 2 3 3 9 11" xfId="37741"/>
    <cellStyle name="Nota 2 3 3 9 12" xfId="41773"/>
    <cellStyle name="Nota 2 3 3 9 13" xfId="45805"/>
    <cellStyle name="Nota 2 3 3 9 14" xfId="49883"/>
    <cellStyle name="Nota 2 3 3 9 2" xfId="5424"/>
    <cellStyle name="Nota 2 3 3 9 2 10" xfId="38692"/>
    <cellStyle name="Nota 2 3 3 9 2 11" xfId="42724"/>
    <cellStyle name="Nota 2 3 3 9 2 12" xfId="46756"/>
    <cellStyle name="Nota 2 3 3 9 2 13" xfId="50835"/>
    <cellStyle name="Nota 2 3 3 9 2 2" xfId="8450"/>
    <cellStyle name="Nota 2 3 3 9 2 2 10" xfId="44740"/>
    <cellStyle name="Nota 2 3 3 9 2 2 11" xfId="48772"/>
    <cellStyle name="Nota 2 3 3 9 2 2 12" xfId="52851"/>
    <cellStyle name="Nota 2 3 3 9 2 2 2" xfId="12484"/>
    <cellStyle name="Nota 2 3 3 9 2 2 3" xfId="16516"/>
    <cellStyle name="Nota 2 3 3 9 2 2 4" xfId="20548"/>
    <cellStyle name="Nota 2 3 3 9 2 2 5" xfId="24580"/>
    <cellStyle name="Nota 2 3 3 9 2 2 6" xfId="28612"/>
    <cellStyle name="Nota 2 3 3 9 2 2 7" xfId="32644"/>
    <cellStyle name="Nota 2 3 3 9 2 2 8" xfId="36676"/>
    <cellStyle name="Nota 2 3 3 9 2 2 9" xfId="40708"/>
    <cellStyle name="Nota 2 3 3 9 2 3" xfId="10468"/>
    <cellStyle name="Nota 2 3 3 9 2 4" xfId="14500"/>
    <cellStyle name="Nota 2 3 3 9 2 5" xfId="18532"/>
    <cellStyle name="Nota 2 3 3 9 2 6" xfId="22564"/>
    <cellStyle name="Nota 2 3 3 9 2 7" xfId="26596"/>
    <cellStyle name="Nota 2 3 3 9 2 8" xfId="30628"/>
    <cellStyle name="Nota 2 3 3 9 2 9" xfId="34660"/>
    <cellStyle name="Nota 2 3 3 9 3" xfId="7499"/>
    <cellStyle name="Nota 2 3 3 9 3 10" xfId="43789"/>
    <cellStyle name="Nota 2 3 3 9 3 11" xfId="47821"/>
    <cellStyle name="Nota 2 3 3 9 3 12" xfId="51900"/>
    <cellStyle name="Nota 2 3 3 9 3 2" xfId="11533"/>
    <cellStyle name="Nota 2 3 3 9 3 3" xfId="15565"/>
    <cellStyle name="Nota 2 3 3 9 3 4" xfId="19597"/>
    <cellStyle name="Nota 2 3 3 9 3 5" xfId="23629"/>
    <cellStyle name="Nota 2 3 3 9 3 6" xfId="27661"/>
    <cellStyle name="Nota 2 3 3 9 3 7" xfId="31693"/>
    <cellStyle name="Nota 2 3 3 9 3 8" xfId="35725"/>
    <cellStyle name="Nota 2 3 3 9 3 9" xfId="39757"/>
    <cellStyle name="Nota 2 3 3 9 4" xfId="9517"/>
    <cellStyle name="Nota 2 3 3 9 5" xfId="13549"/>
    <cellStyle name="Nota 2 3 3 9 6" xfId="17581"/>
    <cellStyle name="Nota 2 3 3 9 7" xfId="21613"/>
    <cellStyle name="Nota 2 3 3 9 8" xfId="25645"/>
    <cellStyle name="Nota 2 3 3 9 9" xfId="29677"/>
    <cellStyle name="Nota 2 3 30" xfId="45395"/>
    <cellStyle name="Nota 2 3 31" xfId="49473"/>
    <cellStyle name="Nota 2 3 4" xfId="75"/>
    <cellStyle name="Nota 2 3 4 10" xfId="4059"/>
    <cellStyle name="Nota 2 3 4 10 10" xfId="33916"/>
    <cellStyle name="Nota 2 3 4 10 11" xfId="37948"/>
    <cellStyle name="Nota 2 3 4 10 12" xfId="41980"/>
    <cellStyle name="Nota 2 3 4 10 13" xfId="46012"/>
    <cellStyle name="Nota 2 3 4 10 14" xfId="50090"/>
    <cellStyle name="Nota 2 3 4 10 2" xfId="6641"/>
    <cellStyle name="Nota 2 3 4 10 2 10" xfId="38899"/>
    <cellStyle name="Nota 2 3 4 10 2 11" xfId="42931"/>
    <cellStyle name="Nota 2 3 4 10 2 12" xfId="46963"/>
    <cellStyle name="Nota 2 3 4 10 2 13" xfId="51042"/>
    <cellStyle name="Nota 2 3 4 10 2 2" xfId="8657"/>
    <cellStyle name="Nota 2 3 4 10 2 2 10" xfId="44947"/>
    <cellStyle name="Nota 2 3 4 10 2 2 11" xfId="48979"/>
    <cellStyle name="Nota 2 3 4 10 2 2 12" xfId="53058"/>
    <cellStyle name="Nota 2 3 4 10 2 2 2" xfId="12691"/>
    <cellStyle name="Nota 2 3 4 10 2 2 3" xfId="16723"/>
    <cellStyle name="Nota 2 3 4 10 2 2 4" xfId="20755"/>
    <cellStyle name="Nota 2 3 4 10 2 2 5" xfId="24787"/>
    <cellStyle name="Nota 2 3 4 10 2 2 6" xfId="28819"/>
    <cellStyle name="Nota 2 3 4 10 2 2 7" xfId="32851"/>
    <cellStyle name="Nota 2 3 4 10 2 2 8" xfId="36883"/>
    <cellStyle name="Nota 2 3 4 10 2 2 9" xfId="40915"/>
    <cellStyle name="Nota 2 3 4 10 2 3" xfId="10675"/>
    <cellStyle name="Nota 2 3 4 10 2 4" xfId="14707"/>
    <cellStyle name="Nota 2 3 4 10 2 5" xfId="18739"/>
    <cellStyle name="Nota 2 3 4 10 2 6" xfId="22771"/>
    <cellStyle name="Nota 2 3 4 10 2 7" xfId="26803"/>
    <cellStyle name="Nota 2 3 4 10 2 8" xfId="30835"/>
    <cellStyle name="Nota 2 3 4 10 2 9" xfId="34867"/>
    <cellStyle name="Nota 2 3 4 10 3" xfId="7706"/>
    <cellStyle name="Nota 2 3 4 10 3 10" xfId="43996"/>
    <cellStyle name="Nota 2 3 4 10 3 11" xfId="48028"/>
    <cellStyle name="Nota 2 3 4 10 3 12" xfId="52107"/>
    <cellStyle name="Nota 2 3 4 10 3 2" xfId="11740"/>
    <cellStyle name="Nota 2 3 4 10 3 3" xfId="15772"/>
    <cellStyle name="Nota 2 3 4 10 3 4" xfId="19804"/>
    <cellStyle name="Nota 2 3 4 10 3 5" xfId="23836"/>
    <cellStyle name="Nota 2 3 4 10 3 6" xfId="27868"/>
    <cellStyle name="Nota 2 3 4 10 3 7" xfId="31900"/>
    <cellStyle name="Nota 2 3 4 10 3 8" xfId="35932"/>
    <cellStyle name="Nota 2 3 4 10 3 9" xfId="39964"/>
    <cellStyle name="Nota 2 3 4 10 4" xfId="9724"/>
    <cellStyle name="Nota 2 3 4 10 5" xfId="13756"/>
    <cellStyle name="Nota 2 3 4 10 6" xfId="17788"/>
    <cellStyle name="Nota 2 3 4 10 7" xfId="21820"/>
    <cellStyle name="Nota 2 3 4 10 8" xfId="25852"/>
    <cellStyle name="Nota 2 3 4 10 9" xfId="29884"/>
    <cellStyle name="Nota 2 3 4 11" xfId="4129"/>
    <cellStyle name="Nota 2 3 4 11 10" xfId="33985"/>
    <cellStyle name="Nota 2 3 4 11 11" xfId="38017"/>
    <cellStyle name="Nota 2 3 4 11 12" xfId="42049"/>
    <cellStyle name="Nota 2 3 4 11 13" xfId="46081"/>
    <cellStyle name="Nota 2 3 4 11 14" xfId="50159"/>
    <cellStyle name="Nota 2 3 4 11 2" xfId="6710"/>
    <cellStyle name="Nota 2 3 4 11 2 10" xfId="38968"/>
    <cellStyle name="Nota 2 3 4 11 2 11" xfId="43000"/>
    <cellStyle name="Nota 2 3 4 11 2 12" xfId="47032"/>
    <cellStyle name="Nota 2 3 4 11 2 13" xfId="51111"/>
    <cellStyle name="Nota 2 3 4 11 2 2" xfId="8726"/>
    <cellStyle name="Nota 2 3 4 11 2 2 10" xfId="45016"/>
    <cellStyle name="Nota 2 3 4 11 2 2 11" xfId="49048"/>
    <cellStyle name="Nota 2 3 4 11 2 2 12" xfId="53127"/>
    <cellStyle name="Nota 2 3 4 11 2 2 2" xfId="12760"/>
    <cellStyle name="Nota 2 3 4 11 2 2 3" xfId="16792"/>
    <cellStyle name="Nota 2 3 4 11 2 2 4" xfId="20824"/>
    <cellStyle name="Nota 2 3 4 11 2 2 5" xfId="24856"/>
    <cellStyle name="Nota 2 3 4 11 2 2 6" xfId="28888"/>
    <cellStyle name="Nota 2 3 4 11 2 2 7" xfId="32920"/>
    <cellStyle name="Nota 2 3 4 11 2 2 8" xfId="36952"/>
    <cellStyle name="Nota 2 3 4 11 2 2 9" xfId="40984"/>
    <cellStyle name="Nota 2 3 4 11 2 3" xfId="10744"/>
    <cellStyle name="Nota 2 3 4 11 2 4" xfId="14776"/>
    <cellStyle name="Nota 2 3 4 11 2 5" xfId="18808"/>
    <cellStyle name="Nota 2 3 4 11 2 6" xfId="22840"/>
    <cellStyle name="Nota 2 3 4 11 2 7" xfId="26872"/>
    <cellStyle name="Nota 2 3 4 11 2 8" xfId="30904"/>
    <cellStyle name="Nota 2 3 4 11 2 9" xfId="34936"/>
    <cellStyle name="Nota 2 3 4 11 3" xfId="7775"/>
    <cellStyle name="Nota 2 3 4 11 3 10" xfId="44065"/>
    <cellStyle name="Nota 2 3 4 11 3 11" xfId="48097"/>
    <cellStyle name="Nota 2 3 4 11 3 12" xfId="52176"/>
    <cellStyle name="Nota 2 3 4 11 3 2" xfId="11809"/>
    <cellStyle name="Nota 2 3 4 11 3 3" xfId="15841"/>
    <cellStyle name="Nota 2 3 4 11 3 4" xfId="19873"/>
    <cellStyle name="Nota 2 3 4 11 3 5" xfId="23905"/>
    <cellStyle name="Nota 2 3 4 11 3 6" xfId="27937"/>
    <cellStyle name="Nota 2 3 4 11 3 7" xfId="31969"/>
    <cellStyle name="Nota 2 3 4 11 3 8" xfId="36001"/>
    <cellStyle name="Nota 2 3 4 11 3 9" xfId="40033"/>
    <cellStyle name="Nota 2 3 4 11 4" xfId="9793"/>
    <cellStyle name="Nota 2 3 4 11 5" xfId="13825"/>
    <cellStyle name="Nota 2 3 4 11 6" xfId="17857"/>
    <cellStyle name="Nota 2 3 4 11 7" xfId="21889"/>
    <cellStyle name="Nota 2 3 4 11 8" xfId="25921"/>
    <cellStyle name="Nota 2 3 4 11 9" xfId="29953"/>
    <cellStyle name="Nota 2 3 4 12" xfId="4198"/>
    <cellStyle name="Nota 2 3 4 12 10" xfId="34054"/>
    <cellStyle name="Nota 2 3 4 12 11" xfId="38086"/>
    <cellStyle name="Nota 2 3 4 12 12" xfId="42118"/>
    <cellStyle name="Nota 2 3 4 12 13" xfId="46150"/>
    <cellStyle name="Nota 2 3 4 12 14" xfId="50228"/>
    <cellStyle name="Nota 2 3 4 12 2" xfId="6779"/>
    <cellStyle name="Nota 2 3 4 12 2 10" xfId="39037"/>
    <cellStyle name="Nota 2 3 4 12 2 11" xfId="43069"/>
    <cellStyle name="Nota 2 3 4 12 2 12" xfId="47101"/>
    <cellStyle name="Nota 2 3 4 12 2 13" xfId="51180"/>
    <cellStyle name="Nota 2 3 4 12 2 2" xfId="8795"/>
    <cellStyle name="Nota 2 3 4 12 2 2 10" xfId="45085"/>
    <cellStyle name="Nota 2 3 4 12 2 2 11" xfId="49117"/>
    <cellStyle name="Nota 2 3 4 12 2 2 12" xfId="53196"/>
    <cellStyle name="Nota 2 3 4 12 2 2 2" xfId="12829"/>
    <cellStyle name="Nota 2 3 4 12 2 2 3" xfId="16861"/>
    <cellStyle name="Nota 2 3 4 12 2 2 4" xfId="20893"/>
    <cellStyle name="Nota 2 3 4 12 2 2 5" xfId="24925"/>
    <cellStyle name="Nota 2 3 4 12 2 2 6" xfId="28957"/>
    <cellStyle name="Nota 2 3 4 12 2 2 7" xfId="32989"/>
    <cellStyle name="Nota 2 3 4 12 2 2 8" xfId="37021"/>
    <cellStyle name="Nota 2 3 4 12 2 2 9" xfId="41053"/>
    <cellStyle name="Nota 2 3 4 12 2 3" xfId="10813"/>
    <cellStyle name="Nota 2 3 4 12 2 4" xfId="14845"/>
    <cellStyle name="Nota 2 3 4 12 2 5" xfId="18877"/>
    <cellStyle name="Nota 2 3 4 12 2 6" xfId="22909"/>
    <cellStyle name="Nota 2 3 4 12 2 7" xfId="26941"/>
    <cellStyle name="Nota 2 3 4 12 2 8" xfId="30973"/>
    <cellStyle name="Nota 2 3 4 12 2 9" xfId="35005"/>
    <cellStyle name="Nota 2 3 4 12 3" xfId="7844"/>
    <cellStyle name="Nota 2 3 4 12 3 10" xfId="44134"/>
    <cellStyle name="Nota 2 3 4 12 3 11" xfId="48166"/>
    <cellStyle name="Nota 2 3 4 12 3 12" xfId="52245"/>
    <cellStyle name="Nota 2 3 4 12 3 2" xfId="11878"/>
    <cellStyle name="Nota 2 3 4 12 3 3" xfId="15910"/>
    <cellStyle name="Nota 2 3 4 12 3 4" xfId="19942"/>
    <cellStyle name="Nota 2 3 4 12 3 5" xfId="23974"/>
    <cellStyle name="Nota 2 3 4 12 3 6" xfId="28006"/>
    <cellStyle name="Nota 2 3 4 12 3 7" xfId="32038"/>
    <cellStyle name="Nota 2 3 4 12 3 8" xfId="36070"/>
    <cellStyle name="Nota 2 3 4 12 3 9" xfId="40102"/>
    <cellStyle name="Nota 2 3 4 12 4" xfId="9862"/>
    <cellStyle name="Nota 2 3 4 12 5" xfId="13894"/>
    <cellStyle name="Nota 2 3 4 12 6" xfId="17926"/>
    <cellStyle name="Nota 2 3 4 12 7" xfId="21958"/>
    <cellStyle name="Nota 2 3 4 12 8" xfId="25990"/>
    <cellStyle name="Nota 2 3 4 12 9" xfId="30022"/>
    <cellStyle name="Nota 2 3 4 13" xfId="4271"/>
    <cellStyle name="Nota 2 3 4 13 10" xfId="34123"/>
    <cellStyle name="Nota 2 3 4 13 11" xfId="38155"/>
    <cellStyle name="Nota 2 3 4 13 12" xfId="42187"/>
    <cellStyle name="Nota 2 3 4 13 13" xfId="46219"/>
    <cellStyle name="Nota 2 3 4 13 14" xfId="50297"/>
    <cellStyle name="Nota 2 3 4 13 2" xfId="6848"/>
    <cellStyle name="Nota 2 3 4 13 2 10" xfId="39106"/>
    <cellStyle name="Nota 2 3 4 13 2 11" xfId="43138"/>
    <cellStyle name="Nota 2 3 4 13 2 12" xfId="47170"/>
    <cellStyle name="Nota 2 3 4 13 2 13" xfId="51249"/>
    <cellStyle name="Nota 2 3 4 13 2 2" xfId="8864"/>
    <cellStyle name="Nota 2 3 4 13 2 2 10" xfId="45154"/>
    <cellStyle name="Nota 2 3 4 13 2 2 11" xfId="49186"/>
    <cellStyle name="Nota 2 3 4 13 2 2 12" xfId="53265"/>
    <cellStyle name="Nota 2 3 4 13 2 2 2" xfId="12898"/>
    <cellStyle name="Nota 2 3 4 13 2 2 3" xfId="16930"/>
    <cellStyle name="Nota 2 3 4 13 2 2 4" xfId="20962"/>
    <cellStyle name="Nota 2 3 4 13 2 2 5" xfId="24994"/>
    <cellStyle name="Nota 2 3 4 13 2 2 6" xfId="29026"/>
    <cellStyle name="Nota 2 3 4 13 2 2 7" xfId="33058"/>
    <cellStyle name="Nota 2 3 4 13 2 2 8" xfId="37090"/>
    <cellStyle name="Nota 2 3 4 13 2 2 9" xfId="41122"/>
    <cellStyle name="Nota 2 3 4 13 2 3" xfId="10882"/>
    <cellStyle name="Nota 2 3 4 13 2 4" xfId="14914"/>
    <cellStyle name="Nota 2 3 4 13 2 5" xfId="18946"/>
    <cellStyle name="Nota 2 3 4 13 2 6" xfId="22978"/>
    <cellStyle name="Nota 2 3 4 13 2 7" xfId="27010"/>
    <cellStyle name="Nota 2 3 4 13 2 8" xfId="31042"/>
    <cellStyle name="Nota 2 3 4 13 2 9" xfId="35074"/>
    <cellStyle name="Nota 2 3 4 13 3" xfId="7913"/>
    <cellStyle name="Nota 2 3 4 13 3 10" xfId="44203"/>
    <cellStyle name="Nota 2 3 4 13 3 11" xfId="48235"/>
    <cellStyle name="Nota 2 3 4 13 3 12" xfId="52314"/>
    <cellStyle name="Nota 2 3 4 13 3 2" xfId="11947"/>
    <cellStyle name="Nota 2 3 4 13 3 3" xfId="15979"/>
    <cellStyle name="Nota 2 3 4 13 3 4" xfId="20011"/>
    <cellStyle name="Nota 2 3 4 13 3 5" xfId="24043"/>
    <cellStyle name="Nota 2 3 4 13 3 6" xfId="28075"/>
    <cellStyle name="Nota 2 3 4 13 3 7" xfId="32107"/>
    <cellStyle name="Nota 2 3 4 13 3 8" xfId="36139"/>
    <cellStyle name="Nota 2 3 4 13 3 9" xfId="40171"/>
    <cellStyle name="Nota 2 3 4 13 4" xfId="9931"/>
    <cellStyle name="Nota 2 3 4 13 5" xfId="13963"/>
    <cellStyle name="Nota 2 3 4 13 6" xfId="17995"/>
    <cellStyle name="Nota 2 3 4 13 7" xfId="22027"/>
    <cellStyle name="Nota 2 3 4 13 8" xfId="26059"/>
    <cellStyle name="Nota 2 3 4 13 9" xfId="30091"/>
    <cellStyle name="Nota 2 3 4 14" xfId="4417"/>
    <cellStyle name="Nota 2 3 4 14 10" xfId="34261"/>
    <cellStyle name="Nota 2 3 4 14 11" xfId="38293"/>
    <cellStyle name="Nota 2 3 4 14 12" xfId="42325"/>
    <cellStyle name="Nota 2 3 4 14 13" xfId="46357"/>
    <cellStyle name="Nota 2 3 4 14 14" xfId="50436"/>
    <cellStyle name="Nota 2 3 4 14 2" xfId="6986"/>
    <cellStyle name="Nota 2 3 4 14 2 10" xfId="39244"/>
    <cellStyle name="Nota 2 3 4 14 2 11" xfId="43276"/>
    <cellStyle name="Nota 2 3 4 14 2 12" xfId="47308"/>
    <cellStyle name="Nota 2 3 4 14 2 13" xfId="51387"/>
    <cellStyle name="Nota 2 3 4 14 2 2" xfId="9002"/>
    <cellStyle name="Nota 2 3 4 14 2 2 10" xfId="45292"/>
    <cellStyle name="Nota 2 3 4 14 2 2 11" xfId="49324"/>
    <cellStyle name="Nota 2 3 4 14 2 2 12" xfId="53403"/>
    <cellStyle name="Nota 2 3 4 14 2 2 2" xfId="13036"/>
    <cellStyle name="Nota 2 3 4 14 2 2 3" xfId="17068"/>
    <cellStyle name="Nota 2 3 4 14 2 2 4" xfId="21100"/>
    <cellStyle name="Nota 2 3 4 14 2 2 5" xfId="25132"/>
    <cellStyle name="Nota 2 3 4 14 2 2 6" xfId="29164"/>
    <cellStyle name="Nota 2 3 4 14 2 2 7" xfId="33196"/>
    <cellStyle name="Nota 2 3 4 14 2 2 8" xfId="37228"/>
    <cellStyle name="Nota 2 3 4 14 2 2 9" xfId="41260"/>
    <cellStyle name="Nota 2 3 4 14 2 3" xfId="11020"/>
    <cellStyle name="Nota 2 3 4 14 2 4" xfId="15052"/>
    <cellStyle name="Nota 2 3 4 14 2 5" xfId="19084"/>
    <cellStyle name="Nota 2 3 4 14 2 6" xfId="23116"/>
    <cellStyle name="Nota 2 3 4 14 2 7" xfId="27148"/>
    <cellStyle name="Nota 2 3 4 14 2 8" xfId="31180"/>
    <cellStyle name="Nota 2 3 4 14 2 9" xfId="35212"/>
    <cellStyle name="Nota 2 3 4 14 3" xfId="8051"/>
    <cellStyle name="Nota 2 3 4 14 3 10" xfId="44341"/>
    <cellStyle name="Nota 2 3 4 14 3 11" xfId="48373"/>
    <cellStyle name="Nota 2 3 4 14 3 12" xfId="52452"/>
    <cellStyle name="Nota 2 3 4 14 3 2" xfId="12085"/>
    <cellStyle name="Nota 2 3 4 14 3 3" xfId="16117"/>
    <cellStyle name="Nota 2 3 4 14 3 4" xfId="20149"/>
    <cellStyle name="Nota 2 3 4 14 3 5" xfId="24181"/>
    <cellStyle name="Nota 2 3 4 14 3 6" xfId="28213"/>
    <cellStyle name="Nota 2 3 4 14 3 7" xfId="32245"/>
    <cellStyle name="Nota 2 3 4 14 3 8" xfId="36277"/>
    <cellStyle name="Nota 2 3 4 14 3 9" xfId="40309"/>
    <cellStyle name="Nota 2 3 4 14 4" xfId="10069"/>
    <cellStyle name="Nota 2 3 4 14 5" xfId="14101"/>
    <cellStyle name="Nota 2 3 4 14 6" xfId="18133"/>
    <cellStyle name="Nota 2 3 4 14 7" xfId="22165"/>
    <cellStyle name="Nota 2 3 4 14 8" xfId="26197"/>
    <cellStyle name="Nota 2 3 4 14 9" xfId="30229"/>
    <cellStyle name="Nota 2 3 4 15" xfId="4555"/>
    <cellStyle name="Nota 2 3 4 15 10" xfId="38431"/>
    <cellStyle name="Nota 2 3 4 15 11" xfId="42463"/>
    <cellStyle name="Nota 2 3 4 15 12" xfId="46495"/>
    <cellStyle name="Nota 2 3 4 15 13" xfId="50574"/>
    <cellStyle name="Nota 2 3 4 15 2" xfId="8189"/>
    <cellStyle name="Nota 2 3 4 15 2 10" xfId="44479"/>
    <cellStyle name="Nota 2 3 4 15 2 11" xfId="48511"/>
    <cellStyle name="Nota 2 3 4 15 2 12" xfId="52590"/>
    <cellStyle name="Nota 2 3 4 15 2 2" xfId="12223"/>
    <cellStyle name="Nota 2 3 4 15 2 3" xfId="16255"/>
    <cellStyle name="Nota 2 3 4 15 2 4" xfId="20287"/>
    <cellStyle name="Nota 2 3 4 15 2 5" xfId="24319"/>
    <cellStyle name="Nota 2 3 4 15 2 6" xfId="28351"/>
    <cellStyle name="Nota 2 3 4 15 2 7" xfId="32383"/>
    <cellStyle name="Nota 2 3 4 15 2 8" xfId="36415"/>
    <cellStyle name="Nota 2 3 4 15 2 9" xfId="40447"/>
    <cellStyle name="Nota 2 3 4 15 3" xfId="10207"/>
    <cellStyle name="Nota 2 3 4 15 4" xfId="14239"/>
    <cellStyle name="Nota 2 3 4 15 5" xfId="18271"/>
    <cellStyle name="Nota 2 3 4 15 6" xfId="22303"/>
    <cellStyle name="Nota 2 3 4 15 7" xfId="26335"/>
    <cellStyle name="Nota 2 3 4 15 8" xfId="30367"/>
    <cellStyle name="Nota 2 3 4 15 9" xfId="34399"/>
    <cellStyle name="Nota 2 3 4 16" xfId="283"/>
    <cellStyle name="Nota 2 3 4 16 10" xfId="37488"/>
    <cellStyle name="Nota 2 3 4 16 11" xfId="41520"/>
    <cellStyle name="Nota 2 3 4 16 12" xfId="45552"/>
    <cellStyle name="Nota 2 3 4 16 13" xfId="49630"/>
    <cellStyle name="Nota 2 3 4 16 2" xfId="7246"/>
    <cellStyle name="Nota 2 3 4 16 2 10" xfId="43536"/>
    <cellStyle name="Nota 2 3 4 16 2 11" xfId="47568"/>
    <cellStyle name="Nota 2 3 4 16 2 12" xfId="51647"/>
    <cellStyle name="Nota 2 3 4 16 2 2" xfId="11280"/>
    <cellStyle name="Nota 2 3 4 16 2 3" xfId="15312"/>
    <cellStyle name="Nota 2 3 4 16 2 4" xfId="19344"/>
    <cellStyle name="Nota 2 3 4 16 2 5" xfId="23376"/>
    <cellStyle name="Nota 2 3 4 16 2 6" xfId="27408"/>
    <cellStyle name="Nota 2 3 4 16 2 7" xfId="31440"/>
    <cellStyle name="Nota 2 3 4 16 2 8" xfId="35472"/>
    <cellStyle name="Nota 2 3 4 16 2 9" xfId="39504"/>
    <cellStyle name="Nota 2 3 4 16 3" xfId="9264"/>
    <cellStyle name="Nota 2 3 4 16 4" xfId="13296"/>
    <cellStyle name="Nota 2 3 4 16 5" xfId="17328"/>
    <cellStyle name="Nota 2 3 4 16 6" xfId="21360"/>
    <cellStyle name="Nota 2 3 4 16 7" xfId="25392"/>
    <cellStyle name="Nota 2 3 4 16 8" xfId="29424"/>
    <cellStyle name="Nota 2 3 4 16 9" xfId="33456"/>
    <cellStyle name="Nota 2 3 4 17" xfId="7124"/>
    <cellStyle name="Nota 2 3 4 17 10" xfId="43414"/>
    <cellStyle name="Nota 2 3 4 17 11" xfId="47446"/>
    <cellStyle name="Nota 2 3 4 17 12" xfId="51525"/>
    <cellStyle name="Nota 2 3 4 17 2" xfId="11158"/>
    <cellStyle name="Nota 2 3 4 17 3" xfId="15190"/>
    <cellStyle name="Nota 2 3 4 17 4" xfId="19222"/>
    <cellStyle name="Nota 2 3 4 17 5" xfId="23254"/>
    <cellStyle name="Nota 2 3 4 17 6" xfId="27286"/>
    <cellStyle name="Nota 2 3 4 17 7" xfId="31318"/>
    <cellStyle name="Nota 2 3 4 17 8" xfId="35350"/>
    <cellStyle name="Nota 2 3 4 17 9" xfId="39382"/>
    <cellStyle name="Nota 2 3 4 18" xfId="150"/>
    <cellStyle name="Nota 2 3 4 19" xfId="9142"/>
    <cellStyle name="Nota 2 3 4 2" xfId="229"/>
    <cellStyle name="Nota 2 3 4 2 10" xfId="13243"/>
    <cellStyle name="Nota 2 3 4 2 11" xfId="17275"/>
    <cellStyle name="Nota 2 3 4 2 12" xfId="21307"/>
    <cellStyle name="Nota 2 3 4 2 13" xfId="25339"/>
    <cellStyle name="Nota 2 3 4 2 14" xfId="29371"/>
    <cellStyle name="Nota 2 3 4 2 15" xfId="33403"/>
    <cellStyle name="Nota 2 3 4 2 16" xfId="37435"/>
    <cellStyle name="Nota 2 3 4 2 17" xfId="41467"/>
    <cellStyle name="Nota 2 3 4 2 18" xfId="45499"/>
    <cellStyle name="Nota 2 3 4 2 19" xfId="49577"/>
    <cellStyle name="Nota 2 3 4 2 2" xfId="988"/>
    <cellStyle name="Nota 2 3 4 2 2 2" xfId="1307"/>
    <cellStyle name="Nota 2 3 4 2 2 2 2" xfId="1485"/>
    <cellStyle name="Nota 2 3 4 2 2 2 2 2" xfId="1585"/>
    <cellStyle name="Nota 2 3 4 2 2 2 2 2 2" xfId="5285"/>
    <cellStyle name="Nota 2 3 4 2 2 2 2 3" xfId="5239"/>
    <cellStyle name="Nota 2 3 4 2 2 2 3" xfId="5110"/>
    <cellStyle name="Nota 2 3 4 2 2 3" xfId="5016"/>
    <cellStyle name="Nota 2 3 4 2 3" xfId="1442"/>
    <cellStyle name="Nota 2 3 4 2 3 2" xfId="5211"/>
    <cellStyle name="Nota 2 3 4 2 4" xfId="4347"/>
    <cellStyle name="Nota 2 3 4 2 4 10" xfId="34192"/>
    <cellStyle name="Nota 2 3 4 2 4 11" xfId="38224"/>
    <cellStyle name="Nota 2 3 4 2 4 12" xfId="42256"/>
    <cellStyle name="Nota 2 3 4 2 4 13" xfId="46288"/>
    <cellStyle name="Nota 2 3 4 2 4 14" xfId="50367"/>
    <cellStyle name="Nota 2 3 4 2 4 2" xfId="6917"/>
    <cellStyle name="Nota 2 3 4 2 4 2 10" xfId="39175"/>
    <cellStyle name="Nota 2 3 4 2 4 2 11" xfId="43207"/>
    <cellStyle name="Nota 2 3 4 2 4 2 12" xfId="47239"/>
    <cellStyle name="Nota 2 3 4 2 4 2 13" xfId="51318"/>
    <cellStyle name="Nota 2 3 4 2 4 2 2" xfId="8933"/>
    <cellStyle name="Nota 2 3 4 2 4 2 2 10" xfId="45223"/>
    <cellStyle name="Nota 2 3 4 2 4 2 2 11" xfId="49255"/>
    <cellStyle name="Nota 2 3 4 2 4 2 2 12" xfId="53334"/>
    <cellStyle name="Nota 2 3 4 2 4 2 2 2" xfId="12967"/>
    <cellStyle name="Nota 2 3 4 2 4 2 2 3" xfId="16999"/>
    <cellStyle name="Nota 2 3 4 2 4 2 2 4" xfId="21031"/>
    <cellStyle name="Nota 2 3 4 2 4 2 2 5" xfId="25063"/>
    <cellStyle name="Nota 2 3 4 2 4 2 2 6" xfId="29095"/>
    <cellStyle name="Nota 2 3 4 2 4 2 2 7" xfId="33127"/>
    <cellStyle name="Nota 2 3 4 2 4 2 2 8" xfId="37159"/>
    <cellStyle name="Nota 2 3 4 2 4 2 2 9" xfId="41191"/>
    <cellStyle name="Nota 2 3 4 2 4 2 3" xfId="10951"/>
    <cellStyle name="Nota 2 3 4 2 4 2 4" xfId="14983"/>
    <cellStyle name="Nota 2 3 4 2 4 2 5" xfId="19015"/>
    <cellStyle name="Nota 2 3 4 2 4 2 6" xfId="23047"/>
    <cellStyle name="Nota 2 3 4 2 4 2 7" xfId="27079"/>
    <cellStyle name="Nota 2 3 4 2 4 2 8" xfId="31111"/>
    <cellStyle name="Nota 2 3 4 2 4 2 9" xfId="35143"/>
    <cellStyle name="Nota 2 3 4 2 4 3" xfId="7982"/>
    <cellStyle name="Nota 2 3 4 2 4 3 10" xfId="44272"/>
    <cellStyle name="Nota 2 3 4 2 4 3 11" xfId="48304"/>
    <cellStyle name="Nota 2 3 4 2 4 3 12" xfId="52383"/>
    <cellStyle name="Nota 2 3 4 2 4 3 2" xfId="12016"/>
    <cellStyle name="Nota 2 3 4 2 4 3 3" xfId="16048"/>
    <cellStyle name="Nota 2 3 4 2 4 3 4" xfId="20080"/>
    <cellStyle name="Nota 2 3 4 2 4 3 5" xfId="24112"/>
    <cellStyle name="Nota 2 3 4 2 4 3 6" xfId="28144"/>
    <cellStyle name="Nota 2 3 4 2 4 3 7" xfId="32176"/>
    <cellStyle name="Nota 2 3 4 2 4 3 8" xfId="36208"/>
    <cellStyle name="Nota 2 3 4 2 4 3 9" xfId="40240"/>
    <cellStyle name="Nota 2 3 4 2 4 4" xfId="10000"/>
    <cellStyle name="Nota 2 3 4 2 4 5" xfId="14032"/>
    <cellStyle name="Nota 2 3 4 2 4 6" xfId="18064"/>
    <cellStyle name="Nota 2 3 4 2 4 7" xfId="22096"/>
    <cellStyle name="Nota 2 3 4 2 4 8" xfId="26128"/>
    <cellStyle name="Nota 2 3 4 2 4 9" xfId="30160"/>
    <cellStyle name="Nota 2 3 4 2 5" xfId="4486"/>
    <cellStyle name="Nota 2 3 4 2 5 10" xfId="34330"/>
    <cellStyle name="Nota 2 3 4 2 5 11" xfId="38362"/>
    <cellStyle name="Nota 2 3 4 2 5 12" xfId="42394"/>
    <cellStyle name="Nota 2 3 4 2 5 13" xfId="46426"/>
    <cellStyle name="Nota 2 3 4 2 5 14" xfId="50505"/>
    <cellStyle name="Nota 2 3 4 2 5 2" xfId="7055"/>
    <cellStyle name="Nota 2 3 4 2 5 2 10" xfId="39313"/>
    <cellStyle name="Nota 2 3 4 2 5 2 11" xfId="43345"/>
    <cellStyle name="Nota 2 3 4 2 5 2 12" xfId="47377"/>
    <cellStyle name="Nota 2 3 4 2 5 2 13" xfId="51456"/>
    <cellStyle name="Nota 2 3 4 2 5 2 2" xfId="9071"/>
    <cellStyle name="Nota 2 3 4 2 5 2 2 10" xfId="45361"/>
    <cellStyle name="Nota 2 3 4 2 5 2 2 11" xfId="49393"/>
    <cellStyle name="Nota 2 3 4 2 5 2 2 12" xfId="53472"/>
    <cellStyle name="Nota 2 3 4 2 5 2 2 2" xfId="13105"/>
    <cellStyle name="Nota 2 3 4 2 5 2 2 3" xfId="17137"/>
    <cellStyle name="Nota 2 3 4 2 5 2 2 4" xfId="21169"/>
    <cellStyle name="Nota 2 3 4 2 5 2 2 5" xfId="25201"/>
    <cellStyle name="Nota 2 3 4 2 5 2 2 6" xfId="29233"/>
    <cellStyle name="Nota 2 3 4 2 5 2 2 7" xfId="33265"/>
    <cellStyle name="Nota 2 3 4 2 5 2 2 8" xfId="37297"/>
    <cellStyle name="Nota 2 3 4 2 5 2 2 9" xfId="41329"/>
    <cellStyle name="Nota 2 3 4 2 5 2 3" xfId="11089"/>
    <cellStyle name="Nota 2 3 4 2 5 2 4" xfId="15121"/>
    <cellStyle name="Nota 2 3 4 2 5 2 5" xfId="19153"/>
    <cellStyle name="Nota 2 3 4 2 5 2 6" xfId="23185"/>
    <cellStyle name="Nota 2 3 4 2 5 2 7" xfId="27217"/>
    <cellStyle name="Nota 2 3 4 2 5 2 8" xfId="31249"/>
    <cellStyle name="Nota 2 3 4 2 5 2 9" xfId="35281"/>
    <cellStyle name="Nota 2 3 4 2 5 3" xfId="8120"/>
    <cellStyle name="Nota 2 3 4 2 5 3 10" xfId="44410"/>
    <cellStyle name="Nota 2 3 4 2 5 3 11" xfId="48442"/>
    <cellStyle name="Nota 2 3 4 2 5 3 12" xfId="52521"/>
    <cellStyle name="Nota 2 3 4 2 5 3 2" xfId="12154"/>
    <cellStyle name="Nota 2 3 4 2 5 3 3" xfId="16186"/>
    <cellStyle name="Nota 2 3 4 2 5 3 4" xfId="20218"/>
    <cellStyle name="Nota 2 3 4 2 5 3 5" xfId="24250"/>
    <cellStyle name="Nota 2 3 4 2 5 3 6" xfId="28282"/>
    <cellStyle name="Nota 2 3 4 2 5 3 7" xfId="32314"/>
    <cellStyle name="Nota 2 3 4 2 5 3 8" xfId="36346"/>
    <cellStyle name="Nota 2 3 4 2 5 3 9" xfId="40378"/>
    <cellStyle name="Nota 2 3 4 2 5 4" xfId="10138"/>
    <cellStyle name="Nota 2 3 4 2 5 5" xfId="14170"/>
    <cellStyle name="Nota 2 3 4 2 5 6" xfId="18202"/>
    <cellStyle name="Nota 2 3 4 2 5 7" xfId="22234"/>
    <cellStyle name="Nota 2 3 4 2 5 8" xfId="26266"/>
    <cellStyle name="Nota 2 3 4 2 5 9" xfId="30298"/>
    <cellStyle name="Nota 2 3 4 2 6" xfId="4626"/>
    <cellStyle name="Nota 2 3 4 2 6 10" xfId="38500"/>
    <cellStyle name="Nota 2 3 4 2 6 11" xfId="42532"/>
    <cellStyle name="Nota 2 3 4 2 6 12" xfId="46564"/>
    <cellStyle name="Nota 2 3 4 2 6 13" xfId="50643"/>
    <cellStyle name="Nota 2 3 4 2 6 2" xfId="8258"/>
    <cellStyle name="Nota 2 3 4 2 6 2 10" xfId="44548"/>
    <cellStyle name="Nota 2 3 4 2 6 2 11" xfId="48580"/>
    <cellStyle name="Nota 2 3 4 2 6 2 12" xfId="52659"/>
    <cellStyle name="Nota 2 3 4 2 6 2 2" xfId="12292"/>
    <cellStyle name="Nota 2 3 4 2 6 2 3" xfId="16324"/>
    <cellStyle name="Nota 2 3 4 2 6 2 4" xfId="20356"/>
    <cellStyle name="Nota 2 3 4 2 6 2 5" xfId="24388"/>
    <cellStyle name="Nota 2 3 4 2 6 2 6" xfId="28420"/>
    <cellStyle name="Nota 2 3 4 2 6 2 7" xfId="32452"/>
    <cellStyle name="Nota 2 3 4 2 6 2 8" xfId="36484"/>
    <cellStyle name="Nota 2 3 4 2 6 2 9" xfId="40516"/>
    <cellStyle name="Nota 2 3 4 2 6 3" xfId="10276"/>
    <cellStyle name="Nota 2 3 4 2 6 4" xfId="14308"/>
    <cellStyle name="Nota 2 3 4 2 6 5" xfId="18340"/>
    <cellStyle name="Nota 2 3 4 2 6 6" xfId="22372"/>
    <cellStyle name="Nota 2 3 4 2 6 7" xfId="26404"/>
    <cellStyle name="Nota 2 3 4 2 6 8" xfId="30436"/>
    <cellStyle name="Nota 2 3 4 2 6 9" xfId="34468"/>
    <cellStyle name="Nota 2 3 4 2 7" xfId="656"/>
    <cellStyle name="Nota 2 3 4 2 8" xfId="7193"/>
    <cellStyle name="Nota 2 3 4 2 8 10" xfId="43483"/>
    <cellStyle name="Nota 2 3 4 2 8 11" xfId="47515"/>
    <cellStyle name="Nota 2 3 4 2 8 12" xfId="51594"/>
    <cellStyle name="Nota 2 3 4 2 8 2" xfId="11227"/>
    <cellStyle name="Nota 2 3 4 2 8 3" xfId="15259"/>
    <cellStyle name="Nota 2 3 4 2 8 4" xfId="19291"/>
    <cellStyle name="Nota 2 3 4 2 8 5" xfId="23323"/>
    <cellStyle name="Nota 2 3 4 2 8 6" xfId="27355"/>
    <cellStyle name="Nota 2 3 4 2 8 7" xfId="31387"/>
    <cellStyle name="Nota 2 3 4 2 8 8" xfId="35419"/>
    <cellStyle name="Nota 2 3 4 2 8 9" xfId="39451"/>
    <cellStyle name="Nota 2 3 4 2 9" xfId="9211"/>
    <cellStyle name="Nota 2 3 4 20" xfId="13174"/>
    <cellStyle name="Nota 2 3 4 21" xfId="17206"/>
    <cellStyle name="Nota 2 3 4 22" xfId="21238"/>
    <cellStyle name="Nota 2 3 4 23" xfId="25270"/>
    <cellStyle name="Nota 2 3 4 24" xfId="29302"/>
    <cellStyle name="Nota 2 3 4 25" xfId="33334"/>
    <cellStyle name="Nota 2 3 4 26" xfId="37366"/>
    <cellStyle name="Nota 2 3 4 27" xfId="41398"/>
    <cellStyle name="Nota 2 3 4 28" xfId="45430"/>
    <cellStyle name="Nota 2 3 4 29" xfId="49508"/>
    <cellStyle name="Nota 2 3 4 3" xfId="657"/>
    <cellStyle name="Nota 2 3 4 3 2" xfId="989"/>
    <cellStyle name="Nota 2 3 4 3 2 2" xfId="1308"/>
    <cellStyle name="Nota 2 3 4 3 2 2 2" xfId="1486"/>
    <cellStyle name="Nota 2 3 4 3 2 2 2 2" xfId="1586"/>
    <cellStyle name="Nota 2 3 4 3 2 2 2 2 2" xfId="5286"/>
    <cellStyle name="Nota 2 3 4 3 2 2 2 3" xfId="5240"/>
    <cellStyle name="Nota 2 3 4 3 2 2 3" xfId="5111"/>
    <cellStyle name="Nota 2 3 4 3 2 3" xfId="5017"/>
    <cellStyle name="Nota 2 3 4 3 3" xfId="1443"/>
    <cellStyle name="Nota 2 3 4 3 3 2" xfId="5212"/>
    <cellStyle name="Nota 2 3 4 3 4" xfId="4775"/>
    <cellStyle name="Nota 2 3 4 4" xfId="987"/>
    <cellStyle name="Nota 2 3 4 4 2" xfId="1309"/>
    <cellStyle name="Nota 2 3 4 4 2 2" xfId="1484"/>
    <cellStyle name="Nota 2 3 4 4 2 2 2" xfId="1584"/>
    <cellStyle name="Nota 2 3 4 4 2 2 2 2" xfId="5284"/>
    <cellStyle name="Nota 2 3 4 4 2 2 3" xfId="5238"/>
    <cellStyle name="Nota 2 3 4 4 2 3" xfId="5112"/>
    <cellStyle name="Nota 2 3 4 4 3" xfId="5015"/>
    <cellStyle name="Nota 2 3 4 5" xfId="1441"/>
    <cellStyle name="Nota 2 3 4 5 2" xfId="5210"/>
    <cellStyle name="Nota 2 3 4 6" xfId="655"/>
    <cellStyle name="Nota 2 3 4 6 2" xfId="4774"/>
    <cellStyle name="Nota 2 3 4 7" xfId="353"/>
    <cellStyle name="Nota 2 3 4 7 10" xfId="33526"/>
    <cellStyle name="Nota 2 3 4 7 11" xfId="37558"/>
    <cellStyle name="Nota 2 3 4 7 12" xfId="41590"/>
    <cellStyle name="Nota 2 3 4 7 13" xfId="45622"/>
    <cellStyle name="Nota 2 3 4 7 14" xfId="49700"/>
    <cellStyle name="Nota 2 3 4 7 2" xfId="4666"/>
    <cellStyle name="Nota 2 3 4 7 2 10" xfId="38540"/>
    <cellStyle name="Nota 2 3 4 7 2 11" xfId="42572"/>
    <cellStyle name="Nota 2 3 4 7 2 12" xfId="46604"/>
    <cellStyle name="Nota 2 3 4 7 2 13" xfId="50683"/>
    <cellStyle name="Nota 2 3 4 7 2 2" xfId="8298"/>
    <cellStyle name="Nota 2 3 4 7 2 2 10" xfId="44588"/>
    <cellStyle name="Nota 2 3 4 7 2 2 11" xfId="48620"/>
    <cellStyle name="Nota 2 3 4 7 2 2 12" xfId="52699"/>
    <cellStyle name="Nota 2 3 4 7 2 2 2" xfId="12332"/>
    <cellStyle name="Nota 2 3 4 7 2 2 3" xfId="16364"/>
    <cellStyle name="Nota 2 3 4 7 2 2 4" xfId="20396"/>
    <cellStyle name="Nota 2 3 4 7 2 2 5" xfId="24428"/>
    <cellStyle name="Nota 2 3 4 7 2 2 6" xfId="28460"/>
    <cellStyle name="Nota 2 3 4 7 2 2 7" xfId="32492"/>
    <cellStyle name="Nota 2 3 4 7 2 2 8" xfId="36524"/>
    <cellStyle name="Nota 2 3 4 7 2 2 9" xfId="40556"/>
    <cellStyle name="Nota 2 3 4 7 2 3" xfId="10316"/>
    <cellStyle name="Nota 2 3 4 7 2 4" xfId="14348"/>
    <cellStyle name="Nota 2 3 4 7 2 5" xfId="18380"/>
    <cellStyle name="Nota 2 3 4 7 2 6" xfId="22412"/>
    <cellStyle name="Nota 2 3 4 7 2 7" xfId="26444"/>
    <cellStyle name="Nota 2 3 4 7 2 8" xfId="30476"/>
    <cellStyle name="Nota 2 3 4 7 2 9" xfId="34508"/>
    <cellStyle name="Nota 2 3 4 7 3" xfId="7316"/>
    <cellStyle name="Nota 2 3 4 7 3 10" xfId="43606"/>
    <cellStyle name="Nota 2 3 4 7 3 11" xfId="47638"/>
    <cellStyle name="Nota 2 3 4 7 3 12" xfId="51717"/>
    <cellStyle name="Nota 2 3 4 7 3 2" xfId="11350"/>
    <cellStyle name="Nota 2 3 4 7 3 3" xfId="15382"/>
    <cellStyle name="Nota 2 3 4 7 3 4" xfId="19414"/>
    <cellStyle name="Nota 2 3 4 7 3 5" xfId="23446"/>
    <cellStyle name="Nota 2 3 4 7 3 6" xfId="27478"/>
    <cellStyle name="Nota 2 3 4 7 3 7" xfId="31510"/>
    <cellStyle name="Nota 2 3 4 7 3 8" xfId="35542"/>
    <cellStyle name="Nota 2 3 4 7 3 9" xfId="39574"/>
    <cellStyle name="Nota 2 3 4 7 4" xfId="9334"/>
    <cellStyle name="Nota 2 3 4 7 5" xfId="13366"/>
    <cellStyle name="Nota 2 3 4 7 6" xfId="17398"/>
    <cellStyle name="Nota 2 3 4 7 7" xfId="21430"/>
    <cellStyle name="Nota 2 3 4 7 8" xfId="25462"/>
    <cellStyle name="Nota 2 3 4 7 9" xfId="29494"/>
    <cellStyle name="Nota 2 3 4 8" xfId="1663"/>
    <cellStyle name="Nota 2 3 4 8 10" xfId="33624"/>
    <cellStyle name="Nota 2 3 4 8 11" xfId="37656"/>
    <cellStyle name="Nota 2 3 4 8 12" xfId="41688"/>
    <cellStyle name="Nota 2 3 4 8 13" xfId="45720"/>
    <cellStyle name="Nota 2 3 4 8 14" xfId="49798"/>
    <cellStyle name="Nota 2 3 4 8 2" xfId="5339"/>
    <cellStyle name="Nota 2 3 4 8 2 10" xfId="38607"/>
    <cellStyle name="Nota 2 3 4 8 2 11" xfId="42639"/>
    <cellStyle name="Nota 2 3 4 8 2 12" xfId="46671"/>
    <cellStyle name="Nota 2 3 4 8 2 13" xfId="50750"/>
    <cellStyle name="Nota 2 3 4 8 2 2" xfId="8365"/>
    <cellStyle name="Nota 2 3 4 8 2 2 10" xfId="44655"/>
    <cellStyle name="Nota 2 3 4 8 2 2 11" xfId="48687"/>
    <cellStyle name="Nota 2 3 4 8 2 2 12" xfId="52766"/>
    <cellStyle name="Nota 2 3 4 8 2 2 2" xfId="12399"/>
    <cellStyle name="Nota 2 3 4 8 2 2 3" xfId="16431"/>
    <cellStyle name="Nota 2 3 4 8 2 2 4" xfId="20463"/>
    <cellStyle name="Nota 2 3 4 8 2 2 5" xfId="24495"/>
    <cellStyle name="Nota 2 3 4 8 2 2 6" xfId="28527"/>
    <cellStyle name="Nota 2 3 4 8 2 2 7" xfId="32559"/>
    <cellStyle name="Nota 2 3 4 8 2 2 8" xfId="36591"/>
    <cellStyle name="Nota 2 3 4 8 2 2 9" xfId="40623"/>
    <cellStyle name="Nota 2 3 4 8 2 3" xfId="10383"/>
    <cellStyle name="Nota 2 3 4 8 2 4" xfId="14415"/>
    <cellStyle name="Nota 2 3 4 8 2 5" xfId="18447"/>
    <cellStyle name="Nota 2 3 4 8 2 6" xfId="22479"/>
    <cellStyle name="Nota 2 3 4 8 2 7" xfId="26511"/>
    <cellStyle name="Nota 2 3 4 8 2 8" xfId="30543"/>
    <cellStyle name="Nota 2 3 4 8 2 9" xfId="34575"/>
    <cellStyle name="Nota 2 3 4 8 3" xfId="7414"/>
    <cellStyle name="Nota 2 3 4 8 3 10" xfId="43704"/>
    <cellStyle name="Nota 2 3 4 8 3 11" xfId="47736"/>
    <cellStyle name="Nota 2 3 4 8 3 12" xfId="51815"/>
    <cellStyle name="Nota 2 3 4 8 3 2" xfId="11448"/>
    <cellStyle name="Nota 2 3 4 8 3 3" xfId="15480"/>
    <cellStyle name="Nota 2 3 4 8 3 4" xfId="19512"/>
    <cellStyle name="Nota 2 3 4 8 3 5" xfId="23544"/>
    <cellStyle name="Nota 2 3 4 8 3 6" xfId="27576"/>
    <cellStyle name="Nota 2 3 4 8 3 7" xfId="31608"/>
    <cellStyle name="Nota 2 3 4 8 3 8" xfId="35640"/>
    <cellStyle name="Nota 2 3 4 8 3 9" xfId="39672"/>
    <cellStyle name="Nota 2 3 4 8 4" xfId="9432"/>
    <cellStyle name="Nota 2 3 4 8 5" xfId="13464"/>
    <cellStyle name="Nota 2 3 4 8 6" xfId="17496"/>
    <cellStyle name="Nota 2 3 4 8 7" xfId="21528"/>
    <cellStyle name="Nota 2 3 4 8 8" xfId="25560"/>
    <cellStyle name="Nota 2 3 4 8 9" xfId="29592"/>
    <cellStyle name="Nota 2 3 4 9" xfId="1737"/>
    <cellStyle name="Nota 2 3 4 9 10" xfId="33693"/>
    <cellStyle name="Nota 2 3 4 9 11" xfId="37725"/>
    <cellStyle name="Nota 2 3 4 9 12" xfId="41757"/>
    <cellStyle name="Nota 2 3 4 9 13" xfId="45789"/>
    <cellStyle name="Nota 2 3 4 9 14" xfId="49867"/>
    <cellStyle name="Nota 2 3 4 9 2" xfId="5408"/>
    <cellStyle name="Nota 2 3 4 9 2 10" xfId="38676"/>
    <cellStyle name="Nota 2 3 4 9 2 11" xfId="42708"/>
    <cellStyle name="Nota 2 3 4 9 2 12" xfId="46740"/>
    <cellStyle name="Nota 2 3 4 9 2 13" xfId="50819"/>
    <cellStyle name="Nota 2 3 4 9 2 2" xfId="8434"/>
    <cellStyle name="Nota 2 3 4 9 2 2 10" xfId="44724"/>
    <cellStyle name="Nota 2 3 4 9 2 2 11" xfId="48756"/>
    <cellStyle name="Nota 2 3 4 9 2 2 12" xfId="52835"/>
    <cellStyle name="Nota 2 3 4 9 2 2 2" xfId="12468"/>
    <cellStyle name="Nota 2 3 4 9 2 2 3" xfId="16500"/>
    <cellStyle name="Nota 2 3 4 9 2 2 4" xfId="20532"/>
    <cellStyle name="Nota 2 3 4 9 2 2 5" xfId="24564"/>
    <cellStyle name="Nota 2 3 4 9 2 2 6" xfId="28596"/>
    <cellStyle name="Nota 2 3 4 9 2 2 7" xfId="32628"/>
    <cellStyle name="Nota 2 3 4 9 2 2 8" xfId="36660"/>
    <cellStyle name="Nota 2 3 4 9 2 2 9" xfId="40692"/>
    <cellStyle name="Nota 2 3 4 9 2 3" xfId="10452"/>
    <cellStyle name="Nota 2 3 4 9 2 4" xfId="14484"/>
    <cellStyle name="Nota 2 3 4 9 2 5" xfId="18516"/>
    <cellStyle name="Nota 2 3 4 9 2 6" xfId="22548"/>
    <cellStyle name="Nota 2 3 4 9 2 7" xfId="26580"/>
    <cellStyle name="Nota 2 3 4 9 2 8" xfId="30612"/>
    <cellStyle name="Nota 2 3 4 9 2 9" xfId="34644"/>
    <cellStyle name="Nota 2 3 4 9 3" xfId="7483"/>
    <cellStyle name="Nota 2 3 4 9 3 10" xfId="43773"/>
    <cellStyle name="Nota 2 3 4 9 3 11" xfId="47805"/>
    <cellStyle name="Nota 2 3 4 9 3 12" xfId="51884"/>
    <cellStyle name="Nota 2 3 4 9 3 2" xfId="11517"/>
    <cellStyle name="Nota 2 3 4 9 3 3" xfId="15549"/>
    <cellStyle name="Nota 2 3 4 9 3 4" xfId="19581"/>
    <cellStyle name="Nota 2 3 4 9 3 5" xfId="23613"/>
    <cellStyle name="Nota 2 3 4 9 3 6" xfId="27645"/>
    <cellStyle name="Nota 2 3 4 9 3 7" xfId="31677"/>
    <cellStyle name="Nota 2 3 4 9 3 8" xfId="35709"/>
    <cellStyle name="Nota 2 3 4 9 3 9" xfId="39741"/>
    <cellStyle name="Nota 2 3 4 9 4" xfId="9501"/>
    <cellStyle name="Nota 2 3 4 9 5" xfId="13533"/>
    <cellStyle name="Nota 2 3 4 9 6" xfId="17565"/>
    <cellStyle name="Nota 2 3 4 9 7" xfId="21597"/>
    <cellStyle name="Nota 2 3 4 9 8" xfId="25629"/>
    <cellStyle name="Nota 2 3 4 9 9" xfId="29661"/>
    <cellStyle name="Nota 2 3 5" xfId="56"/>
    <cellStyle name="Nota 2 3 5 10" xfId="4398"/>
    <cellStyle name="Nota 2 3 5 10 10" xfId="34242"/>
    <cellStyle name="Nota 2 3 5 10 11" xfId="38274"/>
    <cellStyle name="Nota 2 3 5 10 12" xfId="42306"/>
    <cellStyle name="Nota 2 3 5 10 13" xfId="46338"/>
    <cellStyle name="Nota 2 3 5 10 14" xfId="50417"/>
    <cellStyle name="Nota 2 3 5 10 2" xfId="6967"/>
    <cellStyle name="Nota 2 3 5 10 2 10" xfId="39225"/>
    <cellStyle name="Nota 2 3 5 10 2 11" xfId="43257"/>
    <cellStyle name="Nota 2 3 5 10 2 12" xfId="47289"/>
    <cellStyle name="Nota 2 3 5 10 2 13" xfId="51368"/>
    <cellStyle name="Nota 2 3 5 10 2 2" xfId="8983"/>
    <cellStyle name="Nota 2 3 5 10 2 2 10" xfId="45273"/>
    <cellStyle name="Nota 2 3 5 10 2 2 11" xfId="49305"/>
    <cellStyle name="Nota 2 3 5 10 2 2 12" xfId="53384"/>
    <cellStyle name="Nota 2 3 5 10 2 2 2" xfId="13017"/>
    <cellStyle name="Nota 2 3 5 10 2 2 3" xfId="17049"/>
    <cellStyle name="Nota 2 3 5 10 2 2 4" xfId="21081"/>
    <cellStyle name="Nota 2 3 5 10 2 2 5" xfId="25113"/>
    <cellStyle name="Nota 2 3 5 10 2 2 6" xfId="29145"/>
    <cellStyle name="Nota 2 3 5 10 2 2 7" xfId="33177"/>
    <cellStyle name="Nota 2 3 5 10 2 2 8" xfId="37209"/>
    <cellStyle name="Nota 2 3 5 10 2 2 9" xfId="41241"/>
    <cellStyle name="Nota 2 3 5 10 2 3" xfId="11001"/>
    <cellStyle name="Nota 2 3 5 10 2 4" xfId="15033"/>
    <cellStyle name="Nota 2 3 5 10 2 5" xfId="19065"/>
    <cellStyle name="Nota 2 3 5 10 2 6" xfId="23097"/>
    <cellStyle name="Nota 2 3 5 10 2 7" xfId="27129"/>
    <cellStyle name="Nota 2 3 5 10 2 8" xfId="31161"/>
    <cellStyle name="Nota 2 3 5 10 2 9" xfId="35193"/>
    <cellStyle name="Nota 2 3 5 10 3" xfId="8032"/>
    <cellStyle name="Nota 2 3 5 10 3 10" xfId="44322"/>
    <cellStyle name="Nota 2 3 5 10 3 11" xfId="48354"/>
    <cellStyle name="Nota 2 3 5 10 3 12" xfId="52433"/>
    <cellStyle name="Nota 2 3 5 10 3 2" xfId="12066"/>
    <cellStyle name="Nota 2 3 5 10 3 3" xfId="16098"/>
    <cellStyle name="Nota 2 3 5 10 3 4" xfId="20130"/>
    <cellStyle name="Nota 2 3 5 10 3 5" xfId="24162"/>
    <cellStyle name="Nota 2 3 5 10 3 6" xfId="28194"/>
    <cellStyle name="Nota 2 3 5 10 3 7" xfId="32226"/>
    <cellStyle name="Nota 2 3 5 10 3 8" xfId="36258"/>
    <cellStyle name="Nota 2 3 5 10 3 9" xfId="40290"/>
    <cellStyle name="Nota 2 3 5 10 4" xfId="10050"/>
    <cellStyle name="Nota 2 3 5 10 5" xfId="14082"/>
    <cellStyle name="Nota 2 3 5 10 6" xfId="18114"/>
    <cellStyle name="Nota 2 3 5 10 7" xfId="22146"/>
    <cellStyle name="Nota 2 3 5 10 8" xfId="26178"/>
    <cellStyle name="Nota 2 3 5 10 9" xfId="30210"/>
    <cellStyle name="Nota 2 3 5 11" xfId="4536"/>
    <cellStyle name="Nota 2 3 5 11 10" xfId="38412"/>
    <cellStyle name="Nota 2 3 5 11 11" xfId="42444"/>
    <cellStyle name="Nota 2 3 5 11 12" xfId="46476"/>
    <cellStyle name="Nota 2 3 5 11 13" xfId="50555"/>
    <cellStyle name="Nota 2 3 5 11 2" xfId="8170"/>
    <cellStyle name="Nota 2 3 5 11 2 10" xfId="44460"/>
    <cellStyle name="Nota 2 3 5 11 2 11" xfId="48492"/>
    <cellStyle name="Nota 2 3 5 11 2 12" xfId="52571"/>
    <cellStyle name="Nota 2 3 5 11 2 2" xfId="12204"/>
    <cellStyle name="Nota 2 3 5 11 2 3" xfId="16236"/>
    <cellStyle name="Nota 2 3 5 11 2 4" xfId="20268"/>
    <cellStyle name="Nota 2 3 5 11 2 5" xfId="24300"/>
    <cellStyle name="Nota 2 3 5 11 2 6" xfId="28332"/>
    <cellStyle name="Nota 2 3 5 11 2 7" xfId="32364"/>
    <cellStyle name="Nota 2 3 5 11 2 8" xfId="36396"/>
    <cellStyle name="Nota 2 3 5 11 2 9" xfId="40428"/>
    <cellStyle name="Nota 2 3 5 11 3" xfId="10188"/>
    <cellStyle name="Nota 2 3 5 11 4" xfId="14220"/>
    <cellStyle name="Nota 2 3 5 11 5" xfId="18252"/>
    <cellStyle name="Nota 2 3 5 11 6" xfId="22284"/>
    <cellStyle name="Nota 2 3 5 11 7" xfId="26316"/>
    <cellStyle name="Nota 2 3 5 11 8" xfId="30348"/>
    <cellStyle name="Nota 2 3 5 11 9" xfId="34380"/>
    <cellStyle name="Nota 2 3 5 12" xfId="334"/>
    <cellStyle name="Nota 2 3 5 12 10" xfId="37539"/>
    <cellStyle name="Nota 2 3 5 12 11" xfId="41571"/>
    <cellStyle name="Nota 2 3 5 12 12" xfId="45603"/>
    <cellStyle name="Nota 2 3 5 12 13" xfId="49681"/>
    <cellStyle name="Nota 2 3 5 12 2" xfId="7297"/>
    <cellStyle name="Nota 2 3 5 12 2 10" xfId="43587"/>
    <cellStyle name="Nota 2 3 5 12 2 11" xfId="47619"/>
    <cellStyle name="Nota 2 3 5 12 2 12" xfId="51698"/>
    <cellStyle name="Nota 2 3 5 12 2 2" xfId="11331"/>
    <cellStyle name="Nota 2 3 5 12 2 3" xfId="15363"/>
    <cellStyle name="Nota 2 3 5 12 2 4" xfId="19395"/>
    <cellStyle name="Nota 2 3 5 12 2 5" xfId="23427"/>
    <cellStyle name="Nota 2 3 5 12 2 6" xfId="27459"/>
    <cellStyle name="Nota 2 3 5 12 2 7" xfId="31491"/>
    <cellStyle name="Nota 2 3 5 12 2 8" xfId="35523"/>
    <cellStyle name="Nota 2 3 5 12 2 9" xfId="39555"/>
    <cellStyle name="Nota 2 3 5 12 3" xfId="9315"/>
    <cellStyle name="Nota 2 3 5 12 4" xfId="13347"/>
    <cellStyle name="Nota 2 3 5 12 5" xfId="17379"/>
    <cellStyle name="Nota 2 3 5 12 6" xfId="21411"/>
    <cellStyle name="Nota 2 3 5 12 7" xfId="25443"/>
    <cellStyle name="Nota 2 3 5 12 8" xfId="29475"/>
    <cellStyle name="Nota 2 3 5 12 9" xfId="33507"/>
    <cellStyle name="Nota 2 3 5 13" xfId="7105"/>
    <cellStyle name="Nota 2 3 5 13 10" xfId="43395"/>
    <cellStyle name="Nota 2 3 5 13 11" xfId="47427"/>
    <cellStyle name="Nota 2 3 5 13 12" xfId="51506"/>
    <cellStyle name="Nota 2 3 5 13 2" xfId="11139"/>
    <cellStyle name="Nota 2 3 5 13 3" xfId="15171"/>
    <cellStyle name="Nota 2 3 5 13 4" xfId="19203"/>
    <cellStyle name="Nota 2 3 5 13 5" xfId="23235"/>
    <cellStyle name="Nota 2 3 5 13 6" xfId="27267"/>
    <cellStyle name="Nota 2 3 5 13 7" xfId="31299"/>
    <cellStyle name="Nota 2 3 5 13 8" xfId="35331"/>
    <cellStyle name="Nota 2 3 5 13 9" xfId="39363"/>
    <cellStyle name="Nota 2 3 5 14" xfId="131"/>
    <cellStyle name="Nota 2 3 5 15" xfId="9123"/>
    <cellStyle name="Nota 2 3 5 16" xfId="13155"/>
    <cellStyle name="Nota 2 3 5 17" xfId="17187"/>
    <cellStyle name="Nota 2 3 5 18" xfId="21219"/>
    <cellStyle name="Nota 2 3 5 19" xfId="25251"/>
    <cellStyle name="Nota 2 3 5 2" xfId="210"/>
    <cellStyle name="Nota 2 3 5 2 10" xfId="17256"/>
    <cellStyle name="Nota 2 3 5 2 11" xfId="21288"/>
    <cellStyle name="Nota 2 3 5 2 12" xfId="25320"/>
    <cellStyle name="Nota 2 3 5 2 13" xfId="29352"/>
    <cellStyle name="Nota 2 3 5 2 14" xfId="33384"/>
    <cellStyle name="Nota 2 3 5 2 15" xfId="37416"/>
    <cellStyle name="Nota 2 3 5 2 16" xfId="41448"/>
    <cellStyle name="Nota 2 3 5 2 17" xfId="45480"/>
    <cellStyle name="Nota 2 3 5 2 18" xfId="49558"/>
    <cellStyle name="Nota 2 3 5 2 2" xfId="1476"/>
    <cellStyle name="Nota 2 3 5 2 2 2" xfId="1576"/>
    <cellStyle name="Nota 2 3 5 2 2 2 2" xfId="5276"/>
    <cellStyle name="Nota 2 3 5 2 2 3" xfId="5230"/>
    <cellStyle name="Nota 2 3 5 2 3" xfId="4328"/>
    <cellStyle name="Nota 2 3 5 2 3 10" xfId="34173"/>
    <cellStyle name="Nota 2 3 5 2 3 11" xfId="38205"/>
    <cellStyle name="Nota 2 3 5 2 3 12" xfId="42237"/>
    <cellStyle name="Nota 2 3 5 2 3 13" xfId="46269"/>
    <cellStyle name="Nota 2 3 5 2 3 14" xfId="50348"/>
    <cellStyle name="Nota 2 3 5 2 3 2" xfId="6898"/>
    <cellStyle name="Nota 2 3 5 2 3 2 10" xfId="39156"/>
    <cellStyle name="Nota 2 3 5 2 3 2 11" xfId="43188"/>
    <cellStyle name="Nota 2 3 5 2 3 2 12" xfId="47220"/>
    <cellStyle name="Nota 2 3 5 2 3 2 13" xfId="51299"/>
    <cellStyle name="Nota 2 3 5 2 3 2 2" xfId="8914"/>
    <cellStyle name="Nota 2 3 5 2 3 2 2 10" xfId="45204"/>
    <cellStyle name="Nota 2 3 5 2 3 2 2 11" xfId="49236"/>
    <cellStyle name="Nota 2 3 5 2 3 2 2 12" xfId="53315"/>
    <cellStyle name="Nota 2 3 5 2 3 2 2 2" xfId="12948"/>
    <cellStyle name="Nota 2 3 5 2 3 2 2 3" xfId="16980"/>
    <cellStyle name="Nota 2 3 5 2 3 2 2 4" xfId="21012"/>
    <cellStyle name="Nota 2 3 5 2 3 2 2 5" xfId="25044"/>
    <cellStyle name="Nota 2 3 5 2 3 2 2 6" xfId="29076"/>
    <cellStyle name="Nota 2 3 5 2 3 2 2 7" xfId="33108"/>
    <cellStyle name="Nota 2 3 5 2 3 2 2 8" xfId="37140"/>
    <cellStyle name="Nota 2 3 5 2 3 2 2 9" xfId="41172"/>
    <cellStyle name="Nota 2 3 5 2 3 2 3" xfId="10932"/>
    <cellStyle name="Nota 2 3 5 2 3 2 4" xfId="14964"/>
    <cellStyle name="Nota 2 3 5 2 3 2 5" xfId="18996"/>
    <cellStyle name="Nota 2 3 5 2 3 2 6" xfId="23028"/>
    <cellStyle name="Nota 2 3 5 2 3 2 7" xfId="27060"/>
    <cellStyle name="Nota 2 3 5 2 3 2 8" xfId="31092"/>
    <cellStyle name="Nota 2 3 5 2 3 2 9" xfId="35124"/>
    <cellStyle name="Nota 2 3 5 2 3 3" xfId="7963"/>
    <cellStyle name="Nota 2 3 5 2 3 3 10" xfId="44253"/>
    <cellStyle name="Nota 2 3 5 2 3 3 11" xfId="48285"/>
    <cellStyle name="Nota 2 3 5 2 3 3 12" xfId="52364"/>
    <cellStyle name="Nota 2 3 5 2 3 3 2" xfId="11997"/>
    <cellStyle name="Nota 2 3 5 2 3 3 3" xfId="16029"/>
    <cellStyle name="Nota 2 3 5 2 3 3 4" xfId="20061"/>
    <cellStyle name="Nota 2 3 5 2 3 3 5" xfId="24093"/>
    <cellStyle name="Nota 2 3 5 2 3 3 6" xfId="28125"/>
    <cellStyle name="Nota 2 3 5 2 3 3 7" xfId="32157"/>
    <cellStyle name="Nota 2 3 5 2 3 3 8" xfId="36189"/>
    <cellStyle name="Nota 2 3 5 2 3 3 9" xfId="40221"/>
    <cellStyle name="Nota 2 3 5 2 3 4" xfId="9981"/>
    <cellStyle name="Nota 2 3 5 2 3 5" xfId="14013"/>
    <cellStyle name="Nota 2 3 5 2 3 6" xfId="18045"/>
    <cellStyle name="Nota 2 3 5 2 3 7" xfId="22077"/>
    <cellStyle name="Nota 2 3 5 2 3 8" xfId="26109"/>
    <cellStyle name="Nota 2 3 5 2 3 9" xfId="30141"/>
    <cellStyle name="Nota 2 3 5 2 4" xfId="4467"/>
    <cellStyle name="Nota 2 3 5 2 4 10" xfId="34311"/>
    <cellStyle name="Nota 2 3 5 2 4 11" xfId="38343"/>
    <cellStyle name="Nota 2 3 5 2 4 12" xfId="42375"/>
    <cellStyle name="Nota 2 3 5 2 4 13" xfId="46407"/>
    <cellStyle name="Nota 2 3 5 2 4 14" xfId="50486"/>
    <cellStyle name="Nota 2 3 5 2 4 2" xfId="7036"/>
    <cellStyle name="Nota 2 3 5 2 4 2 10" xfId="39294"/>
    <cellStyle name="Nota 2 3 5 2 4 2 11" xfId="43326"/>
    <cellStyle name="Nota 2 3 5 2 4 2 12" xfId="47358"/>
    <cellStyle name="Nota 2 3 5 2 4 2 13" xfId="51437"/>
    <cellStyle name="Nota 2 3 5 2 4 2 2" xfId="9052"/>
    <cellStyle name="Nota 2 3 5 2 4 2 2 10" xfId="45342"/>
    <cellStyle name="Nota 2 3 5 2 4 2 2 11" xfId="49374"/>
    <cellStyle name="Nota 2 3 5 2 4 2 2 12" xfId="53453"/>
    <cellStyle name="Nota 2 3 5 2 4 2 2 2" xfId="13086"/>
    <cellStyle name="Nota 2 3 5 2 4 2 2 3" xfId="17118"/>
    <cellStyle name="Nota 2 3 5 2 4 2 2 4" xfId="21150"/>
    <cellStyle name="Nota 2 3 5 2 4 2 2 5" xfId="25182"/>
    <cellStyle name="Nota 2 3 5 2 4 2 2 6" xfId="29214"/>
    <cellStyle name="Nota 2 3 5 2 4 2 2 7" xfId="33246"/>
    <cellStyle name="Nota 2 3 5 2 4 2 2 8" xfId="37278"/>
    <cellStyle name="Nota 2 3 5 2 4 2 2 9" xfId="41310"/>
    <cellStyle name="Nota 2 3 5 2 4 2 3" xfId="11070"/>
    <cellStyle name="Nota 2 3 5 2 4 2 4" xfId="15102"/>
    <cellStyle name="Nota 2 3 5 2 4 2 5" xfId="19134"/>
    <cellStyle name="Nota 2 3 5 2 4 2 6" xfId="23166"/>
    <cellStyle name="Nota 2 3 5 2 4 2 7" xfId="27198"/>
    <cellStyle name="Nota 2 3 5 2 4 2 8" xfId="31230"/>
    <cellStyle name="Nota 2 3 5 2 4 2 9" xfId="35262"/>
    <cellStyle name="Nota 2 3 5 2 4 3" xfId="8101"/>
    <cellStyle name="Nota 2 3 5 2 4 3 10" xfId="44391"/>
    <cellStyle name="Nota 2 3 5 2 4 3 11" xfId="48423"/>
    <cellStyle name="Nota 2 3 5 2 4 3 12" xfId="52502"/>
    <cellStyle name="Nota 2 3 5 2 4 3 2" xfId="12135"/>
    <cellStyle name="Nota 2 3 5 2 4 3 3" xfId="16167"/>
    <cellStyle name="Nota 2 3 5 2 4 3 4" xfId="20199"/>
    <cellStyle name="Nota 2 3 5 2 4 3 5" xfId="24231"/>
    <cellStyle name="Nota 2 3 5 2 4 3 6" xfId="28263"/>
    <cellStyle name="Nota 2 3 5 2 4 3 7" xfId="32295"/>
    <cellStyle name="Nota 2 3 5 2 4 3 8" xfId="36327"/>
    <cellStyle name="Nota 2 3 5 2 4 3 9" xfId="40359"/>
    <cellStyle name="Nota 2 3 5 2 4 4" xfId="10119"/>
    <cellStyle name="Nota 2 3 5 2 4 5" xfId="14151"/>
    <cellStyle name="Nota 2 3 5 2 4 6" xfId="18183"/>
    <cellStyle name="Nota 2 3 5 2 4 7" xfId="22215"/>
    <cellStyle name="Nota 2 3 5 2 4 8" xfId="26247"/>
    <cellStyle name="Nota 2 3 5 2 4 9" xfId="30279"/>
    <cellStyle name="Nota 2 3 5 2 5" xfId="4607"/>
    <cellStyle name="Nota 2 3 5 2 5 10" xfId="38481"/>
    <cellStyle name="Nota 2 3 5 2 5 11" xfId="42513"/>
    <cellStyle name="Nota 2 3 5 2 5 12" xfId="46545"/>
    <cellStyle name="Nota 2 3 5 2 5 13" xfId="50624"/>
    <cellStyle name="Nota 2 3 5 2 5 2" xfId="8239"/>
    <cellStyle name="Nota 2 3 5 2 5 2 10" xfId="44529"/>
    <cellStyle name="Nota 2 3 5 2 5 2 11" xfId="48561"/>
    <cellStyle name="Nota 2 3 5 2 5 2 12" xfId="52640"/>
    <cellStyle name="Nota 2 3 5 2 5 2 2" xfId="12273"/>
    <cellStyle name="Nota 2 3 5 2 5 2 3" xfId="16305"/>
    <cellStyle name="Nota 2 3 5 2 5 2 4" xfId="20337"/>
    <cellStyle name="Nota 2 3 5 2 5 2 5" xfId="24369"/>
    <cellStyle name="Nota 2 3 5 2 5 2 6" xfId="28401"/>
    <cellStyle name="Nota 2 3 5 2 5 2 7" xfId="32433"/>
    <cellStyle name="Nota 2 3 5 2 5 2 8" xfId="36465"/>
    <cellStyle name="Nota 2 3 5 2 5 2 9" xfId="40497"/>
    <cellStyle name="Nota 2 3 5 2 5 3" xfId="10257"/>
    <cellStyle name="Nota 2 3 5 2 5 4" xfId="14289"/>
    <cellStyle name="Nota 2 3 5 2 5 5" xfId="18321"/>
    <cellStyle name="Nota 2 3 5 2 5 6" xfId="22353"/>
    <cellStyle name="Nota 2 3 5 2 5 7" xfId="26385"/>
    <cellStyle name="Nota 2 3 5 2 5 8" xfId="30417"/>
    <cellStyle name="Nota 2 3 5 2 5 9" xfId="34449"/>
    <cellStyle name="Nota 2 3 5 2 6" xfId="1310"/>
    <cellStyle name="Nota 2 3 5 2 7" xfId="7174"/>
    <cellStyle name="Nota 2 3 5 2 7 10" xfId="43464"/>
    <cellStyle name="Nota 2 3 5 2 7 11" xfId="47496"/>
    <cellStyle name="Nota 2 3 5 2 7 12" xfId="51575"/>
    <cellStyle name="Nota 2 3 5 2 7 2" xfId="11208"/>
    <cellStyle name="Nota 2 3 5 2 7 3" xfId="15240"/>
    <cellStyle name="Nota 2 3 5 2 7 4" xfId="19272"/>
    <cellStyle name="Nota 2 3 5 2 7 5" xfId="23304"/>
    <cellStyle name="Nota 2 3 5 2 7 6" xfId="27336"/>
    <cellStyle name="Nota 2 3 5 2 7 7" xfId="31368"/>
    <cellStyle name="Nota 2 3 5 2 7 8" xfId="35400"/>
    <cellStyle name="Nota 2 3 5 2 7 9" xfId="39432"/>
    <cellStyle name="Nota 2 3 5 2 8" xfId="9192"/>
    <cellStyle name="Nota 2 3 5 2 9" xfId="13224"/>
    <cellStyle name="Nota 2 3 5 20" xfId="29283"/>
    <cellStyle name="Nota 2 3 5 21" xfId="33315"/>
    <cellStyle name="Nota 2 3 5 22" xfId="37347"/>
    <cellStyle name="Nota 2 3 5 23" xfId="41379"/>
    <cellStyle name="Nota 2 3 5 24" xfId="45411"/>
    <cellStyle name="Nota 2 3 5 25" xfId="49489"/>
    <cellStyle name="Nota 2 3 5 3" xfId="979"/>
    <cellStyle name="Nota 2 3 5 3 2" xfId="5007"/>
    <cellStyle name="Nota 2 3 5 4" xfId="1644"/>
    <cellStyle name="Nota 2 3 5 4 10" xfId="33605"/>
    <cellStyle name="Nota 2 3 5 4 11" xfId="37637"/>
    <cellStyle name="Nota 2 3 5 4 12" xfId="41669"/>
    <cellStyle name="Nota 2 3 5 4 13" xfId="45701"/>
    <cellStyle name="Nota 2 3 5 4 14" xfId="49779"/>
    <cellStyle name="Nota 2 3 5 4 2" xfId="5327"/>
    <cellStyle name="Nota 2 3 5 4 2 10" xfId="38595"/>
    <cellStyle name="Nota 2 3 5 4 2 11" xfId="42627"/>
    <cellStyle name="Nota 2 3 5 4 2 12" xfId="46659"/>
    <cellStyle name="Nota 2 3 5 4 2 13" xfId="50738"/>
    <cellStyle name="Nota 2 3 5 4 2 2" xfId="8353"/>
    <cellStyle name="Nota 2 3 5 4 2 2 10" xfId="44643"/>
    <cellStyle name="Nota 2 3 5 4 2 2 11" xfId="48675"/>
    <cellStyle name="Nota 2 3 5 4 2 2 12" xfId="52754"/>
    <cellStyle name="Nota 2 3 5 4 2 2 2" xfId="12387"/>
    <cellStyle name="Nota 2 3 5 4 2 2 3" xfId="16419"/>
    <cellStyle name="Nota 2 3 5 4 2 2 4" xfId="20451"/>
    <cellStyle name="Nota 2 3 5 4 2 2 5" xfId="24483"/>
    <cellStyle name="Nota 2 3 5 4 2 2 6" xfId="28515"/>
    <cellStyle name="Nota 2 3 5 4 2 2 7" xfId="32547"/>
    <cellStyle name="Nota 2 3 5 4 2 2 8" xfId="36579"/>
    <cellStyle name="Nota 2 3 5 4 2 2 9" xfId="40611"/>
    <cellStyle name="Nota 2 3 5 4 2 3" xfId="10371"/>
    <cellStyle name="Nota 2 3 5 4 2 4" xfId="14403"/>
    <cellStyle name="Nota 2 3 5 4 2 5" xfId="18435"/>
    <cellStyle name="Nota 2 3 5 4 2 6" xfId="22467"/>
    <cellStyle name="Nota 2 3 5 4 2 7" xfId="26499"/>
    <cellStyle name="Nota 2 3 5 4 2 8" xfId="30531"/>
    <cellStyle name="Nota 2 3 5 4 2 9" xfId="34563"/>
    <cellStyle name="Nota 2 3 5 4 3" xfId="7395"/>
    <cellStyle name="Nota 2 3 5 4 3 10" xfId="43685"/>
    <cellStyle name="Nota 2 3 5 4 3 11" xfId="47717"/>
    <cellStyle name="Nota 2 3 5 4 3 12" xfId="51796"/>
    <cellStyle name="Nota 2 3 5 4 3 2" xfId="11429"/>
    <cellStyle name="Nota 2 3 5 4 3 3" xfId="15461"/>
    <cellStyle name="Nota 2 3 5 4 3 4" xfId="19493"/>
    <cellStyle name="Nota 2 3 5 4 3 5" xfId="23525"/>
    <cellStyle name="Nota 2 3 5 4 3 6" xfId="27557"/>
    <cellStyle name="Nota 2 3 5 4 3 7" xfId="31589"/>
    <cellStyle name="Nota 2 3 5 4 3 8" xfId="35621"/>
    <cellStyle name="Nota 2 3 5 4 3 9" xfId="39653"/>
    <cellStyle name="Nota 2 3 5 4 4" xfId="9413"/>
    <cellStyle name="Nota 2 3 5 4 5" xfId="13445"/>
    <cellStyle name="Nota 2 3 5 4 6" xfId="17477"/>
    <cellStyle name="Nota 2 3 5 4 7" xfId="21509"/>
    <cellStyle name="Nota 2 3 5 4 8" xfId="25541"/>
    <cellStyle name="Nota 2 3 5 4 9" xfId="29573"/>
    <cellStyle name="Nota 2 3 5 5" xfId="1718"/>
    <cellStyle name="Nota 2 3 5 5 10" xfId="33674"/>
    <cellStyle name="Nota 2 3 5 5 11" xfId="37706"/>
    <cellStyle name="Nota 2 3 5 5 12" xfId="41738"/>
    <cellStyle name="Nota 2 3 5 5 13" xfId="45770"/>
    <cellStyle name="Nota 2 3 5 5 14" xfId="49848"/>
    <cellStyle name="Nota 2 3 5 5 2" xfId="5389"/>
    <cellStyle name="Nota 2 3 5 5 2 10" xfId="38657"/>
    <cellStyle name="Nota 2 3 5 5 2 11" xfId="42689"/>
    <cellStyle name="Nota 2 3 5 5 2 12" xfId="46721"/>
    <cellStyle name="Nota 2 3 5 5 2 13" xfId="50800"/>
    <cellStyle name="Nota 2 3 5 5 2 2" xfId="8415"/>
    <cellStyle name="Nota 2 3 5 5 2 2 10" xfId="44705"/>
    <cellStyle name="Nota 2 3 5 5 2 2 11" xfId="48737"/>
    <cellStyle name="Nota 2 3 5 5 2 2 12" xfId="52816"/>
    <cellStyle name="Nota 2 3 5 5 2 2 2" xfId="12449"/>
    <cellStyle name="Nota 2 3 5 5 2 2 3" xfId="16481"/>
    <cellStyle name="Nota 2 3 5 5 2 2 4" xfId="20513"/>
    <cellStyle name="Nota 2 3 5 5 2 2 5" xfId="24545"/>
    <cellStyle name="Nota 2 3 5 5 2 2 6" xfId="28577"/>
    <cellStyle name="Nota 2 3 5 5 2 2 7" xfId="32609"/>
    <cellStyle name="Nota 2 3 5 5 2 2 8" xfId="36641"/>
    <cellStyle name="Nota 2 3 5 5 2 2 9" xfId="40673"/>
    <cellStyle name="Nota 2 3 5 5 2 3" xfId="10433"/>
    <cellStyle name="Nota 2 3 5 5 2 4" xfId="14465"/>
    <cellStyle name="Nota 2 3 5 5 2 5" xfId="18497"/>
    <cellStyle name="Nota 2 3 5 5 2 6" xfId="22529"/>
    <cellStyle name="Nota 2 3 5 5 2 7" xfId="26561"/>
    <cellStyle name="Nota 2 3 5 5 2 8" xfId="30593"/>
    <cellStyle name="Nota 2 3 5 5 2 9" xfId="34625"/>
    <cellStyle name="Nota 2 3 5 5 3" xfId="7464"/>
    <cellStyle name="Nota 2 3 5 5 3 10" xfId="43754"/>
    <cellStyle name="Nota 2 3 5 5 3 11" xfId="47786"/>
    <cellStyle name="Nota 2 3 5 5 3 12" xfId="51865"/>
    <cellStyle name="Nota 2 3 5 5 3 2" xfId="11498"/>
    <cellStyle name="Nota 2 3 5 5 3 3" xfId="15530"/>
    <cellStyle name="Nota 2 3 5 5 3 4" xfId="19562"/>
    <cellStyle name="Nota 2 3 5 5 3 5" xfId="23594"/>
    <cellStyle name="Nota 2 3 5 5 3 6" xfId="27626"/>
    <cellStyle name="Nota 2 3 5 5 3 7" xfId="31658"/>
    <cellStyle name="Nota 2 3 5 5 3 8" xfId="35690"/>
    <cellStyle name="Nota 2 3 5 5 3 9" xfId="39722"/>
    <cellStyle name="Nota 2 3 5 5 4" xfId="9482"/>
    <cellStyle name="Nota 2 3 5 5 5" xfId="13514"/>
    <cellStyle name="Nota 2 3 5 5 6" xfId="17546"/>
    <cellStyle name="Nota 2 3 5 5 7" xfId="21578"/>
    <cellStyle name="Nota 2 3 5 5 8" xfId="25610"/>
    <cellStyle name="Nota 2 3 5 5 9" xfId="29642"/>
    <cellStyle name="Nota 2 3 5 6" xfId="4040"/>
    <cellStyle name="Nota 2 3 5 6 10" xfId="33897"/>
    <cellStyle name="Nota 2 3 5 6 11" xfId="37929"/>
    <cellStyle name="Nota 2 3 5 6 12" xfId="41961"/>
    <cellStyle name="Nota 2 3 5 6 13" xfId="45993"/>
    <cellStyle name="Nota 2 3 5 6 14" xfId="50071"/>
    <cellStyle name="Nota 2 3 5 6 2" xfId="6622"/>
    <cellStyle name="Nota 2 3 5 6 2 10" xfId="38880"/>
    <cellStyle name="Nota 2 3 5 6 2 11" xfId="42912"/>
    <cellStyle name="Nota 2 3 5 6 2 12" xfId="46944"/>
    <cellStyle name="Nota 2 3 5 6 2 13" xfId="51023"/>
    <cellStyle name="Nota 2 3 5 6 2 2" xfId="8638"/>
    <cellStyle name="Nota 2 3 5 6 2 2 10" xfId="44928"/>
    <cellStyle name="Nota 2 3 5 6 2 2 11" xfId="48960"/>
    <cellStyle name="Nota 2 3 5 6 2 2 12" xfId="53039"/>
    <cellStyle name="Nota 2 3 5 6 2 2 2" xfId="12672"/>
    <cellStyle name="Nota 2 3 5 6 2 2 3" xfId="16704"/>
    <cellStyle name="Nota 2 3 5 6 2 2 4" xfId="20736"/>
    <cellStyle name="Nota 2 3 5 6 2 2 5" xfId="24768"/>
    <cellStyle name="Nota 2 3 5 6 2 2 6" xfId="28800"/>
    <cellStyle name="Nota 2 3 5 6 2 2 7" xfId="32832"/>
    <cellStyle name="Nota 2 3 5 6 2 2 8" xfId="36864"/>
    <cellStyle name="Nota 2 3 5 6 2 2 9" xfId="40896"/>
    <cellStyle name="Nota 2 3 5 6 2 3" xfId="10656"/>
    <cellStyle name="Nota 2 3 5 6 2 4" xfId="14688"/>
    <cellStyle name="Nota 2 3 5 6 2 5" xfId="18720"/>
    <cellStyle name="Nota 2 3 5 6 2 6" xfId="22752"/>
    <cellStyle name="Nota 2 3 5 6 2 7" xfId="26784"/>
    <cellStyle name="Nota 2 3 5 6 2 8" xfId="30816"/>
    <cellStyle name="Nota 2 3 5 6 2 9" xfId="34848"/>
    <cellStyle name="Nota 2 3 5 6 3" xfId="7687"/>
    <cellStyle name="Nota 2 3 5 6 3 10" xfId="43977"/>
    <cellStyle name="Nota 2 3 5 6 3 11" xfId="48009"/>
    <cellStyle name="Nota 2 3 5 6 3 12" xfId="52088"/>
    <cellStyle name="Nota 2 3 5 6 3 2" xfId="11721"/>
    <cellStyle name="Nota 2 3 5 6 3 3" xfId="15753"/>
    <cellStyle name="Nota 2 3 5 6 3 4" xfId="19785"/>
    <cellStyle name="Nota 2 3 5 6 3 5" xfId="23817"/>
    <cellStyle name="Nota 2 3 5 6 3 6" xfId="27849"/>
    <cellStyle name="Nota 2 3 5 6 3 7" xfId="31881"/>
    <cellStyle name="Nota 2 3 5 6 3 8" xfId="35913"/>
    <cellStyle name="Nota 2 3 5 6 3 9" xfId="39945"/>
    <cellStyle name="Nota 2 3 5 6 4" xfId="9705"/>
    <cellStyle name="Nota 2 3 5 6 5" xfId="13737"/>
    <cellStyle name="Nota 2 3 5 6 6" xfId="17769"/>
    <cellStyle name="Nota 2 3 5 6 7" xfId="21801"/>
    <cellStyle name="Nota 2 3 5 6 8" xfId="25833"/>
    <cellStyle name="Nota 2 3 5 6 9" xfId="29865"/>
    <cellStyle name="Nota 2 3 5 7" xfId="4110"/>
    <cellStyle name="Nota 2 3 5 7 10" xfId="33966"/>
    <cellStyle name="Nota 2 3 5 7 11" xfId="37998"/>
    <cellStyle name="Nota 2 3 5 7 12" xfId="42030"/>
    <cellStyle name="Nota 2 3 5 7 13" xfId="46062"/>
    <cellStyle name="Nota 2 3 5 7 14" xfId="50140"/>
    <cellStyle name="Nota 2 3 5 7 2" xfId="6691"/>
    <cellStyle name="Nota 2 3 5 7 2 10" xfId="38949"/>
    <cellStyle name="Nota 2 3 5 7 2 11" xfId="42981"/>
    <cellStyle name="Nota 2 3 5 7 2 12" xfId="47013"/>
    <cellStyle name="Nota 2 3 5 7 2 13" xfId="51092"/>
    <cellStyle name="Nota 2 3 5 7 2 2" xfId="8707"/>
    <cellStyle name="Nota 2 3 5 7 2 2 10" xfId="44997"/>
    <cellStyle name="Nota 2 3 5 7 2 2 11" xfId="49029"/>
    <cellStyle name="Nota 2 3 5 7 2 2 12" xfId="53108"/>
    <cellStyle name="Nota 2 3 5 7 2 2 2" xfId="12741"/>
    <cellStyle name="Nota 2 3 5 7 2 2 3" xfId="16773"/>
    <cellStyle name="Nota 2 3 5 7 2 2 4" xfId="20805"/>
    <cellStyle name="Nota 2 3 5 7 2 2 5" xfId="24837"/>
    <cellStyle name="Nota 2 3 5 7 2 2 6" xfId="28869"/>
    <cellStyle name="Nota 2 3 5 7 2 2 7" xfId="32901"/>
    <cellStyle name="Nota 2 3 5 7 2 2 8" xfId="36933"/>
    <cellStyle name="Nota 2 3 5 7 2 2 9" xfId="40965"/>
    <cellStyle name="Nota 2 3 5 7 2 3" xfId="10725"/>
    <cellStyle name="Nota 2 3 5 7 2 4" xfId="14757"/>
    <cellStyle name="Nota 2 3 5 7 2 5" xfId="18789"/>
    <cellStyle name="Nota 2 3 5 7 2 6" xfId="22821"/>
    <cellStyle name="Nota 2 3 5 7 2 7" xfId="26853"/>
    <cellStyle name="Nota 2 3 5 7 2 8" xfId="30885"/>
    <cellStyle name="Nota 2 3 5 7 2 9" xfId="34917"/>
    <cellStyle name="Nota 2 3 5 7 3" xfId="7756"/>
    <cellStyle name="Nota 2 3 5 7 3 10" xfId="44046"/>
    <cellStyle name="Nota 2 3 5 7 3 11" xfId="48078"/>
    <cellStyle name="Nota 2 3 5 7 3 12" xfId="52157"/>
    <cellStyle name="Nota 2 3 5 7 3 2" xfId="11790"/>
    <cellStyle name="Nota 2 3 5 7 3 3" xfId="15822"/>
    <cellStyle name="Nota 2 3 5 7 3 4" xfId="19854"/>
    <cellStyle name="Nota 2 3 5 7 3 5" xfId="23886"/>
    <cellStyle name="Nota 2 3 5 7 3 6" xfId="27918"/>
    <cellStyle name="Nota 2 3 5 7 3 7" xfId="31950"/>
    <cellStyle name="Nota 2 3 5 7 3 8" xfId="35982"/>
    <cellStyle name="Nota 2 3 5 7 3 9" xfId="40014"/>
    <cellStyle name="Nota 2 3 5 7 4" xfId="9774"/>
    <cellStyle name="Nota 2 3 5 7 5" xfId="13806"/>
    <cellStyle name="Nota 2 3 5 7 6" xfId="17838"/>
    <cellStyle name="Nota 2 3 5 7 7" xfId="21870"/>
    <cellStyle name="Nota 2 3 5 7 8" xfId="25902"/>
    <cellStyle name="Nota 2 3 5 7 9" xfId="29934"/>
    <cellStyle name="Nota 2 3 5 8" xfId="4179"/>
    <cellStyle name="Nota 2 3 5 8 10" xfId="34035"/>
    <cellStyle name="Nota 2 3 5 8 11" xfId="38067"/>
    <cellStyle name="Nota 2 3 5 8 12" xfId="42099"/>
    <cellStyle name="Nota 2 3 5 8 13" xfId="46131"/>
    <cellStyle name="Nota 2 3 5 8 14" xfId="50209"/>
    <cellStyle name="Nota 2 3 5 8 2" xfId="6760"/>
    <cellStyle name="Nota 2 3 5 8 2 10" xfId="39018"/>
    <cellStyle name="Nota 2 3 5 8 2 11" xfId="43050"/>
    <cellStyle name="Nota 2 3 5 8 2 12" xfId="47082"/>
    <cellStyle name="Nota 2 3 5 8 2 13" xfId="51161"/>
    <cellStyle name="Nota 2 3 5 8 2 2" xfId="8776"/>
    <cellStyle name="Nota 2 3 5 8 2 2 10" xfId="45066"/>
    <cellStyle name="Nota 2 3 5 8 2 2 11" xfId="49098"/>
    <cellStyle name="Nota 2 3 5 8 2 2 12" xfId="53177"/>
    <cellStyle name="Nota 2 3 5 8 2 2 2" xfId="12810"/>
    <cellStyle name="Nota 2 3 5 8 2 2 3" xfId="16842"/>
    <cellStyle name="Nota 2 3 5 8 2 2 4" xfId="20874"/>
    <cellStyle name="Nota 2 3 5 8 2 2 5" xfId="24906"/>
    <cellStyle name="Nota 2 3 5 8 2 2 6" xfId="28938"/>
    <cellStyle name="Nota 2 3 5 8 2 2 7" xfId="32970"/>
    <cellStyle name="Nota 2 3 5 8 2 2 8" xfId="37002"/>
    <cellStyle name="Nota 2 3 5 8 2 2 9" xfId="41034"/>
    <cellStyle name="Nota 2 3 5 8 2 3" xfId="10794"/>
    <cellStyle name="Nota 2 3 5 8 2 4" xfId="14826"/>
    <cellStyle name="Nota 2 3 5 8 2 5" xfId="18858"/>
    <cellStyle name="Nota 2 3 5 8 2 6" xfId="22890"/>
    <cellStyle name="Nota 2 3 5 8 2 7" xfId="26922"/>
    <cellStyle name="Nota 2 3 5 8 2 8" xfId="30954"/>
    <cellStyle name="Nota 2 3 5 8 2 9" xfId="34986"/>
    <cellStyle name="Nota 2 3 5 8 3" xfId="7825"/>
    <cellStyle name="Nota 2 3 5 8 3 10" xfId="44115"/>
    <cellStyle name="Nota 2 3 5 8 3 11" xfId="48147"/>
    <cellStyle name="Nota 2 3 5 8 3 12" xfId="52226"/>
    <cellStyle name="Nota 2 3 5 8 3 2" xfId="11859"/>
    <cellStyle name="Nota 2 3 5 8 3 3" xfId="15891"/>
    <cellStyle name="Nota 2 3 5 8 3 4" xfId="19923"/>
    <cellStyle name="Nota 2 3 5 8 3 5" xfId="23955"/>
    <cellStyle name="Nota 2 3 5 8 3 6" xfId="27987"/>
    <cellStyle name="Nota 2 3 5 8 3 7" xfId="32019"/>
    <cellStyle name="Nota 2 3 5 8 3 8" xfId="36051"/>
    <cellStyle name="Nota 2 3 5 8 3 9" xfId="40083"/>
    <cellStyle name="Nota 2 3 5 8 4" xfId="9843"/>
    <cellStyle name="Nota 2 3 5 8 5" xfId="13875"/>
    <cellStyle name="Nota 2 3 5 8 6" xfId="17907"/>
    <cellStyle name="Nota 2 3 5 8 7" xfId="21939"/>
    <cellStyle name="Nota 2 3 5 8 8" xfId="25971"/>
    <cellStyle name="Nota 2 3 5 8 9" xfId="30003"/>
    <cellStyle name="Nota 2 3 5 9" xfId="4252"/>
    <cellStyle name="Nota 2 3 5 9 10" xfId="34104"/>
    <cellStyle name="Nota 2 3 5 9 11" xfId="38136"/>
    <cellStyle name="Nota 2 3 5 9 12" xfId="42168"/>
    <cellStyle name="Nota 2 3 5 9 13" xfId="46200"/>
    <cellStyle name="Nota 2 3 5 9 14" xfId="50278"/>
    <cellStyle name="Nota 2 3 5 9 2" xfId="6829"/>
    <cellStyle name="Nota 2 3 5 9 2 10" xfId="39087"/>
    <cellStyle name="Nota 2 3 5 9 2 11" xfId="43119"/>
    <cellStyle name="Nota 2 3 5 9 2 12" xfId="47151"/>
    <cellStyle name="Nota 2 3 5 9 2 13" xfId="51230"/>
    <cellStyle name="Nota 2 3 5 9 2 2" xfId="8845"/>
    <cellStyle name="Nota 2 3 5 9 2 2 10" xfId="45135"/>
    <cellStyle name="Nota 2 3 5 9 2 2 11" xfId="49167"/>
    <cellStyle name="Nota 2 3 5 9 2 2 12" xfId="53246"/>
    <cellStyle name="Nota 2 3 5 9 2 2 2" xfId="12879"/>
    <cellStyle name="Nota 2 3 5 9 2 2 3" xfId="16911"/>
    <cellStyle name="Nota 2 3 5 9 2 2 4" xfId="20943"/>
    <cellStyle name="Nota 2 3 5 9 2 2 5" xfId="24975"/>
    <cellStyle name="Nota 2 3 5 9 2 2 6" xfId="29007"/>
    <cellStyle name="Nota 2 3 5 9 2 2 7" xfId="33039"/>
    <cellStyle name="Nota 2 3 5 9 2 2 8" xfId="37071"/>
    <cellStyle name="Nota 2 3 5 9 2 2 9" xfId="41103"/>
    <cellStyle name="Nota 2 3 5 9 2 3" xfId="10863"/>
    <cellStyle name="Nota 2 3 5 9 2 4" xfId="14895"/>
    <cellStyle name="Nota 2 3 5 9 2 5" xfId="18927"/>
    <cellStyle name="Nota 2 3 5 9 2 6" xfId="22959"/>
    <cellStyle name="Nota 2 3 5 9 2 7" xfId="26991"/>
    <cellStyle name="Nota 2 3 5 9 2 8" xfId="31023"/>
    <cellStyle name="Nota 2 3 5 9 2 9" xfId="35055"/>
    <cellStyle name="Nota 2 3 5 9 3" xfId="7894"/>
    <cellStyle name="Nota 2 3 5 9 3 10" xfId="44184"/>
    <cellStyle name="Nota 2 3 5 9 3 11" xfId="48216"/>
    <cellStyle name="Nota 2 3 5 9 3 12" xfId="52295"/>
    <cellStyle name="Nota 2 3 5 9 3 2" xfId="11928"/>
    <cellStyle name="Nota 2 3 5 9 3 3" xfId="15960"/>
    <cellStyle name="Nota 2 3 5 9 3 4" xfId="19992"/>
    <cellStyle name="Nota 2 3 5 9 3 5" xfId="24024"/>
    <cellStyle name="Nota 2 3 5 9 3 6" xfId="28056"/>
    <cellStyle name="Nota 2 3 5 9 3 7" xfId="32088"/>
    <cellStyle name="Nota 2 3 5 9 3 8" xfId="36120"/>
    <cellStyle name="Nota 2 3 5 9 3 9" xfId="40152"/>
    <cellStyle name="Nota 2 3 5 9 4" xfId="9912"/>
    <cellStyle name="Nota 2 3 5 9 5" xfId="13944"/>
    <cellStyle name="Nota 2 3 5 9 6" xfId="17976"/>
    <cellStyle name="Nota 2 3 5 9 7" xfId="22008"/>
    <cellStyle name="Nota 2 3 5 9 8" xfId="26040"/>
    <cellStyle name="Nota 2 3 5 9 9" xfId="30072"/>
    <cellStyle name="Nota 2 3 6" xfId="191"/>
    <cellStyle name="Nota 2 3 6 10" xfId="21272"/>
    <cellStyle name="Nota 2 3 6 11" xfId="25304"/>
    <cellStyle name="Nota 2 3 6 12" xfId="29336"/>
    <cellStyle name="Nota 2 3 6 13" xfId="33368"/>
    <cellStyle name="Nota 2 3 6 14" xfId="37400"/>
    <cellStyle name="Nota 2 3 6 15" xfId="41432"/>
    <cellStyle name="Nota 2 3 6 16" xfId="45464"/>
    <cellStyle name="Nota 2 3 6 17" xfId="49542"/>
    <cellStyle name="Nota 2 3 6 2" xfId="4310"/>
    <cellStyle name="Nota 2 3 6 2 10" xfId="34157"/>
    <cellStyle name="Nota 2 3 6 2 11" xfId="38189"/>
    <cellStyle name="Nota 2 3 6 2 12" xfId="42221"/>
    <cellStyle name="Nota 2 3 6 2 13" xfId="46253"/>
    <cellStyle name="Nota 2 3 6 2 14" xfId="50332"/>
    <cellStyle name="Nota 2 3 6 2 2" xfId="6882"/>
    <cellStyle name="Nota 2 3 6 2 2 10" xfId="39140"/>
    <cellStyle name="Nota 2 3 6 2 2 11" xfId="43172"/>
    <cellStyle name="Nota 2 3 6 2 2 12" xfId="47204"/>
    <cellStyle name="Nota 2 3 6 2 2 13" xfId="51283"/>
    <cellStyle name="Nota 2 3 6 2 2 2" xfId="8898"/>
    <cellStyle name="Nota 2 3 6 2 2 2 10" xfId="45188"/>
    <cellStyle name="Nota 2 3 6 2 2 2 11" xfId="49220"/>
    <cellStyle name="Nota 2 3 6 2 2 2 12" xfId="53299"/>
    <cellStyle name="Nota 2 3 6 2 2 2 2" xfId="12932"/>
    <cellStyle name="Nota 2 3 6 2 2 2 3" xfId="16964"/>
    <cellStyle name="Nota 2 3 6 2 2 2 4" xfId="20996"/>
    <cellStyle name="Nota 2 3 6 2 2 2 5" xfId="25028"/>
    <cellStyle name="Nota 2 3 6 2 2 2 6" xfId="29060"/>
    <cellStyle name="Nota 2 3 6 2 2 2 7" xfId="33092"/>
    <cellStyle name="Nota 2 3 6 2 2 2 8" xfId="37124"/>
    <cellStyle name="Nota 2 3 6 2 2 2 9" xfId="41156"/>
    <cellStyle name="Nota 2 3 6 2 2 3" xfId="10916"/>
    <cellStyle name="Nota 2 3 6 2 2 4" xfId="14948"/>
    <cellStyle name="Nota 2 3 6 2 2 5" xfId="18980"/>
    <cellStyle name="Nota 2 3 6 2 2 6" xfId="23012"/>
    <cellStyle name="Nota 2 3 6 2 2 7" xfId="27044"/>
    <cellStyle name="Nota 2 3 6 2 2 8" xfId="31076"/>
    <cellStyle name="Nota 2 3 6 2 2 9" xfId="35108"/>
    <cellStyle name="Nota 2 3 6 2 3" xfId="7947"/>
    <cellStyle name="Nota 2 3 6 2 3 10" xfId="44237"/>
    <cellStyle name="Nota 2 3 6 2 3 11" xfId="48269"/>
    <cellStyle name="Nota 2 3 6 2 3 12" xfId="52348"/>
    <cellStyle name="Nota 2 3 6 2 3 2" xfId="11981"/>
    <cellStyle name="Nota 2 3 6 2 3 3" xfId="16013"/>
    <cellStyle name="Nota 2 3 6 2 3 4" xfId="20045"/>
    <cellStyle name="Nota 2 3 6 2 3 5" xfId="24077"/>
    <cellStyle name="Nota 2 3 6 2 3 6" xfId="28109"/>
    <cellStyle name="Nota 2 3 6 2 3 7" xfId="32141"/>
    <cellStyle name="Nota 2 3 6 2 3 8" xfId="36173"/>
    <cellStyle name="Nota 2 3 6 2 3 9" xfId="40205"/>
    <cellStyle name="Nota 2 3 6 2 4" xfId="9965"/>
    <cellStyle name="Nota 2 3 6 2 5" xfId="13997"/>
    <cellStyle name="Nota 2 3 6 2 6" xfId="18029"/>
    <cellStyle name="Nota 2 3 6 2 7" xfId="22061"/>
    <cellStyle name="Nota 2 3 6 2 8" xfId="26093"/>
    <cellStyle name="Nota 2 3 6 2 9" xfId="30125"/>
    <cellStyle name="Nota 2 3 6 3" xfId="4451"/>
    <cellStyle name="Nota 2 3 6 3 10" xfId="34295"/>
    <cellStyle name="Nota 2 3 6 3 11" xfId="38327"/>
    <cellStyle name="Nota 2 3 6 3 12" xfId="42359"/>
    <cellStyle name="Nota 2 3 6 3 13" xfId="46391"/>
    <cellStyle name="Nota 2 3 6 3 14" xfId="50470"/>
    <cellStyle name="Nota 2 3 6 3 2" xfId="7020"/>
    <cellStyle name="Nota 2 3 6 3 2 10" xfId="39278"/>
    <cellStyle name="Nota 2 3 6 3 2 11" xfId="43310"/>
    <cellStyle name="Nota 2 3 6 3 2 12" xfId="47342"/>
    <cellStyle name="Nota 2 3 6 3 2 13" xfId="51421"/>
    <cellStyle name="Nota 2 3 6 3 2 2" xfId="9036"/>
    <cellStyle name="Nota 2 3 6 3 2 2 10" xfId="45326"/>
    <cellStyle name="Nota 2 3 6 3 2 2 11" xfId="49358"/>
    <cellStyle name="Nota 2 3 6 3 2 2 12" xfId="53437"/>
    <cellStyle name="Nota 2 3 6 3 2 2 2" xfId="13070"/>
    <cellStyle name="Nota 2 3 6 3 2 2 3" xfId="17102"/>
    <cellStyle name="Nota 2 3 6 3 2 2 4" xfId="21134"/>
    <cellStyle name="Nota 2 3 6 3 2 2 5" xfId="25166"/>
    <cellStyle name="Nota 2 3 6 3 2 2 6" xfId="29198"/>
    <cellStyle name="Nota 2 3 6 3 2 2 7" xfId="33230"/>
    <cellStyle name="Nota 2 3 6 3 2 2 8" xfId="37262"/>
    <cellStyle name="Nota 2 3 6 3 2 2 9" xfId="41294"/>
    <cellStyle name="Nota 2 3 6 3 2 3" xfId="11054"/>
    <cellStyle name="Nota 2 3 6 3 2 4" xfId="15086"/>
    <cellStyle name="Nota 2 3 6 3 2 5" xfId="19118"/>
    <cellStyle name="Nota 2 3 6 3 2 6" xfId="23150"/>
    <cellStyle name="Nota 2 3 6 3 2 7" xfId="27182"/>
    <cellStyle name="Nota 2 3 6 3 2 8" xfId="31214"/>
    <cellStyle name="Nota 2 3 6 3 2 9" xfId="35246"/>
    <cellStyle name="Nota 2 3 6 3 3" xfId="8085"/>
    <cellStyle name="Nota 2 3 6 3 3 10" xfId="44375"/>
    <cellStyle name="Nota 2 3 6 3 3 11" xfId="48407"/>
    <cellStyle name="Nota 2 3 6 3 3 12" xfId="52486"/>
    <cellStyle name="Nota 2 3 6 3 3 2" xfId="12119"/>
    <cellStyle name="Nota 2 3 6 3 3 3" xfId="16151"/>
    <cellStyle name="Nota 2 3 6 3 3 4" xfId="20183"/>
    <cellStyle name="Nota 2 3 6 3 3 5" xfId="24215"/>
    <cellStyle name="Nota 2 3 6 3 3 6" xfId="28247"/>
    <cellStyle name="Nota 2 3 6 3 3 7" xfId="32279"/>
    <cellStyle name="Nota 2 3 6 3 3 8" xfId="36311"/>
    <cellStyle name="Nota 2 3 6 3 3 9" xfId="40343"/>
    <cellStyle name="Nota 2 3 6 3 4" xfId="10103"/>
    <cellStyle name="Nota 2 3 6 3 5" xfId="14135"/>
    <cellStyle name="Nota 2 3 6 3 6" xfId="18167"/>
    <cellStyle name="Nota 2 3 6 3 7" xfId="22199"/>
    <cellStyle name="Nota 2 3 6 3 8" xfId="26231"/>
    <cellStyle name="Nota 2 3 6 3 9" xfId="30263"/>
    <cellStyle name="Nota 2 3 6 4" xfId="4591"/>
    <cellStyle name="Nota 2 3 6 4 10" xfId="38465"/>
    <cellStyle name="Nota 2 3 6 4 11" xfId="42497"/>
    <cellStyle name="Nota 2 3 6 4 12" xfId="46529"/>
    <cellStyle name="Nota 2 3 6 4 13" xfId="50608"/>
    <cellStyle name="Nota 2 3 6 4 2" xfId="8223"/>
    <cellStyle name="Nota 2 3 6 4 2 10" xfId="44513"/>
    <cellStyle name="Nota 2 3 6 4 2 11" xfId="48545"/>
    <cellStyle name="Nota 2 3 6 4 2 12" xfId="52624"/>
    <cellStyle name="Nota 2 3 6 4 2 2" xfId="12257"/>
    <cellStyle name="Nota 2 3 6 4 2 3" xfId="16289"/>
    <cellStyle name="Nota 2 3 6 4 2 4" xfId="20321"/>
    <cellStyle name="Nota 2 3 6 4 2 5" xfId="24353"/>
    <cellStyle name="Nota 2 3 6 4 2 6" xfId="28385"/>
    <cellStyle name="Nota 2 3 6 4 2 7" xfId="32417"/>
    <cellStyle name="Nota 2 3 6 4 2 8" xfId="36449"/>
    <cellStyle name="Nota 2 3 6 4 2 9" xfId="40481"/>
    <cellStyle name="Nota 2 3 6 4 3" xfId="10241"/>
    <cellStyle name="Nota 2 3 6 4 4" xfId="14273"/>
    <cellStyle name="Nota 2 3 6 4 5" xfId="18305"/>
    <cellStyle name="Nota 2 3 6 4 6" xfId="22337"/>
    <cellStyle name="Nota 2 3 6 4 7" xfId="26369"/>
    <cellStyle name="Nota 2 3 6 4 8" xfId="30401"/>
    <cellStyle name="Nota 2 3 6 4 9" xfId="34433"/>
    <cellStyle name="Nota 2 3 6 5" xfId="1419"/>
    <cellStyle name="Nota 2 3 6 6" xfId="7158"/>
    <cellStyle name="Nota 2 3 6 6 10" xfId="43448"/>
    <cellStyle name="Nota 2 3 6 6 11" xfId="47480"/>
    <cellStyle name="Nota 2 3 6 6 12" xfId="51559"/>
    <cellStyle name="Nota 2 3 6 6 2" xfId="11192"/>
    <cellStyle name="Nota 2 3 6 6 3" xfId="15224"/>
    <cellStyle name="Nota 2 3 6 6 4" xfId="19256"/>
    <cellStyle name="Nota 2 3 6 6 5" xfId="23288"/>
    <cellStyle name="Nota 2 3 6 6 6" xfId="27320"/>
    <cellStyle name="Nota 2 3 6 6 7" xfId="31352"/>
    <cellStyle name="Nota 2 3 6 6 8" xfId="35384"/>
    <cellStyle name="Nota 2 3 6 6 9" xfId="39416"/>
    <cellStyle name="Nota 2 3 6 7" xfId="9176"/>
    <cellStyle name="Nota 2 3 6 8" xfId="13208"/>
    <cellStyle name="Nota 2 3 6 9" xfId="17240"/>
    <cellStyle name="Nota 2 3 7" xfId="647"/>
    <cellStyle name="Nota 2 3 7 2" xfId="4767"/>
    <cellStyle name="Nota 2 3 8" xfId="318"/>
    <cellStyle name="Nota 2 3 8 10" xfId="33491"/>
    <cellStyle name="Nota 2 3 8 11" xfId="37523"/>
    <cellStyle name="Nota 2 3 8 12" xfId="41555"/>
    <cellStyle name="Nota 2 3 8 13" xfId="45587"/>
    <cellStyle name="Nota 2 3 8 14" xfId="49665"/>
    <cellStyle name="Nota 2 3 8 2" xfId="4659"/>
    <cellStyle name="Nota 2 3 8 2 10" xfId="38533"/>
    <cellStyle name="Nota 2 3 8 2 11" xfId="42565"/>
    <cellStyle name="Nota 2 3 8 2 12" xfId="46597"/>
    <cellStyle name="Nota 2 3 8 2 13" xfId="50676"/>
    <cellStyle name="Nota 2 3 8 2 2" xfId="8291"/>
    <cellStyle name="Nota 2 3 8 2 2 10" xfId="44581"/>
    <cellStyle name="Nota 2 3 8 2 2 11" xfId="48613"/>
    <cellStyle name="Nota 2 3 8 2 2 12" xfId="52692"/>
    <cellStyle name="Nota 2 3 8 2 2 2" xfId="12325"/>
    <cellStyle name="Nota 2 3 8 2 2 3" xfId="16357"/>
    <cellStyle name="Nota 2 3 8 2 2 4" xfId="20389"/>
    <cellStyle name="Nota 2 3 8 2 2 5" xfId="24421"/>
    <cellStyle name="Nota 2 3 8 2 2 6" xfId="28453"/>
    <cellStyle name="Nota 2 3 8 2 2 7" xfId="32485"/>
    <cellStyle name="Nota 2 3 8 2 2 8" xfId="36517"/>
    <cellStyle name="Nota 2 3 8 2 2 9" xfId="40549"/>
    <cellStyle name="Nota 2 3 8 2 3" xfId="10309"/>
    <cellStyle name="Nota 2 3 8 2 4" xfId="14341"/>
    <cellStyle name="Nota 2 3 8 2 5" xfId="18373"/>
    <cellStyle name="Nota 2 3 8 2 6" xfId="22405"/>
    <cellStyle name="Nota 2 3 8 2 7" xfId="26437"/>
    <cellStyle name="Nota 2 3 8 2 8" xfId="30469"/>
    <cellStyle name="Nota 2 3 8 2 9" xfId="34501"/>
    <cellStyle name="Nota 2 3 8 3" xfId="7281"/>
    <cellStyle name="Nota 2 3 8 3 10" xfId="43571"/>
    <cellStyle name="Nota 2 3 8 3 11" xfId="47603"/>
    <cellStyle name="Nota 2 3 8 3 12" xfId="51682"/>
    <cellStyle name="Nota 2 3 8 3 2" xfId="11315"/>
    <cellStyle name="Nota 2 3 8 3 3" xfId="15347"/>
    <cellStyle name="Nota 2 3 8 3 4" xfId="19379"/>
    <cellStyle name="Nota 2 3 8 3 5" xfId="23411"/>
    <cellStyle name="Nota 2 3 8 3 6" xfId="27443"/>
    <cellStyle name="Nota 2 3 8 3 7" xfId="31475"/>
    <cellStyle name="Nota 2 3 8 3 8" xfId="35507"/>
    <cellStyle name="Nota 2 3 8 3 9" xfId="39539"/>
    <cellStyle name="Nota 2 3 8 4" xfId="9299"/>
    <cellStyle name="Nota 2 3 8 5" xfId="13331"/>
    <cellStyle name="Nota 2 3 8 6" xfId="17363"/>
    <cellStyle name="Nota 2 3 8 7" xfId="21395"/>
    <cellStyle name="Nota 2 3 8 8" xfId="25427"/>
    <cellStyle name="Nota 2 3 8 9" xfId="29459"/>
    <cellStyle name="Nota 2 3 9" xfId="1628"/>
    <cellStyle name="Nota 2 3 9 10" xfId="33589"/>
    <cellStyle name="Nota 2 3 9 11" xfId="37621"/>
    <cellStyle name="Nota 2 3 9 12" xfId="41653"/>
    <cellStyle name="Nota 2 3 9 13" xfId="45685"/>
    <cellStyle name="Nota 2 3 9 14" xfId="49763"/>
    <cellStyle name="Nota 2 3 9 2" xfId="5317"/>
    <cellStyle name="Nota 2 3 9 2 10" xfId="38585"/>
    <cellStyle name="Nota 2 3 9 2 11" xfId="42617"/>
    <cellStyle name="Nota 2 3 9 2 12" xfId="46649"/>
    <cellStyle name="Nota 2 3 9 2 13" xfId="50728"/>
    <cellStyle name="Nota 2 3 9 2 2" xfId="8343"/>
    <cellStyle name="Nota 2 3 9 2 2 10" xfId="44633"/>
    <cellStyle name="Nota 2 3 9 2 2 11" xfId="48665"/>
    <cellStyle name="Nota 2 3 9 2 2 12" xfId="52744"/>
    <cellStyle name="Nota 2 3 9 2 2 2" xfId="12377"/>
    <cellStyle name="Nota 2 3 9 2 2 3" xfId="16409"/>
    <cellStyle name="Nota 2 3 9 2 2 4" xfId="20441"/>
    <cellStyle name="Nota 2 3 9 2 2 5" xfId="24473"/>
    <cellStyle name="Nota 2 3 9 2 2 6" xfId="28505"/>
    <cellStyle name="Nota 2 3 9 2 2 7" xfId="32537"/>
    <cellStyle name="Nota 2 3 9 2 2 8" xfId="36569"/>
    <cellStyle name="Nota 2 3 9 2 2 9" xfId="40601"/>
    <cellStyle name="Nota 2 3 9 2 3" xfId="10361"/>
    <cellStyle name="Nota 2 3 9 2 4" xfId="14393"/>
    <cellStyle name="Nota 2 3 9 2 5" xfId="18425"/>
    <cellStyle name="Nota 2 3 9 2 6" xfId="22457"/>
    <cellStyle name="Nota 2 3 9 2 7" xfId="26489"/>
    <cellStyle name="Nota 2 3 9 2 8" xfId="30521"/>
    <cellStyle name="Nota 2 3 9 2 9" xfId="34553"/>
    <cellStyle name="Nota 2 3 9 3" xfId="7379"/>
    <cellStyle name="Nota 2 3 9 3 10" xfId="43669"/>
    <cellStyle name="Nota 2 3 9 3 11" xfId="47701"/>
    <cellStyle name="Nota 2 3 9 3 12" xfId="51780"/>
    <cellStyle name="Nota 2 3 9 3 2" xfId="11413"/>
    <cellStyle name="Nota 2 3 9 3 3" xfId="15445"/>
    <cellStyle name="Nota 2 3 9 3 4" xfId="19477"/>
    <cellStyle name="Nota 2 3 9 3 5" xfId="23509"/>
    <cellStyle name="Nota 2 3 9 3 6" xfId="27541"/>
    <cellStyle name="Nota 2 3 9 3 7" xfId="31573"/>
    <cellStyle name="Nota 2 3 9 3 8" xfId="35605"/>
    <cellStyle name="Nota 2 3 9 3 9" xfId="39637"/>
    <cellStyle name="Nota 2 3 9 4" xfId="9397"/>
    <cellStyle name="Nota 2 3 9 5" xfId="13429"/>
    <cellStyle name="Nota 2 3 9 6" xfId="17461"/>
    <cellStyle name="Nota 2 3 9 7" xfId="21493"/>
    <cellStyle name="Nota 2 3 9 8" xfId="25525"/>
    <cellStyle name="Nota 2 3 9 9" xfId="29557"/>
    <cellStyle name="Nota 2 30" xfId="106"/>
    <cellStyle name="Nota 2 31" xfId="9101"/>
    <cellStyle name="Nota 2 32" xfId="13133"/>
    <cellStyle name="Nota 2 33" xfId="17165"/>
    <cellStyle name="Nota 2 34" xfId="21197"/>
    <cellStyle name="Nota 2 35" xfId="25229"/>
    <cellStyle name="Nota 2 36" xfId="29261"/>
    <cellStyle name="Nota 2 37" xfId="33293"/>
    <cellStyle name="Nota 2 38" xfId="37325"/>
    <cellStyle name="Nota 2 39" xfId="41357"/>
    <cellStyle name="Nota 2 4" xfId="43"/>
    <cellStyle name="Nota 2 4 10" xfId="4028"/>
    <cellStyle name="Nota 2 4 10 10" xfId="33885"/>
    <cellStyle name="Nota 2 4 10 11" xfId="37917"/>
    <cellStyle name="Nota 2 4 10 12" xfId="41949"/>
    <cellStyle name="Nota 2 4 10 13" xfId="45981"/>
    <cellStyle name="Nota 2 4 10 14" xfId="50059"/>
    <cellStyle name="Nota 2 4 10 2" xfId="6610"/>
    <cellStyle name="Nota 2 4 10 2 10" xfId="38868"/>
    <cellStyle name="Nota 2 4 10 2 11" xfId="42900"/>
    <cellStyle name="Nota 2 4 10 2 12" xfId="46932"/>
    <cellStyle name="Nota 2 4 10 2 13" xfId="51011"/>
    <cellStyle name="Nota 2 4 10 2 2" xfId="8626"/>
    <cellStyle name="Nota 2 4 10 2 2 10" xfId="44916"/>
    <cellStyle name="Nota 2 4 10 2 2 11" xfId="48948"/>
    <cellStyle name="Nota 2 4 10 2 2 12" xfId="53027"/>
    <cellStyle name="Nota 2 4 10 2 2 2" xfId="12660"/>
    <cellStyle name="Nota 2 4 10 2 2 3" xfId="16692"/>
    <cellStyle name="Nota 2 4 10 2 2 4" xfId="20724"/>
    <cellStyle name="Nota 2 4 10 2 2 5" xfId="24756"/>
    <cellStyle name="Nota 2 4 10 2 2 6" xfId="28788"/>
    <cellStyle name="Nota 2 4 10 2 2 7" xfId="32820"/>
    <cellStyle name="Nota 2 4 10 2 2 8" xfId="36852"/>
    <cellStyle name="Nota 2 4 10 2 2 9" xfId="40884"/>
    <cellStyle name="Nota 2 4 10 2 3" xfId="10644"/>
    <cellStyle name="Nota 2 4 10 2 4" xfId="14676"/>
    <cellStyle name="Nota 2 4 10 2 5" xfId="18708"/>
    <cellStyle name="Nota 2 4 10 2 6" xfId="22740"/>
    <cellStyle name="Nota 2 4 10 2 7" xfId="26772"/>
    <cellStyle name="Nota 2 4 10 2 8" xfId="30804"/>
    <cellStyle name="Nota 2 4 10 2 9" xfId="34836"/>
    <cellStyle name="Nota 2 4 10 3" xfId="7675"/>
    <cellStyle name="Nota 2 4 10 3 10" xfId="43965"/>
    <cellStyle name="Nota 2 4 10 3 11" xfId="47997"/>
    <cellStyle name="Nota 2 4 10 3 12" xfId="52076"/>
    <cellStyle name="Nota 2 4 10 3 2" xfId="11709"/>
    <cellStyle name="Nota 2 4 10 3 3" xfId="15741"/>
    <cellStyle name="Nota 2 4 10 3 4" xfId="19773"/>
    <cellStyle name="Nota 2 4 10 3 5" xfId="23805"/>
    <cellStyle name="Nota 2 4 10 3 6" xfId="27837"/>
    <cellStyle name="Nota 2 4 10 3 7" xfId="31869"/>
    <cellStyle name="Nota 2 4 10 3 8" xfId="35901"/>
    <cellStyle name="Nota 2 4 10 3 9" xfId="39933"/>
    <cellStyle name="Nota 2 4 10 4" xfId="9693"/>
    <cellStyle name="Nota 2 4 10 5" xfId="13725"/>
    <cellStyle name="Nota 2 4 10 6" xfId="17757"/>
    <cellStyle name="Nota 2 4 10 7" xfId="21789"/>
    <cellStyle name="Nota 2 4 10 8" xfId="25821"/>
    <cellStyle name="Nota 2 4 10 9" xfId="29853"/>
    <cellStyle name="Nota 2 4 11" xfId="4098"/>
    <cellStyle name="Nota 2 4 11 10" xfId="33954"/>
    <cellStyle name="Nota 2 4 11 11" xfId="37986"/>
    <cellStyle name="Nota 2 4 11 12" xfId="42018"/>
    <cellStyle name="Nota 2 4 11 13" xfId="46050"/>
    <cellStyle name="Nota 2 4 11 14" xfId="50128"/>
    <cellStyle name="Nota 2 4 11 2" xfId="6679"/>
    <cellStyle name="Nota 2 4 11 2 10" xfId="38937"/>
    <cellStyle name="Nota 2 4 11 2 11" xfId="42969"/>
    <cellStyle name="Nota 2 4 11 2 12" xfId="47001"/>
    <cellStyle name="Nota 2 4 11 2 13" xfId="51080"/>
    <cellStyle name="Nota 2 4 11 2 2" xfId="8695"/>
    <cellStyle name="Nota 2 4 11 2 2 10" xfId="44985"/>
    <cellStyle name="Nota 2 4 11 2 2 11" xfId="49017"/>
    <cellStyle name="Nota 2 4 11 2 2 12" xfId="53096"/>
    <cellStyle name="Nota 2 4 11 2 2 2" xfId="12729"/>
    <cellStyle name="Nota 2 4 11 2 2 3" xfId="16761"/>
    <cellStyle name="Nota 2 4 11 2 2 4" xfId="20793"/>
    <cellStyle name="Nota 2 4 11 2 2 5" xfId="24825"/>
    <cellStyle name="Nota 2 4 11 2 2 6" xfId="28857"/>
    <cellStyle name="Nota 2 4 11 2 2 7" xfId="32889"/>
    <cellStyle name="Nota 2 4 11 2 2 8" xfId="36921"/>
    <cellStyle name="Nota 2 4 11 2 2 9" xfId="40953"/>
    <cellStyle name="Nota 2 4 11 2 3" xfId="10713"/>
    <cellStyle name="Nota 2 4 11 2 4" xfId="14745"/>
    <cellStyle name="Nota 2 4 11 2 5" xfId="18777"/>
    <cellStyle name="Nota 2 4 11 2 6" xfId="22809"/>
    <cellStyle name="Nota 2 4 11 2 7" xfId="26841"/>
    <cellStyle name="Nota 2 4 11 2 8" xfId="30873"/>
    <cellStyle name="Nota 2 4 11 2 9" xfId="34905"/>
    <cellStyle name="Nota 2 4 11 3" xfId="7744"/>
    <cellStyle name="Nota 2 4 11 3 10" xfId="44034"/>
    <cellStyle name="Nota 2 4 11 3 11" xfId="48066"/>
    <cellStyle name="Nota 2 4 11 3 12" xfId="52145"/>
    <cellStyle name="Nota 2 4 11 3 2" xfId="11778"/>
    <cellStyle name="Nota 2 4 11 3 3" xfId="15810"/>
    <cellStyle name="Nota 2 4 11 3 4" xfId="19842"/>
    <cellStyle name="Nota 2 4 11 3 5" xfId="23874"/>
    <cellStyle name="Nota 2 4 11 3 6" xfId="27906"/>
    <cellStyle name="Nota 2 4 11 3 7" xfId="31938"/>
    <cellStyle name="Nota 2 4 11 3 8" xfId="35970"/>
    <cellStyle name="Nota 2 4 11 3 9" xfId="40002"/>
    <cellStyle name="Nota 2 4 11 4" xfId="9762"/>
    <cellStyle name="Nota 2 4 11 5" xfId="13794"/>
    <cellStyle name="Nota 2 4 11 6" xfId="17826"/>
    <cellStyle name="Nota 2 4 11 7" xfId="21858"/>
    <cellStyle name="Nota 2 4 11 8" xfId="25890"/>
    <cellStyle name="Nota 2 4 11 9" xfId="29922"/>
    <cellStyle name="Nota 2 4 12" xfId="4167"/>
    <cellStyle name="Nota 2 4 12 10" xfId="34023"/>
    <cellStyle name="Nota 2 4 12 11" xfId="38055"/>
    <cellStyle name="Nota 2 4 12 12" xfId="42087"/>
    <cellStyle name="Nota 2 4 12 13" xfId="46119"/>
    <cellStyle name="Nota 2 4 12 14" xfId="50197"/>
    <cellStyle name="Nota 2 4 12 2" xfId="6748"/>
    <cellStyle name="Nota 2 4 12 2 10" xfId="39006"/>
    <cellStyle name="Nota 2 4 12 2 11" xfId="43038"/>
    <cellStyle name="Nota 2 4 12 2 12" xfId="47070"/>
    <cellStyle name="Nota 2 4 12 2 13" xfId="51149"/>
    <cellStyle name="Nota 2 4 12 2 2" xfId="8764"/>
    <cellStyle name="Nota 2 4 12 2 2 10" xfId="45054"/>
    <cellStyle name="Nota 2 4 12 2 2 11" xfId="49086"/>
    <cellStyle name="Nota 2 4 12 2 2 12" xfId="53165"/>
    <cellStyle name="Nota 2 4 12 2 2 2" xfId="12798"/>
    <cellStyle name="Nota 2 4 12 2 2 3" xfId="16830"/>
    <cellStyle name="Nota 2 4 12 2 2 4" xfId="20862"/>
    <cellStyle name="Nota 2 4 12 2 2 5" xfId="24894"/>
    <cellStyle name="Nota 2 4 12 2 2 6" xfId="28926"/>
    <cellStyle name="Nota 2 4 12 2 2 7" xfId="32958"/>
    <cellStyle name="Nota 2 4 12 2 2 8" xfId="36990"/>
    <cellStyle name="Nota 2 4 12 2 2 9" xfId="41022"/>
    <cellStyle name="Nota 2 4 12 2 3" xfId="10782"/>
    <cellStyle name="Nota 2 4 12 2 4" xfId="14814"/>
    <cellStyle name="Nota 2 4 12 2 5" xfId="18846"/>
    <cellStyle name="Nota 2 4 12 2 6" xfId="22878"/>
    <cellStyle name="Nota 2 4 12 2 7" xfId="26910"/>
    <cellStyle name="Nota 2 4 12 2 8" xfId="30942"/>
    <cellStyle name="Nota 2 4 12 2 9" xfId="34974"/>
    <cellStyle name="Nota 2 4 12 3" xfId="7813"/>
    <cellStyle name="Nota 2 4 12 3 10" xfId="44103"/>
    <cellStyle name="Nota 2 4 12 3 11" xfId="48135"/>
    <cellStyle name="Nota 2 4 12 3 12" xfId="52214"/>
    <cellStyle name="Nota 2 4 12 3 2" xfId="11847"/>
    <cellStyle name="Nota 2 4 12 3 3" xfId="15879"/>
    <cellStyle name="Nota 2 4 12 3 4" xfId="19911"/>
    <cellStyle name="Nota 2 4 12 3 5" xfId="23943"/>
    <cellStyle name="Nota 2 4 12 3 6" xfId="27975"/>
    <cellStyle name="Nota 2 4 12 3 7" xfId="32007"/>
    <cellStyle name="Nota 2 4 12 3 8" xfId="36039"/>
    <cellStyle name="Nota 2 4 12 3 9" xfId="40071"/>
    <cellStyle name="Nota 2 4 12 4" xfId="9831"/>
    <cellStyle name="Nota 2 4 12 5" xfId="13863"/>
    <cellStyle name="Nota 2 4 12 6" xfId="17895"/>
    <cellStyle name="Nota 2 4 12 7" xfId="21927"/>
    <cellStyle name="Nota 2 4 12 8" xfId="25959"/>
    <cellStyle name="Nota 2 4 12 9" xfId="29991"/>
    <cellStyle name="Nota 2 4 13" xfId="4239"/>
    <cellStyle name="Nota 2 4 13 10" xfId="34092"/>
    <cellStyle name="Nota 2 4 13 11" xfId="38124"/>
    <cellStyle name="Nota 2 4 13 12" xfId="42156"/>
    <cellStyle name="Nota 2 4 13 13" xfId="46188"/>
    <cellStyle name="Nota 2 4 13 14" xfId="50266"/>
    <cellStyle name="Nota 2 4 13 2" xfId="6817"/>
    <cellStyle name="Nota 2 4 13 2 10" xfId="39075"/>
    <cellStyle name="Nota 2 4 13 2 11" xfId="43107"/>
    <cellStyle name="Nota 2 4 13 2 12" xfId="47139"/>
    <cellStyle name="Nota 2 4 13 2 13" xfId="51218"/>
    <cellStyle name="Nota 2 4 13 2 2" xfId="8833"/>
    <cellStyle name="Nota 2 4 13 2 2 10" xfId="45123"/>
    <cellStyle name="Nota 2 4 13 2 2 11" xfId="49155"/>
    <cellStyle name="Nota 2 4 13 2 2 12" xfId="53234"/>
    <cellStyle name="Nota 2 4 13 2 2 2" xfId="12867"/>
    <cellStyle name="Nota 2 4 13 2 2 3" xfId="16899"/>
    <cellStyle name="Nota 2 4 13 2 2 4" xfId="20931"/>
    <cellStyle name="Nota 2 4 13 2 2 5" xfId="24963"/>
    <cellStyle name="Nota 2 4 13 2 2 6" xfId="28995"/>
    <cellStyle name="Nota 2 4 13 2 2 7" xfId="33027"/>
    <cellStyle name="Nota 2 4 13 2 2 8" xfId="37059"/>
    <cellStyle name="Nota 2 4 13 2 2 9" xfId="41091"/>
    <cellStyle name="Nota 2 4 13 2 3" xfId="10851"/>
    <cellStyle name="Nota 2 4 13 2 4" xfId="14883"/>
    <cellStyle name="Nota 2 4 13 2 5" xfId="18915"/>
    <cellStyle name="Nota 2 4 13 2 6" xfId="22947"/>
    <cellStyle name="Nota 2 4 13 2 7" xfId="26979"/>
    <cellStyle name="Nota 2 4 13 2 8" xfId="31011"/>
    <cellStyle name="Nota 2 4 13 2 9" xfId="35043"/>
    <cellStyle name="Nota 2 4 13 3" xfId="7882"/>
    <cellStyle name="Nota 2 4 13 3 10" xfId="44172"/>
    <cellStyle name="Nota 2 4 13 3 11" xfId="48204"/>
    <cellStyle name="Nota 2 4 13 3 12" xfId="52283"/>
    <cellStyle name="Nota 2 4 13 3 2" xfId="11916"/>
    <cellStyle name="Nota 2 4 13 3 3" xfId="15948"/>
    <cellStyle name="Nota 2 4 13 3 4" xfId="19980"/>
    <cellStyle name="Nota 2 4 13 3 5" xfId="24012"/>
    <cellStyle name="Nota 2 4 13 3 6" xfId="28044"/>
    <cellStyle name="Nota 2 4 13 3 7" xfId="32076"/>
    <cellStyle name="Nota 2 4 13 3 8" xfId="36108"/>
    <cellStyle name="Nota 2 4 13 3 9" xfId="40140"/>
    <cellStyle name="Nota 2 4 13 4" xfId="9900"/>
    <cellStyle name="Nota 2 4 13 5" xfId="13932"/>
    <cellStyle name="Nota 2 4 13 6" xfId="17964"/>
    <cellStyle name="Nota 2 4 13 7" xfId="21996"/>
    <cellStyle name="Nota 2 4 13 8" xfId="26028"/>
    <cellStyle name="Nota 2 4 13 9" xfId="30060"/>
    <cellStyle name="Nota 2 4 14" xfId="4386"/>
    <cellStyle name="Nota 2 4 14 10" xfId="34230"/>
    <cellStyle name="Nota 2 4 14 11" xfId="38262"/>
    <cellStyle name="Nota 2 4 14 12" xfId="42294"/>
    <cellStyle name="Nota 2 4 14 13" xfId="46326"/>
    <cellStyle name="Nota 2 4 14 14" xfId="50405"/>
    <cellStyle name="Nota 2 4 14 2" xfId="6955"/>
    <cellStyle name="Nota 2 4 14 2 10" xfId="39213"/>
    <cellStyle name="Nota 2 4 14 2 11" xfId="43245"/>
    <cellStyle name="Nota 2 4 14 2 12" xfId="47277"/>
    <cellStyle name="Nota 2 4 14 2 13" xfId="51356"/>
    <cellStyle name="Nota 2 4 14 2 2" xfId="8971"/>
    <cellStyle name="Nota 2 4 14 2 2 10" xfId="45261"/>
    <cellStyle name="Nota 2 4 14 2 2 11" xfId="49293"/>
    <cellStyle name="Nota 2 4 14 2 2 12" xfId="53372"/>
    <cellStyle name="Nota 2 4 14 2 2 2" xfId="13005"/>
    <cellStyle name="Nota 2 4 14 2 2 3" xfId="17037"/>
    <cellStyle name="Nota 2 4 14 2 2 4" xfId="21069"/>
    <cellStyle name="Nota 2 4 14 2 2 5" xfId="25101"/>
    <cellStyle name="Nota 2 4 14 2 2 6" xfId="29133"/>
    <cellStyle name="Nota 2 4 14 2 2 7" xfId="33165"/>
    <cellStyle name="Nota 2 4 14 2 2 8" xfId="37197"/>
    <cellStyle name="Nota 2 4 14 2 2 9" xfId="41229"/>
    <cellStyle name="Nota 2 4 14 2 3" xfId="10989"/>
    <cellStyle name="Nota 2 4 14 2 4" xfId="15021"/>
    <cellStyle name="Nota 2 4 14 2 5" xfId="19053"/>
    <cellStyle name="Nota 2 4 14 2 6" xfId="23085"/>
    <cellStyle name="Nota 2 4 14 2 7" xfId="27117"/>
    <cellStyle name="Nota 2 4 14 2 8" xfId="31149"/>
    <cellStyle name="Nota 2 4 14 2 9" xfId="35181"/>
    <cellStyle name="Nota 2 4 14 3" xfId="8020"/>
    <cellStyle name="Nota 2 4 14 3 10" xfId="44310"/>
    <cellStyle name="Nota 2 4 14 3 11" xfId="48342"/>
    <cellStyle name="Nota 2 4 14 3 12" xfId="52421"/>
    <cellStyle name="Nota 2 4 14 3 2" xfId="12054"/>
    <cellStyle name="Nota 2 4 14 3 3" xfId="16086"/>
    <cellStyle name="Nota 2 4 14 3 4" xfId="20118"/>
    <cellStyle name="Nota 2 4 14 3 5" xfId="24150"/>
    <cellStyle name="Nota 2 4 14 3 6" xfId="28182"/>
    <cellStyle name="Nota 2 4 14 3 7" xfId="32214"/>
    <cellStyle name="Nota 2 4 14 3 8" xfId="36246"/>
    <cellStyle name="Nota 2 4 14 3 9" xfId="40278"/>
    <cellStyle name="Nota 2 4 14 4" xfId="10038"/>
    <cellStyle name="Nota 2 4 14 5" xfId="14070"/>
    <cellStyle name="Nota 2 4 14 6" xfId="18102"/>
    <cellStyle name="Nota 2 4 14 7" xfId="22134"/>
    <cellStyle name="Nota 2 4 14 8" xfId="26166"/>
    <cellStyle name="Nota 2 4 14 9" xfId="30198"/>
    <cellStyle name="Nota 2 4 15" xfId="4524"/>
    <cellStyle name="Nota 2 4 15 10" xfId="38400"/>
    <cellStyle name="Nota 2 4 15 11" xfId="42432"/>
    <cellStyle name="Nota 2 4 15 12" xfId="46464"/>
    <cellStyle name="Nota 2 4 15 13" xfId="50543"/>
    <cellStyle name="Nota 2 4 15 2" xfId="8158"/>
    <cellStyle name="Nota 2 4 15 2 10" xfId="44448"/>
    <cellStyle name="Nota 2 4 15 2 11" xfId="48480"/>
    <cellStyle name="Nota 2 4 15 2 12" xfId="52559"/>
    <cellStyle name="Nota 2 4 15 2 2" xfId="12192"/>
    <cellStyle name="Nota 2 4 15 2 3" xfId="16224"/>
    <cellStyle name="Nota 2 4 15 2 4" xfId="20256"/>
    <cellStyle name="Nota 2 4 15 2 5" xfId="24288"/>
    <cellStyle name="Nota 2 4 15 2 6" xfId="28320"/>
    <cellStyle name="Nota 2 4 15 2 7" xfId="32352"/>
    <cellStyle name="Nota 2 4 15 2 8" xfId="36384"/>
    <cellStyle name="Nota 2 4 15 2 9" xfId="40416"/>
    <cellStyle name="Nota 2 4 15 3" xfId="10176"/>
    <cellStyle name="Nota 2 4 15 4" xfId="14208"/>
    <cellStyle name="Nota 2 4 15 5" xfId="18240"/>
    <cellStyle name="Nota 2 4 15 6" xfId="22272"/>
    <cellStyle name="Nota 2 4 15 7" xfId="26304"/>
    <cellStyle name="Nota 2 4 15 8" xfId="30336"/>
    <cellStyle name="Nota 2 4 15 9" xfId="34368"/>
    <cellStyle name="Nota 2 4 16" xfId="268"/>
    <cellStyle name="Nota 2 4 16 10" xfId="37473"/>
    <cellStyle name="Nota 2 4 16 11" xfId="41505"/>
    <cellStyle name="Nota 2 4 16 12" xfId="45537"/>
    <cellStyle name="Nota 2 4 16 13" xfId="49615"/>
    <cellStyle name="Nota 2 4 16 2" xfId="7231"/>
    <cellStyle name="Nota 2 4 16 2 10" xfId="43521"/>
    <cellStyle name="Nota 2 4 16 2 11" xfId="47553"/>
    <cellStyle name="Nota 2 4 16 2 12" xfId="51632"/>
    <cellStyle name="Nota 2 4 16 2 2" xfId="11265"/>
    <cellStyle name="Nota 2 4 16 2 3" xfId="15297"/>
    <cellStyle name="Nota 2 4 16 2 4" xfId="19329"/>
    <cellStyle name="Nota 2 4 16 2 5" xfId="23361"/>
    <cellStyle name="Nota 2 4 16 2 6" xfId="27393"/>
    <cellStyle name="Nota 2 4 16 2 7" xfId="31425"/>
    <cellStyle name="Nota 2 4 16 2 8" xfId="35457"/>
    <cellStyle name="Nota 2 4 16 2 9" xfId="39489"/>
    <cellStyle name="Nota 2 4 16 3" xfId="9249"/>
    <cellStyle name="Nota 2 4 16 4" xfId="13281"/>
    <cellStyle name="Nota 2 4 16 5" xfId="17313"/>
    <cellStyle name="Nota 2 4 16 6" xfId="21345"/>
    <cellStyle name="Nota 2 4 16 7" xfId="25377"/>
    <cellStyle name="Nota 2 4 16 8" xfId="29409"/>
    <cellStyle name="Nota 2 4 16 9" xfId="33441"/>
    <cellStyle name="Nota 2 4 17" xfId="7093"/>
    <cellStyle name="Nota 2 4 17 10" xfId="43383"/>
    <cellStyle name="Nota 2 4 17 11" xfId="47415"/>
    <cellStyle name="Nota 2 4 17 12" xfId="51494"/>
    <cellStyle name="Nota 2 4 17 2" xfId="11127"/>
    <cellStyle name="Nota 2 4 17 3" xfId="15159"/>
    <cellStyle name="Nota 2 4 17 4" xfId="19191"/>
    <cellStyle name="Nota 2 4 17 5" xfId="23223"/>
    <cellStyle name="Nota 2 4 17 6" xfId="27255"/>
    <cellStyle name="Nota 2 4 17 7" xfId="31287"/>
    <cellStyle name="Nota 2 4 17 8" xfId="35319"/>
    <cellStyle name="Nota 2 4 17 9" xfId="39351"/>
    <cellStyle name="Nota 2 4 18" xfId="118"/>
    <cellStyle name="Nota 2 4 19" xfId="9111"/>
    <cellStyle name="Nota 2 4 2" xfId="95"/>
    <cellStyle name="Nota 2 4 2 10" xfId="4291"/>
    <cellStyle name="Nota 2 4 2 10 10" xfId="34143"/>
    <cellStyle name="Nota 2 4 2 10 11" xfId="38175"/>
    <cellStyle name="Nota 2 4 2 10 12" xfId="42207"/>
    <cellStyle name="Nota 2 4 2 10 13" xfId="46239"/>
    <cellStyle name="Nota 2 4 2 10 14" xfId="50317"/>
    <cellStyle name="Nota 2 4 2 10 2" xfId="6868"/>
    <cellStyle name="Nota 2 4 2 10 2 10" xfId="39126"/>
    <cellStyle name="Nota 2 4 2 10 2 11" xfId="43158"/>
    <cellStyle name="Nota 2 4 2 10 2 12" xfId="47190"/>
    <cellStyle name="Nota 2 4 2 10 2 13" xfId="51269"/>
    <cellStyle name="Nota 2 4 2 10 2 2" xfId="8884"/>
    <cellStyle name="Nota 2 4 2 10 2 2 10" xfId="45174"/>
    <cellStyle name="Nota 2 4 2 10 2 2 11" xfId="49206"/>
    <cellStyle name="Nota 2 4 2 10 2 2 12" xfId="53285"/>
    <cellStyle name="Nota 2 4 2 10 2 2 2" xfId="12918"/>
    <cellStyle name="Nota 2 4 2 10 2 2 3" xfId="16950"/>
    <cellStyle name="Nota 2 4 2 10 2 2 4" xfId="20982"/>
    <cellStyle name="Nota 2 4 2 10 2 2 5" xfId="25014"/>
    <cellStyle name="Nota 2 4 2 10 2 2 6" xfId="29046"/>
    <cellStyle name="Nota 2 4 2 10 2 2 7" xfId="33078"/>
    <cellStyle name="Nota 2 4 2 10 2 2 8" xfId="37110"/>
    <cellStyle name="Nota 2 4 2 10 2 2 9" xfId="41142"/>
    <cellStyle name="Nota 2 4 2 10 2 3" xfId="10902"/>
    <cellStyle name="Nota 2 4 2 10 2 4" xfId="14934"/>
    <cellStyle name="Nota 2 4 2 10 2 5" xfId="18966"/>
    <cellStyle name="Nota 2 4 2 10 2 6" xfId="22998"/>
    <cellStyle name="Nota 2 4 2 10 2 7" xfId="27030"/>
    <cellStyle name="Nota 2 4 2 10 2 8" xfId="31062"/>
    <cellStyle name="Nota 2 4 2 10 2 9" xfId="35094"/>
    <cellStyle name="Nota 2 4 2 10 3" xfId="7933"/>
    <cellStyle name="Nota 2 4 2 10 3 10" xfId="44223"/>
    <cellStyle name="Nota 2 4 2 10 3 11" xfId="48255"/>
    <cellStyle name="Nota 2 4 2 10 3 12" xfId="52334"/>
    <cellStyle name="Nota 2 4 2 10 3 2" xfId="11967"/>
    <cellStyle name="Nota 2 4 2 10 3 3" xfId="15999"/>
    <cellStyle name="Nota 2 4 2 10 3 4" xfId="20031"/>
    <cellStyle name="Nota 2 4 2 10 3 5" xfId="24063"/>
    <cellStyle name="Nota 2 4 2 10 3 6" xfId="28095"/>
    <cellStyle name="Nota 2 4 2 10 3 7" xfId="32127"/>
    <cellStyle name="Nota 2 4 2 10 3 8" xfId="36159"/>
    <cellStyle name="Nota 2 4 2 10 3 9" xfId="40191"/>
    <cellStyle name="Nota 2 4 2 10 4" xfId="9951"/>
    <cellStyle name="Nota 2 4 2 10 5" xfId="13983"/>
    <cellStyle name="Nota 2 4 2 10 6" xfId="18015"/>
    <cellStyle name="Nota 2 4 2 10 7" xfId="22047"/>
    <cellStyle name="Nota 2 4 2 10 8" xfId="26079"/>
    <cellStyle name="Nota 2 4 2 10 9" xfId="30111"/>
    <cellStyle name="Nota 2 4 2 11" xfId="4437"/>
    <cellStyle name="Nota 2 4 2 11 10" xfId="34281"/>
    <cellStyle name="Nota 2 4 2 11 11" xfId="38313"/>
    <cellStyle name="Nota 2 4 2 11 12" xfId="42345"/>
    <cellStyle name="Nota 2 4 2 11 13" xfId="46377"/>
    <cellStyle name="Nota 2 4 2 11 14" xfId="50456"/>
    <cellStyle name="Nota 2 4 2 11 2" xfId="7006"/>
    <cellStyle name="Nota 2 4 2 11 2 10" xfId="39264"/>
    <cellStyle name="Nota 2 4 2 11 2 11" xfId="43296"/>
    <cellStyle name="Nota 2 4 2 11 2 12" xfId="47328"/>
    <cellStyle name="Nota 2 4 2 11 2 13" xfId="51407"/>
    <cellStyle name="Nota 2 4 2 11 2 2" xfId="9022"/>
    <cellStyle name="Nota 2 4 2 11 2 2 10" xfId="45312"/>
    <cellStyle name="Nota 2 4 2 11 2 2 11" xfId="49344"/>
    <cellStyle name="Nota 2 4 2 11 2 2 12" xfId="53423"/>
    <cellStyle name="Nota 2 4 2 11 2 2 2" xfId="13056"/>
    <cellStyle name="Nota 2 4 2 11 2 2 3" xfId="17088"/>
    <cellStyle name="Nota 2 4 2 11 2 2 4" xfId="21120"/>
    <cellStyle name="Nota 2 4 2 11 2 2 5" xfId="25152"/>
    <cellStyle name="Nota 2 4 2 11 2 2 6" xfId="29184"/>
    <cellStyle name="Nota 2 4 2 11 2 2 7" xfId="33216"/>
    <cellStyle name="Nota 2 4 2 11 2 2 8" xfId="37248"/>
    <cellStyle name="Nota 2 4 2 11 2 2 9" xfId="41280"/>
    <cellStyle name="Nota 2 4 2 11 2 3" xfId="11040"/>
    <cellStyle name="Nota 2 4 2 11 2 4" xfId="15072"/>
    <cellStyle name="Nota 2 4 2 11 2 5" xfId="19104"/>
    <cellStyle name="Nota 2 4 2 11 2 6" xfId="23136"/>
    <cellStyle name="Nota 2 4 2 11 2 7" xfId="27168"/>
    <cellStyle name="Nota 2 4 2 11 2 8" xfId="31200"/>
    <cellStyle name="Nota 2 4 2 11 2 9" xfId="35232"/>
    <cellStyle name="Nota 2 4 2 11 3" xfId="8071"/>
    <cellStyle name="Nota 2 4 2 11 3 10" xfId="44361"/>
    <cellStyle name="Nota 2 4 2 11 3 11" xfId="48393"/>
    <cellStyle name="Nota 2 4 2 11 3 12" xfId="52472"/>
    <cellStyle name="Nota 2 4 2 11 3 2" xfId="12105"/>
    <cellStyle name="Nota 2 4 2 11 3 3" xfId="16137"/>
    <cellStyle name="Nota 2 4 2 11 3 4" xfId="20169"/>
    <cellStyle name="Nota 2 4 2 11 3 5" xfId="24201"/>
    <cellStyle name="Nota 2 4 2 11 3 6" xfId="28233"/>
    <cellStyle name="Nota 2 4 2 11 3 7" xfId="32265"/>
    <cellStyle name="Nota 2 4 2 11 3 8" xfId="36297"/>
    <cellStyle name="Nota 2 4 2 11 3 9" xfId="40329"/>
    <cellStyle name="Nota 2 4 2 11 4" xfId="10089"/>
    <cellStyle name="Nota 2 4 2 11 5" xfId="14121"/>
    <cellStyle name="Nota 2 4 2 11 6" xfId="18153"/>
    <cellStyle name="Nota 2 4 2 11 7" xfId="22185"/>
    <cellStyle name="Nota 2 4 2 11 8" xfId="26217"/>
    <cellStyle name="Nota 2 4 2 11 9" xfId="30249"/>
    <cellStyle name="Nota 2 4 2 12" xfId="4575"/>
    <cellStyle name="Nota 2 4 2 12 10" xfId="38451"/>
    <cellStyle name="Nota 2 4 2 12 11" xfId="42483"/>
    <cellStyle name="Nota 2 4 2 12 12" xfId="46515"/>
    <cellStyle name="Nota 2 4 2 12 13" xfId="50594"/>
    <cellStyle name="Nota 2 4 2 12 2" xfId="8209"/>
    <cellStyle name="Nota 2 4 2 12 2 10" xfId="44499"/>
    <cellStyle name="Nota 2 4 2 12 2 11" xfId="48531"/>
    <cellStyle name="Nota 2 4 2 12 2 12" xfId="52610"/>
    <cellStyle name="Nota 2 4 2 12 2 2" xfId="12243"/>
    <cellStyle name="Nota 2 4 2 12 2 3" xfId="16275"/>
    <cellStyle name="Nota 2 4 2 12 2 4" xfId="20307"/>
    <cellStyle name="Nota 2 4 2 12 2 5" xfId="24339"/>
    <cellStyle name="Nota 2 4 2 12 2 6" xfId="28371"/>
    <cellStyle name="Nota 2 4 2 12 2 7" xfId="32403"/>
    <cellStyle name="Nota 2 4 2 12 2 8" xfId="36435"/>
    <cellStyle name="Nota 2 4 2 12 2 9" xfId="40467"/>
    <cellStyle name="Nota 2 4 2 12 3" xfId="10227"/>
    <cellStyle name="Nota 2 4 2 12 4" xfId="14259"/>
    <cellStyle name="Nota 2 4 2 12 5" xfId="18291"/>
    <cellStyle name="Nota 2 4 2 12 6" xfId="22323"/>
    <cellStyle name="Nota 2 4 2 12 7" xfId="26355"/>
    <cellStyle name="Nota 2 4 2 12 8" xfId="30387"/>
    <cellStyle name="Nota 2 4 2 12 9" xfId="34419"/>
    <cellStyle name="Nota 2 4 2 13" xfId="303"/>
    <cellStyle name="Nota 2 4 2 13 10" xfId="37508"/>
    <cellStyle name="Nota 2 4 2 13 11" xfId="41540"/>
    <cellStyle name="Nota 2 4 2 13 12" xfId="45572"/>
    <cellStyle name="Nota 2 4 2 13 13" xfId="49650"/>
    <cellStyle name="Nota 2 4 2 13 2" xfId="7266"/>
    <cellStyle name="Nota 2 4 2 13 2 10" xfId="43556"/>
    <cellStyle name="Nota 2 4 2 13 2 11" xfId="47588"/>
    <cellStyle name="Nota 2 4 2 13 2 12" xfId="51667"/>
    <cellStyle name="Nota 2 4 2 13 2 2" xfId="11300"/>
    <cellStyle name="Nota 2 4 2 13 2 3" xfId="15332"/>
    <cellStyle name="Nota 2 4 2 13 2 4" xfId="19364"/>
    <cellStyle name="Nota 2 4 2 13 2 5" xfId="23396"/>
    <cellStyle name="Nota 2 4 2 13 2 6" xfId="27428"/>
    <cellStyle name="Nota 2 4 2 13 2 7" xfId="31460"/>
    <cellStyle name="Nota 2 4 2 13 2 8" xfId="35492"/>
    <cellStyle name="Nota 2 4 2 13 2 9" xfId="39524"/>
    <cellStyle name="Nota 2 4 2 13 3" xfId="9284"/>
    <cellStyle name="Nota 2 4 2 13 4" xfId="13316"/>
    <cellStyle name="Nota 2 4 2 13 5" xfId="17348"/>
    <cellStyle name="Nota 2 4 2 13 6" xfId="21380"/>
    <cellStyle name="Nota 2 4 2 13 7" xfId="25412"/>
    <cellStyle name="Nota 2 4 2 13 8" xfId="29444"/>
    <cellStyle name="Nota 2 4 2 13 9" xfId="33476"/>
    <cellStyle name="Nota 2 4 2 14" xfId="7144"/>
    <cellStyle name="Nota 2 4 2 14 10" xfId="43434"/>
    <cellStyle name="Nota 2 4 2 14 11" xfId="47466"/>
    <cellStyle name="Nota 2 4 2 14 12" xfId="51545"/>
    <cellStyle name="Nota 2 4 2 14 2" xfId="11178"/>
    <cellStyle name="Nota 2 4 2 14 3" xfId="15210"/>
    <cellStyle name="Nota 2 4 2 14 4" xfId="19242"/>
    <cellStyle name="Nota 2 4 2 14 5" xfId="23274"/>
    <cellStyle name="Nota 2 4 2 14 6" xfId="27306"/>
    <cellStyle name="Nota 2 4 2 14 7" xfId="31338"/>
    <cellStyle name="Nota 2 4 2 14 8" xfId="35370"/>
    <cellStyle name="Nota 2 4 2 14 9" xfId="39402"/>
    <cellStyle name="Nota 2 4 2 15" xfId="170"/>
    <cellStyle name="Nota 2 4 2 16" xfId="9162"/>
    <cellStyle name="Nota 2 4 2 17" xfId="13194"/>
    <cellStyle name="Nota 2 4 2 18" xfId="17226"/>
    <cellStyle name="Nota 2 4 2 19" xfId="21258"/>
    <cellStyle name="Nota 2 4 2 2" xfId="249"/>
    <cellStyle name="Nota 2 4 2 2 10" xfId="21327"/>
    <cellStyle name="Nota 2 4 2 2 11" xfId="25359"/>
    <cellStyle name="Nota 2 4 2 2 12" xfId="29391"/>
    <cellStyle name="Nota 2 4 2 2 13" xfId="33423"/>
    <cellStyle name="Nota 2 4 2 2 14" xfId="37455"/>
    <cellStyle name="Nota 2 4 2 2 15" xfId="41487"/>
    <cellStyle name="Nota 2 4 2 2 16" xfId="45519"/>
    <cellStyle name="Nota 2 4 2 2 17" xfId="49597"/>
    <cellStyle name="Nota 2 4 2 2 2" xfId="4367"/>
    <cellStyle name="Nota 2 4 2 2 2 10" xfId="34212"/>
    <cellStyle name="Nota 2 4 2 2 2 11" xfId="38244"/>
    <cellStyle name="Nota 2 4 2 2 2 12" xfId="42276"/>
    <cellStyle name="Nota 2 4 2 2 2 13" xfId="46308"/>
    <cellStyle name="Nota 2 4 2 2 2 14" xfId="50387"/>
    <cellStyle name="Nota 2 4 2 2 2 2" xfId="6937"/>
    <cellStyle name="Nota 2 4 2 2 2 2 10" xfId="39195"/>
    <cellStyle name="Nota 2 4 2 2 2 2 11" xfId="43227"/>
    <cellStyle name="Nota 2 4 2 2 2 2 12" xfId="47259"/>
    <cellStyle name="Nota 2 4 2 2 2 2 13" xfId="51338"/>
    <cellStyle name="Nota 2 4 2 2 2 2 2" xfId="8953"/>
    <cellStyle name="Nota 2 4 2 2 2 2 2 10" xfId="45243"/>
    <cellStyle name="Nota 2 4 2 2 2 2 2 11" xfId="49275"/>
    <cellStyle name="Nota 2 4 2 2 2 2 2 12" xfId="53354"/>
    <cellStyle name="Nota 2 4 2 2 2 2 2 2" xfId="12987"/>
    <cellStyle name="Nota 2 4 2 2 2 2 2 3" xfId="17019"/>
    <cellStyle name="Nota 2 4 2 2 2 2 2 4" xfId="21051"/>
    <cellStyle name="Nota 2 4 2 2 2 2 2 5" xfId="25083"/>
    <cellStyle name="Nota 2 4 2 2 2 2 2 6" xfId="29115"/>
    <cellStyle name="Nota 2 4 2 2 2 2 2 7" xfId="33147"/>
    <cellStyle name="Nota 2 4 2 2 2 2 2 8" xfId="37179"/>
    <cellStyle name="Nota 2 4 2 2 2 2 2 9" xfId="41211"/>
    <cellStyle name="Nota 2 4 2 2 2 2 3" xfId="10971"/>
    <cellStyle name="Nota 2 4 2 2 2 2 4" xfId="15003"/>
    <cellStyle name="Nota 2 4 2 2 2 2 5" xfId="19035"/>
    <cellStyle name="Nota 2 4 2 2 2 2 6" xfId="23067"/>
    <cellStyle name="Nota 2 4 2 2 2 2 7" xfId="27099"/>
    <cellStyle name="Nota 2 4 2 2 2 2 8" xfId="31131"/>
    <cellStyle name="Nota 2 4 2 2 2 2 9" xfId="35163"/>
    <cellStyle name="Nota 2 4 2 2 2 3" xfId="8002"/>
    <cellStyle name="Nota 2 4 2 2 2 3 10" xfId="44292"/>
    <cellStyle name="Nota 2 4 2 2 2 3 11" xfId="48324"/>
    <cellStyle name="Nota 2 4 2 2 2 3 12" xfId="52403"/>
    <cellStyle name="Nota 2 4 2 2 2 3 2" xfId="12036"/>
    <cellStyle name="Nota 2 4 2 2 2 3 3" xfId="16068"/>
    <cellStyle name="Nota 2 4 2 2 2 3 4" xfId="20100"/>
    <cellStyle name="Nota 2 4 2 2 2 3 5" xfId="24132"/>
    <cellStyle name="Nota 2 4 2 2 2 3 6" xfId="28164"/>
    <cellStyle name="Nota 2 4 2 2 2 3 7" xfId="32196"/>
    <cellStyle name="Nota 2 4 2 2 2 3 8" xfId="36228"/>
    <cellStyle name="Nota 2 4 2 2 2 3 9" xfId="40260"/>
    <cellStyle name="Nota 2 4 2 2 2 4" xfId="10020"/>
    <cellStyle name="Nota 2 4 2 2 2 5" xfId="14052"/>
    <cellStyle name="Nota 2 4 2 2 2 6" xfId="18084"/>
    <cellStyle name="Nota 2 4 2 2 2 7" xfId="22116"/>
    <cellStyle name="Nota 2 4 2 2 2 8" xfId="26148"/>
    <cellStyle name="Nota 2 4 2 2 2 9" xfId="30180"/>
    <cellStyle name="Nota 2 4 2 2 3" xfId="4506"/>
    <cellStyle name="Nota 2 4 2 2 3 10" xfId="34350"/>
    <cellStyle name="Nota 2 4 2 2 3 11" xfId="38382"/>
    <cellStyle name="Nota 2 4 2 2 3 12" xfId="42414"/>
    <cellStyle name="Nota 2 4 2 2 3 13" xfId="46446"/>
    <cellStyle name="Nota 2 4 2 2 3 14" xfId="50525"/>
    <cellStyle name="Nota 2 4 2 2 3 2" xfId="7075"/>
    <cellStyle name="Nota 2 4 2 2 3 2 10" xfId="39333"/>
    <cellStyle name="Nota 2 4 2 2 3 2 11" xfId="43365"/>
    <cellStyle name="Nota 2 4 2 2 3 2 12" xfId="47397"/>
    <cellStyle name="Nota 2 4 2 2 3 2 13" xfId="51476"/>
    <cellStyle name="Nota 2 4 2 2 3 2 2" xfId="9091"/>
    <cellStyle name="Nota 2 4 2 2 3 2 2 10" xfId="45381"/>
    <cellStyle name="Nota 2 4 2 2 3 2 2 11" xfId="49413"/>
    <cellStyle name="Nota 2 4 2 2 3 2 2 12" xfId="53492"/>
    <cellStyle name="Nota 2 4 2 2 3 2 2 2" xfId="13125"/>
    <cellStyle name="Nota 2 4 2 2 3 2 2 3" xfId="17157"/>
    <cellStyle name="Nota 2 4 2 2 3 2 2 4" xfId="21189"/>
    <cellStyle name="Nota 2 4 2 2 3 2 2 5" xfId="25221"/>
    <cellStyle name="Nota 2 4 2 2 3 2 2 6" xfId="29253"/>
    <cellStyle name="Nota 2 4 2 2 3 2 2 7" xfId="33285"/>
    <cellStyle name="Nota 2 4 2 2 3 2 2 8" xfId="37317"/>
    <cellStyle name="Nota 2 4 2 2 3 2 2 9" xfId="41349"/>
    <cellStyle name="Nota 2 4 2 2 3 2 3" xfId="11109"/>
    <cellStyle name="Nota 2 4 2 2 3 2 4" xfId="15141"/>
    <cellStyle name="Nota 2 4 2 2 3 2 5" xfId="19173"/>
    <cellStyle name="Nota 2 4 2 2 3 2 6" xfId="23205"/>
    <cellStyle name="Nota 2 4 2 2 3 2 7" xfId="27237"/>
    <cellStyle name="Nota 2 4 2 2 3 2 8" xfId="31269"/>
    <cellStyle name="Nota 2 4 2 2 3 2 9" xfId="35301"/>
    <cellStyle name="Nota 2 4 2 2 3 3" xfId="8140"/>
    <cellStyle name="Nota 2 4 2 2 3 3 10" xfId="44430"/>
    <cellStyle name="Nota 2 4 2 2 3 3 11" xfId="48462"/>
    <cellStyle name="Nota 2 4 2 2 3 3 12" xfId="52541"/>
    <cellStyle name="Nota 2 4 2 2 3 3 2" xfId="12174"/>
    <cellStyle name="Nota 2 4 2 2 3 3 3" xfId="16206"/>
    <cellStyle name="Nota 2 4 2 2 3 3 4" xfId="20238"/>
    <cellStyle name="Nota 2 4 2 2 3 3 5" xfId="24270"/>
    <cellStyle name="Nota 2 4 2 2 3 3 6" xfId="28302"/>
    <cellStyle name="Nota 2 4 2 2 3 3 7" xfId="32334"/>
    <cellStyle name="Nota 2 4 2 2 3 3 8" xfId="36366"/>
    <cellStyle name="Nota 2 4 2 2 3 3 9" xfId="40398"/>
    <cellStyle name="Nota 2 4 2 2 3 4" xfId="10158"/>
    <cellStyle name="Nota 2 4 2 2 3 5" xfId="14190"/>
    <cellStyle name="Nota 2 4 2 2 3 6" xfId="18222"/>
    <cellStyle name="Nota 2 4 2 2 3 7" xfId="22254"/>
    <cellStyle name="Nota 2 4 2 2 3 8" xfId="26286"/>
    <cellStyle name="Nota 2 4 2 2 3 9" xfId="30318"/>
    <cellStyle name="Nota 2 4 2 2 4" xfId="4646"/>
    <cellStyle name="Nota 2 4 2 2 4 10" xfId="38520"/>
    <cellStyle name="Nota 2 4 2 2 4 11" xfId="42552"/>
    <cellStyle name="Nota 2 4 2 2 4 12" xfId="46584"/>
    <cellStyle name="Nota 2 4 2 2 4 13" xfId="50663"/>
    <cellStyle name="Nota 2 4 2 2 4 2" xfId="8278"/>
    <cellStyle name="Nota 2 4 2 2 4 2 10" xfId="44568"/>
    <cellStyle name="Nota 2 4 2 2 4 2 11" xfId="48600"/>
    <cellStyle name="Nota 2 4 2 2 4 2 12" xfId="52679"/>
    <cellStyle name="Nota 2 4 2 2 4 2 2" xfId="12312"/>
    <cellStyle name="Nota 2 4 2 2 4 2 3" xfId="16344"/>
    <cellStyle name="Nota 2 4 2 2 4 2 4" xfId="20376"/>
    <cellStyle name="Nota 2 4 2 2 4 2 5" xfId="24408"/>
    <cellStyle name="Nota 2 4 2 2 4 2 6" xfId="28440"/>
    <cellStyle name="Nota 2 4 2 2 4 2 7" xfId="32472"/>
    <cellStyle name="Nota 2 4 2 2 4 2 8" xfId="36504"/>
    <cellStyle name="Nota 2 4 2 2 4 2 9" xfId="40536"/>
    <cellStyle name="Nota 2 4 2 2 4 3" xfId="10296"/>
    <cellStyle name="Nota 2 4 2 2 4 4" xfId="14328"/>
    <cellStyle name="Nota 2 4 2 2 4 5" xfId="18360"/>
    <cellStyle name="Nota 2 4 2 2 4 6" xfId="22392"/>
    <cellStyle name="Nota 2 4 2 2 4 7" xfId="26424"/>
    <cellStyle name="Nota 2 4 2 2 4 8" xfId="30456"/>
    <cellStyle name="Nota 2 4 2 2 4 9" xfId="34488"/>
    <cellStyle name="Nota 2 4 2 2 5" xfId="1551"/>
    <cellStyle name="Nota 2 4 2 2 6" xfId="7213"/>
    <cellStyle name="Nota 2 4 2 2 6 10" xfId="43503"/>
    <cellStyle name="Nota 2 4 2 2 6 11" xfId="47535"/>
    <cellStyle name="Nota 2 4 2 2 6 12" xfId="51614"/>
    <cellStyle name="Nota 2 4 2 2 6 2" xfId="11247"/>
    <cellStyle name="Nota 2 4 2 2 6 3" xfId="15279"/>
    <cellStyle name="Nota 2 4 2 2 6 4" xfId="19311"/>
    <cellStyle name="Nota 2 4 2 2 6 5" xfId="23343"/>
    <cellStyle name="Nota 2 4 2 2 6 6" xfId="27375"/>
    <cellStyle name="Nota 2 4 2 2 6 7" xfId="31407"/>
    <cellStyle name="Nota 2 4 2 2 6 8" xfId="35439"/>
    <cellStyle name="Nota 2 4 2 2 6 9" xfId="39471"/>
    <cellStyle name="Nota 2 4 2 2 7" xfId="9231"/>
    <cellStyle name="Nota 2 4 2 2 8" xfId="13263"/>
    <cellStyle name="Nota 2 4 2 2 9" xfId="17295"/>
    <cellStyle name="Nota 2 4 2 20" xfId="25290"/>
    <cellStyle name="Nota 2 4 2 21" xfId="29322"/>
    <cellStyle name="Nota 2 4 2 22" xfId="33354"/>
    <cellStyle name="Nota 2 4 2 23" xfId="37386"/>
    <cellStyle name="Nota 2 4 2 24" xfId="41418"/>
    <cellStyle name="Nota 2 4 2 25" xfId="45450"/>
    <cellStyle name="Nota 2 4 2 26" xfId="49528"/>
    <cellStyle name="Nota 2 4 2 3" xfId="1433"/>
    <cellStyle name="Nota 2 4 2 3 2" xfId="5203"/>
    <cellStyle name="Nota 2 4 2 4" xfId="373"/>
    <cellStyle name="Nota 2 4 2 4 10" xfId="33546"/>
    <cellStyle name="Nota 2 4 2 4 11" xfId="37578"/>
    <cellStyle name="Nota 2 4 2 4 12" xfId="41610"/>
    <cellStyle name="Nota 2 4 2 4 13" xfId="45642"/>
    <cellStyle name="Nota 2 4 2 4 14" xfId="49720"/>
    <cellStyle name="Nota 2 4 2 4 2" xfId="4673"/>
    <cellStyle name="Nota 2 4 2 4 2 10" xfId="38547"/>
    <cellStyle name="Nota 2 4 2 4 2 11" xfId="42579"/>
    <cellStyle name="Nota 2 4 2 4 2 12" xfId="46611"/>
    <cellStyle name="Nota 2 4 2 4 2 13" xfId="50690"/>
    <cellStyle name="Nota 2 4 2 4 2 2" xfId="8305"/>
    <cellStyle name="Nota 2 4 2 4 2 2 10" xfId="44595"/>
    <cellStyle name="Nota 2 4 2 4 2 2 11" xfId="48627"/>
    <cellStyle name="Nota 2 4 2 4 2 2 12" xfId="52706"/>
    <cellStyle name="Nota 2 4 2 4 2 2 2" xfId="12339"/>
    <cellStyle name="Nota 2 4 2 4 2 2 3" xfId="16371"/>
    <cellStyle name="Nota 2 4 2 4 2 2 4" xfId="20403"/>
    <cellStyle name="Nota 2 4 2 4 2 2 5" xfId="24435"/>
    <cellStyle name="Nota 2 4 2 4 2 2 6" xfId="28467"/>
    <cellStyle name="Nota 2 4 2 4 2 2 7" xfId="32499"/>
    <cellStyle name="Nota 2 4 2 4 2 2 8" xfId="36531"/>
    <cellStyle name="Nota 2 4 2 4 2 2 9" xfId="40563"/>
    <cellStyle name="Nota 2 4 2 4 2 3" xfId="10323"/>
    <cellStyle name="Nota 2 4 2 4 2 4" xfId="14355"/>
    <cellStyle name="Nota 2 4 2 4 2 5" xfId="18387"/>
    <cellStyle name="Nota 2 4 2 4 2 6" xfId="22419"/>
    <cellStyle name="Nota 2 4 2 4 2 7" xfId="26451"/>
    <cellStyle name="Nota 2 4 2 4 2 8" xfId="30483"/>
    <cellStyle name="Nota 2 4 2 4 2 9" xfId="34515"/>
    <cellStyle name="Nota 2 4 2 4 3" xfId="7336"/>
    <cellStyle name="Nota 2 4 2 4 3 10" xfId="43626"/>
    <cellStyle name="Nota 2 4 2 4 3 11" xfId="47658"/>
    <cellStyle name="Nota 2 4 2 4 3 12" xfId="51737"/>
    <cellStyle name="Nota 2 4 2 4 3 2" xfId="11370"/>
    <cellStyle name="Nota 2 4 2 4 3 3" xfId="15402"/>
    <cellStyle name="Nota 2 4 2 4 3 4" xfId="19434"/>
    <cellStyle name="Nota 2 4 2 4 3 5" xfId="23466"/>
    <cellStyle name="Nota 2 4 2 4 3 6" xfId="27498"/>
    <cellStyle name="Nota 2 4 2 4 3 7" xfId="31530"/>
    <cellStyle name="Nota 2 4 2 4 3 8" xfId="35562"/>
    <cellStyle name="Nota 2 4 2 4 3 9" xfId="39594"/>
    <cellStyle name="Nota 2 4 2 4 4" xfId="9354"/>
    <cellStyle name="Nota 2 4 2 4 5" xfId="13386"/>
    <cellStyle name="Nota 2 4 2 4 6" xfId="17418"/>
    <cellStyle name="Nota 2 4 2 4 7" xfId="21450"/>
    <cellStyle name="Nota 2 4 2 4 8" xfId="25482"/>
    <cellStyle name="Nota 2 4 2 4 9" xfId="29514"/>
    <cellStyle name="Nota 2 4 2 5" xfId="1683"/>
    <cellStyle name="Nota 2 4 2 5 10" xfId="33644"/>
    <cellStyle name="Nota 2 4 2 5 11" xfId="37676"/>
    <cellStyle name="Nota 2 4 2 5 12" xfId="41708"/>
    <cellStyle name="Nota 2 4 2 5 13" xfId="45740"/>
    <cellStyle name="Nota 2 4 2 5 14" xfId="49818"/>
    <cellStyle name="Nota 2 4 2 5 2" xfId="5359"/>
    <cellStyle name="Nota 2 4 2 5 2 10" xfId="38627"/>
    <cellStyle name="Nota 2 4 2 5 2 11" xfId="42659"/>
    <cellStyle name="Nota 2 4 2 5 2 12" xfId="46691"/>
    <cellStyle name="Nota 2 4 2 5 2 13" xfId="50770"/>
    <cellStyle name="Nota 2 4 2 5 2 2" xfId="8385"/>
    <cellStyle name="Nota 2 4 2 5 2 2 10" xfId="44675"/>
    <cellStyle name="Nota 2 4 2 5 2 2 11" xfId="48707"/>
    <cellStyle name="Nota 2 4 2 5 2 2 12" xfId="52786"/>
    <cellStyle name="Nota 2 4 2 5 2 2 2" xfId="12419"/>
    <cellStyle name="Nota 2 4 2 5 2 2 3" xfId="16451"/>
    <cellStyle name="Nota 2 4 2 5 2 2 4" xfId="20483"/>
    <cellStyle name="Nota 2 4 2 5 2 2 5" xfId="24515"/>
    <cellStyle name="Nota 2 4 2 5 2 2 6" xfId="28547"/>
    <cellStyle name="Nota 2 4 2 5 2 2 7" xfId="32579"/>
    <cellStyle name="Nota 2 4 2 5 2 2 8" xfId="36611"/>
    <cellStyle name="Nota 2 4 2 5 2 2 9" xfId="40643"/>
    <cellStyle name="Nota 2 4 2 5 2 3" xfId="10403"/>
    <cellStyle name="Nota 2 4 2 5 2 4" xfId="14435"/>
    <cellStyle name="Nota 2 4 2 5 2 5" xfId="18467"/>
    <cellStyle name="Nota 2 4 2 5 2 6" xfId="22499"/>
    <cellStyle name="Nota 2 4 2 5 2 7" xfId="26531"/>
    <cellStyle name="Nota 2 4 2 5 2 8" xfId="30563"/>
    <cellStyle name="Nota 2 4 2 5 2 9" xfId="34595"/>
    <cellStyle name="Nota 2 4 2 5 3" xfId="7434"/>
    <cellStyle name="Nota 2 4 2 5 3 10" xfId="43724"/>
    <cellStyle name="Nota 2 4 2 5 3 11" xfId="47756"/>
    <cellStyle name="Nota 2 4 2 5 3 12" xfId="51835"/>
    <cellStyle name="Nota 2 4 2 5 3 2" xfId="11468"/>
    <cellStyle name="Nota 2 4 2 5 3 3" xfId="15500"/>
    <cellStyle name="Nota 2 4 2 5 3 4" xfId="19532"/>
    <cellStyle name="Nota 2 4 2 5 3 5" xfId="23564"/>
    <cellStyle name="Nota 2 4 2 5 3 6" xfId="27596"/>
    <cellStyle name="Nota 2 4 2 5 3 7" xfId="31628"/>
    <cellStyle name="Nota 2 4 2 5 3 8" xfId="35660"/>
    <cellStyle name="Nota 2 4 2 5 3 9" xfId="39692"/>
    <cellStyle name="Nota 2 4 2 5 4" xfId="9452"/>
    <cellStyle name="Nota 2 4 2 5 5" xfId="13484"/>
    <cellStyle name="Nota 2 4 2 5 6" xfId="17516"/>
    <cellStyle name="Nota 2 4 2 5 7" xfId="21548"/>
    <cellStyle name="Nota 2 4 2 5 8" xfId="25580"/>
    <cellStyle name="Nota 2 4 2 5 9" xfId="29612"/>
    <cellStyle name="Nota 2 4 2 6" xfId="1757"/>
    <cellStyle name="Nota 2 4 2 6 10" xfId="33713"/>
    <cellStyle name="Nota 2 4 2 6 11" xfId="37745"/>
    <cellStyle name="Nota 2 4 2 6 12" xfId="41777"/>
    <cellStyle name="Nota 2 4 2 6 13" xfId="45809"/>
    <cellStyle name="Nota 2 4 2 6 14" xfId="49887"/>
    <cellStyle name="Nota 2 4 2 6 2" xfId="5428"/>
    <cellStyle name="Nota 2 4 2 6 2 10" xfId="38696"/>
    <cellStyle name="Nota 2 4 2 6 2 11" xfId="42728"/>
    <cellStyle name="Nota 2 4 2 6 2 12" xfId="46760"/>
    <cellStyle name="Nota 2 4 2 6 2 13" xfId="50839"/>
    <cellStyle name="Nota 2 4 2 6 2 2" xfId="8454"/>
    <cellStyle name="Nota 2 4 2 6 2 2 10" xfId="44744"/>
    <cellStyle name="Nota 2 4 2 6 2 2 11" xfId="48776"/>
    <cellStyle name="Nota 2 4 2 6 2 2 12" xfId="52855"/>
    <cellStyle name="Nota 2 4 2 6 2 2 2" xfId="12488"/>
    <cellStyle name="Nota 2 4 2 6 2 2 3" xfId="16520"/>
    <cellStyle name="Nota 2 4 2 6 2 2 4" xfId="20552"/>
    <cellStyle name="Nota 2 4 2 6 2 2 5" xfId="24584"/>
    <cellStyle name="Nota 2 4 2 6 2 2 6" xfId="28616"/>
    <cellStyle name="Nota 2 4 2 6 2 2 7" xfId="32648"/>
    <cellStyle name="Nota 2 4 2 6 2 2 8" xfId="36680"/>
    <cellStyle name="Nota 2 4 2 6 2 2 9" xfId="40712"/>
    <cellStyle name="Nota 2 4 2 6 2 3" xfId="10472"/>
    <cellStyle name="Nota 2 4 2 6 2 4" xfId="14504"/>
    <cellStyle name="Nota 2 4 2 6 2 5" xfId="18536"/>
    <cellStyle name="Nota 2 4 2 6 2 6" xfId="22568"/>
    <cellStyle name="Nota 2 4 2 6 2 7" xfId="26600"/>
    <cellStyle name="Nota 2 4 2 6 2 8" xfId="30632"/>
    <cellStyle name="Nota 2 4 2 6 2 9" xfId="34664"/>
    <cellStyle name="Nota 2 4 2 6 3" xfId="7503"/>
    <cellStyle name="Nota 2 4 2 6 3 10" xfId="43793"/>
    <cellStyle name="Nota 2 4 2 6 3 11" xfId="47825"/>
    <cellStyle name="Nota 2 4 2 6 3 12" xfId="51904"/>
    <cellStyle name="Nota 2 4 2 6 3 2" xfId="11537"/>
    <cellStyle name="Nota 2 4 2 6 3 3" xfId="15569"/>
    <cellStyle name="Nota 2 4 2 6 3 4" xfId="19601"/>
    <cellStyle name="Nota 2 4 2 6 3 5" xfId="23633"/>
    <cellStyle name="Nota 2 4 2 6 3 6" xfId="27665"/>
    <cellStyle name="Nota 2 4 2 6 3 7" xfId="31697"/>
    <cellStyle name="Nota 2 4 2 6 3 8" xfId="35729"/>
    <cellStyle name="Nota 2 4 2 6 3 9" xfId="39761"/>
    <cellStyle name="Nota 2 4 2 6 4" xfId="9521"/>
    <cellStyle name="Nota 2 4 2 6 5" xfId="13553"/>
    <cellStyle name="Nota 2 4 2 6 6" xfId="17585"/>
    <cellStyle name="Nota 2 4 2 6 7" xfId="21617"/>
    <cellStyle name="Nota 2 4 2 6 8" xfId="25649"/>
    <cellStyle name="Nota 2 4 2 6 9" xfId="29681"/>
    <cellStyle name="Nota 2 4 2 7" xfId="4079"/>
    <cellStyle name="Nota 2 4 2 7 10" xfId="33936"/>
    <cellStyle name="Nota 2 4 2 7 11" xfId="37968"/>
    <cellStyle name="Nota 2 4 2 7 12" xfId="42000"/>
    <cellStyle name="Nota 2 4 2 7 13" xfId="46032"/>
    <cellStyle name="Nota 2 4 2 7 14" xfId="50110"/>
    <cellStyle name="Nota 2 4 2 7 2" xfId="6661"/>
    <cellStyle name="Nota 2 4 2 7 2 10" xfId="38919"/>
    <cellStyle name="Nota 2 4 2 7 2 11" xfId="42951"/>
    <cellStyle name="Nota 2 4 2 7 2 12" xfId="46983"/>
    <cellStyle name="Nota 2 4 2 7 2 13" xfId="51062"/>
    <cellStyle name="Nota 2 4 2 7 2 2" xfId="8677"/>
    <cellStyle name="Nota 2 4 2 7 2 2 10" xfId="44967"/>
    <cellStyle name="Nota 2 4 2 7 2 2 11" xfId="48999"/>
    <cellStyle name="Nota 2 4 2 7 2 2 12" xfId="53078"/>
    <cellStyle name="Nota 2 4 2 7 2 2 2" xfId="12711"/>
    <cellStyle name="Nota 2 4 2 7 2 2 3" xfId="16743"/>
    <cellStyle name="Nota 2 4 2 7 2 2 4" xfId="20775"/>
    <cellStyle name="Nota 2 4 2 7 2 2 5" xfId="24807"/>
    <cellStyle name="Nota 2 4 2 7 2 2 6" xfId="28839"/>
    <cellStyle name="Nota 2 4 2 7 2 2 7" xfId="32871"/>
    <cellStyle name="Nota 2 4 2 7 2 2 8" xfId="36903"/>
    <cellStyle name="Nota 2 4 2 7 2 2 9" xfId="40935"/>
    <cellStyle name="Nota 2 4 2 7 2 3" xfId="10695"/>
    <cellStyle name="Nota 2 4 2 7 2 4" xfId="14727"/>
    <cellStyle name="Nota 2 4 2 7 2 5" xfId="18759"/>
    <cellStyle name="Nota 2 4 2 7 2 6" xfId="22791"/>
    <cellStyle name="Nota 2 4 2 7 2 7" xfId="26823"/>
    <cellStyle name="Nota 2 4 2 7 2 8" xfId="30855"/>
    <cellStyle name="Nota 2 4 2 7 2 9" xfId="34887"/>
    <cellStyle name="Nota 2 4 2 7 3" xfId="7726"/>
    <cellStyle name="Nota 2 4 2 7 3 10" xfId="44016"/>
    <cellStyle name="Nota 2 4 2 7 3 11" xfId="48048"/>
    <cellStyle name="Nota 2 4 2 7 3 12" xfId="52127"/>
    <cellStyle name="Nota 2 4 2 7 3 2" xfId="11760"/>
    <cellStyle name="Nota 2 4 2 7 3 3" xfId="15792"/>
    <cellStyle name="Nota 2 4 2 7 3 4" xfId="19824"/>
    <cellStyle name="Nota 2 4 2 7 3 5" xfId="23856"/>
    <cellStyle name="Nota 2 4 2 7 3 6" xfId="27888"/>
    <cellStyle name="Nota 2 4 2 7 3 7" xfId="31920"/>
    <cellStyle name="Nota 2 4 2 7 3 8" xfId="35952"/>
    <cellStyle name="Nota 2 4 2 7 3 9" xfId="39984"/>
    <cellStyle name="Nota 2 4 2 7 4" xfId="9744"/>
    <cellStyle name="Nota 2 4 2 7 5" xfId="13776"/>
    <cellStyle name="Nota 2 4 2 7 6" xfId="17808"/>
    <cellStyle name="Nota 2 4 2 7 7" xfId="21840"/>
    <cellStyle name="Nota 2 4 2 7 8" xfId="25872"/>
    <cellStyle name="Nota 2 4 2 7 9" xfId="29904"/>
    <cellStyle name="Nota 2 4 2 8" xfId="4149"/>
    <cellStyle name="Nota 2 4 2 8 10" xfId="34005"/>
    <cellStyle name="Nota 2 4 2 8 11" xfId="38037"/>
    <cellStyle name="Nota 2 4 2 8 12" xfId="42069"/>
    <cellStyle name="Nota 2 4 2 8 13" xfId="46101"/>
    <cellStyle name="Nota 2 4 2 8 14" xfId="50179"/>
    <cellStyle name="Nota 2 4 2 8 2" xfId="6730"/>
    <cellStyle name="Nota 2 4 2 8 2 10" xfId="38988"/>
    <cellStyle name="Nota 2 4 2 8 2 11" xfId="43020"/>
    <cellStyle name="Nota 2 4 2 8 2 12" xfId="47052"/>
    <cellStyle name="Nota 2 4 2 8 2 13" xfId="51131"/>
    <cellStyle name="Nota 2 4 2 8 2 2" xfId="8746"/>
    <cellStyle name="Nota 2 4 2 8 2 2 10" xfId="45036"/>
    <cellStyle name="Nota 2 4 2 8 2 2 11" xfId="49068"/>
    <cellStyle name="Nota 2 4 2 8 2 2 12" xfId="53147"/>
    <cellStyle name="Nota 2 4 2 8 2 2 2" xfId="12780"/>
    <cellStyle name="Nota 2 4 2 8 2 2 3" xfId="16812"/>
    <cellStyle name="Nota 2 4 2 8 2 2 4" xfId="20844"/>
    <cellStyle name="Nota 2 4 2 8 2 2 5" xfId="24876"/>
    <cellStyle name="Nota 2 4 2 8 2 2 6" xfId="28908"/>
    <cellStyle name="Nota 2 4 2 8 2 2 7" xfId="32940"/>
    <cellStyle name="Nota 2 4 2 8 2 2 8" xfId="36972"/>
    <cellStyle name="Nota 2 4 2 8 2 2 9" xfId="41004"/>
    <cellStyle name="Nota 2 4 2 8 2 3" xfId="10764"/>
    <cellStyle name="Nota 2 4 2 8 2 4" xfId="14796"/>
    <cellStyle name="Nota 2 4 2 8 2 5" xfId="18828"/>
    <cellStyle name="Nota 2 4 2 8 2 6" xfId="22860"/>
    <cellStyle name="Nota 2 4 2 8 2 7" xfId="26892"/>
    <cellStyle name="Nota 2 4 2 8 2 8" xfId="30924"/>
    <cellStyle name="Nota 2 4 2 8 2 9" xfId="34956"/>
    <cellStyle name="Nota 2 4 2 8 3" xfId="7795"/>
    <cellStyle name="Nota 2 4 2 8 3 10" xfId="44085"/>
    <cellStyle name="Nota 2 4 2 8 3 11" xfId="48117"/>
    <cellStyle name="Nota 2 4 2 8 3 12" xfId="52196"/>
    <cellStyle name="Nota 2 4 2 8 3 2" xfId="11829"/>
    <cellStyle name="Nota 2 4 2 8 3 3" xfId="15861"/>
    <cellStyle name="Nota 2 4 2 8 3 4" xfId="19893"/>
    <cellStyle name="Nota 2 4 2 8 3 5" xfId="23925"/>
    <cellStyle name="Nota 2 4 2 8 3 6" xfId="27957"/>
    <cellStyle name="Nota 2 4 2 8 3 7" xfId="31989"/>
    <cellStyle name="Nota 2 4 2 8 3 8" xfId="36021"/>
    <cellStyle name="Nota 2 4 2 8 3 9" xfId="40053"/>
    <cellStyle name="Nota 2 4 2 8 4" xfId="9813"/>
    <cellStyle name="Nota 2 4 2 8 5" xfId="13845"/>
    <cellStyle name="Nota 2 4 2 8 6" xfId="17877"/>
    <cellStyle name="Nota 2 4 2 8 7" xfId="21909"/>
    <cellStyle name="Nota 2 4 2 8 8" xfId="25941"/>
    <cellStyle name="Nota 2 4 2 8 9" xfId="29973"/>
    <cellStyle name="Nota 2 4 2 9" xfId="4218"/>
    <cellStyle name="Nota 2 4 2 9 10" xfId="34074"/>
    <cellStyle name="Nota 2 4 2 9 11" xfId="38106"/>
    <cellStyle name="Nota 2 4 2 9 12" xfId="42138"/>
    <cellStyle name="Nota 2 4 2 9 13" xfId="46170"/>
    <cellStyle name="Nota 2 4 2 9 14" xfId="50248"/>
    <cellStyle name="Nota 2 4 2 9 2" xfId="6799"/>
    <cellStyle name="Nota 2 4 2 9 2 10" xfId="39057"/>
    <cellStyle name="Nota 2 4 2 9 2 11" xfId="43089"/>
    <cellStyle name="Nota 2 4 2 9 2 12" xfId="47121"/>
    <cellStyle name="Nota 2 4 2 9 2 13" xfId="51200"/>
    <cellStyle name="Nota 2 4 2 9 2 2" xfId="8815"/>
    <cellStyle name="Nota 2 4 2 9 2 2 10" xfId="45105"/>
    <cellStyle name="Nota 2 4 2 9 2 2 11" xfId="49137"/>
    <cellStyle name="Nota 2 4 2 9 2 2 12" xfId="53216"/>
    <cellStyle name="Nota 2 4 2 9 2 2 2" xfId="12849"/>
    <cellStyle name="Nota 2 4 2 9 2 2 3" xfId="16881"/>
    <cellStyle name="Nota 2 4 2 9 2 2 4" xfId="20913"/>
    <cellStyle name="Nota 2 4 2 9 2 2 5" xfId="24945"/>
    <cellStyle name="Nota 2 4 2 9 2 2 6" xfId="28977"/>
    <cellStyle name="Nota 2 4 2 9 2 2 7" xfId="33009"/>
    <cellStyle name="Nota 2 4 2 9 2 2 8" xfId="37041"/>
    <cellStyle name="Nota 2 4 2 9 2 2 9" xfId="41073"/>
    <cellStyle name="Nota 2 4 2 9 2 3" xfId="10833"/>
    <cellStyle name="Nota 2 4 2 9 2 4" xfId="14865"/>
    <cellStyle name="Nota 2 4 2 9 2 5" xfId="18897"/>
    <cellStyle name="Nota 2 4 2 9 2 6" xfId="22929"/>
    <cellStyle name="Nota 2 4 2 9 2 7" xfId="26961"/>
    <cellStyle name="Nota 2 4 2 9 2 8" xfId="30993"/>
    <cellStyle name="Nota 2 4 2 9 2 9" xfId="35025"/>
    <cellStyle name="Nota 2 4 2 9 3" xfId="7864"/>
    <cellStyle name="Nota 2 4 2 9 3 10" xfId="44154"/>
    <cellStyle name="Nota 2 4 2 9 3 11" xfId="48186"/>
    <cellStyle name="Nota 2 4 2 9 3 12" xfId="52265"/>
    <cellStyle name="Nota 2 4 2 9 3 2" xfId="11898"/>
    <cellStyle name="Nota 2 4 2 9 3 3" xfId="15930"/>
    <cellStyle name="Nota 2 4 2 9 3 4" xfId="19962"/>
    <cellStyle name="Nota 2 4 2 9 3 5" xfId="23994"/>
    <cellStyle name="Nota 2 4 2 9 3 6" xfId="28026"/>
    <cellStyle name="Nota 2 4 2 9 3 7" xfId="32058"/>
    <cellStyle name="Nota 2 4 2 9 3 8" xfId="36090"/>
    <cellStyle name="Nota 2 4 2 9 3 9" xfId="40122"/>
    <cellStyle name="Nota 2 4 2 9 4" xfId="9882"/>
    <cellStyle name="Nota 2 4 2 9 5" xfId="13914"/>
    <cellStyle name="Nota 2 4 2 9 6" xfId="17946"/>
    <cellStyle name="Nota 2 4 2 9 7" xfId="21978"/>
    <cellStyle name="Nota 2 4 2 9 8" xfId="26010"/>
    <cellStyle name="Nota 2 4 2 9 9" xfId="30042"/>
    <cellStyle name="Nota 2 4 20" xfId="13143"/>
    <cellStyle name="Nota 2 4 21" xfId="17175"/>
    <cellStyle name="Nota 2 4 22" xfId="21207"/>
    <cellStyle name="Nota 2 4 23" xfId="25239"/>
    <cellStyle name="Nota 2 4 24" xfId="29271"/>
    <cellStyle name="Nota 2 4 25" xfId="33303"/>
    <cellStyle name="Nota 2 4 26" xfId="37335"/>
    <cellStyle name="Nota 2 4 27" xfId="41367"/>
    <cellStyle name="Nota 2 4 28" xfId="45399"/>
    <cellStyle name="Nota 2 4 29" xfId="49477"/>
    <cellStyle name="Nota 2 4 3" xfId="79"/>
    <cellStyle name="Nota 2 4 3 10" xfId="4559"/>
    <cellStyle name="Nota 2 4 3 10 10" xfId="38435"/>
    <cellStyle name="Nota 2 4 3 10 11" xfId="42467"/>
    <cellStyle name="Nota 2 4 3 10 12" xfId="46499"/>
    <cellStyle name="Nota 2 4 3 10 13" xfId="50578"/>
    <cellStyle name="Nota 2 4 3 10 2" xfId="8193"/>
    <cellStyle name="Nota 2 4 3 10 2 10" xfId="44483"/>
    <cellStyle name="Nota 2 4 3 10 2 11" xfId="48515"/>
    <cellStyle name="Nota 2 4 3 10 2 12" xfId="52594"/>
    <cellStyle name="Nota 2 4 3 10 2 2" xfId="12227"/>
    <cellStyle name="Nota 2 4 3 10 2 3" xfId="16259"/>
    <cellStyle name="Nota 2 4 3 10 2 4" xfId="20291"/>
    <cellStyle name="Nota 2 4 3 10 2 5" xfId="24323"/>
    <cellStyle name="Nota 2 4 3 10 2 6" xfId="28355"/>
    <cellStyle name="Nota 2 4 3 10 2 7" xfId="32387"/>
    <cellStyle name="Nota 2 4 3 10 2 8" xfId="36419"/>
    <cellStyle name="Nota 2 4 3 10 2 9" xfId="40451"/>
    <cellStyle name="Nota 2 4 3 10 3" xfId="10211"/>
    <cellStyle name="Nota 2 4 3 10 4" xfId="14243"/>
    <cellStyle name="Nota 2 4 3 10 5" xfId="18275"/>
    <cellStyle name="Nota 2 4 3 10 6" xfId="22307"/>
    <cellStyle name="Nota 2 4 3 10 7" xfId="26339"/>
    <cellStyle name="Nota 2 4 3 10 8" xfId="30371"/>
    <cellStyle name="Nota 2 4 3 10 9" xfId="34403"/>
    <cellStyle name="Nota 2 4 3 11" xfId="287"/>
    <cellStyle name="Nota 2 4 3 11 10" xfId="37492"/>
    <cellStyle name="Nota 2 4 3 11 11" xfId="41524"/>
    <cellStyle name="Nota 2 4 3 11 12" xfId="45556"/>
    <cellStyle name="Nota 2 4 3 11 13" xfId="49634"/>
    <cellStyle name="Nota 2 4 3 11 2" xfId="7250"/>
    <cellStyle name="Nota 2 4 3 11 2 10" xfId="43540"/>
    <cellStyle name="Nota 2 4 3 11 2 11" xfId="47572"/>
    <cellStyle name="Nota 2 4 3 11 2 12" xfId="51651"/>
    <cellStyle name="Nota 2 4 3 11 2 2" xfId="11284"/>
    <cellStyle name="Nota 2 4 3 11 2 3" xfId="15316"/>
    <cellStyle name="Nota 2 4 3 11 2 4" xfId="19348"/>
    <cellStyle name="Nota 2 4 3 11 2 5" xfId="23380"/>
    <cellStyle name="Nota 2 4 3 11 2 6" xfId="27412"/>
    <cellStyle name="Nota 2 4 3 11 2 7" xfId="31444"/>
    <cellStyle name="Nota 2 4 3 11 2 8" xfId="35476"/>
    <cellStyle name="Nota 2 4 3 11 2 9" xfId="39508"/>
    <cellStyle name="Nota 2 4 3 11 3" xfId="9268"/>
    <cellStyle name="Nota 2 4 3 11 4" xfId="13300"/>
    <cellStyle name="Nota 2 4 3 11 5" xfId="17332"/>
    <cellStyle name="Nota 2 4 3 11 6" xfId="21364"/>
    <cellStyle name="Nota 2 4 3 11 7" xfId="25396"/>
    <cellStyle name="Nota 2 4 3 11 8" xfId="29428"/>
    <cellStyle name="Nota 2 4 3 11 9" xfId="33460"/>
    <cellStyle name="Nota 2 4 3 12" xfId="7128"/>
    <cellStyle name="Nota 2 4 3 12 10" xfId="43418"/>
    <cellStyle name="Nota 2 4 3 12 11" xfId="47450"/>
    <cellStyle name="Nota 2 4 3 12 12" xfId="51529"/>
    <cellStyle name="Nota 2 4 3 12 2" xfId="11162"/>
    <cellStyle name="Nota 2 4 3 12 3" xfId="15194"/>
    <cellStyle name="Nota 2 4 3 12 4" xfId="19226"/>
    <cellStyle name="Nota 2 4 3 12 5" xfId="23258"/>
    <cellStyle name="Nota 2 4 3 12 6" xfId="27290"/>
    <cellStyle name="Nota 2 4 3 12 7" xfId="31322"/>
    <cellStyle name="Nota 2 4 3 12 8" xfId="35354"/>
    <cellStyle name="Nota 2 4 3 12 9" xfId="39386"/>
    <cellStyle name="Nota 2 4 3 13" xfId="154"/>
    <cellStyle name="Nota 2 4 3 14" xfId="9146"/>
    <cellStyle name="Nota 2 4 3 15" xfId="13178"/>
    <cellStyle name="Nota 2 4 3 16" xfId="17210"/>
    <cellStyle name="Nota 2 4 3 17" xfId="21242"/>
    <cellStyle name="Nota 2 4 3 18" xfId="25274"/>
    <cellStyle name="Nota 2 4 3 19" xfId="29306"/>
    <cellStyle name="Nota 2 4 3 2" xfId="233"/>
    <cellStyle name="Nota 2 4 3 2 10" xfId="21311"/>
    <cellStyle name="Nota 2 4 3 2 11" xfId="25343"/>
    <cellStyle name="Nota 2 4 3 2 12" xfId="29375"/>
    <cellStyle name="Nota 2 4 3 2 13" xfId="33407"/>
    <cellStyle name="Nota 2 4 3 2 14" xfId="37439"/>
    <cellStyle name="Nota 2 4 3 2 15" xfId="41471"/>
    <cellStyle name="Nota 2 4 3 2 16" xfId="45503"/>
    <cellStyle name="Nota 2 4 3 2 17" xfId="49581"/>
    <cellStyle name="Nota 2 4 3 2 2" xfId="4351"/>
    <cellStyle name="Nota 2 4 3 2 2 10" xfId="34196"/>
    <cellStyle name="Nota 2 4 3 2 2 11" xfId="38228"/>
    <cellStyle name="Nota 2 4 3 2 2 12" xfId="42260"/>
    <cellStyle name="Nota 2 4 3 2 2 13" xfId="46292"/>
    <cellStyle name="Nota 2 4 3 2 2 14" xfId="50371"/>
    <cellStyle name="Nota 2 4 3 2 2 2" xfId="6921"/>
    <cellStyle name="Nota 2 4 3 2 2 2 10" xfId="39179"/>
    <cellStyle name="Nota 2 4 3 2 2 2 11" xfId="43211"/>
    <cellStyle name="Nota 2 4 3 2 2 2 12" xfId="47243"/>
    <cellStyle name="Nota 2 4 3 2 2 2 13" xfId="51322"/>
    <cellStyle name="Nota 2 4 3 2 2 2 2" xfId="8937"/>
    <cellStyle name="Nota 2 4 3 2 2 2 2 10" xfId="45227"/>
    <cellStyle name="Nota 2 4 3 2 2 2 2 11" xfId="49259"/>
    <cellStyle name="Nota 2 4 3 2 2 2 2 12" xfId="53338"/>
    <cellStyle name="Nota 2 4 3 2 2 2 2 2" xfId="12971"/>
    <cellStyle name="Nota 2 4 3 2 2 2 2 3" xfId="17003"/>
    <cellStyle name="Nota 2 4 3 2 2 2 2 4" xfId="21035"/>
    <cellStyle name="Nota 2 4 3 2 2 2 2 5" xfId="25067"/>
    <cellStyle name="Nota 2 4 3 2 2 2 2 6" xfId="29099"/>
    <cellStyle name="Nota 2 4 3 2 2 2 2 7" xfId="33131"/>
    <cellStyle name="Nota 2 4 3 2 2 2 2 8" xfId="37163"/>
    <cellStyle name="Nota 2 4 3 2 2 2 2 9" xfId="41195"/>
    <cellStyle name="Nota 2 4 3 2 2 2 3" xfId="10955"/>
    <cellStyle name="Nota 2 4 3 2 2 2 4" xfId="14987"/>
    <cellStyle name="Nota 2 4 3 2 2 2 5" xfId="19019"/>
    <cellStyle name="Nota 2 4 3 2 2 2 6" xfId="23051"/>
    <cellStyle name="Nota 2 4 3 2 2 2 7" xfId="27083"/>
    <cellStyle name="Nota 2 4 3 2 2 2 8" xfId="31115"/>
    <cellStyle name="Nota 2 4 3 2 2 2 9" xfId="35147"/>
    <cellStyle name="Nota 2 4 3 2 2 3" xfId="7986"/>
    <cellStyle name="Nota 2 4 3 2 2 3 10" xfId="44276"/>
    <cellStyle name="Nota 2 4 3 2 2 3 11" xfId="48308"/>
    <cellStyle name="Nota 2 4 3 2 2 3 12" xfId="52387"/>
    <cellStyle name="Nota 2 4 3 2 2 3 2" xfId="12020"/>
    <cellStyle name="Nota 2 4 3 2 2 3 3" xfId="16052"/>
    <cellStyle name="Nota 2 4 3 2 2 3 4" xfId="20084"/>
    <cellStyle name="Nota 2 4 3 2 2 3 5" xfId="24116"/>
    <cellStyle name="Nota 2 4 3 2 2 3 6" xfId="28148"/>
    <cellStyle name="Nota 2 4 3 2 2 3 7" xfId="32180"/>
    <cellStyle name="Nota 2 4 3 2 2 3 8" xfId="36212"/>
    <cellStyle name="Nota 2 4 3 2 2 3 9" xfId="40244"/>
    <cellStyle name="Nota 2 4 3 2 2 4" xfId="10004"/>
    <cellStyle name="Nota 2 4 3 2 2 5" xfId="14036"/>
    <cellStyle name="Nota 2 4 3 2 2 6" xfId="18068"/>
    <cellStyle name="Nota 2 4 3 2 2 7" xfId="22100"/>
    <cellStyle name="Nota 2 4 3 2 2 8" xfId="26132"/>
    <cellStyle name="Nota 2 4 3 2 2 9" xfId="30164"/>
    <cellStyle name="Nota 2 4 3 2 3" xfId="4490"/>
    <cellStyle name="Nota 2 4 3 2 3 10" xfId="34334"/>
    <cellStyle name="Nota 2 4 3 2 3 11" xfId="38366"/>
    <cellStyle name="Nota 2 4 3 2 3 12" xfId="42398"/>
    <cellStyle name="Nota 2 4 3 2 3 13" xfId="46430"/>
    <cellStyle name="Nota 2 4 3 2 3 14" xfId="50509"/>
    <cellStyle name="Nota 2 4 3 2 3 2" xfId="7059"/>
    <cellStyle name="Nota 2 4 3 2 3 2 10" xfId="39317"/>
    <cellStyle name="Nota 2 4 3 2 3 2 11" xfId="43349"/>
    <cellStyle name="Nota 2 4 3 2 3 2 12" xfId="47381"/>
    <cellStyle name="Nota 2 4 3 2 3 2 13" xfId="51460"/>
    <cellStyle name="Nota 2 4 3 2 3 2 2" xfId="9075"/>
    <cellStyle name="Nota 2 4 3 2 3 2 2 10" xfId="45365"/>
    <cellStyle name="Nota 2 4 3 2 3 2 2 11" xfId="49397"/>
    <cellStyle name="Nota 2 4 3 2 3 2 2 12" xfId="53476"/>
    <cellStyle name="Nota 2 4 3 2 3 2 2 2" xfId="13109"/>
    <cellStyle name="Nota 2 4 3 2 3 2 2 3" xfId="17141"/>
    <cellStyle name="Nota 2 4 3 2 3 2 2 4" xfId="21173"/>
    <cellStyle name="Nota 2 4 3 2 3 2 2 5" xfId="25205"/>
    <cellStyle name="Nota 2 4 3 2 3 2 2 6" xfId="29237"/>
    <cellStyle name="Nota 2 4 3 2 3 2 2 7" xfId="33269"/>
    <cellStyle name="Nota 2 4 3 2 3 2 2 8" xfId="37301"/>
    <cellStyle name="Nota 2 4 3 2 3 2 2 9" xfId="41333"/>
    <cellStyle name="Nota 2 4 3 2 3 2 3" xfId="11093"/>
    <cellStyle name="Nota 2 4 3 2 3 2 4" xfId="15125"/>
    <cellStyle name="Nota 2 4 3 2 3 2 5" xfId="19157"/>
    <cellStyle name="Nota 2 4 3 2 3 2 6" xfId="23189"/>
    <cellStyle name="Nota 2 4 3 2 3 2 7" xfId="27221"/>
    <cellStyle name="Nota 2 4 3 2 3 2 8" xfId="31253"/>
    <cellStyle name="Nota 2 4 3 2 3 2 9" xfId="35285"/>
    <cellStyle name="Nota 2 4 3 2 3 3" xfId="8124"/>
    <cellStyle name="Nota 2 4 3 2 3 3 10" xfId="44414"/>
    <cellStyle name="Nota 2 4 3 2 3 3 11" xfId="48446"/>
    <cellStyle name="Nota 2 4 3 2 3 3 12" xfId="52525"/>
    <cellStyle name="Nota 2 4 3 2 3 3 2" xfId="12158"/>
    <cellStyle name="Nota 2 4 3 2 3 3 3" xfId="16190"/>
    <cellStyle name="Nota 2 4 3 2 3 3 4" xfId="20222"/>
    <cellStyle name="Nota 2 4 3 2 3 3 5" xfId="24254"/>
    <cellStyle name="Nota 2 4 3 2 3 3 6" xfId="28286"/>
    <cellStyle name="Nota 2 4 3 2 3 3 7" xfId="32318"/>
    <cellStyle name="Nota 2 4 3 2 3 3 8" xfId="36350"/>
    <cellStyle name="Nota 2 4 3 2 3 3 9" xfId="40382"/>
    <cellStyle name="Nota 2 4 3 2 3 4" xfId="10142"/>
    <cellStyle name="Nota 2 4 3 2 3 5" xfId="14174"/>
    <cellStyle name="Nota 2 4 3 2 3 6" xfId="18206"/>
    <cellStyle name="Nota 2 4 3 2 3 7" xfId="22238"/>
    <cellStyle name="Nota 2 4 3 2 3 8" xfId="26270"/>
    <cellStyle name="Nota 2 4 3 2 3 9" xfId="30302"/>
    <cellStyle name="Nota 2 4 3 2 4" xfId="4630"/>
    <cellStyle name="Nota 2 4 3 2 4 10" xfId="38504"/>
    <cellStyle name="Nota 2 4 3 2 4 11" xfId="42536"/>
    <cellStyle name="Nota 2 4 3 2 4 12" xfId="46568"/>
    <cellStyle name="Nota 2 4 3 2 4 13" xfId="50647"/>
    <cellStyle name="Nota 2 4 3 2 4 2" xfId="8262"/>
    <cellStyle name="Nota 2 4 3 2 4 2 10" xfId="44552"/>
    <cellStyle name="Nota 2 4 3 2 4 2 11" xfId="48584"/>
    <cellStyle name="Nota 2 4 3 2 4 2 12" xfId="52663"/>
    <cellStyle name="Nota 2 4 3 2 4 2 2" xfId="12296"/>
    <cellStyle name="Nota 2 4 3 2 4 2 3" xfId="16328"/>
    <cellStyle name="Nota 2 4 3 2 4 2 4" xfId="20360"/>
    <cellStyle name="Nota 2 4 3 2 4 2 5" xfId="24392"/>
    <cellStyle name="Nota 2 4 3 2 4 2 6" xfId="28424"/>
    <cellStyle name="Nota 2 4 3 2 4 2 7" xfId="32456"/>
    <cellStyle name="Nota 2 4 3 2 4 2 8" xfId="36488"/>
    <cellStyle name="Nota 2 4 3 2 4 2 9" xfId="40520"/>
    <cellStyle name="Nota 2 4 3 2 4 3" xfId="10280"/>
    <cellStyle name="Nota 2 4 3 2 4 4" xfId="14312"/>
    <cellStyle name="Nota 2 4 3 2 4 5" xfId="18344"/>
    <cellStyle name="Nota 2 4 3 2 4 6" xfId="22376"/>
    <cellStyle name="Nota 2 4 3 2 4 7" xfId="26408"/>
    <cellStyle name="Nota 2 4 3 2 4 8" xfId="30440"/>
    <cellStyle name="Nota 2 4 3 2 4 9" xfId="34472"/>
    <cellStyle name="Nota 2 4 3 2 5" xfId="357"/>
    <cellStyle name="Nota 2 4 3 2 5 10" xfId="37562"/>
    <cellStyle name="Nota 2 4 3 2 5 11" xfId="41594"/>
    <cellStyle name="Nota 2 4 3 2 5 12" xfId="45626"/>
    <cellStyle name="Nota 2 4 3 2 5 13" xfId="49704"/>
    <cellStyle name="Nota 2 4 3 2 5 2" xfId="7320"/>
    <cellStyle name="Nota 2 4 3 2 5 2 10" xfId="43610"/>
    <cellStyle name="Nota 2 4 3 2 5 2 11" xfId="47642"/>
    <cellStyle name="Nota 2 4 3 2 5 2 12" xfId="51721"/>
    <cellStyle name="Nota 2 4 3 2 5 2 2" xfId="11354"/>
    <cellStyle name="Nota 2 4 3 2 5 2 3" xfId="15386"/>
    <cellStyle name="Nota 2 4 3 2 5 2 4" xfId="19418"/>
    <cellStyle name="Nota 2 4 3 2 5 2 5" xfId="23450"/>
    <cellStyle name="Nota 2 4 3 2 5 2 6" xfId="27482"/>
    <cellStyle name="Nota 2 4 3 2 5 2 7" xfId="31514"/>
    <cellStyle name="Nota 2 4 3 2 5 2 8" xfId="35546"/>
    <cellStyle name="Nota 2 4 3 2 5 2 9" xfId="39578"/>
    <cellStyle name="Nota 2 4 3 2 5 3" xfId="9338"/>
    <cellStyle name="Nota 2 4 3 2 5 4" xfId="13370"/>
    <cellStyle name="Nota 2 4 3 2 5 5" xfId="17402"/>
    <cellStyle name="Nota 2 4 3 2 5 6" xfId="21434"/>
    <cellStyle name="Nota 2 4 3 2 5 7" xfId="25466"/>
    <cellStyle name="Nota 2 4 3 2 5 8" xfId="29498"/>
    <cellStyle name="Nota 2 4 3 2 5 9" xfId="33530"/>
    <cellStyle name="Nota 2 4 3 2 6" xfId="7197"/>
    <cellStyle name="Nota 2 4 3 2 6 10" xfId="43487"/>
    <cellStyle name="Nota 2 4 3 2 6 11" xfId="47519"/>
    <cellStyle name="Nota 2 4 3 2 6 12" xfId="51598"/>
    <cellStyle name="Nota 2 4 3 2 6 2" xfId="11231"/>
    <cellStyle name="Nota 2 4 3 2 6 3" xfId="15263"/>
    <cellStyle name="Nota 2 4 3 2 6 4" xfId="19295"/>
    <cellStyle name="Nota 2 4 3 2 6 5" xfId="23327"/>
    <cellStyle name="Nota 2 4 3 2 6 6" xfId="27359"/>
    <cellStyle name="Nota 2 4 3 2 6 7" xfId="31391"/>
    <cellStyle name="Nota 2 4 3 2 6 8" xfId="35423"/>
    <cellStyle name="Nota 2 4 3 2 6 9" xfId="39455"/>
    <cellStyle name="Nota 2 4 3 2 7" xfId="9215"/>
    <cellStyle name="Nota 2 4 3 2 8" xfId="13247"/>
    <cellStyle name="Nota 2 4 3 2 9" xfId="17279"/>
    <cellStyle name="Nota 2 4 3 20" xfId="33338"/>
    <cellStyle name="Nota 2 4 3 21" xfId="37370"/>
    <cellStyle name="Nota 2 4 3 22" xfId="41402"/>
    <cellStyle name="Nota 2 4 3 23" xfId="45434"/>
    <cellStyle name="Nota 2 4 3 24" xfId="49512"/>
    <cellStyle name="Nota 2 4 3 3" xfId="1667"/>
    <cellStyle name="Nota 2 4 3 3 10" xfId="33628"/>
    <cellStyle name="Nota 2 4 3 3 11" xfId="37660"/>
    <cellStyle name="Nota 2 4 3 3 12" xfId="41692"/>
    <cellStyle name="Nota 2 4 3 3 13" xfId="45724"/>
    <cellStyle name="Nota 2 4 3 3 14" xfId="49802"/>
    <cellStyle name="Nota 2 4 3 3 2" xfId="5343"/>
    <cellStyle name="Nota 2 4 3 3 2 10" xfId="38611"/>
    <cellStyle name="Nota 2 4 3 3 2 11" xfId="42643"/>
    <cellStyle name="Nota 2 4 3 3 2 12" xfId="46675"/>
    <cellStyle name="Nota 2 4 3 3 2 13" xfId="50754"/>
    <cellStyle name="Nota 2 4 3 3 2 2" xfId="8369"/>
    <cellStyle name="Nota 2 4 3 3 2 2 10" xfId="44659"/>
    <cellStyle name="Nota 2 4 3 3 2 2 11" xfId="48691"/>
    <cellStyle name="Nota 2 4 3 3 2 2 12" xfId="52770"/>
    <cellStyle name="Nota 2 4 3 3 2 2 2" xfId="12403"/>
    <cellStyle name="Nota 2 4 3 3 2 2 3" xfId="16435"/>
    <cellStyle name="Nota 2 4 3 3 2 2 4" xfId="20467"/>
    <cellStyle name="Nota 2 4 3 3 2 2 5" xfId="24499"/>
    <cellStyle name="Nota 2 4 3 3 2 2 6" xfId="28531"/>
    <cellStyle name="Nota 2 4 3 3 2 2 7" xfId="32563"/>
    <cellStyle name="Nota 2 4 3 3 2 2 8" xfId="36595"/>
    <cellStyle name="Nota 2 4 3 3 2 2 9" xfId="40627"/>
    <cellStyle name="Nota 2 4 3 3 2 3" xfId="10387"/>
    <cellStyle name="Nota 2 4 3 3 2 4" xfId="14419"/>
    <cellStyle name="Nota 2 4 3 3 2 5" xfId="18451"/>
    <cellStyle name="Nota 2 4 3 3 2 6" xfId="22483"/>
    <cellStyle name="Nota 2 4 3 3 2 7" xfId="26515"/>
    <cellStyle name="Nota 2 4 3 3 2 8" xfId="30547"/>
    <cellStyle name="Nota 2 4 3 3 2 9" xfId="34579"/>
    <cellStyle name="Nota 2 4 3 3 3" xfId="7418"/>
    <cellStyle name="Nota 2 4 3 3 3 10" xfId="43708"/>
    <cellStyle name="Nota 2 4 3 3 3 11" xfId="47740"/>
    <cellStyle name="Nota 2 4 3 3 3 12" xfId="51819"/>
    <cellStyle name="Nota 2 4 3 3 3 2" xfId="11452"/>
    <cellStyle name="Nota 2 4 3 3 3 3" xfId="15484"/>
    <cellStyle name="Nota 2 4 3 3 3 4" xfId="19516"/>
    <cellStyle name="Nota 2 4 3 3 3 5" xfId="23548"/>
    <cellStyle name="Nota 2 4 3 3 3 6" xfId="27580"/>
    <cellStyle name="Nota 2 4 3 3 3 7" xfId="31612"/>
    <cellStyle name="Nota 2 4 3 3 3 8" xfId="35644"/>
    <cellStyle name="Nota 2 4 3 3 3 9" xfId="39676"/>
    <cellStyle name="Nota 2 4 3 3 4" xfId="9436"/>
    <cellStyle name="Nota 2 4 3 3 5" xfId="13468"/>
    <cellStyle name="Nota 2 4 3 3 6" xfId="17500"/>
    <cellStyle name="Nota 2 4 3 3 7" xfId="21532"/>
    <cellStyle name="Nota 2 4 3 3 8" xfId="25564"/>
    <cellStyle name="Nota 2 4 3 3 9" xfId="29596"/>
    <cellStyle name="Nota 2 4 3 4" xfId="1741"/>
    <cellStyle name="Nota 2 4 3 4 10" xfId="33697"/>
    <cellStyle name="Nota 2 4 3 4 11" xfId="37729"/>
    <cellStyle name="Nota 2 4 3 4 12" xfId="41761"/>
    <cellStyle name="Nota 2 4 3 4 13" xfId="45793"/>
    <cellStyle name="Nota 2 4 3 4 14" xfId="49871"/>
    <cellStyle name="Nota 2 4 3 4 2" xfId="5412"/>
    <cellStyle name="Nota 2 4 3 4 2 10" xfId="38680"/>
    <cellStyle name="Nota 2 4 3 4 2 11" xfId="42712"/>
    <cellStyle name="Nota 2 4 3 4 2 12" xfId="46744"/>
    <cellStyle name="Nota 2 4 3 4 2 13" xfId="50823"/>
    <cellStyle name="Nota 2 4 3 4 2 2" xfId="8438"/>
    <cellStyle name="Nota 2 4 3 4 2 2 10" xfId="44728"/>
    <cellStyle name="Nota 2 4 3 4 2 2 11" xfId="48760"/>
    <cellStyle name="Nota 2 4 3 4 2 2 12" xfId="52839"/>
    <cellStyle name="Nota 2 4 3 4 2 2 2" xfId="12472"/>
    <cellStyle name="Nota 2 4 3 4 2 2 3" xfId="16504"/>
    <cellStyle name="Nota 2 4 3 4 2 2 4" xfId="20536"/>
    <cellStyle name="Nota 2 4 3 4 2 2 5" xfId="24568"/>
    <cellStyle name="Nota 2 4 3 4 2 2 6" xfId="28600"/>
    <cellStyle name="Nota 2 4 3 4 2 2 7" xfId="32632"/>
    <cellStyle name="Nota 2 4 3 4 2 2 8" xfId="36664"/>
    <cellStyle name="Nota 2 4 3 4 2 2 9" xfId="40696"/>
    <cellStyle name="Nota 2 4 3 4 2 3" xfId="10456"/>
    <cellStyle name="Nota 2 4 3 4 2 4" xfId="14488"/>
    <cellStyle name="Nota 2 4 3 4 2 5" xfId="18520"/>
    <cellStyle name="Nota 2 4 3 4 2 6" xfId="22552"/>
    <cellStyle name="Nota 2 4 3 4 2 7" xfId="26584"/>
    <cellStyle name="Nota 2 4 3 4 2 8" xfId="30616"/>
    <cellStyle name="Nota 2 4 3 4 2 9" xfId="34648"/>
    <cellStyle name="Nota 2 4 3 4 3" xfId="7487"/>
    <cellStyle name="Nota 2 4 3 4 3 10" xfId="43777"/>
    <cellStyle name="Nota 2 4 3 4 3 11" xfId="47809"/>
    <cellStyle name="Nota 2 4 3 4 3 12" xfId="51888"/>
    <cellStyle name="Nota 2 4 3 4 3 2" xfId="11521"/>
    <cellStyle name="Nota 2 4 3 4 3 3" xfId="15553"/>
    <cellStyle name="Nota 2 4 3 4 3 4" xfId="19585"/>
    <cellStyle name="Nota 2 4 3 4 3 5" xfId="23617"/>
    <cellStyle name="Nota 2 4 3 4 3 6" xfId="27649"/>
    <cellStyle name="Nota 2 4 3 4 3 7" xfId="31681"/>
    <cellStyle name="Nota 2 4 3 4 3 8" xfId="35713"/>
    <cellStyle name="Nota 2 4 3 4 3 9" xfId="39745"/>
    <cellStyle name="Nota 2 4 3 4 4" xfId="9505"/>
    <cellStyle name="Nota 2 4 3 4 5" xfId="13537"/>
    <cellStyle name="Nota 2 4 3 4 6" xfId="17569"/>
    <cellStyle name="Nota 2 4 3 4 7" xfId="21601"/>
    <cellStyle name="Nota 2 4 3 4 8" xfId="25633"/>
    <cellStyle name="Nota 2 4 3 4 9" xfId="29665"/>
    <cellStyle name="Nota 2 4 3 5" xfId="4063"/>
    <cellStyle name="Nota 2 4 3 5 10" xfId="33920"/>
    <cellStyle name="Nota 2 4 3 5 11" xfId="37952"/>
    <cellStyle name="Nota 2 4 3 5 12" xfId="41984"/>
    <cellStyle name="Nota 2 4 3 5 13" xfId="46016"/>
    <cellStyle name="Nota 2 4 3 5 14" xfId="50094"/>
    <cellStyle name="Nota 2 4 3 5 2" xfId="6645"/>
    <cellStyle name="Nota 2 4 3 5 2 10" xfId="38903"/>
    <cellStyle name="Nota 2 4 3 5 2 11" xfId="42935"/>
    <cellStyle name="Nota 2 4 3 5 2 12" xfId="46967"/>
    <cellStyle name="Nota 2 4 3 5 2 13" xfId="51046"/>
    <cellStyle name="Nota 2 4 3 5 2 2" xfId="8661"/>
    <cellStyle name="Nota 2 4 3 5 2 2 10" xfId="44951"/>
    <cellStyle name="Nota 2 4 3 5 2 2 11" xfId="48983"/>
    <cellStyle name="Nota 2 4 3 5 2 2 12" xfId="53062"/>
    <cellStyle name="Nota 2 4 3 5 2 2 2" xfId="12695"/>
    <cellStyle name="Nota 2 4 3 5 2 2 3" xfId="16727"/>
    <cellStyle name="Nota 2 4 3 5 2 2 4" xfId="20759"/>
    <cellStyle name="Nota 2 4 3 5 2 2 5" xfId="24791"/>
    <cellStyle name="Nota 2 4 3 5 2 2 6" xfId="28823"/>
    <cellStyle name="Nota 2 4 3 5 2 2 7" xfId="32855"/>
    <cellStyle name="Nota 2 4 3 5 2 2 8" xfId="36887"/>
    <cellStyle name="Nota 2 4 3 5 2 2 9" xfId="40919"/>
    <cellStyle name="Nota 2 4 3 5 2 3" xfId="10679"/>
    <cellStyle name="Nota 2 4 3 5 2 4" xfId="14711"/>
    <cellStyle name="Nota 2 4 3 5 2 5" xfId="18743"/>
    <cellStyle name="Nota 2 4 3 5 2 6" xfId="22775"/>
    <cellStyle name="Nota 2 4 3 5 2 7" xfId="26807"/>
    <cellStyle name="Nota 2 4 3 5 2 8" xfId="30839"/>
    <cellStyle name="Nota 2 4 3 5 2 9" xfId="34871"/>
    <cellStyle name="Nota 2 4 3 5 3" xfId="7710"/>
    <cellStyle name="Nota 2 4 3 5 3 10" xfId="44000"/>
    <cellStyle name="Nota 2 4 3 5 3 11" xfId="48032"/>
    <cellStyle name="Nota 2 4 3 5 3 12" xfId="52111"/>
    <cellStyle name="Nota 2 4 3 5 3 2" xfId="11744"/>
    <cellStyle name="Nota 2 4 3 5 3 3" xfId="15776"/>
    <cellStyle name="Nota 2 4 3 5 3 4" xfId="19808"/>
    <cellStyle name="Nota 2 4 3 5 3 5" xfId="23840"/>
    <cellStyle name="Nota 2 4 3 5 3 6" xfId="27872"/>
    <cellStyle name="Nota 2 4 3 5 3 7" xfId="31904"/>
    <cellStyle name="Nota 2 4 3 5 3 8" xfId="35936"/>
    <cellStyle name="Nota 2 4 3 5 3 9" xfId="39968"/>
    <cellStyle name="Nota 2 4 3 5 4" xfId="9728"/>
    <cellStyle name="Nota 2 4 3 5 5" xfId="13760"/>
    <cellStyle name="Nota 2 4 3 5 6" xfId="17792"/>
    <cellStyle name="Nota 2 4 3 5 7" xfId="21824"/>
    <cellStyle name="Nota 2 4 3 5 8" xfId="25856"/>
    <cellStyle name="Nota 2 4 3 5 9" xfId="29888"/>
    <cellStyle name="Nota 2 4 3 6" xfId="4133"/>
    <cellStyle name="Nota 2 4 3 6 10" xfId="33989"/>
    <cellStyle name="Nota 2 4 3 6 11" xfId="38021"/>
    <cellStyle name="Nota 2 4 3 6 12" xfId="42053"/>
    <cellStyle name="Nota 2 4 3 6 13" xfId="46085"/>
    <cellStyle name="Nota 2 4 3 6 14" xfId="50163"/>
    <cellStyle name="Nota 2 4 3 6 2" xfId="6714"/>
    <cellStyle name="Nota 2 4 3 6 2 10" xfId="38972"/>
    <cellStyle name="Nota 2 4 3 6 2 11" xfId="43004"/>
    <cellStyle name="Nota 2 4 3 6 2 12" xfId="47036"/>
    <cellStyle name="Nota 2 4 3 6 2 13" xfId="51115"/>
    <cellStyle name="Nota 2 4 3 6 2 2" xfId="8730"/>
    <cellStyle name="Nota 2 4 3 6 2 2 10" xfId="45020"/>
    <cellStyle name="Nota 2 4 3 6 2 2 11" xfId="49052"/>
    <cellStyle name="Nota 2 4 3 6 2 2 12" xfId="53131"/>
    <cellStyle name="Nota 2 4 3 6 2 2 2" xfId="12764"/>
    <cellStyle name="Nota 2 4 3 6 2 2 3" xfId="16796"/>
    <cellStyle name="Nota 2 4 3 6 2 2 4" xfId="20828"/>
    <cellStyle name="Nota 2 4 3 6 2 2 5" xfId="24860"/>
    <cellStyle name="Nota 2 4 3 6 2 2 6" xfId="28892"/>
    <cellStyle name="Nota 2 4 3 6 2 2 7" xfId="32924"/>
    <cellStyle name="Nota 2 4 3 6 2 2 8" xfId="36956"/>
    <cellStyle name="Nota 2 4 3 6 2 2 9" xfId="40988"/>
    <cellStyle name="Nota 2 4 3 6 2 3" xfId="10748"/>
    <cellStyle name="Nota 2 4 3 6 2 4" xfId="14780"/>
    <cellStyle name="Nota 2 4 3 6 2 5" xfId="18812"/>
    <cellStyle name="Nota 2 4 3 6 2 6" xfId="22844"/>
    <cellStyle name="Nota 2 4 3 6 2 7" xfId="26876"/>
    <cellStyle name="Nota 2 4 3 6 2 8" xfId="30908"/>
    <cellStyle name="Nota 2 4 3 6 2 9" xfId="34940"/>
    <cellStyle name="Nota 2 4 3 6 3" xfId="7779"/>
    <cellStyle name="Nota 2 4 3 6 3 10" xfId="44069"/>
    <cellStyle name="Nota 2 4 3 6 3 11" xfId="48101"/>
    <cellStyle name="Nota 2 4 3 6 3 12" xfId="52180"/>
    <cellStyle name="Nota 2 4 3 6 3 2" xfId="11813"/>
    <cellStyle name="Nota 2 4 3 6 3 3" xfId="15845"/>
    <cellStyle name="Nota 2 4 3 6 3 4" xfId="19877"/>
    <cellStyle name="Nota 2 4 3 6 3 5" xfId="23909"/>
    <cellStyle name="Nota 2 4 3 6 3 6" xfId="27941"/>
    <cellStyle name="Nota 2 4 3 6 3 7" xfId="31973"/>
    <cellStyle name="Nota 2 4 3 6 3 8" xfId="36005"/>
    <cellStyle name="Nota 2 4 3 6 3 9" xfId="40037"/>
    <cellStyle name="Nota 2 4 3 6 4" xfId="9797"/>
    <cellStyle name="Nota 2 4 3 6 5" xfId="13829"/>
    <cellStyle name="Nota 2 4 3 6 6" xfId="17861"/>
    <cellStyle name="Nota 2 4 3 6 7" xfId="21893"/>
    <cellStyle name="Nota 2 4 3 6 8" xfId="25925"/>
    <cellStyle name="Nota 2 4 3 6 9" xfId="29957"/>
    <cellStyle name="Nota 2 4 3 7" xfId="4202"/>
    <cellStyle name="Nota 2 4 3 7 10" xfId="34058"/>
    <cellStyle name="Nota 2 4 3 7 11" xfId="38090"/>
    <cellStyle name="Nota 2 4 3 7 12" xfId="42122"/>
    <cellStyle name="Nota 2 4 3 7 13" xfId="46154"/>
    <cellStyle name="Nota 2 4 3 7 14" xfId="50232"/>
    <cellStyle name="Nota 2 4 3 7 2" xfId="6783"/>
    <cellStyle name="Nota 2 4 3 7 2 10" xfId="39041"/>
    <cellStyle name="Nota 2 4 3 7 2 11" xfId="43073"/>
    <cellStyle name="Nota 2 4 3 7 2 12" xfId="47105"/>
    <cellStyle name="Nota 2 4 3 7 2 13" xfId="51184"/>
    <cellStyle name="Nota 2 4 3 7 2 2" xfId="8799"/>
    <cellStyle name="Nota 2 4 3 7 2 2 10" xfId="45089"/>
    <cellStyle name="Nota 2 4 3 7 2 2 11" xfId="49121"/>
    <cellStyle name="Nota 2 4 3 7 2 2 12" xfId="53200"/>
    <cellStyle name="Nota 2 4 3 7 2 2 2" xfId="12833"/>
    <cellStyle name="Nota 2 4 3 7 2 2 3" xfId="16865"/>
    <cellStyle name="Nota 2 4 3 7 2 2 4" xfId="20897"/>
    <cellStyle name="Nota 2 4 3 7 2 2 5" xfId="24929"/>
    <cellStyle name="Nota 2 4 3 7 2 2 6" xfId="28961"/>
    <cellStyle name="Nota 2 4 3 7 2 2 7" xfId="32993"/>
    <cellStyle name="Nota 2 4 3 7 2 2 8" xfId="37025"/>
    <cellStyle name="Nota 2 4 3 7 2 2 9" xfId="41057"/>
    <cellStyle name="Nota 2 4 3 7 2 3" xfId="10817"/>
    <cellStyle name="Nota 2 4 3 7 2 4" xfId="14849"/>
    <cellStyle name="Nota 2 4 3 7 2 5" xfId="18881"/>
    <cellStyle name="Nota 2 4 3 7 2 6" xfId="22913"/>
    <cellStyle name="Nota 2 4 3 7 2 7" xfId="26945"/>
    <cellStyle name="Nota 2 4 3 7 2 8" xfId="30977"/>
    <cellStyle name="Nota 2 4 3 7 2 9" xfId="35009"/>
    <cellStyle name="Nota 2 4 3 7 3" xfId="7848"/>
    <cellStyle name="Nota 2 4 3 7 3 10" xfId="44138"/>
    <cellStyle name="Nota 2 4 3 7 3 11" xfId="48170"/>
    <cellStyle name="Nota 2 4 3 7 3 12" xfId="52249"/>
    <cellStyle name="Nota 2 4 3 7 3 2" xfId="11882"/>
    <cellStyle name="Nota 2 4 3 7 3 3" xfId="15914"/>
    <cellStyle name="Nota 2 4 3 7 3 4" xfId="19946"/>
    <cellStyle name="Nota 2 4 3 7 3 5" xfId="23978"/>
    <cellStyle name="Nota 2 4 3 7 3 6" xfId="28010"/>
    <cellStyle name="Nota 2 4 3 7 3 7" xfId="32042"/>
    <cellStyle name="Nota 2 4 3 7 3 8" xfId="36074"/>
    <cellStyle name="Nota 2 4 3 7 3 9" xfId="40106"/>
    <cellStyle name="Nota 2 4 3 7 4" xfId="9866"/>
    <cellStyle name="Nota 2 4 3 7 5" xfId="13898"/>
    <cellStyle name="Nota 2 4 3 7 6" xfId="17930"/>
    <cellStyle name="Nota 2 4 3 7 7" xfId="21962"/>
    <cellStyle name="Nota 2 4 3 7 8" xfId="25994"/>
    <cellStyle name="Nota 2 4 3 7 9" xfId="30026"/>
    <cellStyle name="Nota 2 4 3 8" xfId="4275"/>
    <cellStyle name="Nota 2 4 3 8 10" xfId="34127"/>
    <cellStyle name="Nota 2 4 3 8 11" xfId="38159"/>
    <cellStyle name="Nota 2 4 3 8 12" xfId="42191"/>
    <cellStyle name="Nota 2 4 3 8 13" xfId="46223"/>
    <cellStyle name="Nota 2 4 3 8 14" xfId="50301"/>
    <cellStyle name="Nota 2 4 3 8 2" xfId="6852"/>
    <cellStyle name="Nota 2 4 3 8 2 10" xfId="39110"/>
    <cellStyle name="Nota 2 4 3 8 2 11" xfId="43142"/>
    <cellStyle name="Nota 2 4 3 8 2 12" xfId="47174"/>
    <cellStyle name="Nota 2 4 3 8 2 13" xfId="51253"/>
    <cellStyle name="Nota 2 4 3 8 2 2" xfId="8868"/>
    <cellStyle name="Nota 2 4 3 8 2 2 10" xfId="45158"/>
    <cellStyle name="Nota 2 4 3 8 2 2 11" xfId="49190"/>
    <cellStyle name="Nota 2 4 3 8 2 2 12" xfId="53269"/>
    <cellStyle name="Nota 2 4 3 8 2 2 2" xfId="12902"/>
    <cellStyle name="Nota 2 4 3 8 2 2 3" xfId="16934"/>
    <cellStyle name="Nota 2 4 3 8 2 2 4" xfId="20966"/>
    <cellStyle name="Nota 2 4 3 8 2 2 5" xfId="24998"/>
    <cellStyle name="Nota 2 4 3 8 2 2 6" xfId="29030"/>
    <cellStyle name="Nota 2 4 3 8 2 2 7" xfId="33062"/>
    <cellStyle name="Nota 2 4 3 8 2 2 8" xfId="37094"/>
    <cellStyle name="Nota 2 4 3 8 2 2 9" xfId="41126"/>
    <cellStyle name="Nota 2 4 3 8 2 3" xfId="10886"/>
    <cellStyle name="Nota 2 4 3 8 2 4" xfId="14918"/>
    <cellStyle name="Nota 2 4 3 8 2 5" xfId="18950"/>
    <cellStyle name="Nota 2 4 3 8 2 6" xfId="22982"/>
    <cellStyle name="Nota 2 4 3 8 2 7" xfId="27014"/>
    <cellStyle name="Nota 2 4 3 8 2 8" xfId="31046"/>
    <cellStyle name="Nota 2 4 3 8 2 9" xfId="35078"/>
    <cellStyle name="Nota 2 4 3 8 3" xfId="7917"/>
    <cellStyle name="Nota 2 4 3 8 3 10" xfId="44207"/>
    <cellStyle name="Nota 2 4 3 8 3 11" xfId="48239"/>
    <cellStyle name="Nota 2 4 3 8 3 12" xfId="52318"/>
    <cellStyle name="Nota 2 4 3 8 3 2" xfId="11951"/>
    <cellStyle name="Nota 2 4 3 8 3 3" xfId="15983"/>
    <cellStyle name="Nota 2 4 3 8 3 4" xfId="20015"/>
    <cellStyle name="Nota 2 4 3 8 3 5" xfId="24047"/>
    <cellStyle name="Nota 2 4 3 8 3 6" xfId="28079"/>
    <cellStyle name="Nota 2 4 3 8 3 7" xfId="32111"/>
    <cellStyle name="Nota 2 4 3 8 3 8" xfId="36143"/>
    <cellStyle name="Nota 2 4 3 8 3 9" xfId="40175"/>
    <cellStyle name="Nota 2 4 3 8 4" xfId="9935"/>
    <cellStyle name="Nota 2 4 3 8 5" xfId="13967"/>
    <cellStyle name="Nota 2 4 3 8 6" xfId="17999"/>
    <cellStyle name="Nota 2 4 3 8 7" xfId="22031"/>
    <cellStyle name="Nota 2 4 3 8 8" xfId="26063"/>
    <cellStyle name="Nota 2 4 3 8 9" xfId="30095"/>
    <cellStyle name="Nota 2 4 3 9" xfId="4421"/>
    <cellStyle name="Nota 2 4 3 9 10" xfId="34265"/>
    <cellStyle name="Nota 2 4 3 9 11" xfId="38297"/>
    <cellStyle name="Nota 2 4 3 9 12" xfId="42329"/>
    <cellStyle name="Nota 2 4 3 9 13" xfId="46361"/>
    <cellStyle name="Nota 2 4 3 9 14" xfId="50440"/>
    <cellStyle name="Nota 2 4 3 9 2" xfId="6990"/>
    <cellStyle name="Nota 2 4 3 9 2 10" xfId="39248"/>
    <cellStyle name="Nota 2 4 3 9 2 11" xfId="43280"/>
    <cellStyle name="Nota 2 4 3 9 2 12" xfId="47312"/>
    <cellStyle name="Nota 2 4 3 9 2 13" xfId="51391"/>
    <cellStyle name="Nota 2 4 3 9 2 2" xfId="9006"/>
    <cellStyle name="Nota 2 4 3 9 2 2 10" xfId="45296"/>
    <cellStyle name="Nota 2 4 3 9 2 2 11" xfId="49328"/>
    <cellStyle name="Nota 2 4 3 9 2 2 12" xfId="53407"/>
    <cellStyle name="Nota 2 4 3 9 2 2 2" xfId="13040"/>
    <cellStyle name="Nota 2 4 3 9 2 2 3" xfId="17072"/>
    <cellStyle name="Nota 2 4 3 9 2 2 4" xfId="21104"/>
    <cellStyle name="Nota 2 4 3 9 2 2 5" xfId="25136"/>
    <cellStyle name="Nota 2 4 3 9 2 2 6" xfId="29168"/>
    <cellStyle name="Nota 2 4 3 9 2 2 7" xfId="33200"/>
    <cellStyle name="Nota 2 4 3 9 2 2 8" xfId="37232"/>
    <cellStyle name="Nota 2 4 3 9 2 2 9" xfId="41264"/>
    <cellStyle name="Nota 2 4 3 9 2 3" xfId="11024"/>
    <cellStyle name="Nota 2 4 3 9 2 4" xfId="15056"/>
    <cellStyle name="Nota 2 4 3 9 2 5" xfId="19088"/>
    <cellStyle name="Nota 2 4 3 9 2 6" xfId="23120"/>
    <cellStyle name="Nota 2 4 3 9 2 7" xfId="27152"/>
    <cellStyle name="Nota 2 4 3 9 2 8" xfId="31184"/>
    <cellStyle name="Nota 2 4 3 9 2 9" xfId="35216"/>
    <cellStyle name="Nota 2 4 3 9 3" xfId="8055"/>
    <cellStyle name="Nota 2 4 3 9 3 10" xfId="44345"/>
    <cellStyle name="Nota 2 4 3 9 3 11" xfId="48377"/>
    <cellStyle name="Nota 2 4 3 9 3 12" xfId="52456"/>
    <cellStyle name="Nota 2 4 3 9 3 2" xfId="12089"/>
    <cellStyle name="Nota 2 4 3 9 3 3" xfId="16121"/>
    <cellStyle name="Nota 2 4 3 9 3 4" xfId="20153"/>
    <cellStyle name="Nota 2 4 3 9 3 5" xfId="24185"/>
    <cellStyle name="Nota 2 4 3 9 3 6" xfId="28217"/>
    <cellStyle name="Nota 2 4 3 9 3 7" xfId="32249"/>
    <cellStyle name="Nota 2 4 3 9 3 8" xfId="36281"/>
    <cellStyle name="Nota 2 4 3 9 3 9" xfId="40313"/>
    <cellStyle name="Nota 2 4 3 9 4" xfId="10073"/>
    <cellStyle name="Nota 2 4 3 9 5" xfId="14105"/>
    <cellStyle name="Nota 2 4 3 9 6" xfId="18137"/>
    <cellStyle name="Nota 2 4 3 9 7" xfId="22169"/>
    <cellStyle name="Nota 2 4 3 9 8" xfId="26201"/>
    <cellStyle name="Nota 2 4 3 9 9" xfId="30233"/>
    <cellStyle name="Nota 2 4 4" xfId="60"/>
    <cellStyle name="Nota 2 4 4 10" xfId="338"/>
    <cellStyle name="Nota 2 4 4 10 10" xfId="37543"/>
    <cellStyle name="Nota 2 4 4 10 11" xfId="41575"/>
    <cellStyle name="Nota 2 4 4 10 12" xfId="45607"/>
    <cellStyle name="Nota 2 4 4 10 13" xfId="49685"/>
    <cellStyle name="Nota 2 4 4 10 2" xfId="7301"/>
    <cellStyle name="Nota 2 4 4 10 2 10" xfId="43591"/>
    <cellStyle name="Nota 2 4 4 10 2 11" xfId="47623"/>
    <cellStyle name="Nota 2 4 4 10 2 12" xfId="51702"/>
    <cellStyle name="Nota 2 4 4 10 2 2" xfId="11335"/>
    <cellStyle name="Nota 2 4 4 10 2 3" xfId="15367"/>
    <cellStyle name="Nota 2 4 4 10 2 4" xfId="19399"/>
    <cellStyle name="Nota 2 4 4 10 2 5" xfId="23431"/>
    <cellStyle name="Nota 2 4 4 10 2 6" xfId="27463"/>
    <cellStyle name="Nota 2 4 4 10 2 7" xfId="31495"/>
    <cellStyle name="Nota 2 4 4 10 2 8" xfId="35527"/>
    <cellStyle name="Nota 2 4 4 10 2 9" xfId="39559"/>
    <cellStyle name="Nota 2 4 4 10 3" xfId="9319"/>
    <cellStyle name="Nota 2 4 4 10 4" xfId="13351"/>
    <cellStyle name="Nota 2 4 4 10 5" xfId="17383"/>
    <cellStyle name="Nota 2 4 4 10 6" xfId="21415"/>
    <cellStyle name="Nota 2 4 4 10 7" xfId="25447"/>
    <cellStyle name="Nota 2 4 4 10 8" xfId="29479"/>
    <cellStyle name="Nota 2 4 4 10 9" xfId="33511"/>
    <cellStyle name="Nota 2 4 4 11" xfId="7109"/>
    <cellStyle name="Nota 2 4 4 11 10" xfId="43399"/>
    <cellStyle name="Nota 2 4 4 11 11" xfId="47431"/>
    <cellStyle name="Nota 2 4 4 11 12" xfId="51510"/>
    <cellStyle name="Nota 2 4 4 11 2" xfId="11143"/>
    <cellStyle name="Nota 2 4 4 11 3" xfId="15175"/>
    <cellStyle name="Nota 2 4 4 11 4" xfId="19207"/>
    <cellStyle name="Nota 2 4 4 11 5" xfId="23239"/>
    <cellStyle name="Nota 2 4 4 11 6" xfId="27271"/>
    <cellStyle name="Nota 2 4 4 11 7" xfId="31303"/>
    <cellStyle name="Nota 2 4 4 11 8" xfId="35335"/>
    <cellStyle name="Nota 2 4 4 11 9" xfId="39367"/>
    <cellStyle name="Nota 2 4 4 12" xfId="135"/>
    <cellStyle name="Nota 2 4 4 13" xfId="9127"/>
    <cellStyle name="Nota 2 4 4 14" xfId="13159"/>
    <cellStyle name="Nota 2 4 4 15" xfId="17191"/>
    <cellStyle name="Nota 2 4 4 16" xfId="21223"/>
    <cellStyle name="Nota 2 4 4 17" xfId="25255"/>
    <cellStyle name="Nota 2 4 4 18" xfId="29287"/>
    <cellStyle name="Nota 2 4 4 19" xfId="33319"/>
    <cellStyle name="Nota 2 4 4 2" xfId="214"/>
    <cellStyle name="Nota 2 4 4 2 10" xfId="21292"/>
    <cellStyle name="Nota 2 4 4 2 11" xfId="25324"/>
    <cellStyle name="Nota 2 4 4 2 12" xfId="29356"/>
    <cellStyle name="Nota 2 4 4 2 13" xfId="33388"/>
    <cellStyle name="Nota 2 4 4 2 14" xfId="37420"/>
    <cellStyle name="Nota 2 4 4 2 15" xfId="41452"/>
    <cellStyle name="Nota 2 4 4 2 16" xfId="45484"/>
    <cellStyle name="Nota 2 4 4 2 17" xfId="49562"/>
    <cellStyle name="Nota 2 4 4 2 2" xfId="4332"/>
    <cellStyle name="Nota 2 4 4 2 2 10" xfId="34177"/>
    <cellStyle name="Nota 2 4 4 2 2 11" xfId="38209"/>
    <cellStyle name="Nota 2 4 4 2 2 12" xfId="42241"/>
    <cellStyle name="Nota 2 4 4 2 2 13" xfId="46273"/>
    <cellStyle name="Nota 2 4 4 2 2 14" xfId="50352"/>
    <cellStyle name="Nota 2 4 4 2 2 2" xfId="6902"/>
    <cellStyle name="Nota 2 4 4 2 2 2 10" xfId="39160"/>
    <cellStyle name="Nota 2 4 4 2 2 2 11" xfId="43192"/>
    <cellStyle name="Nota 2 4 4 2 2 2 12" xfId="47224"/>
    <cellStyle name="Nota 2 4 4 2 2 2 13" xfId="51303"/>
    <cellStyle name="Nota 2 4 4 2 2 2 2" xfId="8918"/>
    <cellStyle name="Nota 2 4 4 2 2 2 2 10" xfId="45208"/>
    <cellStyle name="Nota 2 4 4 2 2 2 2 11" xfId="49240"/>
    <cellStyle name="Nota 2 4 4 2 2 2 2 12" xfId="53319"/>
    <cellStyle name="Nota 2 4 4 2 2 2 2 2" xfId="12952"/>
    <cellStyle name="Nota 2 4 4 2 2 2 2 3" xfId="16984"/>
    <cellStyle name="Nota 2 4 4 2 2 2 2 4" xfId="21016"/>
    <cellStyle name="Nota 2 4 4 2 2 2 2 5" xfId="25048"/>
    <cellStyle name="Nota 2 4 4 2 2 2 2 6" xfId="29080"/>
    <cellStyle name="Nota 2 4 4 2 2 2 2 7" xfId="33112"/>
    <cellStyle name="Nota 2 4 4 2 2 2 2 8" xfId="37144"/>
    <cellStyle name="Nota 2 4 4 2 2 2 2 9" xfId="41176"/>
    <cellStyle name="Nota 2 4 4 2 2 2 3" xfId="10936"/>
    <cellStyle name="Nota 2 4 4 2 2 2 4" xfId="14968"/>
    <cellStyle name="Nota 2 4 4 2 2 2 5" xfId="19000"/>
    <cellStyle name="Nota 2 4 4 2 2 2 6" xfId="23032"/>
    <cellStyle name="Nota 2 4 4 2 2 2 7" xfId="27064"/>
    <cellStyle name="Nota 2 4 4 2 2 2 8" xfId="31096"/>
    <cellStyle name="Nota 2 4 4 2 2 2 9" xfId="35128"/>
    <cellStyle name="Nota 2 4 4 2 2 3" xfId="7967"/>
    <cellStyle name="Nota 2 4 4 2 2 3 10" xfId="44257"/>
    <cellStyle name="Nota 2 4 4 2 2 3 11" xfId="48289"/>
    <cellStyle name="Nota 2 4 4 2 2 3 12" xfId="52368"/>
    <cellStyle name="Nota 2 4 4 2 2 3 2" xfId="12001"/>
    <cellStyle name="Nota 2 4 4 2 2 3 3" xfId="16033"/>
    <cellStyle name="Nota 2 4 4 2 2 3 4" xfId="20065"/>
    <cellStyle name="Nota 2 4 4 2 2 3 5" xfId="24097"/>
    <cellStyle name="Nota 2 4 4 2 2 3 6" xfId="28129"/>
    <cellStyle name="Nota 2 4 4 2 2 3 7" xfId="32161"/>
    <cellStyle name="Nota 2 4 4 2 2 3 8" xfId="36193"/>
    <cellStyle name="Nota 2 4 4 2 2 3 9" xfId="40225"/>
    <cellStyle name="Nota 2 4 4 2 2 4" xfId="9985"/>
    <cellStyle name="Nota 2 4 4 2 2 5" xfId="14017"/>
    <cellStyle name="Nota 2 4 4 2 2 6" xfId="18049"/>
    <cellStyle name="Nota 2 4 4 2 2 7" xfId="22081"/>
    <cellStyle name="Nota 2 4 4 2 2 8" xfId="26113"/>
    <cellStyle name="Nota 2 4 4 2 2 9" xfId="30145"/>
    <cellStyle name="Nota 2 4 4 2 3" xfId="4471"/>
    <cellStyle name="Nota 2 4 4 2 3 10" xfId="34315"/>
    <cellStyle name="Nota 2 4 4 2 3 11" xfId="38347"/>
    <cellStyle name="Nota 2 4 4 2 3 12" xfId="42379"/>
    <cellStyle name="Nota 2 4 4 2 3 13" xfId="46411"/>
    <cellStyle name="Nota 2 4 4 2 3 14" xfId="50490"/>
    <cellStyle name="Nota 2 4 4 2 3 2" xfId="7040"/>
    <cellStyle name="Nota 2 4 4 2 3 2 10" xfId="39298"/>
    <cellStyle name="Nota 2 4 4 2 3 2 11" xfId="43330"/>
    <cellStyle name="Nota 2 4 4 2 3 2 12" xfId="47362"/>
    <cellStyle name="Nota 2 4 4 2 3 2 13" xfId="51441"/>
    <cellStyle name="Nota 2 4 4 2 3 2 2" xfId="9056"/>
    <cellStyle name="Nota 2 4 4 2 3 2 2 10" xfId="45346"/>
    <cellStyle name="Nota 2 4 4 2 3 2 2 11" xfId="49378"/>
    <cellStyle name="Nota 2 4 4 2 3 2 2 12" xfId="53457"/>
    <cellStyle name="Nota 2 4 4 2 3 2 2 2" xfId="13090"/>
    <cellStyle name="Nota 2 4 4 2 3 2 2 3" xfId="17122"/>
    <cellStyle name="Nota 2 4 4 2 3 2 2 4" xfId="21154"/>
    <cellStyle name="Nota 2 4 4 2 3 2 2 5" xfId="25186"/>
    <cellStyle name="Nota 2 4 4 2 3 2 2 6" xfId="29218"/>
    <cellStyle name="Nota 2 4 4 2 3 2 2 7" xfId="33250"/>
    <cellStyle name="Nota 2 4 4 2 3 2 2 8" xfId="37282"/>
    <cellStyle name="Nota 2 4 4 2 3 2 2 9" xfId="41314"/>
    <cellStyle name="Nota 2 4 4 2 3 2 3" xfId="11074"/>
    <cellStyle name="Nota 2 4 4 2 3 2 4" xfId="15106"/>
    <cellStyle name="Nota 2 4 4 2 3 2 5" xfId="19138"/>
    <cellStyle name="Nota 2 4 4 2 3 2 6" xfId="23170"/>
    <cellStyle name="Nota 2 4 4 2 3 2 7" xfId="27202"/>
    <cellStyle name="Nota 2 4 4 2 3 2 8" xfId="31234"/>
    <cellStyle name="Nota 2 4 4 2 3 2 9" xfId="35266"/>
    <cellStyle name="Nota 2 4 4 2 3 3" xfId="8105"/>
    <cellStyle name="Nota 2 4 4 2 3 3 10" xfId="44395"/>
    <cellStyle name="Nota 2 4 4 2 3 3 11" xfId="48427"/>
    <cellStyle name="Nota 2 4 4 2 3 3 12" xfId="52506"/>
    <cellStyle name="Nota 2 4 4 2 3 3 2" xfId="12139"/>
    <cellStyle name="Nota 2 4 4 2 3 3 3" xfId="16171"/>
    <cellStyle name="Nota 2 4 4 2 3 3 4" xfId="20203"/>
    <cellStyle name="Nota 2 4 4 2 3 3 5" xfId="24235"/>
    <cellStyle name="Nota 2 4 4 2 3 3 6" xfId="28267"/>
    <cellStyle name="Nota 2 4 4 2 3 3 7" xfId="32299"/>
    <cellStyle name="Nota 2 4 4 2 3 3 8" xfId="36331"/>
    <cellStyle name="Nota 2 4 4 2 3 3 9" xfId="40363"/>
    <cellStyle name="Nota 2 4 4 2 3 4" xfId="10123"/>
    <cellStyle name="Nota 2 4 4 2 3 5" xfId="14155"/>
    <cellStyle name="Nota 2 4 4 2 3 6" xfId="18187"/>
    <cellStyle name="Nota 2 4 4 2 3 7" xfId="22219"/>
    <cellStyle name="Nota 2 4 4 2 3 8" xfId="26251"/>
    <cellStyle name="Nota 2 4 4 2 3 9" xfId="30283"/>
    <cellStyle name="Nota 2 4 4 2 4" xfId="4611"/>
    <cellStyle name="Nota 2 4 4 2 4 10" xfId="38485"/>
    <cellStyle name="Nota 2 4 4 2 4 11" xfId="42517"/>
    <cellStyle name="Nota 2 4 4 2 4 12" xfId="46549"/>
    <cellStyle name="Nota 2 4 4 2 4 13" xfId="50628"/>
    <cellStyle name="Nota 2 4 4 2 4 2" xfId="8243"/>
    <cellStyle name="Nota 2 4 4 2 4 2 10" xfId="44533"/>
    <cellStyle name="Nota 2 4 4 2 4 2 11" xfId="48565"/>
    <cellStyle name="Nota 2 4 4 2 4 2 12" xfId="52644"/>
    <cellStyle name="Nota 2 4 4 2 4 2 2" xfId="12277"/>
    <cellStyle name="Nota 2 4 4 2 4 2 3" xfId="16309"/>
    <cellStyle name="Nota 2 4 4 2 4 2 4" xfId="20341"/>
    <cellStyle name="Nota 2 4 4 2 4 2 5" xfId="24373"/>
    <cellStyle name="Nota 2 4 4 2 4 2 6" xfId="28405"/>
    <cellStyle name="Nota 2 4 4 2 4 2 7" xfId="32437"/>
    <cellStyle name="Nota 2 4 4 2 4 2 8" xfId="36469"/>
    <cellStyle name="Nota 2 4 4 2 4 2 9" xfId="40501"/>
    <cellStyle name="Nota 2 4 4 2 4 3" xfId="10261"/>
    <cellStyle name="Nota 2 4 4 2 4 4" xfId="14293"/>
    <cellStyle name="Nota 2 4 4 2 4 5" xfId="18325"/>
    <cellStyle name="Nota 2 4 4 2 4 6" xfId="22357"/>
    <cellStyle name="Nota 2 4 4 2 4 7" xfId="26389"/>
    <cellStyle name="Nota 2 4 4 2 4 8" xfId="30421"/>
    <cellStyle name="Nota 2 4 4 2 4 9" xfId="34453"/>
    <cellStyle name="Nota 2 4 4 2 5" xfId="1648"/>
    <cellStyle name="Nota 2 4 4 2 5 10" xfId="37641"/>
    <cellStyle name="Nota 2 4 4 2 5 11" xfId="41673"/>
    <cellStyle name="Nota 2 4 4 2 5 12" xfId="45705"/>
    <cellStyle name="Nota 2 4 4 2 5 13" xfId="49783"/>
    <cellStyle name="Nota 2 4 4 2 5 2" xfId="7399"/>
    <cellStyle name="Nota 2 4 4 2 5 2 10" xfId="43689"/>
    <cellStyle name="Nota 2 4 4 2 5 2 11" xfId="47721"/>
    <cellStyle name="Nota 2 4 4 2 5 2 12" xfId="51800"/>
    <cellStyle name="Nota 2 4 4 2 5 2 2" xfId="11433"/>
    <cellStyle name="Nota 2 4 4 2 5 2 3" xfId="15465"/>
    <cellStyle name="Nota 2 4 4 2 5 2 4" xfId="19497"/>
    <cellStyle name="Nota 2 4 4 2 5 2 5" xfId="23529"/>
    <cellStyle name="Nota 2 4 4 2 5 2 6" xfId="27561"/>
    <cellStyle name="Nota 2 4 4 2 5 2 7" xfId="31593"/>
    <cellStyle name="Nota 2 4 4 2 5 2 8" xfId="35625"/>
    <cellStyle name="Nota 2 4 4 2 5 2 9" xfId="39657"/>
    <cellStyle name="Nota 2 4 4 2 5 3" xfId="9417"/>
    <cellStyle name="Nota 2 4 4 2 5 4" xfId="13449"/>
    <cellStyle name="Nota 2 4 4 2 5 5" xfId="17481"/>
    <cellStyle name="Nota 2 4 4 2 5 6" xfId="21513"/>
    <cellStyle name="Nota 2 4 4 2 5 7" xfId="25545"/>
    <cellStyle name="Nota 2 4 4 2 5 8" xfId="29577"/>
    <cellStyle name="Nota 2 4 4 2 5 9" xfId="33609"/>
    <cellStyle name="Nota 2 4 4 2 6" xfId="7178"/>
    <cellStyle name="Nota 2 4 4 2 6 10" xfId="43468"/>
    <cellStyle name="Nota 2 4 4 2 6 11" xfId="47500"/>
    <cellStyle name="Nota 2 4 4 2 6 12" xfId="51579"/>
    <cellStyle name="Nota 2 4 4 2 6 2" xfId="11212"/>
    <cellStyle name="Nota 2 4 4 2 6 3" xfId="15244"/>
    <cellStyle name="Nota 2 4 4 2 6 4" xfId="19276"/>
    <cellStyle name="Nota 2 4 4 2 6 5" xfId="23308"/>
    <cellStyle name="Nota 2 4 4 2 6 6" xfId="27340"/>
    <cellStyle name="Nota 2 4 4 2 6 7" xfId="31372"/>
    <cellStyle name="Nota 2 4 4 2 6 8" xfId="35404"/>
    <cellStyle name="Nota 2 4 4 2 6 9" xfId="39436"/>
    <cellStyle name="Nota 2 4 4 2 7" xfId="9196"/>
    <cellStyle name="Nota 2 4 4 2 8" xfId="13228"/>
    <cellStyle name="Nota 2 4 4 2 9" xfId="17260"/>
    <cellStyle name="Nota 2 4 4 20" xfId="37351"/>
    <cellStyle name="Nota 2 4 4 21" xfId="41383"/>
    <cellStyle name="Nota 2 4 4 22" xfId="45415"/>
    <cellStyle name="Nota 2 4 4 23" xfId="49493"/>
    <cellStyle name="Nota 2 4 4 3" xfId="1722"/>
    <cellStyle name="Nota 2 4 4 3 10" xfId="33678"/>
    <cellStyle name="Nota 2 4 4 3 11" xfId="37710"/>
    <cellStyle name="Nota 2 4 4 3 12" xfId="41742"/>
    <cellStyle name="Nota 2 4 4 3 13" xfId="45774"/>
    <cellStyle name="Nota 2 4 4 3 14" xfId="49852"/>
    <cellStyle name="Nota 2 4 4 3 2" xfId="5393"/>
    <cellStyle name="Nota 2 4 4 3 2 10" xfId="38661"/>
    <cellStyle name="Nota 2 4 4 3 2 11" xfId="42693"/>
    <cellStyle name="Nota 2 4 4 3 2 12" xfId="46725"/>
    <cellStyle name="Nota 2 4 4 3 2 13" xfId="50804"/>
    <cellStyle name="Nota 2 4 4 3 2 2" xfId="8419"/>
    <cellStyle name="Nota 2 4 4 3 2 2 10" xfId="44709"/>
    <cellStyle name="Nota 2 4 4 3 2 2 11" xfId="48741"/>
    <cellStyle name="Nota 2 4 4 3 2 2 12" xfId="52820"/>
    <cellStyle name="Nota 2 4 4 3 2 2 2" xfId="12453"/>
    <cellStyle name="Nota 2 4 4 3 2 2 3" xfId="16485"/>
    <cellStyle name="Nota 2 4 4 3 2 2 4" xfId="20517"/>
    <cellStyle name="Nota 2 4 4 3 2 2 5" xfId="24549"/>
    <cellStyle name="Nota 2 4 4 3 2 2 6" xfId="28581"/>
    <cellStyle name="Nota 2 4 4 3 2 2 7" xfId="32613"/>
    <cellStyle name="Nota 2 4 4 3 2 2 8" xfId="36645"/>
    <cellStyle name="Nota 2 4 4 3 2 2 9" xfId="40677"/>
    <cellStyle name="Nota 2 4 4 3 2 3" xfId="10437"/>
    <cellStyle name="Nota 2 4 4 3 2 4" xfId="14469"/>
    <cellStyle name="Nota 2 4 4 3 2 5" xfId="18501"/>
    <cellStyle name="Nota 2 4 4 3 2 6" xfId="22533"/>
    <cellStyle name="Nota 2 4 4 3 2 7" xfId="26565"/>
    <cellStyle name="Nota 2 4 4 3 2 8" xfId="30597"/>
    <cellStyle name="Nota 2 4 4 3 2 9" xfId="34629"/>
    <cellStyle name="Nota 2 4 4 3 3" xfId="7468"/>
    <cellStyle name="Nota 2 4 4 3 3 10" xfId="43758"/>
    <cellStyle name="Nota 2 4 4 3 3 11" xfId="47790"/>
    <cellStyle name="Nota 2 4 4 3 3 12" xfId="51869"/>
    <cellStyle name="Nota 2 4 4 3 3 2" xfId="11502"/>
    <cellStyle name="Nota 2 4 4 3 3 3" xfId="15534"/>
    <cellStyle name="Nota 2 4 4 3 3 4" xfId="19566"/>
    <cellStyle name="Nota 2 4 4 3 3 5" xfId="23598"/>
    <cellStyle name="Nota 2 4 4 3 3 6" xfId="27630"/>
    <cellStyle name="Nota 2 4 4 3 3 7" xfId="31662"/>
    <cellStyle name="Nota 2 4 4 3 3 8" xfId="35694"/>
    <cellStyle name="Nota 2 4 4 3 3 9" xfId="39726"/>
    <cellStyle name="Nota 2 4 4 3 4" xfId="9486"/>
    <cellStyle name="Nota 2 4 4 3 5" xfId="13518"/>
    <cellStyle name="Nota 2 4 4 3 6" xfId="17550"/>
    <cellStyle name="Nota 2 4 4 3 7" xfId="21582"/>
    <cellStyle name="Nota 2 4 4 3 8" xfId="25614"/>
    <cellStyle name="Nota 2 4 4 3 9" xfId="29646"/>
    <cellStyle name="Nota 2 4 4 4" xfId="4044"/>
    <cellStyle name="Nota 2 4 4 4 10" xfId="33901"/>
    <cellStyle name="Nota 2 4 4 4 11" xfId="37933"/>
    <cellStyle name="Nota 2 4 4 4 12" xfId="41965"/>
    <cellStyle name="Nota 2 4 4 4 13" xfId="45997"/>
    <cellStyle name="Nota 2 4 4 4 14" xfId="50075"/>
    <cellStyle name="Nota 2 4 4 4 2" xfId="6626"/>
    <cellStyle name="Nota 2 4 4 4 2 10" xfId="38884"/>
    <cellStyle name="Nota 2 4 4 4 2 11" xfId="42916"/>
    <cellStyle name="Nota 2 4 4 4 2 12" xfId="46948"/>
    <cellStyle name="Nota 2 4 4 4 2 13" xfId="51027"/>
    <cellStyle name="Nota 2 4 4 4 2 2" xfId="8642"/>
    <cellStyle name="Nota 2 4 4 4 2 2 10" xfId="44932"/>
    <cellStyle name="Nota 2 4 4 4 2 2 11" xfId="48964"/>
    <cellStyle name="Nota 2 4 4 4 2 2 12" xfId="53043"/>
    <cellStyle name="Nota 2 4 4 4 2 2 2" xfId="12676"/>
    <cellStyle name="Nota 2 4 4 4 2 2 3" xfId="16708"/>
    <cellStyle name="Nota 2 4 4 4 2 2 4" xfId="20740"/>
    <cellStyle name="Nota 2 4 4 4 2 2 5" xfId="24772"/>
    <cellStyle name="Nota 2 4 4 4 2 2 6" xfId="28804"/>
    <cellStyle name="Nota 2 4 4 4 2 2 7" xfId="32836"/>
    <cellStyle name="Nota 2 4 4 4 2 2 8" xfId="36868"/>
    <cellStyle name="Nota 2 4 4 4 2 2 9" xfId="40900"/>
    <cellStyle name="Nota 2 4 4 4 2 3" xfId="10660"/>
    <cellStyle name="Nota 2 4 4 4 2 4" xfId="14692"/>
    <cellStyle name="Nota 2 4 4 4 2 5" xfId="18724"/>
    <cellStyle name="Nota 2 4 4 4 2 6" xfId="22756"/>
    <cellStyle name="Nota 2 4 4 4 2 7" xfId="26788"/>
    <cellStyle name="Nota 2 4 4 4 2 8" xfId="30820"/>
    <cellStyle name="Nota 2 4 4 4 2 9" xfId="34852"/>
    <cellStyle name="Nota 2 4 4 4 3" xfId="7691"/>
    <cellStyle name="Nota 2 4 4 4 3 10" xfId="43981"/>
    <cellStyle name="Nota 2 4 4 4 3 11" xfId="48013"/>
    <cellStyle name="Nota 2 4 4 4 3 12" xfId="52092"/>
    <cellStyle name="Nota 2 4 4 4 3 2" xfId="11725"/>
    <cellStyle name="Nota 2 4 4 4 3 3" xfId="15757"/>
    <cellStyle name="Nota 2 4 4 4 3 4" xfId="19789"/>
    <cellStyle name="Nota 2 4 4 4 3 5" xfId="23821"/>
    <cellStyle name="Nota 2 4 4 4 3 6" xfId="27853"/>
    <cellStyle name="Nota 2 4 4 4 3 7" xfId="31885"/>
    <cellStyle name="Nota 2 4 4 4 3 8" xfId="35917"/>
    <cellStyle name="Nota 2 4 4 4 3 9" xfId="39949"/>
    <cellStyle name="Nota 2 4 4 4 4" xfId="9709"/>
    <cellStyle name="Nota 2 4 4 4 5" xfId="13741"/>
    <cellStyle name="Nota 2 4 4 4 6" xfId="17773"/>
    <cellStyle name="Nota 2 4 4 4 7" xfId="21805"/>
    <cellStyle name="Nota 2 4 4 4 8" xfId="25837"/>
    <cellStyle name="Nota 2 4 4 4 9" xfId="29869"/>
    <cellStyle name="Nota 2 4 4 5" xfId="4114"/>
    <cellStyle name="Nota 2 4 4 5 10" xfId="33970"/>
    <cellStyle name="Nota 2 4 4 5 11" xfId="38002"/>
    <cellStyle name="Nota 2 4 4 5 12" xfId="42034"/>
    <cellStyle name="Nota 2 4 4 5 13" xfId="46066"/>
    <cellStyle name="Nota 2 4 4 5 14" xfId="50144"/>
    <cellStyle name="Nota 2 4 4 5 2" xfId="6695"/>
    <cellStyle name="Nota 2 4 4 5 2 10" xfId="38953"/>
    <cellStyle name="Nota 2 4 4 5 2 11" xfId="42985"/>
    <cellStyle name="Nota 2 4 4 5 2 12" xfId="47017"/>
    <cellStyle name="Nota 2 4 4 5 2 13" xfId="51096"/>
    <cellStyle name="Nota 2 4 4 5 2 2" xfId="8711"/>
    <cellStyle name="Nota 2 4 4 5 2 2 10" xfId="45001"/>
    <cellStyle name="Nota 2 4 4 5 2 2 11" xfId="49033"/>
    <cellStyle name="Nota 2 4 4 5 2 2 12" xfId="53112"/>
    <cellStyle name="Nota 2 4 4 5 2 2 2" xfId="12745"/>
    <cellStyle name="Nota 2 4 4 5 2 2 3" xfId="16777"/>
    <cellStyle name="Nota 2 4 4 5 2 2 4" xfId="20809"/>
    <cellStyle name="Nota 2 4 4 5 2 2 5" xfId="24841"/>
    <cellStyle name="Nota 2 4 4 5 2 2 6" xfId="28873"/>
    <cellStyle name="Nota 2 4 4 5 2 2 7" xfId="32905"/>
    <cellStyle name="Nota 2 4 4 5 2 2 8" xfId="36937"/>
    <cellStyle name="Nota 2 4 4 5 2 2 9" xfId="40969"/>
    <cellStyle name="Nota 2 4 4 5 2 3" xfId="10729"/>
    <cellStyle name="Nota 2 4 4 5 2 4" xfId="14761"/>
    <cellStyle name="Nota 2 4 4 5 2 5" xfId="18793"/>
    <cellStyle name="Nota 2 4 4 5 2 6" xfId="22825"/>
    <cellStyle name="Nota 2 4 4 5 2 7" xfId="26857"/>
    <cellStyle name="Nota 2 4 4 5 2 8" xfId="30889"/>
    <cellStyle name="Nota 2 4 4 5 2 9" xfId="34921"/>
    <cellStyle name="Nota 2 4 4 5 3" xfId="7760"/>
    <cellStyle name="Nota 2 4 4 5 3 10" xfId="44050"/>
    <cellStyle name="Nota 2 4 4 5 3 11" xfId="48082"/>
    <cellStyle name="Nota 2 4 4 5 3 12" xfId="52161"/>
    <cellStyle name="Nota 2 4 4 5 3 2" xfId="11794"/>
    <cellStyle name="Nota 2 4 4 5 3 3" xfId="15826"/>
    <cellStyle name="Nota 2 4 4 5 3 4" xfId="19858"/>
    <cellStyle name="Nota 2 4 4 5 3 5" xfId="23890"/>
    <cellStyle name="Nota 2 4 4 5 3 6" xfId="27922"/>
    <cellStyle name="Nota 2 4 4 5 3 7" xfId="31954"/>
    <cellStyle name="Nota 2 4 4 5 3 8" xfId="35986"/>
    <cellStyle name="Nota 2 4 4 5 3 9" xfId="40018"/>
    <cellStyle name="Nota 2 4 4 5 4" xfId="9778"/>
    <cellStyle name="Nota 2 4 4 5 5" xfId="13810"/>
    <cellStyle name="Nota 2 4 4 5 6" xfId="17842"/>
    <cellStyle name="Nota 2 4 4 5 7" xfId="21874"/>
    <cellStyle name="Nota 2 4 4 5 8" xfId="25906"/>
    <cellStyle name="Nota 2 4 4 5 9" xfId="29938"/>
    <cellStyle name="Nota 2 4 4 6" xfId="4183"/>
    <cellStyle name="Nota 2 4 4 6 10" xfId="34039"/>
    <cellStyle name="Nota 2 4 4 6 11" xfId="38071"/>
    <cellStyle name="Nota 2 4 4 6 12" xfId="42103"/>
    <cellStyle name="Nota 2 4 4 6 13" xfId="46135"/>
    <cellStyle name="Nota 2 4 4 6 14" xfId="50213"/>
    <cellStyle name="Nota 2 4 4 6 2" xfId="6764"/>
    <cellStyle name="Nota 2 4 4 6 2 10" xfId="39022"/>
    <cellStyle name="Nota 2 4 4 6 2 11" xfId="43054"/>
    <cellStyle name="Nota 2 4 4 6 2 12" xfId="47086"/>
    <cellStyle name="Nota 2 4 4 6 2 13" xfId="51165"/>
    <cellStyle name="Nota 2 4 4 6 2 2" xfId="8780"/>
    <cellStyle name="Nota 2 4 4 6 2 2 10" xfId="45070"/>
    <cellStyle name="Nota 2 4 4 6 2 2 11" xfId="49102"/>
    <cellStyle name="Nota 2 4 4 6 2 2 12" xfId="53181"/>
    <cellStyle name="Nota 2 4 4 6 2 2 2" xfId="12814"/>
    <cellStyle name="Nota 2 4 4 6 2 2 3" xfId="16846"/>
    <cellStyle name="Nota 2 4 4 6 2 2 4" xfId="20878"/>
    <cellStyle name="Nota 2 4 4 6 2 2 5" xfId="24910"/>
    <cellStyle name="Nota 2 4 4 6 2 2 6" xfId="28942"/>
    <cellStyle name="Nota 2 4 4 6 2 2 7" xfId="32974"/>
    <cellStyle name="Nota 2 4 4 6 2 2 8" xfId="37006"/>
    <cellStyle name="Nota 2 4 4 6 2 2 9" xfId="41038"/>
    <cellStyle name="Nota 2 4 4 6 2 3" xfId="10798"/>
    <cellStyle name="Nota 2 4 4 6 2 4" xfId="14830"/>
    <cellStyle name="Nota 2 4 4 6 2 5" xfId="18862"/>
    <cellStyle name="Nota 2 4 4 6 2 6" xfId="22894"/>
    <cellStyle name="Nota 2 4 4 6 2 7" xfId="26926"/>
    <cellStyle name="Nota 2 4 4 6 2 8" xfId="30958"/>
    <cellStyle name="Nota 2 4 4 6 2 9" xfId="34990"/>
    <cellStyle name="Nota 2 4 4 6 3" xfId="7829"/>
    <cellStyle name="Nota 2 4 4 6 3 10" xfId="44119"/>
    <cellStyle name="Nota 2 4 4 6 3 11" xfId="48151"/>
    <cellStyle name="Nota 2 4 4 6 3 12" xfId="52230"/>
    <cellStyle name="Nota 2 4 4 6 3 2" xfId="11863"/>
    <cellStyle name="Nota 2 4 4 6 3 3" xfId="15895"/>
    <cellStyle name="Nota 2 4 4 6 3 4" xfId="19927"/>
    <cellStyle name="Nota 2 4 4 6 3 5" xfId="23959"/>
    <cellStyle name="Nota 2 4 4 6 3 6" xfId="27991"/>
    <cellStyle name="Nota 2 4 4 6 3 7" xfId="32023"/>
    <cellStyle name="Nota 2 4 4 6 3 8" xfId="36055"/>
    <cellStyle name="Nota 2 4 4 6 3 9" xfId="40087"/>
    <cellStyle name="Nota 2 4 4 6 4" xfId="9847"/>
    <cellStyle name="Nota 2 4 4 6 5" xfId="13879"/>
    <cellStyle name="Nota 2 4 4 6 6" xfId="17911"/>
    <cellStyle name="Nota 2 4 4 6 7" xfId="21943"/>
    <cellStyle name="Nota 2 4 4 6 8" xfId="25975"/>
    <cellStyle name="Nota 2 4 4 6 9" xfId="30007"/>
    <cellStyle name="Nota 2 4 4 7" xfId="4256"/>
    <cellStyle name="Nota 2 4 4 7 10" xfId="34108"/>
    <cellStyle name="Nota 2 4 4 7 11" xfId="38140"/>
    <cellStyle name="Nota 2 4 4 7 12" xfId="42172"/>
    <cellStyle name="Nota 2 4 4 7 13" xfId="46204"/>
    <cellStyle name="Nota 2 4 4 7 14" xfId="50282"/>
    <cellStyle name="Nota 2 4 4 7 2" xfId="6833"/>
    <cellStyle name="Nota 2 4 4 7 2 10" xfId="39091"/>
    <cellStyle name="Nota 2 4 4 7 2 11" xfId="43123"/>
    <cellStyle name="Nota 2 4 4 7 2 12" xfId="47155"/>
    <cellStyle name="Nota 2 4 4 7 2 13" xfId="51234"/>
    <cellStyle name="Nota 2 4 4 7 2 2" xfId="8849"/>
    <cellStyle name="Nota 2 4 4 7 2 2 10" xfId="45139"/>
    <cellStyle name="Nota 2 4 4 7 2 2 11" xfId="49171"/>
    <cellStyle name="Nota 2 4 4 7 2 2 12" xfId="53250"/>
    <cellStyle name="Nota 2 4 4 7 2 2 2" xfId="12883"/>
    <cellStyle name="Nota 2 4 4 7 2 2 3" xfId="16915"/>
    <cellStyle name="Nota 2 4 4 7 2 2 4" xfId="20947"/>
    <cellStyle name="Nota 2 4 4 7 2 2 5" xfId="24979"/>
    <cellStyle name="Nota 2 4 4 7 2 2 6" xfId="29011"/>
    <cellStyle name="Nota 2 4 4 7 2 2 7" xfId="33043"/>
    <cellStyle name="Nota 2 4 4 7 2 2 8" xfId="37075"/>
    <cellStyle name="Nota 2 4 4 7 2 2 9" xfId="41107"/>
    <cellStyle name="Nota 2 4 4 7 2 3" xfId="10867"/>
    <cellStyle name="Nota 2 4 4 7 2 4" xfId="14899"/>
    <cellStyle name="Nota 2 4 4 7 2 5" xfId="18931"/>
    <cellStyle name="Nota 2 4 4 7 2 6" xfId="22963"/>
    <cellStyle name="Nota 2 4 4 7 2 7" xfId="26995"/>
    <cellStyle name="Nota 2 4 4 7 2 8" xfId="31027"/>
    <cellStyle name="Nota 2 4 4 7 2 9" xfId="35059"/>
    <cellStyle name="Nota 2 4 4 7 3" xfId="7898"/>
    <cellStyle name="Nota 2 4 4 7 3 10" xfId="44188"/>
    <cellStyle name="Nota 2 4 4 7 3 11" xfId="48220"/>
    <cellStyle name="Nota 2 4 4 7 3 12" xfId="52299"/>
    <cellStyle name="Nota 2 4 4 7 3 2" xfId="11932"/>
    <cellStyle name="Nota 2 4 4 7 3 3" xfId="15964"/>
    <cellStyle name="Nota 2 4 4 7 3 4" xfId="19996"/>
    <cellStyle name="Nota 2 4 4 7 3 5" xfId="24028"/>
    <cellStyle name="Nota 2 4 4 7 3 6" xfId="28060"/>
    <cellStyle name="Nota 2 4 4 7 3 7" xfId="32092"/>
    <cellStyle name="Nota 2 4 4 7 3 8" xfId="36124"/>
    <cellStyle name="Nota 2 4 4 7 3 9" xfId="40156"/>
    <cellStyle name="Nota 2 4 4 7 4" xfId="9916"/>
    <cellStyle name="Nota 2 4 4 7 5" xfId="13948"/>
    <cellStyle name="Nota 2 4 4 7 6" xfId="17980"/>
    <cellStyle name="Nota 2 4 4 7 7" xfId="22012"/>
    <cellStyle name="Nota 2 4 4 7 8" xfId="26044"/>
    <cellStyle name="Nota 2 4 4 7 9" xfId="30076"/>
    <cellStyle name="Nota 2 4 4 8" xfId="4402"/>
    <cellStyle name="Nota 2 4 4 8 10" xfId="34246"/>
    <cellStyle name="Nota 2 4 4 8 11" xfId="38278"/>
    <cellStyle name="Nota 2 4 4 8 12" xfId="42310"/>
    <cellStyle name="Nota 2 4 4 8 13" xfId="46342"/>
    <cellStyle name="Nota 2 4 4 8 14" xfId="50421"/>
    <cellStyle name="Nota 2 4 4 8 2" xfId="6971"/>
    <cellStyle name="Nota 2 4 4 8 2 10" xfId="39229"/>
    <cellStyle name="Nota 2 4 4 8 2 11" xfId="43261"/>
    <cellStyle name="Nota 2 4 4 8 2 12" xfId="47293"/>
    <cellStyle name="Nota 2 4 4 8 2 13" xfId="51372"/>
    <cellStyle name="Nota 2 4 4 8 2 2" xfId="8987"/>
    <cellStyle name="Nota 2 4 4 8 2 2 10" xfId="45277"/>
    <cellStyle name="Nota 2 4 4 8 2 2 11" xfId="49309"/>
    <cellStyle name="Nota 2 4 4 8 2 2 12" xfId="53388"/>
    <cellStyle name="Nota 2 4 4 8 2 2 2" xfId="13021"/>
    <cellStyle name="Nota 2 4 4 8 2 2 3" xfId="17053"/>
    <cellStyle name="Nota 2 4 4 8 2 2 4" xfId="21085"/>
    <cellStyle name="Nota 2 4 4 8 2 2 5" xfId="25117"/>
    <cellStyle name="Nota 2 4 4 8 2 2 6" xfId="29149"/>
    <cellStyle name="Nota 2 4 4 8 2 2 7" xfId="33181"/>
    <cellStyle name="Nota 2 4 4 8 2 2 8" xfId="37213"/>
    <cellStyle name="Nota 2 4 4 8 2 2 9" xfId="41245"/>
    <cellStyle name="Nota 2 4 4 8 2 3" xfId="11005"/>
    <cellStyle name="Nota 2 4 4 8 2 4" xfId="15037"/>
    <cellStyle name="Nota 2 4 4 8 2 5" xfId="19069"/>
    <cellStyle name="Nota 2 4 4 8 2 6" xfId="23101"/>
    <cellStyle name="Nota 2 4 4 8 2 7" xfId="27133"/>
    <cellStyle name="Nota 2 4 4 8 2 8" xfId="31165"/>
    <cellStyle name="Nota 2 4 4 8 2 9" xfId="35197"/>
    <cellStyle name="Nota 2 4 4 8 3" xfId="8036"/>
    <cellStyle name="Nota 2 4 4 8 3 10" xfId="44326"/>
    <cellStyle name="Nota 2 4 4 8 3 11" xfId="48358"/>
    <cellStyle name="Nota 2 4 4 8 3 12" xfId="52437"/>
    <cellStyle name="Nota 2 4 4 8 3 2" xfId="12070"/>
    <cellStyle name="Nota 2 4 4 8 3 3" xfId="16102"/>
    <cellStyle name="Nota 2 4 4 8 3 4" xfId="20134"/>
    <cellStyle name="Nota 2 4 4 8 3 5" xfId="24166"/>
    <cellStyle name="Nota 2 4 4 8 3 6" xfId="28198"/>
    <cellStyle name="Nota 2 4 4 8 3 7" xfId="32230"/>
    <cellStyle name="Nota 2 4 4 8 3 8" xfId="36262"/>
    <cellStyle name="Nota 2 4 4 8 3 9" xfId="40294"/>
    <cellStyle name="Nota 2 4 4 8 4" xfId="10054"/>
    <cellStyle name="Nota 2 4 4 8 5" xfId="14086"/>
    <cellStyle name="Nota 2 4 4 8 6" xfId="18118"/>
    <cellStyle name="Nota 2 4 4 8 7" xfId="22150"/>
    <cellStyle name="Nota 2 4 4 8 8" xfId="26182"/>
    <cellStyle name="Nota 2 4 4 8 9" xfId="30214"/>
    <cellStyle name="Nota 2 4 4 9" xfId="4540"/>
    <cellStyle name="Nota 2 4 4 9 10" xfId="38416"/>
    <cellStyle name="Nota 2 4 4 9 11" xfId="42448"/>
    <cellStyle name="Nota 2 4 4 9 12" xfId="46480"/>
    <cellStyle name="Nota 2 4 4 9 13" xfId="50559"/>
    <cellStyle name="Nota 2 4 4 9 2" xfId="8174"/>
    <cellStyle name="Nota 2 4 4 9 2 10" xfId="44464"/>
    <cellStyle name="Nota 2 4 4 9 2 11" xfId="48496"/>
    <cellStyle name="Nota 2 4 4 9 2 12" xfId="52575"/>
    <cellStyle name="Nota 2 4 4 9 2 2" xfId="12208"/>
    <cellStyle name="Nota 2 4 4 9 2 3" xfId="16240"/>
    <cellStyle name="Nota 2 4 4 9 2 4" xfId="20272"/>
    <cellStyle name="Nota 2 4 4 9 2 5" xfId="24304"/>
    <cellStyle name="Nota 2 4 4 9 2 6" xfId="28336"/>
    <cellStyle name="Nota 2 4 4 9 2 7" xfId="32368"/>
    <cellStyle name="Nota 2 4 4 9 2 8" xfId="36400"/>
    <cellStyle name="Nota 2 4 4 9 2 9" xfId="40432"/>
    <cellStyle name="Nota 2 4 4 9 3" xfId="10192"/>
    <cellStyle name="Nota 2 4 4 9 4" xfId="14224"/>
    <cellStyle name="Nota 2 4 4 9 5" xfId="18256"/>
    <cellStyle name="Nota 2 4 4 9 6" xfId="22288"/>
    <cellStyle name="Nota 2 4 4 9 7" xfId="26320"/>
    <cellStyle name="Nota 2 4 4 9 8" xfId="30352"/>
    <cellStyle name="Nota 2 4 4 9 9" xfId="34384"/>
    <cellStyle name="Nota 2 4 5" xfId="197"/>
    <cellStyle name="Nota 2 4 5 10" xfId="21276"/>
    <cellStyle name="Nota 2 4 5 11" xfId="25308"/>
    <cellStyle name="Nota 2 4 5 12" xfId="29340"/>
    <cellStyle name="Nota 2 4 5 13" xfId="33372"/>
    <cellStyle name="Nota 2 4 5 14" xfId="37404"/>
    <cellStyle name="Nota 2 4 5 15" xfId="41436"/>
    <cellStyle name="Nota 2 4 5 16" xfId="45468"/>
    <cellStyle name="Nota 2 4 5 17" xfId="49546"/>
    <cellStyle name="Nota 2 4 5 2" xfId="4315"/>
    <cellStyle name="Nota 2 4 5 2 10" xfId="34161"/>
    <cellStyle name="Nota 2 4 5 2 11" xfId="38193"/>
    <cellStyle name="Nota 2 4 5 2 12" xfId="42225"/>
    <cellStyle name="Nota 2 4 5 2 13" xfId="46257"/>
    <cellStyle name="Nota 2 4 5 2 14" xfId="50336"/>
    <cellStyle name="Nota 2 4 5 2 2" xfId="6886"/>
    <cellStyle name="Nota 2 4 5 2 2 10" xfId="39144"/>
    <cellStyle name="Nota 2 4 5 2 2 11" xfId="43176"/>
    <cellStyle name="Nota 2 4 5 2 2 12" xfId="47208"/>
    <cellStyle name="Nota 2 4 5 2 2 13" xfId="51287"/>
    <cellStyle name="Nota 2 4 5 2 2 2" xfId="8902"/>
    <cellStyle name="Nota 2 4 5 2 2 2 10" xfId="45192"/>
    <cellStyle name="Nota 2 4 5 2 2 2 11" xfId="49224"/>
    <cellStyle name="Nota 2 4 5 2 2 2 12" xfId="53303"/>
    <cellStyle name="Nota 2 4 5 2 2 2 2" xfId="12936"/>
    <cellStyle name="Nota 2 4 5 2 2 2 3" xfId="16968"/>
    <cellStyle name="Nota 2 4 5 2 2 2 4" xfId="21000"/>
    <cellStyle name="Nota 2 4 5 2 2 2 5" xfId="25032"/>
    <cellStyle name="Nota 2 4 5 2 2 2 6" xfId="29064"/>
    <cellStyle name="Nota 2 4 5 2 2 2 7" xfId="33096"/>
    <cellStyle name="Nota 2 4 5 2 2 2 8" xfId="37128"/>
    <cellStyle name="Nota 2 4 5 2 2 2 9" xfId="41160"/>
    <cellStyle name="Nota 2 4 5 2 2 3" xfId="10920"/>
    <cellStyle name="Nota 2 4 5 2 2 4" xfId="14952"/>
    <cellStyle name="Nota 2 4 5 2 2 5" xfId="18984"/>
    <cellStyle name="Nota 2 4 5 2 2 6" xfId="23016"/>
    <cellStyle name="Nota 2 4 5 2 2 7" xfId="27048"/>
    <cellStyle name="Nota 2 4 5 2 2 8" xfId="31080"/>
    <cellStyle name="Nota 2 4 5 2 2 9" xfId="35112"/>
    <cellStyle name="Nota 2 4 5 2 3" xfId="7951"/>
    <cellStyle name="Nota 2 4 5 2 3 10" xfId="44241"/>
    <cellStyle name="Nota 2 4 5 2 3 11" xfId="48273"/>
    <cellStyle name="Nota 2 4 5 2 3 12" xfId="52352"/>
    <cellStyle name="Nota 2 4 5 2 3 2" xfId="11985"/>
    <cellStyle name="Nota 2 4 5 2 3 3" xfId="16017"/>
    <cellStyle name="Nota 2 4 5 2 3 4" xfId="20049"/>
    <cellStyle name="Nota 2 4 5 2 3 5" xfId="24081"/>
    <cellStyle name="Nota 2 4 5 2 3 6" xfId="28113"/>
    <cellStyle name="Nota 2 4 5 2 3 7" xfId="32145"/>
    <cellStyle name="Nota 2 4 5 2 3 8" xfId="36177"/>
    <cellStyle name="Nota 2 4 5 2 3 9" xfId="40209"/>
    <cellStyle name="Nota 2 4 5 2 4" xfId="9969"/>
    <cellStyle name="Nota 2 4 5 2 5" xfId="14001"/>
    <cellStyle name="Nota 2 4 5 2 6" xfId="18033"/>
    <cellStyle name="Nota 2 4 5 2 7" xfId="22065"/>
    <cellStyle name="Nota 2 4 5 2 8" xfId="26097"/>
    <cellStyle name="Nota 2 4 5 2 9" xfId="30129"/>
    <cellStyle name="Nota 2 4 5 3" xfId="4455"/>
    <cellStyle name="Nota 2 4 5 3 10" xfId="34299"/>
    <cellStyle name="Nota 2 4 5 3 11" xfId="38331"/>
    <cellStyle name="Nota 2 4 5 3 12" xfId="42363"/>
    <cellStyle name="Nota 2 4 5 3 13" xfId="46395"/>
    <cellStyle name="Nota 2 4 5 3 14" xfId="50474"/>
    <cellStyle name="Nota 2 4 5 3 2" xfId="7024"/>
    <cellStyle name="Nota 2 4 5 3 2 10" xfId="39282"/>
    <cellStyle name="Nota 2 4 5 3 2 11" xfId="43314"/>
    <cellStyle name="Nota 2 4 5 3 2 12" xfId="47346"/>
    <cellStyle name="Nota 2 4 5 3 2 13" xfId="51425"/>
    <cellStyle name="Nota 2 4 5 3 2 2" xfId="9040"/>
    <cellStyle name="Nota 2 4 5 3 2 2 10" xfId="45330"/>
    <cellStyle name="Nota 2 4 5 3 2 2 11" xfId="49362"/>
    <cellStyle name="Nota 2 4 5 3 2 2 12" xfId="53441"/>
    <cellStyle name="Nota 2 4 5 3 2 2 2" xfId="13074"/>
    <cellStyle name="Nota 2 4 5 3 2 2 3" xfId="17106"/>
    <cellStyle name="Nota 2 4 5 3 2 2 4" xfId="21138"/>
    <cellStyle name="Nota 2 4 5 3 2 2 5" xfId="25170"/>
    <cellStyle name="Nota 2 4 5 3 2 2 6" xfId="29202"/>
    <cellStyle name="Nota 2 4 5 3 2 2 7" xfId="33234"/>
    <cellStyle name="Nota 2 4 5 3 2 2 8" xfId="37266"/>
    <cellStyle name="Nota 2 4 5 3 2 2 9" xfId="41298"/>
    <cellStyle name="Nota 2 4 5 3 2 3" xfId="11058"/>
    <cellStyle name="Nota 2 4 5 3 2 4" xfId="15090"/>
    <cellStyle name="Nota 2 4 5 3 2 5" xfId="19122"/>
    <cellStyle name="Nota 2 4 5 3 2 6" xfId="23154"/>
    <cellStyle name="Nota 2 4 5 3 2 7" xfId="27186"/>
    <cellStyle name="Nota 2 4 5 3 2 8" xfId="31218"/>
    <cellStyle name="Nota 2 4 5 3 2 9" xfId="35250"/>
    <cellStyle name="Nota 2 4 5 3 3" xfId="8089"/>
    <cellStyle name="Nota 2 4 5 3 3 10" xfId="44379"/>
    <cellStyle name="Nota 2 4 5 3 3 11" xfId="48411"/>
    <cellStyle name="Nota 2 4 5 3 3 12" xfId="52490"/>
    <cellStyle name="Nota 2 4 5 3 3 2" xfId="12123"/>
    <cellStyle name="Nota 2 4 5 3 3 3" xfId="16155"/>
    <cellStyle name="Nota 2 4 5 3 3 4" xfId="20187"/>
    <cellStyle name="Nota 2 4 5 3 3 5" xfId="24219"/>
    <cellStyle name="Nota 2 4 5 3 3 6" xfId="28251"/>
    <cellStyle name="Nota 2 4 5 3 3 7" xfId="32283"/>
    <cellStyle name="Nota 2 4 5 3 3 8" xfId="36315"/>
    <cellStyle name="Nota 2 4 5 3 3 9" xfId="40347"/>
    <cellStyle name="Nota 2 4 5 3 4" xfId="10107"/>
    <cellStyle name="Nota 2 4 5 3 5" xfId="14139"/>
    <cellStyle name="Nota 2 4 5 3 6" xfId="18171"/>
    <cellStyle name="Nota 2 4 5 3 7" xfId="22203"/>
    <cellStyle name="Nota 2 4 5 3 8" xfId="26235"/>
    <cellStyle name="Nota 2 4 5 3 9" xfId="30267"/>
    <cellStyle name="Nota 2 4 5 4" xfId="4595"/>
    <cellStyle name="Nota 2 4 5 4 10" xfId="38469"/>
    <cellStyle name="Nota 2 4 5 4 11" xfId="42501"/>
    <cellStyle name="Nota 2 4 5 4 12" xfId="46533"/>
    <cellStyle name="Nota 2 4 5 4 13" xfId="50612"/>
    <cellStyle name="Nota 2 4 5 4 2" xfId="8227"/>
    <cellStyle name="Nota 2 4 5 4 2 10" xfId="44517"/>
    <cellStyle name="Nota 2 4 5 4 2 11" xfId="48549"/>
    <cellStyle name="Nota 2 4 5 4 2 12" xfId="52628"/>
    <cellStyle name="Nota 2 4 5 4 2 2" xfId="12261"/>
    <cellStyle name="Nota 2 4 5 4 2 3" xfId="16293"/>
    <cellStyle name="Nota 2 4 5 4 2 4" xfId="20325"/>
    <cellStyle name="Nota 2 4 5 4 2 5" xfId="24357"/>
    <cellStyle name="Nota 2 4 5 4 2 6" xfId="28389"/>
    <cellStyle name="Nota 2 4 5 4 2 7" xfId="32421"/>
    <cellStyle name="Nota 2 4 5 4 2 8" xfId="36453"/>
    <cellStyle name="Nota 2 4 5 4 2 9" xfId="40485"/>
    <cellStyle name="Nota 2 4 5 4 3" xfId="10245"/>
    <cellStyle name="Nota 2 4 5 4 4" xfId="14277"/>
    <cellStyle name="Nota 2 4 5 4 5" xfId="18309"/>
    <cellStyle name="Nota 2 4 5 4 6" xfId="22341"/>
    <cellStyle name="Nota 2 4 5 4 7" xfId="26373"/>
    <cellStyle name="Nota 2 4 5 4 8" xfId="30405"/>
    <cellStyle name="Nota 2 4 5 4 9" xfId="34437"/>
    <cellStyle name="Nota 2 4 5 5" xfId="645"/>
    <cellStyle name="Nota 2 4 5 6" xfId="7162"/>
    <cellStyle name="Nota 2 4 5 6 10" xfId="43452"/>
    <cellStyle name="Nota 2 4 5 6 11" xfId="47484"/>
    <cellStyle name="Nota 2 4 5 6 12" xfId="51563"/>
    <cellStyle name="Nota 2 4 5 6 2" xfId="11196"/>
    <cellStyle name="Nota 2 4 5 6 3" xfId="15228"/>
    <cellStyle name="Nota 2 4 5 6 4" xfId="19260"/>
    <cellStyle name="Nota 2 4 5 6 5" xfId="23292"/>
    <cellStyle name="Nota 2 4 5 6 6" xfId="27324"/>
    <cellStyle name="Nota 2 4 5 6 7" xfId="31356"/>
    <cellStyle name="Nota 2 4 5 6 8" xfId="35388"/>
    <cellStyle name="Nota 2 4 5 6 9" xfId="39420"/>
    <cellStyle name="Nota 2 4 5 7" xfId="9180"/>
    <cellStyle name="Nota 2 4 5 8" xfId="13212"/>
    <cellStyle name="Nota 2 4 5 9" xfId="17244"/>
    <cellStyle name="Nota 2 4 6" xfId="322"/>
    <cellStyle name="Nota 2 4 6 10" xfId="33495"/>
    <cellStyle name="Nota 2 4 6 11" xfId="37527"/>
    <cellStyle name="Nota 2 4 6 12" xfId="41559"/>
    <cellStyle name="Nota 2 4 6 13" xfId="45591"/>
    <cellStyle name="Nota 2 4 6 14" xfId="49669"/>
    <cellStyle name="Nota 2 4 6 2" xfId="4661"/>
    <cellStyle name="Nota 2 4 6 2 10" xfId="38535"/>
    <cellStyle name="Nota 2 4 6 2 11" xfId="42567"/>
    <cellStyle name="Nota 2 4 6 2 12" xfId="46599"/>
    <cellStyle name="Nota 2 4 6 2 13" xfId="50678"/>
    <cellStyle name="Nota 2 4 6 2 2" xfId="8293"/>
    <cellStyle name="Nota 2 4 6 2 2 10" xfId="44583"/>
    <cellStyle name="Nota 2 4 6 2 2 11" xfId="48615"/>
    <cellStyle name="Nota 2 4 6 2 2 12" xfId="52694"/>
    <cellStyle name="Nota 2 4 6 2 2 2" xfId="12327"/>
    <cellStyle name="Nota 2 4 6 2 2 3" xfId="16359"/>
    <cellStyle name="Nota 2 4 6 2 2 4" xfId="20391"/>
    <cellStyle name="Nota 2 4 6 2 2 5" xfId="24423"/>
    <cellStyle name="Nota 2 4 6 2 2 6" xfId="28455"/>
    <cellStyle name="Nota 2 4 6 2 2 7" xfId="32487"/>
    <cellStyle name="Nota 2 4 6 2 2 8" xfId="36519"/>
    <cellStyle name="Nota 2 4 6 2 2 9" xfId="40551"/>
    <cellStyle name="Nota 2 4 6 2 3" xfId="10311"/>
    <cellStyle name="Nota 2 4 6 2 4" xfId="14343"/>
    <cellStyle name="Nota 2 4 6 2 5" xfId="18375"/>
    <cellStyle name="Nota 2 4 6 2 6" xfId="22407"/>
    <cellStyle name="Nota 2 4 6 2 7" xfId="26439"/>
    <cellStyle name="Nota 2 4 6 2 8" xfId="30471"/>
    <cellStyle name="Nota 2 4 6 2 9" xfId="34503"/>
    <cellStyle name="Nota 2 4 6 3" xfId="7285"/>
    <cellStyle name="Nota 2 4 6 3 10" xfId="43575"/>
    <cellStyle name="Nota 2 4 6 3 11" xfId="47607"/>
    <cellStyle name="Nota 2 4 6 3 12" xfId="51686"/>
    <cellStyle name="Nota 2 4 6 3 2" xfId="11319"/>
    <cellStyle name="Nota 2 4 6 3 3" xfId="15351"/>
    <cellStyle name="Nota 2 4 6 3 4" xfId="19383"/>
    <cellStyle name="Nota 2 4 6 3 5" xfId="23415"/>
    <cellStyle name="Nota 2 4 6 3 6" xfId="27447"/>
    <cellStyle name="Nota 2 4 6 3 7" xfId="31479"/>
    <cellStyle name="Nota 2 4 6 3 8" xfId="35511"/>
    <cellStyle name="Nota 2 4 6 3 9" xfId="39543"/>
    <cellStyle name="Nota 2 4 6 4" xfId="9303"/>
    <cellStyle name="Nota 2 4 6 5" xfId="13335"/>
    <cellStyle name="Nota 2 4 6 6" xfId="17367"/>
    <cellStyle name="Nota 2 4 6 7" xfId="21399"/>
    <cellStyle name="Nota 2 4 6 8" xfId="25431"/>
    <cellStyle name="Nota 2 4 6 9" xfId="29463"/>
    <cellStyle name="Nota 2 4 7" xfId="1632"/>
    <cellStyle name="Nota 2 4 7 10" xfId="33593"/>
    <cellStyle name="Nota 2 4 7 11" xfId="37625"/>
    <cellStyle name="Nota 2 4 7 12" xfId="41657"/>
    <cellStyle name="Nota 2 4 7 13" xfId="45689"/>
    <cellStyle name="Nota 2 4 7 14" xfId="49767"/>
    <cellStyle name="Nota 2 4 7 2" xfId="5321"/>
    <cellStyle name="Nota 2 4 7 2 10" xfId="38589"/>
    <cellStyle name="Nota 2 4 7 2 11" xfId="42621"/>
    <cellStyle name="Nota 2 4 7 2 12" xfId="46653"/>
    <cellStyle name="Nota 2 4 7 2 13" xfId="50732"/>
    <cellStyle name="Nota 2 4 7 2 2" xfId="8347"/>
    <cellStyle name="Nota 2 4 7 2 2 10" xfId="44637"/>
    <cellStyle name="Nota 2 4 7 2 2 11" xfId="48669"/>
    <cellStyle name="Nota 2 4 7 2 2 12" xfId="52748"/>
    <cellStyle name="Nota 2 4 7 2 2 2" xfId="12381"/>
    <cellStyle name="Nota 2 4 7 2 2 3" xfId="16413"/>
    <cellStyle name="Nota 2 4 7 2 2 4" xfId="20445"/>
    <cellStyle name="Nota 2 4 7 2 2 5" xfId="24477"/>
    <cellStyle name="Nota 2 4 7 2 2 6" xfId="28509"/>
    <cellStyle name="Nota 2 4 7 2 2 7" xfId="32541"/>
    <cellStyle name="Nota 2 4 7 2 2 8" xfId="36573"/>
    <cellStyle name="Nota 2 4 7 2 2 9" xfId="40605"/>
    <cellStyle name="Nota 2 4 7 2 3" xfId="10365"/>
    <cellStyle name="Nota 2 4 7 2 4" xfId="14397"/>
    <cellStyle name="Nota 2 4 7 2 5" xfId="18429"/>
    <cellStyle name="Nota 2 4 7 2 6" xfId="22461"/>
    <cellStyle name="Nota 2 4 7 2 7" xfId="26493"/>
    <cellStyle name="Nota 2 4 7 2 8" xfId="30525"/>
    <cellStyle name="Nota 2 4 7 2 9" xfId="34557"/>
    <cellStyle name="Nota 2 4 7 3" xfId="7383"/>
    <cellStyle name="Nota 2 4 7 3 10" xfId="43673"/>
    <cellStyle name="Nota 2 4 7 3 11" xfId="47705"/>
    <cellStyle name="Nota 2 4 7 3 12" xfId="51784"/>
    <cellStyle name="Nota 2 4 7 3 2" xfId="11417"/>
    <cellStyle name="Nota 2 4 7 3 3" xfId="15449"/>
    <cellStyle name="Nota 2 4 7 3 4" xfId="19481"/>
    <cellStyle name="Nota 2 4 7 3 5" xfId="23513"/>
    <cellStyle name="Nota 2 4 7 3 6" xfId="27545"/>
    <cellStyle name="Nota 2 4 7 3 7" xfId="31577"/>
    <cellStyle name="Nota 2 4 7 3 8" xfId="35609"/>
    <cellStyle name="Nota 2 4 7 3 9" xfId="39641"/>
    <cellStyle name="Nota 2 4 7 4" xfId="9401"/>
    <cellStyle name="Nota 2 4 7 5" xfId="13433"/>
    <cellStyle name="Nota 2 4 7 6" xfId="17465"/>
    <cellStyle name="Nota 2 4 7 7" xfId="21497"/>
    <cellStyle name="Nota 2 4 7 8" xfId="25529"/>
    <cellStyle name="Nota 2 4 7 9" xfId="29561"/>
    <cellStyle name="Nota 2 4 8" xfId="1706"/>
    <cellStyle name="Nota 2 4 8 10" xfId="33662"/>
    <cellStyle name="Nota 2 4 8 11" xfId="37694"/>
    <cellStyle name="Nota 2 4 8 12" xfId="41726"/>
    <cellStyle name="Nota 2 4 8 13" xfId="45758"/>
    <cellStyle name="Nota 2 4 8 14" xfId="49836"/>
    <cellStyle name="Nota 2 4 8 2" xfId="5377"/>
    <cellStyle name="Nota 2 4 8 2 10" xfId="38645"/>
    <cellStyle name="Nota 2 4 8 2 11" xfId="42677"/>
    <cellStyle name="Nota 2 4 8 2 12" xfId="46709"/>
    <cellStyle name="Nota 2 4 8 2 13" xfId="50788"/>
    <cellStyle name="Nota 2 4 8 2 2" xfId="8403"/>
    <cellStyle name="Nota 2 4 8 2 2 10" xfId="44693"/>
    <cellStyle name="Nota 2 4 8 2 2 11" xfId="48725"/>
    <cellStyle name="Nota 2 4 8 2 2 12" xfId="52804"/>
    <cellStyle name="Nota 2 4 8 2 2 2" xfId="12437"/>
    <cellStyle name="Nota 2 4 8 2 2 3" xfId="16469"/>
    <cellStyle name="Nota 2 4 8 2 2 4" xfId="20501"/>
    <cellStyle name="Nota 2 4 8 2 2 5" xfId="24533"/>
    <cellStyle name="Nota 2 4 8 2 2 6" xfId="28565"/>
    <cellStyle name="Nota 2 4 8 2 2 7" xfId="32597"/>
    <cellStyle name="Nota 2 4 8 2 2 8" xfId="36629"/>
    <cellStyle name="Nota 2 4 8 2 2 9" xfId="40661"/>
    <cellStyle name="Nota 2 4 8 2 3" xfId="10421"/>
    <cellStyle name="Nota 2 4 8 2 4" xfId="14453"/>
    <cellStyle name="Nota 2 4 8 2 5" xfId="18485"/>
    <cellStyle name="Nota 2 4 8 2 6" xfId="22517"/>
    <cellStyle name="Nota 2 4 8 2 7" xfId="26549"/>
    <cellStyle name="Nota 2 4 8 2 8" xfId="30581"/>
    <cellStyle name="Nota 2 4 8 2 9" xfId="34613"/>
    <cellStyle name="Nota 2 4 8 3" xfId="7452"/>
    <cellStyle name="Nota 2 4 8 3 10" xfId="43742"/>
    <cellStyle name="Nota 2 4 8 3 11" xfId="47774"/>
    <cellStyle name="Nota 2 4 8 3 12" xfId="51853"/>
    <cellStyle name="Nota 2 4 8 3 2" xfId="11486"/>
    <cellStyle name="Nota 2 4 8 3 3" xfId="15518"/>
    <cellStyle name="Nota 2 4 8 3 4" xfId="19550"/>
    <cellStyle name="Nota 2 4 8 3 5" xfId="23582"/>
    <cellStyle name="Nota 2 4 8 3 6" xfId="27614"/>
    <cellStyle name="Nota 2 4 8 3 7" xfId="31646"/>
    <cellStyle name="Nota 2 4 8 3 8" xfId="35678"/>
    <cellStyle name="Nota 2 4 8 3 9" xfId="39710"/>
    <cellStyle name="Nota 2 4 8 4" xfId="9470"/>
    <cellStyle name="Nota 2 4 8 5" xfId="13502"/>
    <cellStyle name="Nota 2 4 8 6" xfId="17534"/>
    <cellStyle name="Nota 2 4 8 7" xfId="21566"/>
    <cellStyle name="Nota 2 4 8 8" xfId="25598"/>
    <cellStyle name="Nota 2 4 8 9" xfId="29630"/>
    <cellStyle name="Nota 2 4 9" xfId="2903"/>
    <cellStyle name="Nota 2 40" xfId="45389"/>
    <cellStyle name="Nota 2 41" xfId="49467"/>
    <cellStyle name="Nota 2 5" xfId="35"/>
    <cellStyle name="Nota 2 5 10" xfId="4022"/>
    <cellStyle name="Nota 2 5 10 10" xfId="33879"/>
    <cellStyle name="Nota 2 5 10 11" xfId="37911"/>
    <cellStyle name="Nota 2 5 10 12" xfId="41943"/>
    <cellStyle name="Nota 2 5 10 13" xfId="45975"/>
    <cellStyle name="Nota 2 5 10 14" xfId="50053"/>
    <cellStyle name="Nota 2 5 10 2" xfId="6604"/>
    <cellStyle name="Nota 2 5 10 2 10" xfId="38862"/>
    <cellStyle name="Nota 2 5 10 2 11" xfId="42894"/>
    <cellStyle name="Nota 2 5 10 2 12" xfId="46926"/>
    <cellStyle name="Nota 2 5 10 2 13" xfId="51005"/>
    <cellStyle name="Nota 2 5 10 2 2" xfId="8620"/>
    <cellStyle name="Nota 2 5 10 2 2 10" xfId="44910"/>
    <cellStyle name="Nota 2 5 10 2 2 11" xfId="48942"/>
    <cellStyle name="Nota 2 5 10 2 2 12" xfId="53021"/>
    <cellStyle name="Nota 2 5 10 2 2 2" xfId="12654"/>
    <cellStyle name="Nota 2 5 10 2 2 3" xfId="16686"/>
    <cellStyle name="Nota 2 5 10 2 2 4" xfId="20718"/>
    <cellStyle name="Nota 2 5 10 2 2 5" xfId="24750"/>
    <cellStyle name="Nota 2 5 10 2 2 6" xfId="28782"/>
    <cellStyle name="Nota 2 5 10 2 2 7" xfId="32814"/>
    <cellStyle name="Nota 2 5 10 2 2 8" xfId="36846"/>
    <cellStyle name="Nota 2 5 10 2 2 9" xfId="40878"/>
    <cellStyle name="Nota 2 5 10 2 3" xfId="10638"/>
    <cellStyle name="Nota 2 5 10 2 4" xfId="14670"/>
    <cellStyle name="Nota 2 5 10 2 5" xfId="18702"/>
    <cellStyle name="Nota 2 5 10 2 6" xfId="22734"/>
    <cellStyle name="Nota 2 5 10 2 7" xfId="26766"/>
    <cellStyle name="Nota 2 5 10 2 8" xfId="30798"/>
    <cellStyle name="Nota 2 5 10 2 9" xfId="34830"/>
    <cellStyle name="Nota 2 5 10 3" xfId="7669"/>
    <cellStyle name="Nota 2 5 10 3 10" xfId="43959"/>
    <cellStyle name="Nota 2 5 10 3 11" xfId="47991"/>
    <cellStyle name="Nota 2 5 10 3 12" xfId="52070"/>
    <cellStyle name="Nota 2 5 10 3 2" xfId="11703"/>
    <cellStyle name="Nota 2 5 10 3 3" xfId="15735"/>
    <cellStyle name="Nota 2 5 10 3 4" xfId="19767"/>
    <cellStyle name="Nota 2 5 10 3 5" xfId="23799"/>
    <cellStyle name="Nota 2 5 10 3 6" xfId="27831"/>
    <cellStyle name="Nota 2 5 10 3 7" xfId="31863"/>
    <cellStyle name="Nota 2 5 10 3 8" xfId="35895"/>
    <cellStyle name="Nota 2 5 10 3 9" xfId="39927"/>
    <cellStyle name="Nota 2 5 10 4" xfId="9687"/>
    <cellStyle name="Nota 2 5 10 5" xfId="13719"/>
    <cellStyle name="Nota 2 5 10 6" xfId="17751"/>
    <cellStyle name="Nota 2 5 10 7" xfId="21783"/>
    <cellStyle name="Nota 2 5 10 8" xfId="25815"/>
    <cellStyle name="Nota 2 5 10 9" xfId="29847"/>
    <cellStyle name="Nota 2 5 11" xfId="4092"/>
    <cellStyle name="Nota 2 5 11 10" xfId="33948"/>
    <cellStyle name="Nota 2 5 11 11" xfId="37980"/>
    <cellStyle name="Nota 2 5 11 12" xfId="42012"/>
    <cellStyle name="Nota 2 5 11 13" xfId="46044"/>
    <cellStyle name="Nota 2 5 11 14" xfId="50122"/>
    <cellStyle name="Nota 2 5 11 2" xfId="6673"/>
    <cellStyle name="Nota 2 5 11 2 10" xfId="38931"/>
    <cellStyle name="Nota 2 5 11 2 11" xfId="42963"/>
    <cellStyle name="Nota 2 5 11 2 12" xfId="46995"/>
    <cellStyle name="Nota 2 5 11 2 13" xfId="51074"/>
    <cellStyle name="Nota 2 5 11 2 2" xfId="8689"/>
    <cellStyle name="Nota 2 5 11 2 2 10" xfId="44979"/>
    <cellStyle name="Nota 2 5 11 2 2 11" xfId="49011"/>
    <cellStyle name="Nota 2 5 11 2 2 12" xfId="53090"/>
    <cellStyle name="Nota 2 5 11 2 2 2" xfId="12723"/>
    <cellStyle name="Nota 2 5 11 2 2 3" xfId="16755"/>
    <cellStyle name="Nota 2 5 11 2 2 4" xfId="20787"/>
    <cellStyle name="Nota 2 5 11 2 2 5" xfId="24819"/>
    <cellStyle name="Nota 2 5 11 2 2 6" xfId="28851"/>
    <cellStyle name="Nota 2 5 11 2 2 7" xfId="32883"/>
    <cellStyle name="Nota 2 5 11 2 2 8" xfId="36915"/>
    <cellStyle name="Nota 2 5 11 2 2 9" xfId="40947"/>
    <cellStyle name="Nota 2 5 11 2 3" xfId="10707"/>
    <cellStyle name="Nota 2 5 11 2 4" xfId="14739"/>
    <cellStyle name="Nota 2 5 11 2 5" xfId="18771"/>
    <cellStyle name="Nota 2 5 11 2 6" xfId="22803"/>
    <cellStyle name="Nota 2 5 11 2 7" xfId="26835"/>
    <cellStyle name="Nota 2 5 11 2 8" xfId="30867"/>
    <cellStyle name="Nota 2 5 11 2 9" xfId="34899"/>
    <cellStyle name="Nota 2 5 11 3" xfId="7738"/>
    <cellStyle name="Nota 2 5 11 3 10" xfId="44028"/>
    <cellStyle name="Nota 2 5 11 3 11" xfId="48060"/>
    <cellStyle name="Nota 2 5 11 3 12" xfId="52139"/>
    <cellStyle name="Nota 2 5 11 3 2" xfId="11772"/>
    <cellStyle name="Nota 2 5 11 3 3" xfId="15804"/>
    <cellStyle name="Nota 2 5 11 3 4" xfId="19836"/>
    <cellStyle name="Nota 2 5 11 3 5" xfId="23868"/>
    <cellStyle name="Nota 2 5 11 3 6" xfId="27900"/>
    <cellStyle name="Nota 2 5 11 3 7" xfId="31932"/>
    <cellStyle name="Nota 2 5 11 3 8" xfId="35964"/>
    <cellStyle name="Nota 2 5 11 3 9" xfId="39996"/>
    <cellStyle name="Nota 2 5 11 4" xfId="9756"/>
    <cellStyle name="Nota 2 5 11 5" xfId="13788"/>
    <cellStyle name="Nota 2 5 11 6" xfId="17820"/>
    <cellStyle name="Nota 2 5 11 7" xfId="21852"/>
    <cellStyle name="Nota 2 5 11 8" xfId="25884"/>
    <cellStyle name="Nota 2 5 11 9" xfId="29916"/>
    <cellStyle name="Nota 2 5 12" xfId="4161"/>
    <cellStyle name="Nota 2 5 12 10" xfId="34017"/>
    <cellStyle name="Nota 2 5 12 11" xfId="38049"/>
    <cellStyle name="Nota 2 5 12 12" xfId="42081"/>
    <cellStyle name="Nota 2 5 12 13" xfId="46113"/>
    <cellStyle name="Nota 2 5 12 14" xfId="50191"/>
    <cellStyle name="Nota 2 5 12 2" xfId="6742"/>
    <cellStyle name="Nota 2 5 12 2 10" xfId="39000"/>
    <cellStyle name="Nota 2 5 12 2 11" xfId="43032"/>
    <cellStyle name="Nota 2 5 12 2 12" xfId="47064"/>
    <cellStyle name="Nota 2 5 12 2 13" xfId="51143"/>
    <cellStyle name="Nota 2 5 12 2 2" xfId="8758"/>
    <cellStyle name="Nota 2 5 12 2 2 10" xfId="45048"/>
    <cellStyle name="Nota 2 5 12 2 2 11" xfId="49080"/>
    <cellStyle name="Nota 2 5 12 2 2 12" xfId="53159"/>
    <cellStyle name="Nota 2 5 12 2 2 2" xfId="12792"/>
    <cellStyle name="Nota 2 5 12 2 2 3" xfId="16824"/>
    <cellStyle name="Nota 2 5 12 2 2 4" xfId="20856"/>
    <cellStyle name="Nota 2 5 12 2 2 5" xfId="24888"/>
    <cellStyle name="Nota 2 5 12 2 2 6" xfId="28920"/>
    <cellStyle name="Nota 2 5 12 2 2 7" xfId="32952"/>
    <cellStyle name="Nota 2 5 12 2 2 8" xfId="36984"/>
    <cellStyle name="Nota 2 5 12 2 2 9" xfId="41016"/>
    <cellStyle name="Nota 2 5 12 2 3" xfId="10776"/>
    <cellStyle name="Nota 2 5 12 2 4" xfId="14808"/>
    <cellStyle name="Nota 2 5 12 2 5" xfId="18840"/>
    <cellStyle name="Nota 2 5 12 2 6" xfId="22872"/>
    <cellStyle name="Nota 2 5 12 2 7" xfId="26904"/>
    <cellStyle name="Nota 2 5 12 2 8" xfId="30936"/>
    <cellStyle name="Nota 2 5 12 2 9" xfId="34968"/>
    <cellStyle name="Nota 2 5 12 3" xfId="7807"/>
    <cellStyle name="Nota 2 5 12 3 10" xfId="44097"/>
    <cellStyle name="Nota 2 5 12 3 11" xfId="48129"/>
    <cellStyle name="Nota 2 5 12 3 12" xfId="52208"/>
    <cellStyle name="Nota 2 5 12 3 2" xfId="11841"/>
    <cellStyle name="Nota 2 5 12 3 3" xfId="15873"/>
    <cellStyle name="Nota 2 5 12 3 4" xfId="19905"/>
    <cellStyle name="Nota 2 5 12 3 5" xfId="23937"/>
    <cellStyle name="Nota 2 5 12 3 6" xfId="27969"/>
    <cellStyle name="Nota 2 5 12 3 7" xfId="32001"/>
    <cellStyle name="Nota 2 5 12 3 8" xfId="36033"/>
    <cellStyle name="Nota 2 5 12 3 9" xfId="40065"/>
    <cellStyle name="Nota 2 5 12 4" xfId="9825"/>
    <cellStyle name="Nota 2 5 12 5" xfId="13857"/>
    <cellStyle name="Nota 2 5 12 6" xfId="17889"/>
    <cellStyle name="Nota 2 5 12 7" xfId="21921"/>
    <cellStyle name="Nota 2 5 12 8" xfId="25953"/>
    <cellStyle name="Nota 2 5 12 9" xfId="29985"/>
    <cellStyle name="Nota 2 5 13" xfId="4231"/>
    <cellStyle name="Nota 2 5 13 10" xfId="34086"/>
    <cellStyle name="Nota 2 5 13 11" xfId="38118"/>
    <cellStyle name="Nota 2 5 13 12" xfId="42150"/>
    <cellStyle name="Nota 2 5 13 13" xfId="46182"/>
    <cellStyle name="Nota 2 5 13 14" xfId="50260"/>
    <cellStyle name="Nota 2 5 13 2" xfId="6811"/>
    <cellStyle name="Nota 2 5 13 2 10" xfId="39069"/>
    <cellStyle name="Nota 2 5 13 2 11" xfId="43101"/>
    <cellStyle name="Nota 2 5 13 2 12" xfId="47133"/>
    <cellStyle name="Nota 2 5 13 2 13" xfId="51212"/>
    <cellStyle name="Nota 2 5 13 2 2" xfId="8827"/>
    <cellStyle name="Nota 2 5 13 2 2 10" xfId="45117"/>
    <cellStyle name="Nota 2 5 13 2 2 11" xfId="49149"/>
    <cellStyle name="Nota 2 5 13 2 2 12" xfId="53228"/>
    <cellStyle name="Nota 2 5 13 2 2 2" xfId="12861"/>
    <cellStyle name="Nota 2 5 13 2 2 3" xfId="16893"/>
    <cellStyle name="Nota 2 5 13 2 2 4" xfId="20925"/>
    <cellStyle name="Nota 2 5 13 2 2 5" xfId="24957"/>
    <cellStyle name="Nota 2 5 13 2 2 6" xfId="28989"/>
    <cellStyle name="Nota 2 5 13 2 2 7" xfId="33021"/>
    <cellStyle name="Nota 2 5 13 2 2 8" xfId="37053"/>
    <cellStyle name="Nota 2 5 13 2 2 9" xfId="41085"/>
    <cellStyle name="Nota 2 5 13 2 3" xfId="10845"/>
    <cellStyle name="Nota 2 5 13 2 4" xfId="14877"/>
    <cellStyle name="Nota 2 5 13 2 5" xfId="18909"/>
    <cellStyle name="Nota 2 5 13 2 6" xfId="22941"/>
    <cellStyle name="Nota 2 5 13 2 7" xfId="26973"/>
    <cellStyle name="Nota 2 5 13 2 8" xfId="31005"/>
    <cellStyle name="Nota 2 5 13 2 9" xfId="35037"/>
    <cellStyle name="Nota 2 5 13 3" xfId="7876"/>
    <cellStyle name="Nota 2 5 13 3 10" xfId="44166"/>
    <cellStyle name="Nota 2 5 13 3 11" xfId="48198"/>
    <cellStyle name="Nota 2 5 13 3 12" xfId="52277"/>
    <cellStyle name="Nota 2 5 13 3 2" xfId="11910"/>
    <cellStyle name="Nota 2 5 13 3 3" xfId="15942"/>
    <cellStyle name="Nota 2 5 13 3 4" xfId="19974"/>
    <cellStyle name="Nota 2 5 13 3 5" xfId="24006"/>
    <cellStyle name="Nota 2 5 13 3 6" xfId="28038"/>
    <cellStyle name="Nota 2 5 13 3 7" xfId="32070"/>
    <cellStyle name="Nota 2 5 13 3 8" xfId="36102"/>
    <cellStyle name="Nota 2 5 13 3 9" xfId="40134"/>
    <cellStyle name="Nota 2 5 13 4" xfId="9894"/>
    <cellStyle name="Nota 2 5 13 5" xfId="13926"/>
    <cellStyle name="Nota 2 5 13 6" xfId="17958"/>
    <cellStyle name="Nota 2 5 13 7" xfId="21990"/>
    <cellStyle name="Nota 2 5 13 8" xfId="26022"/>
    <cellStyle name="Nota 2 5 13 9" xfId="30054"/>
    <cellStyle name="Nota 2 5 14" xfId="4380"/>
    <cellStyle name="Nota 2 5 14 10" xfId="34224"/>
    <cellStyle name="Nota 2 5 14 11" xfId="38256"/>
    <cellStyle name="Nota 2 5 14 12" xfId="42288"/>
    <cellStyle name="Nota 2 5 14 13" xfId="46320"/>
    <cellStyle name="Nota 2 5 14 14" xfId="50399"/>
    <cellStyle name="Nota 2 5 14 2" xfId="6949"/>
    <cellStyle name="Nota 2 5 14 2 10" xfId="39207"/>
    <cellStyle name="Nota 2 5 14 2 11" xfId="43239"/>
    <cellStyle name="Nota 2 5 14 2 12" xfId="47271"/>
    <cellStyle name="Nota 2 5 14 2 13" xfId="51350"/>
    <cellStyle name="Nota 2 5 14 2 2" xfId="8965"/>
    <cellStyle name="Nota 2 5 14 2 2 10" xfId="45255"/>
    <cellStyle name="Nota 2 5 14 2 2 11" xfId="49287"/>
    <cellStyle name="Nota 2 5 14 2 2 12" xfId="53366"/>
    <cellStyle name="Nota 2 5 14 2 2 2" xfId="12999"/>
    <cellStyle name="Nota 2 5 14 2 2 3" xfId="17031"/>
    <cellStyle name="Nota 2 5 14 2 2 4" xfId="21063"/>
    <cellStyle name="Nota 2 5 14 2 2 5" xfId="25095"/>
    <cellStyle name="Nota 2 5 14 2 2 6" xfId="29127"/>
    <cellStyle name="Nota 2 5 14 2 2 7" xfId="33159"/>
    <cellStyle name="Nota 2 5 14 2 2 8" xfId="37191"/>
    <cellStyle name="Nota 2 5 14 2 2 9" xfId="41223"/>
    <cellStyle name="Nota 2 5 14 2 3" xfId="10983"/>
    <cellStyle name="Nota 2 5 14 2 4" xfId="15015"/>
    <cellStyle name="Nota 2 5 14 2 5" xfId="19047"/>
    <cellStyle name="Nota 2 5 14 2 6" xfId="23079"/>
    <cellStyle name="Nota 2 5 14 2 7" xfId="27111"/>
    <cellStyle name="Nota 2 5 14 2 8" xfId="31143"/>
    <cellStyle name="Nota 2 5 14 2 9" xfId="35175"/>
    <cellStyle name="Nota 2 5 14 3" xfId="8014"/>
    <cellStyle name="Nota 2 5 14 3 10" xfId="44304"/>
    <cellStyle name="Nota 2 5 14 3 11" xfId="48336"/>
    <cellStyle name="Nota 2 5 14 3 12" xfId="52415"/>
    <cellStyle name="Nota 2 5 14 3 2" xfId="12048"/>
    <cellStyle name="Nota 2 5 14 3 3" xfId="16080"/>
    <cellStyle name="Nota 2 5 14 3 4" xfId="20112"/>
    <cellStyle name="Nota 2 5 14 3 5" xfId="24144"/>
    <cellStyle name="Nota 2 5 14 3 6" xfId="28176"/>
    <cellStyle name="Nota 2 5 14 3 7" xfId="32208"/>
    <cellStyle name="Nota 2 5 14 3 8" xfId="36240"/>
    <cellStyle name="Nota 2 5 14 3 9" xfId="40272"/>
    <cellStyle name="Nota 2 5 14 4" xfId="10032"/>
    <cellStyle name="Nota 2 5 14 5" xfId="14064"/>
    <cellStyle name="Nota 2 5 14 6" xfId="18096"/>
    <cellStyle name="Nota 2 5 14 7" xfId="22128"/>
    <cellStyle name="Nota 2 5 14 8" xfId="26160"/>
    <cellStyle name="Nota 2 5 14 9" xfId="30192"/>
    <cellStyle name="Nota 2 5 15" xfId="4518"/>
    <cellStyle name="Nota 2 5 15 10" xfId="38394"/>
    <cellStyle name="Nota 2 5 15 11" xfId="42426"/>
    <cellStyle name="Nota 2 5 15 12" xfId="46458"/>
    <cellStyle name="Nota 2 5 15 13" xfId="50537"/>
    <cellStyle name="Nota 2 5 15 2" xfId="8152"/>
    <cellStyle name="Nota 2 5 15 2 10" xfId="44442"/>
    <cellStyle name="Nota 2 5 15 2 11" xfId="48474"/>
    <cellStyle name="Nota 2 5 15 2 12" xfId="52553"/>
    <cellStyle name="Nota 2 5 15 2 2" xfId="12186"/>
    <cellStyle name="Nota 2 5 15 2 3" xfId="16218"/>
    <cellStyle name="Nota 2 5 15 2 4" xfId="20250"/>
    <cellStyle name="Nota 2 5 15 2 5" xfId="24282"/>
    <cellStyle name="Nota 2 5 15 2 6" xfId="28314"/>
    <cellStyle name="Nota 2 5 15 2 7" xfId="32346"/>
    <cellStyle name="Nota 2 5 15 2 8" xfId="36378"/>
    <cellStyle name="Nota 2 5 15 2 9" xfId="40410"/>
    <cellStyle name="Nota 2 5 15 3" xfId="10170"/>
    <cellStyle name="Nota 2 5 15 4" xfId="14202"/>
    <cellStyle name="Nota 2 5 15 5" xfId="18234"/>
    <cellStyle name="Nota 2 5 15 6" xfId="22266"/>
    <cellStyle name="Nota 2 5 15 7" xfId="26298"/>
    <cellStyle name="Nota 2 5 15 8" xfId="30330"/>
    <cellStyle name="Nota 2 5 15 9" xfId="34362"/>
    <cellStyle name="Nota 2 5 16" xfId="262"/>
    <cellStyle name="Nota 2 5 16 10" xfId="37467"/>
    <cellStyle name="Nota 2 5 16 11" xfId="41499"/>
    <cellStyle name="Nota 2 5 16 12" xfId="45531"/>
    <cellStyle name="Nota 2 5 16 13" xfId="49609"/>
    <cellStyle name="Nota 2 5 16 2" xfId="7225"/>
    <cellStyle name="Nota 2 5 16 2 10" xfId="43515"/>
    <cellStyle name="Nota 2 5 16 2 11" xfId="47547"/>
    <cellStyle name="Nota 2 5 16 2 12" xfId="51626"/>
    <cellStyle name="Nota 2 5 16 2 2" xfId="11259"/>
    <cellStyle name="Nota 2 5 16 2 3" xfId="15291"/>
    <cellStyle name="Nota 2 5 16 2 4" xfId="19323"/>
    <cellStyle name="Nota 2 5 16 2 5" xfId="23355"/>
    <cellStyle name="Nota 2 5 16 2 6" xfId="27387"/>
    <cellStyle name="Nota 2 5 16 2 7" xfId="31419"/>
    <cellStyle name="Nota 2 5 16 2 8" xfId="35451"/>
    <cellStyle name="Nota 2 5 16 2 9" xfId="39483"/>
    <cellStyle name="Nota 2 5 16 3" xfId="9243"/>
    <cellStyle name="Nota 2 5 16 4" xfId="13275"/>
    <cellStyle name="Nota 2 5 16 5" xfId="17307"/>
    <cellStyle name="Nota 2 5 16 6" xfId="21339"/>
    <cellStyle name="Nota 2 5 16 7" xfId="25371"/>
    <cellStyle name="Nota 2 5 16 8" xfId="29403"/>
    <cellStyle name="Nota 2 5 16 9" xfId="33435"/>
    <cellStyle name="Nota 2 5 17" xfId="7087"/>
    <cellStyle name="Nota 2 5 17 10" xfId="43377"/>
    <cellStyle name="Nota 2 5 17 11" xfId="47409"/>
    <cellStyle name="Nota 2 5 17 12" xfId="51488"/>
    <cellStyle name="Nota 2 5 17 2" xfId="11121"/>
    <cellStyle name="Nota 2 5 17 3" xfId="15153"/>
    <cellStyle name="Nota 2 5 17 4" xfId="19185"/>
    <cellStyle name="Nota 2 5 17 5" xfId="23217"/>
    <cellStyle name="Nota 2 5 17 6" xfId="27249"/>
    <cellStyle name="Nota 2 5 17 7" xfId="31281"/>
    <cellStyle name="Nota 2 5 17 8" xfId="35313"/>
    <cellStyle name="Nota 2 5 17 9" xfId="39345"/>
    <cellStyle name="Nota 2 5 18" xfId="110"/>
    <cellStyle name="Nota 2 5 19" xfId="9105"/>
    <cellStyle name="Nota 2 5 2" xfId="89"/>
    <cellStyle name="Nota 2 5 2 10" xfId="4285"/>
    <cellStyle name="Nota 2 5 2 10 10" xfId="34137"/>
    <cellStyle name="Nota 2 5 2 10 11" xfId="38169"/>
    <cellStyle name="Nota 2 5 2 10 12" xfId="42201"/>
    <cellStyle name="Nota 2 5 2 10 13" xfId="46233"/>
    <cellStyle name="Nota 2 5 2 10 14" xfId="50311"/>
    <cellStyle name="Nota 2 5 2 10 2" xfId="6862"/>
    <cellStyle name="Nota 2 5 2 10 2 10" xfId="39120"/>
    <cellStyle name="Nota 2 5 2 10 2 11" xfId="43152"/>
    <cellStyle name="Nota 2 5 2 10 2 12" xfId="47184"/>
    <cellStyle name="Nota 2 5 2 10 2 13" xfId="51263"/>
    <cellStyle name="Nota 2 5 2 10 2 2" xfId="8878"/>
    <cellStyle name="Nota 2 5 2 10 2 2 10" xfId="45168"/>
    <cellStyle name="Nota 2 5 2 10 2 2 11" xfId="49200"/>
    <cellStyle name="Nota 2 5 2 10 2 2 12" xfId="53279"/>
    <cellStyle name="Nota 2 5 2 10 2 2 2" xfId="12912"/>
    <cellStyle name="Nota 2 5 2 10 2 2 3" xfId="16944"/>
    <cellStyle name="Nota 2 5 2 10 2 2 4" xfId="20976"/>
    <cellStyle name="Nota 2 5 2 10 2 2 5" xfId="25008"/>
    <cellStyle name="Nota 2 5 2 10 2 2 6" xfId="29040"/>
    <cellStyle name="Nota 2 5 2 10 2 2 7" xfId="33072"/>
    <cellStyle name="Nota 2 5 2 10 2 2 8" xfId="37104"/>
    <cellStyle name="Nota 2 5 2 10 2 2 9" xfId="41136"/>
    <cellStyle name="Nota 2 5 2 10 2 3" xfId="10896"/>
    <cellStyle name="Nota 2 5 2 10 2 4" xfId="14928"/>
    <cellStyle name="Nota 2 5 2 10 2 5" xfId="18960"/>
    <cellStyle name="Nota 2 5 2 10 2 6" xfId="22992"/>
    <cellStyle name="Nota 2 5 2 10 2 7" xfId="27024"/>
    <cellStyle name="Nota 2 5 2 10 2 8" xfId="31056"/>
    <cellStyle name="Nota 2 5 2 10 2 9" xfId="35088"/>
    <cellStyle name="Nota 2 5 2 10 3" xfId="7927"/>
    <cellStyle name="Nota 2 5 2 10 3 10" xfId="44217"/>
    <cellStyle name="Nota 2 5 2 10 3 11" xfId="48249"/>
    <cellStyle name="Nota 2 5 2 10 3 12" xfId="52328"/>
    <cellStyle name="Nota 2 5 2 10 3 2" xfId="11961"/>
    <cellStyle name="Nota 2 5 2 10 3 3" xfId="15993"/>
    <cellStyle name="Nota 2 5 2 10 3 4" xfId="20025"/>
    <cellStyle name="Nota 2 5 2 10 3 5" xfId="24057"/>
    <cellStyle name="Nota 2 5 2 10 3 6" xfId="28089"/>
    <cellStyle name="Nota 2 5 2 10 3 7" xfId="32121"/>
    <cellStyle name="Nota 2 5 2 10 3 8" xfId="36153"/>
    <cellStyle name="Nota 2 5 2 10 3 9" xfId="40185"/>
    <cellStyle name="Nota 2 5 2 10 4" xfId="9945"/>
    <cellStyle name="Nota 2 5 2 10 5" xfId="13977"/>
    <cellStyle name="Nota 2 5 2 10 6" xfId="18009"/>
    <cellStyle name="Nota 2 5 2 10 7" xfId="22041"/>
    <cellStyle name="Nota 2 5 2 10 8" xfId="26073"/>
    <cellStyle name="Nota 2 5 2 10 9" xfId="30105"/>
    <cellStyle name="Nota 2 5 2 11" xfId="4431"/>
    <cellStyle name="Nota 2 5 2 11 10" xfId="34275"/>
    <cellStyle name="Nota 2 5 2 11 11" xfId="38307"/>
    <cellStyle name="Nota 2 5 2 11 12" xfId="42339"/>
    <cellStyle name="Nota 2 5 2 11 13" xfId="46371"/>
    <cellStyle name="Nota 2 5 2 11 14" xfId="50450"/>
    <cellStyle name="Nota 2 5 2 11 2" xfId="7000"/>
    <cellStyle name="Nota 2 5 2 11 2 10" xfId="39258"/>
    <cellStyle name="Nota 2 5 2 11 2 11" xfId="43290"/>
    <cellStyle name="Nota 2 5 2 11 2 12" xfId="47322"/>
    <cellStyle name="Nota 2 5 2 11 2 13" xfId="51401"/>
    <cellStyle name="Nota 2 5 2 11 2 2" xfId="9016"/>
    <cellStyle name="Nota 2 5 2 11 2 2 10" xfId="45306"/>
    <cellStyle name="Nota 2 5 2 11 2 2 11" xfId="49338"/>
    <cellStyle name="Nota 2 5 2 11 2 2 12" xfId="53417"/>
    <cellStyle name="Nota 2 5 2 11 2 2 2" xfId="13050"/>
    <cellStyle name="Nota 2 5 2 11 2 2 3" xfId="17082"/>
    <cellStyle name="Nota 2 5 2 11 2 2 4" xfId="21114"/>
    <cellStyle name="Nota 2 5 2 11 2 2 5" xfId="25146"/>
    <cellStyle name="Nota 2 5 2 11 2 2 6" xfId="29178"/>
    <cellStyle name="Nota 2 5 2 11 2 2 7" xfId="33210"/>
    <cellStyle name="Nota 2 5 2 11 2 2 8" xfId="37242"/>
    <cellStyle name="Nota 2 5 2 11 2 2 9" xfId="41274"/>
    <cellStyle name="Nota 2 5 2 11 2 3" xfId="11034"/>
    <cellStyle name="Nota 2 5 2 11 2 4" xfId="15066"/>
    <cellStyle name="Nota 2 5 2 11 2 5" xfId="19098"/>
    <cellStyle name="Nota 2 5 2 11 2 6" xfId="23130"/>
    <cellStyle name="Nota 2 5 2 11 2 7" xfId="27162"/>
    <cellStyle name="Nota 2 5 2 11 2 8" xfId="31194"/>
    <cellStyle name="Nota 2 5 2 11 2 9" xfId="35226"/>
    <cellStyle name="Nota 2 5 2 11 3" xfId="8065"/>
    <cellStyle name="Nota 2 5 2 11 3 10" xfId="44355"/>
    <cellStyle name="Nota 2 5 2 11 3 11" xfId="48387"/>
    <cellStyle name="Nota 2 5 2 11 3 12" xfId="52466"/>
    <cellStyle name="Nota 2 5 2 11 3 2" xfId="12099"/>
    <cellStyle name="Nota 2 5 2 11 3 3" xfId="16131"/>
    <cellStyle name="Nota 2 5 2 11 3 4" xfId="20163"/>
    <cellStyle name="Nota 2 5 2 11 3 5" xfId="24195"/>
    <cellStyle name="Nota 2 5 2 11 3 6" xfId="28227"/>
    <cellStyle name="Nota 2 5 2 11 3 7" xfId="32259"/>
    <cellStyle name="Nota 2 5 2 11 3 8" xfId="36291"/>
    <cellStyle name="Nota 2 5 2 11 3 9" xfId="40323"/>
    <cellStyle name="Nota 2 5 2 11 4" xfId="10083"/>
    <cellStyle name="Nota 2 5 2 11 5" xfId="14115"/>
    <cellStyle name="Nota 2 5 2 11 6" xfId="18147"/>
    <cellStyle name="Nota 2 5 2 11 7" xfId="22179"/>
    <cellStyle name="Nota 2 5 2 11 8" xfId="26211"/>
    <cellStyle name="Nota 2 5 2 11 9" xfId="30243"/>
    <cellStyle name="Nota 2 5 2 12" xfId="4569"/>
    <cellStyle name="Nota 2 5 2 12 10" xfId="38445"/>
    <cellStyle name="Nota 2 5 2 12 11" xfId="42477"/>
    <cellStyle name="Nota 2 5 2 12 12" xfId="46509"/>
    <cellStyle name="Nota 2 5 2 12 13" xfId="50588"/>
    <cellStyle name="Nota 2 5 2 12 2" xfId="8203"/>
    <cellStyle name="Nota 2 5 2 12 2 10" xfId="44493"/>
    <cellStyle name="Nota 2 5 2 12 2 11" xfId="48525"/>
    <cellStyle name="Nota 2 5 2 12 2 12" xfId="52604"/>
    <cellStyle name="Nota 2 5 2 12 2 2" xfId="12237"/>
    <cellStyle name="Nota 2 5 2 12 2 3" xfId="16269"/>
    <cellStyle name="Nota 2 5 2 12 2 4" xfId="20301"/>
    <cellStyle name="Nota 2 5 2 12 2 5" xfId="24333"/>
    <cellStyle name="Nota 2 5 2 12 2 6" xfId="28365"/>
    <cellStyle name="Nota 2 5 2 12 2 7" xfId="32397"/>
    <cellStyle name="Nota 2 5 2 12 2 8" xfId="36429"/>
    <cellStyle name="Nota 2 5 2 12 2 9" xfId="40461"/>
    <cellStyle name="Nota 2 5 2 12 3" xfId="10221"/>
    <cellStyle name="Nota 2 5 2 12 4" xfId="14253"/>
    <cellStyle name="Nota 2 5 2 12 5" xfId="18285"/>
    <cellStyle name="Nota 2 5 2 12 6" xfId="22317"/>
    <cellStyle name="Nota 2 5 2 12 7" xfId="26349"/>
    <cellStyle name="Nota 2 5 2 12 8" xfId="30381"/>
    <cellStyle name="Nota 2 5 2 12 9" xfId="34413"/>
    <cellStyle name="Nota 2 5 2 13" xfId="297"/>
    <cellStyle name="Nota 2 5 2 13 10" xfId="37502"/>
    <cellStyle name="Nota 2 5 2 13 11" xfId="41534"/>
    <cellStyle name="Nota 2 5 2 13 12" xfId="45566"/>
    <cellStyle name="Nota 2 5 2 13 13" xfId="49644"/>
    <cellStyle name="Nota 2 5 2 13 2" xfId="7260"/>
    <cellStyle name="Nota 2 5 2 13 2 10" xfId="43550"/>
    <cellStyle name="Nota 2 5 2 13 2 11" xfId="47582"/>
    <cellStyle name="Nota 2 5 2 13 2 12" xfId="51661"/>
    <cellStyle name="Nota 2 5 2 13 2 2" xfId="11294"/>
    <cellStyle name="Nota 2 5 2 13 2 3" xfId="15326"/>
    <cellStyle name="Nota 2 5 2 13 2 4" xfId="19358"/>
    <cellStyle name="Nota 2 5 2 13 2 5" xfId="23390"/>
    <cellStyle name="Nota 2 5 2 13 2 6" xfId="27422"/>
    <cellStyle name="Nota 2 5 2 13 2 7" xfId="31454"/>
    <cellStyle name="Nota 2 5 2 13 2 8" xfId="35486"/>
    <cellStyle name="Nota 2 5 2 13 2 9" xfId="39518"/>
    <cellStyle name="Nota 2 5 2 13 3" xfId="9278"/>
    <cellStyle name="Nota 2 5 2 13 4" xfId="13310"/>
    <cellStyle name="Nota 2 5 2 13 5" xfId="17342"/>
    <cellStyle name="Nota 2 5 2 13 6" xfId="21374"/>
    <cellStyle name="Nota 2 5 2 13 7" xfId="25406"/>
    <cellStyle name="Nota 2 5 2 13 8" xfId="29438"/>
    <cellStyle name="Nota 2 5 2 13 9" xfId="33470"/>
    <cellStyle name="Nota 2 5 2 14" xfId="7138"/>
    <cellStyle name="Nota 2 5 2 14 10" xfId="43428"/>
    <cellStyle name="Nota 2 5 2 14 11" xfId="47460"/>
    <cellStyle name="Nota 2 5 2 14 12" xfId="51539"/>
    <cellStyle name="Nota 2 5 2 14 2" xfId="11172"/>
    <cellStyle name="Nota 2 5 2 14 3" xfId="15204"/>
    <cellStyle name="Nota 2 5 2 14 4" xfId="19236"/>
    <cellStyle name="Nota 2 5 2 14 5" xfId="23268"/>
    <cellStyle name="Nota 2 5 2 14 6" xfId="27300"/>
    <cellStyle name="Nota 2 5 2 14 7" xfId="31332"/>
    <cellStyle name="Nota 2 5 2 14 8" xfId="35364"/>
    <cellStyle name="Nota 2 5 2 14 9" xfId="39396"/>
    <cellStyle name="Nota 2 5 2 15" xfId="164"/>
    <cellStyle name="Nota 2 5 2 16" xfId="9156"/>
    <cellStyle name="Nota 2 5 2 17" xfId="13188"/>
    <cellStyle name="Nota 2 5 2 18" xfId="17220"/>
    <cellStyle name="Nota 2 5 2 19" xfId="21252"/>
    <cellStyle name="Nota 2 5 2 2" xfId="243"/>
    <cellStyle name="Nota 2 5 2 2 10" xfId="21321"/>
    <cellStyle name="Nota 2 5 2 2 11" xfId="25353"/>
    <cellStyle name="Nota 2 5 2 2 12" xfId="29385"/>
    <cellStyle name="Nota 2 5 2 2 13" xfId="33417"/>
    <cellStyle name="Nota 2 5 2 2 14" xfId="37449"/>
    <cellStyle name="Nota 2 5 2 2 15" xfId="41481"/>
    <cellStyle name="Nota 2 5 2 2 16" xfId="45513"/>
    <cellStyle name="Nota 2 5 2 2 17" xfId="49591"/>
    <cellStyle name="Nota 2 5 2 2 2" xfId="4361"/>
    <cellStyle name="Nota 2 5 2 2 2 10" xfId="34206"/>
    <cellStyle name="Nota 2 5 2 2 2 11" xfId="38238"/>
    <cellStyle name="Nota 2 5 2 2 2 12" xfId="42270"/>
    <cellStyle name="Nota 2 5 2 2 2 13" xfId="46302"/>
    <cellStyle name="Nota 2 5 2 2 2 14" xfId="50381"/>
    <cellStyle name="Nota 2 5 2 2 2 2" xfId="6931"/>
    <cellStyle name="Nota 2 5 2 2 2 2 10" xfId="39189"/>
    <cellStyle name="Nota 2 5 2 2 2 2 11" xfId="43221"/>
    <cellStyle name="Nota 2 5 2 2 2 2 12" xfId="47253"/>
    <cellStyle name="Nota 2 5 2 2 2 2 13" xfId="51332"/>
    <cellStyle name="Nota 2 5 2 2 2 2 2" xfId="8947"/>
    <cellStyle name="Nota 2 5 2 2 2 2 2 10" xfId="45237"/>
    <cellStyle name="Nota 2 5 2 2 2 2 2 11" xfId="49269"/>
    <cellStyle name="Nota 2 5 2 2 2 2 2 12" xfId="53348"/>
    <cellStyle name="Nota 2 5 2 2 2 2 2 2" xfId="12981"/>
    <cellStyle name="Nota 2 5 2 2 2 2 2 3" xfId="17013"/>
    <cellStyle name="Nota 2 5 2 2 2 2 2 4" xfId="21045"/>
    <cellStyle name="Nota 2 5 2 2 2 2 2 5" xfId="25077"/>
    <cellStyle name="Nota 2 5 2 2 2 2 2 6" xfId="29109"/>
    <cellStyle name="Nota 2 5 2 2 2 2 2 7" xfId="33141"/>
    <cellStyle name="Nota 2 5 2 2 2 2 2 8" xfId="37173"/>
    <cellStyle name="Nota 2 5 2 2 2 2 2 9" xfId="41205"/>
    <cellStyle name="Nota 2 5 2 2 2 2 3" xfId="10965"/>
    <cellStyle name="Nota 2 5 2 2 2 2 4" xfId="14997"/>
    <cellStyle name="Nota 2 5 2 2 2 2 5" xfId="19029"/>
    <cellStyle name="Nota 2 5 2 2 2 2 6" xfId="23061"/>
    <cellStyle name="Nota 2 5 2 2 2 2 7" xfId="27093"/>
    <cellStyle name="Nota 2 5 2 2 2 2 8" xfId="31125"/>
    <cellStyle name="Nota 2 5 2 2 2 2 9" xfId="35157"/>
    <cellStyle name="Nota 2 5 2 2 2 3" xfId="7996"/>
    <cellStyle name="Nota 2 5 2 2 2 3 10" xfId="44286"/>
    <cellStyle name="Nota 2 5 2 2 2 3 11" xfId="48318"/>
    <cellStyle name="Nota 2 5 2 2 2 3 12" xfId="52397"/>
    <cellStyle name="Nota 2 5 2 2 2 3 2" xfId="12030"/>
    <cellStyle name="Nota 2 5 2 2 2 3 3" xfId="16062"/>
    <cellStyle name="Nota 2 5 2 2 2 3 4" xfId="20094"/>
    <cellStyle name="Nota 2 5 2 2 2 3 5" xfId="24126"/>
    <cellStyle name="Nota 2 5 2 2 2 3 6" xfId="28158"/>
    <cellStyle name="Nota 2 5 2 2 2 3 7" xfId="32190"/>
    <cellStyle name="Nota 2 5 2 2 2 3 8" xfId="36222"/>
    <cellStyle name="Nota 2 5 2 2 2 3 9" xfId="40254"/>
    <cellStyle name="Nota 2 5 2 2 2 4" xfId="10014"/>
    <cellStyle name="Nota 2 5 2 2 2 5" xfId="14046"/>
    <cellStyle name="Nota 2 5 2 2 2 6" xfId="18078"/>
    <cellStyle name="Nota 2 5 2 2 2 7" xfId="22110"/>
    <cellStyle name="Nota 2 5 2 2 2 8" xfId="26142"/>
    <cellStyle name="Nota 2 5 2 2 2 9" xfId="30174"/>
    <cellStyle name="Nota 2 5 2 2 3" xfId="4500"/>
    <cellStyle name="Nota 2 5 2 2 3 10" xfId="34344"/>
    <cellStyle name="Nota 2 5 2 2 3 11" xfId="38376"/>
    <cellStyle name="Nota 2 5 2 2 3 12" xfId="42408"/>
    <cellStyle name="Nota 2 5 2 2 3 13" xfId="46440"/>
    <cellStyle name="Nota 2 5 2 2 3 14" xfId="50519"/>
    <cellStyle name="Nota 2 5 2 2 3 2" xfId="7069"/>
    <cellStyle name="Nota 2 5 2 2 3 2 10" xfId="39327"/>
    <cellStyle name="Nota 2 5 2 2 3 2 11" xfId="43359"/>
    <cellStyle name="Nota 2 5 2 2 3 2 12" xfId="47391"/>
    <cellStyle name="Nota 2 5 2 2 3 2 13" xfId="51470"/>
    <cellStyle name="Nota 2 5 2 2 3 2 2" xfId="9085"/>
    <cellStyle name="Nota 2 5 2 2 3 2 2 10" xfId="45375"/>
    <cellStyle name="Nota 2 5 2 2 3 2 2 11" xfId="49407"/>
    <cellStyle name="Nota 2 5 2 2 3 2 2 12" xfId="53486"/>
    <cellStyle name="Nota 2 5 2 2 3 2 2 2" xfId="13119"/>
    <cellStyle name="Nota 2 5 2 2 3 2 2 3" xfId="17151"/>
    <cellStyle name="Nota 2 5 2 2 3 2 2 4" xfId="21183"/>
    <cellStyle name="Nota 2 5 2 2 3 2 2 5" xfId="25215"/>
    <cellStyle name="Nota 2 5 2 2 3 2 2 6" xfId="29247"/>
    <cellStyle name="Nota 2 5 2 2 3 2 2 7" xfId="33279"/>
    <cellStyle name="Nota 2 5 2 2 3 2 2 8" xfId="37311"/>
    <cellStyle name="Nota 2 5 2 2 3 2 2 9" xfId="41343"/>
    <cellStyle name="Nota 2 5 2 2 3 2 3" xfId="11103"/>
    <cellStyle name="Nota 2 5 2 2 3 2 4" xfId="15135"/>
    <cellStyle name="Nota 2 5 2 2 3 2 5" xfId="19167"/>
    <cellStyle name="Nota 2 5 2 2 3 2 6" xfId="23199"/>
    <cellStyle name="Nota 2 5 2 2 3 2 7" xfId="27231"/>
    <cellStyle name="Nota 2 5 2 2 3 2 8" xfId="31263"/>
    <cellStyle name="Nota 2 5 2 2 3 2 9" xfId="35295"/>
    <cellStyle name="Nota 2 5 2 2 3 3" xfId="8134"/>
    <cellStyle name="Nota 2 5 2 2 3 3 10" xfId="44424"/>
    <cellStyle name="Nota 2 5 2 2 3 3 11" xfId="48456"/>
    <cellStyle name="Nota 2 5 2 2 3 3 12" xfId="52535"/>
    <cellStyle name="Nota 2 5 2 2 3 3 2" xfId="12168"/>
    <cellStyle name="Nota 2 5 2 2 3 3 3" xfId="16200"/>
    <cellStyle name="Nota 2 5 2 2 3 3 4" xfId="20232"/>
    <cellStyle name="Nota 2 5 2 2 3 3 5" xfId="24264"/>
    <cellStyle name="Nota 2 5 2 2 3 3 6" xfId="28296"/>
    <cellStyle name="Nota 2 5 2 2 3 3 7" xfId="32328"/>
    <cellStyle name="Nota 2 5 2 2 3 3 8" xfId="36360"/>
    <cellStyle name="Nota 2 5 2 2 3 3 9" xfId="40392"/>
    <cellStyle name="Nota 2 5 2 2 3 4" xfId="10152"/>
    <cellStyle name="Nota 2 5 2 2 3 5" xfId="14184"/>
    <cellStyle name="Nota 2 5 2 2 3 6" xfId="18216"/>
    <cellStyle name="Nota 2 5 2 2 3 7" xfId="22248"/>
    <cellStyle name="Nota 2 5 2 2 3 8" xfId="26280"/>
    <cellStyle name="Nota 2 5 2 2 3 9" xfId="30312"/>
    <cellStyle name="Nota 2 5 2 2 4" xfId="4640"/>
    <cellStyle name="Nota 2 5 2 2 4 10" xfId="38514"/>
    <cellStyle name="Nota 2 5 2 2 4 11" xfId="42546"/>
    <cellStyle name="Nota 2 5 2 2 4 12" xfId="46578"/>
    <cellStyle name="Nota 2 5 2 2 4 13" xfId="50657"/>
    <cellStyle name="Nota 2 5 2 2 4 2" xfId="8272"/>
    <cellStyle name="Nota 2 5 2 2 4 2 10" xfId="44562"/>
    <cellStyle name="Nota 2 5 2 2 4 2 11" xfId="48594"/>
    <cellStyle name="Nota 2 5 2 2 4 2 12" xfId="52673"/>
    <cellStyle name="Nota 2 5 2 2 4 2 2" xfId="12306"/>
    <cellStyle name="Nota 2 5 2 2 4 2 3" xfId="16338"/>
    <cellStyle name="Nota 2 5 2 2 4 2 4" xfId="20370"/>
    <cellStyle name="Nota 2 5 2 2 4 2 5" xfId="24402"/>
    <cellStyle name="Nota 2 5 2 2 4 2 6" xfId="28434"/>
    <cellStyle name="Nota 2 5 2 2 4 2 7" xfId="32466"/>
    <cellStyle name="Nota 2 5 2 2 4 2 8" xfId="36498"/>
    <cellStyle name="Nota 2 5 2 2 4 2 9" xfId="40530"/>
    <cellStyle name="Nota 2 5 2 2 4 3" xfId="10290"/>
    <cellStyle name="Nota 2 5 2 2 4 4" xfId="14322"/>
    <cellStyle name="Nota 2 5 2 2 4 5" xfId="18354"/>
    <cellStyle name="Nota 2 5 2 2 4 6" xfId="22386"/>
    <cellStyle name="Nota 2 5 2 2 4 7" xfId="26418"/>
    <cellStyle name="Nota 2 5 2 2 4 8" xfId="30450"/>
    <cellStyle name="Nota 2 5 2 2 4 9" xfId="34482"/>
    <cellStyle name="Nota 2 5 2 2 5" xfId="1547"/>
    <cellStyle name="Nota 2 5 2 2 6" xfId="7207"/>
    <cellStyle name="Nota 2 5 2 2 6 10" xfId="43497"/>
    <cellStyle name="Nota 2 5 2 2 6 11" xfId="47529"/>
    <cellStyle name="Nota 2 5 2 2 6 12" xfId="51608"/>
    <cellStyle name="Nota 2 5 2 2 6 2" xfId="11241"/>
    <cellStyle name="Nota 2 5 2 2 6 3" xfId="15273"/>
    <cellStyle name="Nota 2 5 2 2 6 4" xfId="19305"/>
    <cellStyle name="Nota 2 5 2 2 6 5" xfId="23337"/>
    <cellStyle name="Nota 2 5 2 2 6 6" xfId="27369"/>
    <cellStyle name="Nota 2 5 2 2 6 7" xfId="31401"/>
    <cellStyle name="Nota 2 5 2 2 6 8" xfId="35433"/>
    <cellStyle name="Nota 2 5 2 2 6 9" xfId="39465"/>
    <cellStyle name="Nota 2 5 2 2 7" xfId="9225"/>
    <cellStyle name="Nota 2 5 2 2 8" xfId="13257"/>
    <cellStyle name="Nota 2 5 2 2 9" xfId="17289"/>
    <cellStyle name="Nota 2 5 2 20" xfId="25284"/>
    <cellStyle name="Nota 2 5 2 21" xfId="29316"/>
    <cellStyle name="Nota 2 5 2 22" xfId="33348"/>
    <cellStyle name="Nota 2 5 2 23" xfId="37380"/>
    <cellStyle name="Nota 2 5 2 24" xfId="41412"/>
    <cellStyle name="Nota 2 5 2 25" xfId="45444"/>
    <cellStyle name="Nota 2 5 2 26" xfId="49522"/>
    <cellStyle name="Nota 2 5 2 3" xfId="1429"/>
    <cellStyle name="Nota 2 5 2 3 2" xfId="5201"/>
    <cellStyle name="Nota 2 5 2 4" xfId="367"/>
    <cellStyle name="Nota 2 5 2 4 10" xfId="33540"/>
    <cellStyle name="Nota 2 5 2 4 11" xfId="37572"/>
    <cellStyle name="Nota 2 5 2 4 12" xfId="41604"/>
    <cellStyle name="Nota 2 5 2 4 13" xfId="45636"/>
    <cellStyle name="Nota 2 5 2 4 14" xfId="49714"/>
    <cellStyle name="Nota 2 5 2 4 2" xfId="4670"/>
    <cellStyle name="Nota 2 5 2 4 2 10" xfId="38544"/>
    <cellStyle name="Nota 2 5 2 4 2 11" xfId="42576"/>
    <cellStyle name="Nota 2 5 2 4 2 12" xfId="46608"/>
    <cellStyle name="Nota 2 5 2 4 2 13" xfId="50687"/>
    <cellStyle name="Nota 2 5 2 4 2 2" xfId="8302"/>
    <cellStyle name="Nota 2 5 2 4 2 2 10" xfId="44592"/>
    <cellStyle name="Nota 2 5 2 4 2 2 11" xfId="48624"/>
    <cellStyle name="Nota 2 5 2 4 2 2 12" xfId="52703"/>
    <cellStyle name="Nota 2 5 2 4 2 2 2" xfId="12336"/>
    <cellStyle name="Nota 2 5 2 4 2 2 3" xfId="16368"/>
    <cellStyle name="Nota 2 5 2 4 2 2 4" xfId="20400"/>
    <cellStyle name="Nota 2 5 2 4 2 2 5" xfId="24432"/>
    <cellStyle name="Nota 2 5 2 4 2 2 6" xfId="28464"/>
    <cellStyle name="Nota 2 5 2 4 2 2 7" xfId="32496"/>
    <cellStyle name="Nota 2 5 2 4 2 2 8" xfId="36528"/>
    <cellStyle name="Nota 2 5 2 4 2 2 9" xfId="40560"/>
    <cellStyle name="Nota 2 5 2 4 2 3" xfId="10320"/>
    <cellStyle name="Nota 2 5 2 4 2 4" xfId="14352"/>
    <cellStyle name="Nota 2 5 2 4 2 5" xfId="18384"/>
    <cellStyle name="Nota 2 5 2 4 2 6" xfId="22416"/>
    <cellStyle name="Nota 2 5 2 4 2 7" xfId="26448"/>
    <cellStyle name="Nota 2 5 2 4 2 8" xfId="30480"/>
    <cellStyle name="Nota 2 5 2 4 2 9" xfId="34512"/>
    <cellStyle name="Nota 2 5 2 4 3" xfId="7330"/>
    <cellStyle name="Nota 2 5 2 4 3 10" xfId="43620"/>
    <cellStyle name="Nota 2 5 2 4 3 11" xfId="47652"/>
    <cellStyle name="Nota 2 5 2 4 3 12" xfId="51731"/>
    <cellStyle name="Nota 2 5 2 4 3 2" xfId="11364"/>
    <cellStyle name="Nota 2 5 2 4 3 3" xfId="15396"/>
    <cellStyle name="Nota 2 5 2 4 3 4" xfId="19428"/>
    <cellStyle name="Nota 2 5 2 4 3 5" xfId="23460"/>
    <cellStyle name="Nota 2 5 2 4 3 6" xfId="27492"/>
    <cellStyle name="Nota 2 5 2 4 3 7" xfId="31524"/>
    <cellStyle name="Nota 2 5 2 4 3 8" xfId="35556"/>
    <cellStyle name="Nota 2 5 2 4 3 9" xfId="39588"/>
    <cellStyle name="Nota 2 5 2 4 4" xfId="9348"/>
    <cellStyle name="Nota 2 5 2 4 5" xfId="13380"/>
    <cellStyle name="Nota 2 5 2 4 6" xfId="17412"/>
    <cellStyle name="Nota 2 5 2 4 7" xfId="21444"/>
    <cellStyle name="Nota 2 5 2 4 8" xfId="25476"/>
    <cellStyle name="Nota 2 5 2 4 9" xfId="29508"/>
    <cellStyle name="Nota 2 5 2 5" xfId="1677"/>
    <cellStyle name="Nota 2 5 2 5 10" xfId="33638"/>
    <cellStyle name="Nota 2 5 2 5 11" xfId="37670"/>
    <cellStyle name="Nota 2 5 2 5 12" xfId="41702"/>
    <cellStyle name="Nota 2 5 2 5 13" xfId="45734"/>
    <cellStyle name="Nota 2 5 2 5 14" xfId="49812"/>
    <cellStyle name="Nota 2 5 2 5 2" xfId="5353"/>
    <cellStyle name="Nota 2 5 2 5 2 10" xfId="38621"/>
    <cellStyle name="Nota 2 5 2 5 2 11" xfId="42653"/>
    <cellStyle name="Nota 2 5 2 5 2 12" xfId="46685"/>
    <cellStyle name="Nota 2 5 2 5 2 13" xfId="50764"/>
    <cellStyle name="Nota 2 5 2 5 2 2" xfId="8379"/>
    <cellStyle name="Nota 2 5 2 5 2 2 10" xfId="44669"/>
    <cellStyle name="Nota 2 5 2 5 2 2 11" xfId="48701"/>
    <cellStyle name="Nota 2 5 2 5 2 2 12" xfId="52780"/>
    <cellStyle name="Nota 2 5 2 5 2 2 2" xfId="12413"/>
    <cellStyle name="Nota 2 5 2 5 2 2 3" xfId="16445"/>
    <cellStyle name="Nota 2 5 2 5 2 2 4" xfId="20477"/>
    <cellStyle name="Nota 2 5 2 5 2 2 5" xfId="24509"/>
    <cellStyle name="Nota 2 5 2 5 2 2 6" xfId="28541"/>
    <cellStyle name="Nota 2 5 2 5 2 2 7" xfId="32573"/>
    <cellStyle name="Nota 2 5 2 5 2 2 8" xfId="36605"/>
    <cellStyle name="Nota 2 5 2 5 2 2 9" xfId="40637"/>
    <cellStyle name="Nota 2 5 2 5 2 3" xfId="10397"/>
    <cellStyle name="Nota 2 5 2 5 2 4" xfId="14429"/>
    <cellStyle name="Nota 2 5 2 5 2 5" xfId="18461"/>
    <cellStyle name="Nota 2 5 2 5 2 6" xfId="22493"/>
    <cellStyle name="Nota 2 5 2 5 2 7" xfId="26525"/>
    <cellStyle name="Nota 2 5 2 5 2 8" xfId="30557"/>
    <cellStyle name="Nota 2 5 2 5 2 9" xfId="34589"/>
    <cellStyle name="Nota 2 5 2 5 3" xfId="7428"/>
    <cellStyle name="Nota 2 5 2 5 3 10" xfId="43718"/>
    <cellStyle name="Nota 2 5 2 5 3 11" xfId="47750"/>
    <cellStyle name="Nota 2 5 2 5 3 12" xfId="51829"/>
    <cellStyle name="Nota 2 5 2 5 3 2" xfId="11462"/>
    <cellStyle name="Nota 2 5 2 5 3 3" xfId="15494"/>
    <cellStyle name="Nota 2 5 2 5 3 4" xfId="19526"/>
    <cellStyle name="Nota 2 5 2 5 3 5" xfId="23558"/>
    <cellStyle name="Nota 2 5 2 5 3 6" xfId="27590"/>
    <cellStyle name="Nota 2 5 2 5 3 7" xfId="31622"/>
    <cellStyle name="Nota 2 5 2 5 3 8" xfId="35654"/>
    <cellStyle name="Nota 2 5 2 5 3 9" xfId="39686"/>
    <cellStyle name="Nota 2 5 2 5 4" xfId="9446"/>
    <cellStyle name="Nota 2 5 2 5 5" xfId="13478"/>
    <cellStyle name="Nota 2 5 2 5 6" xfId="17510"/>
    <cellStyle name="Nota 2 5 2 5 7" xfId="21542"/>
    <cellStyle name="Nota 2 5 2 5 8" xfId="25574"/>
    <cellStyle name="Nota 2 5 2 5 9" xfId="29606"/>
    <cellStyle name="Nota 2 5 2 6" xfId="1751"/>
    <cellStyle name="Nota 2 5 2 6 10" xfId="33707"/>
    <cellStyle name="Nota 2 5 2 6 11" xfId="37739"/>
    <cellStyle name="Nota 2 5 2 6 12" xfId="41771"/>
    <cellStyle name="Nota 2 5 2 6 13" xfId="45803"/>
    <cellStyle name="Nota 2 5 2 6 14" xfId="49881"/>
    <cellStyle name="Nota 2 5 2 6 2" xfId="5422"/>
    <cellStyle name="Nota 2 5 2 6 2 10" xfId="38690"/>
    <cellStyle name="Nota 2 5 2 6 2 11" xfId="42722"/>
    <cellStyle name="Nota 2 5 2 6 2 12" xfId="46754"/>
    <cellStyle name="Nota 2 5 2 6 2 13" xfId="50833"/>
    <cellStyle name="Nota 2 5 2 6 2 2" xfId="8448"/>
    <cellStyle name="Nota 2 5 2 6 2 2 10" xfId="44738"/>
    <cellStyle name="Nota 2 5 2 6 2 2 11" xfId="48770"/>
    <cellStyle name="Nota 2 5 2 6 2 2 12" xfId="52849"/>
    <cellStyle name="Nota 2 5 2 6 2 2 2" xfId="12482"/>
    <cellStyle name="Nota 2 5 2 6 2 2 3" xfId="16514"/>
    <cellStyle name="Nota 2 5 2 6 2 2 4" xfId="20546"/>
    <cellStyle name="Nota 2 5 2 6 2 2 5" xfId="24578"/>
    <cellStyle name="Nota 2 5 2 6 2 2 6" xfId="28610"/>
    <cellStyle name="Nota 2 5 2 6 2 2 7" xfId="32642"/>
    <cellStyle name="Nota 2 5 2 6 2 2 8" xfId="36674"/>
    <cellStyle name="Nota 2 5 2 6 2 2 9" xfId="40706"/>
    <cellStyle name="Nota 2 5 2 6 2 3" xfId="10466"/>
    <cellStyle name="Nota 2 5 2 6 2 4" xfId="14498"/>
    <cellStyle name="Nota 2 5 2 6 2 5" xfId="18530"/>
    <cellStyle name="Nota 2 5 2 6 2 6" xfId="22562"/>
    <cellStyle name="Nota 2 5 2 6 2 7" xfId="26594"/>
    <cellStyle name="Nota 2 5 2 6 2 8" xfId="30626"/>
    <cellStyle name="Nota 2 5 2 6 2 9" xfId="34658"/>
    <cellStyle name="Nota 2 5 2 6 3" xfId="7497"/>
    <cellStyle name="Nota 2 5 2 6 3 10" xfId="43787"/>
    <cellStyle name="Nota 2 5 2 6 3 11" xfId="47819"/>
    <cellStyle name="Nota 2 5 2 6 3 12" xfId="51898"/>
    <cellStyle name="Nota 2 5 2 6 3 2" xfId="11531"/>
    <cellStyle name="Nota 2 5 2 6 3 3" xfId="15563"/>
    <cellStyle name="Nota 2 5 2 6 3 4" xfId="19595"/>
    <cellStyle name="Nota 2 5 2 6 3 5" xfId="23627"/>
    <cellStyle name="Nota 2 5 2 6 3 6" xfId="27659"/>
    <cellStyle name="Nota 2 5 2 6 3 7" xfId="31691"/>
    <cellStyle name="Nota 2 5 2 6 3 8" xfId="35723"/>
    <cellStyle name="Nota 2 5 2 6 3 9" xfId="39755"/>
    <cellStyle name="Nota 2 5 2 6 4" xfId="9515"/>
    <cellStyle name="Nota 2 5 2 6 5" xfId="13547"/>
    <cellStyle name="Nota 2 5 2 6 6" xfId="17579"/>
    <cellStyle name="Nota 2 5 2 6 7" xfId="21611"/>
    <cellStyle name="Nota 2 5 2 6 8" xfId="25643"/>
    <cellStyle name="Nota 2 5 2 6 9" xfId="29675"/>
    <cellStyle name="Nota 2 5 2 7" xfId="4073"/>
    <cellStyle name="Nota 2 5 2 7 10" xfId="33930"/>
    <cellStyle name="Nota 2 5 2 7 11" xfId="37962"/>
    <cellStyle name="Nota 2 5 2 7 12" xfId="41994"/>
    <cellStyle name="Nota 2 5 2 7 13" xfId="46026"/>
    <cellStyle name="Nota 2 5 2 7 14" xfId="50104"/>
    <cellStyle name="Nota 2 5 2 7 2" xfId="6655"/>
    <cellStyle name="Nota 2 5 2 7 2 10" xfId="38913"/>
    <cellStyle name="Nota 2 5 2 7 2 11" xfId="42945"/>
    <cellStyle name="Nota 2 5 2 7 2 12" xfId="46977"/>
    <cellStyle name="Nota 2 5 2 7 2 13" xfId="51056"/>
    <cellStyle name="Nota 2 5 2 7 2 2" xfId="8671"/>
    <cellStyle name="Nota 2 5 2 7 2 2 10" xfId="44961"/>
    <cellStyle name="Nota 2 5 2 7 2 2 11" xfId="48993"/>
    <cellStyle name="Nota 2 5 2 7 2 2 12" xfId="53072"/>
    <cellStyle name="Nota 2 5 2 7 2 2 2" xfId="12705"/>
    <cellStyle name="Nota 2 5 2 7 2 2 3" xfId="16737"/>
    <cellStyle name="Nota 2 5 2 7 2 2 4" xfId="20769"/>
    <cellStyle name="Nota 2 5 2 7 2 2 5" xfId="24801"/>
    <cellStyle name="Nota 2 5 2 7 2 2 6" xfId="28833"/>
    <cellStyle name="Nota 2 5 2 7 2 2 7" xfId="32865"/>
    <cellStyle name="Nota 2 5 2 7 2 2 8" xfId="36897"/>
    <cellStyle name="Nota 2 5 2 7 2 2 9" xfId="40929"/>
    <cellStyle name="Nota 2 5 2 7 2 3" xfId="10689"/>
    <cellStyle name="Nota 2 5 2 7 2 4" xfId="14721"/>
    <cellStyle name="Nota 2 5 2 7 2 5" xfId="18753"/>
    <cellStyle name="Nota 2 5 2 7 2 6" xfId="22785"/>
    <cellStyle name="Nota 2 5 2 7 2 7" xfId="26817"/>
    <cellStyle name="Nota 2 5 2 7 2 8" xfId="30849"/>
    <cellStyle name="Nota 2 5 2 7 2 9" xfId="34881"/>
    <cellStyle name="Nota 2 5 2 7 3" xfId="7720"/>
    <cellStyle name="Nota 2 5 2 7 3 10" xfId="44010"/>
    <cellStyle name="Nota 2 5 2 7 3 11" xfId="48042"/>
    <cellStyle name="Nota 2 5 2 7 3 12" xfId="52121"/>
    <cellStyle name="Nota 2 5 2 7 3 2" xfId="11754"/>
    <cellStyle name="Nota 2 5 2 7 3 3" xfId="15786"/>
    <cellStyle name="Nota 2 5 2 7 3 4" xfId="19818"/>
    <cellStyle name="Nota 2 5 2 7 3 5" xfId="23850"/>
    <cellStyle name="Nota 2 5 2 7 3 6" xfId="27882"/>
    <cellStyle name="Nota 2 5 2 7 3 7" xfId="31914"/>
    <cellStyle name="Nota 2 5 2 7 3 8" xfId="35946"/>
    <cellStyle name="Nota 2 5 2 7 3 9" xfId="39978"/>
    <cellStyle name="Nota 2 5 2 7 4" xfId="9738"/>
    <cellStyle name="Nota 2 5 2 7 5" xfId="13770"/>
    <cellStyle name="Nota 2 5 2 7 6" xfId="17802"/>
    <cellStyle name="Nota 2 5 2 7 7" xfId="21834"/>
    <cellStyle name="Nota 2 5 2 7 8" xfId="25866"/>
    <cellStyle name="Nota 2 5 2 7 9" xfId="29898"/>
    <cellStyle name="Nota 2 5 2 8" xfId="4143"/>
    <cellStyle name="Nota 2 5 2 8 10" xfId="33999"/>
    <cellStyle name="Nota 2 5 2 8 11" xfId="38031"/>
    <cellStyle name="Nota 2 5 2 8 12" xfId="42063"/>
    <cellStyle name="Nota 2 5 2 8 13" xfId="46095"/>
    <cellStyle name="Nota 2 5 2 8 14" xfId="50173"/>
    <cellStyle name="Nota 2 5 2 8 2" xfId="6724"/>
    <cellStyle name="Nota 2 5 2 8 2 10" xfId="38982"/>
    <cellStyle name="Nota 2 5 2 8 2 11" xfId="43014"/>
    <cellStyle name="Nota 2 5 2 8 2 12" xfId="47046"/>
    <cellStyle name="Nota 2 5 2 8 2 13" xfId="51125"/>
    <cellStyle name="Nota 2 5 2 8 2 2" xfId="8740"/>
    <cellStyle name="Nota 2 5 2 8 2 2 10" xfId="45030"/>
    <cellStyle name="Nota 2 5 2 8 2 2 11" xfId="49062"/>
    <cellStyle name="Nota 2 5 2 8 2 2 12" xfId="53141"/>
    <cellStyle name="Nota 2 5 2 8 2 2 2" xfId="12774"/>
    <cellStyle name="Nota 2 5 2 8 2 2 3" xfId="16806"/>
    <cellStyle name="Nota 2 5 2 8 2 2 4" xfId="20838"/>
    <cellStyle name="Nota 2 5 2 8 2 2 5" xfId="24870"/>
    <cellStyle name="Nota 2 5 2 8 2 2 6" xfId="28902"/>
    <cellStyle name="Nota 2 5 2 8 2 2 7" xfId="32934"/>
    <cellStyle name="Nota 2 5 2 8 2 2 8" xfId="36966"/>
    <cellStyle name="Nota 2 5 2 8 2 2 9" xfId="40998"/>
    <cellStyle name="Nota 2 5 2 8 2 3" xfId="10758"/>
    <cellStyle name="Nota 2 5 2 8 2 4" xfId="14790"/>
    <cellStyle name="Nota 2 5 2 8 2 5" xfId="18822"/>
    <cellStyle name="Nota 2 5 2 8 2 6" xfId="22854"/>
    <cellStyle name="Nota 2 5 2 8 2 7" xfId="26886"/>
    <cellStyle name="Nota 2 5 2 8 2 8" xfId="30918"/>
    <cellStyle name="Nota 2 5 2 8 2 9" xfId="34950"/>
    <cellStyle name="Nota 2 5 2 8 3" xfId="7789"/>
    <cellStyle name="Nota 2 5 2 8 3 10" xfId="44079"/>
    <cellStyle name="Nota 2 5 2 8 3 11" xfId="48111"/>
    <cellStyle name="Nota 2 5 2 8 3 12" xfId="52190"/>
    <cellStyle name="Nota 2 5 2 8 3 2" xfId="11823"/>
    <cellStyle name="Nota 2 5 2 8 3 3" xfId="15855"/>
    <cellStyle name="Nota 2 5 2 8 3 4" xfId="19887"/>
    <cellStyle name="Nota 2 5 2 8 3 5" xfId="23919"/>
    <cellStyle name="Nota 2 5 2 8 3 6" xfId="27951"/>
    <cellStyle name="Nota 2 5 2 8 3 7" xfId="31983"/>
    <cellStyle name="Nota 2 5 2 8 3 8" xfId="36015"/>
    <cellStyle name="Nota 2 5 2 8 3 9" xfId="40047"/>
    <cellStyle name="Nota 2 5 2 8 4" xfId="9807"/>
    <cellStyle name="Nota 2 5 2 8 5" xfId="13839"/>
    <cellStyle name="Nota 2 5 2 8 6" xfId="17871"/>
    <cellStyle name="Nota 2 5 2 8 7" xfId="21903"/>
    <cellStyle name="Nota 2 5 2 8 8" xfId="25935"/>
    <cellStyle name="Nota 2 5 2 8 9" xfId="29967"/>
    <cellStyle name="Nota 2 5 2 9" xfId="4212"/>
    <cellStyle name="Nota 2 5 2 9 10" xfId="34068"/>
    <cellStyle name="Nota 2 5 2 9 11" xfId="38100"/>
    <cellStyle name="Nota 2 5 2 9 12" xfId="42132"/>
    <cellStyle name="Nota 2 5 2 9 13" xfId="46164"/>
    <cellStyle name="Nota 2 5 2 9 14" xfId="50242"/>
    <cellStyle name="Nota 2 5 2 9 2" xfId="6793"/>
    <cellStyle name="Nota 2 5 2 9 2 10" xfId="39051"/>
    <cellStyle name="Nota 2 5 2 9 2 11" xfId="43083"/>
    <cellStyle name="Nota 2 5 2 9 2 12" xfId="47115"/>
    <cellStyle name="Nota 2 5 2 9 2 13" xfId="51194"/>
    <cellStyle name="Nota 2 5 2 9 2 2" xfId="8809"/>
    <cellStyle name="Nota 2 5 2 9 2 2 10" xfId="45099"/>
    <cellStyle name="Nota 2 5 2 9 2 2 11" xfId="49131"/>
    <cellStyle name="Nota 2 5 2 9 2 2 12" xfId="53210"/>
    <cellStyle name="Nota 2 5 2 9 2 2 2" xfId="12843"/>
    <cellStyle name="Nota 2 5 2 9 2 2 3" xfId="16875"/>
    <cellStyle name="Nota 2 5 2 9 2 2 4" xfId="20907"/>
    <cellStyle name="Nota 2 5 2 9 2 2 5" xfId="24939"/>
    <cellStyle name="Nota 2 5 2 9 2 2 6" xfId="28971"/>
    <cellStyle name="Nota 2 5 2 9 2 2 7" xfId="33003"/>
    <cellStyle name="Nota 2 5 2 9 2 2 8" xfId="37035"/>
    <cellStyle name="Nota 2 5 2 9 2 2 9" xfId="41067"/>
    <cellStyle name="Nota 2 5 2 9 2 3" xfId="10827"/>
    <cellStyle name="Nota 2 5 2 9 2 4" xfId="14859"/>
    <cellStyle name="Nota 2 5 2 9 2 5" xfId="18891"/>
    <cellStyle name="Nota 2 5 2 9 2 6" xfId="22923"/>
    <cellStyle name="Nota 2 5 2 9 2 7" xfId="26955"/>
    <cellStyle name="Nota 2 5 2 9 2 8" xfId="30987"/>
    <cellStyle name="Nota 2 5 2 9 2 9" xfId="35019"/>
    <cellStyle name="Nota 2 5 2 9 3" xfId="7858"/>
    <cellStyle name="Nota 2 5 2 9 3 10" xfId="44148"/>
    <cellStyle name="Nota 2 5 2 9 3 11" xfId="48180"/>
    <cellStyle name="Nota 2 5 2 9 3 12" xfId="52259"/>
    <cellStyle name="Nota 2 5 2 9 3 2" xfId="11892"/>
    <cellStyle name="Nota 2 5 2 9 3 3" xfId="15924"/>
    <cellStyle name="Nota 2 5 2 9 3 4" xfId="19956"/>
    <cellStyle name="Nota 2 5 2 9 3 5" xfId="23988"/>
    <cellStyle name="Nota 2 5 2 9 3 6" xfId="28020"/>
    <cellStyle name="Nota 2 5 2 9 3 7" xfId="32052"/>
    <cellStyle name="Nota 2 5 2 9 3 8" xfId="36084"/>
    <cellStyle name="Nota 2 5 2 9 3 9" xfId="40116"/>
    <cellStyle name="Nota 2 5 2 9 4" xfId="9876"/>
    <cellStyle name="Nota 2 5 2 9 5" xfId="13908"/>
    <cellStyle name="Nota 2 5 2 9 6" xfId="17940"/>
    <cellStyle name="Nota 2 5 2 9 7" xfId="21972"/>
    <cellStyle name="Nota 2 5 2 9 8" xfId="26004"/>
    <cellStyle name="Nota 2 5 2 9 9" xfId="30036"/>
    <cellStyle name="Nota 2 5 20" xfId="13137"/>
    <cellStyle name="Nota 2 5 21" xfId="17169"/>
    <cellStyle name="Nota 2 5 22" xfId="21201"/>
    <cellStyle name="Nota 2 5 23" xfId="25233"/>
    <cellStyle name="Nota 2 5 24" xfId="29265"/>
    <cellStyle name="Nota 2 5 25" xfId="33297"/>
    <cellStyle name="Nota 2 5 26" xfId="37329"/>
    <cellStyle name="Nota 2 5 27" xfId="41361"/>
    <cellStyle name="Nota 2 5 28" xfId="45393"/>
    <cellStyle name="Nota 2 5 29" xfId="49471"/>
    <cellStyle name="Nota 2 5 3" xfId="73"/>
    <cellStyle name="Nota 2 5 3 10" xfId="4553"/>
    <cellStyle name="Nota 2 5 3 10 10" xfId="38429"/>
    <cellStyle name="Nota 2 5 3 10 11" xfId="42461"/>
    <cellStyle name="Nota 2 5 3 10 12" xfId="46493"/>
    <cellStyle name="Nota 2 5 3 10 13" xfId="50572"/>
    <cellStyle name="Nota 2 5 3 10 2" xfId="8187"/>
    <cellStyle name="Nota 2 5 3 10 2 10" xfId="44477"/>
    <cellStyle name="Nota 2 5 3 10 2 11" xfId="48509"/>
    <cellStyle name="Nota 2 5 3 10 2 12" xfId="52588"/>
    <cellStyle name="Nota 2 5 3 10 2 2" xfId="12221"/>
    <cellStyle name="Nota 2 5 3 10 2 3" xfId="16253"/>
    <cellStyle name="Nota 2 5 3 10 2 4" xfId="20285"/>
    <cellStyle name="Nota 2 5 3 10 2 5" xfId="24317"/>
    <cellStyle name="Nota 2 5 3 10 2 6" xfId="28349"/>
    <cellStyle name="Nota 2 5 3 10 2 7" xfId="32381"/>
    <cellStyle name="Nota 2 5 3 10 2 8" xfId="36413"/>
    <cellStyle name="Nota 2 5 3 10 2 9" xfId="40445"/>
    <cellStyle name="Nota 2 5 3 10 3" xfId="10205"/>
    <cellStyle name="Nota 2 5 3 10 4" xfId="14237"/>
    <cellStyle name="Nota 2 5 3 10 5" xfId="18269"/>
    <cellStyle name="Nota 2 5 3 10 6" xfId="22301"/>
    <cellStyle name="Nota 2 5 3 10 7" xfId="26333"/>
    <cellStyle name="Nota 2 5 3 10 8" xfId="30365"/>
    <cellStyle name="Nota 2 5 3 10 9" xfId="34397"/>
    <cellStyle name="Nota 2 5 3 11" xfId="281"/>
    <cellStyle name="Nota 2 5 3 11 10" xfId="37486"/>
    <cellStyle name="Nota 2 5 3 11 11" xfId="41518"/>
    <cellStyle name="Nota 2 5 3 11 12" xfId="45550"/>
    <cellStyle name="Nota 2 5 3 11 13" xfId="49628"/>
    <cellStyle name="Nota 2 5 3 11 2" xfId="7244"/>
    <cellStyle name="Nota 2 5 3 11 2 10" xfId="43534"/>
    <cellStyle name="Nota 2 5 3 11 2 11" xfId="47566"/>
    <cellStyle name="Nota 2 5 3 11 2 12" xfId="51645"/>
    <cellStyle name="Nota 2 5 3 11 2 2" xfId="11278"/>
    <cellStyle name="Nota 2 5 3 11 2 3" xfId="15310"/>
    <cellStyle name="Nota 2 5 3 11 2 4" xfId="19342"/>
    <cellStyle name="Nota 2 5 3 11 2 5" xfId="23374"/>
    <cellStyle name="Nota 2 5 3 11 2 6" xfId="27406"/>
    <cellStyle name="Nota 2 5 3 11 2 7" xfId="31438"/>
    <cellStyle name="Nota 2 5 3 11 2 8" xfId="35470"/>
    <cellStyle name="Nota 2 5 3 11 2 9" xfId="39502"/>
    <cellStyle name="Nota 2 5 3 11 3" xfId="9262"/>
    <cellStyle name="Nota 2 5 3 11 4" xfId="13294"/>
    <cellStyle name="Nota 2 5 3 11 5" xfId="17326"/>
    <cellStyle name="Nota 2 5 3 11 6" xfId="21358"/>
    <cellStyle name="Nota 2 5 3 11 7" xfId="25390"/>
    <cellStyle name="Nota 2 5 3 11 8" xfId="29422"/>
    <cellStyle name="Nota 2 5 3 11 9" xfId="33454"/>
    <cellStyle name="Nota 2 5 3 12" xfId="7122"/>
    <cellStyle name="Nota 2 5 3 12 10" xfId="43412"/>
    <cellStyle name="Nota 2 5 3 12 11" xfId="47444"/>
    <cellStyle name="Nota 2 5 3 12 12" xfId="51523"/>
    <cellStyle name="Nota 2 5 3 12 2" xfId="11156"/>
    <cellStyle name="Nota 2 5 3 12 3" xfId="15188"/>
    <cellStyle name="Nota 2 5 3 12 4" xfId="19220"/>
    <cellStyle name="Nota 2 5 3 12 5" xfId="23252"/>
    <cellStyle name="Nota 2 5 3 12 6" xfId="27284"/>
    <cellStyle name="Nota 2 5 3 12 7" xfId="31316"/>
    <cellStyle name="Nota 2 5 3 12 8" xfId="35348"/>
    <cellStyle name="Nota 2 5 3 12 9" xfId="39380"/>
    <cellStyle name="Nota 2 5 3 13" xfId="148"/>
    <cellStyle name="Nota 2 5 3 14" xfId="9140"/>
    <cellStyle name="Nota 2 5 3 15" xfId="13172"/>
    <cellStyle name="Nota 2 5 3 16" xfId="17204"/>
    <cellStyle name="Nota 2 5 3 17" xfId="21236"/>
    <cellStyle name="Nota 2 5 3 18" xfId="25268"/>
    <cellStyle name="Nota 2 5 3 19" xfId="29300"/>
    <cellStyle name="Nota 2 5 3 2" xfId="227"/>
    <cellStyle name="Nota 2 5 3 2 10" xfId="21305"/>
    <cellStyle name="Nota 2 5 3 2 11" xfId="25337"/>
    <cellStyle name="Nota 2 5 3 2 12" xfId="29369"/>
    <cellStyle name="Nota 2 5 3 2 13" xfId="33401"/>
    <cellStyle name="Nota 2 5 3 2 14" xfId="37433"/>
    <cellStyle name="Nota 2 5 3 2 15" xfId="41465"/>
    <cellStyle name="Nota 2 5 3 2 16" xfId="45497"/>
    <cellStyle name="Nota 2 5 3 2 17" xfId="49575"/>
    <cellStyle name="Nota 2 5 3 2 2" xfId="4345"/>
    <cellStyle name="Nota 2 5 3 2 2 10" xfId="34190"/>
    <cellStyle name="Nota 2 5 3 2 2 11" xfId="38222"/>
    <cellStyle name="Nota 2 5 3 2 2 12" xfId="42254"/>
    <cellStyle name="Nota 2 5 3 2 2 13" xfId="46286"/>
    <cellStyle name="Nota 2 5 3 2 2 14" xfId="50365"/>
    <cellStyle name="Nota 2 5 3 2 2 2" xfId="6915"/>
    <cellStyle name="Nota 2 5 3 2 2 2 10" xfId="39173"/>
    <cellStyle name="Nota 2 5 3 2 2 2 11" xfId="43205"/>
    <cellStyle name="Nota 2 5 3 2 2 2 12" xfId="47237"/>
    <cellStyle name="Nota 2 5 3 2 2 2 13" xfId="51316"/>
    <cellStyle name="Nota 2 5 3 2 2 2 2" xfId="8931"/>
    <cellStyle name="Nota 2 5 3 2 2 2 2 10" xfId="45221"/>
    <cellStyle name="Nota 2 5 3 2 2 2 2 11" xfId="49253"/>
    <cellStyle name="Nota 2 5 3 2 2 2 2 12" xfId="53332"/>
    <cellStyle name="Nota 2 5 3 2 2 2 2 2" xfId="12965"/>
    <cellStyle name="Nota 2 5 3 2 2 2 2 3" xfId="16997"/>
    <cellStyle name="Nota 2 5 3 2 2 2 2 4" xfId="21029"/>
    <cellStyle name="Nota 2 5 3 2 2 2 2 5" xfId="25061"/>
    <cellStyle name="Nota 2 5 3 2 2 2 2 6" xfId="29093"/>
    <cellStyle name="Nota 2 5 3 2 2 2 2 7" xfId="33125"/>
    <cellStyle name="Nota 2 5 3 2 2 2 2 8" xfId="37157"/>
    <cellStyle name="Nota 2 5 3 2 2 2 2 9" xfId="41189"/>
    <cellStyle name="Nota 2 5 3 2 2 2 3" xfId="10949"/>
    <cellStyle name="Nota 2 5 3 2 2 2 4" xfId="14981"/>
    <cellStyle name="Nota 2 5 3 2 2 2 5" xfId="19013"/>
    <cellStyle name="Nota 2 5 3 2 2 2 6" xfId="23045"/>
    <cellStyle name="Nota 2 5 3 2 2 2 7" xfId="27077"/>
    <cellStyle name="Nota 2 5 3 2 2 2 8" xfId="31109"/>
    <cellStyle name="Nota 2 5 3 2 2 2 9" xfId="35141"/>
    <cellStyle name="Nota 2 5 3 2 2 3" xfId="7980"/>
    <cellStyle name="Nota 2 5 3 2 2 3 10" xfId="44270"/>
    <cellStyle name="Nota 2 5 3 2 2 3 11" xfId="48302"/>
    <cellStyle name="Nota 2 5 3 2 2 3 12" xfId="52381"/>
    <cellStyle name="Nota 2 5 3 2 2 3 2" xfId="12014"/>
    <cellStyle name="Nota 2 5 3 2 2 3 3" xfId="16046"/>
    <cellStyle name="Nota 2 5 3 2 2 3 4" xfId="20078"/>
    <cellStyle name="Nota 2 5 3 2 2 3 5" xfId="24110"/>
    <cellStyle name="Nota 2 5 3 2 2 3 6" xfId="28142"/>
    <cellStyle name="Nota 2 5 3 2 2 3 7" xfId="32174"/>
    <cellStyle name="Nota 2 5 3 2 2 3 8" xfId="36206"/>
    <cellStyle name="Nota 2 5 3 2 2 3 9" xfId="40238"/>
    <cellStyle name="Nota 2 5 3 2 2 4" xfId="9998"/>
    <cellStyle name="Nota 2 5 3 2 2 5" xfId="14030"/>
    <cellStyle name="Nota 2 5 3 2 2 6" xfId="18062"/>
    <cellStyle name="Nota 2 5 3 2 2 7" xfId="22094"/>
    <cellStyle name="Nota 2 5 3 2 2 8" xfId="26126"/>
    <cellStyle name="Nota 2 5 3 2 2 9" xfId="30158"/>
    <cellStyle name="Nota 2 5 3 2 3" xfId="4484"/>
    <cellStyle name="Nota 2 5 3 2 3 10" xfId="34328"/>
    <cellStyle name="Nota 2 5 3 2 3 11" xfId="38360"/>
    <cellStyle name="Nota 2 5 3 2 3 12" xfId="42392"/>
    <cellStyle name="Nota 2 5 3 2 3 13" xfId="46424"/>
    <cellStyle name="Nota 2 5 3 2 3 14" xfId="50503"/>
    <cellStyle name="Nota 2 5 3 2 3 2" xfId="7053"/>
    <cellStyle name="Nota 2 5 3 2 3 2 10" xfId="39311"/>
    <cellStyle name="Nota 2 5 3 2 3 2 11" xfId="43343"/>
    <cellStyle name="Nota 2 5 3 2 3 2 12" xfId="47375"/>
    <cellStyle name="Nota 2 5 3 2 3 2 13" xfId="51454"/>
    <cellStyle name="Nota 2 5 3 2 3 2 2" xfId="9069"/>
    <cellStyle name="Nota 2 5 3 2 3 2 2 10" xfId="45359"/>
    <cellStyle name="Nota 2 5 3 2 3 2 2 11" xfId="49391"/>
    <cellStyle name="Nota 2 5 3 2 3 2 2 12" xfId="53470"/>
    <cellStyle name="Nota 2 5 3 2 3 2 2 2" xfId="13103"/>
    <cellStyle name="Nota 2 5 3 2 3 2 2 3" xfId="17135"/>
    <cellStyle name="Nota 2 5 3 2 3 2 2 4" xfId="21167"/>
    <cellStyle name="Nota 2 5 3 2 3 2 2 5" xfId="25199"/>
    <cellStyle name="Nota 2 5 3 2 3 2 2 6" xfId="29231"/>
    <cellStyle name="Nota 2 5 3 2 3 2 2 7" xfId="33263"/>
    <cellStyle name="Nota 2 5 3 2 3 2 2 8" xfId="37295"/>
    <cellStyle name="Nota 2 5 3 2 3 2 2 9" xfId="41327"/>
    <cellStyle name="Nota 2 5 3 2 3 2 3" xfId="11087"/>
    <cellStyle name="Nota 2 5 3 2 3 2 4" xfId="15119"/>
    <cellStyle name="Nota 2 5 3 2 3 2 5" xfId="19151"/>
    <cellStyle name="Nota 2 5 3 2 3 2 6" xfId="23183"/>
    <cellStyle name="Nota 2 5 3 2 3 2 7" xfId="27215"/>
    <cellStyle name="Nota 2 5 3 2 3 2 8" xfId="31247"/>
    <cellStyle name="Nota 2 5 3 2 3 2 9" xfId="35279"/>
    <cellStyle name="Nota 2 5 3 2 3 3" xfId="8118"/>
    <cellStyle name="Nota 2 5 3 2 3 3 10" xfId="44408"/>
    <cellStyle name="Nota 2 5 3 2 3 3 11" xfId="48440"/>
    <cellStyle name="Nota 2 5 3 2 3 3 12" xfId="52519"/>
    <cellStyle name="Nota 2 5 3 2 3 3 2" xfId="12152"/>
    <cellStyle name="Nota 2 5 3 2 3 3 3" xfId="16184"/>
    <cellStyle name="Nota 2 5 3 2 3 3 4" xfId="20216"/>
    <cellStyle name="Nota 2 5 3 2 3 3 5" xfId="24248"/>
    <cellStyle name="Nota 2 5 3 2 3 3 6" xfId="28280"/>
    <cellStyle name="Nota 2 5 3 2 3 3 7" xfId="32312"/>
    <cellStyle name="Nota 2 5 3 2 3 3 8" xfId="36344"/>
    <cellStyle name="Nota 2 5 3 2 3 3 9" xfId="40376"/>
    <cellStyle name="Nota 2 5 3 2 3 4" xfId="10136"/>
    <cellStyle name="Nota 2 5 3 2 3 5" xfId="14168"/>
    <cellStyle name="Nota 2 5 3 2 3 6" xfId="18200"/>
    <cellStyle name="Nota 2 5 3 2 3 7" xfId="22232"/>
    <cellStyle name="Nota 2 5 3 2 3 8" xfId="26264"/>
    <cellStyle name="Nota 2 5 3 2 3 9" xfId="30296"/>
    <cellStyle name="Nota 2 5 3 2 4" xfId="4624"/>
    <cellStyle name="Nota 2 5 3 2 4 10" xfId="38498"/>
    <cellStyle name="Nota 2 5 3 2 4 11" xfId="42530"/>
    <cellStyle name="Nota 2 5 3 2 4 12" xfId="46562"/>
    <cellStyle name="Nota 2 5 3 2 4 13" xfId="50641"/>
    <cellStyle name="Nota 2 5 3 2 4 2" xfId="8256"/>
    <cellStyle name="Nota 2 5 3 2 4 2 10" xfId="44546"/>
    <cellStyle name="Nota 2 5 3 2 4 2 11" xfId="48578"/>
    <cellStyle name="Nota 2 5 3 2 4 2 12" xfId="52657"/>
    <cellStyle name="Nota 2 5 3 2 4 2 2" xfId="12290"/>
    <cellStyle name="Nota 2 5 3 2 4 2 3" xfId="16322"/>
    <cellStyle name="Nota 2 5 3 2 4 2 4" xfId="20354"/>
    <cellStyle name="Nota 2 5 3 2 4 2 5" xfId="24386"/>
    <cellStyle name="Nota 2 5 3 2 4 2 6" xfId="28418"/>
    <cellStyle name="Nota 2 5 3 2 4 2 7" xfId="32450"/>
    <cellStyle name="Nota 2 5 3 2 4 2 8" xfId="36482"/>
    <cellStyle name="Nota 2 5 3 2 4 2 9" xfId="40514"/>
    <cellStyle name="Nota 2 5 3 2 4 3" xfId="10274"/>
    <cellStyle name="Nota 2 5 3 2 4 4" xfId="14306"/>
    <cellStyle name="Nota 2 5 3 2 4 5" xfId="18338"/>
    <cellStyle name="Nota 2 5 3 2 4 6" xfId="22370"/>
    <cellStyle name="Nota 2 5 3 2 4 7" xfId="26402"/>
    <cellStyle name="Nota 2 5 3 2 4 8" xfId="30434"/>
    <cellStyle name="Nota 2 5 3 2 4 9" xfId="34466"/>
    <cellStyle name="Nota 2 5 3 2 5" xfId="351"/>
    <cellStyle name="Nota 2 5 3 2 5 10" xfId="37556"/>
    <cellStyle name="Nota 2 5 3 2 5 11" xfId="41588"/>
    <cellStyle name="Nota 2 5 3 2 5 12" xfId="45620"/>
    <cellStyle name="Nota 2 5 3 2 5 13" xfId="49698"/>
    <cellStyle name="Nota 2 5 3 2 5 2" xfId="7314"/>
    <cellStyle name="Nota 2 5 3 2 5 2 10" xfId="43604"/>
    <cellStyle name="Nota 2 5 3 2 5 2 11" xfId="47636"/>
    <cellStyle name="Nota 2 5 3 2 5 2 12" xfId="51715"/>
    <cellStyle name="Nota 2 5 3 2 5 2 2" xfId="11348"/>
    <cellStyle name="Nota 2 5 3 2 5 2 3" xfId="15380"/>
    <cellStyle name="Nota 2 5 3 2 5 2 4" xfId="19412"/>
    <cellStyle name="Nota 2 5 3 2 5 2 5" xfId="23444"/>
    <cellStyle name="Nota 2 5 3 2 5 2 6" xfId="27476"/>
    <cellStyle name="Nota 2 5 3 2 5 2 7" xfId="31508"/>
    <cellStyle name="Nota 2 5 3 2 5 2 8" xfId="35540"/>
    <cellStyle name="Nota 2 5 3 2 5 2 9" xfId="39572"/>
    <cellStyle name="Nota 2 5 3 2 5 3" xfId="9332"/>
    <cellStyle name="Nota 2 5 3 2 5 4" xfId="13364"/>
    <cellStyle name="Nota 2 5 3 2 5 5" xfId="17396"/>
    <cellStyle name="Nota 2 5 3 2 5 6" xfId="21428"/>
    <cellStyle name="Nota 2 5 3 2 5 7" xfId="25460"/>
    <cellStyle name="Nota 2 5 3 2 5 8" xfId="29492"/>
    <cellStyle name="Nota 2 5 3 2 5 9" xfId="33524"/>
    <cellStyle name="Nota 2 5 3 2 6" xfId="7191"/>
    <cellStyle name="Nota 2 5 3 2 6 10" xfId="43481"/>
    <cellStyle name="Nota 2 5 3 2 6 11" xfId="47513"/>
    <cellStyle name="Nota 2 5 3 2 6 12" xfId="51592"/>
    <cellStyle name="Nota 2 5 3 2 6 2" xfId="11225"/>
    <cellStyle name="Nota 2 5 3 2 6 3" xfId="15257"/>
    <cellStyle name="Nota 2 5 3 2 6 4" xfId="19289"/>
    <cellStyle name="Nota 2 5 3 2 6 5" xfId="23321"/>
    <cellStyle name="Nota 2 5 3 2 6 6" xfId="27353"/>
    <cellStyle name="Nota 2 5 3 2 6 7" xfId="31385"/>
    <cellStyle name="Nota 2 5 3 2 6 8" xfId="35417"/>
    <cellStyle name="Nota 2 5 3 2 6 9" xfId="39449"/>
    <cellStyle name="Nota 2 5 3 2 7" xfId="9209"/>
    <cellStyle name="Nota 2 5 3 2 8" xfId="13241"/>
    <cellStyle name="Nota 2 5 3 2 9" xfId="17273"/>
    <cellStyle name="Nota 2 5 3 20" xfId="33332"/>
    <cellStyle name="Nota 2 5 3 21" xfId="37364"/>
    <cellStyle name="Nota 2 5 3 22" xfId="41396"/>
    <cellStyle name="Nota 2 5 3 23" xfId="45428"/>
    <cellStyle name="Nota 2 5 3 24" xfId="49506"/>
    <cellStyle name="Nota 2 5 3 3" xfId="1661"/>
    <cellStyle name="Nota 2 5 3 3 10" xfId="33622"/>
    <cellStyle name="Nota 2 5 3 3 11" xfId="37654"/>
    <cellStyle name="Nota 2 5 3 3 12" xfId="41686"/>
    <cellStyle name="Nota 2 5 3 3 13" xfId="45718"/>
    <cellStyle name="Nota 2 5 3 3 14" xfId="49796"/>
    <cellStyle name="Nota 2 5 3 3 2" xfId="5337"/>
    <cellStyle name="Nota 2 5 3 3 2 10" xfId="38605"/>
    <cellStyle name="Nota 2 5 3 3 2 11" xfId="42637"/>
    <cellStyle name="Nota 2 5 3 3 2 12" xfId="46669"/>
    <cellStyle name="Nota 2 5 3 3 2 13" xfId="50748"/>
    <cellStyle name="Nota 2 5 3 3 2 2" xfId="8363"/>
    <cellStyle name="Nota 2 5 3 3 2 2 10" xfId="44653"/>
    <cellStyle name="Nota 2 5 3 3 2 2 11" xfId="48685"/>
    <cellStyle name="Nota 2 5 3 3 2 2 12" xfId="52764"/>
    <cellStyle name="Nota 2 5 3 3 2 2 2" xfId="12397"/>
    <cellStyle name="Nota 2 5 3 3 2 2 3" xfId="16429"/>
    <cellStyle name="Nota 2 5 3 3 2 2 4" xfId="20461"/>
    <cellStyle name="Nota 2 5 3 3 2 2 5" xfId="24493"/>
    <cellStyle name="Nota 2 5 3 3 2 2 6" xfId="28525"/>
    <cellStyle name="Nota 2 5 3 3 2 2 7" xfId="32557"/>
    <cellStyle name="Nota 2 5 3 3 2 2 8" xfId="36589"/>
    <cellStyle name="Nota 2 5 3 3 2 2 9" xfId="40621"/>
    <cellStyle name="Nota 2 5 3 3 2 3" xfId="10381"/>
    <cellStyle name="Nota 2 5 3 3 2 4" xfId="14413"/>
    <cellStyle name="Nota 2 5 3 3 2 5" xfId="18445"/>
    <cellStyle name="Nota 2 5 3 3 2 6" xfId="22477"/>
    <cellStyle name="Nota 2 5 3 3 2 7" xfId="26509"/>
    <cellStyle name="Nota 2 5 3 3 2 8" xfId="30541"/>
    <cellStyle name="Nota 2 5 3 3 2 9" xfId="34573"/>
    <cellStyle name="Nota 2 5 3 3 3" xfId="7412"/>
    <cellStyle name="Nota 2 5 3 3 3 10" xfId="43702"/>
    <cellStyle name="Nota 2 5 3 3 3 11" xfId="47734"/>
    <cellStyle name="Nota 2 5 3 3 3 12" xfId="51813"/>
    <cellStyle name="Nota 2 5 3 3 3 2" xfId="11446"/>
    <cellStyle name="Nota 2 5 3 3 3 3" xfId="15478"/>
    <cellStyle name="Nota 2 5 3 3 3 4" xfId="19510"/>
    <cellStyle name="Nota 2 5 3 3 3 5" xfId="23542"/>
    <cellStyle name="Nota 2 5 3 3 3 6" xfId="27574"/>
    <cellStyle name="Nota 2 5 3 3 3 7" xfId="31606"/>
    <cellStyle name="Nota 2 5 3 3 3 8" xfId="35638"/>
    <cellStyle name="Nota 2 5 3 3 3 9" xfId="39670"/>
    <cellStyle name="Nota 2 5 3 3 4" xfId="9430"/>
    <cellStyle name="Nota 2 5 3 3 5" xfId="13462"/>
    <cellStyle name="Nota 2 5 3 3 6" xfId="17494"/>
    <cellStyle name="Nota 2 5 3 3 7" xfId="21526"/>
    <cellStyle name="Nota 2 5 3 3 8" xfId="25558"/>
    <cellStyle name="Nota 2 5 3 3 9" xfId="29590"/>
    <cellStyle name="Nota 2 5 3 4" xfId="1735"/>
    <cellStyle name="Nota 2 5 3 4 10" xfId="33691"/>
    <cellStyle name="Nota 2 5 3 4 11" xfId="37723"/>
    <cellStyle name="Nota 2 5 3 4 12" xfId="41755"/>
    <cellStyle name="Nota 2 5 3 4 13" xfId="45787"/>
    <cellStyle name="Nota 2 5 3 4 14" xfId="49865"/>
    <cellStyle name="Nota 2 5 3 4 2" xfId="5406"/>
    <cellStyle name="Nota 2 5 3 4 2 10" xfId="38674"/>
    <cellStyle name="Nota 2 5 3 4 2 11" xfId="42706"/>
    <cellStyle name="Nota 2 5 3 4 2 12" xfId="46738"/>
    <cellStyle name="Nota 2 5 3 4 2 13" xfId="50817"/>
    <cellStyle name="Nota 2 5 3 4 2 2" xfId="8432"/>
    <cellStyle name="Nota 2 5 3 4 2 2 10" xfId="44722"/>
    <cellStyle name="Nota 2 5 3 4 2 2 11" xfId="48754"/>
    <cellStyle name="Nota 2 5 3 4 2 2 12" xfId="52833"/>
    <cellStyle name="Nota 2 5 3 4 2 2 2" xfId="12466"/>
    <cellStyle name="Nota 2 5 3 4 2 2 3" xfId="16498"/>
    <cellStyle name="Nota 2 5 3 4 2 2 4" xfId="20530"/>
    <cellStyle name="Nota 2 5 3 4 2 2 5" xfId="24562"/>
    <cellStyle name="Nota 2 5 3 4 2 2 6" xfId="28594"/>
    <cellStyle name="Nota 2 5 3 4 2 2 7" xfId="32626"/>
    <cellStyle name="Nota 2 5 3 4 2 2 8" xfId="36658"/>
    <cellStyle name="Nota 2 5 3 4 2 2 9" xfId="40690"/>
    <cellStyle name="Nota 2 5 3 4 2 3" xfId="10450"/>
    <cellStyle name="Nota 2 5 3 4 2 4" xfId="14482"/>
    <cellStyle name="Nota 2 5 3 4 2 5" xfId="18514"/>
    <cellStyle name="Nota 2 5 3 4 2 6" xfId="22546"/>
    <cellStyle name="Nota 2 5 3 4 2 7" xfId="26578"/>
    <cellStyle name="Nota 2 5 3 4 2 8" xfId="30610"/>
    <cellStyle name="Nota 2 5 3 4 2 9" xfId="34642"/>
    <cellStyle name="Nota 2 5 3 4 3" xfId="7481"/>
    <cellStyle name="Nota 2 5 3 4 3 10" xfId="43771"/>
    <cellStyle name="Nota 2 5 3 4 3 11" xfId="47803"/>
    <cellStyle name="Nota 2 5 3 4 3 12" xfId="51882"/>
    <cellStyle name="Nota 2 5 3 4 3 2" xfId="11515"/>
    <cellStyle name="Nota 2 5 3 4 3 3" xfId="15547"/>
    <cellStyle name="Nota 2 5 3 4 3 4" xfId="19579"/>
    <cellStyle name="Nota 2 5 3 4 3 5" xfId="23611"/>
    <cellStyle name="Nota 2 5 3 4 3 6" xfId="27643"/>
    <cellStyle name="Nota 2 5 3 4 3 7" xfId="31675"/>
    <cellStyle name="Nota 2 5 3 4 3 8" xfId="35707"/>
    <cellStyle name="Nota 2 5 3 4 3 9" xfId="39739"/>
    <cellStyle name="Nota 2 5 3 4 4" xfId="9499"/>
    <cellStyle name="Nota 2 5 3 4 5" xfId="13531"/>
    <cellStyle name="Nota 2 5 3 4 6" xfId="17563"/>
    <cellStyle name="Nota 2 5 3 4 7" xfId="21595"/>
    <cellStyle name="Nota 2 5 3 4 8" xfId="25627"/>
    <cellStyle name="Nota 2 5 3 4 9" xfId="29659"/>
    <cellStyle name="Nota 2 5 3 5" xfId="4057"/>
    <cellStyle name="Nota 2 5 3 5 10" xfId="33914"/>
    <cellStyle name="Nota 2 5 3 5 11" xfId="37946"/>
    <cellStyle name="Nota 2 5 3 5 12" xfId="41978"/>
    <cellStyle name="Nota 2 5 3 5 13" xfId="46010"/>
    <cellStyle name="Nota 2 5 3 5 14" xfId="50088"/>
    <cellStyle name="Nota 2 5 3 5 2" xfId="6639"/>
    <cellStyle name="Nota 2 5 3 5 2 10" xfId="38897"/>
    <cellStyle name="Nota 2 5 3 5 2 11" xfId="42929"/>
    <cellStyle name="Nota 2 5 3 5 2 12" xfId="46961"/>
    <cellStyle name="Nota 2 5 3 5 2 13" xfId="51040"/>
    <cellStyle name="Nota 2 5 3 5 2 2" xfId="8655"/>
    <cellStyle name="Nota 2 5 3 5 2 2 10" xfId="44945"/>
    <cellStyle name="Nota 2 5 3 5 2 2 11" xfId="48977"/>
    <cellStyle name="Nota 2 5 3 5 2 2 12" xfId="53056"/>
    <cellStyle name="Nota 2 5 3 5 2 2 2" xfId="12689"/>
    <cellStyle name="Nota 2 5 3 5 2 2 3" xfId="16721"/>
    <cellStyle name="Nota 2 5 3 5 2 2 4" xfId="20753"/>
    <cellStyle name="Nota 2 5 3 5 2 2 5" xfId="24785"/>
    <cellStyle name="Nota 2 5 3 5 2 2 6" xfId="28817"/>
    <cellStyle name="Nota 2 5 3 5 2 2 7" xfId="32849"/>
    <cellStyle name="Nota 2 5 3 5 2 2 8" xfId="36881"/>
    <cellStyle name="Nota 2 5 3 5 2 2 9" xfId="40913"/>
    <cellStyle name="Nota 2 5 3 5 2 3" xfId="10673"/>
    <cellStyle name="Nota 2 5 3 5 2 4" xfId="14705"/>
    <cellStyle name="Nota 2 5 3 5 2 5" xfId="18737"/>
    <cellStyle name="Nota 2 5 3 5 2 6" xfId="22769"/>
    <cellStyle name="Nota 2 5 3 5 2 7" xfId="26801"/>
    <cellStyle name="Nota 2 5 3 5 2 8" xfId="30833"/>
    <cellStyle name="Nota 2 5 3 5 2 9" xfId="34865"/>
    <cellStyle name="Nota 2 5 3 5 3" xfId="7704"/>
    <cellStyle name="Nota 2 5 3 5 3 10" xfId="43994"/>
    <cellStyle name="Nota 2 5 3 5 3 11" xfId="48026"/>
    <cellStyle name="Nota 2 5 3 5 3 12" xfId="52105"/>
    <cellStyle name="Nota 2 5 3 5 3 2" xfId="11738"/>
    <cellStyle name="Nota 2 5 3 5 3 3" xfId="15770"/>
    <cellStyle name="Nota 2 5 3 5 3 4" xfId="19802"/>
    <cellStyle name="Nota 2 5 3 5 3 5" xfId="23834"/>
    <cellStyle name="Nota 2 5 3 5 3 6" xfId="27866"/>
    <cellStyle name="Nota 2 5 3 5 3 7" xfId="31898"/>
    <cellStyle name="Nota 2 5 3 5 3 8" xfId="35930"/>
    <cellStyle name="Nota 2 5 3 5 3 9" xfId="39962"/>
    <cellStyle name="Nota 2 5 3 5 4" xfId="9722"/>
    <cellStyle name="Nota 2 5 3 5 5" xfId="13754"/>
    <cellStyle name="Nota 2 5 3 5 6" xfId="17786"/>
    <cellStyle name="Nota 2 5 3 5 7" xfId="21818"/>
    <cellStyle name="Nota 2 5 3 5 8" xfId="25850"/>
    <cellStyle name="Nota 2 5 3 5 9" xfId="29882"/>
    <cellStyle name="Nota 2 5 3 6" xfId="4127"/>
    <cellStyle name="Nota 2 5 3 6 10" xfId="33983"/>
    <cellStyle name="Nota 2 5 3 6 11" xfId="38015"/>
    <cellStyle name="Nota 2 5 3 6 12" xfId="42047"/>
    <cellStyle name="Nota 2 5 3 6 13" xfId="46079"/>
    <cellStyle name="Nota 2 5 3 6 14" xfId="50157"/>
    <cellStyle name="Nota 2 5 3 6 2" xfId="6708"/>
    <cellStyle name="Nota 2 5 3 6 2 10" xfId="38966"/>
    <cellStyle name="Nota 2 5 3 6 2 11" xfId="42998"/>
    <cellStyle name="Nota 2 5 3 6 2 12" xfId="47030"/>
    <cellStyle name="Nota 2 5 3 6 2 13" xfId="51109"/>
    <cellStyle name="Nota 2 5 3 6 2 2" xfId="8724"/>
    <cellStyle name="Nota 2 5 3 6 2 2 10" xfId="45014"/>
    <cellStyle name="Nota 2 5 3 6 2 2 11" xfId="49046"/>
    <cellStyle name="Nota 2 5 3 6 2 2 12" xfId="53125"/>
    <cellStyle name="Nota 2 5 3 6 2 2 2" xfId="12758"/>
    <cellStyle name="Nota 2 5 3 6 2 2 3" xfId="16790"/>
    <cellStyle name="Nota 2 5 3 6 2 2 4" xfId="20822"/>
    <cellStyle name="Nota 2 5 3 6 2 2 5" xfId="24854"/>
    <cellStyle name="Nota 2 5 3 6 2 2 6" xfId="28886"/>
    <cellStyle name="Nota 2 5 3 6 2 2 7" xfId="32918"/>
    <cellStyle name="Nota 2 5 3 6 2 2 8" xfId="36950"/>
    <cellStyle name="Nota 2 5 3 6 2 2 9" xfId="40982"/>
    <cellStyle name="Nota 2 5 3 6 2 3" xfId="10742"/>
    <cellStyle name="Nota 2 5 3 6 2 4" xfId="14774"/>
    <cellStyle name="Nota 2 5 3 6 2 5" xfId="18806"/>
    <cellStyle name="Nota 2 5 3 6 2 6" xfId="22838"/>
    <cellStyle name="Nota 2 5 3 6 2 7" xfId="26870"/>
    <cellStyle name="Nota 2 5 3 6 2 8" xfId="30902"/>
    <cellStyle name="Nota 2 5 3 6 2 9" xfId="34934"/>
    <cellStyle name="Nota 2 5 3 6 3" xfId="7773"/>
    <cellStyle name="Nota 2 5 3 6 3 10" xfId="44063"/>
    <cellStyle name="Nota 2 5 3 6 3 11" xfId="48095"/>
    <cellStyle name="Nota 2 5 3 6 3 12" xfId="52174"/>
    <cellStyle name="Nota 2 5 3 6 3 2" xfId="11807"/>
    <cellStyle name="Nota 2 5 3 6 3 3" xfId="15839"/>
    <cellStyle name="Nota 2 5 3 6 3 4" xfId="19871"/>
    <cellStyle name="Nota 2 5 3 6 3 5" xfId="23903"/>
    <cellStyle name="Nota 2 5 3 6 3 6" xfId="27935"/>
    <cellStyle name="Nota 2 5 3 6 3 7" xfId="31967"/>
    <cellStyle name="Nota 2 5 3 6 3 8" xfId="35999"/>
    <cellStyle name="Nota 2 5 3 6 3 9" xfId="40031"/>
    <cellStyle name="Nota 2 5 3 6 4" xfId="9791"/>
    <cellStyle name="Nota 2 5 3 6 5" xfId="13823"/>
    <cellStyle name="Nota 2 5 3 6 6" xfId="17855"/>
    <cellStyle name="Nota 2 5 3 6 7" xfId="21887"/>
    <cellStyle name="Nota 2 5 3 6 8" xfId="25919"/>
    <cellStyle name="Nota 2 5 3 6 9" xfId="29951"/>
    <cellStyle name="Nota 2 5 3 7" xfId="4196"/>
    <cellStyle name="Nota 2 5 3 7 10" xfId="34052"/>
    <cellStyle name="Nota 2 5 3 7 11" xfId="38084"/>
    <cellStyle name="Nota 2 5 3 7 12" xfId="42116"/>
    <cellStyle name="Nota 2 5 3 7 13" xfId="46148"/>
    <cellStyle name="Nota 2 5 3 7 14" xfId="50226"/>
    <cellStyle name="Nota 2 5 3 7 2" xfId="6777"/>
    <cellStyle name="Nota 2 5 3 7 2 10" xfId="39035"/>
    <cellStyle name="Nota 2 5 3 7 2 11" xfId="43067"/>
    <cellStyle name="Nota 2 5 3 7 2 12" xfId="47099"/>
    <cellStyle name="Nota 2 5 3 7 2 13" xfId="51178"/>
    <cellStyle name="Nota 2 5 3 7 2 2" xfId="8793"/>
    <cellStyle name="Nota 2 5 3 7 2 2 10" xfId="45083"/>
    <cellStyle name="Nota 2 5 3 7 2 2 11" xfId="49115"/>
    <cellStyle name="Nota 2 5 3 7 2 2 12" xfId="53194"/>
    <cellStyle name="Nota 2 5 3 7 2 2 2" xfId="12827"/>
    <cellStyle name="Nota 2 5 3 7 2 2 3" xfId="16859"/>
    <cellStyle name="Nota 2 5 3 7 2 2 4" xfId="20891"/>
    <cellStyle name="Nota 2 5 3 7 2 2 5" xfId="24923"/>
    <cellStyle name="Nota 2 5 3 7 2 2 6" xfId="28955"/>
    <cellStyle name="Nota 2 5 3 7 2 2 7" xfId="32987"/>
    <cellStyle name="Nota 2 5 3 7 2 2 8" xfId="37019"/>
    <cellStyle name="Nota 2 5 3 7 2 2 9" xfId="41051"/>
    <cellStyle name="Nota 2 5 3 7 2 3" xfId="10811"/>
    <cellStyle name="Nota 2 5 3 7 2 4" xfId="14843"/>
    <cellStyle name="Nota 2 5 3 7 2 5" xfId="18875"/>
    <cellStyle name="Nota 2 5 3 7 2 6" xfId="22907"/>
    <cellStyle name="Nota 2 5 3 7 2 7" xfId="26939"/>
    <cellStyle name="Nota 2 5 3 7 2 8" xfId="30971"/>
    <cellStyle name="Nota 2 5 3 7 2 9" xfId="35003"/>
    <cellStyle name="Nota 2 5 3 7 3" xfId="7842"/>
    <cellStyle name="Nota 2 5 3 7 3 10" xfId="44132"/>
    <cellStyle name="Nota 2 5 3 7 3 11" xfId="48164"/>
    <cellStyle name="Nota 2 5 3 7 3 12" xfId="52243"/>
    <cellStyle name="Nota 2 5 3 7 3 2" xfId="11876"/>
    <cellStyle name="Nota 2 5 3 7 3 3" xfId="15908"/>
    <cellStyle name="Nota 2 5 3 7 3 4" xfId="19940"/>
    <cellStyle name="Nota 2 5 3 7 3 5" xfId="23972"/>
    <cellStyle name="Nota 2 5 3 7 3 6" xfId="28004"/>
    <cellStyle name="Nota 2 5 3 7 3 7" xfId="32036"/>
    <cellStyle name="Nota 2 5 3 7 3 8" xfId="36068"/>
    <cellStyle name="Nota 2 5 3 7 3 9" xfId="40100"/>
    <cellStyle name="Nota 2 5 3 7 4" xfId="9860"/>
    <cellStyle name="Nota 2 5 3 7 5" xfId="13892"/>
    <cellStyle name="Nota 2 5 3 7 6" xfId="17924"/>
    <cellStyle name="Nota 2 5 3 7 7" xfId="21956"/>
    <cellStyle name="Nota 2 5 3 7 8" xfId="25988"/>
    <cellStyle name="Nota 2 5 3 7 9" xfId="30020"/>
    <cellStyle name="Nota 2 5 3 8" xfId="4269"/>
    <cellStyle name="Nota 2 5 3 8 10" xfId="34121"/>
    <cellStyle name="Nota 2 5 3 8 11" xfId="38153"/>
    <cellStyle name="Nota 2 5 3 8 12" xfId="42185"/>
    <cellStyle name="Nota 2 5 3 8 13" xfId="46217"/>
    <cellStyle name="Nota 2 5 3 8 14" xfId="50295"/>
    <cellStyle name="Nota 2 5 3 8 2" xfId="6846"/>
    <cellStyle name="Nota 2 5 3 8 2 10" xfId="39104"/>
    <cellStyle name="Nota 2 5 3 8 2 11" xfId="43136"/>
    <cellStyle name="Nota 2 5 3 8 2 12" xfId="47168"/>
    <cellStyle name="Nota 2 5 3 8 2 13" xfId="51247"/>
    <cellStyle name="Nota 2 5 3 8 2 2" xfId="8862"/>
    <cellStyle name="Nota 2 5 3 8 2 2 10" xfId="45152"/>
    <cellStyle name="Nota 2 5 3 8 2 2 11" xfId="49184"/>
    <cellStyle name="Nota 2 5 3 8 2 2 12" xfId="53263"/>
    <cellStyle name="Nota 2 5 3 8 2 2 2" xfId="12896"/>
    <cellStyle name="Nota 2 5 3 8 2 2 3" xfId="16928"/>
    <cellStyle name="Nota 2 5 3 8 2 2 4" xfId="20960"/>
    <cellStyle name="Nota 2 5 3 8 2 2 5" xfId="24992"/>
    <cellStyle name="Nota 2 5 3 8 2 2 6" xfId="29024"/>
    <cellStyle name="Nota 2 5 3 8 2 2 7" xfId="33056"/>
    <cellStyle name="Nota 2 5 3 8 2 2 8" xfId="37088"/>
    <cellStyle name="Nota 2 5 3 8 2 2 9" xfId="41120"/>
    <cellStyle name="Nota 2 5 3 8 2 3" xfId="10880"/>
    <cellStyle name="Nota 2 5 3 8 2 4" xfId="14912"/>
    <cellStyle name="Nota 2 5 3 8 2 5" xfId="18944"/>
    <cellStyle name="Nota 2 5 3 8 2 6" xfId="22976"/>
    <cellStyle name="Nota 2 5 3 8 2 7" xfId="27008"/>
    <cellStyle name="Nota 2 5 3 8 2 8" xfId="31040"/>
    <cellStyle name="Nota 2 5 3 8 2 9" xfId="35072"/>
    <cellStyle name="Nota 2 5 3 8 3" xfId="7911"/>
    <cellStyle name="Nota 2 5 3 8 3 10" xfId="44201"/>
    <cellStyle name="Nota 2 5 3 8 3 11" xfId="48233"/>
    <cellStyle name="Nota 2 5 3 8 3 12" xfId="52312"/>
    <cellStyle name="Nota 2 5 3 8 3 2" xfId="11945"/>
    <cellStyle name="Nota 2 5 3 8 3 3" xfId="15977"/>
    <cellStyle name="Nota 2 5 3 8 3 4" xfId="20009"/>
    <cellStyle name="Nota 2 5 3 8 3 5" xfId="24041"/>
    <cellStyle name="Nota 2 5 3 8 3 6" xfId="28073"/>
    <cellStyle name="Nota 2 5 3 8 3 7" xfId="32105"/>
    <cellStyle name="Nota 2 5 3 8 3 8" xfId="36137"/>
    <cellStyle name="Nota 2 5 3 8 3 9" xfId="40169"/>
    <cellStyle name="Nota 2 5 3 8 4" xfId="9929"/>
    <cellStyle name="Nota 2 5 3 8 5" xfId="13961"/>
    <cellStyle name="Nota 2 5 3 8 6" xfId="17993"/>
    <cellStyle name="Nota 2 5 3 8 7" xfId="22025"/>
    <cellStyle name="Nota 2 5 3 8 8" xfId="26057"/>
    <cellStyle name="Nota 2 5 3 8 9" xfId="30089"/>
    <cellStyle name="Nota 2 5 3 9" xfId="4415"/>
    <cellStyle name="Nota 2 5 3 9 10" xfId="34259"/>
    <cellStyle name="Nota 2 5 3 9 11" xfId="38291"/>
    <cellStyle name="Nota 2 5 3 9 12" xfId="42323"/>
    <cellStyle name="Nota 2 5 3 9 13" xfId="46355"/>
    <cellStyle name="Nota 2 5 3 9 14" xfId="50434"/>
    <cellStyle name="Nota 2 5 3 9 2" xfId="6984"/>
    <cellStyle name="Nota 2 5 3 9 2 10" xfId="39242"/>
    <cellStyle name="Nota 2 5 3 9 2 11" xfId="43274"/>
    <cellStyle name="Nota 2 5 3 9 2 12" xfId="47306"/>
    <cellStyle name="Nota 2 5 3 9 2 13" xfId="51385"/>
    <cellStyle name="Nota 2 5 3 9 2 2" xfId="9000"/>
    <cellStyle name="Nota 2 5 3 9 2 2 10" xfId="45290"/>
    <cellStyle name="Nota 2 5 3 9 2 2 11" xfId="49322"/>
    <cellStyle name="Nota 2 5 3 9 2 2 12" xfId="53401"/>
    <cellStyle name="Nota 2 5 3 9 2 2 2" xfId="13034"/>
    <cellStyle name="Nota 2 5 3 9 2 2 3" xfId="17066"/>
    <cellStyle name="Nota 2 5 3 9 2 2 4" xfId="21098"/>
    <cellStyle name="Nota 2 5 3 9 2 2 5" xfId="25130"/>
    <cellStyle name="Nota 2 5 3 9 2 2 6" xfId="29162"/>
    <cellStyle name="Nota 2 5 3 9 2 2 7" xfId="33194"/>
    <cellStyle name="Nota 2 5 3 9 2 2 8" xfId="37226"/>
    <cellStyle name="Nota 2 5 3 9 2 2 9" xfId="41258"/>
    <cellStyle name="Nota 2 5 3 9 2 3" xfId="11018"/>
    <cellStyle name="Nota 2 5 3 9 2 4" xfId="15050"/>
    <cellStyle name="Nota 2 5 3 9 2 5" xfId="19082"/>
    <cellStyle name="Nota 2 5 3 9 2 6" xfId="23114"/>
    <cellStyle name="Nota 2 5 3 9 2 7" xfId="27146"/>
    <cellStyle name="Nota 2 5 3 9 2 8" xfId="31178"/>
    <cellStyle name="Nota 2 5 3 9 2 9" xfId="35210"/>
    <cellStyle name="Nota 2 5 3 9 3" xfId="8049"/>
    <cellStyle name="Nota 2 5 3 9 3 10" xfId="44339"/>
    <cellStyle name="Nota 2 5 3 9 3 11" xfId="48371"/>
    <cellStyle name="Nota 2 5 3 9 3 12" xfId="52450"/>
    <cellStyle name="Nota 2 5 3 9 3 2" xfId="12083"/>
    <cellStyle name="Nota 2 5 3 9 3 3" xfId="16115"/>
    <cellStyle name="Nota 2 5 3 9 3 4" xfId="20147"/>
    <cellStyle name="Nota 2 5 3 9 3 5" xfId="24179"/>
    <cellStyle name="Nota 2 5 3 9 3 6" xfId="28211"/>
    <cellStyle name="Nota 2 5 3 9 3 7" xfId="32243"/>
    <cellStyle name="Nota 2 5 3 9 3 8" xfId="36275"/>
    <cellStyle name="Nota 2 5 3 9 3 9" xfId="40307"/>
    <cellStyle name="Nota 2 5 3 9 4" xfId="10067"/>
    <cellStyle name="Nota 2 5 3 9 5" xfId="14099"/>
    <cellStyle name="Nota 2 5 3 9 6" xfId="18131"/>
    <cellStyle name="Nota 2 5 3 9 7" xfId="22163"/>
    <cellStyle name="Nota 2 5 3 9 8" xfId="26195"/>
    <cellStyle name="Nota 2 5 3 9 9" xfId="30227"/>
    <cellStyle name="Nota 2 5 4" xfId="54"/>
    <cellStyle name="Nota 2 5 4 10" xfId="332"/>
    <cellStyle name="Nota 2 5 4 10 10" xfId="37537"/>
    <cellStyle name="Nota 2 5 4 10 11" xfId="41569"/>
    <cellStyle name="Nota 2 5 4 10 12" xfId="45601"/>
    <cellStyle name="Nota 2 5 4 10 13" xfId="49679"/>
    <cellStyle name="Nota 2 5 4 10 2" xfId="7295"/>
    <cellStyle name="Nota 2 5 4 10 2 10" xfId="43585"/>
    <cellStyle name="Nota 2 5 4 10 2 11" xfId="47617"/>
    <cellStyle name="Nota 2 5 4 10 2 12" xfId="51696"/>
    <cellStyle name="Nota 2 5 4 10 2 2" xfId="11329"/>
    <cellStyle name="Nota 2 5 4 10 2 3" xfId="15361"/>
    <cellStyle name="Nota 2 5 4 10 2 4" xfId="19393"/>
    <cellStyle name="Nota 2 5 4 10 2 5" xfId="23425"/>
    <cellStyle name="Nota 2 5 4 10 2 6" xfId="27457"/>
    <cellStyle name="Nota 2 5 4 10 2 7" xfId="31489"/>
    <cellStyle name="Nota 2 5 4 10 2 8" xfId="35521"/>
    <cellStyle name="Nota 2 5 4 10 2 9" xfId="39553"/>
    <cellStyle name="Nota 2 5 4 10 3" xfId="9313"/>
    <cellStyle name="Nota 2 5 4 10 4" xfId="13345"/>
    <cellStyle name="Nota 2 5 4 10 5" xfId="17377"/>
    <cellStyle name="Nota 2 5 4 10 6" xfId="21409"/>
    <cellStyle name="Nota 2 5 4 10 7" xfId="25441"/>
    <cellStyle name="Nota 2 5 4 10 8" xfId="29473"/>
    <cellStyle name="Nota 2 5 4 10 9" xfId="33505"/>
    <cellStyle name="Nota 2 5 4 11" xfId="7103"/>
    <cellStyle name="Nota 2 5 4 11 10" xfId="43393"/>
    <cellStyle name="Nota 2 5 4 11 11" xfId="47425"/>
    <cellStyle name="Nota 2 5 4 11 12" xfId="51504"/>
    <cellStyle name="Nota 2 5 4 11 2" xfId="11137"/>
    <cellStyle name="Nota 2 5 4 11 3" xfId="15169"/>
    <cellStyle name="Nota 2 5 4 11 4" xfId="19201"/>
    <cellStyle name="Nota 2 5 4 11 5" xfId="23233"/>
    <cellStyle name="Nota 2 5 4 11 6" xfId="27265"/>
    <cellStyle name="Nota 2 5 4 11 7" xfId="31297"/>
    <cellStyle name="Nota 2 5 4 11 8" xfId="35329"/>
    <cellStyle name="Nota 2 5 4 11 9" xfId="39361"/>
    <cellStyle name="Nota 2 5 4 12" xfId="129"/>
    <cellStyle name="Nota 2 5 4 13" xfId="9121"/>
    <cellStyle name="Nota 2 5 4 14" xfId="13153"/>
    <cellStyle name="Nota 2 5 4 15" xfId="17185"/>
    <cellStyle name="Nota 2 5 4 16" xfId="21217"/>
    <cellStyle name="Nota 2 5 4 17" xfId="25249"/>
    <cellStyle name="Nota 2 5 4 18" xfId="29281"/>
    <cellStyle name="Nota 2 5 4 19" xfId="33313"/>
    <cellStyle name="Nota 2 5 4 2" xfId="208"/>
    <cellStyle name="Nota 2 5 4 2 10" xfId="21286"/>
    <cellStyle name="Nota 2 5 4 2 11" xfId="25318"/>
    <cellStyle name="Nota 2 5 4 2 12" xfId="29350"/>
    <cellStyle name="Nota 2 5 4 2 13" xfId="33382"/>
    <cellStyle name="Nota 2 5 4 2 14" xfId="37414"/>
    <cellStyle name="Nota 2 5 4 2 15" xfId="41446"/>
    <cellStyle name="Nota 2 5 4 2 16" xfId="45478"/>
    <cellStyle name="Nota 2 5 4 2 17" xfId="49556"/>
    <cellStyle name="Nota 2 5 4 2 2" xfId="4326"/>
    <cellStyle name="Nota 2 5 4 2 2 10" xfId="34171"/>
    <cellStyle name="Nota 2 5 4 2 2 11" xfId="38203"/>
    <cellStyle name="Nota 2 5 4 2 2 12" xfId="42235"/>
    <cellStyle name="Nota 2 5 4 2 2 13" xfId="46267"/>
    <cellStyle name="Nota 2 5 4 2 2 14" xfId="50346"/>
    <cellStyle name="Nota 2 5 4 2 2 2" xfId="6896"/>
    <cellStyle name="Nota 2 5 4 2 2 2 10" xfId="39154"/>
    <cellStyle name="Nota 2 5 4 2 2 2 11" xfId="43186"/>
    <cellStyle name="Nota 2 5 4 2 2 2 12" xfId="47218"/>
    <cellStyle name="Nota 2 5 4 2 2 2 13" xfId="51297"/>
    <cellStyle name="Nota 2 5 4 2 2 2 2" xfId="8912"/>
    <cellStyle name="Nota 2 5 4 2 2 2 2 10" xfId="45202"/>
    <cellStyle name="Nota 2 5 4 2 2 2 2 11" xfId="49234"/>
    <cellStyle name="Nota 2 5 4 2 2 2 2 12" xfId="53313"/>
    <cellStyle name="Nota 2 5 4 2 2 2 2 2" xfId="12946"/>
    <cellStyle name="Nota 2 5 4 2 2 2 2 3" xfId="16978"/>
    <cellStyle name="Nota 2 5 4 2 2 2 2 4" xfId="21010"/>
    <cellStyle name="Nota 2 5 4 2 2 2 2 5" xfId="25042"/>
    <cellStyle name="Nota 2 5 4 2 2 2 2 6" xfId="29074"/>
    <cellStyle name="Nota 2 5 4 2 2 2 2 7" xfId="33106"/>
    <cellStyle name="Nota 2 5 4 2 2 2 2 8" xfId="37138"/>
    <cellStyle name="Nota 2 5 4 2 2 2 2 9" xfId="41170"/>
    <cellStyle name="Nota 2 5 4 2 2 2 3" xfId="10930"/>
    <cellStyle name="Nota 2 5 4 2 2 2 4" xfId="14962"/>
    <cellStyle name="Nota 2 5 4 2 2 2 5" xfId="18994"/>
    <cellStyle name="Nota 2 5 4 2 2 2 6" xfId="23026"/>
    <cellStyle name="Nota 2 5 4 2 2 2 7" xfId="27058"/>
    <cellStyle name="Nota 2 5 4 2 2 2 8" xfId="31090"/>
    <cellStyle name="Nota 2 5 4 2 2 2 9" xfId="35122"/>
    <cellStyle name="Nota 2 5 4 2 2 3" xfId="7961"/>
    <cellStyle name="Nota 2 5 4 2 2 3 10" xfId="44251"/>
    <cellStyle name="Nota 2 5 4 2 2 3 11" xfId="48283"/>
    <cellStyle name="Nota 2 5 4 2 2 3 12" xfId="52362"/>
    <cellStyle name="Nota 2 5 4 2 2 3 2" xfId="11995"/>
    <cellStyle name="Nota 2 5 4 2 2 3 3" xfId="16027"/>
    <cellStyle name="Nota 2 5 4 2 2 3 4" xfId="20059"/>
    <cellStyle name="Nota 2 5 4 2 2 3 5" xfId="24091"/>
    <cellStyle name="Nota 2 5 4 2 2 3 6" xfId="28123"/>
    <cellStyle name="Nota 2 5 4 2 2 3 7" xfId="32155"/>
    <cellStyle name="Nota 2 5 4 2 2 3 8" xfId="36187"/>
    <cellStyle name="Nota 2 5 4 2 2 3 9" xfId="40219"/>
    <cellStyle name="Nota 2 5 4 2 2 4" xfId="9979"/>
    <cellStyle name="Nota 2 5 4 2 2 5" xfId="14011"/>
    <cellStyle name="Nota 2 5 4 2 2 6" xfId="18043"/>
    <cellStyle name="Nota 2 5 4 2 2 7" xfId="22075"/>
    <cellStyle name="Nota 2 5 4 2 2 8" xfId="26107"/>
    <cellStyle name="Nota 2 5 4 2 2 9" xfId="30139"/>
    <cellStyle name="Nota 2 5 4 2 3" xfId="4465"/>
    <cellStyle name="Nota 2 5 4 2 3 10" xfId="34309"/>
    <cellStyle name="Nota 2 5 4 2 3 11" xfId="38341"/>
    <cellStyle name="Nota 2 5 4 2 3 12" xfId="42373"/>
    <cellStyle name="Nota 2 5 4 2 3 13" xfId="46405"/>
    <cellStyle name="Nota 2 5 4 2 3 14" xfId="50484"/>
    <cellStyle name="Nota 2 5 4 2 3 2" xfId="7034"/>
    <cellStyle name="Nota 2 5 4 2 3 2 10" xfId="39292"/>
    <cellStyle name="Nota 2 5 4 2 3 2 11" xfId="43324"/>
    <cellStyle name="Nota 2 5 4 2 3 2 12" xfId="47356"/>
    <cellStyle name="Nota 2 5 4 2 3 2 13" xfId="51435"/>
    <cellStyle name="Nota 2 5 4 2 3 2 2" xfId="9050"/>
    <cellStyle name="Nota 2 5 4 2 3 2 2 10" xfId="45340"/>
    <cellStyle name="Nota 2 5 4 2 3 2 2 11" xfId="49372"/>
    <cellStyle name="Nota 2 5 4 2 3 2 2 12" xfId="53451"/>
    <cellStyle name="Nota 2 5 4 2 3 2 2 2" xfId="13084"/>
    <cellStyle name="Nota 2 5 4 2 3 2 2 3" xfId="17116"/>
    <cellStyle name="Nota 2 5 4 2 3 2 2 4" xfId="21148"/>
    <cellStyle name="Nota 2 5 4 2 3 2 2 5" xfId="25180"/>
    <cellStyle name="Nota 2 5 4 2 3 2 2 6" xfId="29212"/>
    <cellStyle name="Nota 2 5 4 2 3 2 2 7" xfId="33244"/>
    <cellStyle name="Nota 2 5 4 2 3 2 2 8" xfId="37276"/>
    <cellStyle name="Nota 2 5 4 2 3 2 2 9" xfId="41308"/>
    <cellStyle name="Nota 2 5 4 2 3 2 3" xfId="11068"/>
    <cellStyle name="Nota 2 5 4 2 3 2 4" xfId="15100"/>
    <cellStyle name="Nota 2 5 4 2 3 2 5" xfId="19132"/>
    <cellStyle name="Nota 2 5 4 2 3 2 6" xfId="23164"/>
    <cellStyle name="Nota 2 5 4 2 3 2 7" xfId="27196"/>
    <cellStyle name="Nota 2 5 4 2 3 2 8" xfId="31228"/>
    <cellStyle name="Nota 2 5 4 2 3 2 9" xfId="35260"/>
    <cellStyle name="Nota 2 5 4 2 3 3" xfId="8099"/>
    <cellStyle name="Nota 2 5 4 2 3 3 10" xfId="44389"/>
    <cellStyle name="Nota 2 5 4 2 3 3 11" xfId="48421"/>
    <cellStyle name="Nota 2 5 4 2 3 3 12" xfId="52500"/>
    <cellStyle name="Nota 2 5 4 2 3 3 2" xfId="12133"/>
    <cellStyle name="Nota 2 5 4 2 3 3 3" xfId="16165"/>
    <cellStyle name="Nota 2 5 4 2 3 3 4" xfId="20197"/>
    <cellStyle name="Nota 2 5 4 2 3 3 5" xfId="24229"/>
    <cellStyle name="Nota 2 5 4 2 3 3 6" xfId="28261"/>
    <cellStyle name="Nota 2 5 4 2 3 3 7" xfId="32293"/>
    <cellStyle name="Nota 2 5 4 2 3 3 8" xfId="36325"/>
    <cellStyle name="Nota 2 5 4 2 3 3 9" xfId="40357"/>
    <cellStyle name="Nota 2 5 4 2 3 4" xfId="10117"/>
    <cellStyle name="Nota 2 5 4 2 3 5" xfId="14149"/>
    <cellStyle name="Nota 2 5 4 2 3 6" xfId="18181"/>
    <cellStyle name="Nota 2 5 4 2 3 7" xfId="22213"/>
    <cellStyle name="Nota 2 5 4 2 3 8" xfId="26245"/>
    <cellStyle name="Nota 2 5 4 2 3 9" xfId="30277"/>
    <cellStyle name="Nota 2 5 4 2 4" xfId="4605"/>
    <cellStyle name="Nota 2 5 4 2 4 10" xfId="38479"/>
    <cellStyle name="Nota 2 5 4 2 4 11" xfId="42511"/>
    <cellStyle name="Nota 2 5 4 2 4 12" xfId="46543"/>
    <cellStyle name="Nota 2 5 4 2 4 13" xfId="50622"/>
    <cellStyle name="Nota 2 5 4 2 4 2" xfId="8237"/>
    <cellStyle name="Nota 2 5 4 2 4 2 10" xfId="44527"/>
    <cellStyle name="Nota 2 5 4 2 4 2 11" xfId="48559"/>
    <cellStyle name="Nota 2 5 4 2 4 2 12" xfId="52638"/>
    <cellStyle name="Nota 2 5 4 2 4 2 2" xfId="12271"/>
    <cellStyle name="Nota 2 5 4 2 4 2 3" xfId="16303"/>
    <cellStyle name="Nota 2 5 4 2 4 2 4" xfId="20335"/>
    <cellStyle name="Nota 2 5 4 2 4 2 5" xfId="24367"/>
    <cellStyle name="Nota 2 5 4 2 4 2 6" xfId="28399"/>
    <cellStyle name="Nota 2 5 4 2 4 2 7" xfId="32431"/>
    <cellStyle name="Nota 2 5 4 2 4 2 8" xfId="36463"/>
    <cellStyle name="Nota 2 5 4 2 4 2 9" xfId="40495"/>
    <cellStyle name="Nota 2 5 4 2 4 3" xfId="10255"/>
    <cellStyle name="Nota 2 5 4 2 4 4" xfId="14287"/>
    <cellStyle name="Nota 2 5 4 2 4 5" xfId="18319"/>
    <cellStyle name="Nota 2 5 4 2 4 6" xfId="22351"/>
    <cellStyle name="Nota 2 5 4 2 4 7" xfId="26383"/>
    <cellStyle name="Nota 2 5 4 2 4 8" xfId="30415"/>
    <cellStyle name="Nota 2 5 4 2 4 9" xfId="34447"/>
    <cellStyle name="Nota 2 5 4 2 5" xfId="1642"/>
    <cellStyle name="Nota 2 5 4 2 5 10" xfId="37635"/>
    <cellStyle name="Nota 2 5 4 2 5 11" xfId="41667"/>
    <cellStyle name="Nota 2 5 4 2 5 12" xfId="45699"/>
    <cellStyle name="Nota 2 5 4 2 5 13" xfId="49777"/>
    <cellStyle name="Nota 2 5 4 2 5 2" xfId="7393"/>
    <cellStyle name="Nota 2 5 4 2 5 2 10" xfId="43683"/>
    <cellStyle name="Nota 2 5 4 2 5 2 11" xfId="47715"/>
    <cellStyle name="Nota 2 5 4 2 5 2 12" xfId="51794"/>
    <cellStyle name="Nota 2 5 4 2 5 2 2" xfId="11427"/>
    <cellStyle name="Nota 2 5 4 2 5 2 3" xfId="15459"/>
    <cellStyle name="Nota 2 5 4 2 5 2 4" xfId="19491"/>
    <cellStyle name="Nota 2 5 4 2 5 2 5" xfId="23523"/>
    <cellStyle name="Nota 2 5 4 2 5 2 6" xfId="27555"/>
    <cellStyle name="Nota 2 5 4 2 5 2 7" xfId="31587"/>
    <cellStyle name="Nota 2 5 4 2 5 2 8" xfId="35619"/>
    <cellStyle name="Nota 2 5 4 2 5 2 9" xfId="39651"/>
    <cellStyle name="Nota 2 5 4 2 5 3" xfId="9411"/>
    <cellStyle name="Nota 2 5 4 2 5 4" xfId="13443"/>
    <cellStyle name="Nota 2 5 4 2 5 5" xfId="17475"/>
    <cellStyle name="Nota 2 5 4 2 5 6" xfId="21507"/>
    <cellStyle name="Nota 2 5 4 2 5 7" xfId="25539"/>
    <cellStyle name="Nota 2 5 4 2 5 8" xfId="29571"/>
    <cellStyle name="Nota 2 5 4 2 5 9" xfId="33603"/>
    <cellStyle name="Nota 2 5 4 2 6" xfId="7172"/>
    <cellStyle name="Nota 2 5 4 2 6 10" xfId="43462"/>
    <cellStyle name="Nota 2 5 4 2 6 11" xfId="47494"/>
    <cellStyle name="Nota 2 5 4 2 6 12" xfId="51573"/>
    <cellStyle name="Nota 2 5 4 2 6 2" xfId="11206"/>
    <cellStyle name="Nota 2 5 4 2 6 3" xfId="15238"/>
    <cellStyle name="Nota 2 5 4 2 6 4" xfId="19270"/>
    <cellStyle name="Nota 2 5 4 2 6 5" xfId="23302"/>
    <cellStyle name="Nota 2 5 4 2 6 6" xfId="27334"/>
    <cellStyle name="Nota 2 5 4 2 6 7" xfId="31366"/>
    <cellStyle name="Nota 2 5 4 2 6 8" xfId="35398"/>
    <cellStyle name="Nota 2 5 4 2 6 9" xfId="39430"/>
    <cellStyle name="Nota 2 5 4 2 7" xfId="9190"/>
    <cellStyle name="Nota 2 5 4 2 8" xfId="13222"/>
    <cellStyle name="Nota 2 5 4 2 9" xfId="17254"/>
    <cellStyle name="Nota 2 5 4 20" xfId="37345"/>
    <cellStyle name="Nota 2 5 4 21" xfId="41377"/>
    <cellStyle name="Nota 2 5 4 22" xfId="45409"/>
    <cellStyle name="Nota 2 5 4 23" xfId="49487"/>
    <cellStyle name="Nota 2 5 4 3" xfId="1716"/>
    <cellStyle name="Nota 2 5 4 3 10" xfId="33672"/>
    <cellStyle name="Nota 2 5 4 3 11" xfId="37704"/>
    <cellStyle name="Nota 2 5 4 3 12" xfId="41736"/>
    <cellStyle name="Nota 2 5 4 3 13" xfId="45768"/>
    <cellStyle name="Nota 2 5 4 3 14" xfId="49846"/>
    <cellStyle name="Nota 2 5 4 3 2" xfId="5387"/>
    <cellStyle name="Nota 2 5 4 3 2 10" xfId="38655"/>
    <cellStyle name="Nota 2 5 4 3 2 11" xfId="42687"/>
    <cellStyle name="Nota 2 5 4 3 2 12" xfId="46719"/>
    <cellStyle name="Nota 2 5 4 3 2 13" xfId="50798"/>
    <cellStyle name="Nota 2 5 4 3 2 2" xfId="8413"/>
    <cellStyle name="Nota 2 5 4 3 2 2 10" xfId="44703"/>
    <cellStyle name="Nota 2 5 4 3 2 2 11" xfId="48735"/>
    <cellStyle name="Nota 2 5 4 3 2 2 12" xfId="52814"/>
    <cellStyle name="Nota 2 5 4 3 2 2 2" xfId="12447"/>
    <cellStyle name="Nota 2 5 4 3 2 2 3" xfId="16479"/>
    <cellStyle name="Nota 2 5 4 3 2 2 4" xfId="20511"/>
    <cellStyle name="Nota 2 5 4 3 2 2 5" xfId="24543"/>
    <cellStyle name="Nota 2 5 4 3 2 2 6" xfId="28575"/>
    <cellStyle name="Nota 2 5 4 3 2 2 7" xfId="32607"/>
    <cellStyle name="Nota 2 5 4 3 2 2 8" xfId="36639"/>
    <cellStyle name="Nota 2 5 4 3 2 2 9" xfId="40671"/>
    <cellStyle name="Nota 2 5 4 3 2 3" xfId="10431"/>
    <cellStyle name="Nota 2 5 4 3 2 4" xfId="14463"/>
    <cellStyle name="Nota 2 5 4 3 2 5" xfId="18495"/>
    <cellStyle name="Nota 2 5 4 3 2 6" xfId="22527"/>
    <cellStyle name="Nota 2 5 4 3 2 7" xfId="26559"/>
    <cellStyle name="Nota 2 5 4 3 2 8" xfId="30591"/>
    <cellStyle name="Nota 2 5 4 3 2 9" xfId="34623"/>
    <cellStyle name="Nota 2 5 4 3 3" xfId="7462"/>
    <cellStyle name="Nota 2 5 4 3 3 10" xfId="43752"/>
    <cellStyle name="Nota 2 5 4 3 3 11" xfId="47784"/>
    <cellStyle name="Nota 2 5 4 3 3 12" xfId="51863"/>
    <cellStyle name="Nota 2 5 4 3 3 2" xfId="11496"/>
    <cellStyle name="Nota 2 5 4 3 3 3" xfId="15528"/>
    <cellStyle name="Nota 2 5 4 3 3 4" xfId="19560"/>
    <cellStyle name="Nota 2 5 4 3 3 5" xfId="23592"/>
    <cellStyle name="Nota 2 5 4 3 3 6" xfId="27624"/>
    <cellStyle name="Nota 2 5 4 3 3 7" xfId="31656"/>
    <cellStyle name="Nota 2 5 4 3 3 8" xfId="35688"/>
    <cellStyle name="Nota 2 5 4 3 3 9" xfId="39720"/>
    <cellStyle name="Nota 2 5 4 3 4" xfId="9480"/>
    <cellStyle name="Nota 2 5 4 3 5" xfId="13512"/>
    <cellStyle name="Nota 2 5 4 3 6" xfId="17544"/>
    <cellStyle name="Nota 2 5 4 3 7" xfId="21576"/>
    <cellStyle name="Nota 2 5 4 3 8" xfId="25608"/>
    <cellStyle name="Nota 2 5 4 3 9" xfId="29640"/>
    <cellStyle name="Nota 2 5 4 4" xfId="4038"/>
    <cellStyle name="Nota 2 5 4 4 10" xfId="33895"/>
    <cellStyle name="Nota 2 5 4 4 11" xfId="37927"/>
    <cellStyle name="Nota 2 5 4 4 12" xfId="41959"/>
    <cellStyle name="Nota 2 5 4 4 13" xfId="45991"/>
    <cellStyle name="Nota 2 5 4 4 14" xfId="50069"/>
    <cellStyle name="Nota 2 5 4 4 2" xfId="6620"/>
    <cellStyle name="Nota 2 5 4 4 2 10" xfId="38878"/>
    <cellStyle name="Nota 2 5 4 4 2 11" xfId="42910"/>
    <cellStyle name="Nota 2 5 4 4 2 12" xfId="46942"/>
    <cellStyle name="Nota 2 5 4 4 2 13" xfId="51021"/>
    <cellStyle name="Nota 2 5 4 4 2 2" xfId="8636"/>
    <cellStyle name="Nota 2 5 4 4 2 2 10" xfId="44926"/>
    <cellStyle name="Nota 2 5 4 4 2 2 11" xfId="48958"/>
    <cellStyle name="Nota 2 5 4 4 2 2 12" xfId="53037"/>
    <cellStyle name="Nota 2 5 4 4 2 2 2" xfId="12670"/>
    <cellStyle name="Nota 2 5 4 4 2 2 3" xfId="16702"/>
    <cellStyle name="Nota 2 5 4 4 2 2 4" xfId="20734"/>
    <cellStyle name="Nota 2 5 4 4 2 2 5" xfId="24766"/>
    <cellStyle name="Nota 2 5 4 4 2 2 6" xfId="28798"/>
    <cellStyle name="Nota 2 5 4 4 2 2 7" xfId="32830"/>
    <cellStyle name="Nota 2 5 4 4 2 2 8" xfId="36862"/>
    <cellStyle name="Nota 2 5 4 4 2 2 9" xfId="40894"/>
    <cellStyle name="Nota 2 5 4 4 2 3" xfId="10654"/>
    <cellStyle name="Nota 2 5 4 4 2 4" xfId="14686"/>
    <cellStyle name="Nota 2 5 4 4 2 5" xfId="18718"/>
    <cellStyle name="Nota 2 5 4 4 2 6" xfId="22750"/>
    <cellStyle name="Nota 2 5 4 4 2 7" xfId="26782"/>
    <cellStyle name="Nota 2 5 4 4 2 8" xfId="30814"/>
    <cellStyle name="Nota 2 5 4 4 2 9" xfId="34846"/>
    <cellStyle name="Nota 2 5 4 4 3" xfId="7685"/>
    <cellStyle name="Nota 2 5 4 4 3 10" xfId="43975"/>
    <cellStyle name="Nota 2 5 4 4 3 11" xfId="48007"/>
    <cellStyle name="Nota 2 5 4 4 3 12" xfId="52086"/>
    <cellStyle name="Nota 2 5 4 4 3 2" xfId="11719"/>
    <cellStyle name="Nota 2 5 4 4 3 3" xfId="15751"/>
    <cellStyle name="Nota 2 5 4 4 3 4" xfId="19783"/>
    <cellStyle name="Nota 2 5 4 4 3 5" xfId="23815"/>
    <cellStyle name="Nota 2 5 4 4 3 6" xfId="27847"/>
    <cellStyle name="Nota 2 5 4 4 3 7" xfId="31879"/>
    <cellStyle name="Nota 2 5 4 4 3 8" xfId="35911"/>
    <cellStyle name="Nota 2 5 4 4 3 9" xfId="39943"/>
    <cellStyle name="Nota 2 5 4 4 4" xfId="9703"/>
    <cellStyle name="Nota 2 5 4 4 5" xfId="13735"/>
    <cellStyle name="Nota 2 5 4 4 6" xfId="17767"/>
    <cellStyle name="Nota 2 5 4 4 7" xfId="21799"/>
    <cellStyle name="Nota 2 5 4 4 8" xfId="25831"/>
    <cellStyle name="Nota 2 5 4 4 9" xfId="29863"/>
    <cellStyle name="Nota 2 5 4 5" xfId="4108"/>
    <cellStyle name="Nota 2 5 4 5 10" xfId="33964"/>
    <cellStyle name="Nota 2 5 4 5 11" xfId="37996"/>
    <cellStyle name="Nota 2 5 4 5 12" xfId="42028"/>
    <cellStyle name="Nota 2 5 4 5 13" xfId="46060"/>
    <cellStyle name="Nota 2 5 4 5 14" xfId="50138"/>
    <cellStyle name="Nota 2 5 4 5 2" xfId="6689"/>
    <cellStyle name="Nota 2 5 4 5 2 10" xfId="38947"/>
    <cellStyle name="Nota 2 5 4 5 2 11" xfId="42979"/>
    <cellStyle name="Nota 2 5 4 5 2 12" xfId="47011"/>
    <cellStyle name="Nota 2 5 4 5 2 13" xfId="51090"/>
    <cellStyle name="Nota 2 5 4 5 2 2" xfId="8705"/>
    <cellStyle name="Nota 2 5 4 5 2 2 10" xfId="44995"/>
    <cellStyle name="Nota 2 5 4 5 2 2 11" xfId="49027"/>
    <cellStyle name="Nota 2 5 4 5 2 2 12" xfId="53106"/>
    <cellStyle name="Nota 2 5 4 5 2 2 2" xfId="12739"/>
    <cellStyle name="Nota 2 5 4 5 2 2 3" xfId="16771"/>
    <cellStyle name="Nota 2 5 4 5 2 2 4" xfId="20803"/>
    <cellStyle name="Nota 2 5 4 5 2 2 5" xfId="24835"/>
    <cellStyle name="Nota 2 5 4 5 2 2 6" xfId="28867"/>
    <cellStyle name="Nota 2 5 4 5 2 2 7" xfId="32899"/>
    <cellStyle name="Nota 2 5 4 5 2 2 8" xfId="36931"/>
    <cellStyle name="Nota 2 5 4 5 2 2 9" xfId="40963"/>
    <cellStyle name="Nota 2 5 4 5 2 3" xfId="10723"/>
    <cellStyle name="Nota 2 5 4 5 2 4" xfId="14755"/>
    <cellStyle name="Nota 2 5 4 5 2 5" xfId="18787"/>
    <cellStyle name="Nota 2 5 4 5 2 6" xfId="22819"/>
    <cellStyle name="Nota 2 5 4 5 2 7" xfId="26851"/>
    <cellStyle name="Nota 2 5 4 5 2 8" xfId="30883"/>
    <cellStyle name="Nota 2 5 4 5 2 9" xfId="34915"/>
    <cellStyle name="Nota 2 5 4 5 3" xfId="7754"/>
    <cellStyle name="Nota 2 5 4 5 3 10" xfId="44044"/>
    <cellStyle name="Nota 2 5 4 5 3 11" xfId="48076"/>
    <cellStyle name="Nota 2 5 4 5 3 12" xfId="52155"/>
    <cellStyle name="Nota 2 5 4 5 3 2" xfId="11788"/>
    <cellStyle name="Nota 2 5 4 5 3 3" xfId="15820"/>
    <cellStyle name="Nota 2 5 4 5 3 4" xfId="19852"/>
    <cellStyle name="Nota 2 5 4 5 3 5" xfId="23884"/>
    <cellStyle name="Nota 2 5 4 5 3 6" xfId="27916"/>
    <cellStyle name="Nota 2 5 4 5 3 7" xfId="31948"/>
    <cellStyle name="Nota 2 5 4 5 3 8" xfId="35980"/>
    <cellStyle name="Nota 2 5 4 5 3 9" xfId="40012"/>
    <cellStyle name="Nota 2 5 4 5 4" xfId="9772"/>
    <cellStyle name="Nota 2 5 4 5 5" xfId="13804"/>
    <cellStyle name="Nota 2 5 4 5 6" xfId="17836"/>
    <cellStyle name="Nota 2 5 4 5 7" xfId="21868"/>
    <cellStyle name="Nota 2 5 4 5 8" xfId="25900"/>
    <cellStyle name="Nota 2 5 4 5 9" xfId="29932"/>
    <cellStyle name="Nota 2 5 4 6" xfId="4177"/>
    <cellStyle name="Nota 2 5 4 6 10" xfId="34033"/>
    <cellStyle name="Nota 2 5 4 6 11" xfId="38065"/>
    <cellStyle name="Nota 2 5 4 6 12" xfId="42097"/>
    <cellStyle name="Nota 2 5 4 6 13" xfId="46129"/>
    <cellStyle name="Nota 2 5 4 6 14" xfId="50207"/>
    <cellStyle name="Nota 2 5 4 6 2" xfId="6758"/>
    <cellStyle name="Nota 2 5 4 6 2 10" xfId="39016"/>
    <cellStyle name="Nota 2 5 4 6 2 11" xfId="43048"/>
    <cellStyle name="Nota 2 5 4 6 2 12" xfId="47080"/>
    <cellStyle name="Nota 2 5 4 6 2 13" xfId="51159"/>
    <cellStyle name="Nota 2 5 4 6 2 2" xfId="8774"/>
    <cellStyle name="Nota 2 5 4 6 2 2 10" xfId="45064"/>
    <cellStyle name="Nota 2 5 4 6 2 2 11" xfId="49096"/>
    <cellStyle name="Nota 2 5 4 6 2 2 12" xfId="53175"/>
    <cellStyle name="Nota 2 5 4 6 2 2 2" xfId="12808"/>
    <cellStyle name="Nota 2 5 4 6 2 2 3" xfId="16840"/>
    <cellStyle name="Nota 2 5 4 6 2 2 4" xfId="20872"/>
    <cellStyle name="Nota 2 5 4 6 2 2 5" xfId="24904"/>
    <cellStyle name="Nota 2 5 4 6 2 2 6" xfId="28936"/>
    <cellStyle name="Nota 2 5 4 6 2 2 7" xfId="32968"/>
    <cellStyle name="Nota 2 5 4 6 2 2 8" xfId="37000"/>
    <cellStyle name="Nota 2 5 4 6 2 2 9" xfId="41032"/>
    <cellStyle name="Nota 2 5 4 6 2 3" xfId="10792"/>
    <cellStyle name="Nota 2 5 4 6 2 4" xfId="14824"/>
    <cellStyle name="Nota 2 5 4 6 2 5" xfId="18856"/>
    <cellStyle name="Nota 2 5 4 6 2 6" xfId="22888"/>
    <cellStyle name="Nota 2 5 4 6 2 7" xfId="26920"/>
    <cellStyle name="Nota 2 5 4 6 2 8" xfId="30952"/>
    <cellStyle name="Nota 2 5 4 6 2 9" xfId="34984"/>
    <cellStyle name="Nota 2 5 4 6 3" xfId="7823"/>
    <cellStyle name="Nota 2 5 4 6 3 10" xfId="44113"/>
    <cellStyle name="Nota 2 5 4 6 3 11" xfId="48145"/>
    <cellStyle name="Nota 2 5 4 6 3 12" xfId="52224"/>
    <cellStyle name="Nota 2 5 4 6 3 2" xfId="11857"/>
    <cellStyle name="Nota 2 5 4 6 3 3" xfId="15889"/>
    <cellStyle name="Nota 2 5 4 6 3 4" xfId="19921"/>
    <cellStyle name="Nota 2 5 4 6 3 5" xfId="23953"/>
    <cellStyle name="Nota 2 5 4 6 3 6" xfId="27985"/>
    <cellStyle name="Nota 2 5 4 6 3 7" xfId="32017"/>
    <cellStyle name="Nota 2 5 4 6 3 8" xfId="36049"/>
    <cellStyle name="Nota 2 5 4 6 3 9" xfId="40081"/>
    <cellStyle name="Nota 2 5 4 6 4" xfId="9841"/>
    <cellStyle name="Nota 2 5 4 6 5" xfId="13873"/>
    <cellStyle name="Nota 2 5 4 6 6" xfId="17905"/>
    <cellStyle name="Nota 2 5 4 6 7" xfId="21937"/>
    <cellStyle name="Nota 2 5 4 6 8" xfId="25969"/>
    <cellStyle name="Nota 2 5 4 6 9" xfId="30001"/>
    <cellStyle name="Nota 2 5 4 7" xfId="4250"/>
    <cellStyle name="Nota 2 5 4 7 10" xfId="34102"/>
    <cellStyle name="Nota 2 5 4 7 11" xfId="38134"/>
    <cellStyle name="Nota 2 5 4 7 12" xfId="42166"/>
    <cellStyle name="Nota 2 5 4 7 13" xfId="46198"/>
    <cellStyle name="Nota 2 5 4 7 14" xfId="50276"/>
    <cellStyle name="Nota 2 5 4 7 2" xfId="6827"/>
    <cellStyle name="Nota 2 5 4 7 2 10" xfId="39085"/>
    <cellStyle name="Nota 2 5 4 7 2 11" xfId="43117"/>
    <cellStyle name="Nota 2 5 4 7 2 12" xfId="47149"/>
    <cellStyle name="Nota 2 5 4 7 2 13" xfId="51228"/>
    <cellStyle name="Nota 2 5 4 7 2 2" xfId="8843"/>
    <cellStyle name="Nota 2 5 4 7 2 2 10" xfId="45133"/>
    <cellStyle name="Nota 2 5 4 7 2 2 11" xfId="49165"/>
    <cellStyle name="Nota 2 5 4 7 2 2 12" xfId="53244"/>
    <cellStyle name="Nota 2 5 4 7 2 2 2" xfId="12877"/>
    <cellStyle name="Nota 2 5 4 7 2 2 3" xfId="16909"/>
    <cellStyle name="Nota 2 5 4 7 2 2 4" xfId="20941"/>
    <cellStyle name="Nota 2 5 4 7 2 2 5" xfId="24973"/>
    <cellStyle name="Nota 2 5 4 7 2 2 6" xfId="29005"/>
    <cellStyle name="Nota 2 5 4 7 2 2 7" xfId="33037"/>
    <cellStyle name="Nota 2 5 4 7 2 2 8" xfId="37069"/>
    <cellStyle name="Nota 2 5 4 7 2 2 9" xfId="41101"/>
    <cellStyle name="Nota 2 5 4 7 2 3" xfId="10861"/>
    <cellStyle name="Nota 2 5 4 7 2 4" xfId="14893"/>
    <cellStyle name="Nota 2 5 4 7 2 5" xfId="18925"/>
    <cellStyle name="Nota 2 5 4 7 2 6" xfId="22957"/>
    <cellStyle name="Nota 2 5 4 7 2 7" xfId="26989"/>
    <cellStyle name="Nota 2 5 4 7 2 8" xfId="31021"/>
    <cellStyle name="Nota 2 5 4 7 2 9" xfId="35053"/>
    <cellStyle name="Nota 2 5 4 7 3" xfId="7892"/>
    <cellStyle name="Nota 2 5 4 7 3 10" xfId="44182"/>
    <cellStyle name="Nota 2 5 4 7 3 11" xfId="48214"/>
    <cellStyle name="Nota 2 5 4 7 3 12" xfId="52293"/>
    <cellStyle name="Nota 2 5 4 7 3 2" xfId="11926"/>
    <cellStyle name="Nota 2 5 4 7 3 3" xfId="15958"/>
    <cellStyle name="Nota 2 5 4 7 3 4" xfId="19990"/>
    <cellStyle name="Nota 2 5 4 7 3 5" xfId="24022"/>
    <cellStyle name="Nota 2 5 4 7 3 6" xfId="28054"/>
    <cellStyle name="Nota 2 5 4 7 3 7" xfId="32086"/>
    <cellStyle name="Nota 2 5 4 7 3 8" xfId="36118"/>
    <cellStyle name="Nota 2 5 4 7 3 9" xfId="40150"/>
    <cellStyle name="Nota 2 5 4 7 4" xfId="9910"/>
    <cellStyle name="Nota 2 5 4 7 5" xfId="13942"/>
    <cellStyle name="Nota 2 5 4 7 6" xfId="17974"/>
    <cellStyle name="Nota 2 5 4 7 7" xfId="22006"/>
    <cellStyle name="Nota 2 5 4 7 8" xfId="26038"/>
    <cellStyle name="Nota 2 5 4 7 9" xfId="30070"/>
    <cellStyle name="Nota 2 5 4 8" xfId="4396"/>
    <cellStyle name="Nota 2 5 4 8 10" xfId="34240"/>
    <cellStyle name="Nota 2 5 4 8 11" xfId="38272"/>
    <cellStyle name="Nota 2 5 4 8 12" xfId="42304"/>
    <cellStyle name="Nota 2 5 4 8 13" xfId="46336"/>
    <cellStyle name="Nota 2 5 4 8 14" xfId="50415"/>
    <cellStyle name="Nota 2 5 4 8 2" xfId="6965"/>
    <cellStyle name="Nota 2 5 4 8 2 10" xfId="39223"/>
    <cellStyle name="Nota 2 5 4 8 2 11" xfId="43255"/>
    <cellStyle name="Nota 2 5 4 8 2 12" xfId="47287"/>
    <cellStyle name="Nota 2 5 4 8 2 13" xfId="51366"/>
    <cellStyle name="Nota 2 5 4 8 2 2" xfId="8981"/>
    <cellStyle name="Nota 2 5 4 8 2 2 10" xfId="45271"/>
    <cellStyle name="Nota 2 5 4 8 2 2 11" xfId="49303"/>
    <cellStyle name="Nota 2 5 4 8 2 2 12" xfId="53382"/>
    <cellStyle name="Nota 2 5 4 8 2 2 2" xfId="13015"/>
    <cellStyle name="Nota 2 5 4 8 2 2 3" xfId="17047"/>
    <cellStyle name="Nota 2 5 4 8 2 2 4" xfId="21079"/>
    <cellStyle name="Nota 2 5 4 8 2 2 5" xfId="25111"/>
    <cellStyle name="Nota 2 5 4 8 2 2 6" xfId="29143"/>
    <cellStyle name="Nota 2 5 4 8 2 2 7" xfId="33175"/>
    <cellStyle name="Nota 2 5 4 8 2 2 8" xfId="37207"/>
    <cellStyle name="Nota 2 5 4 8 2 2 9" xfId="41239"/>
    <cellStyle name="Nota 2 5 4 8 2 3" xfId="10999"/>
    <cellStyle name="Nota 2 5 4 8 2 4" xfId="15031"/>
    <cellStyle name="Nota 2 5 4 8 2 5" xfId="19063"/>
    <cellStyle name="Nota 2 5 4 8 2 6" xfId="23095"/>
    <cellStyle name="Nota 2 5 4 8 2 7" xfId="27127"/>
    <cellStyle name="Nota 2 5 4 8 2 8" xfId="31159"/>
    <cellStyle name="Nota 2 5 4 8 2 9" xfId="35191"/>
    <cellStyle name="Nota 2 5 4 8 3" xfId="8030"/>
    <cellStyle name="Nota 2 5 4 8 3 10" xfId="44320"/>
    <cellStyle name="Nota 2 5 4 8 3 11" xfId="48352"/>
    <cellStyle name="Nota 2 5 4 8 3 12" xfId="52431"/>
    <cellStyle name="Nota 2 5 4 8 3 2" xfId="12064"/>
    <cellStyle name="Nota 2 5 4 8 3 3" xfId="16096"/>
    <cellStyle name="Nota 2 5 4 8 3 4" xfId="20128"/>
    <cellStyle name="Nota 2 5 4 8 3 5" xfId="24160"/>
    <cellStyle name="Nota 2 5 4 8 3 6" xfId="28192"/>
    <cellStyle name="Nota 2 5 4 8 3 7" xfId="32224"/>
    <cellStyle name="Nota 2 5 4 8 3 8" xfId="36256"/>
    <cellStyle name="Nota 2 5 4 8 3 9" xfId="40288"/>
    <cellStyle name="Nota 2 5 4 8 4" xfId="10048"/>
    <cellStyle name="Nota 2 5 4 8 5" xfId="14080"/>
    <cellStyle name="Nota 2 5 4 8 6" xfId="18112"/>
    <cellStyle name="Nota 2 5 4 8 7" xfId="22144"/>
    <cellStyle name="Nota 2 5 4 8 8" xfId="26176"/>
    <cellStyle name="Nota 2 5 4 8 9" xfId="30208"/>
    <cellStyle name="Nota 2 5 4 9" xfId="4534"/>
    <cellStyle name="Nota 2 5 4 9 10" xfId="38410"/>
    <cellStyle name="Nota 2 5 4 9 11" xfId="42442"/>
    <cellStyle name="Nota 2 5 4 9 12" xfId="46474"/>
    <cellStyle name="Nota 2 5 4 9 13" xfId="50553"/>
    <cellStyle name="Nota 2 5 4 9 2" xfId="8168"/>
    <cellStyle name="Nota 2 5 4 9 2 10" xfId="44458"/>
    <cellStyle name="Nota 2 5 4 9 2 11" xfId="48490"/>
    <cellStyle name="Nota 2 5 4 9 2 12" xfId="52569"/>
    <cellStyle name="Nota 2 5 4 9 2 2" xfId="12202"/>
    <cellStyle name="Nota 2 5 4 9 2 3" xfId="16234"/>
    <cellStyle name="Nota 2 5 4 9 2 4" xfId="20266"/>
    <cellStyle name="Nota 2 5 4 9 2 5" xfId="24298"/>
    <cellStyle name="Nota 2 5 4 9 2 6" xfId="28330"/>
    <cellStyle name="Nota 2 5 4 9 2 7" xfId="32362"/>
    <cellStyle name="Nota 2 5 4 9 2 8" xfId="36394"/>
    <cellStyle name="Nota 2 5 4 9 2 9" xfId="40426"/>
    <cellStyle name="Nota 2 5 4 9 3" xfId="10186"/>
    <cellStyle name="Nota 2 5 4 9 4" xfId="14218"/>
    <cellStyle name="Nota 2 5 4 9 5" xfId="18250"/>
    <cellStyle name="Nota 2 5 4 9 6" xfId="22282"/>
    <cellStyle name="Nota 2 5 4 9 7" xfId="26314"/>
    <cellStyle name="Nota 2 5 4 9 8" xfId="30346"/>
    <cellStyle name="Nota 2 5 4 9 9" xfId="34378"/>
    <cellStyle name="Nota 2 5 5" xfId="189"/>
    <cellStyle name="Nota 2 5 5 10" xfId="21270"/>
    <cellStyle name="Nota 2 5 5 11" xfId="25302"/>
    <cellStyle name="Nota 2 5 5 12" xfId="29334"/>
    <cellStyle name="Nota 2 5 5 13" xfId="33366"/>
    <cellStyle name="Nota 2 5 5 14" xfId="37398"/>
    <cellStyle name="Nota 2 5 5 15" xfId="41430"/>
    <cellStyle name="Nota 2 5 5 16" xfId="45462"/>
    <cellStyle name="Nota 2 5 5 17" xfId="49540"/>
    <cellStyle name="Nota 2 5 5 2" xfId="4308"/>
    <cellStyle name="Nota 2 5 5 2 10" xfId="34155"/>
    <cellStyle name="Nota 2 5 5 2 11" xfId="38187"/>
    <cellStyle name="Nota 2 5 5 2 12" xfId="42219"/>
    <cellStyle name="Nota 2 5 5 2 13" xfId="46251"/>
    <cellStyle name="Nota 2 5 5 2 14" xfId="50330"/>
    <cellStyle name="Nota 2 5 5 2 2" xfId="6880"/>
    <cellStyle name="Nota 2 5 5 2 2 10" xfId="39138"/>
    <cellStyle name="Nota 2 5 5 2 2 11" xfId="43170"/>
    <cellStyle name="Nota 2 5 5 2 2 12" xfId="47202"/>
    <cellStyle name="Nota 2 5 5 2 2 13" xfId="51281"/>
    <cellStyle name="Nota 2 5 5 2 2 2" xfId="8896"/>
    <cellStyle name="Nota 2 5 5 2 2 2 10" xfId="45186"/>
    <cellStyle name="Nota 2 5 5 2 2 2 11" xfId="49218"/>
    <cellStyle name="Nota 2 5 5 2 2 2 12" xfId="53297"/>
    <cellStyle name="Nota 2 5 5 2 2 2 2" xfId="12930"/>
    <cellStyle name="Nota 2 5 5 2 2 2 3" xfId="16962"/>
    <cellStyle name="Nota 2 5 5 2 2 2 4" xfId="20994"/>
    <cellStyle name="Nota 2 5 5 2 2 2 5" xfId="25026"/>
    <cellStyle name="Nota 2 5 5 2 2 2 6" xfId="29058"/>
    <cellStyle name="Nota 2 5 5 2 2 2 7" xfId="33090"/>
    <cellStyle name="Nota 2 5 5 2 2 2 8" xfId="37122"/>
    <cellStyle name="Nota 2 5 5 2 2 2 9" xfId="41154"/>
    <cellStyle name="Nota 2 5 5 2 2 3" xfId="10914"/>
    <cellStyle name="Nota 2 5 5 2 2 4" xfId="14946"/>
    <cellStyle name="Nota 2 5 5 2 2 5" xfId="18978"/>
    <cellStyle name="Nota 2 5 5 2 2 6" xfId="23010"/>
    <cellStyle name="Nota 2 5 5 2 2 7" xfId="27042"/>
    <cellStyle name="Nota 2 5 5 2 2 8" xfId="31074"/>
    <cellStyle name="Nota 2 5 5 2 2 9" xfId="35106"/>
    <cellStyle name="Nota 2 5 5 2 3" xfId="7945"/>
    <cellStyle name="Nota 2 5 5 2 3 10" xfId="44235"/>
    <cellStyle name="Nota 2 5 5 2 3 11" xfId="48267"/>
    <cellStyle name="Nota 2 5 5 2 3 12" xfId="52346"/>
    <cellStyle name="Nota 2 5 5 2 3 2" xfId="11979"/>
    <cellStyle name="Nota 2 5 5 2 3 3" xfId="16011"/>
    <cellStyle name="Nota 2 5 5 2 3 4" xfId="20043"/>
    <cellStyle name="Nota 2 5 5 2 3 5" xfId="24075"/>
    <cellStyle name="Nota 2 5 5 2 3 6" xfId="28107"/>
    <cellStyle name="Nota 2 5 5 2 3 7" xfId="32139"/>
    <cellStyle name="Nota 2 5 5 2 3 8" xfId="36171"/>
    <cellStyle name="Nota 2 5 5 2 3 9" xfId="40203"/>
    <cellStyle name="Nota 2 5 5 2 4" xfId="9963"/>
    <cellStyle name="Nota 2 5 5 2 5" xfId="13995"/>
    <cellStyle name="Nota 2 5 5 2 6" xfId="18027"/>
    <cellStyle name="Nota 2 5 5 2 7" xfId="22059"/>
    <cellStyle name="Nota 2 5 5 2 8" xfId="26091"/>
    <cellStyle name="Nota 2 5 5 2 9" xfId="30123"/>
    <cellStyle name="Nota 2 5 5 3" xfId="4449"/>
    <cellStyle name="Nota 2 5 5 3 10" xfId="34293"/>
    <cellStyle name="Nota 2 5 5 3 11" xfId="38325"/>
    <cellStyle name="Nota 2 5 5 3 12" xfId="42357"/>
    <cellStyle name="Nota 2 5 5 3 13" xfId="46389"/>
    <cellStyle name="Nota 2 5 5 3 14" xfId="50468"/>
    <cellStyle name="Nota 2 5 5 3 2" xfId="7018"/>
    <cellStyle name="Nota 2 5 5 3 2 10" xfId="39276"/>
    <cellStyle name="Nota 2 5 5 3 2 11" xfId="43308"/>
    <cellStyle name="Nota 2 5 5 3 2 12" xfId="47340"/>
    <cellStyle name="Nota 2 5 5 3 2 13" xfId="51419"/>
    <cellStyle name="Nota 2 5 5 3 2 2" xfId="9034"/>
    <cellStyle name="Nota 2 5 5 3 2 2 10" xfId="45324"/>
    <cellStyle name="Nota 2 5 5 3 2 2 11" xfId="49356"/>
    <cellStyle name="Nota 2 5 5 3 2 2 12" xfId="53435"/>
    <cellStyle name="Nota 2 5 5 3 2 2 2" xfId="13068"/>
    <cellStyle name="Nota 2 5 5 3 2 2 3" xfId="17100"/>
    <cellStyle name="Nota 2 5 5 3 2 2 4" xfId="21132"/>
    <cellStyle name="Nota 2 5 5 3 2 2 5" xfId="25164"/>
    <cellStyle name="Nota 2 5 5 3 2 2 6" xfId="29196"/>
    <cellStyle name="Nota 2 5 5 3 2 2 7" xfId="33228"/>
    <cellStyle name="Nota 2 5 5 3 2 2 8" xfId="37260"/>
    <cellStyle name="Nota 2 5 5 3 2 2 9" xfId="41292"/>
    <cellStyle name="Nota 2 5 5 3 2 3" xfId="11052"/>
    <cellStyle name="Nota 2 5 5 3 2 4" xfId="15084"/>
    <cellStyle name="Nota 2 5 5 3 2 5" xfId="19116"/>
    <cellStyle name="Nota 2 5 5 3 2 6" xfId="23148"/>
    <cellStyle name="Nota 2 5 5 3 2 7" xfId="27180"/>
    <cellStyle name="Nota 2 5 5 3 2 8" xfId="31212"/>
    <cellStyle name="Nota 2 5 5 3 2 9" xfId="35244"/>
    <cellStyle name="Nota 2 5 5 3 3" xfId="8083"/>
    <cellStyle name="Nota 2 5 5 3 3 10" xfId="44373"/>
    <cellStyle name="Nota 2 5 5 3 3 11" xfId="48405"/>
    <cellStyle name="Nota 2 5 5 3 3 12" xfId="52484"/>
    <cellStyle name="Nota 2 5 5 3 3 2" xfId="12117"/>
    <cellStyle name="Nota 2 5 5 3 3 3" xfId="16149"/>
    <cellStyle name="Nota 2 5 5 3 3 4" xfId="20181"/>
    <cellStyle name="Nota 2 5 5 3 3 5" xfId="24213"/>
    <cellStyle name="Nota 2 5 5 3 3 6" xfId="28245"/>
    <cellStyle name="Nota 2 5 5 3 3 7" xfId="32277"/>
    <cellStyle name="Nota 2 5 5 3 3 8" xfId="36309"/>
    <cellStyle name="Nota 2 5 5 3 3 9" xfId="40341"/>
    <cellStyle name="Nota 2 5 5 3 4" xfId="10101"/>
    <cellStyle name="Nota 2 5 5 3 5" xfId="14133"/>
    <cellStyle name="Nota 2 5 5 3 6" xfId="18165"/>
    <cellStyle name="Nota 2 5 5 3 7" xfId="22197"/>
    <cellStyle name="Nota 2 5 5 3 8" xfId="26229"/>
    <cellStyle name="Nota 2 5 5 3 9" xfId="30261"/>
    <cellStyle name="Nota 2 5 5 4" xfId="4589"/>
    <cellStyle name="Nota 2 5 5 4 10" xfId="38463"/>
    <cellStyle name="Nota 2 5 5 4 11" xfId="42495"/>
    <cellStyle name="Nota 2 5 5 4 12" xfId="46527"/>
    <cellStyle name="Nota 2 5 5 4 13" xfId="50606"/>
    <cellStyle name="Nota 2 5 5 4 2" xfId="8221"/>
    <cellStyle name="Nota 2 5 5 4 2 10" xfId="44511"/>
    <cellStyle name="Nota 2 5 5 4 2 11" xfId="48543"/>
    <cellStyle name="Nota 2 5 5 4 2 12" xfId="52622"/>
    <cellStyle name="Nota 2 5 5 4 2 2" xfId="12255"/>
    <cellStyle name="Nota 2 5 5 4 2 3" xfId="16287"/>
    <cellStyle name="Nota 2 5 5 4 2 4" xfId="20319"/>
    <cellStyle name="Nota 2 5 5 4 2 5" xfId="24351"/>
    <cellStyle name="Nota 2 5 5 4 2 6" xfId="28383"/>
    <cellStyle name="Nota 2 5 5 4 2 7" xfId="32415"/>
    <cellStyle name="Nota 2 5 5 4 2 8" xfId="36447"/>
    <cellStyle name="Nota 2 5 5 4 2 9" xfId="40479"/>
    <cellStyle name="Nota 2 5 5 4 3" xfId="10239"/>
    <cellStyle name="Nota 2 5 5 4 4" xfId="14271"/>
    <cellStyle name="Nota 2 5 5 4 5" xfId="18303"/>
    <cellStyle name="Nota 2 5 5 4 6" xfId="22335"/>
    <cellStyle name="Nota 2 5 5 4 7" xfId="26367"/>
    <cellStyle name="Nota 2 5 5 4 8" xfId="30399"/>
    <cellStyle name="Nota 2 5 5 4 9" xfId="34431"/>
    <cellStyle name="Nota 2 5 5 5" xfId="869"/>
    <cellStyle name="Nota 2 5 5 6" xfId="7156"/>
    <cellStyle name="Nota 2 5 5 6 10" xfId="43446"/>
    <cellStyle name="Nota 2 5 5 6 11" xfId="47478"/>
    <cellStyle name="Nota 2 5 5 6 12" xfId="51557"/>
    <cellStyle name="Nota 2 5 5 6 2" xfId="11190"/>
    <cellStyle name="Nota 2 5 5 6 3" xfId="15222"/>
    <cellStyle name="Nota 2 5 5 6 4" xfId="19254"/>
    <cellStyle name="Nota 2 5 5 6 5" xfId="23286"/>
    <cellStyle name="Nota 2 5 5 6 6" xfId="27318"/>
    <cellStyle name="Nota 2 5 5 6 7" xfId="31350"/>
    <cellStyle name="Nota 2 5 5 6 8" xfId="35382"/>
    <cellStyle name="Nota 2 5 5 6 9" xfId="39414"/>
    <cellStyle name="Nota 2 5 5 7" xfId="9174"/>
    <cellStyle name="Nota 2 5 5 8" xfId="13206"/>
    <cellStyle name="Nota 2 5 5 9" xfId="17238"/>
    <cellStyle name="Nota 2 5 6" xfId="316"/>
    <cellStyle name="Nota 2 5 6 10" xfId="33489"/>
    <cellStyle name="Nota 2 5 6 11" xfId="37521"/>
    <cellStyle name="Nota 2 5 6 12" xfId="41553"/>
    <cellStyle name="Nota 2 5 6 13" xfId="45585"/>
    <cellStyle name="Nota 2 5 6 14" xfId="49663"/>
    <cellStyle name="Nota 2 5 6 2" xfId="4657"/>
    <cellStyle name="Nota 2 5 6 2 10" xfId="38531"/>
    <cellStyle name="Nota 2 5 6 2 11" xfId="42563"/>
    <cellStyle name="Nota 2 5 6 2 12" xfId="46595"/>
    <cellStyle name="Nota 2 5 6 2 13" xfId="50674"/>
    <cellStyle name="Nota 2 5 6 2 2" xfId="8289"/>
    <cellStyle name="Nota 2 5 6 2 2 10" xfId="44579"/>
    <cellStyle name="Nota 2 5 6 2 2 11" xfId="48611"/>
    <cellStyle name="Nota 2 5 6 2 2 12" xfId="52690"/>
    <cellStyle name="Nota 2 5 6 2 2 2" xfId="12323"/>
    <cellStyle name="Nota 2 5 6 2 2 3" xfId="16355"/>
    <cellStyle name="Nota 2 5 6 2 2 4" xfId="20387"/>
    <cellStyle name="Nota 2 5 6 2 2 5" xfId="24419"/>
    <cellStyle name="Nota 2 5 6 2 2 6" xfId="28451"/>
    <cellStyle name="Nota 2 5 6 2 2 7" xfId="32483"/>
    <cellStyle name="Nota 2 5 6 2 2 8" xfId="36515"/>
    <cellStyle name="Nota 2 5 6 2 2 9" xfId="40547"/>
    <cellStyle name="Nota 2 5 6 2 3" xfId="10307"/>
    <cellStyle name="Nota 2 5 6 2 4" xfId="14339"/>
    <cellStyle name="Nota 2 5 6 2 5" xfId="18371"/>
    <cellStyle name="Nota 2 5 6 2 6" xfId="22403"/>
    <cellStyle name="Nota 2 5 6 2 7" xfId="26435"/>
    <cellStyle name="Nota 2 5 6 2 8" xfId="30467"/>
    <cellStyle name="Nota 2 5 6 2 9" xfId="34499"/>
    <cellStyle name="Nota 2 5 6 3" xfId="7279"/>
    <cellStyle name="Nota 2 5 6 3 10" xfId="43569"/>
    <cellStyle name="Nota 2 5 6 3 11" xfId="47601"/>
    <cellStyle name="Nota 2 5 6 3 12" xfId="51680"/>
    <cellStyle name="Nota 2 5 6 3 2" xfId="11313"/>
    <cellStyle name="Nota 2 5 6 3 3" xfId="15345"/>
    <cellStyle name="Nota 2 5 6 3 4" xfId="19377"/>
    <cellStyle name="Nota 2 5 6 3 5" xfId="23409"/>
    <cellStyle name="Nota 2 5 6 3 6" xfId="27441"/>
    <cellStyle name="Nota 2 5 6 3 7" xfId="31473"/>
    <cellStyle name="Nota 2 5 6 3 8" xfId="35505"/>
    <cellStyle name="Nota 2 5 6 3 9" xfId="39537"/>
    <cellStyle name="Nota 2 5 6 4" xfId="9297"/>
    <cellStyle name="Nota 2 5 6 5" xfId="13329"/>
    <cellStyle name="Nota 2 5 6 6" xfId="17361"/>
    <cellStyle name="Nota 2 5 6 7" xfId="21393"/>
    <cellStyle name="Nota 2 5 6 8" xfId="25425"/>
    <cellStyle name="Nota 2 5 6 9" xfId="29457"/>
    <cellStyle name="Nota 2 5 7" xfId="1626"/>
    <cellStyle name="Nota 2 5 7 10" xfId="33587"/>
    <cellStyle name="Nota 2 5 7 11" xfId="37619"/>
    <cellStyle name="Nota 2 5 7 12" xfId="41651"/>
    <cellStyle name="Nota 2 5 7 13" xfId="45683"/>
    <cellStyle name="Nota 2 5 7 14" xfId="49761"/>
    <cellStyle name="Nota 2 5 7 2" xfId="5315"/>
    <cellStyle name="Nota 2 5 7 2 10" xfId="38583"/>
    <cellStyle name="Nota 2 5 7 2 11" xfId="42615"/>
    <cellStyle name="Nota 2 5 7 2 12" xfId="46647"/>
    <cellStyle name="Nota 2 5 7 2 13" xfId="50726"/>
    <cellStyle name="Nota 2 5 7 2 2" xfId="8341"/>
    <cellStyle name="Nota 2 5 7 2 2 10" xfId="44631"/>
    <cellStyle name="Nota 2 5 7 2 2 11" xfId="48663"/>
    <cellStyle name="Nota 2 5 7 2 2 12" xfId="52742"/>
    <cellStyle name="Nota 2 5 7 2 2 2" xfId="12375"/>
    <cellStyle name="Nota 2 5 7 2 2 3" xfId="16407"/>
    <cellStyle name="Nota 2 5 7 2 2 4" xfId="20439"/>
    <cellStyle name="Nota 2 5 7 2 2 5" xfId="24471"/>
    <cellStyle name="Nota 2 5 7 2 2 6" xfId="28503"/>
    <cellStyle name="Nota 2 5 7 2 2 7" xfId="32535"/>
    <cellStyle name="Nota 2 5 7 2 2 8" xfId="36567"/>
    <cellStyle name="Nota 2 5 7 2 2 9" xfId="40599"/>
    <cellStyle name="Nota 2 5 7 2 3" xfId="10359"/>
    <cellStyle name="Nota 2 5 7 2 4" xfId="14391"/>
    <cellStyle name="Nota 2 5 7 2 5" xfId="18423"/>
    <cellStyle name="Nota 2 5 7 2 6" xfId="22455"/>
    <cellStyle name="Nota 2 5 7 2 7" xfId="26487"/>
    <cellStyle name="Nota 2 5 7 2 8" xfId="30519"/>
    <cellStyle name="Nota 2 5 7 2 9" xfId="34551"/>
    <cellStyle name="Nota 2 5 7 3" xfId="7377"/>
    <cellStyle name="Nota 2 5 7 3 10" xfId="43667"/>
    <cellStyle name="Nota 2 5 7 3 11" xfId="47699"/>
    <cellStyle name="Nota 2 5 7 3 12" xfId="51778"/>
    <cellStyle name="Nota 2 5 7 3 2" xfId="11411"/>
    <cellStyle name="Nota 2 5 7 3 3" xfId="15443"/>
    <cellStyle name="Nota 2 5 7 3 4" xfId="19475"/>
    <cellStyle name="Nota 2 5 7 3 5" xfId="23507"/>
    <cellStyle name="Nota 2 5 7 3 6" xfId="27539"/>
    <cellStyle name="Nota 2 5 7 3 7" xfId="31571"/>
    <cellStyle name="Nota 2 5 7 3 8" xfId="35603"/>
    <cellStyle name="Nota 2 5 7 3 9" xfId="39635"/>
    <cellStyle name="Nota 2 5 7 4" xfId="9395"/>
    <cellStyle name="Nota 2 5 7 5" xfId="13427"/>
    <cellStyle name="Nota 2 5 7 6" xfId="17459"/>
    <cellStyle name="Nota 2 5 7 7" xfId="21491"/>
    <cellStyle name="Nota 2 5 7 8" xfId="25523"/>
    <cellStyle name="Nota 2 5 7 9" xfId="29555"/>
    <cellStyle name="Nota 2 5 8" xfId="1700"/>
    <cellStyle name="Nota 2 5 8 10" xfId="33656"/>
    <cellStyle name="Nota 2 5 8 11" xfId="37688"/>
    <cellStyle name="Nota 2 5 8 12" xfId="41720"/>
    <cellStyle name="Nota 2 5 8 13" xfId="45752"/>
    <cellStyle name="Nota 2 5 8 14" xfId="49830"/>
    <cellStyle name="Nota 2 5 8 2" xfId="5371"/>
    <cellStyle name="Nota 2 5 8 2 10" xfId="38639"/>
    <cellStyle name="Nota 2 5 8 2 11" xfId="42671"/>
    <cellStyle name="Nota 2 5 8 2 12" xfId="46703"/>
    <cellStyle name="Nota 2 5 8 2 13" xfId="50782"/>
    <cellStyle name="Nota 2 5 8 2 2" xfId="8397"/>
    <cellStyle name="Nota 2 5 8 2 2 10" xfId="44687"/>
    <cellStyle name="Nota 2 5 8 2 2 11" xfId="48719"/>
    <cellStyle name="Nota 2 5 8 2 2 12" xfId="52798"/>
    <cellStyle name="Nota 2 5 8 2 2 2" xfId="12431"/>
    <cellStyle name="Nota 2 5 8 2 2 3" xfId="16463"/>
    <cellStyle name="Nota 2 5 8 2 2 4" xfId="20495"/>
    <cellStyle name="Nota 2 5 8 2 2 5" xfId="24527"/>
    <cellStyle name="Nota 2 5 8 2 2 6" xfId="28559"/>
    <cellStyle name="Nota 2 5 8 2 2 7" xfId="32591"/>
    <cellStyle name="Nota 2 5 8 2 2 8" xfId="36623"/>
    <cellStyle name="Nota 2 5 8 2 2 9" xfId="40655"/>
    <cellStyle name="Nota 2 5 8 2 3" xfId="10415"/>
    <cellStyle name="Nota 2 5 8 2 4" xfId="14447"/>
    <cellStyle name="Nota 2 5 8 2 5" xfId="18479"/>
    <cellStyle name="Nota 2 5 8 2 6" xfId="22511"/>
    <cellStyle name="Nota 2 5 8 2 7" xfId="26543"/>
    <cellStyle name="Nota 2 5 8 2 8" xfId="30575"/>
    <cellStyle name="Nota 2 5 8 2 9" xfId="34607"/>
    <cellStyle name="Nota 2 5 8 3" xfId="7446"/>
    <cellStyle name="Nota 2 5 8 3 10" xfId="43736"/>
    <cellStyle name="Nota 2 5 8 3 11" xfId="47768"/>
    <cellStyle name="Nota 2 5 8 3 12" xfId="51847"/>
    <cellStyle name="Nota 2 5 8 3 2" xfId="11480"/>
    <cellStyle name="Nota 2 5 8 3 3" xfId="15512"/>
    <cellStyle name="Nota 2 5 8 3 4" xfId="19544"/>
    <cellStyle name="Nota 2 5 8 3 5" xfId="23576"/>
    <cellStyle name="Nota 2 5 8 3 6" xfId="27608"/>
    <cellStyle name="Nota 2 5 8 3 7" xfId="31640"/>
    <cellStyle name="Nota 2 5 8 3 8" xfId="35672"/>
    <cellStyle name="Nota 2 5 8 3 9" xfId="39704"/>
    <cellStyle name="Nota 2 5 8 4" xfId="9464"/>
    <cellStyle name="Nota 2 5 8 5" xfId="13496"/>
    <cellStyle name="Nota 2 5 8 6" xfId="17528"/>
    <cellStyle name="Nota 2 5 8 7" xfId="21560"/>
    <cellStyle name="Nota 2 5 8 8" xfId="25592"/>
    <cellStyle name="Nota 2 5 8 9" xfId="29624"/>
    <cellStyle name="Nota 2 5 9" xfId="2904"/>
    <cellStyle name="Nota 2 6" xfId="85"/>
    <cellStyle name="Nota 2 6 10" xfId="4208"/>
    <cellStyle name="Nota 2 6 10 10" xfId="34064"/>
    <cellStyle name="Nota 2 6 10 11" xfId="38096"/>
    <cellStyle name="Nota 2 6 10 12" xfId="42128"/>
    <cellStyle name="Nota 2 6 10 13" xfId="46160"/>
    <cellStyle name="Nota 2 6 10 14" xfId="50238"/>
    <cellStyle name="Nota 2 6 10 2" xfId="6789"/>
    <cellStyle name="Nota 2 6 10 2 10" xfId="39047"/>
    <cellStyle name="Nota 2 6 10 2 11" xfId="43079"/>
    <cellStyle name="Nota 2 6 10 2 12" xfId="47111"/>
    <cellStyle name="Nota 2 6 10 2 13" xfId="51190"/>
    <cellStyle name="Nota 2 6 10 2 2" xfId="8805"/>
    <cellStyle name="Nota 2 6 10 2 2 10" xfId="45095"/>
    <cellStyle name="Nota 2 6 10 2 2 11" xfId="49127"/>
    <cellStyle name="Nota 2 6 10 2 2 12" xfId="53206"/>
    <cellStyle name="Nota 2 6 10 2 2 2" xfId="12839"/>
    <cellStyle name="Nota 2 6 10 2 2 3" xfId="16871"/>
    <cellStyle name="Nota 2 6 10 2 2 4" xfId="20903"/>
    <cellStyle name="Nota 2 6 10 2 2 5" xfId="24935"/>
    <cellStyle name="Nota 2 6 10 2 2 6" xfId="28967"/>
    <cellStyle name="Nota 2 6 10 2 2 7" xfId="32999"/>
    <cellStyle name="Nota 2 6 10 2 2 8" xfId="37031"/>
    <cellStyle name="Nota 2 6 10 2 2 9" xfId="41063"/>
    <cellStyle name="Nota 2 6 10 2 3" xfId="10823"/>
    <cellStyle name="Nota 2 6 10 2 4" xfId="14855"/>
    <cellStyle name="Nota 2 6 10 2 5" xfId="18887"/>
    <cellStyle name="Nota 2 6 10 2 6" xfId="22919"/>
    <cellStyle name="Nota 2 6 10 2 7" xfId="26951"/>
    <cellStyle name="Nota 2 6 10 2 8" xfId="30983"/>
    <cellStyle name="Nota 2 6 10 2 9" xfId="35015"/>
    <cellStyle name="Nota 2 6 10 3" xfId="7854"/>
    <cellStyle name="Nota 2 6 10 3 10" xfId="44144"/>
    <cellStyle name="Nota 2 6 10 3 11" xfId="48176"/>
    <cellStyle name="Nota 2 6 10 3 12" xfId="52255"/>
    <cellStyle name="Nota 2 6 10 3 2" xfId="11888"/>
    <cellStyle name="Nota 2 6 10 3 3" xfId="15920"/>
    <cellStyle name="Nota 2 6 10 3 4" xfId="19952"/>
    <cellStyle name="Nota 2 6 10 3 5" xfId="23984"/>
    <cellStyle name="Nota 2 6 10 3 6" xfId="28016"/>
    <cellStyle name="Nota 2 6 10 3 7" xfId="32048"/>
    <cellStyle name="Nota 2 6 10 3 8" xfId="36080"/>
    <cellStyle name="Nota 2 6 10 3 9" xfId="40112"/>
    <cellStyle name="Nota 2 6 10 4" xfId="9872"/>
    <cellStyle name="Nota 2 6 10 5" xfId="13904"/>
    <cellStyle name="Nota 2 6 10 6" xfId="17936"/>
    <cellStyle name="Nota 2 6 10 7" xfId="21968"/>
    <cellStyle name="Nota 2 6 10 8" xfId="26000"/>
    <cellStyle name="Nota 2 6 10 9" xfId="30032"/>
    <cellStyle name="Nota 2 6 11" xfId="4281"/>
    <cellStyle name="Nota 2 6 11 10" xfId="34133"/>
    <cellStyle name="Nota 2 6 11 11" xfId="38165"/>
    <cellStyle name="Nota 2 6 11 12" xfId="42197"/>
    <cellStyle name="Nota 2 6 11 13" xfId="46229"/>
    <cellStyle name="Nota 2 6 11 14" xfId="50307"/>
    <cellStyle name="Nota 2 6 11 2" xfId="6858"/>
    <cellStyle name="Nota 2 6 11 2 10" xfId="39116"/>
    <cellStyle name="Nota 2 6 11 2 11" xfId="43148"/>
    <cellStyle name="Nota 2 6 11 2 12" xfId="47180"/>
    <cellStyle name="Nota 2 6 11 2 13" xfId="51259"/>
    <cellStyle name="Nota 2 6 11 2 2" xfId="8874"/>
    <cellStyle name="Nota 2 6 11 2 2 10" xfId="45164"/>
    <cellStyle name="Nota 2 6 11 2 2 11" xfId="49196"/>
    <cellStyle name="Nota 2 6 11 2 2 12" xfId="53275"/>
    <cellStyle name="Nota 2 6 11 2 2 2" xfId="12908"/>
    <cellStyle name="Nota 2 6 11 2 2 3" xfId="16940"/>
    <cellStyle name="Nota 2 6 11 2 2 4" xfId="20972"/>
    <cellStyle name="Nota 2 6 11 2 2 5" xfId="25004"/>
    <cellStyle name="Nota 2 6 11 2 2 6" xfId="29036"/>
    <cellStyle name="Nota 2 6 11 2 2 7" xfId="33068"/>
    <cellStyle name="Nota 2 6 11 2 2 8" xfId="37100"/>
    <cellStyle name="Nota 2 6 11 2 2 9" xfId="41132"/>
    <cellStyle name="Nota 2 6 11 2 3" xfId="10892"/>
    <cellStyle name="Nota 2 6 11 2 4" xfId="14924"/>
    <cellStyle name="Nota 2 6 11 2 5" xfId="18956"/>
    <cellStyle name="Nota 2 6 11 2 6" xfId="22988"/>
    <cellStyle name="Nota 2 6 11 2 7" xfId="27020"/>
    <cellStyle name="Nota 2 6 11 2 8" xfId="31052"/>
    <cellStyle name="Nota 2 6 11 2 9" xfId="35084"/>
    <cellStyle name="Nota 2 6 11 3" xfId="7923"/>
    <cellStyle name="Nota 2 6 11 3 10" xfId="44213"/>
    <cellStyle name="Nota 2 6 11 3 11" xfId="48245"/>
    <cellStyle name="Nota 2 6 11 3 12" xfId="52324"/>
    <cellStyle name="Nota 2 6 11 3 2" xfId="11957"/>
    <cellStyle name="Nota 2 6 11 3 3" xfId="15989"/>
    <cellStyle name="Nota 2 6 11 3 4" xfId="20021"/>
    <cellStyle name="Nota 2 6 11 3 5" xfId="24053"/>
    <cellStyle name="Nota 2 6 11 3 6" xfId="28085"/>
    <cellStyle name="Nota 2 6 11 3 7" xfId="32117"/>
    <cellStyle name="Nota 2 6 11 3 8" xfId="36149"/>
    <cellStyle name="Nota 2 6 11 3 9" xfId="40181"/>
    <cellStyle name="Nota 2 6 11 4" xfId="9941"/>
    <cellStyle name="Nota 2 6 11 5" xfId="13973"/>
    <cellStyle name="Nota 2 6 11 6" xfId="18005"/>
    <cellStyle name="Nota 2 6 11 7" xfId="22037"/>
    <cellStyle name="Nota 2 6 11 8" xfId="26069"/>
    <cellStyle name="Nota 2 6 11 9" xfId="30101"/>
    <cellStyle name="Nota 2 6 12" xfId="4427"/>
    <cellStyle name="Nota 2 6 12 10" xfId="34271"/>
    <cellStyle name="Nota 2 6 12 11" xfId="38303"/>
    <cellStyle name="Nota 2 6 12 12" xfId="42335"/>
    <cellStyle name="Nota 2 6 12 13" xfId="46367"/>
    <cellStyle name="Nota 2 6 12 14" xfId="50446"/>
    <cellStyle name="Nota 2 6 12 2" xfId="6996"/>
    <cellStyle name="Nota 2 6 12 2 10" xfId="39254"/>
    <cellStyle name="Nota 2 6 12 2 11" xfId="43286"/>
    <cellStyle name="Nota 2 6 12 2 12" xfId="47318"/>
    <cellStyle name="Nota 2 6 12 2 13" xfId="51397"/>
    <cellStyle name="Nota 2 6 12 2 2" xfId="9012"/>
    <cellStyle name="Nota 2 6 12 2 2 10" xfId="45302"/>
    <cellStyle name="Nota 2 6 12 2 2 11" xfId="49334"/>
    <cellStyle name="Nota 2 6 12 2 2 12" xfId="53413"/>
    <cellStyle name="Nota 2 6 12 2 2 2" xfId="13046"/>
    <cellStyle name="Nota 2 6 12 2 2 3" xfId="17078"/>
    <cellStyle name="Nota 2 6 12 2 2 4" xfId="21110"/>
    <cellStyle name="Nota 2 6 12 2 2 5" xfId="25142"/>
    <cellStyle name="Nota 2 6 12 2 2 6" xfId="29174"/>
    <cellStyle name="Nota 2 6 12 2 2 7" xfId="33206"/>
    <cellStyle name="Nota 2 6 12 2 2 8" xfId="37238"/>
    <cellStyle name="Nota 2 6 12 2 2 9" xfId="41270"/>
    <cellStyle name="Nota 2 6 12 2 3" xfId="11030"/>
    <cellStyle name="Nota 2 6 12 2 4" xfId="15062"/>
    <cellStyle name="Nota 2 6 12 2 5" xfId="19094"/>
    <cellStyle name="Nota 2 6 12 2 6" xfId="23126"/>
    <cellStyle name="Nota 2 6 12 2 7" xfId="27158"/>
    <cellStyle name="Nota 2 6 12 2 8" xfId="31190"/>
    <cellStyle name="Nota 2 6 12 2 9" xfId="35222"/>
    <cellStyle name="Nota 2 6 12 3" xfId="8061"/>
    <cellStyle name="Nota 2 6 12 3 10" xfId="44351"/>
    <cellStyle name="Nota 2 6 12 3 11" xfId="48383"/>
    <cellStyle name="Nota 2 6 12 3 12" xfId="52462"/>
    <cellStyle name="Nota 2 6 12 3 2" xfId="12095"/>
    <cellStyle name="Nota 2 6 12 3 3" xfId="16127"/>
    <cellStyle name="Nota 2 6 12 3 4" xfId="20159"/>
    <cellStyle name="Nota 2 6 12 3 5" xfId="24191"/>
    <cellStyle name="Nota 2 6 12 3 6" xfId="28223"/>
    <cellStyle name="Nota 2 6 12 3 7" xfId="32255"/>
    <cellStyle name="Nota 2 6 12 3 8" xfId="36287"/>
    <cellStyle name="Nota 2 6 12 3 9" xfId="40319"/>
    <cellStyle name="Nota 2 6 12 4" xfId="10079"/>
    <cellStyle name="Nota 2 6 12 5" xfId="14111"/>
    <cellStyle name="Nota 2 6 12 6" xfId="18143"/>
    <cellStyle name="Nota 2 6 12 7" xfId="22175"/>
    <cellStyle name="Nota 2 6 12 8" xfId="26207"/>
    <cellStyle name="Nota 2 6 12 9" xfId="30239"/>
    <cellStyle name="Nota 2 6 13" xfId="4565"/>
    <cellStyle name="Nota 2 6 13 10" xfId="38441"/>
    <cellStyle name="Nota 2 6 13 11" xfId="42473"/>
    <cellStyle name="Nota 2 6 13 12" xfId="46505"/>
    <cellStyle name="Nota 2 6 13 13" xfId="50584"/>
    <cellStyle name="Nota 2 6 13 2" xfId="8199"/>
    <cellStyle name="Nota 2 6 13 2 10" xfId="44489"/>
    <cellStyle name="Nota 2 6 13 2 11" xfId="48521"/>
    <cellStyle name="Nota 2 6 13 2 12" xfId="52600"/>
    <cellStyle name="Nota 2 6 13 2 2" xfId="12233"/>
    <cellStyle name="Nota 2 6 13 2 3" xfId="16265"/>
    <cellStyle name="Nota 2 6 13 2 4" xfId="20297"/>
    <cellStyle name="Nota 2 6 13 2 5" xfId="24329"/>
    <cellStyle name="Nota 2 6 13 2 6" xfId="28361"/>
    <cellStyle name="Nota 2 6 13 2 7" xfId="32393"/>
    <cellStyle name="Nota 2 6 13 2 8" xfId="36425"/>
    <cellStyle name="Nota 2 6 13 2 9" xfId="40457"/>
    <cellStyle name="Nota 2 6 13 3" xfId="10217"/>
    <cellStyle name="Nota 2 6 13 4" xfId="14249"/>
    <cellStyle name="Nota 2 6 13 5" xfId="18281"/>
    <cellStyle name="Nota 2 6 13 6" xfId="22313"/>
    <cellStyle name="Nota 2 6 13 7" xfId="26345"/>
    <cellStyle name="Nota 2 6 13 8" xfId="30377"/>
    <cellStyle name="Nota 2 6 13 9" xfId="34409"/>
    <cellStyle name="Nota 2 6 14" xfId="293"/>
    <cellStyle name="Nota 2 6 14 10" xfId="37498"/>
    <cellStyle name="Nota 2 6 14 11" xfId="41530"/>
    <cellStyle name="Nota 2 6 14 12" xfId="45562"/>
    <cellStyle name="Nota 2 6 14 13" xfId="49640"/>
    <cellStyle name="Nota 2 6 14 2" xfId="7256"/>
    <cellStyle name="Nota 2 6 14 2 10" xfId="43546"/>
    <cellStyle name="Nota 2 6 14 2 11" xfId="47578"/>
    <cellStyle name="Nota 2 6 14 2 12" xfId="51657"/>
    <cellStyle name="Nota 2 6 14 2 2" xfId="11290"/>
    <cellStyle name="Nota 2 6 14 2 3" xfId="15322"/>
    <cellStyle name="Nota 2 6 14 2 4" xfId="19354"/>
    <cellStyle name="Nota 2 6 14 2 5" xfId="23386"/>
    <cellStyle name="Nota 2 6 14 2 6" xfId="27418"/>
    <cellStyle name="Nota 2 6 14 2 7" xfId="31450"/>
    <cellStyle name="Nota 2 6 14 2 8" xfId="35482"/>
    <cellStyle name="Nota 2 6 14 2 9" xfId="39514"/>
    <cellStyle name="Nota 2 6 14 3" xfId="9274"/>
    <cellStyle name="Nota 2 6 14 4" xfId="13306"/>
    <cellStyle name="Nota 2 6 14 5" xfId="17338"/>
    <cellStyle name="Nota 2 6 14 6" xfId="21370"/>
    <cellStyle name="Nota 2 6 14 7" xfId="25402"/>
    <cellStyle name="Nota 2 6 14 8" xfId="29434"/>
    <cellStyle name="Nota 2 6 14 9" xfId="33466"/>
    <cellStyle name="Nota 2 6 15" xfId="7134"/>
    <cellStyle name="Nota 2 6 15 10" xfId="43424"/>
    <cellStyle name="Nota 2 6 15 11" xfId="47456"/>
    <cellStyle name="Nota 2 6 15 12" xfId="51535"/>
    <cellStyle name="Nota 2 6 15 2" xfId="11168"/>
    <cellStyle name="Nota 2 6 15 3" xfId="15200"/>
    <cellStyle name="Nota 2 6 15 4" xfId="19232"/>
    <cellStyle name="Nota 2 6 15 5" xfId="23264"/>
    <cellStyle name="Nota 2 6 15 6" xfId="27296"/>
    <cellStyle name="Nota 2 6 15 7" xfId="31328"/>
    <cellStyle name="Nota 2 6 15 8" xfId="35360"/>
    <cellStyle name="Nota 2 6 15 9" xfId="39392"/>
    <cellStyle name="Nota 2 6 16" xfId="160"/>
    <cellStyle name="Nota 2 6 17" xfId="9152"/>
    <cellStyle name="Nota 2 6 18" xfId="13184"/>
    <cellStyle name="Nota 2 6 19" xfId="17216"/>
    <cellStyle name="Nota 2 6 2" xfId="239"/>
    <cellStyle name="Nota 2 6 2 10" xfId="17285"/>
    <cellStyle name="Nota 2 6 2 11" xfId="21317"/>
    <cellStyle name="Nota 2 6 2 12" xfId="25349"/>
    <cellStyle name="Nota 2 6 2 13" xfId="29381"/>
    <cellStyle name="Nota 2 6 2 14" xfId="33413"/>
    <cellStyle name="Nota 2 6 2 15" xfId="37445"/>
    <cellStyle name="Nota 2 6 2 16" xfId="41477"/>
    <cellStyle name="Nota 2 6 2 17" xfId="45509"/>
    <cellStyle name="Nota 2 6 2 18" xfId="49587"/>
    <cellStyle name="Nota 2 6 2 2" xfId="1474"/>
    <cellStyle name="Nota 2 6 2 2 2" xfId="1574"/>
    <cellStyle name="Nota 2 6 2 2 2 2" xfId="5274"/>
    <cellStyle name="Nota 2 6 2 2 3" xfId="5229"/>
    <cellStyle name="Nota 2 6 2 3" xfId="4357"/>
    <cellStyle name="Nota 2 6 2 3 10" xfId="34202"/>
    <cellStyle name="Nota 2 6 2 3 11" xfId="38234"/>
    <cellStyle name="Nota 2 6 2 3 12" xfId="42266"/>
    <cellStyle name="Nota 2 6 2 3 13" xfId="46298"/>
    <cellStyle name="Nota 2 6 2 3 14" xfId="50377"/>
    <cellStyle name="Nota 2 6 2 3 2" xfId="6927"/>
    <cellStyle name="Nota 2 6 2 3 2 10" xfId="39185"/>
    <cellStyle name="Nota 2 6 2 3 2 11" xfId="43217"/>
    <cellStyle name="Nota 2 6 2 3 2 12" xfId="47249"/>
    <cellStyle name="Nota 2 6 2 3 2 13" xfId="51328"/>
    <cellStyle name="Nota 2 6 2 3 2 2" xfId="8943"/>
    <cellStyle name="Nota 2 6 2 3 2 2 10" xfId="45233"/>
    <cellStyle name="Nota 2 6 2 3 2 2 11" xfId="49265"/>
    <cellStyle name="Nota 2 6 2 3 2 2 12" xfId="53344"/>
    <cellStyle name="Nota 2 6 2 3 2 2 2" xfId="12977"/>
    <cellStyle name="Nota 2 6 2 3 2 2 3" xfId="17009"/>
    <cellStyle name="Nota 2 6 2 3 2 2 4" xfId="21041"/>
    <cellStyle name="Nota 2 6 2 3 2 2 5" xfId="25073"/>
    <cellStyle name="Nota 2 6 2 3 2 2 6" xfId="29105"/>
    <cellStyle name="Nota 2 6 2 3 2 2 7" xfId="33137"/>
    <cellStyle name="Nota 2 6 2 3 2 2 8" xfId="37169"/>
    <cellStyle name="Nota 2 6 2 3 2 2 9" xfId="41201"/>
    <cellStyle name="Nota 2 6 2 3 2 3" xfId="10961"/>
    <cellStyle name="Nota 2 6 2 3 2 4" xfId="14993"/>
    <cellStyle name="Nota 2 6 2 3 2 5" xfId="19025"/>
    <cellStyle name="Nota 2 6 2 3 2 6" xfId="23057"/>
    <cellStyle name="Nota 2 6 2 3 2 7" xfId="27089"/>
    <cellStyle name="Nota 2 6 2 3 2 8" xfId="31121"/>
    <cellStyle name="Nota 2 6 2 3 2 9" xfId="35153"/>
    <cellStyle name="Nota 2 6 2 3 3" xfId="7992"/>
    <cellStyle name="Nota 2 6 2 3 3 10" xfId="44282"/>
    <cellStyle name="Nota 2 6 2 3 3 11" xfId="48314"/>
    <cellStyle name="Nota 2 6 2 3 3 12" xfId="52393"/>
    <cellStyle name="Nota 2 6 2 3 3 2" xfId="12026"/>
    <cellStyle name="Nota 2 6 2 3 3 3" xfId="16058"/>
    <cellStyle name="Nota 2 6 2 3 3 4" xfId="20090"/>
    <cellStyle name="Nota 2 6 2 3 3 5" xfId="24122"/>
    <cellStyle name="Nota 2 6 2 3 3 6" xfId="28154"/>
    <cellStyle name="Nota 2 6 2 3 3 7" xfId="32186"/>
    <cellStyle name="Nota 2 6 2 3 3 8" xfId="36218"/>
    <cellStyle name="Nota 2 6 2 3 3 9" xfId="40250"/>
    <cellStyle name="Nota 2 6 2 3 4" xfId="10010"/>
    <cellStyle name="Nota 2 6 2 3 5" xfId="14042"/>
    <cellStyle name="Nota 2 6 2 3 6" xfId="18074"/>
    <cellStyle name="Nota 2 6 2 3 7" xfId="22106"/>
    <cellStyle name="Nota 2 6 2 3 8" xfId="26138"/>
    <cellStyle name="Nota 2 6 2 3 9" xfId="30170"/>
    <cellStyle name="Nota 2 6 2 4" xfId="4496"/>
    <cellStyle name="Nota 2 6 2 4 10" xfId="34340"/>
    <cellStyle name="Nota 2 6 2 4 11" xfId="38372"/>
    <cellStyle name="Nota 2 6 2 4 12" xfId="42404"/>
    <cellStyle name="Nota 2 6 2 4 13" xfId="46436"/>
    <cellStyle name="Nota 2 6 2 4 14" xfId="50515"/>
    <cellStyle name="Nota 2 6 2 4 2" xfId="7065"/>
    <cellStyle name="Nota 2 6 2 4 2 10" xfId="39323"/>
    <cellStyle name="Nota 2 6 2 4 2 11" xfId="43355"/>
    <cellStyle name="Nota 2 6 2 4 2 12" xfId="47387"/>
    <cellStyle name="Nota 2 6 2 4 2 13" xfId="51466"/>
    <cellStyle name="Nota 2 6 2 4 2 2" xfId="9081"/>
    <cellStyle name="Nota 2 6 2 4 2 2 10" xfId="45371"/>
    <cellStyle name="Nota 2 6 2 4 2 2 11" xfId="49403"/>
    <cellStyle name="Nota 2 6 2 4 2 2 12" xfId="53482"/>
    <cellStyle name="Nota 2 6 2 4 2 2 2" xfId="13115"/>
    <cellStyle name="Nota 2 6 2 4 2 2 3" xfId="17147"/>
    <cellStyle name="Nota 2 6 2 4 2 2 4" xfId="21179"/>
    <cellStyle name="Nota 2 6 2 4 2 2 5" xfId="25211"/>
    <cellStyle name="Nota 2 6 2 4 2 2 6" xfId="29243"/>
    <cellStyle name="Nota 2 6 2 4 2 2 7" xfId="33275"/>
    <cellStyle name="Nota 2 6 2 4 2 2 8" xfId="37307"/>
    <cellStyle name="Nota 2 6 2 4 2 2 9" xfId="41339"/>
    <cellStyle name="Nota 2 6 2 4 2 3" xfId="11099"/>
    <cellStyle name="Nota 2 6 2 4 2 4" xfId="15131"/>
    <cellStyle name="Nota 2 6 2 4 2 5" xfId="19163"/>
    <cellStyle name="Nota 2 6 2 4 2 6" xfId="23195"/>
    <cellStyle name="Nota 2 6 2 4 2 7" xfId="27227"/>
    <cellStyle name="Nota 2 6 2 4 2 8" xfId="31259"/>
    <cellStyle name="Nota 2 6 2 4 2 9" xfId="35291"/>
    <cellStyle name="Nota 2 6 2 4 3" xfId="8130"/>
    <cellStyle name="Nota 2 6 2 4 3 10" xfId="44420"/>
    <cellStyle name="Nota 2 6 2 4 3 11" xfId="48452"/>
    <cellStyle name="Nota 2 6 2 4 3 12" xfId="52531"/>
    <cellStyle name="Nota 2 6 2 4 3 2" xfId="12164"/>
    <cellStyle name="Nota 2 6 2 4 3 3" xfId="16196"/>
    <cellStyle name="Nota 2 6 2 4 3 4" xfId="20228"/>
    <cellStyle name="Nota 2 6 2 4 3 5" xfId="24260"/>
    <cellStyle name="Nota 2 6 2 4 3 6" xfId="28292"/>
    <cellStyle name="Nota 2 6 2 4 3 7" xfId="32324"/>
    <cellStyle name="Nota 2 6 2 4 3 8" xfId="36356"/>
    <cellStyle name="Nota 2 6 2 4 3 9" xfId="40388"/>
    <cellStyle name="Nota 2 6 2 4 4" xfId="10148"/>
    <cellStyle name="Nota 2 6 2 4 5" xfId="14180"/>
    <cellStyle name="Nota 2 6 2 4 6" xfId="18212"/>
    <cellStyle name="Nota 2 6 2 4 7" xfId="22244"/>
    <cellStyle name="Nota 2 6 2 4 8" xfId="26276"/>
    <cellStyle name="Nota 2 6 2 4 9" xfId="30308"/>
    <cellStyle name="Nota 2 6 2 5" xfId="4636"/>
    <cellStyle name="Nota 2 6 2 5 10" xfId="38510"/>
    <cellStyle name="Nota 2 6 2 5 11" xfId="42542"/>
    <cellStyle name="Nota 2 6 2 5 12" xfId="46574"/>
    <cellStyle name="Nota 2 6 2 5 13" xfId="50653"/>
    <cellStyle name="Nota 2 6 2 5 2" xfId="8268"/>
    <cellStyle name="Nota 2 6 2 5 2 10" xfId="44558"/>
    <cellStyle name="Nota 2 6 2 5 2 11" xfId="48590"/>
    <cellStyle name="Nota 2 6 2 5 2 12" xfId="52669"/>
    <cellStyle name="Nota 2 6 2 5 2 2" xfId="12302"/>
    <cellStyle name="Nota 2 6 2 5 2 3" xfId="16334"/>
    <cellStyle name="Nota 2 6 2 5 2 4" xfId="20366"/>
    <cellStyle name="Nota 2 6 2 5 2 5" xfId="24398"/>
    <cellStyle name="Nota 2 6 2 5 2 6" xfId="28430"/>
    <cellStyle name="Nota 2 6 2 5 2 7" xfId="32462"/>
    <cellStyle name="Nota 2 6 2 5 2 8" xfId="36494"/>
    <cellStyle name="Nota 2 6 2 5 2 9" xfId="40526"/>
    <cellStyle name="Nota 2 6 2 5 3" xfId="10286"/>
    <cellStyle name="Nota 2 6 2 5 4" xfId="14318"/>
    <cellStyle name="Nota 2 6 2 5 5" xfId="18350"/>
    <cellStyle name="Nota 2 6 2 5 6" xfId="22382"/>
    <cellStyle name="Nota 2 6 2 5 7" xfId="26414"/>
    <cellStyle name="Nota 2 6 2 5 8" xfId="30446"/>
    <cellStyle name="Nota 2 6 2 5 9" xfId="34478"/>
    <cellStyle name="Nota 2 6 2 6" xfId="1311"/>
    <cellStyle name="Nota 2 6 2 7" xfId="7203"/>
    <cellStyle name="Nota 2 6 2 7 10" xfId="43493"/>
    <cellStyle name="Nota 2 6 2 7 11" xfId="47525"/>
    <cellStyle name="Nota 2 6 2 7 12" xfId="51604"/>
    <cellStyle name="Nota 2 6 2 7 2" xfId="11237"/>
    <cellStyle name="Nota 2 6 2 7 3" xfId="15269"/>
    <cellStyle name="Nota 2 6 2 7 4" xfId="19301"/>
    <cellStyle name="Nota 2 6 2 7 5" xfId="23333"/>
    <cellStyle name="Nota 2 6 2 7 6" xfId="27365"/>
    <cellStyle name="Nota 2 6 2 7 7" xfId="31397"/>
    <cellStyle name="Nota 2 6 2 7 8" xfId="35429"/>
    <cellStyle name="Nota 2 6 2 7 9" xfId="39461"/>
    <cellStyle name="Nota 2 6 2 8" xfId="9221"/>
    <cellStyle name="Nota 2 6 2 9" xfId="13253"/>
    <cellStyle name="Nota 2 6 20" xfId="21248"/>
    <cellStyle name="Nota 2 6 21" xfId="25280"/>
    <cellStyle name="Nota 2 6 22" xfId="29312"/>
    <cellStyle name="Nota 2 6 23" xfId="33344"/>
    <cellStyle name="Nota 2 6 24" xfId="37376"/>
    <cellStyle name="Nota 2 6 25" xfId="41408"/>
    <cellStyle name="Nota 2 6 26" xfId="45440"/>
    <cellStyle name="Nota 2 6 27" xfId="49518"/>
    <cellStyle name="Nota 2 6 3" xfId="977"/>
    <cellStyle name="Nota 2 6 3 2" xfId="5006"/>
    <cellStyle name="Nota 2 6 4" xfId="363"/>
    <cellStyle name="Nota 2 6 4 10" xfId="33536"/>
    <cellStyle name="Nota 2 6 4 11" xfId="37568"/>
    <cellStyle name="Nota 2 6 4 12" xfId="41600"/>
    <cellStyle name="Nota 2 6 4 13" xfId="45632"/>
    <cellStyle name="Nota 2 6 4 14" xfId="49710"/>
    <cellStyle name="Nota 2 6 4 2" xfId="4668"/>
    <cellStyle name="Nota 2 6 4 2 10" xfId="38542"/>
    <cellStyle name="Nota 2 6 4 2 11" xfId="42574"/>
    <cellStyle name="Nota 2 6 4 2 12" xfId="46606"/>
    <cellStyle name="Nota 2 6 4 2 13" xfId="50685"/>
    <cellStyle name="Nota 2 6 4 2 2" xfId="8300"/>
    <cellStyle name="Nota 2 6 4 2 2 10" xfId="44590"/>
    <cellStyle name="Nota 2 6 4 2 2 11" xfId="48622"/>
    <cellStyle name="Nota 2 6 4 2 2 12" xfId="52701"/>
    <cellStyle name="Nota 2 6 4 2 2 2" xfId="12334"/>
    <cellStyle name="Nota 2 6 4 2 2 3" xfId="16366"/>
    <cellStyle name="Nota 2 6 4 2 2 4" xfId="20398"/>
    <cellStyle name="Nota 2 6 4 2 2 5" xfId="24430"/>
    <cellStyle name="Nota 2 6 4 2 2 6" xfId="28462"/>
    <cellStyle name="Nota 2 6 4 2 2 7" xfId="32494"/>
    <cellStyle name="Nota 2 6 4 2 2 8" xfId="36526"/>
    <cellStyle name="Nota 2 6 4 2 2 9" xfId="40558"/>
    <cellStyle name="Nota 2 6 4 2 3" xfId="10318"/>
    <cellStyle name="Nota 2 6 4 2 4" xfId="14350"/>
    <cellStyle name="Nota 2 6 4 2 5" xfId="18382"/>
    <cellStyle name="Nota 2 6 4 2 6" xfId="22414"/>
    <cellStyle name="Nota 2 6 4 2 7" xfId="26446"/>
    <cellStyle name="Nota 2 6 4 2 8" xfId="30478"/>
    <cellStyle name="Nota 2 6 4 2 9" xfId="34510"/>
    <cellStyle name="Nota 2 6 4 3" xfId="7326"/>
    <cellStyle name="Nota 2 6 4 3 10" xfId="43616"/>
    <cellStyle name="Nota 2 6 4 3 11" xfId="47648"/>
    <cellStyle name="Nota 2 6 4 3 12" xfId="51727"/>
    <cellStyle name="Nota 2 6 4 3 2" xfId="11360"/>
    <cellStyle name="Nota 2 6 4 3 3" xfId="15392"/>
    <cellStyle name="Nota 2 6 4 3 4" xfId="19424"/>
    <cellStyle name="Nota 2 6 4 3 5" xfId="23456"/>
    <cellStyle name="Nota 2 6 4 3 6" xfId="27488"/>
    <cellStyle name="Nota 2 6 4 3 7" xfId="31520"/>
    <cellStyle name="Nota 2 6 4 3 8" xfId="35552"/>
    <cellStyle name="Nota 2 6 4 3 9" xfId="39584"/>
    <cellStyle name="Nota 2 6 4 4" xfId="9344"/>
    <cellStyle name="Nota 2 6 4 5" xfId="13376"/>
    <cellStyle name="Nota 2 6 4 6" xfId="17408"/>
    <cellStyle name="Nota 2 6 4 7" xfId="21440"/>
    <cellStyle name="Nota 2 6 4 8" xfId="25472"/>
    <cellStyle name="Nota 2 6 4 9" xfId="29504"/>
    <cellStyle name="Nota 2 6 5" xfId="1673"/>
    <cellStyle name="Nota 2 6 5 10" xfId="33634"/>
    <cellStyle name="Nota 2 6 5 11" xfId="37666"/>
    <cellStyle name="Nota 2 6 5 12" xfId="41698"/>
    <cellStyle name="Nota 2 6 5 13" xfId="45730"/>
    <cellStyle name="Nota 2 6 5 14" xfId="49808"/>
    <cellStyle name="Nota 2 6 5 2" xfId="5349"/>
    <cellStyle name="Nota 2 6 5 2 10" xfId="38617"/>
    <cellStyle name="Nota 2 6 5 2 11" xfId="42649"/>
    <cellStyle name="Nota 2 6 5 2 12" xfId="46681"/>
    <cellStyle name="Nota 2 6 5 2 13" xfId="50760"/>
    <cellStyle name="Nota 2 6 5 2 2" xfId="8375"/>
    <cellStyle name="Nota 2 6 5 2 2 10" xfId="44665"/>
    <cellStyle name="Nota 2 6 5 2 2 11" xfId="48697"/>
    <cellStyle name="Nota 2 6 5 2 2 12" xfId="52776"/>
    <cellStyle name="Nota 2 6 5 2 2 2" xfId="12409"/>
    <cellStyle name="Nota 2 6 5 2 2 3" xfId="16441"/>
    <cellStyle name="Nota 2 6 5 2 2 4" xfId="20473"/>
    <cellStyle name="Nota 2 6 5 2 2 5" xfId="24505"/>
    <cellStyle name="Nota 2 6 5 2 2 6" xfId="28537"/>
    <cellStyle name="Nota 2 6 5 2 2 7" xfId="32569"/>
    <cellStyle name="Nota 2 6 5 2 2 8" xfId="36601"/>
    <cellStyle name="Nota 2 6 5 2 2 9" xfId="40633"/>
    <cellStyle name="Nota 2 6 5 2 3" xfId="10393"/>
    <cellStyle name="Nota 2 6 5 2 4" xfId="14425"/>
    <cellStyle name="Nota 2 6 5 2 5" xfId="18457"/>
    <cellStyle name="Nota 2 6 5 2 6" xfId="22489"/>
    <cellStyle name="Nota 2 6 5 2 7" xfId="26521"/>
    <cellStyle name="Nota 2 6 5 2 8" xfId="30553"/>
    <cellStyle name="Nota 2 6 5 2 9" xfId="34585"/>
    <cellStyle name="Nota 2 6 5 3" xfId="7424"/>
    <cellStyle name="Nota 2 6 5 3 10" xfId="43714"/>
    <cellStyle name="Nota 2 6 5 3 11" xfId="47746"/>
    <cellStyle name="Nota 2 6 5 3 12" xfId="51825"/>
    <cellStyle name="Nota 2 6 5 3 2" xfId="11458"/>
    <cellStyle name="Nota 2 6 5 3 3" xfId="15490"/>
    <cellStyle name="Nota 2 6 5 3 4" xfId="19522"/>
    <cellStyle name="Nota 2 6 5 3 5" xfId="23554"/>
    <cellStyle name="Nota 2 6 5 3 6" xfId="27586"/>
    <cellStyle name="Nota 2 6 5 3 7" xfId="31618"/>
    <cellStyle name="Nota 2 6 5 3 8" xfId="35650"/>
    <cellStyle name="Nota 2 6 5 3 9" xfId="39682"/>
    <cellStyle name="Nota 2 6 5 4" xfId="9442"/>
    <cellStyle name="Nota 2 6 5 5" xfId="13474"/>
    <cellStyle name="Nota 2 6 5 6" xfId="17506"/>
    <cellStyle name="Nota 2 6 5 7" xfId="21538"/>
    <cellStyle name="Nota 2 6 5 8" xfId="25570"/>
    <cellStyle name="Nota 2 6 5 9" xfId="29602"/>
    <cellStyle name="Nota 2 6 6" xfId="1747"/>
    <cellStyle name="Nota 2 6 6 10" xfId="33703"/>
    <cellStyle name="Nota 2 6 6 11" xfId="37735"/>
    <cellStyle name="Nota 2 6 6 12" xfId="41767"/>
    <cellStyle name="Nota 2 6 6 13" xfId="45799"/>
    <cellStyle name="Nota 2 6 6 14" xfId="49877"/>
    <cellStyle name="Nota 2 6 6 2" xfId="5418"/>
    <cellStyle name="Nota 2 6 6 2 10" xfId="38686"/>
    <cellStyle name="Nota 2 6 6 2 11" xfId="42718"/>
    <cellStyle name="Nota 2 6 6 2 12" xfId="46750"/>
    <cellStyle name="Nota 2 6 6 2 13" xfId="50829"/>
    <cellStyle name="Nota 2 6 6 2 2" xfId="8444"/>
    <cellStyle name="Nota 2 6 6 2 2 10" xfId="44734"/>
    <cellStyle name="Nota 2 6 6 2 2 11" xfId="48766"/>
    <cellStyle name="Nota 2 6 6 2 2 12" xfId="52845"/>
    <cellStyle name="Nota 2 6 6 2 2 2" xfId="12478"/>
    <cellStyle name="Nota 2 6 6 2 2 3" xfId="16510"/>
    <cellStyle name="Nota 2 6 6 2 2 4" xfId="20542"/>
    <cellStyle name="Nota 2 6 6 2 2 5" xfId="24574"/>
    <cellStyle name="Nota 2 6 6 2 2 6" xfId="28606"/>
    <cellStyle name="Nota 2 6 6 2 2 7" xfId="32638"/>
    <cellStyle name="Nota 2 6 6 2 2 8" xfId="36670"/>
    <cellStyle name="Nota 2 6 6 2 2 9" xfId="40702"/>
    <cellStyle name="Nota 2 6 6 2 3" xfId="10462"/>
    <cellStyle name="Nota 2 6 6 2 4" xfId="14494"/>
    <cellStyle name="Nota 2 6 6 2 5" xfId="18526"/>
    <cellStyle name="Nota 2 6 6 2 6" xfId="22558"/>
    <cellStyle name="Nota 2 6 6 2 7" xfId="26590"/>
    <cellStyle name="Nota 2 6 6 2 8" xfId="30622"/>
    <cellStyle name="Nota 2 6 6 2 9" xfId="34654"/>
    <cellStyle name="Nota 2 6 6 3" xfId="7493"/>
    <cellStyle name="Nota 2 6 6 3 10" xfId="43783"/>
    <cellStyle name="Nota 2 6 6 3 11" xfId="47815"/>
    <cellStyle name="Nota 2 6 6 3 12" xfId="51894"/>
    <cellStyle name="Nota 2 6 6 3 2" xfId="11527"/>
    <cellStyle name="Nota 2 6 6 3 3" xfId="15559"/>
    <cellStyle name="Nota 2 6 6 3 4" xfId="19591"/>
    <cellStyle name="Nota 2 6 6 3 5" xfId="23623"/>
    <cellStyle name="Nota 2 6 6 3 6" xfId="27655"/>
    <cellStyle name="Nota 2 6 6 3 7" xfId="31687"/>
    <cellStyle name="Nota 2 6 6 3 8" xfId="35719"/>
    <cellStyle name="Nota 2 6 6 3 9" xfId="39751"/>
    <cellStyle name="Nota 2 6 6 4" xfId="9511"/>
    <cellStyle name="Nota 2 6 6 5" xfId="13543"/>
    <cellStyle name="Nota 2 6 6 6" xfId="17575"/>
    <cellStyle name="Nota 2 6 6 7" xfId="21607"/>
    <cellStyle name="Nota 2 6 6 8" xfId="25639"/>
    <cellStyle name="Nota 2 6 6 9" xfId="29671"/>
    <cellStyle name="Nota 2 6 7" xfId="2905"/>
    <cellStyle name="Nota 2 6 8" xfId="4069"/>
    <cellStyle name="Nota 2 6 8 10" xfId="33926"/>
    <cellStyle name="Nota 2 6 8 11" xfId="37958"/>
    <cellStyle name="Nota 2 6 8 12" xfId="41990"/>
    <cellStyle name="Nota 2 6 8 13" xfId="46022"/>
    <cellStyle name="Nota 2 6 8 14" xfId="50100"/>
    <cellStyle name="Nota 2 6 8 2" xfId="6651"/>
    <cellStyle name="Nota 2 6 8 2 10" xfId="38909"/>
    <cellStyle name="Nota 2 6 8 2 11" xfId="42941"/>
    <cellStyle name="Nota 2 6 8 2 12" xfId="46973"/>
    <cellStyle name="Nota 2 6 8 2 13" xfId="51052"/>
    <cellStyle name="Nota 2 6 8 2 2" xfId="8667"/>
    <cellStyle name="Nota 2 6 8 2 2 10" xfId="44957"/>
    <cellStyle name="Nota 2 6 8 2 2 11" xfId="48989"/>
    <cellStyle name="Nota 2 6 8 2 2 12" xfId="53068"/>
    <cellStyle name="Nota 2 6 8 2 2 2" xfId="12701"/>
    <cellStyle name="Nota 2 6 8 2 2 3" xfId="16733"/>
    <cellStyle name="Nota 2 6 8 2 2 4" xfId="20765"/>
    <cellStyle name="Nota 2 6 8 2 2 5" xfId="24797"/>
    <cellStyle name="Nota 2 6 8 2 2 6" xfId="28829"/>
    <cellStyle name="Nota 2 6 8 2 2 7" xfId="32861"/>
    <cellStyle name="Nota 2 6 8 2 2 8" xfId="36893"/>
    <cellStyle name="Nota 2 6 8 2 2 9" xfId="40925"/>
    <cellStyle name="Nota 2 6 8 2 3" xfId="10685"/>
    <cellStyle name="Nota 2 6 8 2 4" xfId="14717"/>
    <cellStyle name="Nota 2 6 8 2 5" xfId="18749"/>
    <cellStyle name="Nota 2 6 8 2 6" xfId="22781"/>
    <cellStyle name="Nota 2 6 8 2 7" xfId="26813"/>
    <cellStyle name="Nota 2 6 8 2 8" xfId="30845"/>
    <cellStyle name="Nota 2 6 8 2 9" xfId="34877"/>
    <cellStyle name="Nota 2 6 8 3" xfId="7716"/>
    <cellStyle name="Nota 2 6 8 3 10" xfId="44006"/>
    <cellStyle name="Nota 2 6 8 3 11" xfId="48038"/>
    <cellStyle name="Nota 2 6 8 3 12" xfId="52117"/>
    <cellStyle name="Nota 2 6 8 3 2" xfId="11750"/>
    <cellStyle name="Nota 2 6 8 3 3" xfId="15782"/>
    <cellStyle name="Nota 2 6 8 3 4" xfId="19814"/>
    <cellStyle name="Nota 2 6 8 3 5" xfId="23846"/>
    <cellStyle name="Nota 2 6 8 3 6" xfId="27878"/>
    <cellStyle name="Nota 2 6 8 3 7" xfId="31910"/>
    <cellStyle name="Nota 2 6 8 3 8" xfId="35942"/>
    <cellStyle name="Nota 2 6 8 3 9" xfId="39974"/>
    <cellStyle name="Nota 2 6 8 4" xfId="9734"/>
    <cellStyle name="Nota 2 6 8 5" xfId="13766"/>
    <cellStyle name="Nota 2 6 8 6" xfId="17798"/>
    <cellStyle name="Nota 2 6 8 7" xfId="21830"/>
    <cellStyle name="Nota 2 6 8 8" xfId="25862"/>
    <cellStyle name="Nota 2 6 8 9" xfId="29894"/>
    <cellStyle name="Nota 2 6 9" xfId="4139"/>
    <cellStyle name="Nota 2 6 9 10" xfId="33995"/>
    <cellStyle name="Nota 2 6 9 11" xfId="38027"/>
    <cellStyle name="Nota 2 6 9 12" xfId="42059"/>
    <cellStyle name="Nota 2 6 9 13" xfId="46091"/>
    <cellStyle name="Nota 2 6 9 14" xfId="50169"/>
    <cellStyle name="Nota 2 6 9 2" xfId="6720"/>
    <cellStyle name="Nota 2 6 9 2 10" xfId="38978"/>
    <cellStyle name="Nota 2 6 9 2 11" xfId="43010"/>
    <cellStyle name="Nota 2 6 9 2 12" xfId="47042"/>
    <cellStyle name="Nota 2 6 9 2 13" xfId="51121"/>
    <cellStyle name="Nota 2 6 9 2 2" xfId="8736"/>
    <cellStyle name="Nota 2 6 9 2 2 10" xfId="45026"/>
    <cellStyle name="Nota 2 6 9 2 2 11" xfId="49058"/>
    <cellStyle name="Nota 2 6 9 2 2 12" xfId="53137"/>
    <cellStyle name="Nota 2 6 9 2 2 2" xfId="12770"/>
    <cellStyle name="Nota 2 6 9 2 2 3" xfId="16802"/>
    <cellStyle name="Nota 2 6 9 2 2 4" xfId="20834"/>
    <cellStyle name="Nota 2 6 9 2 2 5" xfId="24866"/>
    <cellStyle name="Nota 2 6 9 2 2 6" xfId="28898"/>
    <cellStyle name="Nota 2 6 9 2 2 7" xfId="32930"/>
    <cellStyle name="Nota 2 6 9 2 2 8" xfId="36962"/>
    <cellStyle name="Nota 2 6 9 2 2 9" xfId="40994"/>
    <cellStyle name="Nota 2 6 9 2 3" xfId="10754"/>
    <cellStyle name="Nota 2 6 9 2 4" xfId="14786"/>
    <cellStyle name="Nota 2 6 9 2 5" xfId="18818"/>
    <cellStyle name="Nota 2 6 9 2 6" xfId="22850"/>
    <cellStyle name="Nota 2 6 9 2 7" xfId="26882"/>
    <cellStyle name="Nota 2 6 9 2 8" xfId="30914"/>
    <cellStyle name="Nota 2 6 9 2 9" xfId="34946"/>
    <cellStyle name="Nota 2 6 9 3" xfId="7785"/>
    <cellStyle name="Nota 2 6 9 3 10" xfId="44075"/>
    <cellStyle name="Nota 2 6 9 3 11" xfId="48107"/>
    <cellStyle name="Nota 2 6 9 3 12" xfId="52186"/>
    <cellStyle name="Nota 2 6 9 3 2" xfId="11819"/>
    <cellStyle name="Nota 2 6 9 3 3" xfId="15851"/>
    <cellStyle name="Nota 2 6 9 3 4" xfId="19883"/>
    <cellStyle name="Nota 2 6 9 3 5" xfId="23915"/>
    <cellStyle name="Nota 2 6 9 3 6" xfId="27947"/>
    <cellStyle name="Nota 2 6 9 3 7" xfId="31979"/>
    <cellStyle name="Nota 2 6 9 3 8" xfId="36011"/>
    <cellStyle name="Nota 2 6 9 3 9" xfId="40043"/>
    <cellStyle name="Nota 2 6 9 4" xfId="9803"/>
    <cellStyle name="Nota 2 6 9 5" xfId="13835"/>
    <cellStyle name="Nota 2 6 9 6" xfId="17867"/>
    <cellStyle name="Nota 2 6 9 7" xfId="21899"/>
    <cellStyle name="Nota 2 6 9 8" xfId="25931"/>
    <cellStyle name="Nota 2 6 9 9" xfId="29963"/>
    <cellStyle name="Nota 2 7" xfId="69"/>
    <cellStyle name="Nota 2 7 10" xfId="4265"/>
    <cellStyle name="Nota 2 7 10 10" xfId="34117"/>
    <cellStyle name="Nota 2 7 10 11" xfId="38149"/>
    <cellStyle name="Nota 2 7 10 12" xfId="42181"/>
    <cellStyle name="Nota 2 7 10 13" xfId="46213"/>
    <cellStyle name="Nota 2 7 10 14" xfId="50291"/>
    <cellStyle name="Nota 2 7 10 2" xfId="6842"/>
    <cellStyle name="Nota 2 7 10 2 10" xfId="39100"/>
    <cellStyle name="Nota 2 7 10 2 11" xfId="43132"/>
    <cellStyle name="Nota 2 7 10 2 12" xfId="47164"/>
    <cellStyle name="Nota 2 7 10 2 13" xfId="51243"/>
    <cellStyle name="Nota 2 7 10 2 2" xfId="8858"/>
    <cellStyle name="Nota 2 7 10 2 2 10" xfId="45148"/>
    <cellStyle name="Nota 2 7 10 2 2 11" xfId="49180"/>
    <cellStyle name="Nota 2 7 10 2 2 12" xfId="53259"/>
    <cellStyle name="Nota 2 7 10 2 2 2" xfId="12892"/>
    <cellStyle name="Nota 2 7 10 2 2 3" xfId="16924"/>
    <cellStyle name="Nota 2 7 10 2 2 4" xfId="20956"/>
    <cellStyle name="Nota 2 7 10 2 2 5" xfId="24988"/>
    <cellStyle name="Nota 2 7 10 2 2 6" xfId="29020"/>
    <cellStyle name="Nota 2 7 10 2 2 7" xfId="33052"/>
    <cellStyle name="Nota 2 7 10 2 2 8" xfId="37084"/>
    <cellStyle name="Nota 2 7 10 2 2 9" xfId="41116"/>
    <cellStyle name="Nota 2 7 10 2 3" xfId="10876"/>
    <cellStyle name="Nota 2 7 10 2 4" xfId="14908"/>
    <cellStyle name="Nota 2 7 10 2 5" xfId="18940"/>
    <cellStyle name="Nota 2 7 10 2 6" xfId="22972"/>
    <cellStyle name="Nota 2 7 10 2 7" xfId="27004"/>
    <cellStyle name="Nota 2 7 10 2 8" xfId="31036"/>
    <cellStyle name="Nota 2 7 10 2 9" xfId="35068"/>
    <cellStyle name="Nota 2 7 10 3" xfId="7907"/>
    <cellStyle name="Nota 2 7 10 3 10" xfId="44197"/>
    <cellStyle name="Nota 2 7 10 3 11" xfId="48229"/>
    <cellStyle name="Nota 2 7 10 3 12" xfId="52308"/>
    <cellStyle name="Nota 2 7 10 3 2" xfId="11941"/>
    <cellStyle name="Nota 2 7 10 3 3" xfId="15973"/>
    <cellStyle name="Nota 2 7 10 3 4" xfId="20005"/>
    <cellStyle name="Nota 2 7 10 3 5" xfId="24037"/>
    <cellStyle name="Nota 2 7 10 3 6" xfId="28069"/>
    <cellStyle name="Nota 2 7 10 3 7" xfId="32101"/>
    <cellStyle name="Nota 2 7 10 3 8" xfId="36133"/>
    <cellStyle name="Nota 2 7 10 3 9" xfId="40165"/>
    <cellStyle name="Nota 2 7 10 4" xfId="9925"/>
    <cellStyle name="Nota 2 7 10 5" xfId="13957"/>
    <cellStyle name="Nota 2 7 10 6" xfId="17989"/>
    <cellStyle name="Nota 2 7 10 7" xfId="22021"/>
    <cellStyle name="Nota 2 7 10 8" xfId="26053"/>
    <cellStyle name="Nota 2 7 10 9" xfId="30085"/>
    <cellStyle name="Nota 2 7 11" xfId="4411"/>
    <cellStyle name="Nota 2 7 11 10" xfId="34255"/>
    <cellStyle name="Nota 2 7 11 11" xfId="38287"/>
    <cellStyle name="Nota 2 7 11 12" xfId="42319"/>
    <cellStyle name="Nota 2 7 11 13" xfId="46351"/>
    <cellStyle name="Nota 2 7 11 14" xfId="50430"/>
    <cellStyle name="Nota 2 7 11 2" xfId="6980"/>
    <cellStyle name="Nota 2 7 11 2 10" xfId="39238"/>
    <cellStyle name="Nota 2 7 11 2 11" xfId="43270"/>
    <cellStyle name="Nota 2 7 11 2 12" xfId="47302"/>
    <cellStyle name="Nota 2 7 11 2 13" xfId="51381"/>
    <cellStyle name="Nota 2 7 11 2 2" xfId="8996"/>
    <cellStyle name="Nota 2 7 11 2 2 10" xfId="45286"/>
    <cellStyle name="Nota 2 7 11 2 2 11" xfId="49318"/>
    <cellStyle name="Nota 2 7 11 2 2 12" xfId="53397"/>
    <cellStyle name="Nota 2 7 11 2 2 2" xfId="13030"/>
    <cellStyle name="Nota 2 7 11 2 2 3" xfId="17062"/>
    <cellStyle name="Nota 2 7 11 2 2 4" xfId="21094"/>
    <cellStyle name="Nota 2 7 11 2 2 5" xfId="25126"/>
    <cellStyle name="Nota 2 7 11 2 2 6" xfId="29158"/>
    <cellStyle name="Nota 2 7 11 2 2 7" xfId="33190"/>
    <cellStyle name="Nota 2 7 11 2 2 8" xfId="37222"/>
    <cellStyle name="Nota 2 7 11 2 2 9" xfId="41254"/>
    <cellStyle name="Nota 2 7 11 2 3" xfId="11014"/>
    <cellStyle name="Nota 2 7 11 2 4" xfId="15046"/>
    <cellStyle name="Nota 2 7 11 2 5" xfId="19078"/>
    <cellStyle name="Nota 2 7 11 2 6" xfId="23110"/>
    <cellStyle name="Nota 2 7 11 2 7" xfId="27142"/>
    <cellStyle name="Nota 2 7 11 2 8" xfId="31174"/>
    <cellStyle name="Nota 2 7 11 2 9" xfId="35206"/>
    <cellStyle name="Nota 2 7 11 3" xfId="8045"/>
    <cellStyle name="Nota 2 7 11 3 10" xfId="44335"/>
    <cellStyle name="Nota 2 7 11 3 11" xfId="48367"/>
    <cellStyle name="Nota 2 7 11 3 12" xfId="52446"/>
    <cellStyle name="Nota 2 7 11 3 2" xfId="12079"/>
    <cellStyle name="Nota 2 7 11 3 3" xfId="16111"/>
    <cellStyle name="Nota 2 7 11 3 4" xfId="20143"/>
    <cellStyle name="Nota 2 7 11 3 5" xfId="24175"/>
    <cellStyle name="Nota 2 7 11 3 6" xfId="28207"/>
    <cellStyle name="Nota 2 7 11 3 7" xfId="32239"/>
    <cellStyle name="Nota 2 7 11 3 8" xfId="36271"/>
    <cellStyle name="Nota 2 7 11 3 9" xfId="40303"/>
    <cellStyle name="Nota 2 7 11 4" xfId="10063"/>
    <cellStyle name="Nota 2 7 11 5" xfId="14095"/>
    <cellStyle name="Nota 2 7 11 6" xfId="18127"/>
    <cellStyle name="Nota 2 7 11 7" xfId="22159"/>
    <cellStyle name="Nota 2 7 11 8" xfId="26191"/>
    <cellStyle name="Nota 2 7 11 9" xfId="30223"/>
    <cellStyle name="Nota 2 7 12" xfId="4549"/>
    <cellStyle name="Nota 2 7 12 10" xfId="38425"/>
    <cellStyle name="Nota 2 7 12 11" xfId="42457"/>
    <cellStyle name="Nota 2 7 12 12" xfId="46489"/>
    <cellStyle name="Nota 2 7 12 13" xfId="50568"/>
    <cellStyle name="Nota 2 7 12 2" xfId="8183"/>
    <cellStyle name="Nota 2 7 12 2 10" xfId="44473"/>
    <cellStyle name="Nota 2 7 12 2 11" xfId="48505"/>
    <cellStyle name="Nota 2 7 12 2 12" xfId="52584"/>
    <cellStyle name="Nota 2 7 12 2 2" xfId="12217"/>
    <cellStyle name="Nota 2 7 12 2 3" xfId="16249"/>
    <cellStyle name="Nota 2 7 12 2 4" xfId="20281"/>
    <cellStyle name="Nota 2 7 12 2 5" xfId="24313"/>
    <cellStyle name="Nota 2 7 12 2 6" xfId="28345"/>
    <cellStyle name="Nota 2 7 12 2 7" xfId="32377"/>
    <cellStyle name="Nota 2 7 12 2 8" xfId="36409"/>
    <cellStyle name="Nota 2 7 12 2 9" xfId="40441"/>
    <cellStyle name="Nota 2 7 12 3" xfId="10201"/>
    <cellStyle name="Nota 2 7 12 4" xfId="14233"/>
    <cellStyle name="Nota 2 7 12 5" xfId="18265"/>
    <cellStyle name="Nota 2 7 12 6" xfId="22297"/>
    <cellStyle name="Nota 2 7 12 7" xfId="26329"/>
    <cellStyle name="Nota 2 7 12 8" xfId="30361"/>
    <cellStyle name="Nota 2 7 12 9" xfId="34393"/>
    <cellStyle name="Nota 2 7 13" xfId="277"/>
    <cellStyle name="Nota 2 7 13 10" xfId="37482"/>
    <cellStyle name="Nota 2 7 13 11" xfId="41514"/>
    <cellStyle name="Nota 2 7 13 12" xfId="45546"/>
    <cellStyle name="Nota 2 7 13 13" xfId="49624"/>
    <cellStyle name="Nota 2 7 13 2" xfId="7240"/>
    <cellStyle name="Nota 2 7 13 2 10" xfId="43530"/>
    <cellStyle name="Nota 2 7 13 2 11" xfId="47562"/>
    <cellStyle name="Nota 2 7 13 2 12" xfId="51641"/>
    <cellStyle name="Nota 2 7 13 2 2" xfId="11274"/>
    <cellStyle name="Nota 2 7 13 2 3" xfId="15306"/>
    <cellStyle name="Nota 2 7 13 2 4" xfId="19338"/>
    <cellStyle name="Nota 2 7 13 2 5" xfId="23370"/>
    <cellStyle name="Nota 2 7 13 2 6" xfId="27402"/>
    <cellStyle name="Nota 2 7 13 2 7" xfId="31434"/>
    <cellStyle name="Nota 2 7 13 2 8" xfId="35466"/>
    <cellStyle name="Nota 2 7 13 2 9" xfId="39498"/>
    <cellStyle name="Nota 2 7 13 3" xfId="9258"/>
    <cellStyle name="Nota 2 7 13 4" xfId="13290"/>
    <cellStyle name="Nota 2 7 13 5" xfId="17322"/>
    <cellStyle name="Nota 2 7 13 6" xfId="21354"/>
    <cellStyle name="Nota 2 7 13 7" xfId="25386"/>
    <cellStyle name="Nota 2 7 13 8" xfId="29418"/>
    <cellStyle name="Nota 2 7 13 9" xfId="33450"/>
    <cellStyle name="Nota 2 7 14" xfId="7118"/>
    <cellStyle name="Nota 2 7 14 10" xfId="43408"/>
    <cellStyle name="Nota 2 7 14 11" xfId="47440"/>
    <cellStyle name="Nota 2 7 14 12" xfId="51519"/>
    <cellStyle name="Nota 2 7 14 2" xfId="11152"/>
    <cellStyle name="Nota 2 7 14 3" xfId="15184"/>
    <cellStyle name="Nota 2 7 14 4" xfId="19216"/>
    <cellStyle name="Nota 2 7 14 5" xfId="23248"/>
    <cellStyle name="Nota 2 7 14 6" xfId="27280"/>
    <cellStyle name="Nota 2 7 14 7" xfId="31312"/>
    <cellStyle name="Nota 2 7 14 8" xfId="35344"/>
    <cellStyle name="Nota 2 7 14 9" xfId="39376"/>
    <cellStyle name="Nota 2 7 15" xfId="144"/>
    <cellStyle name="Nota 2 7 16" xfId="9136"/>
    <cellStyle name="Nota 2 7 17" xfId="13168"/>
    <cellStyle name="Nota 2 7 18" xfId="17200"/>
    <cellStyle name="Nota 2 7 19" xfId="21232"/>
    <cellStyle name="Nota 2 7 2" xfId="223"/>
    <cellStyle name="Nota 2 7 2 10" xfId="21301"/>
    <cellStyle name="Nota 2 7 2 11" xfId="25333"/>
    <cellStyle name="Nota 2 7 2 12" xfId="29365"/>
    <cellStyle name="Nota 2 7 2 13" xfId="33397"/>
    <cellStyle name="Nota 2 7 2 14" xfId="37429"/>
    <cellStyle name="Nota 2 7 2 15" xfId="41461"/>
    <cellStyle name="Nota 2 7 2 16" xfId="45493"/>
    <cellStyle name="Nota 2 7 2 17" xfId="49571"/>
    <cellStyle name="Nota 2 7 2 2" xfId="4341"/>
    <cellStyle name="Nota 2 7 2 2 10" xfId="34186"/>
    <cellStyle name="Nota 2 7 2 2 11" xfId="38218"/>
    <cellStyle name="Nota 2 7 2 2 12" xfId="42250"/>
    <cellStyle name="Nota 2 7 2 2 13" xfId="46282"/>
    <cellStyle name="Nota 2 7 2 2 14" xfId="50361"/>
    <cellStyle name="Nota 2 7 2 2 2" xfId="6911"/>
    <cellStyle name="Nota 2 7 2 2 2 10" xfId="39169"/>
    <cellStyle name="Nota 2 7 2 2 2 11" xfId="43201"/>
    <cellStyle name="Nota 2 7 2 2 2 12" xfId="47233"/>
    <cellStyle name="Nota 2 7 2 2 2 13" xfId="51312"/>
    <cellStyle name="Nota 2 7 2 2 2 2" xfId="8927"/>
    <cellStyle name="Nota 2 7 2 2 2 2 10" xfId="45217"/>
    <cellStyle name="Nota 2 7 2 2 2 2 11" xfId="49249"/>
    <cellStyle name="Nota 2 7 2 2 2 2 12" xfId="53328"/>
    <cellStyle name="Nota 2 7 2 2 2 2 2" xfId="12961"/>
    <cellStyle name="Nota 2 7 2 2 2 2 3" xfId="16993"/>
    <cellStyle name="Nota 2 7 2 2 2 2 4" xfId="21025"/>
    <cellStyle name="Nota 2 7 2 2 2 2 5" xfId="25057"/>
    <cellStyle name="Nota 2 7 2 2 2 2 6" xfId="29089"/>
    <cellStyle name="Nota 2 7 2 2 2 2 7" xfId="33121"/>
    <cellStyle name="Nota 2 7 2 2 2 2 8" xfId="37153"/>
    <cellStyle name="Nota 2 7 2 2 2 2 9" xfId="41185"/>
    <cellStyle name="Nota 2 7 2 2 2 3" xfId="10945"/>
    <cellStyle name="Nota 2 7 2 2 2 4" xfId="14977"/>
    <cellStyle name="Nota 2 7 2 2 2 5" xfId="19009"/>
    <cellStyle name="Nota 2 7 2 2 2 6" xfId="23041"/>
    <cellStyle name="Nota 2 7 2 2 2 7" xfId="27073"/>
    <cellStyle name="Nota 2 7 2 2 2 8" xfId="31105"/>
    <cellStyle name="Nota 2 7 2 2 2 9" xfId="35137"/>
    <cellStyle name="Nota 2 7 2 2 3" xfId="7976"/>
    <cellStyle name="Nota 2 7 2 2 3 10" xfId="44266"/>
    <cellStyle name="Nota 2 7 2 2 3 11" xfId="48298"/>
    <cellStyle name="Nota 2 7 2 2 3 12" xfId="52377"/>
    <cellStyle name="Nota 2 7 2 2 3 2" xfId="12010"/>
    <cellStyle name="Nota 2 7 2 2 3 3" xfId="16042"/>
    <cellStyle name="Nota 2 7 2 2 3 4" xfId="20074"/>
    <cellStyle name="Nota 2 7 2 2 3 5" xfId="24106"/>
    <cellStyle name="Nota 2 7 2 2 3 6" xfId="28138"/>
    <cellStyle name="Nota 2 7 2 2 3 7" xfId="32170"/>
    <cellStyle name="Nota 2 7 2 2 3 8" xfId="36202"/>
    <cellStyle name="Nota 2 7 2 2 3 9" xfId="40234"/>
    <cellStyle name="Nota 2 7 2 2 4" xfId="9994"/>
    <cellStyle name="Nota 2 7 2 2 5" xfId="14026"/>
    <cellStyle name="Nota 2 7 2 2 6" xfId="18058"/>
    <cellStyle name="Nota 2 7 2 2 7" xfId="22090"/>
    <cellStyle name="Nota 2 7 2 2 8" xfId="26122"/>
    <cellStyle name="Nota 2 7 2 2 9" xfId="30154"/>
    <cellStyle name="Nota 2 7 2 3" xfId="4480"/>
    <cellStyle name="Nota 2 7 2 3 10" xfId="34324"/>
    <cellStyle name="Nota 2 7 2 3 11" xfId="38356"/>
    <cellStyle name="Nota 2 7 2 3 12" xfId="42388"/>
    <cellStyle name="Nota 2 7 2 3 13" xfId="46420"/>
    <cellStyle name="Nota 2 7 2 3 14" xfId="50499"/>
    <cellStyle name="Nota 2 7 2 3 2" xfId="7049"/>
    <cellStyle name="Nota 2 7 2 3 2 10" xfId="39307"/>
    <cellStyle name="Nota 2 7 2 3 2 11" xfId="43339"/>
    <cellStyle name="Nota 2 7 2 3 2 12" xfId="47371"/>
    <cellStyle name="Nota 2 7 2 3 2 13" xfId="51450"/>
    <cellStyle name="Nota 2 7 2 3 2 2" xfId="9065"/>
    <cellStyle name="Nota 2 7 2 3 2 2 10" xfId="45355"/>
    <cellStyle name="Nota 2 7 2 3 2 2 11" xfId="49387"/>
    <cellStyle name="Nota 2 7 2 3 2 2 12" xfId="53466"/>
    <cellStyle name="Nota 2 7 2 3 2 2 2" xfId="13099"/>
    <cellStyle name="Nota 2 7 2 3 2 2 3" xfId="17131"/>
    <cellStyle name="Nota 2 7 2 3 2 2 4" xfId="21163"/>
    <cellStyle name="Nota 2 7 2 3 2 2 5" xfId="25195"/>
    <cellStyle name="Nota 2 7 2 3 2 2 6" xfId="29227"/>
    <cellStyle name="Nota 2 7 2 3 2 2 7" xfId="33259"/>
    <cellStyle name="Nota 2 7 2 3 2 2 8" xfId="37291"/>
    <cellStyle name="Nota 2 7 2 3 2 2 9" xfId="41323"/>
    <cellStyle name="Nota 2 7 2 3 2 3" xfId="11083"/>
    <cellStyle name="Nota 2 7 2 3 2 4" xfId="15115"/>
    <cellStyle name="Nota 2 7 2 3 2 5" xfId="19147"/>
    <cellStyle name="Nota 2 7 2 3 2 6" xfId="23179"/>
    <cellStyle name="Nota 2 7 2 3 2 7" xfId="27211"/>
    <cellStyle name="Nota 2 7 2 3 2 8" xfId="31243"/>
    <cellStyle name="Nota 2 7 2 3 2 9" xfId="35275"/>
    <cellStyle name="Nota 2 7 2 3 3" xfId="8114"/>
    <cellStyle name="Nota 2 7 2 3 3 10" xfId="44404"/>
    <cellStyle name="Nota 2 7 2 3 3 11" xfId="48436"/>
    <cellStyle name="Nota 2 7 2 3 3 12" xfId="52515"/>
    <cellStyle name="Nota 2 7 2 3 3 2" xfId="12148"/>
    <cellStyle name="Nota 2 7 2 3 3 3" xfId="16180"/>
    <cellStyle name="Nota 2 7 2 3 3 4" xfId="20212"/>
    <cellStyle name="Nota 2 7 2 3 3 5" xfId="24244"/>
    <cellStyle name="Nota 2 7 2 3 3 6" xfId="28276"/>
    <cellStyle name="Nota 2 7 2 3 3 7" xfId="32308"/>
    <cellStyle name="Nota 2 7 2 3 3 8" xfId="36340"/>
    <cellStyle name="Nota 2 7 2 3 3 9" xfId="40372"/>
    <cellStyle name="Nota 2 7 2 3 4" xfId="10132"/>
    <cellStyle name="Nota 2 7 2 3 5" xfId="14164"/>
    <cellStyle name="Nota 2 7 2 3 6" xfId="18196"/>
    <cellStyle name="Nota 2 7 2 3 7" xfId="22228"/>
    <cellStyle name="Nota 2 7 2 3 8" xfId="26260"/>
    <cellStyle name="Nota 2 7 2 3 9" xfId="30292"/>
    <cellStyle name="Nota 2 7 2 4" xfId="4620"/>
    <cellStyle name="Nota 2 7 2 4 10" xfId="38494"/>
    <cellStyle name="Nota 2 7 2 4 11" xfId="42526"/>
    <cellStyle name="Nota 2 7 2 4 12" xfId="46558"/>
    <cellStyle name="Nota 2 7 2 4 13" xfId="50637"/>
    <cellStyle name="Nota 2 7 2 4 2" xfId="8252"/>
    <cellStyle name="Nota 2 7 2 4 2 10" xfId="44542"/>
    <cellStyle name="Nota 2 7 2 4 2 11" xfId="48574"/>
    <cellStyle name="Nota 2 7 2 4 2 12" xfId="52653"/>
    <cellStyle name="Nota 2 7 2 4 2 2" xfId="12286"/>
    <cellStyle name="Nota 2 7 2 4 2 3" xfId="16318"/>
    <cellStyle name="Nota 2 7 2 4 2 4" xfId="20350"/>
    <cellStyle name="Nota 2 7 2 4 2 5" xfId="24382"/>
    <cellStyle name="Nota 2 7 2 4 2 6" xfId="28414"/>
    <cellStyle name="Nota 2 7 2 4 2 7" xfId="32446"/>
    <cellStyle name="Nota 2 7 2 4 2 8" xfId="36478"/>
    <cellStyle name="Nota 2 7 2 4 2 9" xfId="40510"/>
    <cellStyle name="Nota 2 7 2 4 3" xfId="10270"/>
    <cellStyle name="Nota 2 7 2 4 4" xfId="14302"/>
    <cellStyle name="Nota 2 7 2 4 5" xfId="18334"/>
    <cellStyle name="Nota 2 7 2 4 6" xfId="22366"/>
    <cellStyle name="Nota 2 7 2 4 7" xfId="26398"/>
    <cellStyle name="Nota 2 7 2 4 8" xfId="30430"/>
    <cellStyle name="Nota 2 7 2 4 9" xfId="34462"/>
    <cellStyle name="Nota 2 7 2 5" xfId="1096"/>
    <cellStyle name="Nota 2 7 2 5 10" xfId="37608"/>
    <cellStyle name="Nota 2 7 2 5 11" xfId="41640"/>
    <cellStyle name="Nota 2 7 2 5 12" xfId="45672"/>
    <cellStyle name="Nota 2 7 2 5 13" xfId="49750"/>
    <cellStyle name="Nota 2 7 2 5 2" xfId="7366"/>
    <cellStyle name="Nota 2 7 2 5 2 10" xfId="43656"/>
    <cellStyle name="Nota 2 7 2 5 2 11" xfId="47688"/>
    <cellStyle name="Nota 2 7 2 5 2 12" xfId="51767"/>
    <cellStyle name="Nota 2 7 2 5 2 2" xfId="11400"/>
    <cellStyle name="Nota 2 7 2 5 2 3" xfId="15432"/>
    <cellStyle name="Nota 2 7 2 5 2 4" xfId="19464"/>
    <cellStyle name="Nota 2 7 2 5 2 5" xfId="23496"/>
    <cellStyle name="Nota 2 7 2 5 2 6" xfId="27528"/>
    <cellStyle name="Nota 2 7 2 5 2 7" xfId="31560"/>
    <cellStyle name="Nota 2 7 2 5 2 8" xfId="35592"/>
    <cellStyle name="Nota 2 7 2 5 2 9" xfId="39624"/>
    <cellStyle name="Nota 2 7 2 5 3" xfId="9384"/>
    <cellStyle name="Nota 2 7 2 5 4" xfId="13416"/>
    <cellStyle name="Nota 2 7 2 5 5" xfId="17448"/>
    <cellStyle name="Nota 2 7 2 5 6" xfId="21480"/>
    <cellStyle name="Nota 2 7 2 5 7" xfId="25512"/>
    <cellStyle name="Nota 2 7 2 5 8" xfId="29544"/>
    <cellStyle name="Nota 2 7 2 5 9" xfId="33576"/>
    <cellStyle name="Nota 2 7 2 6" xfId="7187"/>
    <cellStyle name="Nota 2 7 2 6 10" xfId="43477"/>
    <cellStyle name="Nota 2 7 2 6 11" xfId="47509"/>
    <cellStyle name="Nota 2 7 2 6 12" xfId="51588"/>
    <cellStyle name="Nota 2 7 2 6 2" xfId="11221"/>
    <cellStyle name="Nota 2 7 2 6 3" xfId="15253"/>
    <cellStyle name="Nota 2 7 2 6 4" xfId="19285"/>
    <cellStyle name="Nota 2 7 2 6 5" xfId="23317"/>
    <cellStyle name="Nota 2 7 2 6 6" xfId="27349"/>
    <cellStyle name="Nota 2 7 2 6 7" xfId="31381"/>
    <cellStyle name="Nota 2 7 2 6 8" xfId="35413"/>
    <cellStyle name="Nota 2 7 2 6 9" xfId="39445"/>
    <cellStyle name="Nota 2 7 2 7" xfId="9205"/>
    <cellStyle name="Nota 2 7 2 8" xfId="13237"/>
    <cellStyle name="Nota 2 7 2 9" xfId="17269"/>
    <cellStyle name="Nota 2 7 20" xfId="25264"/>
    <cellStyle name="Nota 2 7 21" xfId="29296"/>
    <cellStyle name="Nota 2 7 22" xfId="33328"/>
    <cellStyle name="Nota 2 7 23" xfId="37360"/>
    <cellStyle name="Nota 2 7 24" xfId="41392"/>
    <cellStyle name="Nota 2 7 25" xfId="45424"/>
    <cellStyle name="Nota 2 7 26" xfId="49502"/>
    <cellStyle name="Nota 2 7 3" xfId="347"/>
    <cellStyle name="Nota 2 7 3 10" xfId="33520"/>
    <cellStyle name="Nota 2 7 3 11" xfId="37552"/>
    <cellStyle name="Nota 2 7 3 12" xfId="41584"/>
    <cellStyle name="Nota 2 7 3 13" xfId="45616"/>
    <cellStyle name="Nota 2 7 3 14" xfId="49694"/>
    <cellStyle name="Nota 2 7 3 2" xfId="4664"/>
    <cellStyle name="Nota 2 7 3 2 10" xfId="38538"/>
    <cellStyle name="Nota 2 7 3 2 11" xfId="42570"/>
    <cellStyle name="Nota 2 7 3 2 12" xfId="46602"/>
    <cellStyle name="Nota 2 7 3 2 13" xfId="50681"/>
    <cellStyle name="Nota 2 7 3 2 2" xfId="8296"/>
    <cellStyle name="Nota 2 7 3 2 2 10" xfId="44586"/>
    <cellStyle name="Nota 2 7 3 2 2 11" xfId="48618"/>
    <cellStyle name="Nota 2 7 3 2 2 12" xfId="52697"/>
    <cellStyle name="Nota 2 7 3 2 2 2" xfId="12330"/>
    <cellStyle name="Nota 2 7 3 2 2 3" xfId="16362"/>
    <cellStyle name="Nota 2 7 3 2 2 4" xfId="20394"/>
    <cellStyle name="Nota 2 7 3 2 2 5" xfId="24426"/>
    <cellStyle name="Nota 2 7 3 2 2 6" xfId="28458"/>
    <cellStyle name="Nota 2 7 3 2 2 7" xfId="32490"/>
    <cellStyle name="Nota 2 7 3 2 2 8" xfId="36522"/>
    <cellStyle name="Nota 2 7 3 2 2 9" xfId="40554"/>
    <cellStyle name="Nota 2 7 3 2 3" xfId="10314"/>
    <cellStyle name="Nota 2 7 3 2 4" xfId="14346"/>
    <cellStyle name="Nota 2 7 3 2 5" xfId="18378"/>
    <cellStyle name="Nota 2 7 3 2 6" xfId="22410"/>
    <cellStyle name="Nota 2 7 3 2 7" xfId="26442"/>
    <cellStyle name="Nota 2 7 3 2 8" xfId="30474"/>
    <cellStyle name="Nota 2 7 3 2 9" xfId="34506"/>
    <cellStyle name="Nota 2 7 3 3" xfId="7310"/>
    <cellStyle name="Nota 2 7 3 3 10" xfId="43600"/>
    <cellStyle name="Nota 2 7 3 3 11" xfId="47632"/>
    <cellStyle name="Nota 2 7 3 3 12" xfId="51711"/>
    <cellStyle name="Nota 2 7 3 3 2" xfId="11344"/>
    <cellStyle name="Nota 2 7 3 3 3" xfId="15376"/>
    <cellStyle name="Nota 2 7 3 3 4" xfId="19408"/>
    <cellStyle name="Nota 2 7 3 3 5" xfId="23440"/>
    <cellStyle name="Nota 2 7 3 3 6" xfId="27472"/>
    <cellStyle name="Nota 2 7 3 3 7" xfId="31504"/>
    <cellStyle name="Nota 2 7 3 3 8" xfId="35536"/>
    <cellStyle name="Nota 2 7 3 3 9" xfId="39568"/>
    <cellStyle name="Nota 2 7 3 4" xfId="9328"/>
    <cellStyle name="Nota 2 7 3 5" xfId="13360"/>
    <cellStyle name="Nota 2 7 3 6" xfId="17392"/>
    <cellStyle name="Nota 2 7 3 7" xfId="21424"/>
    <cellStyle name="Nota 2 7 3 8" xfId="25456"/>
    <cellStyle name="Nota 2 7 3 9" xfId="29488"/>
    <cellStyle name="Nota 2 7 4" xfId="1657"/>
    <cellStyle name="Nota 2 7 4 10" xfId="33618"/>
    <cellStyle name="Nota 2 7 4 11" xfId="37650"/>
    <cellStyle name="Nota 2 7 4 12" xfId="41682"/>
    <cellStyle name="Nota 2 7 4 13" xfId="45714"/>
    <cellStyle name="Nota 2 7 4 14" xfId="49792"/>
    <cellStyle name="Nota 2 7 4 2" xfId="5333"/>
    <cellStyle name="Nota 2 7 4 2 10" xfId="38601"/>
    <cellStyle name="Nota 2 7 4 2 11" xfId="42633"/>
    <cellStyle name="Nota 2 7 4 2 12" xfId="46665"/>
    <cellStyle name="Nota 2 7 4 2 13" xfId="50744"/>
    <cellStyle name="Nota 2 7 4 2 2" xfId="8359"/>
    <cellStyle name="Nota 2 7 4 2 2 10" xfId="44649"/>
    <cellStyle name="Nota 2 7 4 2 2 11" xfId="48681"/>
    <cellStyle name="Nota 2 7 4 2 2 12" xfId="52760"/>
    <cellStyle name="Nota 2 7 4 2 2 2" xfId="12393"/>
    <cellStyle name="Nota 2 7 4 2 2 3" xfId="16425"/>
    <cellStyle name="Nota 2 7 4 2 2 4" xfId="20457"/>
    <cellStyle name="Nota 2 7 4 2 2 5" xfId="24489"/>
    <cellStyle name="Nota 2 7 4 2 2 6" xfId="28521"/>
    <cellStyle name="Nota 2 7 4 2 2 7" xfId="32553"/>
    <cellStyle name="Nota 2 7 4 2 2 8" xfId="36585"/>
    <cellStyle name="Nota 2 7 4 2 2 9" xfId="40617"/>
    <cellStyle name="Nota 2 7 4 2 3" xfId="10377"/>
    <cellStyle name="Nota 2 7 4 2 4" xfId="14409"/>
    <cellStyle name="Nota 2 7 4 2 5" xfId="18441"/>
    <cellStyle name="Nota 2 7 4 2 6" xfId="22473"/>
    <cellStyle name="Nota 2 7 4 2 7" xfId="26505"/>
    <cellStyle name="Nota 2 7 4 2 8" xfId="30537"/>
    <cellStyle name="Nota 2 7 4 2 9" xfId="34569"/>
    <cellStyle name="Nota 2 7 4 3" xfId="7408"/>
    <cellStyle name="Nota 2 7 4 3 10" xfId="43698"/>
    <cellStyle name="Nota 2 7 4 3 11" xfId="47730"/>
    <cellStyle name="Nota 2 7 4 3 12" xfId="51809"/>
    <cellStyle name="Nota 2 7 4 3 2" xfId="11442"/>
    <cellStyle name="Nota 2 7 4 3 3" xfId="15474"/>
    <cellStyle name="Nota 2 7 4 3 4" xfId="19506"/>
    <cellStyle name="Nota 2 7 4 3 5" xfId="23538"/>
    <cellStyle name="Nota 2 7 4 3 6" xfId="27570"/>
    <cellStyle name="Nota 2 7 4 3 7" xfId="31602"/>
    <cellStyle name="Nota 2 7 4 3 8" xfId="35634"/>
    <cellStyle name="Nota 2 7 4 3 9" xfId="39666"/>
    <cellStyle name="Nota 2 7 4 4" xfId="9426"/>
    <cellStyle name="Nota 2 7 4 5" xfId="13458"/>
    <cellStyle name="Nota 2 7 4 6" xfId="17490"/>
    <cellStyle name="Nota 2 7 4 7" xfId="21522"/>
    <cellStyle name="Nota 2 7 4 8" xfId="25554"/>
    <cellStyle name="Nota 2 7 4 9" xfId="29586"/>
    <cellStyle name="Nota 2 7 5" xfId="1731"/>
    <cellStyle name="Nota 2 7 5 10" xfId="33687"/>
    <cellStyle name="Nota 2 7 5 11" xfId="37719"/>
    <cellStyle name="Nota 2 7 5 12" xfId="41751"/>
    <cellStyle name="Nota 2 7 5 13" xfId="45783"/>
    <cellStyle name="Nota 2 7 5 14" xfId="49861"/>
    <cellStyle name="Nota 2 7 5 2" xfId="5402"/>
    <cellStyle name="Nota 2 7 5 2 10" xfId="38670"/>
    <cellStyle name="Nota 2 7 5 2 11" xfId="42702"/>
    <cellStyle name="Nota 2 7 5 2 12" xfId="46734"/>
    <cellStyle name="Nota 2 7 5 2 13" xfId="50813"/>
    <cellStyle name="Nota 2 7 5 2 2" xfId="8428"/>
    <cellStyle name="Nota 2 7 5 2 2 10" xfId="44718"/>
    <cellStyle name="Nota 2 7 5 2 2 11" xfId="48750"/>
    <cellStyle name="Nota 2 7 5 2 2 12" xfId="52829"/>
    <cellStyle name="Nota 2 7 5 2 2 2" xfId="12462"/>
    <cellStyle name="Nota 2 7 5 2 2 3" xfId="16494"/>
    <cellStyle name="Nota 2 7 5 2 2 4" xfId="20526"/>
    <cellStyle name="Nota 2 7 5 2 2 5" xfId="24558"/>
    <cellStyle name="Nota 2 7 5 2 2 6" xfId="28590"/>
    <cellStyle name="Nota 2 7 5 2 2 7" xfId="32622"/>
    <cellStyle name="Nota 2 7 5 2 2 8" xfId="36654"/>
    <cellStyle name="Nota 2 7 5 2 2 9" xfId="40686"/>
    <cellStyle name="Nota 2 7 5 2 3" xfId="10446"/>
    <cellStyle name="Nota 2 7 5 2 4" xfId="14478"/>
    <cellStyle name="Nota 2 7 5 2 5" xfId="18510"/>
    <cellStyle name="Nota 2 7 5 2 6" xfId="22542"/>
    <cellStyle name="Nota 2 7 5 2 7" xfId="26574"/>
    <cellStyle name="Nota 2 7 5 2 8" xfId="30606"/>
    <cellStyle name="Nota 2 7 5 2 9" xfId="34638"/>
    <cellStyle name="Nota 2 7 5 3" xfId="7477"/>
    <cellStyle name="Nota 2 7 5 3 10" xfId="43767"/>
    <cellStyle name="Nota 2 7 5 3 11" xfId="47799"/>
    <cellStyle name="Nota 2 7 5 3 12" xfId="51878"/>
    <cellStyle name="Nota 2 7 5 3 2" xfId="11511"/>
    <cellStyle name="Nota 2 7 5 3 3" xfId="15543"/>
    <cellStyle name="Nota 2 7 5 3 4" xfId="19575"/>
    <cellStyle name="Nota 2 7 5 3 5" xfId="23607"/>
    <cellStyle name="Nota 2 7 5 3 6" xfId="27639"/>
    <cellStyle name="Nota 2 7 5 3 7" xfId="31671"/>
    <cellStyle name="Nota 2 7 5 3 8" xfId="35703"/>
    <cellStyle name="Nota 2 7 5 3 9" xfId="39735"/>
    <cellStyle name="Nota 2 7 5 4" xfId="9495"/>
    <cellStyle name="Nota 2 7 5 5" xfId="13527"/>
    <cellStyle name="Nota 2 7 5 6" xfId="17559"/>
    <cellStyle name="Nota 2 7 5 7" xfId="21591"/>
    <cellStyle name="Nota 2 7 5 8" xfId="25623"/>
    <cellStyle name="Nota 2 7 5 9" xfId="29655"/>
    <cellStyle name="Nota 2 7 6" xfId="2906"/>
    <cellStyle name="Nota 2 7 7" xfId="4053"/>
    <cellStyle name="Nota 2 7 7 10" xfId="33910"/>
    <cellStyle name="Nota 2 7 7 11" xfId="37942"/>
    <cellStyle name="Nota 2 7 7 12" xfId="41974"/>
    <cellStyle name="Nota 2 7 7 13" xfId="46006"/>
    <cellStyle name="Nota 2 7 7 14" xfId="50084"/>
    <cellStyle name="Nota 2 7 7 2" xfId="6635"/>
    <cellStyle name="Nota 2 7 7 2 10" xfId="38893"/>
    <cellStyle name="Nota 2 7 7 2 11" xfId="42925"/>
    <cellStyle name="Nota 2 7 7 2 12" xfId="46957"/>
    <cellStyle name="Nota 2 7 7 2 13" xfId="51036"/>
    <cellStyle name="Nota 2 7 7 2 2" xfId="8651"/>
    <cellStyle name="Nota 2 7 7 2 2 10" xfId="44941"/>
    <cellStyle name="Nota 2 7 7 2 2 11" xfId="48973"/>
    <cellStyle name="Nota 2 7 7 2 2 12" xfId="53052"/>
    <cellStyle name="Nota 2 7 7 2 2 2" xfId="12685"/>
    <cellStyle name="Nota 2 7 7 2 2 3" xfId="16717"/>
    <cellStyle name="Nota 2 7 7 2 2 4" xfId="20749"/>
    <cellStyle name="Nota 2 7 7 2 2 5" xfId="24781"/>
    <cellStyle name="Nota 2 7 7 2 2 6" xfId="28813"/>
    <cellStyle name="Nota 2 7 7 2 2 7" xfId="32845"/>
    <cellStyle name="Nota 2 7 7 2 2 8" xfId="36877"/>
    <cellStyle name="Nota 2 7 7 2 2 9" xfId="40909"/>
    <cellStyle name="Nota 2 7 7 2 3" xfId="10669"/>
    <cellStyle name="Nota 2 7 7 2 4" xfId="14701"/>
    <cellStyle name="Nota 2 7 7 2 5" xfId="18733"/>
    <cellStyle name="Nota 2 7 7 2 6" xfId="22765"/>
    <cellStyle name="Nota 2 7 7 2 7" xfId="26797"/>
    <cellStyle name="Nota 2 7 7 2 8" xfId="30829"/>
    <cellStyle name="Nota 2 7 7 2 9" xfId="34861"/>
    <cellStyle name="Nota 2 7 7 3" xfId="7700"/>
    <cellStyle name="Nota 2 7 7 3 10" xfId="43990"/>
    <cellStyle name="Nota 2 7 7 3 11" xfId="48022"/>
    <cellStyle name="Nota 2 7 7 3 12" xfId="52101"/>
    <cellStyle name="Nota 2 7 7 3 2" xfId="11734"/>
    <cellStyle name="Nota 2 7 7 3 3" xfId="15766"/>
    <cellStyle name="Nota 2 7 7 3 4" xfId="19798"/>
    <cellStyle name="Nota 2 7 7 3 5" xfId="23830"/>
    <cellStyle name="Nota 2 7 7 3 6" xfId="27862"/>
    <cellStyle name="Nota 2 7 7 3 7" xfId="31894"/>
    <cellStyle name="Nota 2 7 7 3 8" xfId="35926"/>
    <cellStyle name="Nota 2 7 7 3 9" xfId="39958"/>
    <cellStyle name="Nota 2 7 7 4" xfId="9718"/>
    <cellStyle name="Nota 2 7 7 5" xfId="13750"/>
    <cellStyle name="Nota 2 7 7 6" xfId="17782"/>
    <cellStyle name="Nota 2 7 7 7" xfId="21814"/>
    <cellStyle name="Nota 2 7 7 8" xfId="25846"/>
    <cellStyle name="Nota 2 7 7 9" xfId="29878"/>
    <cellStyle name="Nota 2 7 8" xfId="4123"/>
    <cellStyle name="Nota 2 7 8 10" xfId="33979"/>
    <cellStyle name="Nota 2 7 8 11" xfId="38011"/>
    <cellStyle name="Nota 2 7 8 12" xfId="42043"/>
    <cellStyle name="Nota 2 7 8 13" xfId="46075"/>
    <cellStyle name="Nota 2 7 8 14" xfId="50153"/>
    <cellStyle name="Nota 2 7 8 2" xfId="6704"/>
    <cellStyle name="Nota 2 7 8 2 10" xfId="38962"/>
    <cellStyle name="Nota 2 7 8 2 11" xfId="42994"/>
    <cellStyle name="Nota 2 7 8 2 12" xfId="47026"/>
    <cellStyle name="Nota 2 7 8 2 13" xfId="51105"/>
    <cellStyle name="Nota 2 7 8 2 2" xfId="8720"/>
    <cellStyle name="Nota 2 7 8 2 2 10" xfId="45010"/>
    <cellStyle name="Nota 2 7 8 2 2 11" xfId="49042"/>
    <cellStyle name="Nota 2 7 8 2 2 12" xfId="53121"/>
    <cellStyle name="Nota 2 7 8 2 2 2" xfId="12754"/>
    <cellStyle name="Nota 2 7 8 2 2 3" xfId="16786"/>
    <cellStyle name="Nota 2 7 8 2 2 4" xfId="20818"/>
    <cellStyle name="Nota 2 7 8 2 2 5" xfId="24850"/>
    <cellStyle name="Nota 2 7 8 2 2 6" xfId="28882"/>
    <cellStyle name="Nota 2 7 8 2 2 7" xfId="32914"/>
    <cellStyle name="Nota 2 7 8 2 2 8" xfId="36946"/>
    <cellStyle name="Nota 2 7 8 2 2 9" xfId="40978"/>
    <cellStyle name="Nota 2 7 8 2 3" xfId="10738"/>
    <cellStyle name="Nota 2 7 8 2 4" xfId="14770"/>
    <cellStyle name="Nota 2 7 8 2 5" xfId="18802"/>
    <cellStyle name="Nota 2 7 8 2 6" xfId="22834"/>
    <cellStyle name="Nota 2 7 8 2 7" xfId="26866"/>
    <cellStyle name="Nota 2 7 8 2 8" xfId="30898"/>
    <cellStyle name="Nota 2 7 8 2 9" xfId="34930"/>
    <cellStyle name="Nota 2 7 8 3" xfId="7769"/>
    <cellStyle name="Nota 2 7 8 3 10" xfId="44059"/>
    <cellStyle name="Nota 2 7 8 3 11" xfId="48091"/>
    <cellStyle name="Nota 2 7 8 3 12" xfId="52170"/>
    <cellStyle name="Nota 2 7 8 3 2" xfId="11803"/>
    <cellStyle name="Nota 2 7 8 3 3" xfId="15835"/>
    <cellStyle name="Nota 2 7 8 3 4" xfId="19867"/>
    <cellStyle name="Nota 2 7 8 3 5" xfId="23899"/>
    <cellStyle name="Nota 2 7 8 3 6" xfId="27931"/>
    <cellStyle name="Nota 2 7 8 3 7" xfId="31963"/>
    <cellStyle name="Nota 2 7 8 3 8" xfId="35995"/>
    <cellStyle name="Nota 2 7 8 3 9" xfId="40027"/>
    <cellStyle name="Nota 2 7 8 4" xfId="9787"/>
    <cellStyle name="Nota 2 7 8 5" xfId="13819"/>
    <cellStyle name="Nota 2 7 8 6" xfId="17851"/>
    <cellStyle name="Nota 2 7 8 7" xfId="21883"/>
    <cellStyle name="Nota 2 7 8 8" xfId="25915"/>
    <cellStyle name="Nota 2 7 8 9" xfId="29947"/>
    <cellStyle name="Nota 2 7 9" xfId="4192"/>
    <cellStyle name="Nota 2 7 9 10" xfId="34048"/>
    <cellStyle name="Nota 2 7 9 11" xfId="38080"/>
    <cellStyle name="Nota 2 7 9 12" xfId="42112"/>
    <cellStyle name="Nota 2 7 9 13" xfId="46144"/>
    <cellStyle name="Nota 2 7 9 14" xfId="50222"/>
    <cellStyle name="Nota 2 7 9 2" xfId="6773"/>
    <cellStyle name="Nota 2 7 9 2 10" xfId="39031"/>
    <cellStyle name="Nota 2 7 9 2 11" xfId="43063"/>
    <cellStyle name="Nota 2 7 9 2 12" xfId="47095"/>
    <cellStyle name="Nota 2 7 9 2 13" xfId="51174"/>
    <cellStyle name="Nota 2 7 9 2 2" xfId="8789"/>
    <cellStyle name="Nota 2 7 9 2 2 10" xfId="45079"/>
    <cellStyle name="Nota 2 7 9 2 2 11" xfId="49111"/>
    <cellStyle name="Nota 2 7 9 2 2 12" xfId="53190"/>
    <cellStyle name="Nota 2 7 9 2 2 2" xfId="12823"/>
    <cellStyle name="Nota 2 7 9 2 2 3" xfId="16855"/>
    <cellStyle name="Nota 2 7 9 2 2 4" xfId="20887"/>
    <cellStyle name="Nota 2 7 9 2 2 5" xfId="24919"/>
    <cellStyle name="Nota 2 7 9 2 2 6" xfId="28951"/>
    <cellStyle name="Nota 2 7 9 2 2 7" xfId="32983"/>
    <cellStyle name="Nota 2 7 9 2 2 8" xfId="37015"/>
    <cellStyle name="Nota 2 7 9 2 2 9" xfId="41047"/>
    <cellStyle name="Nota 2 7 9 2 3" xfId="10807"/>
    <cellStyle name="Nota 2 7 9 2 4" xfId="14839"/>
    <cellStyle name="Nota 2 7 9 2 5" xfId="18871"/>
    <cellStyle name="Nota 2 7 9 2 6" xfId="22903"/>
    <cellStyle name="Nota 2 7 9 2 7" xfId="26935"/>
    <cellStyle name="Nota 2 7 9 2 8" xfId="30967"/>
    <cellStyle name="Nota 2 7 9 2 9" xfId="34999"/>
    <cellStyle name="Nota 2 7 9 3" xfId="7838"/>
    <cellStyle name="Nota 2 7 9 3 10" xfId="44128"/>
    <cellStyle name="Nota 2 7 9 3 11" xfId="48160"/>
    <cellStyle name="Nota 2 7 9 3 12" xfId="52239"/>
    <cellStyle name="Nota 2 7 9 3 2" xfId="11872"/>
    <cellStyle name="Nota 2 7 9 3 3" xfId="15904"/>
    <cellStyle name="Nota 2 7 9 3 4" xfId="19936"/>
    <cellStyle name="Nota 2 7 9 3 5" xfId="23968"/>
    <cellStyle name="Nota 2 7 9 3 6" xfId="28000"/>
    <cellStyle name="Nota 2 7 9 3 7" xfId="32032"/>
    <cellStyle name="Nota 2 7 9 3 8" xfId="36064"/>
    <cellStyle name="Nota 2 7 9 3 9" xfId="40096"/>
    <cellStyle name="Nota 2 7 9 4" xfId="9856"/>
    <cellStyle name="Nota 2 7 9 5" xfId="13888"/>
    <cellStyle name="Nota 2 7 9 6" xfId="17920"/>
    <cellStyle name="Nota 2 7 9 7" xfId="21952"/>
    <cellStyle name="Nota 2 7 9 8" xfId="25984"/>
    <cellStyle name="Nota 2 7 9 9" xfId="30016"/>
    <cellStyle name="Nota 2 8" xfId="50"/>
    <cellStyle name="Nota 2 8 10" xfId="4392"/>
    <cellStyle name="Nota 2 8 10 10" xfId="34236"/>
    <cellStyle name="Nota 2 8 10 11" xfId="38268"/>
    <cellStyle name="Nota 2 8 10 12" xfId="42300"/>
    <cellStyle name="Nota 2 8 10 13" xfId="46332"/>
    <cellStyle name="Nota 2 8 10 14" xfId="50411"/>
    <cellStyle name="Nota 2 8 10 2" xfId="6961"/>
    <cellStyle name="Nota 2 8 10 2 10" xfId="39219"/>
    <cellStyle name="Nota 2 8 10 2 11" xfId="43251"/>
    <cellStyle name="Nota 2 8 10 2 12" xfId="47283"/>
    <cellStyle name="Nota 2 8 10 2 13" xfId="51362"/>
    <cellStyle name="Nota 2 8 10 2 2" xfId="8977"/>
    <cellStyle name="Nota 2 8 10 2 2 10" xfId="45267"/>
    <cellStyle name="Nota 2 8 10 2 2 11" xfId="49299"/>
    <cellStyle name="Nota 2 8 10 2 2 12" xfId="53378"/>
    <cellStyle name="Nota 2 8 10 2 2 2" xfId="13011"/>
    <cellStyle name="Nota 2 8 10 2 2 3" xfId="17043"/>
    <cellStyle name="Nota 2 8 10 2 2 4" xfId="21075"/>
    <cellStyle name="Nota 2 8 10 2 2 5" xfId="25107"/>
    <cellStyle name="Nota 2 8 10 2 2 6" xfId="29139"/>
    <cellStyle name="Nota 2 8 10 2 2 7" xfId="33171"/>
    <cellStyle name="Nota 2 8 10 2 2 8" xfId="37203"/>
    <cellStyle name="Nota 2 8 10 2 2 9" xfId="41235"/>
    <cellStyle name="Nota 2 8 10 2 3" xfId="10995"/>
    <cellStyle name="Nota 2 8 10 2 4" xfId="15027"/>
    <cellStyle name="Nota 2 8 10 2 5" xfId="19059"/>
    <cellStyle name="Nota 2 8 10 2 6" xfId="23091"/>
    <cellStyle name="Nota 2 8 10 2 7" xfId="27123"/>
    <cellStyle name="Nota 2 8 10 2 8" xfId="31155"/>
    <cellStyle name="Nota 2 8 10 2 9" xfId="35187"/>
    <cellStyle name="Nota 2 8 10 3" xfId="8026"/>
    <cellStyle name="Nota 2 8 10 3 10" xfId="44316"/>
    <cellStyle name="Nota 2 8 10 3 11" xfId="48348"/>
    <cellStyle name="Nota 2 8 10 3 12" xfId="52427"/>
    <cellStyle name="Nota 2 8 10 3 2" xfId="12060"/>
    <cellStyle name="Nota 2 8 10 3 3" xfId="16092"/>
    <cellStyle name="Nota 2 8 10 3 4" xfId="20124"/>
    <cellStyle name="Nota 2 8 10 3 5" xfId="24156"/>
    <cellStyle name="Nota 2 8 10 3 6" xfId="28188"/>
    <cellStyle name="Nota 2 8 10 3 7" xfId="32220"/>
    <cellStyle name="Nota 2 8 10 3 8" xfId="36252"/>
    <cellStyle name="Nota 2 8 10 3 9" xfId="40284"/>
    <cellStyle name="Nota 2 8 10 4" xfId="10044"/>
    <cellStyle name="Nota 2 8 10 5" xfId="14076"/>
    <cellStyle name="Nota 2 8 10 6" xfId="18108"/>
    <cellStyle name="Nota 2 8 10 7" xfId="22140"/>
    <cellStyle name="Nota 2 8 10 8" xfId="26172"/>
    <cellStyle name="Nota 2 8 10 9" xfId="30204"/>
    <cellStyle name="Nota 2 8 11" xfId="4530"/>
    <cellStyle name="Nota 2 8 11 10" xfId="38406"/>
    <cellStyle name="Nota 2 8 11 11" xfId="42438"/>
    <cellStyle name="Nota 2 8 11 12" xfId="46470"/>
    <cellStyle name="Nota 2 8 11 13" xfId="50549"/>
    <cellStyle name="Nota 2 8 11 2" xfId="8164"/>
    <cellStyle name="Nota 2 8 11 2 10" xfId="44454"/>
    <cellStyle name="Nota 2 8 11 2 11" xfId="48486"/>
    <cellStyle name="Nota 2 8 11 2 12" xfId="52565"/>
    <cellStyle name="Nota 2 8 11 2 2" xfId="12198"/>
    <cellStyle name="Nota 2 8 11 2 3" xfId="16230"/>
    <cellStyle name="Nota 2 8 11 2 4" xfId="20262"/>
    <cellStyle name="Nota 2 8 11 2 5" xfId="24294"/>
    <cellStyle name="Nota 2 8 11 2 6" xfId="28326"/>
    <cellStyle name="Nota 2 8 11 2 7" xfId="32358"/>
    <cellStyle name="Nota 2 8 11 2 8" xfId="36390"/>
    <cellStyle name="Nota 2 8 11 2 9" xfId="40422"/>
    <cellStyle name="Nota 2 8 11 3" xfId="10182"/>
    <cellStyle name="Nota 2 8 11 4" xfId="14214"/>
    <cellStyle name="Nota 2 8 11 5" xfId="18246"/>
    <cellStyle name="Nota 2 8 11 6" xfId="22278"/>
    <cellStyle name="Nota 2 8 11 7" xfId="26310"/>
    <cellStyle name="Nota 2 8 11 8" xfId="30342"/>
    <cellStyle name="Nota 2 8 11 9" xfId="34374"/>
    <cellStyle name="Nota 2 8 12" xfId="328"/>
    <cellStyle name="Nota 2 8 12 10" xfId="37533"/>
    <cellStyle name="Nota 2 8 12 11" xfId="41565"/>
    <cellStyle name="Nota 2 8 12 12" xfId="45597"/>
    <cellStyle name="Nota 2 8 12 13" xfId="49675"/>
    <cellStyle name="Nota 2 8 12 2" xfId="7291"/>
    <cellStyle name="Nota 2 8 12 2 10" xfId="43581"/>
    <cellStyle name="Nota 2 8 12 2 11" xfId="47613"/>
    <cellStyle name="Nota 2 8 12 2 12" xfId="51692"/>
    <cellStyle name="Nota 2 8 12 2 2" xfId="11325"/>
    <cellStyle name="Nota 2 8 12 2 3" xfId="15357"/>
    <cellStyle name="Nota 2 8 12 2 4" xfId="19389"/>
    <cellStyle name="Nota 2 8 12 2 5" xfId="23421"/>
    <cellStyle name="Nota 2 8 12 2 6" xfId="27453"/>
    <cellStyle name="Nota 2 8 12 2 7" xfId="31485"/>
    <cellStyle name="Nota 2 8 12 2 8" xfId="35517"/>
    <cellStyle name="Nota 2 8 12 2 9" xfId="39549"/>
    <cellStyle name="Nota 2 8 12 3" xfId="9309"/>
    <cellStyle name="Nota 2 8 12 4" xfId="13341"/>
    <cellStyle name="Nota 2 8 12 5" xfId="17373"/>
    <cellStyle name="Nota 2 8 12 6" xfId="21405"/>
    <cellStyle name="Nota 2 8 12 7" xfId="25437"/>
    <cellStyle name="Nota 2 8 12 8" xfId="29469"/>
    <cellStyle name="Nota 2 8 12 9" xfId="33501"/>
    <cellStyle name="Nota 2 8 13" xfId="7099"/>
    <cellStyle name="Nota 2 8 13 10" xfId="43389"/>
    <cellStyle name="Nota 2 8 13 11" xfId="47421"/>
    <cellStyle name="Nota 2 8 13 12" xfId="51500"/>
    <cellStyle name="Nota 2 8 13 2" xfId="11133"/>
    <cellStyle name="Nota 2 8 13 3" xfId="15165"/>
    <cellStyle name="Nota 2 8 13 4" xfId="19197"/>
    <cellStyle name="Nota 2 8 13 5" xfId="23229"/>
    <cellStyle name="Nota 2 8 13 6" xfId="27261"/>
    <cellStyle name="Nota 2 8 13 7" xfId="31293"/>
    <cellStyle name="Nota 2 8 13 8" xfId="35325"/>
    <cellStyle name="Nota 2 8 13 9" xfId="39357"/>
    <cellStyle name="Nota 2 8 14" xfId="125"/>
    <cellStyle name="Nota 2 8 15" xfId="9117"/>
    <cellStyle name="Nota 2 8 16" xfId="13149"/>
    <cellStyle name="Nota 2 8 17" xfId="17181"/>
    <cellStyle name="Nota 2 8 18" xfId="21213"/>
    <cellStyle name="Nota 2 8 19" xfId="25245"/>
    <cellStyle name="Nota 2 8 2" xfId="204"/>
    <cellStyle name="Nota 2 8 2 10" xfId="21282"/>
    <cellStyle name="Nota 2 8 2 11" xfId="25314"/>
    <cellStyle name="Nota 2 8 2 12" xfId="29346"/>
    <cellStyle name="Nota 2 8 2 13" xfId="33378"/>
    <cellStyle name="Nota 2 8 2 14" xfId="37410"/>
    <cellStyle name="Nota 2 8 2 15" xfId="41442"/>
    <cellStyle name="Nota 2 8 2 16" xfId="45474"/>
    <cellStyle name="Nota 2 8 2 17" xfId="49552"/>
    <cellStyle name="Nota 2 8 2 2" xfId="4322"/>
    <cellStyle name="Nota 2 8 2 2 10" xfId="34167"/>
    <cellStyle name="Nota 2 8 2 2 11" xfId="38199"/>
    <cellStyle name="Nota 2 8 2 2 12" xfId="42231"/>
    <cellStyle name="Nota 2 8 2 2 13" xfId="46263"/>
    <cellStyle name="Nota 2 8 2 2 14" xfId="50342"/>
    <cellStyle name="Nota 2 8 2 2 2" xfId="6892"/>
    <cellStyle name="Nota 2 8 2 2 2 10" xfId="39150"/>
    <cellStyle name="Nota 2 8 2 2 2 11" xfId="43182"/>
    <cellStyle name="Nota 2 8 2 2 2 12" xfId="47214"/>
    <cellStyle name="Nota 2 8 2 2 2 13" xfId="51293"/>
    <cellStyle name="Nota 2 8 2 2 2 2" xfId="8908"/>
    <cellStyle name="Nota 2 8 2 2 2 2 10" xfId="45198"/>
    <cellStyle name="Nota 2 8 2 2 2 2 11" xfId="49230"/>
    <cellStyle name="Nota 2 8 2 2 2 2 12" xfId="53309"/>
    <cellStyle name="Nota 2 8 2 2 2 2 2" xfId="12942"/>
    <cellStyle name="Nota 2 8 2 2 2 2 3" xfId="16974"/>
    <cellStyle name="Nota 2 8 2 2 2 2 4" xfId="21006"/>
    <cellStyle name="Nota 2 8 2 2 2 2 5" xfId="25038"/>
    <cellStyle name="Nota 2 8 2 2 2 2 6" xfId="29070"/>
    <cellStyle name="Nota 2 8 2 2 2 2 7" xfId="33102"/>
    <cellStyle name="Nota 2 8 2 2 2 2 8" xfId="37134"/>
    <cellStyle name="Nota 2 8 2 2 2 2 9" xfId="41166"/>
    <cellStyle name="Nota 2 8 2 2 2 3" xfId="10926"/>
    <cellStyle name="Nota 2 8 2 2 2 4" xfId="14958"/>
    <cellStyle name="Nota 2 8 2 2 2 5" xfId="18990"/>
    <cellStyle name="Nota 2 8 2 2 2 6" xfId="23022"/>
    <cellStyle name="Nota 2 8 2 2 2 7" xfId="27054"/>
    <cellStyle name="Nota 2 8 2 2 2 8" xfId="31086"/>
    <cellStyle name="Nota 2 8 2 2 2 9" xfId="35118"/>
    <cellStyle name="Nota 2 8 2 2 3" xfId="7957"/>
    <cellStyle name="Nota 2 8 2 2 3 10" xfId="44247"/>
    <cellStyle name="Nota 2 8 2 2 3 11" xfId="48279"/>
    <cellStyle name="Nota 2 8 2 2 3 12" xfId="52358"/>
    <cellStyle name="Nota 2 8 2 2 3 2" xfId="11991"/>
    <cellStyle name="Nota 2 8 2 2 3 3" xfId="16023"/>
    <cellStyle name="Nota 2 8 2 2 3 4" xfId="20055"/>
    <cellStyle name="Nota 2 8 2 2 3 5" xfId="24087"/>
    <cellStyle name="Nota 2 8 2 2 3 6" xfId="28119"/>
    <cellStyle name="Nota 2 8 2 2 3 7" xfId="32151"/>
    <cellStyle name="Nota 2 8 2 2 3 8" xfId="36183"/>
    <cellStyle name="Nota 2 8 2 2 3 9" xfId="40215"/>
    <cellStyle name="Nota 2 8 2 2 4" xfId="9975"/>
    <cellStyle name="Nota 2 8 2 2 5" xfId="14007"/>
    <cellStyle name="Nota 2 8 2 2 6" xfId="18039"/>
    <cellStyle name="Nota 2 8 2 2 7" xfId="22071"/>
    <cellStyle name="Nota 2 8 2 2 8" xfId="26103"/>
    <cellStyle name="Nota 2 8 2 2 9" xfId="30135"/>
    <cellStyle name="Nota 2 8 2 3" xfId="4461"/>
    <cellStyle name="Nota 2 8 2 3 10" xfId="34305"/>
    <cellStyle name="Nota 2 8 2 3 11" xfId="38337"/>
    <cellStyle name="Nota 2 8 2 3 12" xfId="42369"/>
    <cellStyle name="Nota 2 8 2 3 13" xfId="46401"/>
    <cellStyle name="Nota 2 8 2 3 14" xfId="50480"/>
    <cellStyle name="Nota 2 8 2 3 2" xfId="7030"/>
    <cellStyle name="Nota 2 8 2 3 2 10" xfId="39288"/>
    <cellStyle name="Nota 2 8 2 3 2 11" xfId="43320"/>
    <cellStyle name="Nota 2 8 2 3 2 12" xfId="47352"/>
    <cellStyle name="Nota 2 8 2 3 2 13" xfId="51431"/>
    <cellStyle name="Nota 2 8 2 3 2 2" xfId="9046"/>
    <cellStyle name="Nota 2 8 2 3 2 2 10" xfId="45336"/>
    <cellStyle name="Nota 2 8 2 3 2 2 11" xfId="49368"/>
    <cellStyle name="Nota 2 8 2 3 2 2 12" xfId="53447"/>
    <cellStyle name="Nota 2 8 2 3 2 2 2" xfId="13080"/>
    <cellStyle name="Nota 2 8 2 3 2 2 3" xfId="17112"/>
    <cellStyle name="Nota 2 8 2 3 2 2 4" xfId="21144"/>
    <cellStyle name="Nota 2 8 2 3 2 2 5" xfId="25176"/>
    <cellStyle name="Nota 2 8 2 3 2 2 6" xfId="29208"/>
    <cellStyle name="Nota 2 8 2 3 2 2 7" xfId="33240"/>
    <cellStyle name="Nota 2 8 2 3 2 2 8" xfId="37272"/>
    <cellStyle name="Nota 2 8 2 3 2 2 9" xfId="41304"/>
    <cellStyle name="Nota 2 8 2 3 2 3" xfId="11064"/>
    <cellStyle name="Nota 2 8 2 3 2 4" xfId="15096"/>
    <cellStyle name="Nota 2 8 2 3 2 5" xfId="19128"/>
    <cellStyle name="Nota 2 8 2 3 2 6" xfId="23160"/>
    <cellStyle name="Nota 2 8 2 3 2 7" xfId="27192"/>
    <cellStyle name="Nota 2 8 2 3 2 8" xfId="31224"/>
    <cellStyle name="Nota 2 8 2 3 2 9" xfId="35256"/>
    <cellStyle name="Nota 2 8 2 3 3" xfId="8095"/>
    <cellStyle name="Nota 2 8 2 3 3 10" xfId="44385"/>
    <cellStyle name="Nota 2 8 2 3 3 11" xfId="48417"/>
    <cellStyle name="Nota 2 8 2 3 3 12" xfId="52496"/>
    <cellStyle name="Nota 2 8 2 3 3 2" xfId="12129"/>
    <cellStyle name="Nota 2 8 2 3 3 3" xfId="16161"/>
    <cellStyle name="Nota 2 8 2 3 3 4" xfId="20193"/>
    <cellStyle name="Nota 2 8 2 3 3 5" xfId="24225"/>
    <cellStyle name="Nota 2 8 2 3 3 6" xfId="28257"/>
    <cellStyle name="Nota 2 8 2 3 3 7" xfId="32289"/>
    <cellStyle name="Nota 2 8 2 3 3 8" xfId="36321"/>
    <cellStyle name="Nota 2 8 2 3 3 9" xfId="40353"/>
    <cellStyle name="Nota 2 8 2 3 4" xfId="10113"/>
    <cellStyle name="Nota 2 8 2 3 5" xfId="14145"/>
    <cellStyle name="Nota 2 8 2 3 6" xfId="18177"/>
    <cellStyle name="Nota 2 8 2 3 7" xfId="22209"/>
    <cellStyle name="Nota 2 8 2 3 8" xfId="26241"/>
    <cellStyle name="Nota 2 8 2 3 9" xfId="30273"/>
    <cellStyle name="Nota 2 8 2 4" xfId="4601"/>
    <cellStyle name="Nota 2 8 2 4 10" xfId="38475"/>
    <cellStyle name="Nota 2 8 2 4 11" xfId="42507"/>
    <cellStyle name="Nota 2 8 2 4 12" xfId="46539"/>
    <cellStyle name="Nota 2 8 2 4 13" xfId="50618"/>
    <cellStyle name="Nota 2 8 2 4 2" xfId="8233"/>
    <cellStyle name="Nota 2 8 2 4 2 10" xfId="44523"/>
    <cellStyle name="Nota 2 8 2 4 2 11" xfId="48555"/>
    <cellStyle name="Nota 2 8 2 4 2 12" xfId="52634"/>
    <cellStyle name="Nota 2 8 2 4 2 2" xfId="12267"/>
    <cellStyle name="Nota 2 8 2 4 2 3" xfId="16299"/>
    <cellStyle name="Nota 2 8 2 4 2 4" xfId="20331"/>
    <cellStyle name="Nota 2 8 2 4 2 5" xfId="24363"/>
    <cellStyle name="Nota 2 8 2 4 2 6" xfId="28395"/>
    <cellStyle name="Nota 2 8 2 4 2 7" xfId="32427"/>
    <cellStyle name="Nota 2 8 2 4 2 8" xfId="36459"/>
    <cellStyle name="Nota 2 8 2 4 2 9" xfId="40491"/>
    <cellStyle name="Nota 2 8 2 4 3" xfId="10251"/>
    <cellStyle name="Nota 2 8 2 4 4" xfId="14283"/>
    <cellStyle name="Nota 2 8 2 4 5" xfId="18315"/>
    <cellStyle name="Nota 2 8 2 4 6" xfId="22347"/>
    <cellStyle name="Nota 2 8 2 4 7" xfId="26379"/>
    <cellStyle name="Nota 2 8 2 4 8" xfId="30411"/>
    <cellStyle name="Nota 2 8 2 4 9" xfId="34443"/>
    <cellStyle name="Nota 2 8 2 5" xfId="1406"/>
    <cellStyle name="Nota 2 8 2 6" xfId="7168"/>
    <cellStyle name="Nota 2 8 2 6 10" xfId="43458"/>
    <cellStyle name="Nota 2 8 2 6 11" xfId="47490"/>
    <cellStyle name="Nota 2 8 2 6 12" xfId="51569"/>
    <cellStyle name="Nota 2 8 2 6 2" xfId="11202"/>
    <cellStyle name="Nota 2 8 2 6 3" xfId="15234"/>
    <cellStyle name="Nota 2 8 2 6 4" xfId="19266"/>
    <cellStyle name="Nota 2 8 2 6 5" xfId="23298"/>
    <cellStyle name="Nota 2 8 2 6 6" xfId="27330"/>
    <cellStyle name="Nota 2 8 2 6 7" xfId="31362"/>
    <cellStyle name="Nota 2 8 2 6 8" xfId="35394"/>
    <cellStyle name="Nota 2 8 2 6 9" xfId="39426"/>
    <cellStyle name="Nota 2 8 2 7" xfId="9186"/>
    <cellStyle name="Nota 2 8 2 8" xfId="13218"/>
    <cellStyle name="Nota 2 8 2 9" xfId="17250"/>
    <cellStyle name="Nota 2 8 20" xfId="29277"/>
    <cellStyle name="Nota 2 8 21" xfId="33309"/>
    <cellStyle name="Nota 2 8 22" xfId="37341"/>
    <cellStyle name="Nota 2 8 23" xfId="41373"/>
    <cellStyle name="Nota 2 8 24" xfId="45405"/>
    <cellStyle name="Nota 2 8 25" xfId="49483"/>
    <cellStyle name="Nota 2 8 3" xfId="1638"/>
    <cellStyle name="Nota 2 8 3 10" xfId="33599"/>
    <cellStyle name="Nota 2 8 3 11" xfId="37631"/>
    <cellStyle name="Nota 2 8 3 12" xfId="41663"/>
    <cellStyle name="Nota 2 8 3 13" xfId="45695"/>
    <cellStyle name="Nota 2 8 3 14" xfId="49773"/>
    <cellStyle name="Nota 2 8 3 2" xfId="5326"/>
    <cellStyle name="Nota 2 8 3 2 10" xfId="38594"/>
    <cellStyle name="Nota 2 8 3 2 11" xfId="42626"/>
    <cellStyle name="Nota 2 8 3 2 12" xfId="46658"/>
    <cellStyle name="Nota 2 8 3 2 13" xfId="50737"/>
    <cellStyle name="Nota 2 8 3 2 2" xfId="8352"/>
    <cellStyle name="Nota 2 8 3 2 2 10" xfId="44642"/>
    <cellStyle name="Nota 2 8 3 2 2 11" xfId="48674"/>
    <cellStyle name="Nota 2 8 3 2 2 12" xfId="52753"/>
    <cellStyle name="Nota 2 8 3 2 2 2" xfId="12386"/>
    <cellStyle name="Nota 2 8 3 2 2 3" xfId="16418"/>
    <cellStyle name="Nota 2 8 3 2 2 4" xfId="20450"/>
    <cellStyle name="Nota 2 8 3 2 2 5" xfId="24482"/>
    <cellStyle name="Nota 2 8 3 2 2 6" xfId="28514"/>
    <cellStyle name="Nota 2 8 3 2 2 7" xfId="32546"/>
    <cellStyle name="Nota 2 8 3 2 2 8" xfId="36578"/>
    <cellStyle name="Nota 2 8 3 2 2 9" xfId="40610"/>
    <cellStyle name="Nota 2 8 3 2 3" xfId="10370"/>
    <cellStyle name="Nota 2 8 3 2 4" xfId="14402"/>
    <cellStyle name="Nota 2 8 3 2 5" xfId="18434"/>
    <cellStyle name="Nota 2 8 3 2 6" xfId="22466"/>
    <cellStyle name="Nota 2 8 3 2 7" xfId="26498"/>
    <cellStyle name="Nota 2 8 3 2 8" xfId="30530"/>
    <cellStyle name="Nota 2 8 3 2 9" xfId="34562"/>
    <cellStyle name="Nota 2 8 3 3" xfId="7389"/>
    <cellStyle name="Nota 2 8 3 3 10" xfId="43679"/>
    <cellStyle name="Nota 2 8 3 3 11" xfId="47711"/>
    <cellStyle name="Nota 2 8 3 3 12" xfId="51790"/>
    <cellStyle name="Nota 2 8 3 3 2" xfId="11423"/>
    <cellStyle name="Nota 2 8 3 3 3" xfId="15455"/>
    <cellStyle name="Nota 2 8 3 3 4" xfId="19487"/>
    <cellStyle name="Nota 2 8 3 3 5" xfId="23519"/>
    <cellStyle name="Nota 2 8 3 3 6" xfId="27551"/>
    <cellStyle name="Nota 2 8 3 3 7" xfId="31583"/>
    <cellStyle name="Nota 2 8 3 3 8" xfId="35615"/>
    <cellStyle name="Nota 2 8 3 3 9" xfId="39647"/>
    <cellStyle name="Nota 2 8 3 4" xfId="9407"/>
    <cellStyle name="Nota 2 8 3 5" xfId="13439"/>
    <cellStyle name="Nota 2 8 3 6" xfId="17471"/>
    <cellStyle name="Nota 2 8 3 7" xfId="21503"/>
    <cellStyle name="Nota 2 8 3 8" xfId="25535"/>
    <cellStyle name="Nota 2 8 3 9" xfId="29567"/>
    <cellStyle name="Nota 2 8 4" xfId="1712"/>
    <cellStyle name="Nota 2 8 4 10" xfId="33668"/>
    <cellStyle name="Nota 2 8 4 11" xfId="37700"/>
    <cellStyle name="Nota 2 8 4 12" xfId="41732"/>
    <cellStyle name="Nota 2 8 4 13" xfId="45764"/>
    <cellStyle name="Nota 2 8 4 14" xfId="49842"/>
    <cellStyle name="Nota 2 8 4 2" xfId="5383"/>
    <cellStyle name="Nota 2 8 4 2 10" xfId="38651"/>
    <cellStyle name="Nota 2 8 4 2 11" xfId="42683"/>
    <cellStyle name="Nota 2 8 4 2 12" xfId="46715"/>
    <cellStyle name="Nota 2 8 4 2 13" xfId="50794"/>
    <cellStyle name="Nota 2 8 4 2 2" xfId="8409"/>
    <cellStyle name="Nota 2 8 4 2 2 10" xfId="44699"/>
    <cellStyle name="Nota 2 8 4 2 2 11" xfId="48731"/>
    <cellStyle name="Nota 2 8 4 2 2 12" xfId="52810"/>
    <cellStyle name="Nota 2 8 4 2 2 2" xfId="12443"/>
    <cellStyle name="Nota 2 8 4 2 2 3" xfId="16475"/>
    <cellStyle name="Nota 2 8 4 2 2 4" xfId="20507"/>
    <cellStyle name="Nota 2 8 4 2 2 5" xfId="24539"/>
    <cellStyle name="Nota 2 8 4 2 2 6" xfId="28571"/>
    <cellStyle name="Nota 2 8 4 2 2 7" xfId="32603"/>
    <cellStyle name="Nota 2 8 4 2 2 8" xfId="36635"/>
    <cellStyle name="Nota 2 8 4 2 2 9" xfId="40667"/>
    <cellStyle name="Nota 2 8 4 2 3" xfId="10427"/>
    <cellStyle name="Nota 2 8 4 2 4" xfId="14459"/>
    <cellStyle name="Nota 2 8 4 2 5" xfId="18491"/>
    <cellStyle name="Nota 2 8 4 2 6" xfId="22523"/>
    <cellStyle name="Nota 2 8 4 2 7" xfId="26555"/>
    <cellStyle name="Nota 2 8 4 2 8" xfId="30587"/>
    <cellStyle name="Nota 2 8 4 2 9" xfId="34619"/>
    <cellStyle name="Nota 2 8 4 3" xfId="7458"/>
    <cellStyle name="Nota 2 8 4 3 10" xfId="43748"/>
    <cellStyle name="Nota 2 8 4 3 11" xfId="47780"/>
    <cellStyle name="Nota 2 8 4 3 12" xfId="51859"/>
    <cellStyle name="Nota 2 8 4 3 2" xfId="11492"/>
    <cellStyle name="Nota 2 8 4 3 3" xfId="15524"/>
    <cellStyle name="Nota 2 8 4 3 4" xfId="19556"/>
    <cellStyle name="Nota 2 8 4 3 5" xfId="23588"/>
    <cellStyle name="Nota 2 8 4 3 6" xfId="27620"/>
    <cellStyle name="Nota 2 8 4 3 7" xfId="31652"/>
    <cellStyle name="Nota 2 8 4 3 8" xfId="35684"/>
    <cellStyle name="Nota 2 8 4 3 9" xfId="39716"/>
    <cellStyle name="Nota 2 8 4 4" xfId="9476"/>
    <cellStyle name="Nota 2 8 4 5" xfId="13508"/>
    <cellStyle name="Nota 2 8 4 6" xfId="17540"/>
    <cellStyle name="Nota 2 8 4 7" xfId="21572"/>
    <cellStyle name="Nota 2 8 4 8" xfId="25604"/>
    <cellStyle name="Nota 2 8 4 9" xfId="29636"/>
    <cellStyle name="Nota 2 8 5" xfId="2907"/>
    <cellStyle name="Nota 2 8 6" xfId="4034"/>
    <cellStyle name="Nota 2 8 6 10" xfId="33891"/>
    <cellStyle name="Nota 2 8 6 11" xfId="37923"/>
    <cellStyle name="Nota 2 8 6 12" xfId="41955"/>
    <cellStyle name="Nota 2 8 6 13" xfId="45987"/>
    <cellStyle name="Nota 2 8 6 14" xfId="50065"/>
    <cellStyle name="Nota 2 8 6 2" xfId="6616"/>
    <cellStyle name="Nota 2 8 6 2 10" xfId="38874"/>
    <cellStyle name="Nota 2 8 6 2 11" xfId="42906"/>
    <cellStyle name="Nota 2 8 6 2 12" xfId="46938"/>
    <cellStyle name="Nota 2 8 6 2 13" xfId="51017"/>
    <cellStyle name="Nota 2 8 6 2 2" xfId="8632"/>
    <cellStyle name="Nota 2 8 6 2 2 10" xfId="44922"/>
    <cellStyle name="Nota 2 8 6 2 2 11" xfId="48954"/>
    <cellStyle name="Nota 2 8 6 2 2 12" xfId="53033"/>
    <cellStyle name="Nota 2 8 6 2 2 2" xfId="12666"/>
    <cellStyle name="Nota 2 8 6 2 2 3" xfId="16698"/>
    <cellStyle name="Nota 2 8 6 2 2 4" xfId="20730"/>
    <cellStyle name="Nota 2 8 6 2 2 5" xfId="24762"/>
    <cellStyle name="Nota 2 8 6 2 2 6" xfId="28794"/>
    <cellStyle name="Nota 2 8 6 2 2 7" xfId="32826"/>
    <cellStyle name="Nota 2 8 6 2 2 8" xfId="36858"/>
    <cellStyle name="Nota 2 8 6 2 2 9" xfId="40890"/>
    <cellStyle name="Nota 2 8 6 2 3" xfId="10650"/>
    <cellStyle name="Nota 2 8 6 2 4" xfId="14682"/>
    <cellStyle name="Nota 2 8 6 2 5" xfId="18714"/>
    <cellStyle name="Nota 2 8 6 2 6" xfId="22746"/>
    <cellStyle name="Nota 2 8 6 2 7" xfId="26778"/>
    <cellStyle name="Nota 2 8 6 2 8" xfId="30810"/>
    <cellStyle name="Nota 2 8 6 2 9" xfId="34842"/>
    <cellStyle name="Nota 2 8 6 3" xfId="7681"/>
    <cellStyle name="Nota 2 8 6 3 10" xfId="43971"/>
    <cellStyle name="Nota 2 8 6 3 11" xfId="48003"/>
    <cellStyle name="Nota 2 8 6 3 12" xfId="52082"/>
    <cellStyle name="Nota 2 8 6 3 2" xfId="11715"/>
    <cellStyle name="Nota 2 8 6 3 3" xfId="15747"/>
    <cellStyle name="Nota 2 8 6 3 4" xfId="19779"/>
    <cellStyle name="Nota 2 8 6 3 5" xfId="23811"/>
    <cellStyle name="Nota 2 8 6 3 6" xfId="27843"/>
    <cellStyle name="Nota 2 8 6 3 7" xfId="31875"/>
    <cellStyle name="Nota 2 8 6 3 8" xfId="35907"/>
    <cellStyle name="Nota 2 8 6 3 9" xfId="39939"/>
    <cellStyle name="Nota 2 8 6 4" xfId="9699"/>
    <cellStyle name="Nota 2 8 6 5" xfId="13731"/>
    <cellStyle name="Nota 2 8 6 6" xfId="17763"/>
    <cellStyle name="Nota 2 8 6 7" xfId="21795"/>
    <cellStyle name="Nota 2 8 6 8" xfId="25827"/>
    <cellStyle name="Nota 2 8 6 9" xfId="29859"/>
    <cellStyle name="Nota 2 8 7" xfId="4104"/>
    <cellStyle name="Nota 2 8 7 10" xfId="33960"/>
    <cellStyle name="Nota 2 8 7 11" xfId="37992"/>
    <cellStyle name="Nota 2 8 7 12" xfId="42024"/>
    <cellStyle name="Nota 2 8 7 13" xfId="46056"/>
    <cellStyle name="Nota 2 8 7 14" xfId="50134"/>
    <cellStyle name="Nota 2 8 7 2" xfId="6685"/>
    <cellStyle name="Nota 2 8 7 2 10" xfId="38943"/>
    <cellStyle name="Nota 2 8 7 2 11" xfId="42975"/>
    <cellStyle name="Nota 2 8 7 2 12" xfId="47007"/>
    <cellStyle name="Nota 2 8 7 2 13" xfId="51086"/>
    <cellStyle name="Nota 2 8 7 2 2" xfId="8701"/>
    <cellStyle name="Nota 2 8 7 2 2 10" xfId="44991"/>
    <cellStyle name="Nota 2 8 7 2 2 11" xfId="49023"/>
    <cellStyle name="Nota 2 8 7 2 2 12" xfId="53102"/>
    <cellStyle name="Nota 2 8 7 2 2 2" xfId="12735"/>
    <cellStyle name="Nota 2 8 7 2 2 3" xfId="16767"/>
    <cellStyle name="Nota 2 8 7 2 2 4" xfId="20799"/>
    <cellStyle name="Nota 2 8 7 2 2 5" xfId="24831"/>
    <cellStyle name="Nota 2 8 7 2 2 6" xfId="28863"/>
    <cellStyle name="Nota 2 8 7 2 2 7" xfId="32895"/>
    <cellStyle name="Nota 2 8 7 2 2 8" xfId="36927"/>
    <cellStyle name="Nota 2 8 7 2 2 9" xfId="40959"/>
    <cellStyle name="Nota 2 8 7 2 3" xfId="10719"/>
    <cellStyle name="Nota 2 8 7 2 4" xfId="14751"/>
    <cellStyle name="Nota 2 8 7 2 5" xfId="18783"/>
    <cellStyle name="Nota 2 8 7 2 6" xfId="22815"/>
    <cellStyle name="Nota 2 8 7 2 7" xfId="26847"/>
    <cellStyle name="Nota 2 8 7 2 8" xfId="30879"/>
    <cellStyle name="Nota 2 8 7 2 9" xfId="34911"/>
    <cellStyle name="Nota 2 8 7 3" xfId="7750"/>
    <cellStyle name="Nota 2 8 7 3 10" xfId="44040"/>
    <cellStyle name="Nota 2 8 7 3 11" xfId="48072"/>
    <cellStyle name="Nota 2 8 7 3 12" xfId="52151"/>
    <cellStyle name="Nota 2 8 7 3 2" xfId="11784"/>
    <cellStyle name="Nota 2 8 7 3 3" xfId="15816"/>
    <cellStyle name="Nota 2 8 7 3 4" xfId="19848"/>
    <cellStyle name="Nota 2 8 7 3 5" xfId="23880"/>
    <cellStyle name="Nota 2 8 7 3 6" xfId="27912"/>
    <cellStyle name="Nota 2 8 7 3 7" xfId="31944"/>
    <cellStyle name="Nota 2 8 7 3 8" xfId="35976"/>
    <cellStyle name="Nota 2 8 7 3 9" xfId="40008"/>
    <cellStyle name="Nota 2 8 7 4" xfId="9768"/>
    <cellStyle name="Nota 2 8 7 5" xfId="13800"/>
    <cellStyle name="Nota 2 8 7 6" xfId="17832"/>
    <cellStyle name="Nota 2 8 7 7" xfId="21864"/>
    <cellStyle name="Nota 2 8 7 8" xfId="25896"/>
    <cellStyle name="Nota 2 8 7 9" xfId="29928"/>
    <cellStyle name="Nota 2 8 8" xfId="4173"/>
    <cellStyle name="Nota 2 8 8 10" xfId="34029"/>
    <cellStyle name="Nota 2 8 8 11" xfId="38061"/>
    <cellStyle name="Nota 2 8 8 12" xfId="42093"/>
    <cellStyle name="Nota 2 8 8 13" xfId="46125"/>
    <cellStyle name="Nota 2 8 8 14" xfId="50203"/>
    <cellStyle name="Nota 2 8 8 2" xfId="6754"/>
    <cellStyle name="Nota 2 8 8 2 10" xfId="39012"/>
    <cellStyle name="Nota 2 8 8 2 11" xfId="43044"/>
    <cellStyle name="Nota 2 8 8 2 12" xfId="47076"/>
    <cellStyle name="Nota 2 8 8 2 13" xfId="51155"/>
    <cellStyle name="Nota 2 8 8 2 2" xfId="8770"/>
    <cellStyle name="Nota 2 8 8 2 2 10" xfId="45060"/>
    <cellStyle name="Nota 2 8 8 2 2 11" xfId="49092"/>
    <cellStyle name="Nota 2 8 8 2 2 12" xfId="53171"/>
    <cellStyle name="Nota 2 8 8 2 2 2" xfId="12804"/>
    <cellStyle name="Nota 2 8 8 2 2 3" xfId="16836"/>
    <cellStyle name="Nota 2 8 8 2 2 4" xfId="20868"/>
    <cellStyle name="Nota 2 8 8 2 2 5" xfId="24900"/>
    <cellStyle name="Nota 2 8 8 2 2 6" xfId="28932"/>
    <cellStyle name="Nota 2 8 8 2 2 7" xfId="32964"/>
    <cellStyle name="Nota 2 8 8 2 2 8" xfId="36996"/>
    <cellStyle name="Nota 2 8 8 2 2 9" xfId="41028"/>
    <cellStyle name="Nota 2 8 8 2 3" xfId="10788"/>
    <cellStyle name="Nota 2 8 8 2 4" xfId="14820"/>
    <cellStyle name="Nota 2 8 8 2 5" xfId="18852"/>
    <cellStyle name="Nota 2 8 8 2 6" xfId="22884"/>
    <cellStyle name="Nota 2 8 8 2 7" xfId="26916"/>
    <cellStyle name="Nota 2 8 8 2 8" xfId="30948"/>
    <cellStyle name="Nota 2 8 8 2 9" xfId="34980"/>
    <cellStyle name="Nota 2 8 8 3" xfId="7819"/>
    <cellStyle name="Nota 2 8 8 3 10" xfId="44109"/>
    <cellStyle name="Nota 2 8 8 3 11" xfId="48141"/>
    <cellStyle name="Nota 2 8 8 3 12" xfId="52220"/>
    <cellStyle name="Nota 2 8 8 3 2" xfId="11853"/>
    <cellStyle name="Nota 2 8 8 3 3" xfId="15885"/>
    <cellStyle name="Nota 2 8 8 3 4" xfId="19917"/>
    <cellStyle name="Nota 2 8 8 3 5" xfId="23949"/>
    <cellStyle name="Nota 2 8 8 3 6" xfId="27981"/>
    <cellStyle name="Nota 2 8 8 3 7" xfId="32013"/>
    <cellStyle name="Nota 2 8 8 3 8" xfId="36045"/>
    <cellStyle name="Nota 2 8 8 3 9" xfId="40077"/>
    <cellStyle name="Nota 2 8 8 4" xfId="9837"/>
    <cellStyle name="Nota 2 8 8 5" xfId="13869"/>
    <cellStyle name="Nota 2 8 8 6" xfId="17901"/>
    <cellStyle name="Nota 2 8 8 7" xfId="21933"/>
    <cellStyle name="Nota 2 8 8 8" xfId="25965"/>
    <cellStyle name="Nota 2 8 8 9" xfId="29997"/>
    <cellStyle name="Nota 2 8 9" xfId="4246"/>
    <cellStyle name="Nota 2 8 9 10" xfId="34098"/>
    <cellStyle name="Nota 2 8 9 11" xfId="38130"/>
    <cellStyle name="Nota 2 8 9 12" xfId="42162"/>
    <cellStyle name="Nota 2 8 9 13" xfId="46194"/>
    <cellStyle name="Nota 2 8 9 14" xfId="50272"/>
    <cellStyle name="Nota 2 8 9 2" xfId="6823"/>
    <cellStyle name="Nota 2 8 9 2 10" xfId="39081"/>
    <cellStyle name="Nota 2 8 9 2 11" xfId="43113"/>
    <cellStyle name="Nota 2 8 9 2 12" xfId="47145"/>
    <cellStyle name="Nota 2 8 9 2 13" xfId="51224"/>
    <cellStyle name="Nota 2 8 9 2 2" xfId="8839"/>
    <cellStyle name="Nota 2 8 9 2 2 10" xfId="45129"/>
    <cellStyle name="Nota 2 8 9 2 2 11" xfId="49161"/>
    <cellStyle name="Nota 2 8 9 2 2 12" xfId="53240"/>
    <cellStyle name="Nota 2 8 9 2 2 2" xfId="12873"/>
    <cellStyle name="Nota 2 8 9 2 2 3" xfId="16905"/>
    <cellStyle name="Nota 2 8 9 2 2 4" xfId="20937"/>
    <cellStyle name="Nota 2 8 9 2 2 5" xfId="24969"/>
    <cellStyle name="Nota 2 8 9 2 2 6" xfId="29001"/>
    <cellStyle name="Nota 2 8 9 2 2 7" xfId="33033"/>
    <cellStyle name="Nota 2 8 9 2 2 8" xfId="37065"/>
    <cellStyle name="Nota 2 8 9 2 2 9" xfId="41097"/>
    <cellStyle name="Nota 2 8 9 2 3" xfId="10857"/>
    <cellStyle name="Nota 2 8 9 2 4" xfId="14889"/>
    <cellStyle name="Nota 2 8 9 2 5" xfId="18921"/>
    <cellStyle name="Nota 2 8 9 2 6" xfId="22953"/>
    <cellStyle name="Nota 2 8 9 2 7" xfId="26985"/>
    <cellStyle name="Nota 2 8 9 2 8" xfId="31017"/>
    <cellStyle name="Nota 2 8 9 2 9" xfId="35049"/>
    <cellStyle name="Nota 2 8 9 3" xfId="7888"/>
    <cellStyle name="Nota 2 8 9 3 10" xfId="44178"/>
    <cellStyle name="Nota 2 8 9 3 11" xfId="48210"/>
    <cellStyle name="Nota 2 8 9 3 12" xfId="52289"/>
    <cellStyle name="Nota 2 8 9 3 2" xfId="11922"/>
    <cellStyle name="Nota 2 8 9 3 3" xfId="15954"/>
    <cellStyle name="Nota 2 8 9 3 4" xfId="19986"/>
    <cellStyle name="Nota 2 8 9 3 5" xfId="24018"/>
    <cellStyle name="Nota 2 8 9 3 6" xfId="28050"/>
    <cellStyle name="Nota 2 8 9 3 7" xfId="32082"/>
    <cellStyle name="Nota 2 8 9 3 8" xfId="36114"/>
    <cellStyle name="Nota 2 8 9 3 9" xfId="40146"/>
    <cellStyle name="Nota 2 8 9 4" xfId="9906"/>
    <cellStyle name="Nota 2 8 9 5" xfId="13938"/>
    <cellStyle name="Nota 2 8 9 6" xfId="17970"/>
    <cellStyle name="Nota 2 8 9 7" xfId="22002"/>
    <cellStyle name="Nota 2 8 9 8" xfId="26034"/>
    <cellStyle name="Nota 2 8 9 9" xfId="30066"/>
    <cellStyle name="Nota 2 9" xfId="184"/>
    <cellStyle name="Nota 2 9 10" xfId="17234"/>
    <cellStyle name="Nota 2 9 11" xfId="21266"/>
    <cellStyle name="Nota 2 9 12" xfId="25298"/>
    <cellStyle name="Nota 2 9 13" xfId="29330"/>
    <cellStyle name="Nota 2 9 14" xfId="33362"/>
    <cellStyle name="Nota 2 9 15" xfId="37394"/>
    <cellStyle name="Nota 2 9 16" xfId="41426"/>
    <cellStyle name="Nota 2 9 17" xfId="45458"/>
    <cellStyle name="Nota 2 9 18" xfId="49536"/>
    <cellStyle name="Nota 2 9 2" xfId="2908"/>
    <cellStyle name="Nota 2 9 3" xfId="4303"/>
    <cellStyle name="Nota 2 9 3 10" xfId="34151"/>
    <cellStyle name="Nota 2 9 3 11" xfId="38183"/>
    <cellStyle name="Nota 2 9 3 12" xfId="42215"/>
    <cellStyle name="Nota 2 9 3 13" xfId="46247"/>
    <cellStyle name="Nota 2 9 3 14" xfId="50326"/>
    <cellStyle name="Nota 2 9 3 2" xfId="6876"/>
    <cellStyle name="Nota 2 9 3 2 10" xfId="39134"/>
    <cellStyle name="Nota 2 9 3 2 11" xfId="43166"/>
    <cellStyle name="Nota 2 9 3 2 12" xfId="47198"/>
    <cellStyle name="Nota 2 9 3 2 13" xfId="51277"/>
    <cellStyle name="Nota 2 9 3 2 2" xfId="8892"/>
    <cellStyle name="Nota 2 9 3 2 2 10" xfId="45182"/>
    <cellStyle name="Nota 2 9 3 2 2 11" xfId="49214"/>
    <cellStyle name="Nota 2 9 3 2 2 12" xfId="53293"/>
    <cellStyle name="Nota 2 9 3 2 2 2" xfId="12926"/>
    <cellStyle name="Nota 2 9 3 2 2 3" xfId="16958"/>
    <cellStyle name="Nota 2 9 3 2 2 4" xfId="20990"/>
    <cellStyle name="Nota 2 9 3 2 2 5" xfId="25022"/>
    <cellStyle name="Nota 2 9 3 2 2 6" xfId="29054"/>
    <cellStyle name="Nota 2 9 3 2 2 7" xfId="33086"/>
    <cellStyle name="Nota 2 9 3 2 2 8" xfId="37118"/>
    <cellStyle name="Nota 2 9 3 2 2 9" xfId="41150"/>
    <cellStyle name="Nota 2 9 3 2 3" xfId="10910"/>
    <cellStyle name="Nota 2 9 3 2 4" xfId="14942"/>
    <cellStyle name="Nota 2 9 3 2 5" xfId="18974"/>
    <cellStyle name="Nota 2 9 3 2 6" xfId="23006"/>
    <cellStyle name="Nota 2 9 3 2 7" xfId="27038"/>
    <cellStyle name="Nota 2 9 3 2 8" xfId="31070"/>
    <cellStyle name="Nota 2 9 3 2 9" xfId="35102"/>
    <cellStyle name="Nota 2 9 3 3" xfId="7941"/>
    <cellStyle name="Nota 2 9 3 3 10" xfId="44231"/>
    <cellStyle name="Nota 2 9 3 3 11" xfId="48263"/>
    <cellStyle name="Nota 2 9 3 3 12" xfId="52342"/>
    <cellStyle name="Nota 2 9 3 3 2" xfId="11975"/>
    <cellStyle name="Nota 2 9 3 3 3" xfId="16007"/>
    <cellStyle name="Nota 2 9 3 3 4" xfId="20039"/>
    <cellStyle name="Nota 2 9 3 3 5" xfId="24071"/>
    <cellStyle name="Nota 2 9 3 3 6" xfId="28103"/>
    <cellStyle name="Nota 2 9 3 3 7" xfId="32135"/>
    <cellStyle name="Nota 2 9 3 3 8" xfId="36167"/>
    <cellStyle name="Nota 2 9 3 3 9" xfId="40199"/>
    <cellStyle name="Nota 2 9 3 4" xfId="9959"/>
    <cellStyle name="Nota 2 9 3 5" xfId="13991"/>
    <cellStyle name="Nota 2 9 3 6" xfId="18023"/>
    <cellStyle name="Nota 2 9 3 7" xfId="22055"/>
    <cellStyle name="Nota 2 9 3 8" xfId="26087"/>
    <cellStyle name="Nota 2 9 3 9" xfId="30119"/>
    <cellStyle name="Nota 2 9 4" xfId="4445"/>
    <cellStyle name="Nota 2 9 4 10" xfId="34289"/>
    <cellStyle name="Nota 2 9 4 11" xfId="38321"/>
    <cellStyle name="Nota 2 9 4 12" xfId="42353"/>
    <cellStyle name="Nota 2 9 4 13" xfId="46385"/>
    <cellStyle name="Nota 2 9 4 14" xfId="50464"/>
    <cellStyle name="Nota 2 9 4 2" xfId="7014"/>
    <cellStyle name="Nota 2 9 4 2 10" xfId="39272"/>
    <cellStyle name="Nota 2 9 4 2 11" xfId="43304"/>
    <cellStyle name="Nota 2 9 4 2 12" xfId="47336"/>
    <cellStyle name="Nota 2 9 4 2 13" xfId="51415"/>
    <cellStyle name="Nota 2 9 4 2 2" xfId="9030"/>
    <cellStyle name="Nota 2 9 4 2 2 10" xfId="45320"/>
    <cellStyle name="Nota 2 9 4 2 2 11" xfId="49352"/>
    <cellStyle name="Nota 2 9 4 2 2 12" xfId="53431"/>
    <cellStyle name="Nota 2 9 4 2 2 2" xfId="13064"/>
    <cellStyle name="Nota 2 9 4 2 2 3" xfId="17096"/>
    <cellStyle name="Nota 2 9 4 2 2 4" xfId="21128"/>
    <cellStyle name="Nota 2 9 4 2 2 5" xfId="25160"/>
    <cellStyle name="Nota 2 9 4 2 2 6" xfId="29192"/>
    <cellStyle name="Nota 2 9 4 2 2 7" xfId="33224"/>
    <cellStyle name="Nota 2 9 4 2 2 8" xfId="37256"/>
    <cellStyle name="Nota 2 9 4 2 2 9" xfId="41288"/>
    <cellStyle name="Nota 2 9 4 2 3" xfId="11048"/>
    <cellStyle name="Nota 2 9 4 2 4" xfId="15080"/>
    <cellStyle name="Nota 2 9 4 2 5" xfId="19112"/>
    <cellStyle name="Nota 2 9 4 2 6" xfId="23144"/>
    <cellStyle name="Nota 2 9 4 2 7" xfId="27176"/>
    <cellStyle name="Nota 2 9 4 2 8" xfId="31208"/>
    <cellStyle name="Nota 2 9 4 2 9" xfId="35240"/>
    <cellStyle name="Nota 2 9 4 3" xfId="8079"/>
    <cellStyle name="Nota 2 9 4 3 10" xfId="44369"/>
    <cellStyle name="Nota 2 9 4 3 11" xfId="48401"/>
    <cellStyle name="Nota 2 9 4 3 12" xfId="52480"/>
    <cellStyle name="Nota 2 9 4 3 2" xfId="12113"/>
    <cellStyle name="Nota 2 9 4 3 3" xfId="16145"/>
    <cellStyle name="Nota 2 9 4 3 4" xfId="20177"/>
    <cellStyle name="Nota 2 9 4 3 5" xfId="24209"/>
    <cellStyle name="Nota 2 9 4 3 6" xfId="28241"/>
    <cellStyle name="Nota 2 9 4 3 7" xfId="32273"/>
    <cellStyle name="Nota 2 9 4 3 8" xfId="36305"/>
    <cellStyle name="Nota 2 9 4 3 9" xfId="40337"/>
    <cellStyle name="Nota 2 9 4 4" xfId="10097"/>
    <cellStyle name="Nota 2 9 4 5" xfId="14129"/>
    <cellStyle name="Nota 2 9 4 6" xfId="18161"/>
    <cellStyle name="Nota 2 9 4 7" xfId="22193"/>
    <cellStyle name="Nota 2 9 4 8" xfId="26225"/>
    <cellStyle name="Nota 2 9 4 9" xfId="30257"/>
    <cellStyle name="Nota 2 9 5" xfId="4585"/>
    <cellStyle name="Nota 2 9 5 10" xfId="38459"/>
    <cellStyle name="Nota 2 9 5 11" xfId="42491"/>
    <cellStyle name="Nota 2 9 5 12" xfId="46523"/>
    <cellStyle name="Nota 2 9 5 13" xfId="50602"/>
    <cellStyle name="Nota 2 9 5 2" xfId="8217"/>
    <cellStyle name="Nota 2 9 5 2 10" xfId="44507"/>
    <cellStyle name="Nota 2 9 5 2 11" xfId="48539"/>
    <cellStyle name="Nota 2 9 5 2 12" xfId="52618"/>
    <cellStyle name="Nota 2 9 5 2 2" xfId="12251"/>
    <cellStyle name="Nota 2 9 5 2 3" xfId="16283"/>
    <cellStyle name="Nota 2 9 5 2 4" xfId="20315"/>
    <cellStyle name="Nota 2 9 5 2 5" xfId="24347"/>
    <cellStyle name="Nota 2 9 5 2 6" xfId="28379"/>
    <cellStyle name="Nota 2 9 5 2 7" xfId="32411"/>
    <cellStyle name="Nota 2 9 5 2 8" xfId="36443"/>
    <cellStyle name="Nota 2 9 5 2 9" xfId="40475"/>
    <cellStyle name="Nota 2 9 5 3" xfId="10235"/>
    <cellStyle name="Nota 2 9 5 4" xfId="14267"/>
    <cellStyle name="Nota 2 9 5 5" xfId="18299"/>
    <cellStyle name="Nota 2 9 5 6" xfId="22331"/>
    <cellStyle name="Nota 2 9 5 7" xfId="26363"/>
    <cellStyle name="Nota 2 9 5 8" xfId="30395"/>
    <cellStyle name="Nota 2 9 5 9" xfId="34427"/>
    <cellStyle name="Nota 2 9 6" xfId="421"/>
    <cellStyle name="Nota 2 9 7" xfId="7152"/>
    <cellStyle name="Nota 2 9 7 10" xfId="43442"/>
    <cellStyle name="Nota 2 9 7 11" xfId="47474"/>
    <cellStyle name="Nota 2 9 7 12" xfId="51553"/>
    <cellStyle name="Nota 2 9 7 2" xfId="11186"/>
    <cellStyle name="Nota 2 9 7 3" xfId="15218"/>
    <cellStyle name="Nota 2 9 7 4" xfId="19250"/>
    <cellStyle name="Nota 2 9 7 5" xfId="23282"/>
    <cellStyle name="Nota 2 9 7 6" xfId="27314"/>
    <cellStyle name="Nota 2 9 7 7" xfId="31346"/>
    <cellStyle name="Nota 2 9 7 8" xfId="35378"/>
    <cellStyle name="Nota 2 9 7 9" xfId="39410"/>
    <cellStyle name="Nota 2 9 8" xfId="9170"/>
    <cellStyle name="Nota 2 9 9" xfId="13202"/>
    <cellStyle name="Nota 20" xfId="2909"/>
    <cellStyle name="Nota 20 2" xfId="3445"/>
    <cellStyle name="Nota 21" xfId="2910"/>
    <cellStyle name="Nota 21 2" xfId="3446"/>
    <cellStyle name="Nota 22" xfId="2911"/>
    <cellStyle name="Nota 22 2" xfId="3447"/>
    <cellStyle name="Nota 23" xfId="2912"/>
    <cellStyle name="Nota 23 10" xfId="29816"/>
    <cellStyle name="Nota 23 11" xfId="33848"/>
    <cellStyle name="Nota 23 12" xfId="37880"/>
    <cellStyle name="Nota 23 13" xfId="41912"/>
    <cellStyle name="Nota 23 14" xfId="45944"/>
    <cellStyle name="Nota 23 15" xfId="50022"/>
    <cellStyle name="Nota 23 2" xfId="3448"/>
    <cellStyle name="Nota 23 3" xfId="5839"/>
    <cellStyle name="Nota 23 3 10" xfId="38831"/>
    <cellStyle name="Nota 23 3 11" xfId="42863"/>
    <cellStyle name="Nota 23 3 12" xfId="46895"/>
    <cellStyle name="Nota 23 3 13" xfId="50974"/>
    <cellStyle name="Nota 23 3 2" xfId="8589"/>
    <cellStyle name="Nota 23 3 2 10" xfId="44879"/>
    <cellStyle name="Nota 23 3 2 11" xfId="48911"/>
    <cellStyle name="Nota 23 3 2 12" xfId="52990"/>
    <cellStyle name="Nota 23 3 2 2" xfId="12623"/>
    <cellStyle name="Nota 23 3 2 3" xfId="16655"/>
    <cellStyle name="Nota 23 3 2 4" xfId="20687"/>
    <cellStyle name="Nota 23 3 2 5" xfId="24719"/>
    <cellStyle name="Nota 23 3 2 6" xfId="28751"/>
    <cellStyle name="Nota 23 3 2 7" xfId="32783"/>
    <cellStyle name="Nota 23 3 2 8" xfId="36815"/>
    <cellStyle name="Nota 23 3 2 9" xfId="40847"/>
    <cellStyle name="Nota 23 3 3" xfId="10607"/>
    <cellStyle name="Nota 23 3 4" xfId="14639"/>
    <cellStyle name="Nota 23 3 5" xfId="18671"/>
    <cellStyle name="Nota 23 3 6" xfId="22703"/>
    <cellStyle name="Nota 23 3 7" xfId="26735"/>
    <cellStyle name="Nota 23 3 8" xfId="30767"/>
    <cellStyle name="Nota 23 3 9" xfId="34799"/>
    <cellStyle name="Nota 23 4" xfId="7638"/>
    <cellStyle name="Nota 23 4 10" xfId="43928"/>
    <cellStyle name="Nota 23 4 11" xfId="47960"/>
    <cellStyle name="Nota 23 4 12" xfId="52039"/>
    <cellStyle name="Nota 23 4 2" xfId="11672"/>
    <cellStyle name="Nota 23 4 3" xfId="15704"/>
    <cellStyle name="Nota 23 4 4" xfId="19736"/>
    <cellStyle name="Nota 23 4 5" xfId="23768"/>
    <cellStyle name="Nota 23 4 6" xfId="27800"/>
    <cellStyle name="Nota 23 4 7" xfId="31832"/>
    <cellStyle name="Nota 23 4 8" xfId="35864"/>
    <cellStyle name="Nota 23 4 9" xfId="39896"/>
    <cellStyle name="Nota 23 5" xfId="9656"/>
    <cellStyle name="Nota 23 6" xfId="13688"/>
    <cellStyle name="Nota 23 7" xfId="17720"/>
    <cellStyle name="Nota 23 8" xfId="21752"/>
    <cellStyle name="Nota 23 9" xfId="25784"/>
    <cellStyle name="Nota 24" xfId="2913"/>
    <cellStyle name="Nota 24 10" xfId="29817"/>
    <cellStyle name="Nota 24 11" xfId="33849"/>
    <cellStyle name="Nota 24 12" xfId="37881"/>
    <cellStyle name="Nota 24 13" xfId="41913"/>
    <cellStyle name="Nota 24 14" xfId="45945"/>
    <cellStyle name="Nota 24 15" xfId="50023"/>
    <cellStyle name="Nota 24 2" xfId="3449"/>
    <cellStyle name="Nota 24 3" xfId="5840"/>
    <cellStyle name="Nota 24 3 10" xfId="38832"/>
    <cellStyle name="Nota 24 3 11" xfId="42864"/>
    <cellStyle name="Nota 24 3 12" xfId="46896"/>
    <cellStyle name="Nota 24 3 13" xfId="50975"/>
    <cellStyle name="Nota 24 3 2" xfId="8590"/>
    <cellStyle name="Nota 24 3 2 10" xfId="44880"/>
    <cellStyle name="Nota 24 3 2 11" xfId="48912"/>
    <cellStyle name="Nota 24 3 2 12" xfId="52991"/>
    <cellStyle name="Nota 24 3 2 2" xfId="12624"/>
    <cellStyle name="Nota 24 3 2 3" xfId="16656"/>
    <cellStyle name="Nota 24 3 2 4" xfId="20688"/>
    <cellStyle name="Nota 24 3 2 5" xfId="24720"/>
    <cellStyle name="Nota 24 3 2 6" xfId="28752"/>
    <cellStyle name="Nota 24 3 2 7" xfId="32784"/>
    <cellStyle name="Nota 24 3 2 8" xfId="36816"/>
    <cellStyle name="Nota 24 3 2 9" xfId="40848"/>
    <cellStyle name="Nota 24 3 3" xfId="10608"/>
    <cellStyle name="Nota 24 3 4" xfId="14640"/>
    <cellStyle name="Nota 24 3 5" xfId="18672"/>
    <cellStyle name="Nota 24 3 6" xfId="22704"/>
    <cellStyle name="Nota 24 3 7" xfId="26736"/>
    <cellStyle name="Nota 24 3 8" xfId="30768"/>
    <cellStyle name="Nota 24 3 9" xfId="34800"/>
    <cellStyle name="Nota 24 4" xfId="7639"/>
    <cellStyle name="Nota 24 4 10" xfId="43929"/>
    <cellStyle name="Nota 24 4 11" xfId="47961"/>
    <cellStyle name="Nota 24 4 12" xfId="52040"/>
    <cellStyle name="Nota 24 4 2" xfId="11673"/>
    <cellStyle name="Nota 24 4 3" xfId="15705"/>
    <cellStyle name="Nota 24 4 4" xfId="19737"/>
    <cellStyle name="Nota 24 4 5" xfId="23769"/>
    <cellStyle name="Nota 24 4 6" xfId="27801"/>
    <cellStyle name="Nota 24 4 7" xfId="31833"/>
    <cellStyle name="Nota 24 4 8" xfId="35865"/>
    <cellStyle name="Nota 24 4 9" xfId="39897"/>
    <cellStyle name="Nota 24 5" xfId="9657"/>
    <cellStyle name="Nota 24 6" xfId="13689"/>
    <cellStyle name="Nota 24 7" xfId="17721"/>
    <cellStyle name="Nota 24 8" xfId="21753"/>
    <cellStyle name="Nota 24 9" xfId="25785"/>
    <cellStyle name="Nota 25" xfId="2914"/>
    <cellStyle name="Nota 25 10" xfId="29818"/>
    <cellStyle name="Nota 25 11" xfId="33850"/>
    <cellStyle name="Nota 25 12" xfId="37882"/>
    <cellStyle name="Nota 25 13" xfId="41914"/>
    <cellStyle name="Nota 25 14" xfId="45946"/>
    <cellStyle name="Nota 25 15" xfId="50024"/>
    <cellStyle name="Nota 25 2" xfId="3450"/>
    <cellStyle name="Nota 25 3" xfId="5841"/>
    <cellStyle name="Nota 25 3 10" xfId="38833"/>
    <cellStyle name="Nota 25 3 11" xfId="42865"/>
    <cellStyle name="Nota 25 3 12" xfId="46897"/>
    <cellStyle name="Nota 25 3 13" xfId="50976"/>
    <cellStyle name="Nota 25 3 2" xfId="8591"/>
    <cellStyle name="Nota 25 3 2 10" xfId="44881"/>
    <cellStyle name="Nota 25 3 2 11" xfId="48913"/>
    <cellStyle name="Nota 25 3 2 12" xfId="52992"/>
    <cellStyle name="Nota 25 3 2 2" xfId="12625"/>
    <cellStyle name="Nota 25 3 2 3" xfId="16657"/>
    <cellStyle name="Nota 25 3 2 4" xfId="20689"/>
    <cellStyle name="Nota 25 3 2 5" xfId="24721"/>
    <cellStyle name="Nota 25 3 2 6" xfId="28753"/>
    <cellStyle name="Nota 25 3 2 7" xfId="32785"/>
    <cellStyle name="Nota 25 3 2 8" xfId="36817"/>
    <cellStyle name="Nota 25 3 2 9" xfId="40849"/>
    <cellStyle name="Nota 25 3 3" xfId="10609"/>
    <cellStyle name="Nota 25 3 4" xfId="14641"/>
    <cellStyle name="Nota 25 3 5" xfId="18673"/>
    <cellStyle name="Nota 25 3 6" xfId="22705"/>
    <cellStyle name="Nota 25 3 7" xfId="26737"/>
    <cellStyle name="Nota 25 3 8" xfId="30769"/>
    <cellStyle name="Nota 25 3 9" xfId="34801"/>
    <cellStyle name="Nota 25 4" xfId="7640"/>
    <cellStyle name="Nota 25 4 10" xfId="43930"/>
    <cellStyle name="Nota 25 4 11" xfId="47962"/>
    <cellStyle name="Nota 25 4 12" xfId="52041"/>
    <cellStyle name="Nota 25 4 2" xfId="11674"/>
    <cellStyle name="Nota 25 4 3" xfId="15706"/>
    <cellStyle name="Nota 25 4 4" xfId="19738"/>
    <cellStyle name="Nota 25 4 5" xfId="23770"/>
    <cellStyle name="Nota 25 4 6" xfId="27802"/>
    <cellStyle name="Nota 25 4 7" xfId="31834"/>
    <cellStyle name="Nota 25 4 8" xfId="35866"/>
    <cellStyle name="Nota 25 4 9" xfId="39898"/>
    <cellStyle name="Nota 25 5" xfId="9658"/>
    <cellStyle name="Nota 25 6" xfId="13690"/>
    <cellStyle name="Nota 25 7" xfId="17722"/>
    <cellStyle name="Nota 25 8" xfId="21754"/>
    <cellStyle name="Nota 25 9" xfId="25786"/>
    <cellStyle name="Nota 26" xfId="2915"/>
    <cellStyle name="Nota 26 10" xfId="29819"/>
    <cellStyle name="Nota 26 11" xfId="33851"/>
    <cellStyle name="Nota 26 12" xfId="37883"/>
    <cellStyle name="Nota 26 13" xfId="41915"/>
    <cellStyle name="Nota 26 14" xfId="45947"/>
    <cellStyle name="Nota 26 15" xfId="50025"/>
    <cellStyle name="Nota 26 2" xfId="3451"/>
    <cellStyle name="Nota 26 3" xfId="5842"/>
    <cellStyle name="Nota 26 3 10" xfId="38834"/>
    <cellStyle name="Nota 26 3 11" xfId="42866"/>
    <cellStyle name="Nota 26 3 12" xfId="46898"/>
    <cellStyle name="Nota 26 3 13" xfId="50977"/>
    <cellStyle name="Nota 26 3 2" xfId="8592"/>
    <cellStyle name="Nota 26 3 2 10" xfId="44882"/>
    <cellStyle name="Nota 26 3 2 11" xfId="48914"/>
    <cellStyle name="Nota 26 3 2 12" xfId="52993"/>
    <cellStyle name="Nota 26 3 2 2" xfId="12626"/>
    <cellStyle name="Nota 26 3 2 3" xfId="16658"/>
    <cellStyle name="Nota 26 3 2 4" xfId="20690"/>
    <cellStyle name="Nota 26 3 2 5" xfId="24722"/>
    <cellStyle name="Nota 26 3 2 6" xfId="28754"/>
    <cellStyle name="Nota 26 3 2 7" xfId="32786"/>
    <cellStyle name="Nota 26 3 2 8" xfId="36818"/>
    <cellStyle name="Nota 26 3 2 9" xfId="40850"/>
    <cellStyle name="Nota 26 3 3" xfId="10610"/>
    <cellStyle name="Nota 26 3 4" xfId="14642"/>
    <cellStyle name="Nota 26 3 5" xfId="18674"/>
    <cellStyle name="Nota 26 3 6" xfId="22706"/>
    <cellStyle name="Nota 26 3 7" xfId="26738"/>
    <cellStyle name="Nota 26 3 8" xfId="30770"/>
    <cellStyle name="Nota 26 3 9" xfId="34802"/>
    <cellStyle name="Nota 26 4" xfId="7641"/>
    <cellStyle name="Nota 26 4 10" xfId="43931"/>
    <cellStyle name="Nota 26 4 11" xfId="47963"/>
    <cellStyle name="Nota 26 4 12" xfId="52042"/>
    <cellStyle name="Nota 26 4 2" xfId="11675"/>
    <cellStyle name="Nota 26 4 3" xfId="15707"/>
    <cellStyle name="Nota 26 4 4" xfId="19739"/>
    <cellStyle name="Nota 26 4 5" xfId="23771"/>
    <cellStyle name="Nota 26 4 6" xfId="27803"/>
    <cellStyle name="Nota 26 4 7" xfId="31835"/>
    <cellStyle name="Nota 26 4 8" xfId="35867"/>
    <cellStyle name="Nota 26 4 9" xfId="39899"/>
    <cellStyle name="Nota 26 5" xfId="9659"/>
    <cellStyle name="Nota 26 6" xfId="13691"/>
    <cellStyle name="Nota 26 7" xfId="17723"/>
    <cellStyle name="Nota 26 8" xfId="21755"/>
    <cellStyle name="Nota 26 9" xfId="25787"/>
    <cellStyle name="Nota 27" xfId="3452"/>
    <cellStyle name="Nota 3" xfId="511"/>
    <cellStyle name="Nota 3 2" xfId="888"/>
    <cellStyle name="Nota 3 2 2" xfId="1430"/>
    <cellStyle name="Nota 3 2 2 2" xfId="1548"/>
    <cellStyle name="Nota 3 2 2 2 2" xfId="5264"/>
    <cellStyle name="Nota 3 2 2 3" xfId="5202"/>
    <cellStyle name="Nota 3 2 3" xfId="4936"/>
    <cellStyle name="Nota 3 3" xfId="990"/>
    <cellStyle name="Nota 3 3 2" xfId="1312"/>
    <cellStyle name="Nota 3 3 2 2" xfId="1487"/>
    <cellStyle name="Nota 3 3 2 2 2" xfId="1587"/>
    <cellStyle name="Nota 3 3 2 2 2 2" xfId="5287"/>
    <cellStyle name="Nota 3 3 2 2 3" xfId="5241"/>
    <cellStyle name="Nota 3 3 2 3" xfId="5113"/>
    <cellStyle name="Nota 3 3 3" xfId="2917"/>
    <cellStyle name="Nota 3 3 4" xfId="5018"/>
    <cellStyle name="Nota 3 4" xfId="1097"/>
    <cellStyle name="Nota 3 4 2" xfId="1313"/>
    <cellStyle name="Nota 3 4 2 2" xfId="1515"/>
    <cellStyle name="Nota 3 4 2 2 2" xfId="1615"/>
    <cellStyle name="Nota 3 4 2 2 2 2" xfId="5306"/>
    <cellStyle name="Nota 3 4 2 2 3" xfId="5260"/>
    <cellStyle name="Nota 3 4 2 3" xfId="5114"/>
    <cellStyle name="Nota 3 4 3" xfId="1314"/>
    <cellStyle name="Nota 3 4 4" xfId="1457"/>
    <cellStyle name="Nota 3 4 4 2" xfId="1557"/>
    <cellStyle name="Nota 3 4 4 2 2" xfId="5269"/>
    <cellStyle name="Nota 3 4 4 3" xfId="5226"/>
    <cellStyle name="Nota 3 4 5" xfId="3453"/>
    <cellStyle name="Nota 3 5" xfId="1411"/>
    <cellStyle name="Nota 3 5 2" xfId="5194"/>
    <cellStyle name="Nota 3 6" xfId="2916"/>
    <cellStyle name="Nota 3 6 10" xfId="33852"/>
    <cellStyle name="Nota 3 6 11" xfId="37884"/>
    <cellStyle name="Nota 3 6 12" xfId="41916"/>
    <cellStyle name="Nota 3 6 13" xfId="45948"/>
    <cellStyle name="Nota 3 6 14" xfId="50026"/>
    <cellStyle name="Nota 3 6 2" xfId="5843"/>
    <cellStyle name="Nota 3 6 2 10" xfId="38835"/>
    <cellStyle name="Nota 3 6 2 11" xfId="42867"/>
    <cellStyle name="Nota 3 6 2 12" xfId="46899"/>
    <cellStyle name="Nota 3 6 2 13" xfId="50978"/>
    <cellStyle name="Nota 3 6 2 2" xfId="8593"/>
    <cellStyle name="Nota 3 6 2 2 10" xfId="44883"/>
    <cellStyle name="Nota 3 6 2 2 11" xfId="48915"/>
    <cellStyle name="Nota 3 6 2 2 12" xfId="52994"/>
    <cellStyle name="Nota 3 6 2 2 2" xfId="12627"/>
    <cellStyle name="Nota 3 6 2 2 3" xfId="16659"/>
    <cellStyle name="Nota 3 6 2 2 4" xfId="20691"/>
    <cellStyle name="Nota 3 6 2 2 5" xfId="24723"/>
    <cellStyle name="Nota 3 6 2 2 6" xfId="28755"/>
    <cellStyle name="Nota 3 6 2 2 7" xfId="32787"/>
    <cellStyle name="Nota 3 6 2 2 8" xfId="36819"/>
    <cellStyle name="Nota 3 6 2 2 9" xfId="40851"/>
    <cellStyle name="Nota 3 6 2 3" xfId="10611"/>
    <cellStyle name="Nota 3 6 2 4" xfId="14643"/>
    <cellStyle name="Nota 3 6 2 5" xfId="18675"/>
    <cellStyle name="Nota 3 6 2 6" xfId="22707"/>
    <cellStyle name="Nota 3 6 2 7" xfId="26739"/>
    <cellStyle name="Nota 3 6 2 8" xfId="30771"/>
    <cellStyle name="Nota 3 6 2 9" xfId="34803"/>
    <cellStyle name="Nota 3 6 3" xfId="7642"/>
    <cellStyle name="Nota 3 6 3 10" xfId="43932"/>
    <cellStyle name="Nota 3 6 3 11" xfId="47964"/>
    <cellStyle name="Nota 3 6 3 12" xfId="52043"/>
    <cellStyle name="Nota 3 6 3 2" xfId="11676"/>
    <cellStyle name="Nota 3 6 3 3" xfId="15708"/>
    <cellStyle name="Nota 3 6 3 4" xfId="19740"/>
    <cellStyle name="Nota 3 6 3 5" xfId="23772"/>
    <cellStyle name="Nota 3 6 3 6" xfId="27804"/>
    <cellStyle name="Nota 3 6 3 7" xfId="31836"/>
    <cellStyle name="Nota 3 6 3 8" xfId="35868"/>
    <cellStyle name="Nota 3 6 3 9" xfId="39900"/>
    <cellStyle name="Nota 3 6 4" xfId="9660"/>
    <cellStyle name="Nota 3 6 5" xfId="13692"/>
    <cellStyle name="Nota 3 6 6" xfId="17724"/>
    <cellStyle name="Nota 3 6 7" xfId="21756"/>
    <cellStyle name="Nota 3 6 8" xfId="25788"/>
    <cellStyle name="Nota 3 6 9" xfId="29820"/>
    <cellStyle name="Nota 3 7" xfId="4688"/>
    <cellStyle name="Nota 4" xfId="658"/>
    <cellStyle name="Nota 4 2" xfId="659"/>
    <cellStyle name="Nota 4 2 2" xfId="660"/>
    <cellStyle name="Nota 4 2 2 2" xfId="912"/>
    <cellStyle name="Nota 4 2 2 2 2" xfId="1444"/>
    <cellStyle name="Nota 4 2 2 2 2 2" xfId="1554"/>
    <cellStyle name="Nota 4 2 2 2 2 2 2" xfId="5266"/>
    <cellStyle name="Nota 4 2 2 2 2 3" xfId="5213"/>
    <cellStyle name="Nota 4 2 2 2 3" xfId="4958"/>
    <cellStyle name="Nota 4 2 2 3" xfId="993"/>
    <cellStyle name="Nota 4 2 2 3 2" xfId="1315"/>
    <cellStyle name="Nota 4 2 2 3 2 2" xfId="1490"/>
    <cellStyle name="Nota 4 2 2 3 2 2 2" xfId="1590"/>
    <cellStyle name="Nota 4 2 2 3 2 2 2 2" xfId="5290"/>
    <cellStyle name="Nota 4 2 2 3 2 2 3" xfId="5244"/>
    <cellStyle name="Nota 4 2 2 3 2 3" xfId="5115"/>
    <cellStyle name="Nota 4 2 2 3 3" xfId="5021"/>
    <cellStyle name="Nota 4 2 2 4" xfId="1316"/>
    <cellStyle name="Nota 4 2 2 4 2" xfId="1460"/>
    <cellStyle name="Nota 4 2 2 4 2 2" xfId="1560"/>
    <cellStyle name="Nota 4 2 2 4 2 2 2" xfId="5272"/>
    <cellStyle name="Nota 4 2 2 4 2 3" xfId="5227"/>
    <cellStyle name="Nota 4 2 2 4 3" xfId="5116"/>
    <cellStyle name="Nota 4 2 2 5" xfId="1422"/>
    <cellStyle name="Nota 4 2 2 5 2" xfId="5197"/>
    <cellStyle name="Nota 4 2 2 6" xfId="4778"/>
    <cellStyle name="Nota 4 2 3" xfId="661"/>
    <cellStyle name="Nota 4 2 3 2" xfId="662"/>
    <cellStyle name="Nota 4 2 3 2 2" xfId="995"/>
    <cellStyle name="Nota 4 2 3 2 2 2" xfId="1317"/>
    <cellStyle name="Nota 4 2 3 2 2 2 2" xfId="1492"/>
    <cellStyle name="Nota 4 2 3 2 2 2 2 2" xfId="1592"/>
    <cellStyle name="Nota 4 2 3 2 2 2 2 2 2" xfId="5292"/>
    <cellStyle name="Nota 4 2 3 2 2 2 2 3" xfId="5246"/>
    <cellStyle name="Nota 4 2 3 2 2 2 3" xfId="5117"/>
    <cellStyle name="Nota 4 2 3 2 2 3" xfId="5023"/>
    <cellStyle name="Nota 4 2 3 2 3" xfId="1446"/>
    <cellStyle name="Nota 4 2 3 2 3 2" xfId="5215"/>
    <cellStyle name="Nota 4 2 3 2 4" xfId="4780"/>
    <cellStyle name="Nota 4 2 3 3" xfId="994"/>
    <cellStyle name="Nota 4 2 3 3 2" xfId="1318"/>
    <cellStyle name="Nota 4 2 3 3 2 2" xfId="1491"/>
    <cellStyle name="Nota 4 2 3 3 2 2 2" xfId="1591"/>
    <cellStyle name="Nota 4 2 3 3 2 2 2 2" xfId="5291"/>
    <cellStyle name="Nota 4 2 3 3 2 2 3" xfId="5245"/>
    <cellStyle name="Nota 4 2 3 3 2 3" xfId="5118"/>
    <cellStyle name="Nota 4 2 3 3 3" xfId="5022"/>
    <cellStyle name="Nota 4 2 3 4" xfId="1445"/>
    <cellStyle name="Nota 4 2 3 4 2" xfId="5214"/>
    <cellStyle name="Nota 4 2 3 5" xfId="4779"/>
    <cellStyle name="Nota 4 2 4" xfId="992"/>
    <cellStyle name="Nota 4 2 4 2" xfId="1319"/>
    <cellStyle name="Nota 4 2 4 2 2" xfId="1489"/>
    <cellStyle name="Nota 4 2 4 2 2 2" xfId="1589"/>
    <cellStyle name="Nota 4 2 4 2 2 2 2" xfId="5289"/>
    <cellStyle name="Nota 4 2 4 2 2 3" xfId="5243"/>
    <cellStyle name="Nota 4 2 4 2 3" xfId="5119"/>
    <cellStyle name="Nota 4 2 4 3" xfId="5020"/>
    <cellStyle name="Nota 4 2 5" xfId="1416"/>
    <cellStyle name="Nota 4 2 5 2" xfId="5195"/>
    <cellStyle name="Nota 4 2 6" xfId="4777"/>
    <cellStyle name="Nota 4 3" xfId="663"/>
    <cellStyle name="Nota 4 3 2" xfId="664"/>
    <cellStyle name="Nota 4 3 2 2" xfId="913"/>
    <cellStyle name="Nota 4 3 2 2 2" xfId="1447"/>
    <cellStyle name="Nota 4 3 2 2 2 2" xfId="1555"/>
    <cellStyle name="Nota 4 3 2 2 2 2 2" xfId="5267"/>
    <cellStyle name="Nota 4 3 2 2 2 3" xfId="5216"/>
    <cellStyle name="Nota 4 3 2 2 3" xfId="4959"/>
    <cellStyle name="Nota 4 3 2 3" xfId="997"/>
    <cellStyle name="Nota 4 3 2 3 2" xfId="1320"/>
    <cellStyle name="Nota 4 3 2 3 2 2" xfId="1494"/>
    <cellStyle name="Nota 4 3 2 3 2 2 2" xfId="1594"/>
    <cellStyle name="Nota 4 3 2 3 2 2 2 2" xfId="5294"/>
    <cellStyle name="Nota 4 3 2 3 2 2 3" xfId="5248"/>
    <cellStyle name="Nota 4 3 2 3 2 3" xfId="5120"/>
    <cellStyle name="Nota 4 3 2 3 3" xfId="5025"/>
    <cellStyle name="Nota 4 3 2 4" xfId="1321"/>
    <cellStyle name="Nota 4 3 2 4 2" xfId="1461"/>
    <cellStyle name="Nota 4 3 2 4 2 2" xfId="1561"/>
    <cellStyle name="Nota 4 3 2 4 2 2 2" xfId="5273"/>
    <cellStyle name="Nota 4 3 2 4 2 3" xfId="5228"/>
    <cellStyle name="Nota 4 3 2 4 3" xfId="5121"/>
    <cellStyle name="Nota 4 3 2 5" xfId="1424"/>
    <cellStyle name="Nota 4 3 2 5 2" xfId="5199"/>
    <cellStyle name="Nota 4 3 2 6" xfId="4782"/>
    <cellStyle name="Nota 4 3 3" xfId="665"/>
    <cellStyle name="Nota 4 3 3 2" xfId="666"/>
    <cellStyle name="Nota 4 3 3 2 2" xfId="667"/>
    <cellStyle name="Nota 4 3 3 2 2 2" xfId="668"/>
    <cellStyle name="Nota 4 3 3 2 2 2 2" xfId="1001"/>
    <cellStyle name="Nota 4 3 3 2 2 2 2 2" xfId="1322"/>
    <cellStyle name="Nota 4 3 3 2 2 2 2 2 2" xfId="1498"/>
    <cellStyle name="Nota 4 3 3 2 2 2 2 2 2 2" xfId="1598"/>
    <cellStyle name="Nota 4 3 3 2 2 2 2 2 2 2 2" xfId="5298"/>
    <cellStyle name="Nota 4 3 3 2 2 2 2 2 2 3" xfId="5252"/>
    <cellStyle name="Nota 4 3 3 2 2 2 2 2 3" xfId="5122"/>
    <cellStyle name="Nota 4 3 3 2 2 2 2 3" xfId="5029"/>
    <cellStyle name="Nota 4 3 3 2 2 2 3" xfId="1450"/>
    <cellStyle name="Nota 4 3 3 2 2 2 3 2" xfId="5219"/>
    <cellStyle name="Nota 4 3 3 2 2 2 4" xfId="4786"/>
    <cellStyle name="Nota 4 3 3 2 2 3" xfId="1000"/>
    <cellStyle name="Nota 4 3 3 2 2 3 2" xfId="1323"/>
    <cellStyle name="Nota 4 3 3 2 2 3 2 2" xfId="1497"/>
    <cellStyle name="Nota 4 3 3 2 2 3 2 2 2" xfId="1597"/>
    <cellStyle name="Nota 4 3 3 2 2 3 2 2 2 2" xfId="5297"/>
    <cellStyle name="Nota 4 3 3 2 2 3 2 2 3" xfId="5251"/>
    <cellStyle name="Nota 4 3 3 2 2 3 2 3" xfId="5123"/>
    <cellStyle name="Nota 4 3 3 2 2 3 3" xfId="5028"/>
    <cellStyle name="Nota 4 3 3 2 2 4" xfId="1449"/>
    <cellStyle name="Nota 4 3 3 2 2 4 2" xfId="5218"/>
    <cellStyle name="Nota 4 3 3 2 2 5" xfId="4785"/>
    <cellStyle name="Nota 4 3 3 2 3" xfId="669"/>
    <cellStyle name="Nota 4 3 3 2 3 2" xfId="1002"/>
    <cellStyle name="Nota 4 3 3 2 3 2 2" xfId="1324"/>
    <cellStyle name="Nota 4 3 3 2 3 2 2 2" xfId="1499"/>
    <cellStyle name="Nota 4 3 3 2 3 2 2 2 2" xfId="1599"/>
    <cellStyle name="Nota 4 3 3 2 3 2 2 2 2 2" xfId="5299"/>
    <cellStyle name="Nota 4 3 3 2 3 2 2 2 3" xfId="5253"/>
    <cellStyle name="Nota 4 3 3 2 3 2 2 3" xfId="5124"/>
    <cellStyle name="Nota 4 3 3 2 3 2 3" xfId="5030"/>
    <cellStyle name="Nota 4 3 3 2 3 3" xfId="1451"/>
    <cellStyle name="Nota 4 3 3 2 3 3 2" xfId="5220"/>
    <cellStyle name="Nota 4 3 3 2 3 4" xfId="4787"/>
    <cellStyle name="Nota 4 3 3 2 3 5" xfId="49443"/>
    <cellStyle name="Nota 4 3 3 2 4" xfId="999"/>
    <cellStyle name="Nota 4 3 3 2 4 2" xfId="1325"/>
    <cellStyle name="Nota 4 3 3 2 4 2 2" xfId="1496"/>
    <cellStyle name="Nota 4 3 3 2 4 2 2 2" xfId="1596"/>
    <cellStyle name="Nota 4 3 3 2 4 2 2 2 2" xfId="5296"/>
    <cellStyle name="Nota 4 3 3 2 4 2 2 3" xfId="5250"/>
    <cellStyle name="Nota 4 3 3 2 4 2 3" xfId="5125"/>
    <cellStyle name="Nota 4 3 3 2 4 3" xfId="5027"/>
    <cellStyle name="Nota 4 3 3 2 5" xfId="1448"/>
    <cellStyle name="Nota 4 3 3 2 5 2" xfId="5217"/>
    <cellStyle name="Nota 4 3 3 2 6" xfId="4784"/>
    <cellStyle name="Nota 4 3 3 3" xfId="670"/>
    <cellStyle name="Nota 4 3 3 3 2" xfId="1003"/>
    <cellStyle name="Nota 4 3 3 3 2 2" xfId="1326"/>
    <cellStyle name="Nota 4 3 3 3 2 2 2" xfId="1500"/>
    <cellStyle name="Nota 4 3 3 3 2 2 2 2" xfId="1600"/>
    <cellStyle name="Nota 4 3 3 3 2 2 2 2 2" xfId="5300"/>
    <cellStyle name="Nota 4 3 3 3 2 2 2 3" xfId="5254"/>
    <cellStyle name="Nota 4 3 3 3 2 2 3" xfId="5126"/>
    <cellStyle name="Nota 4 3 3 3 2 3" xfId="5031"/>
    <cellStyle name="Nota 4 3 3 3 3" xfId="1452"/>
    <cellStyle name="Nota 4 3 3 3 3 2" xfId="5221"/>
    <cellStyle name="Nota 4 3 3 3 4" xfId="4788"/>
    <cellStyle name="Nota 4 3 3 4" xfId="998"/>
    <cellStyle name="Nota 4 3 3 4 2" xfId="1327"/>
    <cellStyle name="Nota 4 3 3 4 2 2" xfId="1495"/>
    <cellStyle name="Nota 4 3 3 4 2 2 2" xfId="1595"/>
    <cellStyle name="Nota 4 3 3 4 2 2 2 2" xfId="5295"/>
    <cellStyle name="Nota 4 3 3 4 2 2 3" xfId="5249"/>
    <cellStyle name="Nota 4 3 3 4 2 3" xfId="5127"/>
    <cellStyle name="Nota 4 3 3 4 3" xfId="5026"/>
    <cellStyle name="Nota 4 3 3 5" xfId="1425"/>
    <cellStyle name="Nota 4 3 3 5 2" xfId="5200"/>
    <cellStyle name="Nota 4 3 3 6" xfId="4783"/>
    <cellStyle name="Nota 4 3 4" xfId="671"/>
    <cellStyle name="Nota 4 3 4 2" xfId="672"/>
    <cellStyle name="Nota 4 3 4 2 2" xfId="1005"/>
    <cellStyle name="Nota 4 3 4 2 2 2" xfId="1328"/>
    <cellStyle name="Nota 4 3 4 2 2 2 2" xfId="1502"/>
    <cellStyle name="Nota 4 3 4 2 2 2 2 2" xfId="1602"/>
    <cellStyle name="Nota 4 3 4 2 2 2 2 2 2" xfId="5302"/>
    <cellStyle name="Nota 4 3 4 2 2 2 2 3" xfId="5256"/>
    <cellStyle name="Nota 4 3 4 2 2 2 3" xfId="5128"/>
    <cellStyle name="Nota 4 3 4 2 2 3" xfId="5033"/>
    <cellStyle name="Nota 4 3 4 2 3" xfId="1454"/>
    <cellStyle name="Nota 4 3 4 2 3 2" xfId="5223"/>
    <cellStyle name="Nota 4 3 4 2 4" xfId="4790"/>
    <cellStyle name="Nota 4 3 4 2 5" xfId="49444"/>
    <cellStyle name="Nota 4 3 4 3" xfId="673"/>
    <cellStyle name="Nota 4 3 4 3 2" xfId="1006"/>
    <cellStyle name="Nota 4 3 4 3 2 2" xfId="1329"/>
    <cellStyle name="Nota 4 3 4 3 2 2 2" xfId="1503"/>
    <cellStyle name="Nota 4 3 4 3 2 2 2 2" xfId="1603"/>
    <cellStyle name="Nota 4 3 4 3 2 2 2 2 2" xfId="5303"/>
    <cellStyle name="Nota 4 3 4 3 2 2 2 3" xfId="5257"/>
    <cellStyle name="Nota 4 3 4 3 2 2 3" xfId="5129"/>
    <cellStyle name="Nota 4 3 4 3 2 3" xfId="5034"/>
    <cellStyle name="Nota 4 3 4 3 3" xfId="1455"/>
    <cellStyle name="Nota 4 3 4 3 3 2" xfId="5224"/>
    <cellStyle name="Nota 4 3 4 3 4" xfId="4791"/>
    <cellStyle name="Nota 4 3 4 4" xfId="1004"/>
    <cellStyle name="Nota 4 3 4 4 2" xfId="1330"/>
    <cellStyle name="Nota 4 3 4 4 2 2" xfId="1501"/>
    <cellStyle name="Nota 4 3 4 4 2 2 2" xfId="1601"/>
    <cellStyle name="Nota 4 3 4 4 2 2 2 2" xfId="5301"/>
    <cellStyle name="Nota 4 3 4 4 2 2 3" xfId="5255"/>
    <cellStyle name="Nota 4 3 4 4 2 3" xfId="5130"/>
    <cellStyle name="Nota 4 3 4 4 3" xfId="5032"/>
    <cellStyle name="Nota 4 3 4 5" xfId="1453"/>
    <cellStyle name="Nota 4 3 4 5 2" xfId="5222"/>
    <cellStyle name="Nota 4 3 4 6" xfId="4789"/>
    <cellStyle name="Nota 4 3 5" xfId="996"/>
    <cellStyle name="Nota 4 3 5 2" xfId="1331"/>
    <cellStyle name="Nota 4 3 5 2 2" xfId="1493"/>
    <cellStyle name="Nota 4 3 5 2 2 2" xfId="1593"/>
    <cellStyle name="Nota 4 3 5 2 2 2 2" xfId="5293"/>
    <cellStyle name="Nota 4 3 5 2 2 3" xfId="5247"/>
    <cellStyle name="Nota 4 3 5 2 3" xfId="5131"/>
    <cellStyle name="Nota 4 3 5 3" xfId="5024"/>
    <cellStyle name="Nota 4 3 6" xfId="1423"/>
    <cellStyle name="Nota 4 3 6 2" xfId="5198"/>
    <cellStyle name="Nota 4 3 7" xfId="2919"/>
    <cellStyle name="Nota 4 3 8" xfId="4781"/>
    <cellStyle name="Nota 4 4" xfId="991"/>
    <cellStyle name="Nota 4 4 2" xfId="1332"/>
    <cellStyle name="Nota 4 4 2 2" xfId="1488"/>
    <cellStyle name="Nota 4 4 2 2 2" xfId="1588"/>
    <cellStyle name="Nota 4 4 2 2 2 2" xfId="5288"/>
    <cellStyle name="Nota 4 4 2 2 3" xfId="5242"/>
    <cellStyle name="Nota 4 4 2 3" xfId="5132"/>
    <cellStyle name="Nota 4 4 3" xfId="3454"/>
    <cellStyle name="Nota 4 4 4" xfId="5019"/>
    <cellStyle name="Nota 4 5" xfId="2918"/>
    <cellStyle name="Nota 4 5 10" xfId="33853"/>
    <cellStyle name="Nota 4 5 11" xfId="37885"/>
    <cellStyle name="Nota 4 5 12" xfId="41917"/>
    <cellStyle name="Nota 4 5 13" xfId="45949"/>
    <cellStyle name="Nota 4 5 14" xfId="50027"/>
    <cellStyle name="Nota 4 5 2" xfId="5844"/>
    <cellStyle name="Nota 4 5 2 10" xfId="38836"/>
    <cellStyle name="Nota 4 5 2 11" xfId="42868"/>
    <cellStyle name="Nota 4 5 2 12" xfId="46900"/>
    <cellStyle name="Nota 4 5 2 13" xfId="50979"/>
    <cellStyle name="Nota 4 5 2 2" xfId="8594"/>
    <cellStyle name="Nota 4 5 2 2 10" xfId="44884"/>
    <cellStyle name="Nota 4 5 2 2 11" xfId="48916"/>
    <cellStyle name="Nota 4 5 2 2 12" xfId="52995"/>
    <cellStyle name="Nota 4 5 2 2 2" xfId="12628"/>
    <cellStyle name="Nota 4 5 2 2 3" xfId="16660"/>
    <cellStyle name="Nota 4 5 2 2 4" xfId="20692"/>
    <cellStyle name="Nota 4 5 2 2 5" xfId="24724"/>
    <cellStyle name="Nota 4 5 2 2 6" xfId="28756"/>
    <cellStyle name="Nota 4 5 2 2 7" xfId="32788"/>
    <cellStyle name="Nota 4 5 2 2 8" xfId="36820"/>
    <cellStyle name="Nota 4 5 2 2 9" xfId="40852"/>
    <cellStyle name="Nota 4 5 2 3" xfId="10612"/>
    <cellStyle name="Nota 4 5 2 4" xfId="14644"/>
    <cellStyle name="Nota 4 5 2 5" xfId="18676"/>
    <cellStyle name="Nota 4 5 2 6" xfId="22708"/>
    <cellStyle name="Nota 4 5 2 7" xfId="26740"/>
    <cellStyle name="Nota 4 5 2 8" xfId="30772"/>
    <cellStyle name="Nota 4 5 2 9" xfId="34804"/>
    <cellStyle name="Nota 4 5 3" xfId="7643"/>
    <cellStyle name="Nota 4 5 3 10" xfId="43933"/>
    <cellStyle name="Nota 4 5 3 11" xfId="47965"/>
    <cellStyle name="Nota 4 5 3 12" xfId="52044"/>
    <cellStyle name="Nota 4 5 3 2" xfId="11677"/>
    <cellStyle name="Nota 4 5 3 3" xfId="15709"/>
    <cellStyle name="Nota 4 5 3 4" xfId="19741"/>
    <cellStyle name="Nota 4 5 3 5" xfId="23773"/>
    <cellStyle name="Nota 4 5 3 6" xfId="27805"/>
    <cellStyle name="Nota 4 5 3 7" xfId="31837"/>
    <cellStyle name="Nota 4 5 3 8" xfId="35869"/>
    <cellStyle name="Nota 4 5 3 9" xfId="39901"/>
    <cellStyle name="Nota 4 5 4" xfId="9661"/>
    <cellStyle name="Nota 4 5 5" xfId="13693"/>
    <cellStyle name="Nota 4 5 6" xfId="17725"/>
    <cellStyle name="Nota 4 5 7" xfId="21757"/>
    <cellStyle name="Nota 4 5 8" xfId="25789"/>
    <cellStyle name="Nota 4 5 9" xfId="29821"/>
    <cellStyle name="Nota 4 6" xfId="4776"/>
    <cellStyle name="Nota 5" xfId="833"/>
    <cellStyle name="Nota 5 2" xfId="1212"/>
    <cellStyle name="Nota 5 2 2" xfId="1507"/>
    <cellStyle name="Nota 5 2 2 2" xfId="1607"/>
    <cellStyle name="Nota 5 2 2 2 2" xfId="5304"/>
    <cellStyle name="Nota 5 2 2 3" xfId="5258"/>
    <cellStyle name="Nota 5 2 3" xfId="5066"/>
    <cellStyle name="Nota 5 3" xfId="1333"/>
    <cellStyle name="Nota 5 3 2" xfId="1456"/>
    <cellStyle name="Nota 5 3 2 2" xfId="1556"/>
    <cellStyle name="Nota 5 3 2 2 2" xfId="5268"/>
    <cellStyle name="Nota 5 3 2 3" xfId="5225"/>
    <cellStyle name="Nota 5 3 3" xfId="2921"/>
    <cellStyle name="Nota 5 3 4" xfId="5133"/>
    <cellStyle name="Nota 5 4" xfId="1334"/>
    <cellStyle name="Nota 5 4 2" xfId="1335"/>
    <cellStyle name="Nota 5 4 2 2" xfId="1617"/>
    <cellStyle name="Nota 5 4 2 2 2" xfId="5308"/>
    <cellStyle name="Nota 5 4 2 3" xfId="5134"/>
    <cellStyle name="Nota 5 4 3" xfId="1516"/>
    <cellStyle name="Nota 5 4 3 2" xfId="5261"/>
    <cellStyle name="Nota 5 4 4" xfId="3455"/>
    <cellStyle name="Nota 5 5" xfId="1426"/>
    <cellStyle name="Nota 5 5 2" xfId="1544"/>
    <cellStyle name="Nota 5 5 2 2" xfId="5263"/>
    <cellStyle name="Nota 5 5 3" xfId="1616"/>
    <cellStyle name="Nota 5 5 3 2" xfId="5307"/>
    <cellStyle name="Nota 5 6" xfId="2920"/>
    <cellStyle name="Nota 5 6 10" xfId="33854"/>
    <cellStyle name="Nota 5 6 11" xfId="37886"/>
    <cellStyle name="Nota 5 6 12" xfId="41918"/>
    <cellStyle name="Nota 5 6 13" xfId="45950"/>
    <cellStyle name="Nota 5 6 14" xfId="50028"/>
    <cellStyle name="Nota 5 6 2" xfId="5845"/>
    <cellStyle name="Nota 5 6 2 10" xfId="38837"/>
    <cellStyle name="Nota 5 6 2 11" xfId="42869"/>
    <cellStyle name="Nota 5 6 2 12" xfId="46901"/>
    <cellStyle name="Nota 5 6 2 13" xfId="50980"/>
    <cellStyle name="Nota 5 6 2 2" xfId="8595"/>
    <cellStyle name="Nota 5 6 2 2 10" xfId="44885"/>
    <cellStyle name="Nota 5 6 2 2 11" xfId="48917"/>
    <cellStyle name="Nota 5 6 2 2 12" xfId="52996"/>
    <cellStyle name="Nota 5 6 2 2 2" xfId="12629"/>
    <cellStyle name="Nota 5 6 2 2 3" xfId="16661"/>
    <cellStyle name="Nota 5 6 2 2 4" xfId="20693"/>
    <cellStyle name="Nota 5 6 2 2 5" xfId="24725"/>
    <cellStyle name="Nota 5 6 2 2 6" xfId="28757"/>
    <cellStyle name="Nota 5 6 2 2 7" xfId="32789"/>
    <cellStyle name="Nota 5 6 2 2 8" xfId="36821"/>
    <cellStyle name="Nota 5 6 2 2 9" xfId="40853"/>
    <cellStyle name="Nota 5 6 2 3" xfId="10613"/>
    <cellStyle name="Nota 5 6 2 4" xfId="14645"/>
    <cellStyle name="Nota 5 6 2 5" xfId="18677"/>
    <cellStyle name="Nota 5 6 2 6" xfId="22709"/>
    <cellStyle name="Nota 5 6 2 7" xfId="26741"/>
    <cellStyle name="Nota 5 6 2 8" xfId="30773"/>
    <cellStyle name="Nota 5 6 2 9" xfId="34805"/>
    <cellStyle name="Nota 5 6 3" xfId="7644"/>
    <cellStyle name="Nota 5 6 3 10" xfId="43934"/>
    <cellStyle name="Nota 5 6 3 11" xfId="47966"/>
    <cellStyle name="Nota 5 6 3 12" xfId="52045"/>
    <cellStyle name="Nota 5 6 3 2" xfId="11678"/>
    <cellStyle name="Nota 5 6 3 3" xfId="15710"/>
    <cellStyle name="Nota 5 6 3 4" xfId="19742"/>
    <cellStyle name="Nota 5 6 3 5" xfId="23774"/>
    <cellStyle name="Nota 5 6 3 6" xfId="27806"/>
    <cellStyle name="Nota 5 6 3 7" xfId="31838"/>
    <cellStyle name="Nota 5 6 3 8" xfId="35870"/>
    <cellStyle name="Nota 5 6 3 9" xfId="39902"/>
    <cellStyle name="Nota 5 6 4" xfId="9662"/>
    <cellStyle name="Nota 5 6 5" xfId="13694"/>
    <cellStyle name="Nota 5 6 6" xfId="17726"/>
    <cellStyle name="Nota 5 6 7" xfId="21758"/>
    <cellStyle name="Nota 5 6 8" xfId="25790"/>
    <cellStyle name="Nota 5 6 9" xfId="29822"/>
    <cellStyle name="Nota 6" xfId="1235"/>
    <cellStyle name="Nota 6 2" xfId="1336"/>
    <cellStyle name="Nota 6 2 2" xfId="1337"/>
    <cellStyle name="Nota 6 2 2 2" xfId="1618"/>
    <cellStyle name="Nota 6 2 2 2 2" xfId="5309"/>
    <cellStyle name="Nota 6 2 2 3" xfId="5135"/>
    <cellStyle name="Nota 6 2 3" xfId="1517"/>
    <cellStyle name="Nota 6 2 3 2" xfId="5262"/>
    <cellStyle name="Nota 6 3" xfId="1338"/>
    <cellStyle name="Nota 6 3 2" xfId="1514"/>
    <cellStyle name="Nota 6 3 2 2" xfId="1614"/>
    <cellStyle name="Nota 6 3 2 2 2" xfId="5305"/>
    <cellStyle name="Nota 6 3 2 3" xfId="5259"/>
    <cellStyle name="Nota 6 3 3" xfId="2923"/>
    <cellStyle name="Nota 6 3 4" xfId="5136"/>
    <cellStyle name="Nota 6 4" xfId="1521"/>
    <cellStyle name="Nota 6 4 2" xfId="3456"/>
    <cellStyle name="Nota 6 5" xfId="2922"/>
    <cellStyle name="Nota 6 5 10" xfId="33855"/>
    <cellStyle name="Nota 6 5 11" xfId="37887"/>
    <cellStyle name="Nota 6 5 12" xfId="41919"/>
    <cellStyle name="Nota 6 5 13" xfId="45951"/>
    <cellStyle name="Nota 6 5 14" xfId="50029"/>
    <cellStyle name="Nota 6 5 2" xfId="5846"/>
    <cellStyle name="Nota 6 5 2 10" xfId="38838"/>
    <cellStyle name="Nota 6 5 2 11" xfId="42870"/>
    <cellStyle name="Nota 6 5 2 12" xfId="46902"/>
    <cellStyle name="Nota 6 5 2 13" xfId="50981"/>
    <cellStyle name="Nota 6 5 2 2" xfId="8596"/>
    <cellStyle name="Nota 6 5 2 2 10" xfId="44886"/>
    <cellStyle name="Nota 6 5 2 2 11" xfId="48918"/>
    <cellStyle name="Nota 6 5 2 2 12" xfId="52997"/>
    <cellStyle name="Nota 6 5 2 2 2" xfId="12630"/>
    <cellStyle name="Nota 6 5 2 2 3" xfId="16662"/>
    <cellStyle name="Nota 6 5 2 2 4" xfId="20694"/>
    <cellStyle name="Nota 6 5 2 2 5" xfId="24726"/>
    <cellStyle name="Nota 6 5 2 2 6" xfId="28758"/>
    <cellStyle name="Nota 6 5 2 2 7" xfId="32790"/>
    <cellStyle name="Nota 6 5 2 2 8" xfId="36822"/>
    <cellStyle name="Nota 6 5 2 2 9" xfId="40854"/>
    <cellStyle name="Nota 6 5 2 3" xfId="10614"/>
    <cellStyle name="Nota 6 5 2 4" xfId="14646"/>
    <cellStyle name="Nota 6 5 2 5" xfId="18678"/>
    <cellStyle name="Nota 6 5 2 6" xfId="22710"/>
    <cellStyle name="Nota 6 5 2 7" xfId="26742"/>
    <cellStyle name="Nota 6 5 2 8" xfId="30774"/>
    <cellStyle name="Nota 6 5 2 9" xfId="34806"/>
    <cellStyle name="Nota 6 5 3" xfId="7645"/>
    <cellStyle name="Nota 6 5 3 10" xfId="43935"/>
    <cellStyle name="Nota 6 5 3 11" xfId="47967"/>
    <cellStyle name="Nota 6 5 3 12" xfId="52046"/>
    <cellStyle name="Nota 6 5 3 2" xfId="11679"/>
    <cellStyle name="Nota 6 5 3 3" xfId="15711"/>
    <cellStyle name="Nota 6 5 3 4" xfId="19743"/>
    <cellStyle name="Nota 6 5 3 5" xfId="23775"/>
    <cellStyle name="Nota 6 5 3 6" xfId="27807"/>
    <cellStyle name="Nota 6 5 3 7" xfId="31839"/>
    <cellStyle name="Nota 6 5 3 8" xfId="35871"/>
    <cellStyle name="Nota 6 5 3 9" xfId="39903"/>
    <cellStyle name="Nota 6 5 4" xfId="9663"/>
    <cellStyle name="Nota 6 5 5" xfId="13695"/>
    <cellStyle name="Nota 6 5 6" xfId="17727"/>
    <cellStyle name="Nota 6 5 7" xfId="21759"/>
    <cellStyle name="Nota 6 5 8" xfId="25791"/>
    <cellStyle name="Nota 6 5 9" xfId="29823"/>
    <cellStyle name="Nota 7" xfId="1620"/>
    <cellStyle name="Nota 7 2" xfId="2925"/>
    <cellStyle name="Nota 7 2 2" xfId="5848"/>
    <cellStyle name="Nota 7 3" xfId="2926"/>
    <cellStyle name="Nota 7 4" xfId="3457"/>
    <cellStyle name="Nota 7 5" xfId="2924"/>
    <cellStyle name="Nota 7 5 10" xfId="33856"/>
    <cellStyle name="Nota 7 5 11" xfId="37888"/>
    <cellStyle name="Nota 7 5 12" xfId="41920"/>
    <cellStyle name="Nota 7 5 13" xfId="45952"/>
    <cellStyle name="Nota 7 5 14" xfId="50030"/>
    <cellStyle name="Nota 7 5 2" xfId="5847"/>
    <cellStyle name="Nota 7 5 2 10" xfId="38839"/>
    <cellStyle name="Nota 7 5 2 11" xfId="42871"/>
    <cellStyle name="Nota 7 5 2 12" xfId="46903"/>
    <cellStyle name="Nota 7 5 2 13" xfId="50982"/>
    <cellStyle name="Nota 7 5 2 2" xfId="8597"/>
    <cellStyle name="Nota 7 5 2 2 10" xfId="44887"/>
    <cellStyle name="Nota 7 5 2 2 11" xfId="48919"/>
    <cellStyle name="Nota 7 5 2 2 12" xfId="52998"/>
    <cellStyle name="Nota 7 5 2 2 2" xfId="12631"/>
    <cellStyle name="Nota 7 5 2 2 3" xfId="16663"/>
    <cellStyle name="Nota 7 5 2 2 4" xfId="20695"/>
    <cellStyle name="Nota 7 5 2 2 5" xfId="24727"/>
    <cellStyle name="Nota 7 5 2 2 6" xfId="28759"/>
    <cellStyle name="Nota 7 5 2 2 7" xfId="32791"/>
    <cellStyle name="Nota 7 5 2 2 8" xfId="36823"/>
    <cellStyle name="Nota 7 5 2 2 9" xfId="40855"/>
    <cellStyle name="Nota 7 5 2 3" xfId="10615"/>
    <cellStyle name="Nota 7 5 2 4" xfId="14647"/>
    <cellStyle name="Nota 7 5 2 5" xfId="18679"/>
    <cellStyle name="Nota 7 5 2 6" xfId="22711"/>
    <cellStyle name="Nota 7 5 2 7" xfId="26743"/>
    <cellStyle name="Nota 7 5 2 8" xfId="30775"/>
    <cellStyle name="Nota 7 5 2 9" xfId="34807"/>
    <cellStyle name="Nota 7 5 3" xfId="7646"/>
    <cellStyle name="Nota 7 5 3 10" xfId="43936"/>
    <cellStyle name="Nota 7 5 3 11" xfId="47968"/>
    <cellStyle name="Nota 7 5 3 12" xfId="52047"/>
    <cellStyle name="Nota 7 5 3 2" xfId="11680"/>
    <cellStyle name="Nota 7 5 3 3" xfId="15712"/>
    <cellStyle name="Nota 7 5 3 4" xfId="19744"/>
    <cellStyle name="Nota 7 5 3 5" xfId="23776"/>
    <cellStyle name="Nota 7 5 3 6" xfId="27808"/>
    <cellStyle name="Nota 7 5 3 7" xfId="31840"/>
    <cellStyle name="Nota 7 5 3 8" xfId="35872"/>
    <cellStyle name="Nota 7 5 3 9" xfId="39904"/>
    <cellStyle name="Nota 7 5 4" xfId="9664"/>
    <cellStyle name="Nota 7 5 5" xfId="13696"/>
    <cellStyle name="Nota 7 5 6" xfId="17728"/>
    <cellStyle name="Nota 7 5 7" xfId="21760"/>
    <cellStyle name="Nota 7 5 8" xfId="25792"/>
    <cellStyle name="Nota 7 5 9" xfId="29824"/>
    <cellStyle name="Nota 8" xfId="2927"/>
    <cellStyle name="Nota 8 10" xfId="21761"/>
    <cellStyle name="Nota 8 11" xfId="25793"/>
    <cellStyle name="Nota 8 12" xfId="29825"/>
    <cellStyle name="Nota 8 13" xfId="33857"/>
    <cellStyle name="Nota 8 14" xfId="37889"/>
    <cellStyle name="Nota 8 15" xfId="41921"/>
    <cellStyle name="Nota 8 16" xfId="45953"/>
    <cellStyle name="Nota 8 17" xfId="50031"/>
    <cellStyle name="Nota 8 2" xfId="2928"/>
    <cellStyle name="Nota 8 2 2" xfId="5850"/>
    <cellStyle name="Nota 8 3" xfId="2929"/>
    <cellStyle name="Nota 8 4" xfId="3458"/>
    <cellStyle name="Nota 8 5" xfId="5849"/>
    <cellStyle name="Nota 8 5 10" xfId="38840"/>
    <cellStyle name="Nota 8 5 11" xfId="42872"/>
    <cellStyle name="Nota 8 5 12" xfId="46904"/>
    <cellStyle name="Nota 8 5 13" xfId="50983"/>
    <cellStyle name="Nota 8 5 2" xfId="8598"/>
    <cellStyle name="Nota 8 5 2 10" xfId="44888"/>
    <cellStyle name="Nota 8 5 2 11" xfId="48920"/>
    <cellStyle name="Nota 8 5 2 12" xfId="52999"/>
    <cellStyle name="Nota 8 5 2 2" xfId="12632"/>
    <cellStyle name="Nota 8 5 2 3" xfId="16664"/>
    <cellStyle name="Nota 8 5 2 4" xfId="20696"/>
    <cellStyle name="Nota 8 5 2 5" xfId="24728"/>
    <cellStyle name="Nota 8 5 2 6" xfId="28760"/>
    <cellStyle name="Nota 8 5 2 7" xfId="32792"/>
    <cellStyle name="Nota 8 5 2 8" xfId="36824"/>
    <cellStyle name="Nota 8 5 2 9" xfId="40856"/>
    <cellStyle name="Nota 8 5 3" xfId="10616"/>
    <cellStyle name="Nota 8 5 4" xfId="14648"/>
    <cellStyle name="Nota 8 5 5" xfId="18680"/>
    <cellStyle name="Nota 8 5 6" xfId="22712"/>
    <cellStyle name="Nota 8 5 7" xfId="26744"/>
    <cellStyle name="Nota 8 5 8" xfId="30776"/>
    <cellStyle name="Nota 8 5 9" xfId="34808"/>
    <cellStyle name="Nota 8 6" xfId="7647"/>
    <cellStyle name="Nota 8 6 10" xfId="43937"/>
    <cellStyle name="Nota 8 6 11" xfId="47969"/>
    <cellStyle name="Nota 8 6 12" xfId="52048"/>
    <cellStyle name="Nota 8 6 2" xfId="11681"/>
    <cellStyle name="Nota 8 6 3" xfId="15713"/>
    <cellStyle name="Nota 8 6 4" xfId="19745"/>
    <cellStyle name="Nota 8 6 5" xfId="23777"/>
    <cellStyle name="Nota 8 6 6" xfId="27809"/>
    <cellStyle name="Nota 8 6 7" xfId="31841"/>
    <cellStyle name="Nota 8 6 8" xfId="35873"/>
    <cellStyle name="Nota 8 6 9" xfId="39905"/>
    <cellStyle name="Nota 8 7" xfId="9665"/>
    <cellStyle name="Nota 8 8" xfId="13697"/>
    <cellStyle name="Nota 8 9" xfId="17729"/>
    <cellStyle name="Nota 9" xfId="2930"/>
    <cellStyle name="Nota 9 10" xfId="21762"/>
    <cellStyle name="Nota 9 11" xfId="25794"/>
    <cellStyle name="Nota 9 12" xfId="29826"/>
    <cellStyle name="Nota 9 13" xfId="33858"/>
    <cellStyle name="Nota 9 14" xfId="37890"/>
    <cellStyle name="Nota 9 15" xfId="41922"/>
    <cellStyle name="Nota 9 16" xfId="45954"/>
    <cellStyle name="Nota 9 17" xfId="50032"/>
    <cellStyle name="Nota 9 2" xfId="2931"/>
    <cellStyle name="Nota 9 2 2" xfId="5852"/>
    <cellStyle name="Nota 9 3" xfId="2932"/>
    <cellStyle name="Nota 9 4" xfId="3459"/>
    <cellStyle name="Nota 9 5" xfId="5851"/>
    <cellStyle name="Nota 9 5 10" xfId="38841"/>
    <cellStyle name="Nota 9 5 11" xfId="42873"/>
    <cellStyle name="Nota 9 5 12" xfId="46905"/>
    <cellStyle name="Nota 9 5 13" xfId="50984"/>
    <cellStyle name="Nota 9 5 2" xfId="8599"/>
    <cellStyle name="Nota 9 5 2 10" xfId="44889"/>
    <cellStyle name="Nota 9 5 2 11" xfId="48921"/>
    <cellStyle name="Nota 9 5 2 12" xfId="53000"/>
    <cellStyle name="Nota 9 5 2 2" xfId="12633"/>
    <cellStyle name="Nota 9 5 2 3" xfId="16665"/>
    <cellStyle name="Nota 9 5 2 4" xfId="20697"/>
    <cellStyle name="Nota 9 5 2 5" xfId="24729"/>
    <cellStyle name="Nota 9 5 2 6" xfId="28761"/>
    <cellStyle name="Nota 9 5 2 7" xfId="32793"/>
    <cellStyle name="Nota 9 5 2 8" xfId="36825"/>
    <cellStyle name="Nota 9 5 2 9" xfId="40857"/>
    <cellStyle name="Nota 9 5 3" xfId="10617"/>
    <cellStyle name="Nota 9 5 4" xfId="14649"/>
    <cellStyle name="Nota 9 5 5" xfId="18681"/>
    <cellStyle name="Nota 9 5 6" xfId="22713"/>
    <cellStyle name="Nota 9 5 7" xfId="26745"/>
    <cellStyle name="Nota 9 5 8" xfId="30777"/>
    <cellStyle name="Nota 9 5 9" xfId="34809"/>
    <cellStyle name="Nota 9 6" xfId="7648"/>
    <cellStyle name="Nota 9 6 10" xfId="43938"/>
    <cellStyle name="Nota 9 6 11" xfId="47970"/>
    <cellStyle name="Nota 9 6 12" xfId="52049"/>
    <cellStyle name="Nota 9 6 2" xfId="11682"/>
    <cellStyle name="Nota 9 6 3" xfId="15714"/>
    <cellStyle name="Nota 9 6 4" xfId="19746"/>
    <cellStyle name="Nota 9 6 5" xfId="23778"/>
    <cellStyle name="Nota 9 6 6" xfId="27810"/>
    <cellStyle name="Nota 9 6 7" xfId="31842"/>
    <cellStyle name="Nota 9 6 8" xfId="35874"/>
    <cellStyle name="Nota 9 6 9" xfId="39906"/>
    <cellStyle name="Nota 9 7" xfId="9666"/>
    <cellStyle name="Nota 9 8" xfId="13698"/>
    <cellStyle name="Nota 9 9" xfId="17730"/>
    <cellStyle name="Note" xfId="512"/>
    <cellStyle name="Note 2" xfId="674"/>
    <cellStyle name="Note 2 2" xfId="675"/>
    <cellStyle name="Note 2 2 2" xfId="1009"/>
    <cellStyle name="Note 2 2 2 2" xfId="1339"/>
    <cellStyle name="Note 2 2 2 2 2" xfId="1506"/>
    <cellStyle name="Note 2 2 2 2 2 2" xfId="1606"/>
    <cellStyle name="Note 2 2 3" xfId="1417"/>
    <cellStyle name="Note 2 3" xfId="1008"/>
    <cellStyle name="Note 2 3 2" xfId="1340"/>
    <cellStyle name="Note 2 3 2 2" xfId="1505"/>
    <cellStyle name="Note 2 3 2 2 2" xfId="1605"/>
    <cellStyle name="Note 3" xfId="1007"/>
    <cellStyle name="Note 3 2" xfId="1341"/>
    <cellStyle name="Note 3 2 2" xfId="1504"/>
    <cellStyle name="Note 3 2 2 2" xfId="1604"/>
    <cellStyle name="Note 4" xfId="1407"/>
    <cellStyle name="Output" xfId="513"/>
    <cellStyle name="Output 2" xfId="676"/>
    <cellStyle name="Output 2 2" xfId="1010"/>
    <cellStyle name="Output 2 2 2" xfId="1532"/>
    <cellStyle name="Output 2 3" xfId="1537"/>
    <cellStyle name="Output 3" xfId="971"/>
    <cellStyle name="Output 3 2" xfId="1518"/>
    <cellStyle name="Output 4" xfId="1408"/>
    <cellStyle name="Percent 2" xfId="2933"/>
    <cellStyle name="Percent 2 2" xfId="5853"/>
    <cellStyle name="Porcentagem 10" xfId="677"/>
    <cellStyle name="Porcentagem 10 2" xfId="2934"/>
    <cellStyle name="Porcentagem 10 2 2" xfId="5854"/>
    <cellStyle name="Porcentagem 10 3" xfId="4792"/>
    <cellStyle name="Porcentagem 10 4" xfId="49445"/>
    <cellStyle name="Porcentagem 11" xfId="1248"/>
    <cellStyle name="Porcentagem 12" xfId="3385"/>
    <cellStyle name="Porcentagem 12 10" xfId="29828"/>
    <cellStyle name="Porcentagem 12 11" xfId="33860"/>
    <cellStyle name="Porcentagem 12 12" xfId="37892"/>
    <cellStyle name="Porcentagem 12 13" xfId="41924"/>
    <cellStyle name="Porcentagem 12 14" xfId="45956"/>
    <cellStyle name="Porcentagem 12 15" xfId="50034"/>
    <cellStyle name="Porcentagem 12 2" xfId="2935"/>
    <cellStyle name="Porcentagem 12 2 2" xfId="5855"/>
    <cellStyle name="Porcentagem 12 3" xfId="6094"/>
    <cellStyle name="Porcentagem 12 3 10" xfId="38843"/>
    <cellStyle name="Porcentagem 12 3 11" xfId="42875"/>
    <cellStyle name="Porcentagem 12 3 12" xfId="46907"/>
    <cellStyle name="Porcentagem 12 3 13" xfId="50986"/>
    <cellStyle name="Porcentagem 12 3 2" xfId="8601"/>
    <cellStyle name="Porcentagem 12 3 2 10" xfId="44891"/>
    <cellStyle name="Porcentagem 12 3 2 11" xfId="48923"/>
    <cellStyle name="Porcentagem 12 3 2 12" xfId="53002"/>
    <cellStyle name="Porcentagem 12 3 2 2" xfId="12635"/>
    <cellStyle name="Porcentagem 12 3 2 3" xfId="16667"/>
    <cellStyle name="Porcentagem 12 3 2 4" xfId="20699"/>
    <cellStyle name="Porcentagem 12 3 2 5" xfId="24731"/>
    <cellStyle name="Porcentagem 12 3 2 6" xfId="28763"/>
    <cellStyle name="Porcentagem 12 3 2 7" xfId="32795"/>
    <cellStyle name="Porcentagem 12 3 2 8" xfId="36827"/>
    <cellStyle name="Porcentagem 12 3 2 9" xfId="40859"/>
    <cellStyle name="Porcentagem 12 3 3" xfId="10619"/>
    <cellStyle name="Porcentagem 12 3 4" xfId="14651"/>
    <cellStyle name="Porcentagem 12 3 5" xfId="18683"/>
    <cellStyle name="Porcentagem 12 3 6" xfId="22715"/>
    <cellStyle name="Porcentagem 12 3 7" xfId="26747"/>
    <cellStyle name="Porcentagem 12 3 8" xfId="30779"/>
    <cellStyle name="Porcentagem 12 3 9" xfId="34811"/>
    <cellStyle name="Porcentagem 12 4" xfId="7650"/>
    <cellStyle name="Porcentagem 12 4 10" xfId="43940"/>
    <cellStyle name="Porcentagem 12 4 11" xfId="47972"/>
    <cellStyle name="Porcentagem 12 4 12" xfId="52051"/>
    <cellStyle name="Porcentagem 12 4 2" xfId="11684"/>
    <cellStyle name="Porcentagem 12 4 3" xfId="15716"/>
    <cellStyle name="Porcentagem 12 4 4" xfId="19748"/>
    <cellStyle name="Porcentagem 12 4 5" xfId="23780"/>
    <cellStyle name="Porcentagem 12 4 6" xfId="27812"/>
    <cellStyle name="Porcentagem 12 4 7" xfId="31844"/>
    <cellStyle name="Porcentagem 12 4 8" xfId="35876"/>
    <cellStyle name="Porcentagem 12 4 9" xfId="39908"/>
    <cellStyle name="Porcentagem 12 5" xfId="9668"/>
    <cellStyle name="Porcentagem 12 6" xfId="13700"/>
    <cellStyle name="Porcentagem 12 7" xfId="17732"/>
    <cellStyle name="Porcentagem 12 8" xfId="21764"/>
    <cellStyle name="Porcentagem 12 9" xfId="25796"/>
    <cellStyle name="Porcentagem 13" xfId="49446"/>
    <cellStyle name="Porcentagem 14" xfId="53501"/>
    <cellStyle name="Porcentagem 14 2" xfId="53504"/>
    <cellStyle name="Porcentagem 15" xfId="53503"/>
    <cellStyle name="Porcentagem 2" xfId="29"/>
    <cellStyle name="Porcentagem 2 2" xfId="679"/>
    <cellStyle name="Porcentagem 2 2 2" xfId="914"/>
    <cellStyle name="Porcentagem 2 2 2 2" xfId="4960"/>
    <cellStyle name="Porcentagem 2 2 3" xfId="1342"/>
    <cellStyle name="Porcentagem 2 2 3 2" xfId="5137"/>
    <cellStyle name="Porcentagem 2 2 4" xfId="3460"/>
    <cellStyle name="Porcentagem 2 2 5" xfId="4794"/>
    <cellStyle name="Porcentagem 2 3" xfId="680"/>
    <cellStyle name="Porcentagem 2 3 2" xfId="915"/>
    <cellStyle name="Porcentagem 2 3 2 2" xfId="4961"/>
    <cellStyle name="Porcentagem 2 3 3" xfId="1343"/>
    <cellStyle name="Porcentagem 2 3 3 2" xfId="5138"/>
    <cellStyle name="Porcentagem 2 3 4" xfId="4795"/>
    <cellStyle name="Porcentagem 2 4" xfId="678"/>
    <cellStyle name="Porcentagem 2 4 2" xfId="4793"/>
    <cellStyle name="Porcentagem 2 5" xfId="871"/>
    <cellStyle name="Porcentagem 2 5 2" xfId="4931"/>
    <cellStyle name="Porcentagem 2 6" xfId="1344"/>
    <cellStyle name="Porcentagem 2 6 2" xfId="5139"/>
    <cellStyle name="Porcentagem 2 7" xfId="423"/>
    <cellStyle name="Porcentagem 2 7 2" xfId="4684"/>
    <cellStyle name="Porcentagem 3" xfId="422"/>
    <cellStyle name="Porcentagem 3 2" xfId="870"/>
    <cellStyle name="Porcentagem 3 2 2" xfId="1098"/>
    <cellStyle name="Porcentagem 3 2 2 2" xfId="3461"/>
    <cellStyle name="Porcentagem 3 2 2 3" xfId="5060"/>
    <cellStyle name="Porcentagem 3 2 3" xfId="4930"/>
    <cellStyle name="Porcentagem 3 3" xfId="1345"/>
    <cellStyle name="Porcentagem 3 3 2" xfId="3463"/>
    <cellStyle name="Porcentagem 3 3 2 10" xfId="33868"/>
    <cellStyle name="Porcentagem 3 3 2 11" xfId="37900"/>
    <cellStyle name="Porcentagem 3 3 2 12" xfId="41932"/>
    <cellStyle name="Porcentagem 3 3 2 13" xfId="45964"/>
    <cellStyle name="Porcentagem 3 3 2 14" xfId="50042"/>
    <cellStyle name="Porcentagem 3 3 2 2" xfId="6117"/>
    <cellStyle name="Porcentagem 3 3 2 2 10" xfId="38851"/>
    <cellStyle name="Porcentagem 3 3 2 2 11" xfId="42883"/>
    <cellStyle name="Porcentagem 3 3 2 2 12" xfId="46915"/>
    <cellStyle name="Porcentagem 3 3 2 2 13" xfId="50994"/>
    <cellStyle name="Porcentagem 3 3 2 2 2" xfId="8609"/>
    <cellStyle name="Porcentagem 3 3 2 2 2 10" xfId="44899"/>
    <cellStyle name="Porcentagem 3 3 2 2 2 11" xfId="48931"/>
    <cellStyle name="Porcentagem 3 3 2 2 2 12" xfId="53010"/>
    <cellStyle name="Porcentagem 3 3 2 2 2 2" xfId="12643"/>
    <cellStyle name="Porcentagem 3 3 2 2 2 3" xfId="16675"/>
    <cellStyle name="Porcentagem 3 3 2 2 2 4" xfId="20707"/>
    <cellStyle name="Porcentagem 3 3 2 2 2 5" xfId="24739"/>
    <cellStyle name="Porcentagem 3 3 2 2 2 6" xfId="28771"/>
    <cellStyle name="Porcentagem 3 3 2 2 2 7" xfId="32803"/>
    <cellStyle name="Porcentagem 3 3 2 2 2 8" xfId="36835"/>
    <cellStyle name="Porcentagem 3 3 2 2 2 9" xfId="40867"/>
    <cellStyle name="Porcentagem 3 3 2 2 3" xfId="10627"/>
    <cellStyle name="Porcentagem 3 3 2 2 4" xfId="14659"/>
    <cellStyle name="Porcentagem 3 3 2 2 5" xfId="18691"/>
    <cellStyle name="Porcentagem 3 3 2 2 6" xfId="22723"/>
    <cellStyle name="Porcentagem 3 3 2 2 7" xfId="26755"/>
    <cellStyle name="Porcentagem 3 3 2 2 8" xfId="30787"/>
    <cellStyle name="Porcentagem 3 3 2 2 9" xfId="34819"/>
    <cellStyle name="Porcentagem 3 3 2 3" xfId="7658"/>
    <cellStyle name="Porcentagem 3 3 2 3 10" xfId="43948"/>
    <cellStyle name="Porcentagem 3 3 2 3 11" xfId="47980"/>
    <cellStyle name="Porcentagem 3 3 2 3 12" xfId="52059"/>
    <cellStyle name="Porcentagem 3 3 2 3 2" xfId="11692"/>
    <cellStyle name="Porcentagem 3 3 2 3 3" xfId="15724"/>
    <cellStyle name="Porcentagem 3 3 2 3 4" xfId="19756"/>
    <cellStyle name="Porcentagem 3 3 2 3 5" xfId="23788"/>
    <cellStyle name="Porcentagem 3 3 2 3 6" xfId="27820"/>
    <cellStyle name="Porcentagem 3 3 2 3 7" xfId="31852"/>
    <cellStyle name="Porcentagem 3 3 2 3 8" xfId="35884"/>
    <cellStyle name="Porcentagem 3 3 2 3 9" xfId="39916"/>
    <cellStyle name="Porcentagem 3 3 2 4" xfId="9676"/>
    <cellStyle name="Porcentagem 3 3 2 5" xfId="13708"/>
    <cellStyle name="Porcentagem 3 3 2 6" xfId="17740"/>
    <cellStyle name="Porcentagem 3 3 2 7" xfId="21772"/>
    <cellStyle name="Porcentagem 3 3 2 8" xfId="25804"/>
    <cellStyle name="Porcentagem 3 3 2 9" xfId="29836"/>
    <cellStyle name="Porcentagem 3 3 3" xfId="3462"/>
    <cellStyle name="Porcentagem 3 3 4" xfId="5140"/>
    <cellStyle name="Porcentagem 3 4" xfId="1692"/>
    <cellStyle name="Porcentagem 3 5" xfId="3387"/>
    <cellStyle name="Porcentagem 3 5 2" xfId="6096"/>
    <cellStyle name="Porcentagem 3 6" xfId="4683"/>
    <cellStyle name="Porcentagem 4" xfId="681"/>
    <cellStyle name="Porcentagem 4 2" xfId="682"/>
    <cellStyle name="Porcentagem 4 2 2" xfId="916"/>
    <cellStyle name="Porcentagem 4 2 2 2" xfId="4962"/>
    <cellStyle name="Porcentagem 4 2 3" xfId="1346"/>
    <cellStyle name="Porcentagem 4 2 3 2" xfId="5141"/>
    <cellStyle name="Porcentagem 4 2 4" xfId="4016"/>
    <cellStyle name="Porcentagem 4 2 4 10" xfId="33873"/>
    <cellStyle name="Porcentagem 4 2 4 11" xfId="37905"/>
    <cellStyle name="Porcentagem 4 2 4 12" xfId="41937"/>
    <cellStyle name="Porcentagem 4 2 4 13" xfId="45969"/>
    <cellStyle name="Porcentagem 4 2 4 14" xfId="50047"/>
    <cellStyle name="Porcentagem 4 2 4 2" xfId="6598"/>
    <cellStyle name="Porcentagem 4 2 4 2 10" xfId="38856"/>
    <cellStyle name="Porcentagem 4 2 4 2 11" xfId="42888"/>
    <cellStyle name="Porcentagem 4 2 4 2 12" xfId="46920"/>
    <cellStyle name="Porcentagem 4 2 4 2 13" xfId="50999"/>
    <cellStyle name="Porcentagem 4 2 4 2 2" xfId="8614"/>
    <cellStyle name="Porcentagem 4 2 4 2 2 10" xfId="44904"/>
    <cellStyle name="Porcentagem 4 2 4 2 2 11" xfId="48936"/>
    <cellStyle name="Porcentagem 4 2 4 2 2 12" xfId="53015"/>
    <cellStyle name="Porcentagem 4 2 4 2 2 2" xfId="12648"/>
    <cellStyle name="Porcentagem 4 2 4 2 2 3" xfId="16680"/>
    <cellStyle name="Porcentagem 4 2 4 2 2 4" xfId="20712"/>
    <cellStyle name="Porcentagem 4 2 4 2 2 5" xfId="24744"/>
    <cellStyle name="Porcentagem 4 2 4 2 2 6" xfId="28776"/>
    <cellStyle name="Porcentagem 4 2 4 2 2 7" xfId="32808"/>
    <cellStyle name="Porcentagem 4 2 4 2 2 8" xfId="36840"/>
    <cellStyle name="Porcentagem 4 2 4 2 2 9" xfId="40872"/>
    <cellStyle name="Porcentagem 4 2 4 2 3" xfId="10632"/>
    <cellStyle name="Porcentagem 4 2 4 2 4" xfId="14664"/>
    <cellStyle name="Porcentagem 4 2 4 2 5" xfId="18696"/>
    <cellStyle name="Porcentagem 4 2 4 2 6" xfId="22728"/>
    <cellStyle name="Porcentagem 4 2 4 2 7" xfId="26760"/>
    <cellStyle name="Porcentagem 4 2 4 2 8" xfId="30792"/>
    <cellStyle name="Porcentagem 4 2 4 2 9" xfId="34824"/>
    <cellStyle name="Porcentagem 4 2 4 3" xfId="7663"/>
    <cellStyle name="Porcentagem 4 2 4 3 10" xfId="43953"/>
    <cellStyle name="Porcentagem 4 2 4 3 11" xfId="47985"/>
    <cellStyle name="Porcentagem 4 2 4 3 12" xfId="52064"/>
    <cellStyle name="Porcentagem 4 2 4 3 2" xfId="11697"/>
    <cellStyle name="Porcentagem 4 2 4 3 3" xfId="15729"/>
    <cellStyle name="Porcentagem 4 2 4 3 4" xfId="19761"/>
    <cellStyle name="Porcentagem 4 2 4 3 5" xfId="23793"/>
    <cellStyle name="Porcentagem 4 2 4 3 6" xfId="27825"/>
    <cellStyle name="Porcentagem 4 2 4 3 7" xfId="31857"/>
    <cellStyle name="Porcentagem 4 2 4 3 8" xfId="35889"/>
    <cellStyle name="Porcentagem 4 2 4 3 9" xfId="39921"/>
    <cellStyle name="Porcentagem 4 2 4 4" xfId="9681"/>
    <cellStyle name="Porcentagem 4 2 4 5" xfId="13713"/>
    <cellStyle name="Porcentagem 4 2 4 6" xfId="17745"/>
    <cellStyle name="Porcentagem 4 2 4 7" xfId="21777"/>
    <cellStyle name="Porcentagem 4 2 4 8" xfId="25809"/>
    <cellStyle name="Porcentagem 4 2 4 9" xfId="29841"/>
    <cellStyle name="Porcentagem 4 2 5" xfId="4797"/>
    <cellStyle name="Porcentagem 4 3" xfId="683"/>
    <cellStyle name="Porcentagem 4 3 2" xfId="684"/>
    <cellStyle name="Porcentagem 4 3 2 2" xfId="918"/>
    <cellStyle name="Porcentagem 4 3 2 2 2" xfId="4964"/>
    <cellStyle name="Porcentagem 4 3 2 3" xfId="1347"/>
    <cellStyle name="Porcentagem 4 3 2 3 2" xfId="5142"/>
    <cellStyle name="Porcentagem 4 3 2 4" xfId="4799"/>
    <cellStyle name="Porcentagem 4 3 3" xfId="917"/>
    <cellStyle name="Porcentagem 4 3 3 2" xfId="4963"/>
    <cellStyle name="Porcentagem 4 3 4" xfId="1348"/>
    <cellStyle name="Porcentagem 4 3 4 2" xfId="5143"/>
    <cellStyle name="Porcentagem 4 3 5" xfId="4798"/>
    <cellStyle name="Porcentagem 4 4" xfId="685"/>
    <cellStyle name="Porcentagem 4 4 2" xfId="686"/>
    <cellStyle name="Porcentagem 4 4 2 2" xfId="919"/>
    <cellStyle name="Porcentagem 4 4 2 2 2" xfId="4965"/>
    <cellStyle name="Porcentagem 4 4 2 3" xfId="1349"/>
    <cellStyle name="Porcentagem 4 4 2 3 2" xfId="5144"/>
    <cellStyle name="Porcentagem 4 4 2 4" xfId="4801"/>
    <cellStyle name="Porcentagem 4 4 3" xfId="687"/>
    <cellStyle name="Porcentagem 4 4 3 2" xfId="688"/>
    <cellStyle name="Porcentagem 4 4 3 2 2" xfId="920"/>
    <cellStyle name="Porcentagem 4 4 3 2 2 2" xfId="4966"/>
    <cellStyle name="Porcentagem 4 4 3 2 3" xfId="1350"/>
    <cellStyle name="Porcentagem 4 4 3 2 3 2" xfId="5145"/>
    <cellStyle name="Porcentagem 4 4 3 2 4" xfId="4803"/>
    <cellStyle name="Porcentagem 4 4 3 3" xfId="689"/>
    <cellStyle name="Porcentagem 4 4 3 3 2" xfId="690"/>
    <cellStyle name="Porcentagem 4 4 3 3 2 2" xfId="691"/>
    <cellStyle name="Porcentagem 4 4 3 3 2 2 2" xfId="692"/>
    <cellStyle name="Porcentagem 4 4 3 3 2 2 2 2" xfId="4807"/>
    <cellStyle name="Porcentagem 4 4 3 3 2 2 3" xfId="4806"/>
    <cellStyle name="Porcentagem 4 4 3 3 2 3" xfId="693"/>
    <cellStyle name="Porcentagem 4 4 3 3 2 3 2" xfId="4808"/>
    <cellStyle name="Porcentagem 4 4 3 3 2 3 3" xfId="49447"/>
    <cellStyle name="Porcentagem 4 4 3 3 2 4" xfId="4805"/>
    <cellStyle name="Porcentagem 4 4 3 3 3" xfId="694"/>
    <cellStyle name="Porcentagem 4 4 3 3 3 2" xfId="4809"/>
    <cellStyle name="Porcentagem 4 4 3 3 4" xfId="4804"/>
    <cellStyle name="Porcentagem 4 4 3 4" xfId="695"/>
    <cellStyle name="Porcentagem 4 4 3 4 2" xfId="696"/>
    <cellStyle name="Porcentagem 4 4 3 4 2 2" xfId="4811"/>
    <cellStyle name="Porcentagem 4 4 3 4 2 3" xfId="49448"/>
    <cellStyle name="Porcentagem 4 4 3 4 3" xfId="697"/>
    <cellStyle name="Porcentagem 4 4 3 4 3 2" xfId="4812"/>
    <cellStyle name="Porcentagem 4 4 3 4 4" xfId="4810"/>
    <cellStyle name="Porcentagem 4 4 3 5" xfId="4802"/>
    <cellStyle name="Porcentagem 4 4 4" xfId="4800"/>
    <cellStyle name="Porcentagem 4 5" xfId="698"/>
    <cellStyle name="Porcentagem 4 5 2" xfId="921"/>
    <cellStyle name="Porcentagem 4 5 2 2" xfId="4967"/>
    <cellStyle name="Porcentagem 4 5 3" xfId="1351"/>
    <cellStyle name="Porcentagem 4 5 3 2" xfId="5146"/>
    <cellStyle name="Porcentagem 4 5 4" xfId="4813"/>
    <cellStyle name="Porcentagem 4 6" xfId="3464"/>
    <cellStyle name="Porcentagem 4 6 10" xfId="33869"/>
    <cellStyle name="Porcentagem 4 6 11" xfId="37901"/>
    <cellStyle name="Porcentagem 4 6 12" xfId="41933"/>
    <cellStyle name="Porcentagem 4 6 13" xfId="45965"/>
    <cellStyle name="Porcentagem 4 6 14" xfId="50043"/>
    <cellStyle name="Porcentagem 4 6 2" xfId="6118"/>
    <cellStyle name="Porcentagem 4 6 2 10" xfId="38852"/>
    <cellStyle name="Porcentagem 4 6 2 11" xfId="42884"/>
    <cellStyle name="Porcentagem 4 6 2 12" xfId="46916"/>
    <cellStyle name="Porcentagem 4 6 2 13" xfId="50995"/>
    <cellStyle name="Porcentagem 4 6 2 2" xfId="8610"/>
    <cellStyle name="Porcentagem 4 6 2 2 10" xfId="44900"/>
    <cellStyle name="Porcentagem 4 6 2 2 11" xfId="48932"/>
    <cellStyle name="Porcentagem 4 6 2 2 12" xfId="53011"/>
    <cellStyle name="Porcentagem 4 6 2 2 2" xfId="12644"/>
    <cellStyle name="Porcentagem 4 6 2 2 3" xfId="16676"/>
    <cellStyle name="Porcentagem 4 6 2 2 4" xfId="20708"/>
    <cellStyle name="Porcentagem 4 6 2 2 5" xfId="24740"/>
    <cellStyle name="Porcentagem 4 6 2 2 6" xfId="28772"/>
    <cellStyle name="Porcentagem 4 6 2 2 7" xfId="32804"/>
    <cellStyle name="Porcentagem 4 6 2 2 8" xfId="36836"/>
    <cellStyle name="Porcentagem 4 6 2 2 9" xfId="40868"/>
    <cellStyle name="Porcentagem 4 6 2 3" xfId="10628"/>
    <cellStyle name="Porcentagem 4 6 2 4" xfId="14660"/>
    <cellStyle name="Porcentagem 4 6 2 5" xfId="18692"/>
    <cellStyle name="Porcentagem 4 6 2 6" xfId="22724"/>
    <cellStyle name="Porcentagem 4 6 2 7" xfId="26756"/>
    <cellStyle name="Porcentagem 4 6 2 8" xfId="30788"/>
    <cellStyle name="Porcentagem 4 6 2 9" xfId="34820"/>
    <cellStyle name="Porcentagem 4 6 3" xfId="7659"/>
    <cellStyle name="Porcentagem 4 6 3 10" xfId="43949"/>
    <cellStyle name="Porcentagem 4 6 3 11" xfId="47981"/>
    <cellStyle name="Porcentagem 4 6 3 12" xfId="52060"/>
    <cellStyle name="Porcentagem 4 6 3 2" xfId="11693"/>
    <cellStyle name="Porcentagem 4 6 3 3" xfId="15725"/>
    <cellStyle name="Porcentagem 4 6 3 4" xfId="19757"/>
    <cellStyle name="Porcentagem 4 6 3 5" xfId="23789"/>
    <cellStyle name="Porcentagem 4 6 3 6" xfId="27821"/>
    <cellStyle name="Porcentagem 4 6 3 7" xfId="31853"/>
    <cellStyle name="Porcentagem 4 6 3 8" xfId="35885"/>
    <cellStyle name="Porcentagem 4 6 3 9" xfId="39917"/>
    <cellStyle name="Porcentagem 4 6 4" xfId="9677"/>
    <cellStyle name="Porcentagem 4 6 5" xfId="13709"/>
    <cellStyle name="Porcentagem 4 6 6" xfId="17741"/>
    <cellStyle name="Porcentagem 4 6 7" xfId="21773"/>
    <cellStyle name="Porcentagem 4 6 8" xfId="25805"/>
    <cellStyle name="Porcentagem 4 6 9" xfId="29837"/>
    <cellStyle name="Porcentagem 4 7" xfId="4796"/>
    <cellStyle name="Porcentagem 5" xfId="699"/>
    <cellStyle name="Porcentagem 5 2" xfId="700"/>
    <cellStyle name="Porcentagem 5 2 2" xfId="923"/>
    <cellStyle name="Porcentagem 5 2 2 2" xfId="4969"/>
    <cellStyle name="Porcentagem 5 2 3" xfId="1352"/>
    <cellStyle name="Porcentagem 5 2 3 2" xfId="5147"/>
    <cellStyle name="Porcentagem 5 2 4" xfId="4815"/>
    <cellStyle name="Porcentagem 5 3" xfId="922"/>
    <cellStyle name="Porcentagem 5 3 2" xfId="4968"/>
    <cellStyle name="Porcentagem 5 4" xfId="1353"/>
    <cellStyle name="Porcentagem 5 4 2" xfId="5148"/>
    <cellStyle name="Porcentagem 5 5" xfId="3465"/>
    <cellStyle name="Porcentagem 5 5 10" xfId="33870"/>
    <cellStyle name="Porcentagem 5 5 11" xfId="37902"/>
    <cellStyle name="Porcentagem 5 5 12" xfId="41934"/>
    <cellStyle name="Porcentagem 5 5 13" xfId="45966"/>
    <cellStyle name="Porcentagem 5 5 14" xfId="50044"/>
    <cellStyle name="Porcentagem 5 5 2" xfId="6119"/>
    <cellStyle name="Porcentagem 5 5 2 10" xfId="38853"/>
    <cellStyle name="Porcentagem 5 5 2 11" xfId="42885"/>
    <cellStyle name="Porcentagem 5 5 2 12" xfId="46917"/>
    <cellStyle name="Porcentagem 5 5 2 13" xfId="50996"/>
    <cellStyle name="Porcentagem 5 5 2 2" xfId="8611"/>
    <cellStyle name="Porcentagem 5 5 2 2 10" xfId="44901"/>
    <cellStyle name="Porcentagem 5 5 2 2 11" xfId="48933"/>
    <cellStyle name="Porcentagem 5 5 2 2 12" xfId="53012"/>
    <cellStyle name="Porcentagem 5 5 2 2 2" xfId="12645"/>
    <cellStyle name="Porcentagem 5 5 2 2 3" xfId="16677"/>
    <cellStyle name="Porcentagem 5 5 2 2 4" xfId="20709"/>
    <cellStyle name="Porcentagem 5 5 2 2 5" xfId="24741"/>
    <cellStyle name="Porcentagem 5 5 2 2 6" xfId="28773"/>
    <cellStyle name="Porcentagem 5 5 2 2 7" xfId="32805"/>
    <cellStyle name="Porcentagem 5 5 2 2 8" xfId="36837"/>
    <cellStyle name="Porcentagem 5 5 2 2 9" xfId="40869"/>
    <cellStyle name="Porcentagem 5 5 2 3" xfId="10629"/>
    <cellStyle name="Porcentagem 5 5 2 4" xfId="14661"/>
    <cellStyle name="Porcentagem 5 5 2 5" xfId="18693"/>
    <cellStyle name="Porcentagem 5 5 2 6" xfId="22725"/>
    <cellStyle name="Porcentagem 5 5 2 7" xfId="26757"/>
    <cellStyle name="Porcentagem 5 5 2 8" xfId="30789"/>
    <cellStyle name="Porcentagem 5 5 2 9" xfId="34821"/>
    <cellStyle name="Porcentagem 5 5 3" xfId="7660"/>
    <cellStyle name="Porcentagem 5 5 3 10" xfId="43950"/>
    <cellStyle name="Porcentagem 5 5 3 11" xfId="47982"/>
    <cellStyle name="Porcentagem 5 5 3 12" xfId="52061"/>
    <cellStyle name="Porcentagem 5 5 3 2" xfId="11694"/>
    <cellStyle name="Porcentagem 5 5 3 3" xfId="15726"/>
    <cellStyle name="Porcentagem 5 5 3 4" xfId="19758"/>
    <cellStyle name="Porcentagem 5 5 3 5" xfId="23790"/>
    <cellStyle name="Porcentagem 5 5 3 6" xfId="27822"/>
    <cellStyle name="Porcentagem 5 5 3 7" xfId="31854"/>
    <cellStyle name="Porcentagem 5 5 3 8" xfId="35886"/>
    <cellStyle name="Porcentagem 5 5 3 9" xfId="39918"/>
    <cellStyle name="Porcentagem 5 5 4" xfId="9678"/>
    <cellStyle name="Porcentagem 5 5 5" xfId="13710"/>
    <cellStyle name="Porcentagem 5 5 6" xfId="17742"/>
    <cellStyle name="Porcentagem 5 5 7" xfId="21774"/>
    <cellStyle name="Porcentagem 5 5 8" xfId="25806"/>
    <cellStyle name="Porcentagem 5 5 9" xfId="29838"/>
    <cellStyle name="Porcentagem 5 6" xfId="4814"/>
    <cellStyle name="Porcentagem 6" xfId="701"/>
    <cellStyle name="Porcentagem 6 2" xfId="702"/>
    <cellStyle name="Porcentagem 6 2 2" xfId="924"/>
    <cellStyle name="Porcentagem 6 2 2 2" xfId="4970"/>
    <cellStyle name="Porcentagem 6 2 3" xfId="1354"/>
    <cellStyle name="Porcentagem 6 2 3 2" xfId="5149"/>
    <cellStyle name="Porcentagem 6 2 4" xfId="4817"/>
    <cellStyle name="Porcentagem 6 3" xfId="703"/>
    <cellStyle name="Porcentagem 6 3 2" xfId="704"/>
    <cellStyle name="Porcentagem 6 3 2 2" xfId="925"/>
    <cellStyle name="Porcentagem 6 3 2 2 2" xfId="4971"/>
    <cellStyle name="Porcentagem 6 3 2 3" xfId="1355"/>
    <cellStyle name="Porcentagem 6 3 2 3 2" xfId="5150"/>
    <cellStyle name="Porcentagem 6 3 2 4" xfId="4819"/>
    <cellStyle name="Porcentagem 6 3 3" xfId="705"/>
    <cellStyle name="Porcentagem 6 3 3 2" xfId="706"/>
    <cellStyle name="Porcentagem 6 3 3 2 2" xfId="707"/>
    <cellStyle name="Porcentagem 6 3 3 2 2 2" xfId="708"/>
    <cellStyle name="Porcentagem 6 3 3 2 2 2 2" xfId="4823"/>
    <cellStyle name="Porcentagem 6 3 3 2 2 3" xfId="4822"/>
    <cellStyle name="Porcentagem 6 3 3 2 3" xfId="709"/>
    <cellStyle name="Porcentagem 6 3 3 2 3 2" xfId="4824"/>
    <cellStyle name="Porcentagem 6 3 3 2 3 3" xfId="49449"/>
    <cellStyle name="Porcentagem 6 3 3 2 4" xfId="4821"/>
    <cellStyle name="Porcentagem 6 3 3 3" xfId="710"/>
    <cellStyle name="Porcentagem 6 3 3 3 2" xfId="4825"/>
    <cellStyle name="Porcentagem 6 3 3 4" xfId="4820"/>
    <cellStyle name="Porcentagem 6 3 4" xfId="711"/>
    <cellStyle name="Porcentagem 6 3 4 2" xfId="712"/>
    <cellStyle name="Porcentagem 6 3 4 2 2" xfId="4827"/>
    <cellStyle name="Porcentagem 6 3 4 2 3" xfId="49450"/>
    <cellStyle name="Porcentagem 6 3 4 3" xfId="713"/>
    <cellStyle name="Porcentagem 6 3 4 3 2" xfId="4828"/>
    <cellStyle name="Porcentagem 6 3 4 4" xfId="4826"/>
    <cellStyle name="Porcentagem 6 3 5" xfId="4818"/>
    <cellStyle name="Porcentagem 6 4" xfId="1099"/>
    <cellStyle name="Porcentagem 6 5" xfId="4816"/>
    <cellStyle name="Porcentagem 7" xfId="714"/>
    <cellStyle name="Porcentagem 7 2" xfId="715"/>
    <cellStyle name="Porcentagem 7 2 2" xfId="926"/>
    <cellStyle name="Porcentagem 7 2 2 2" xfId="4972"/>
    <cellStyle name="Porcentagem 7 2 3" xfId="1356"/>
    <cellStyle name="Porcentagem 7 2 3 2" xfId="5151"/>
    <cellStyle name="Porcentagem 7 2 4" xfId="4830"/>
    <cellStyle name="Porcentagem 7 3" xfId="716"/>
    <cellStyle name="Porcentagem 7 3 2" xfId="717"/>
    <cellStyle name="Porcentagem 7 3 2 2" xfId="4832"/>
    <cellStyle name="Porcentagem 7 3 2 3" xfId="49451"/>
    <cellStyle name="Porcentagem 7 3 3" xfId="718"/>
    <cellStyle name="Porcentagem 7 3 3 2" xfId="4833"/>
    <cellStyle name="Porcentagem 7 3 4" xfId="4831"/>
    <cellStyle name="Porcentagem 7 4" xfId="4829"/>
    <cellStyle name="Porcentagem 8" xfId="719"/>
    <cellStyle name="Porcentagem 8 2" xfId="720"/>
    <cellStyle name="Porcentagem 8 2 2" xfId="927"/>
    <cellStyle name="Porcentagem 8 2 2 2" xfId="4973"/>
    <cellStyle name="Porcentagem 8 2 3" xfId="1357"/>
    <cellStyle name="Porcentagem 8 2 3 2" xfId="5152"/>
    <cellStyle name="Porcentagem 8 2 4" xfId="4835"/>
    <cellStyle name="Porcentagem 8 3" xfId="721"/>
    <cellStyle name="Porcentagem 8 3 2" xfId="722"/>
    <cellStyle name="Porcentagem 8 3 2 2" xfId="723"/>
    <cellStyle name="Porcentagem 8 3 2 2 2" xfId="724"/>
    <cellStyle name="Porcentagem 8 3 2 2 2 2" xfId="4839"/>
    <cellStyle name="Porcentagem 8 3 2 2 3" xfId="4838"/>
    <cellStyle name="Porcentagem 8 3 2 3" xfId="725"/>
    <cellStyle name="Porcentagem 8 3 2 3 2" xfId="4840"/>
    <cellStyle name="Porcentagem 8 3 2 3 3" xfId="49452"/>
    <cellStyle name="Porcentagem 8 3 2 4" xfId="4837"/>
    <cellStyle name="Porcentagem 8 3 3" xfId="726"/>
    <cellStyle name="Porcentagem 8 3 3 2" xfId="4841"/>
    <cellStyle name="Porcentagem 8 3 4" xfId="4836"/>
    <cellStyle name="Porcentagem 8 4" xfId="727"/>
    <cellStyle name="Porcentagem 8 4 2" xfId="728"/>
    <cellStyle name="Porcentagem 8 4 2 2" xfId="4843"/>
    <cellStyle name="Porcentagem 8 4 2 3" xfId="49453"/>
    <cellStyle name="Porcentagem 8 4 3" xfId="729"/>
    <cellStyle name="Porcentagem 8 4 3 2" xfId="4844"/>
    <cellStyle name="Porcentagem 8 4 4" xfId="4842"/>
    <cellStyle name="Porcentagem 8 5" xfId="4834"/>
    <cellStyle name="Porcentagem 9" xfId="730"/>
    <cellStyle name="Porcentagem 9 2" xfId="731"/>
    <cellStyle name="Porcentagem 9 2 2" xfId="4846"/>
    <cellStyle name="Porcentagem 9 2 3" xfId="49454"/>
    <cellStyle name="Porcentagem 9 3" xfId="732"/>
    <cellStyle name="Porcentagem 9 3 2" xfId="4847"/>
    <cellStyle name="Porcentagem 9 4" xfId="4845"/>
    <cellStyle name="Saída 10 2" xfId="2936"/>
    <cellStyle name="Saída 11 2" xfId="2937"/>
    <cellStyle name="Saída 12 2" xfId="2938"/>
    <cellStyle name="Saída 13 2" xfId="2939"/>
    <cellStyle name="Saída 14 2" xfId="2940"/>
    <cellStyle name="Saída 15 2" xfId="2941"/>
    <cellStyle name="Saída 16 2" xfId="2942"/>
    <cellStyle name="Saída 17 2" xfId="2943"/>
    <cellStyle name="Saída 2" xfId="424"/>
    <cellStyle name="Saída 2 2" xfId="734"/>
    <cellStyle name="Saída 2 2 2" xfId="1012"/>
    <cellStyle name="Saída 2 2 2 2" xfId="1530"/>
    <cellStyle name="Saída 2 2 3" xfId="1536"/>
    <cellStyle name="Saída 2 2 4" xfId="2945"/>
    <cellStyle name="Saída 2 3" xfId="733"/>
    <cellStyle name="Saída 2 3 2" xfId="1358"/>
    <cellStyle name="Saída 2 3 2 2" xfId="1523"/>
    <cellStyle name="Saída 2 3 3" xfId="1524"/>
    <cellStyle name="Saída 2 4" xfId="872"/>
    <cellStyle name="Saída 2 4 2" xfId="1359"/>
    <cellStyle name="Saída 2 4 2 2" xfId="1540"/>
    <cellStyle name="Saída 2 4 3" xfId="1534"/>
    <cellStyle name="Saída 2 5" xfId="1011"/>
    <cellStyle name="Saída 2 5 2" xfId="1531"/>
    <cellStyle name="Saída 2 6" xfId="1100"/>
    <cellStyle name="Saída 2 7" xfId="1409"/>
    <cellStyle name="Saída 2 8" xfId="2944"/>
    <cellStyle name="Saída 3" xfId="514"/>
    <cellStyle name="Saída 3 2" xfId="1013"/>
    <cellStyle name="Saída 3 2 2" xfId="1529"/>
    <cellStyle name="Saída 3 2 3" xfId="2946"/>
    <cellStyle name="Saída 3 3" xfId="1101"/>
    <cellStyle name="Saída 3 4" xfId="1520"/>
    <cellStyle name="Saída 4" xfId="972"/>
    <cellStyle name="Saída 4 2" xfId="1538"/>
    <cellStyle name="Saída 4 2 2" xfId="2948"/>
    <cellStyle name="Saída 4 3" xfId="2947"/>
    <cellStyle name="Saída 5" xfId="1213"/>
    <cellStyle name="Saída 5 2" xfId="1522"/>
    <cellStyle name="Saída 5 2 2" xfId="2950"/>
    <cellStyle name="Saída 5 3" xfId="2949"/>
    <cellStyle name="Saída 6" xfId="1236"/>
    <cellStyle name="Saída 6 2" xfId="1542"/>
    <cellStyle name="Saída 6 2 2" xfId="2951"/>
    <cellStyle name="Saída 7 2" xfId="2952"/>
    <cellStyle name="Saída 8 2" xfId="2953"/>
    <cellStyle name="Saída 9 2" xfId="2954"/>
    <cellStyle name="Separador de milhares 10" xfId="2955"/>
    <cellStyle name="Separador de milhares 10 10" xfId="2956"/>
    <cellStyle name="Separador de milhares 10 10 2" xfId="3468"/>
    <cellStyle name="Separador de milhares 10 10 2 2" xfId="6122"/>
    <cellStyle name="Separador de milhares 10 10 3" xfId="3467"/>
    <cellStyle name="Separador de milhares 10 10 3 2" xfId="6121"/>
    <cellStyle name="Separador de milhares 10 10 4" xfId="5857"/>
    <cellStyle name="Separador de milhares 10 11" xfId="2957"/>
    <cellStyle name="Separador de milhares 10 11 2" xfId="3470"/>
    <cellStyle name="Separador de milhares 10 11 2 2" xfId="6124"/>
    <cellStyle name="Separador de milhares 10 11 3" xfId="3469"/>
    <cellStyle name="Separador de milhares 10 11 3 2" xfId="6123"/>
    <cellStyle name="Separador de milhares 10 11 4" xfId="5858"/>
    <cellStyle name="Separador de milhares 10 12" xfId="2958"/>
    <cellStyle name="Separador de milhares 10 12 2" xfId="3472"/>
    <cellStyle name="Separador de milhares 10 12 2 2" xfId="6126"/>
    <cellStyle name="Separador de milhares 10 12 3" xfId="3471"/>
    <cellStyle name="Separador de milhares 10 12 3 2" xfId="6125"/>
    <cellStyle name="Separador de milhares 10 12 4" xfId="5859"/>
    <cellStyle name="Separador de milhares 10 13" xfId="2959"/>
    <cellStyle name="Separador de milhares 10 13 2" xfId="3474"/>
    <cellStyle name="Separador de milhares 10 13 2 2" xfId="6128"/>
    <cellStyle name="Separador de milhares 10 13 3" xfId="3473"/>
    <cellStyle name="Separador de milhares 10 13 3 2" xfId="6127"/>
    <cellStyle name="Separador de milhares 10 13 4" xfId="5860"/>
    <cellStyle name="Separador de milhares 10 14" xfId="2960"/>
    <cellStyle name="Separador de milhares 10 14 2" xfId="3476"/>
    <cellStyle name="Separador de milhares 10 14 2 2" xfId="6130"/>
    <cellStyle name="Separador de milhares 10 14 3" xfId="3475"/>
    <cellStyle name="Separador de milhares 10 14 3 2" xfId="6129"/>
    <cellStyle name="Separador de milhares 10 14 4" xfId="5861"/>
    <cellStyle name="Separador de milhares 10 15" xfId="3477"/>
    <cellStyle name="Separador de milhares 10 15 2" xfId="6131"/>
    <cellStyle name="Separador de milhares 10 16" xfId="3466"/>
    <cellStyle name="Separador de milhares 10 16 2" xfId="6120"/>
    <cellStyle name="Separador de milhares 10 17" xfId="5856"/>
    <cellStyle name="Separador de milhares 10 2" xfId="2961"/>
    <cellStyle name="Separador de milhares 10 2 2" xfId="3479"/>
    <cellStyle name="Separador de milhares 10 2 2 2" xfId="6133"/>
    <cellStyle name="Separador de milhares 10 2 3" xfId="3478"/>
    <cellStyle name="Separador de milhares 10 2 3 2" xfId="6132"/>
    <cellStyle name="Separador de milhares 10 2 4" xfId="5862"/>
    <cellStyle name="Separador de milhares 10 3" xfId="2962"/>
    <cellStyle name="Separador de milhares 10 3 2" xfId="3481"/>
    <cellStyle name="Separador de milhares 10 3 2 2" xfId="6135"/>
    <cellStyle name="Separador de milhares 10 3 3" xfId="3480"/>
    <cellStyle name="Separador de milhares 10 3 3 2" xfId="6134"/>
    <cellStyle name="Separador de milhares 10 3 4" xfId="5863"/>
    <cellStyle name="Separador de milhares 10 4" xfId="2963"/>
    <cellStyle name="Separador de milhares 10 4 2" xfId="3483"/>
    <cellStyle name="Separador de milhares 10 4 2 2" xfId="6137"/>
    <cellStyle name="Separador de milhares 10 4 3" xfId="3482"/>
    <cellStyle name="Separador de milhares 10 4 3 2" xfId="6136"/>
    <cellStyle name="Separador de milhares 10 4 4" xfId="5864"/>
    <cellStyle name="Separador de milhares 10 5" xfId="2964"/>
    <cellStyle name="Separador de milhares 10 5 2" xfId="3485"/>
    <cellStyle name="Separador de milhares 10 5 2 2" xfId="6139"/>
    <cellStyle name="Separador de milhares 10 5 3" xfId="3484"/>
    <cellStyle name="Separador de milhares 10 5 3 2" xfId="6138"/>
    <cellStyle name="Separador de milhares 10 5 4" xfId="5865"/>
    <cellStyle name="Separador de milhares 10 6" xfId="2965"/>
    <cellStyle name="Separador de milhares 10 6 2" xfId="3487"/>
    <cellStyle name="Separador de milhares 10 6 2 2" xfId="6141"/>
    <cellStyle name="Separador de milhares 10 6 3" xfId="3486"/>
    <cellStyle name="Separador de milhares 10 6 3 2" xfId="6140"/>
    <cellStyle name="Separador de milhares 10 6 4" xfId="5866"/>
    <cellStyle name="Separador de milhares 10 7" xfId="2966"/>
    <cellStyle name="Separador de milhares 10 7 2" xfId="3489"/>
    <cellStyle name="Separador de milhares 10 7 2 2" xfId="6143"/>
    <cellStyle name="Separador de milhares 10 7 3" xfId="3488"/>
    <cellStyle name="Separador de milhares 10 7 3 2" xfId="6142"/>
    <cellStyle name="Separador de milhares 10 7 4" xfId="5867"/>
    <cellStyle name="Separador de milhares 10 8" xfId="2967"/>
    <cellStyle name="Separador de milhares 10 8 2" xfId="3491"/>
    <cellStyle name="Separador de milhares 10 8 2 2" xfId="6145"/>
    <cellStyle name="Separador de milhares 10 8 3" xfId="3490"/>
    <cellStyle name="Separador de milhares 10 8 3 2" xfId="6144"/>
    <cellStyle name="Separador de milhares 10 8 4" xfId="5868"/>
    <cellStyle name="Separador de milhares 10 9" xfId="2968"/>
    <cellStyle name="Separador de milhares 10 9 2" xfId="3493"/>
    <cellStyle name="Separador de milhares 10 9 2 2" xfId="6147"/>
    <cellStyle name="Separador de milhares 10 9 3" xfId="3492"/>
    <cellStyle name="Separador de milhares 10 9 3 2" xfId="6146"/>
    <cellStyle name="Separador de milhares 10 9 4" xfId="5869"/>
    <cellStyle name="Separador de milhares 100" xfId="2969"/>
    <cellStyle name="Separador de milhares 100 2" xfId="3495"/>
    <cellStyle name="Separador de milhares 100 2 2" xfId="6149"/>
    <cellStyle name="Separador de milhares 100 3" xfId="3494"/>
    <cellStyle name="Separador de milhares 100 3 2" xfId="6148"/>
    <cellStyle name="Separador de milhares 100 4" xfId="5870"/>
    <cellStyle name="Separador de milhares 101" xfId="2970"/>
    <cellStyle name="Separador de milhares 101 2" xfId="3497"/>
    <cellStyle name="Separador de milhares 101 2 2" xfId="6151"/>
    <cellStyle name="Separador de milhares 101 3" xfId="3496"/>
    <cellStyle name="Separador de milhares 101 3 2" xfId="6150"/>
    <cellStyle name="Separador de milhares 101 4" xfId="5871"/>
    <cellStyle name="Separador de milhares 102" xfId="2971"/>
    <cellStyle name="Separador de milhares 102 2" xfId="3499"/>
    <cellStyle name="Separador de milhares 102 2 2" xfId="6153"/>
    <cellStyle name="Separador de milhares 102 3" xfId="3498"/>
    <cellStyle name="Separador de milhares 102 3 2" xfId="6152"/>
    <cellStyle name="Separador de milhares 102 4" xfId="5872"/>
    <cellStyle name="Separador de milhares 103" xfId="2972"/>
    <cellStyle name="Separador de milhares 103 2" xfId="3501"/>
    <cellStyle name="Separador de milhares 103 2 2" xfId="6155"/>
    <cellStyle name="Separador de milhares 103 3" xfId="3500"/>
    <cellStyle name="Separador de milhares 103 3 2" xfId="6154"/>
    <cellStyle name="Separador de milhares 103 4" xfId="5873"/>
    <cellStyle name="Separador de milhares 104" xfId="2973"/>
    <cellStyle name="Separador de milhares 104 2" xfId="3503"/>
    <cellStyle name="Separador de milhares 104 2 2" xfId="6157"/>
    <cellStyle name="Separador de milhares 104 3" xfId="3502"/>
    <cellStyle name="Separador de milhares 104 3 2" xfId="6156"/>
    <cellStyle name="Separador de milhares 104 4" xfId="5874"/>
    <cellStyle name="Separador de milhares 105" xfId="2974"/>
    <cellStyle name="Separador de milhares 105 2" xfId="3505"/>
    <cellStyle name="Separador de milhares 105 2 2" xfId="6159"/>
    <cellStyle name="Separador de milhares 105 3" xfId="3504"/>
    <cellStyle name="Separador de milhares 105 3 2" xfId="6158"/>
    <cellStyle name="Separador de milhares 105 4" xfId="5875"/>
    <cellStyle name="Separador de milhares 106" xfId="2975"/>
    <cellStyle name="Separador de milhares 106 2" xfId="3507"/>
    <cellStyle name="Separador de milhares 106 2 2" xfId="6161"/>
    <cellStyle name="Separador de milhares 106 3" xfId="3506"/>
    <cellStyle name="Separador de milhares 106 3 2" xfId="6160"/>
    <cellStyle name="Separador de milhares 106 4" xfId="5876"/>
    <cellStyle name="Separador de milhares 107" xfId="2976"/>
    <cellStyle name="Separador de milhares 107 2" xfId="3509"/>
    <cellStyle name="Separador de milhares 107 2 2" xfId="6163"/>
    <cellStyle name="Separador de milhares 107 3" xfId="3508"/>
    <cellStyle name="Separador de milhares 107 3 2" xfId="6162"/>
    <cellStyle name="Separador de milhares 107 4" xfId="5877"/>
    <cellStyle name="Separador de milhares 108" xfId="2977"/>
    <cellStyle name="Separador de milhares 108 2" xfId="3511"/>
    <cellStyle name="Separador de milhares 108 2 2" xfId="6165"/>
    <cellStyle name="Separador de milhares 108 3" xfId="3510"/>
    <cellStyle name="Separador de milhares 108 3 2" xfId="6164"/>
    <cellStyle name="Separador de milhares 108 4" xfId="5878"/>
    <cellStyle name="Separador de milhares 109" xfId="2978"/>
    <cellStyle name="Separador de milhares 109 2" xfId="3513"/>
    <cellStyle name="Separador de milhares 109 2 2" xfId="6167"/>
    <cellStyle name="Separador de milhares 109 3" xfId="3512"/>
    <cellStyle name="Separador de milhares 109 3 2" xfId="6166"/>
    <cellStyle name="Separador de milhares 109 4" xfId="5879"/>
    <cellStyle name="Separador de milhares 11" xfId="2979"/>
    <cellStyle name="Separador de milhares 11 2" xfId="2980"/>
    <cellStyle name="Separador de milhares 11 2 2" xfId="3516"/>
    <cellStyle name="Separador de milhares 11 2 2 2" xfId="6170"/>
    <cellStyle name="Separador de milhares 11 2 3" xfId="3515"/>
    <cellStyle name="Separador de milhares 11 2 3 2" xfId="6169"/>
    <cellStyle name="Separador de milhares 11 2 4" xfId="5881"/>
    <cellStyle name="Separador de milhares 11 3" xfId="3517"/>
    <cellStyle name="Separador de milhares 11 3 2" xfId="6171"/>
    <cellStyle name="Separador de milhares 11 4" xfId="3514"/>
    <cellStyle name="Separador de milhares 11 4 2" xfId="6168"/>
    <cellStyle name="Separador de milhares 11 5" xfId="5880"/>
    <cellStyle name="Separador de milhares 110" xfId="2981"/>
    <cellStyle name="Separador de milhares 110 2" xfId="3519"/>
    <cellStyle name="Separador de milhares 110 2 2" xfId="6173"/>
    <cellStyle name="Separador de milhares 110 3" xfId="3518"/>
    <cellStyle name="Separador de milhares 110 3 2" xfId="6172"/>
    <cellStyle name="Separador de milhares 110 4" xfId="5882"/>
    <cellStyle name="Separador de milhares 111" xfId="2982"/>
    <cellStyle name="Separador de milhares 111 2" xfId="3521"/>
    <cellStyle name="Separador de milhares 111 2 2" xfId="6175"/>
    <cellStyle name="Separador de milhares 111 3" xfId="3520"/>
    <cellStyle name="Separador de milhares 111 3 2" xfId="6174"/>
    <cellStyle name="Separador de milhares 111 4" xfId="5883"/>
    <cellStyle name="Separador de milhares 112" xfId="2983"/>
    <cellStyle name="Separador de milhares 112 2" xfId="3523"/>
    <cellStyle name="Separador de milhares 112 2 2" xfId="6177"/>
    <cellStyle name="Separador de milhares 112 3" xfId="3522"/>
    <cellStyle name="Separador de milhares 112 3 2" xfId="6176"/>
    <cellStyle name="Separador de milhares 112 4" xfId="5884"/>
    <cellStyle name="Separador de milhares 113" xfId="2984"/>
    <cellStyle name="Separador de milhares 113 2" xfId="3525"/>
    <cellStyle name="Separador de milhares 113 2 2" xfId="6179"/>
    <cellStyle name="Separador de milhares 113 3" xfId="3524"/>
    <cellStyle name="Separador de milhares 113 3 2" xfId="6178"/>
    <cellStyle name="Separador de milhares 113 4" xfId="5885"/>
    <cellStyle name="Separador de milhares 114" xfId="2985"/>
    <cellStyle name="Separador de milhares 114 2" xfId="3527"/>
    <cellStyle name="Separador de milhares 114 2 2" xfId="6181"/>
    <cellStyle name="Separador de milhares 114 3" xfId="3526"/>
    <cellStyle name="Separador de milhares 114 3 2" xfId="6180"/>
    <cellStyle name="Separador de milhares 114 4" xfId="5886"/>
    <cellStyle name="Separador de milhares 115" xfId="2986"/>
    <cellStyle name="Separador de milhares 115 2" xfId="3529"/>
    <cellStyle name="Separador de milhares 115 2 2" xfId="6183"/>
    <cellStyle name="Separador de milhares 115 3" xfId="3528"/>
    <cellStyle name="Separador de milhares 115 3 2" xfId="6182"/>
    <cellStyle name="Separador de milhares 115 4" xfId="5887"/>
    <cellStyle name="Separador de milhares 116" xfId="2987"/>
    <cellStyle name="Separador de milhares 116 2" xfId="3531"/>
    <cellStyle name="Separador de milhares 116 2 2" xfId="6185"/>
    <cellStyle name="Separador de milhares 116 3" xfId="3530"/>
    <cellStyle name="Separador de milhares 116 3 2" xfId="6184"/>
    <cellStyle name="Separador de milhares 116 4" xfId="5888"/>
    <cellStyle name="Separador de milhares 117" xfId="2988"/>
    <cellStyle name="Separador de milhares 117 2" xfId="3533"/>
    <cellStyle name="Separador de milhares 117 2 2" xfId="6187"/>
    <cellStyle name="Separador de milhares 117 3" xfId="3532"/>
    <cellStyle name="Separador de milhares 117 3 2" xfId="6186"/>
    <cellStyle name="Separador de milhares 117 4" xfId="5889"/>
    <cellStyle name="Separador de milhares 118" xfId="2989"/>
    <cellStyle name="Separador de milhares 118 2" xfId="3535"/>
    <cellStyle name="Separador de milhares 118 2 2" xfId="6189"/>
    <cellStyle name="Separador de milhares 118 3" xfId="3534"/>
    <cellStyle name="Separador de milhares 118 3 2" xfId="6188"/>
    <cellStyle name="Separador de milhares 118 4" xfId="5890"/>
    <cellStyle name="Separador de milhares 119" xfId="2990"/>
    <cellStyle name="Separador de milhares 119 2" xfId="3537"/>
    <cellStyle name="Separador de milhares 119 2 2" xfId="6191"/>
    <cellStyle name="Separador de milhares 119 3" xfId="3536"/>
    <cellStyle name="Separador de milhares 119 3 2" xfId="6190"/>
    <cellStyle name="Separador de milhares 119 4" xfId="5891"/>
    <cellStyle name="Separador de milhares 12" xfId="2991"/>
    <cellStyle name="Separador de milhares 12 2" xfId="2992"/>
    <cellStyle name="Separador de milhares 12 2 2" xfId="3540"/>
    <cellStyle name="Separador de milhares 12 2 2 2" xfId="6194"/>
    <cellStyle name="Separador de milhares 12 2 3" xfId="3539"/>
    <cellStyle name="Separador de milhares 12 2 3 2" xfId="6193"/>
    <cellStyle name="Separador de milhares 12 2 4" xfId="5893"/>
    <cellStyle name="Separador de milhares 12 3" xfId="3541"/>
    <cellStyle name="Separador de milhares 12 3 2" xfId="6195"/>
    <cellStyle name="Separador de milhares 12 4" xfId="3538"/>
    <cellStyle name="Separador de milhares 12 4 2" xfId="6192"/>
    <cellStyle name="Separador de milhares 12 5" xfId="5892"/>
    <cellStyle name="Separador de milhares 120" xfId="2993"/>
    <cellStyle name="Separador de milhares 120 2" xfId="3543"/>
    <cellStyle name="Separador de milhares 120 2 2" xfId="6197"/>
    <cellStyle name="Separador de milhares 120 3" xfId="3542"/>
    <cellStyle name="Separador de milhares 120 3 2" xfId="6196"/>
    <cellStyle name="Separador de milhares 120 4" xfId="5894"/>
    <cellStyle name="Separador de milhares 121" xfId="2994"/>
    <cellStyle name="Separador de milhares 121 2" xfId="3545"/>
    <cellStyle name="Separador de milhares 121 2 2" xfId="6199"/>
    <cellStyle name="Separador de milhares 121 3" xfId="3544"/>
    <cellStyle name="Separador de milhares 121 3 2" xfId="6198"/>
    <cellStyle name="Separador de milhares 121 4" xfId="5895"/>
    <cellStyle name="Separador de milhares 122" xfId="2995"/>
    <cellStyle name="Separador de milhares 122 2" xfId="3547"/>
    <cellStyle name="Separador de milhares 122 2 2" xfId="6201"/>
    <cellStyle name="Separador de milhares 122 3" xfId="3546"/>
    <cellStyle name="Separador de milhares 122 3 2" xfId="6200"/>
    <cellStyle name="Separador de milhares 122 4" xfId="5896"/>
    <cellStyle name="Separador de milhares 123" xfId="2996"/>
    <cellStyle name="Separador de milhares 123 2" xfId="3549"/>
    <cellStyle name="Separador de milhares 123 2 2" xfId="6203"/>
    <cellStyle name="Separador de milhares 123 3" xfId="3548"/>
    <cellStyle name="Separador de milhares 123 3 2" xfId="6202"/>
    <cellStyle name="Separador de milhares 123 4" xfId="5897"/>
    <cellStyle name="Separador de milhares 124" xfId="2997"/>
    <cellStyle name="Separador de milhares 124 2" xfId="3551"/>
    <cellStyle name="Separador de milhares 124 2 2" xfId="6205"/>
    <cellStyle name="Separador de milhares 124 3" xfId="3550"/>
    <cellStyle name="Separador de milhares 124 3 2" xfId="6204"/>
    <cellStyle name="Separador de milhares 124 4" xfId="5898"/>
    <cellStyle name="Separador de milhares 125" xfId="2998"/>
    <cellStyle name="Separador de milhares 125 2" xfId="3553"/>
    <cellStyle name="Separador de milhares 125 2 2" xfId="6207"/>
    <cellStyle name="Separador de milhares 125 3" xfId="3552"/>
    <cellStyle name="Separador de milhares 125 3 2" xfId="6206"/>
    <cellStyle name="Separador de milhares 125 4" xfId="5899"/>
    <cellStyle name="Separador de milhares 126" xfId="2999"/>
    <cellStyle name="Separador de milhares 126 2" xfId="3555"/>
    <cellStyle name="Separador de milhares 126 2 2" xfId="6209"/>
    <cellStyle name="Separador de milhares 126 3" xfId="3554"/>
    <cellStyle name="Separador de milhares 126 3 2" xfId="6208"/>
    <cellStyle name="Separador de milhares 126 4" xfId="5900"/>
    <cellStyle name="Separador de milhares 127" xfId="3000"/>
    <cellStyle name="Separador de milhares 127 2" xfId="3557"/>
    <cellStyle name="Separador de milhares 127 2 2" xfId="6211"/>
    <cellStyle name="Separador de milhares 127 3" xfId="3556"/>
    <cellStyle name="Separador de milhares 127 3 2" xfId="6210"/>
    <cellStyle name="Separador de milhares 127 4" xfId="5901"/>
    <cellStyle name="Separador de milhares 128" xfId="3001"/>
    <cellStyle name="Separador de milhares 128 2" xfId="3559"/>
    <cellStyle name="Separador de milhares 128 2 2" xfId="6213"/>
    <cellStyle name="Separador de milhares 128 3" xfId="3558"/>
    <cellStyle name="Separador de milhares 128 3 2" xfId="6212"/>
    <cellStyle name="Separador de milhares 128 4" xfId="5902"/>
    <cellStyle name="Separador de milhares 129" xfId="3002"/>
    <cellStyle name="Separador de milhares 129 2" xfId="3561"/>
    <cellStyle name="Separador de milhares 129 2 2" xfId="6215"/>
    <cellStyle name="Separador de milhares 129 3" xfId="3560"/>
    <cellStyle name="Separador de milhares 129 3 2" xfId="6214"/>
    <cellStyle name="Separador de milhares 129 4" xfId="5903"/>
    <cellStyle name="Separador de milhares 13" xfId="3003"/>
    <cellStyle name="Separador de milhares 13 2" xfId="3004"/>
    <cellStyle name="Separador de milhares 13 2 2" xfId="3564"/>
    <cellStyle name="Separador de milhares 13 2 2 2" xfId="6218"/>
    <cellStyle name="Separador de milhares 13 2 3" xfId="3563"/>
    <cellStyle name="Separador de milhares 13 2 3 2" xfId="6217"/>
    <cellStyle name="Separador de milhares 13 2 4" xfId="5905"/>
    <cellStyle name="Separador de milhares 13 3" xfId="3565"/>
    <cellStyle name="Separador de milhares 13 3 2" xfId="6219"/>
    <cellStyle name="Separador de milhares 13 4" xfId="3562"/>
    <cellStyle name="Separador de milhares 13 4 2" xfId="6216"/>
    <cellStyle name="Separador de milhares 13 5" xfId="5904"/>
    <cellStyle name="Separador de milhares 130" xfId="3005"/>
    <cellStyle name="Separador de milhares 130 2" xfId="3567"/>
    <cellStyle name="Separador de milhares 130 2 2" xfId="6221"/>
    <cellStyle name="Separador de milhares 130 3" xfId="3566"/>
    <cellStyle name="Separador de milhares 130 3 2" xfId="6220"/>
    <cellStyle name="Separador de milhares 130 4" xfId="5906"/>
    <cellStyle name="Separador de milhares 131" xfId="3006"/>
    <cellStyle name="Separador de milhares 131 2" xfId="3569"/>
    <cellStyle name="Separador de milhares 131 2 2" xfId="6223"/>
    <cellStyle name="Separador de milhares 131 3" xfId="3568"/>
    <cellStyle name="Separador de milhares 131 3 2" xfId="6222"/>
    <cellStyle name="Separador de milhares 131 4" xfId="5907"/>
    <cellStyle name="Separador de milhares 132" xfId="3007"/>
    <cellStyle name="Separador de milhares 132 2" xfId="3571"/>
    <cellStyle name="Separador de milhares 132 2 2" xfId="6225"/>
    <cellStyle name="Separador de milhares 132 3" xfId="3570"/>
    <cellStyle name="Separador de milhares 132 3 2" xfId="6224"/>
    <cellStyle name="Separador de milhares 132 4" xfId="5908"/>
    <cellStyle name="Separador de milhares 133" xfId="3008"/>
    <cellStyle name="Separador de milhares 133 2" xfId="3573"/>
    <cellStyle name="Separador de milhares 133 2 2" xfId="6227"/>
    <cellStyle name="Separador de milhares 133 3" xfId="3572"/>
    <cellStyle name="Separador de milhares 133 3 2" xfId="6226"/>
    <cellStyle name="Separador de milhares 133 4" xfId="5909"/>
    <cellStyle name="Separador de milhares 134" xfId="3009"/>
    <cellStyle name="Separador de milhares 134 2" xfId="3575"/>
    <cellStyle name="Separador de milhares 134 2 2" xfId="6229"/>
    <cellStyle name="Separador de milhares 134 3" xfId="3574"/>
    <cellStyle name="Separador de milhares 134 3 2" xfId="6228"/>
    <cellStyle name="Separador de milhares 134 4" xfId="5910"/>
    <cellStyle name="Separador de milhares 135" xfId="3010"/>
    <cellStyle name="Separador de milhares 135 2" xfId="3577"/>
    <cellStyle name="Separador de milhares 135 2 2" xfId="6231"/>
    <cellStyle name="Separador de milhares 135 3" xfId="3576"/>
    <cellStyle name="Separador de milhares 135 3 2" xfId="6230"/>
    <cellStyle name="Separador de milhares 135 4" xfId="5911"/>
    <cellStyle name="Separador de milhares 136" xfId="3011"/>
    <cellStyle name="Separador de milhares 136 2" xfId="3579"/>
    <cellStyle name="Separador de milhares 136 2 2" xfId="6233"/>
    <cellStyle name="Separador de milhares 136 3" xfId="3578"/>
    <cellStyle name="Separador de milhares 136 3 2" xfId="6232"/>
    <cellStyle name="Separador de milhares 136 4" xfId="5912"/>
    <cellStyle name="Separador de milhares 137" xfId="3012"/>
    <cellStyle name="Separador de milhares 137 2" xfId="3581"/>
    <cellStyle name="Separador de milhares 137 2 2" xfId="6235"/>
    <cellStyle name="Separador de milhares 137 3" xfId="3580"/>
    <cellStyle name="Separador de milhares 137 3 2" xfId="6234"/>
    <cellStyle name="Separador de milhares 137 4" xfId="5913"/>
    <cellStyle name="Separador de milhares 138" xfId="3013"/>
    <cellStyle name="Separador de milhares 138 2" xfId="3583"/>
    <cellStyle name="Separador de milhares 138 2 2" xfId="6237"/>
    <cellStyle name="Separador de milhares 138 3" xfId="3582"/>
    <cellStyle name="Separador de milhares 138 3 2" xfId="6236"/>
    <cellStyle name="Separador de milhares 138 4" xfId="5914"/>
    <cellStyle name="Separador de milhares 139" xfId="3014"/>
    <cellStyle name="Separador de milhares 139 2" xfId="3585"/>
    <cellStyle name="Separador de milhares 139 2 2" xfId="6239"/>
    <cellStyle name="Separador de milhares 139 3" xfId="3584"/>
    <cellStyle name="Separador de milhares 139 3 2" xfId="6238"/>
    <cellStyle name="Separador de milhares 139 4" xfId="5915"/>
    <cellStyle name="Separador de milhares 14" xfId="3015"/>
    <cellStyle name="Separador de milhares 14 2" xfId="3016"/>
    <cellStyle name="Separador de milhares 14 2 2" xfId="3588"/>
    <cellStyle name="Separador de milhares 14 2 2 2" xfId="6242"/>
    <cellStyle name="Separador de milhares 14 2 3" xfId="3587"/>
    <cellStyle name="Separador de milhares 14 2 3 2" xfId="6241"/>
    <cellStyle name="Separador de milhares 14 2 4" xfId="5917"/>
    <cellStyle name="Separador de milhares 14 3" xfId="3589"/>
    <cellStyle name="Separador de milhares 14 3 2" xfId="6243"/>
    <cellStyle name="Separador de milhares 14 4" xfId="3586"/>
    <cellStyle name="Separador de milhares 14 4 2" xfId="6240"/>
    <cellStyle name="Separador de milhares 14 5" xfId="5916"/>
    <cellStyle name="Separador de milhares 140" xfId="3017"/>
    <cellStyle name="Separador de milhares 140 2" xfId="3591"/>
    <cellStyle name="Separador de milhares 140 2 2" xfId="6245"/>
    <cellStyle name="Separador de milhares 140 3" xfId="3590"/>
    <cellStyle name="Separador de milhares 140 3 2" xfId="6244"/>
    <cellStyle name="Separador de milhares 140 4" xfId="5918"/>
    <cellStyle name="Separador de milhares 141" xfId="3018"/>
    <cellStyle name="Separador de milhares 141 2" xfId="3593"/>
    <cellStyle name="Separador de milhares 141 2 2" xfId="6247"/>
    <cellStyle name="Separador de milhares 141 3" xfId="3592"/>
    <cellStyle name="Separador de milhares 141 3 2" xfId="6246"/>
    <cellStyle name="Separador de milhares 141 4" xfId="5919"/>
    <cellStyle name="Separador de milhares 142" xfId="3019"/>
    <cellStyle name="Separador de milhares 142 2" xfId="3595"/>
    <cellStyle name="Separador de milhares 142 2 2" xfId="6249"/>
    <cellStyle name="Separador de milhares 142 3" xfId="3594"/>
    <cellStyle name="Separador de milhares 142 3 2" xfId="6248"/>
    <cellStyle name="Separador de milhares 142 4" xfId="5920"/>
    <cellStyle name="Separador de milhares 143" xfId="3020"/>
    <cellStyle name="Separador de milhares 143 2" xfId="3597"/>
    <cellStyle name="Separador de milhares 143 2 2" xfId="6251"/>
    <cellStyle name="Separador de milhares 143 3" xfId="3596"/>
    <cellStyle name="Separador de milhares 143 3 2" xfId="6250"/>
    <cellStyle name="Separador de milhares 143 4" xfId="5921"/>
    <cellStyle name="Separador de milhares 144" xfId="3021"/>
    <cellStyle name="Separador de milhares 144 2" xfId="3599"/>
    <cellStyle name="Separador de milhares 144 2 2" xfId="6253"/>
    <cellStyle name="Separador de milhares 144 3" xfId="3598"/>
    <cellStyle name="Separador de milhares 144 3 2" xfId="6252"/>
    <cellStyle name="Separador de milhares 144 4" xfId="5922"/>
    <cellStyle name="Separador de milhares 145" xfId="3022"/>
    <cellStyle name="Separador de milhares 145 2" xfId="3601"/>
    <cellStyle name="Separador de milhares 145 2 2" xfId="6255"/>
    <cellStyle name="Separador de milhares 145 3" xfId="3600"/>
    <cellStyle name="Separador de milhares 145 3 2" xfId="6254"/>
    <cellStyle name="Separador de milhares 145 4" xfId="5923"/>
    <cellStyle name="Separador de milhares 146" xfId="3023"/>
    <cellStyle name="Separador de milhares 146 2" xfId="3603"/>
    <cellStyle name="Separador de milhares 146 2 2" xfId="6257"/>
    <cellStyle name="Separador de milhares 146 3" xfId="3602"/>
    <cellStyle name="Separador de milhares 146 3 2" xfId="6256"/>
    <cellStyle name="Separador de milhares 146 4" xfId="5924"/>
    <cellStyle name="Separador de milhares 147" xfId="3024"/>
    <cellStyle name="Separador de milhares 147 2" xfId="3605"/>
    <cellStyle name="Separador de milhares 147 2 2" xfId="6259"/>
    <cellStyle name="Separador de milhares 147 3" xfId="3604"/>
    <cellStyle name="Separador de milhares 147 3 2" xfId="6258"/>
    <cellStyle name="Separador de milhares 147 4" xfId="5925"/>
    <cellStyle name="Separador de milhares 148" xfId="3025"/>
    <cellStyle name="Separador de milhares 148 2" xfId="3607"/>
    <cellStyle name="Separador de milhares 148 2 2" xfId="6261"/>
    <cellStyle name="Separador de milhares 148 3" xfId="3606"/>
    <cellStyle name="Separador de milhares 148 3 2" xfId="6260"/>
    <cellStyle name="Separador de milhares 148 4" xfId="5926"/>
    <cellStyle name="Separador de milhares 149" xfId="3026"/>
    <cellStyle name="Separador de milhares 149 2" xfId="3609"/>
    <cellStyle name="Separador de milhares 149 2 2" xfId="6263"/>
    <cellStyle name="Separador de milhares 149 3" xfId="3608"/>
    <cellStyle name="Separador de milhares 149 3 2" xfId="6262"/>
    <cellStyle name="Separador de milhares 149 4" xfId="5927"/>
    <cellStyle name="Separador de milhares 15" xfId="3027"/>
    <cellStyle name="Separador de milhares 15 2" xfId="3028"/>
    <cellStyle name="Separador de milhares 15 2 2" xfId="3612"/>
    <cellStyle name="Separador de milhares 15 2 2 2" xfId="6266"/>
    <cellStyle name="Separador de milhares 15 2 3" xfId="3611"/>
    <cellStyle name="Separador de milhares 15 2 3 2" xfId="6265"/>
    <cellStyle name="Separador de milhares 15 2 4" xfId="5929"/>
    <cellStyle name="Separador de milhares 15 3" xfId="3613"/>
    <cellStyle name="Separador de milhares 15 3 2" xfId="6267"/>
    <cellStyle name="Separador de milhares 15 4" xfId="3610"/>
    <cellStyle name="Separador de milhares 15 4 2" xfId="6264"/>
    <cellStyle name="Separador de milhares 15 5" xfId="5928"/>
    <cellStyle name="Separador de milhares 150" xfId="3029"/>
    <cellStyle name="Separador de milhares 150 2" xfId="3615"/>
    <cellStyle name="Separador de milhares 150 2 2" xfId="6269"/>
    <cellStyle name="Separador de milhares 150 3" xfId="3614"/>
    <cellStyle name="Separador de milhares 150 3 2" xfId="6268"/>
    <cellStyle name="Separador de milhares 150 4" xfId="5930"/>
    <cellStyle name="Separador de milhares 151" xfId="3030"/>
    <cellStyle name="Separador de milhares 151 2" xfId="3617"/>
    <cellStyle name="Separador de milhares 151 2 2" xfId="6271"/>
    <cellStyle name="Separador de milhares 151 3" xfId="3616"/>
    <cellStyle name="Separador de milhares 151 3 2" xfId="6270"/>
    <cellStyle name="Separador de milhares 151 4" xfId="5931"/>
    <cellStyle name="Separador de milhares 152" xfId="3031"/>
    <cellStyle name="Separador de milhares 152 2" xfId="3619"/>
    <cellStyle name="Separador de milhares 152 2 2" xfId="6273"/>
    <cellStyle name="Separador de milhares 152 3" xfId="3618"/>
    <cellStyle name="Separador de milhares 152 3 2" xfId="6272"/>
    <cellStyle name="Separador de milhares 152 4" xfId="5932"/>
    <cellStyle name="Separador de milhares 153" xfId="3032"/>
    <cellStyle name="Separador de milhares 153 2" xfId="3621"/>
    <cellStyle name="Separador de milhares 153 2 2" xfId="6275"/>
    <cellStyle name="Separador de milhares 153 3" xfId="3620"/>
    <cellStyle name="Separador de milhares 153 3 2" xfId="6274"/>
    <cellStyle name="Separador de milhares 153 4" xfId="5933"/>
    <cellStyle name="Separador de milhares 154" xfId="3033"/>
    <cellStyle name="Separador de milhares 154 2" xfId="3623"/>
    <cellStyle name="Separador de milhares 154 2 2" xfId="6277"/>
    <cellStyle name="Separador de milhares 154 3" xfId="3622"/>
    <cellStyle name="Separador de milhares 154 3 2" xfId="6276"/>
    <cellStyle name="Separador de milhares 154 4" xfId="5934"/>
    <cellStyle name="Separador de milhares 155" xfId="3034"/>
    <cellStyle name="Separador de milhares 155 2" xfId="3625"/>
    <cellStyle name="Separador de milhares 155 2 2" xfId="6279"/>
    <cellStyle name="Separador de milhares 155 3" xfId="3624"/>
    <cellStyle name="Separador de milhares 155 3 2" xfId="6278"/>
    <cellStyle name="Separador de milhares 155 4" xfId="5935"/>
    <cellStyle name="Separador de milhares 156" xfId="3035"/>
    <cellStyle name="Separador de milhares 156 2" xfId="3627"/>
    <cellStyle name="Separador de milhares 156 2 2" xfId="6281"/>
    <cellStyle name="Separador de milhares 156 3" xfId="3626"/>
    <cellStyle name="Separador de milhares 156 3 2" xfId="6280"/>
    <cellStyle name="Separador de milhares 156 4" xfId="5936"/>
    <cellStyle name="Separador de milhares 157" xfId="3036"/>
    <cellStyle name="Separador de milhares 157 2" xfId="3629"/>
    <cellStyle name="Separador de milhares 157 2 2" xfId="6283"/>
    <cellStyle name="Separador de milhares 157 3" xfId="3628"/>
    <cellStyle name="Separador de milhares 157 3 2" xfId="6282"/>
    <cellStyle name="Separador de milhares 157 4" xfId="5937"/>
    <cellStyle name="Separador de milhares 158" xfId="3037"/>
    <cellStyle name="Separador de milhares 158 2" xfId="3631"/>
    <cellStyle name="Separador de milhares 158 2 2" xfId="6285"/>
    <cellStyle name="Separador de milhares 158 3" xfId="3630"/>
    <cellStyle name="Separador de milhares 158 3 2" xfId="6284"/>
    <cellStyle name="Separador de milhares 158 4" xfId="5938"/>
    <cellStyle name="Separador de milhares 159" xfId="3038"/>
    <cellStyle name="Separador de milhares 159 2" xfId="3633"/>
    <cellStyle name="Separador de milhares 159 2 2" xfId="6287"/>
    <cellStyle name="Separador de milhares 159 3" xfId="3632"/>
    <cellStyle name="Separador de milhares 159 3 2" xfId="6286"/>
    <cellStyle name="Separador de milhares 159 4" xfId="5939"/>
    <cellStyle name="Separador de milhares 16" xfId="3039"/>
    <cellStyle name="Separador de milhares 16 2" xfId="3040"/>
    <cellStyle name="Separador de milhares 16 2 2" xfId="3636"/>
    <cellStyle name="Separador de milhares 16 2 2 2" xfId="6290"/>
    <cellStyle name="Separador de milhares 16 2 3" xfId="3635"/>
    <cellStyle name="Separador de milhares 16 2 3 2" xfId="6289"/>
    <cellStyle name="Separador de milhares 16 2 4" xfId="5941"/>
    <cellStyle name="Separador de milhares 16 3" xfId="3637"/>
    <cellStyle name="Separador de milhares 16 3 2" xfId="6291"/>
    <cellStyle name="Separador de milhares 16 4" xfId="3634"/>
    <cellStyle name="Separador de milhares 16 4 2" xfId="6288"/>
    <cellStyle name="Separador de milhares 16 5" xfId="5940"/>
    <cellStyle name="Separador de milhares 160" xfId="3041"/>
    <cellStyle name="Separador de milhares 160 2" xfId="3639"/>
    <cellStyle name="Separador de milhares 160 2 2" xfId="6293"/>
    <cellStyle name="Separador de milhares 160 3" xfId="3638"/>
    <cellStyle name="Separador de milhares 160 3 2" xfId="6292"/>
    <cellStyle name="Separador de milhares 160 4" xfId="5942"/>
    <cellStyle name="Separador de milhares 161" xfId="3042"/>
    <cellStyle name="Separador de milhares 161 2" xfId="3641"/>
    <cellStyle name="Separador de milhares 161 2 2" xfId="6295"/>
    <cellStyle name="Separador de milhares 161 3" xfId="3640"/>
    <cellStyle name="Separador de milhares 161 3 2" xfId="6294"/>
    <cellStyle name="Separador de milhares 161 4" xfId="5943"/>
    <cellStyle name="Separador de milhares 162" xfId="3043"/>
    <cellStyle name="Separador de milhares 162 2" xfId="3643"/>
    <cellStyle name="Separador de milhares 162 2 2" xfId="6297"/>
    <cellStyle name="Separador de milhares 162 3" xfId="3642"/>
    <cellStyle name="Separador de milhares 162 3 2" xfId="6296"/>
    <cellStyle name="Separador de milhares 162 4" xfId="5944"/>
    <cellStyle name="Separador de milhares 163" xfId="3044"/>
    <cellStyle name="Separador de milhares 163 2" xfId="3645"/>
    <cellStyle name="Separador de milhares 163 2 2" xfId="6299"/>
    <cellStyle name="Separador de milhares 163 3" xfId="3644"/>
    <cellStyle name="Separador de milhares 163 3 2" xfId="6298"/>
    <cellStyle name="Separador de milhares 163 4" xfId="5945"/>
    <cellStyle name="Separador de milhares 164" xfId="3045"/>
    <cellStyle name="Separador de milhares 164 2" xfId="3647"/>
    <cellStyle name="Separador de milhares 164 2 2" xfId="6301"/>
    <cellStyle name="Separador de milhares 164 3" xfId="3646"/>
    <cellStyle name="Separador de milhares 164 3 2" xfId="6300"/>
    <cellStyle name="Separador de milhares 164 4" xfId="5946"/>
    <cellStyle name="Separador de milhares 165" xfId="3046"/>
    <cellStyle name="Separador de milhares 165 2" xfId="3649"/>
    <cellStyle name="Separador de milhares 165 2 2" xfId="6303"/>
    <cellStyle name="Separador de milhares 165 3" xfId="3648"/>
    <cellStyle name="Separador de milhares 165 3 2" xfId="6302"/>
    <cellStyle name="Separador de milhares 165 4" xfId="5947"/>
    <cellStyle name="Separador de milhares 166" xfId="3047"/>
    <cellStyle name="Separador de milhares 166 2" xfId="3651"/>
    <cellStyle name="Separador de milhares 166 2 2" xfId="6305"/>
    <cellStyle name="Separador de milhares 166 3" xfId="3650"/>
    <cellStyle name="Separador de milhares 166 3 2" xfId="6304"/>
    <cellStyle name="Separador de milhares 166 4" xfId="5948"/>
    <cellStyle name="Separador de milhares 167" xfId="3048"/>
    <cellStyle name="Separador de milhares 167 2" xfId="3653"/>
    <cellStyle name="Separador de milhares 167 2 2" xfId="6307"/>
    <cellStyle name="Separador de milhares 167 3" xfId="3652"/>
    <cellStyle name="Separador de milhares 167 3 2" xfId="6306"/>
    <cellStyle name="Separador de milhares 167 4" xfId="5949"/>
    <cellStyle name="Separador de milhares 168" xfId="3049"/>
    <cellStyle name="Separador de milhares 168 2" xfId="3655"/>
    <cellStyle name="Separador de milhares 168 2 2" xfId="6309"/>
    <cellStyle name="Separador de milhares 168 3" xfId="3654"/>
    <cellStyle name="Separador de milhares 168 3 2" xfId="6308"/>
    <cellStyle name="Separador de milhares 168 4" xfId="5950"/>
    <cellStyle name="Separador de milhares 169" xfId="3050"/>
    <cellStyle name="Separador de milhares 169 2" xfId="3657"/>
    <cellStyle name="Separador de milhares 169 2 2" xfId="6311"/>
    <cellStyle name="Separador de milhares 169 3" xfId="3656"/>
    <cellStyle name="Separador de milhares 169 3 2" xfId="6310"/>
    <cellStyle name="Separador de milhares 169 4" xfId="5951"/>
    <cellStyle name="Separador de milhares 17" xfId="3051"/>
    <cellStyle name="Separador de milhares 17 2" xfId="3659"/>
    <cellStyle name="Separador de milhares 17 2 2" xfId="6313"/>
    <cellStyle name="Separador de milhares 17 3" xfId="3658"/>
    <cellStyle name="Separador de milhares 17 3 2" xfId="6312"/>
    <cellStyle name="Separador de milhares 17 4" xfId="5952"/>
    <cellStyle name="Separador de milhares 170" xfId="3052"/>
    <cellStyle name="Separador de milhares 170 2" xfId="3661"/>
    <cellStyle name="Separador de milhares 170 2 2" xfId="6315"/>
    <cellStyle name="Separador de milhares 170 3" xfId="3660"/>
    <cellStyle name="Separador de milhares 170 3 2" xfId="6314"/>
    <cellStyle name="Separador de milhares 170 4" xfId="5953"/>
    <cellStyle name="Separador de milhares 171" xfId="3053"/>
    <cellStyle name="Separador de milhares 171 2" xfId="3663"/>
    <cellStyle name="Separador de milhares 171 2 2" xfId="6317"/>
    <cellStyle name="Separador de milhares 171 3" xfId="3662"/>
    <cellStyle name="Separador de milhares 171 3 2" xfId="6316"/>
    <cellStyle name="Separador de milhares 171 4" xfId="5954"/>
    <cellStyle name="Separador de milhares 172" xfId="3054"/>
    <cellStyle name="Separador de milhares 172 2" xfId="3665"/>
    <cellStyle name="Separador de milhares 172 2 2" xfId="6319"/>
    <cellStyle name="Separador de milhares 172 3" xfId="3664"/>
    <cellStyle name="Separador de milhares 172 3 2" xfId="6318"/>
    <cellStyle name="Separador de milhares 172 4" xfId="5955"/>
    <cellStyle name="Separador de milhares 173" xfId="3055"/>
    <cellStyle name="Separador de milhares 173 2" xfId="3667"/>
    <cellStyle name="Separador de milhares 173 2 2" xfId="6321"/>
    <cellStyle name="Separador de milhares 173 3" xfId="3666"/>
    <cellStyle name="Separador de milhares 173 3 2" xfId="6320"/>
    <cellStyle name="Separador de milhares 173 4" xfId="5956"/>
    <cellStyle name="Separador de milhares 174" xfId="3056"/>
    <cellStyle name="Separador de milhares 174 2" xfId="3669"/>
    <cellStyle name="Separador de milhares 174 2 2" xfId="6323"/>
    <cellStyle name="Separador de milhares 174 3" xfId="3668"/>
    <cellStyle name="Separador de milhares 174 3 2" xfId="6322"/>
    <cellStyle name="Separador de milhares 174 4" xfId="5957"/>
    <cellStyle name="Separador de milhares 175" xfId="3057"/>
    <cellStyle name="Separador de milhares 175 2" xfId="3671"/>
    <cellStyle name="Separador de milhares 175 2 2" xfId="6325"/>
    <cellStyle name="Separador de milhares 175 3" xfId="3670"/>
    <cellStyle name="Separador de milhares 175 3 2" xfId="6324"/>
    <cellStyle name="Separador de milhares 175 4" xfId="5958"/>
    <cellStyle name="Separador de milhares 176" xfId="3058"/>
    <cellStyle name="Separador de milhares 176 2" xfId="3673"/>
    <cellStyle name="Separador de milhares 176 2 2" xfId="6327"/>
    <cellStyle name="Separador de milhares 176 3" xfId="3672"/>
    <cellStyle name="Separador de milhares 176 3 2" xfId="6326"/>
    <cellStyle name="Separador de milhares 176 4" xfId="5959"/>
    <cellStyle name="Separador de milhares 177" xfId="3059"/>
    <cellStyle name="Separador de milhares 177 2" xfId="3675"/>
    <cellStyle name="Separador de milhares 177 2 2" xfId="6329"/>
    <cellStyle name="Separador de milhares 177 3" xfId="3674"/>
    <cellStyle name="Separador de milhares 177 3 2" xfId="6328"/>
    <cellStyle name="Separador de milhares 177 4" xfId="5960"/>
    <cellStyle name="Separador de milhares 178" xfId="3060"/>
    <cellStyle name="Separador de milhares 178 2" xfId="3677"/>
    <cellStyle name="Separador de milhares 178 2 2" xfId="6331"/>
    <cellStyle name="Separador de milhares 178 3" xfId="3676"/>
    <cellStyle name="Separador de milhares 178 3 2" xfId="6330"/>
    <cellStyle name="Separador de milhares 178 4" xfId="5961"/>
    <cellStyle name="Separador de milhares 179" xfId="3061"/>
    <cellStyle name="Separador de milhares 179 2" xfId="3679"/>
    <cellStyle name="Separador de milhares 179 2 2" xfId="6333"/>
    <cellStyle name="Separador de milhares 179 3" xfId="3678"/>
    <cellStyle name="Separador de milhares 179 3 2" xfId="6332"/>
    <cellStyle name="Separador de milhares 179 4" xfId="5962"/>
    <cellStyle name="Separador de milhares 18" xfId="3062"/>
    <cellStyle name="Separador de milhares 18 2" xfId="3063"/>
    <cellStyle name="Separador de milhares 18 2 2" xfId="3682"/>
    <cellStyle name="Separador de milhares 18 2 2 2" xfId="6336"/>
    <cellStyle name="Separador de milhares 18 2 3" xfId="3681"/>
    <cellStyle name="Separador de milhares 18 2 3 2" xfId="6335"/>
    <cellStyle name="Separador de milhares 18 2 4" xfId="5964"/>
    <cellStyle name="Separador de milhares 18 3" xfId="3683"/>
    <cellStyle name="Separador de milhares 18 3 2" xfId="6337"/>
    <cellStyle name="Separador de milhares 18 4" xfId="3680"/>
    <cellStyle name="Separador de milhares 18 4 2" xfId="6334"/>
    <cellStyle name="Separador de milhares 18 5" xfId="5963"/>
    <cellStyle name="Separador de milhares 180" xfId="3064"/>
    <cellStyle name="Separador de milhares 180 2" xfId="3685"/>
    <cellStyle name="Separador de milhares 180 2 2" xfId="6339"/>
    <cellStyle name="Separador de milhares 180 3" xfId="3684"/>
    <cellStyle name="Separador de milhares 180 3 2" xfId="6338"/>
    <cellStyle name="Separador de milhares 180 4" xfId="5965"/>
    <cellStyle name="Separador de milhares 181" xfId="3065"/>
    <cellStyle name="Separador de milhares 181 2" xfId="3687"/>
    <cellStyle name="Separador de milhares 181 2 2" xfId="6341"/>
    <cellStyle name="Separador de milhares 181 3" xfId="3686"/>
    <cellStyle name="Separador de milhares 181 3 2" xfId="6340"/>
    <cellStyle name="Separador de milhares 181 4" xfId="5966"/>
    <cellStyle name="Separador de milhares 182" xfId="3066"/>
    <cellStyle name="Separador de milhares 182 2" xfId="3689"/>
    <cellStyle name="Separador de milhares 182 2 2" xfId="6343"/>
    <cellStyle name="Separador de milhares 182 3" xfId="3688"/>
    <cellStyle name="Separador de milhares 182 3 2" xfId="6342"/>
    <cellStyle name="Separador de milhares 182 4" xfId="5967"/>
    <cellStyle name="Separador de milhares 183" xfId="3067"/>
    <cellStyle name="Separador de milhares 183 2" xfId="3691"/>
    <cellStyle name="Separador de milhares 183 2 2" xfId="6345"/>
    <cellStyle name="Separador de milhares 183 3" xfId="3690"/>
    <cellStyle name="Separador de milhares 183 3 2" xfId="6344"/>
    <cellStyle name="Separador de milhares 183 4" xfId="5968"/>
    <cellStyle name="Separador de milhares 184" xfId="3389"/>
    <cellStyle name="Separador de milhares 184 2" xfId="3693"/>
    <cellStyle name="Separador de milhares 184 3" xfId="3692"/>
    <cellStyle name="Separador de milhares 184 4" xfId="6098"/>
    <cellStyle name="Separador de milhares 185" xfId="3068"/>
    <cellStyle name="Separador de milhares 185 2" xfId="3695"/>
    <cellStyle name="Separador de milhares 185 2 2" xfId="6347"/>
    <cellStyle name="Separador de milhares 185 3" xfId="3694"/>
    <cellStyle name="Separador de milhares 185 3 2" xfId="6346"/>
    <cellStyle name="Separador de milhares 185 4" xfId="5969"/>
    <cellStyle name="Separador de milhares 186" xfId="3390"/>
    <cellStyle name="Separador de milhares 187" xfId="3392"/>
    <cellStyle name="Separador de milhares 187 2" xfId="6099"/>
    <cellStyle name="Separador de milhares 19" xfId="3069"/>
    <cellStyle name="Separador de milhares 19 2" xfId="3070"/>
    <cellStyle name="Separador de milhares 19 2 2" xfId="3698"/>
    <cellStyle name="Separador de milhares 19 2 2 2" xfId="6350"/>
    <cellStyle name="Separador de milhares 19 2 3" xfId="3697"/>
    <cellStyle name="Separador de milhares 19 2 3 2" xfId="6349"/>
    <cellStyle name="Separador de milhares 19 2 4" xfId="5971"/>
    <cellStyle name="Separador de milhares 19 3" xfId="3699"/>
    <cellStyle name="Separador de milhares 19 3 2" xfId="6351"/>
    <cellStyle name="Separador de milhares 19 4" xfId="3696"/>
    <cellStyle name="Separador de milhares 19 4 2" xfId="6348"/>
    <cellStyle name="Separador de milhares 19 5" xfId="5970"/>
    <cellStyle name="Separador de milhares 2" xfId="44"/>
    <cellStyle name="Separador de milhares 2 10" xfId="3071"/>
    <cellStyle name="Separador de milhares 2 10 2" xfId="3702"/>
    <cellStyle name="Separador de milhares 2 10 2 2" xfId="6353"/>
    <cellStyle name="Separador de milhares 2 10 3" xfId="3701"/>
    <cellStyle name="Separador de milhares 2 10 3 2" xfId="6352"/>
    <cellStyle name="Separador de milhares 2 10 4" xfId="5972"/>
    <cellStyle name="Separador de milhares 2 11" xfId="3072"/>
    <cellStyle name="Separador de milhares 2 11 2" xfId="3704"/>
    <cellStyle name="Separador de milhares 2 11 2 2" xfId="6355"/>
    <cellStyle name="Separador de milhares 2 11 3" xfId="3703"/>
    <cellStyle name="Separador de milhares 2 11 3 2" xfId="6354"/>
    <cellStyle name="Separador de milhares 2 11 4" xfId="5973"/>
    <cellStyle name="Separador de milhares 2 12" xfId="3073"/>
    <cellStyle name="Separador de milhares 2 12 2" xfId="3706"/>
    <cellStyle name="Separador de milhares 2 12 2 2" xfId="6357"/>
    <cellStyle name="Separador de milhares 2 12 3" xfId="3705"/>
    <cellStyle name="Separador de milhares 2 12 3 2" xfId="6356"/>
    <cellStyle name="Separador de milhares 2 12 4" xfId="5974"/>
    <cellStyle name="Separador de milhares 2 13" xfId="3074"/>
    <cellStyle name="Separador de milhares 2 13 2" xfId="3708"/>
    <cellStyle name="Separador de milhares 2 13 2 2" xfId="6359"/>
    <cellStyle name="Separador de milhares 2 13 3" xfId="3707"/>
    <cellStyle name="Separador de milhares 2 13 3 2" xfId="6358"/>
    <cellStyle name="Separador de milhares 2 13 4" xfId="5975"/>
    <cellStyle name="Separador de milhares 2 14" xfId="3075"/>
    <cellStyle name="Separador de milhares 2 14 2" xfId="3710"/>
    <cellStyle name="Separador de milhares 2 14 2 2" xfId="6361"/>
    <cellStyle name="Separador de milhares 2 14 3" xfId="3709"/>
    <cellStyle name="Separador de milhares 2 14 3 2" xfId="6360"/>
    <cellStyle name="Separador de milhares 2 14 4" xfId="5976"/>
    <cellStyle name="Separador de milhares 2 15" xfId="3076"/>
    <cellStyle name="Separador de milhares 2 15 2" xfId="3712"/>
    <cellStyle name="Separador de milhares 2 15 2 2" xfId="6363"/>
    <cellStyle name="Separador de milhares 2 15 3" xfId="3711"/>
    <cellStyle name="Separador de milhares 2 15 3 2" xfId="6362"/>
    <cellStyle name="Separador de milhares 2 15 4" xfId="5977"/>
    <cellStyle name="Separador de milhares 2 16" xfId="3077"/>
    <cellStyle name="Separador de milhares 2 16 2" xfId="3714"/>
    <cellStyle name="Separador de milhares 2 16 2 2" xfId="6365"/>
    <cellStyle name="Separador de milhares 2 16 3" xfId="3713"/>
    <cellStyle name="Separador de milhares 2 16 3 2" xfId="6364"/>
    <cellStyle name="Separador de milhares 2 16 4" xfId="5978"/>
    <cellStyle name="Separador de milhares 2 17" xfId="3078"/>
    <cellStyle name="Separador de milhares 2 17 2" xfId="3716"/>
    <cellStyle name="Separador de milhares 2 17 2 2" xfId="6367"/>
    <cellStyle name="Separador de milhares 2 17 3" xfId="3715"/>
    <cellStyle name="Separador de milhares 2 17 3 2" xfId="6366"/>
    <cellStyle name="Separador de milhares 2 17 4" xfId="5979"/>
    <cellStyle name="Separador de milhares 2 18" xfId="3079"/>
    <cellStyle name="Separador de milhares 2 18 2" xfId="3718"/>
    <cellStyle name="Separador de milhares 2 18 2 2" xfId="6369"/>
    <cellStyle name="Separador de milhares 2 18 3" xfId="3717"/>
    <cellStyle name="Separador de milhares 2 18 3 2" xfId="6368"/>
    <cellStyle name="Separador de milhares 2 18 4" xfId="5980"/>
    <cellStyle name="Separador de milhares 2 19" xfId="3080"/>
    <cellStyle name="Separador de milhares 2 19 2" xfId="3720"/>
    <cellStyle name="Separador de milhares 2 19 2 2" xfId="6371"/>
    <cellStyle name="Separador de milhares 2 19 3" xfId="3719"/>
    <cellStyle name="Separador de milhares 2 19 3 2" xfId="6370"/>
    <cellStyle name="Separador de milhares 2 19 4" xfId="5981"/>
    <cellStyle name="Separador de milhares 2 2" xfId="198"/>
    <cellStyle name="Separador de milhares 2 2 10" xfId="3082"/>
    <cellStyle name="Separador de milhares 2 2 10 2" xfId="3723"/>
    <cellStyle name="Separador de milhares 2 2 10 3" xfId="3722"/>
    <cellStyle name="Separador de milhares 2 2 11" xfId="3083"/>
    <cellStyle name="Separador de milhares 2 2 11 2" xfId="3725"/>
    <cellStyle name="Separador de milhares 2 2 11 3" xfId="3724"/>
    <cellStyle name="Separador de milhares 2 2 12" xfId="3084"/>
    <cellStyle name="Separador de milhares 2 2 12 2" xfId="3727"/>
    <cellStyle name="Separador de milhares 2 2 12 3" xfId="3726"/>
    <cellStyle name="Separador de milhares 2 2 13" xfId="3728"/>
    <cellStyle name="Separador de milhares 2 2 13 2" xfId="6373"/>
    <cellStyle name="Separador de milhares 2 2 14" xfId="3721"/>
    <cellStyle name="Separador de milhares 2 2 14 2" xfId="6372"/>
    <cellStyle name="Separador de milhares 2 2 15" xfId="3081"/>
    <cellStyle name="Separador de milhares 2 2 15 2" xfId="5982"/>
    <cellStyle name="Separador de milhares 2 2 16" xfId="4316"/>
    <cellStyle name="Separador de milhares 2 2 17" xfId="736"/>
    <cellStyle name="Separador de milhares 2 2 2" xfId="928"/>
    <cellStyle name="Separador de milhares 2 2 2 2" xfId="3086"/>
    <cellStyle name="Separador de milhares 2 2 2 2 2" xfId="3731"/>
    <cellStyle name="Separador de milhares 2 2 2 2 3" xfId="3730"/>
    <cellStyle name="Separador de milhares 2 2 2 3" xfId="3732"/>
    <cellStyle name="Separador de milhares 2 2 2 4" xfId="3729"/>
    <cellStyle name="Separador de milhares 2 2 2 5" xfId="3085"/>
    <cellStyle name="Separador de milhares 2 2 2 6" xfId="4974"/>
    <cellStyle name="Separador de milhares 2 2 3" xfId="1360"/>
    <cellStyle name="Separador de milhares 2 2 3 2" xfId="3734"/>
    <cellStyle name="Separador de milhares 2 2 3 3" xfId="3733"/>
    <cellStyle name="Separador de milhares 2 2 3 4" xfId="3087"/>
    <cellStyle name="Separador de milhares 2 2 3 5" xfId="5153"/>
    <cellStyle name="Separador de milhares 2 2 4" xfId="3088"/>
    <cellStyle name="Separador de milhares 2 2 4 2" xfId="3736"/>
    <cellStyle name="Separador de milhares 2 2 4 3" xfId="3735"/>
    <cellStyle name="Separador de milhares 2 2 5" xfId="3089"/>
    <cellStyle name="Separador de milhares 2 2 5 2" xfId="3738"/>
    <cellStyle name="Separador de milhares 2 2 5 3" xfId="3737"/>
    <cellStyle name="Separador de milhares 2 2 6" xfId="3090"/>
    <cellStyle name="Separador de milhares 2 2 6 2" xfId="3740"/>
    <cellStyle name="Separador de milhares 2 2 6 3" xfId="3739"/>
    <cellStyle name="Separador de milhares 2 2 7" xfId="3091"/>
    <cellStyle name="Separador de milhares 2 2 7 2" xfId="3742"/>
    <cellStyle name="Separador de milhares 2 2 7 3" xfId="3741"/>
    <cellStyle name="Separador de milhares 2 2 8" xfId="3092"/>
    <cellStyle name="Separador de milhares 2 2 8 2" xfId="3744"/>
    <cellStyle name="Separador de milhares 2 2 8 3" xfId="3743"/>
    <cellStyle name="Separador de milhares 2 2 9" xfId="3093"/>
    <cellStyle name="Separador de milhares 2 2 9 2" xfId="3746"/>
    <cellStyle name="Separador de milhares 2 2 9 3" xfId="3745"/>
    <cellStyle name="Separador de milhares 2 20" xfId="3094"/>
    <cellStyle name="Separador de milhares 2 20 2" xfId="3748"/>
    <cellStyle name="Separador de milhares 2 20 2 2" xfId="6375"/>
    <cellStyle name="Separador de milhares 2 20 3" xfId="3747"/>
    <cellStyle name="Separador de milhares 2 20 3 2" xfId="6374"/>
    <cellStyle name="Separador de milhares 2 20 4" xfId="5983"/>
    <cellStyle name="Separador de milhares 2 21" xfId="3095"/>
    <cellStyle name="Separador de milhares 2 21 2" xfId="3750"/>
    <cellStyle name="Separador de milhares 2 21 2 2" xfId="6377"/>
    <cellStyle name="Separador de milhares 2 21 3" xfId="3749"/>
    <cellStyle name="Separador de milhares 2 21 3 2" xfId="6376"/>
    <cellStyle name="Separador de milhares 2 21 4" xfId="5984"/>
    <cellStyle name="Separador de milhares 2 22" xfId="3096"/>
    <cellStyle name="Separador de milhares 2 22 2" xfId="3752"/>
    <cellStyle name="Separador de milhares 2 22 2 2" xfId="6379"/>
    <cellStyle name="Separador de milhares 2 22 3" xfId="3751"/>
    <cellStyle name="Separador de milhares 2 22 3 2" xfId="6378"/>
    <cellStyle name="Separador de milhares 2 22 4" xfId="5985"/>
    <cellStyle name="Separador de milhares 2 23" xfId="3097"/>
    <cellStyle name="Separador de milhares 2 23 2" xfId="3754"/>
    <cellStyle name="Separador de milhares 2 23 2 2" xfId="6381"/>
    <cellStyle name="Separador de milhares 2 23 3" xfId="3753"/>
    <cellStyle name="Separador de milhares 2 23 3 2" xfId="6380"/>
    <cellStyle name="Separador de milhares 2 23 4" xfId="5986"/>
    <cellStyle name="Separador de milhares 2 24" xfId="3098"/>
    <cellStyle name="Separador de milhares 2 24 2" xfId="3756"/>
    <cellStyle name="Separador de milhares 2 24 2 2" xfId="6383"/>
    <cellStyle name="Separador de milhares 2 24 3" xfId="3755"/>
    <cellStyle name="Separador de milhares 2 24 3 2" xfId="6382"/>
    <cellStyle name="Separador de milhares 2 24 4" xfId="5987"/>
    <cellStyle name="Separador de milhares 2 25" xfId="3099"/>
    <cellStyle name="Separador de milhares 2 25 2" xfId="3758"/>
    <cellStyle name="Separador de milhares 2 25 2 2" xfId="6385"/>
    <cellStyle name="Separador de milhares 2 25 3" xfId="3757"/>
    <cellStyle name="Separador de milhares 2 25 3 2" xfId="6384"/>
    <cellStyle name="Separador de milhares 2 25 4" xfId="5988"/>
    <cellStyle name="Separador de milhares 2 26" xfId="3100"/>
    <cellStyle name="Separador de milhares 2 26 2" xfId="3760"/>
    <cellStyle name="Separador de milhares 2 26 2 2" xfId="6387"/>
    <cellStyle name="Separador de milhares 2 26 3" xfId="3759"/>
    <cellStyle name="Separador de milhares 2 26 3 2" xfId="6386"/>
    <cellStyle name="Separador de milhares 2 26 4" xfId="5989"/>
    <cellStyle name="Separador de milhares 2 27" xfId="3101"/>
    <cellStyle name="Separador de milhares 2 27 2" xfId="3762"/>
    <cellStyle name="Separador de milhares 2 27 2 2" xfId="6389"/>
    <cellStyle name="Separador de milhares 2 27 3" xfId="3761"/>
    <cellStyle name="Separador de milhares 2 27 3 2" xfId="6388"/>
    <cellStyle name="Separador de milhares 2 27 4" xfId="5990"/>
    <cellStyle name="Separador de milhares 2 28" xfId="3102"/>
    <cellStyle name="Separador de milhares 2 28 2" xfId="3764"/>
    <cellStyle name="Separador de milhares 2 28 2 2" xfId="6391"/>
    <cellStyle name="Separador de milhares 2 28 3" xfId="3763"/>
    <cellStyle name="Separador de milhares 2 28 3 2" xfId="6390"/>
    <cellStyle name="Separador de milhares 2 28 4" xfId="5991"/>
    <cellStyle name="Separador de milhares 2 29" xfId="3103"/>
    <cellStyle name="Separador de milhares 2 29 2" xfId="3104"/>
    <cellStyle name="Separador de milhares 2 29 2 2" xfId="3767"/>
    <cellStyle name="Separador de milhares 2 29 2 3" xfId="3766"/>
    <cellStyle name="Separador de milhares 2 29 3" xfId="3768"/>
    <cellStyle name="Separador de milhares 2 29 3 2" xfId="6393"/>
    <cellStyle name="Separador de milhares 2 29 4" xfId="3765"/>
    <cellStyle name="Separador de milhares 2 29 4 2" xfId="6392"/>
    <cellStyle name="Separador de milhares 2 29 5" xfId="5992"/>
    <cellStyle name="Separador de milhares 2 3" xfId="735"/>
    <cellStyle name="Separador de milhares 2 3 2" xfId="3770"/>
    <cellStyle name="Separador de milhares 2 3 2 2" xfId="6395"/>
    <cellStyle name="Separador de milhares 2 3 3" xfId="3769"/>
    <cellStyle name="Separador de milhares 2 3 3 2" xfId="6394"/>
    <cellStyle name="Separador de milhares 2 3 4" xfId="4848"/>
    <cellStyle name="Separador de milhares 2 30" xfId="3105"/>
    <cellStyle name="Separador de milhares 2 30 2" xfId="3772"/>
    <cellStyle name="Separador de milhares 2 30 3" xfId="3771"/>
    <cellStyle name="Separador de milhares 2 31" xfId="3106"/>
    <cellStyle name="Separador de milhares 2 31 2" xfId="3774"/>
    <cellStyle name="Separador de milhares 2 31 3" xfId="3773"/>
    <cellStyle name="Separador de milhares 2 32" xfId="3107"/>
    <cellStyle name="Separador de milhares 2 32 2" xfId="3776"/>
    <cellStyle name="Separador de milhares 2 32 3" xfId="3775"/>
    <cellStyle name="Separador de milhares 2 33" xfId="3108"/>
    <cellStyle name="Separador de milhares 2 33 2" xfId="3778"/>
    <cellStyle name="Separador de milhares 2 33 3" xfId="3777"/>
    <cellStyle name="Separador de milhares 2 34" xfId="3109"/>
    <cellStyle name="Separador de milhares 2 34 2" xfId="3780"/>
    <cellStyle name="Separador de milhares 2 34 3" xfId="3779"/>
    <cellStyle name="Separador de milhares 2 35" xfId="3110"/>
    <cellStyle name="Separador de milhares 2 35 2" xfId="3782"/>
    <cellStyle name="Separador de milhares 2 35 3" xfId="3781"/>
    <cellStyle name="Separador de milhares 2 36" xfId="3111"/>
    <cellStyle name="Separador de milhares 2 36 2" xfId="3784"/>
    <cellStyle name="Separador de milhares 2 36 3" xfId="3783"/>
    <cellStyle name="Separador de milhares 2 37" xfId="3112"/>
    <cellStyle name="Separador de milhares 2 37 2" xfId="3786"/>
    <cellStyle name="Separador de milhares 2 37 3" xfId="3785"/>
    <cellStyle name="Separador de milhares 2 38" xfId="3113"/>
    <cellStyle name="Separador de milhares 2 38 2" xfId="3788"/>
    <cellStyle name="Separador de milhares 2 38 3" xfId="3787"/>
    <cellStyle name="Separador de milhares 2 39" xfId="3114"/>
    <cellStyle name="Separador de milhares 2 39 2" xfId="3790"/>
    <cellStyle name="Separador de milhares 2 39 3" xfId="3789"/>
    <cellStyle name="Separador de milhares 2 4" xfId="874"/>
    <cellStyle name="Separador de milhares 2 4 2" xfId="3792"/>
    <cellStyle name="Separador de milhares 2 4 2 2" xfId="6397"/>
    <cellStyle name="Separador de milhares 2 4 3" xfId="3791"/>
    <cellStyle name="Separador de milhares 2 4 3 2" xfId="6396"/>
    <cellStyle name="Separador de milhares 2 4 4" xfId="3115"/>
    <cellStyle name="Separador de milhares 2 4 4 2" xfId="5993"/>
    <cellStyle name="Separador de milhares 2 4 5" xfId="4933"/>
    <cellStyle name="Separador de milhares 2 40" xfId="3116"/>
    <cellStyle name="Separador de milhares 2 40 2" xfId="3794"/>
    <cellStyle name="Separador de milhares 2 40 3" xfId="3793"/>
    <cellStyle name="Separador de milhares 2 41" xfId="3117"/>
    <cellStyle name="Separador de milhares 2 41 2" xfId="3796"/>
    <cellStyle name="Separador de milhares 2 41 3" xfId="3795"/>
    <cellStyle name="Separador de milhares 2 42" xfId="3118"/>
    <cellStyle name="Separador de milhares 2 42 2" xfId="3798"/>
    <cellStyle name="Separador de milhares 2 42 3" xfId="3797"/>
    <cellStyle name="Separador de milhares 2 43" xfId="3119"/>
    <cellStyle name="Separador de milhares 2 43 2" xfId="3800"/>
    <cellStyle name="Separador de milhares 2 43 3" xfId="3799"/>
    <cellStyle name="Separador de milhares 2 43 4" xfId="5994"/>
    <cellStyle name="Separador de milhares 2 44" xfId="3386"/>
    <cellStyle name="Separador de milhares 2 44 2" xfId="3801"/>
    <cellStyle name="Separador de milhares 2 44 3" xfId="6095"/>
    <cellStyle name="Separador de milhares 2 45" xfId="3700"/>
    <cellStyle name="Separador de milhares 2 46" xfId="4240"/>
    <cellStyle name="Separador de milhares 2 47" xfId="119"/>
    <cellStyle name="Separador de milhares 2 48" xfId="49455"/>
    <cellStyle name="Separador de milhares 2 5" xfId="1361"/>
    <cellStyle name="Separador de milhares 2 5 2" xfId="3803"/>
    <cellStyle name="Separador de milhares 2 5 2 2" xfId="6399"/>
    <cellStyle name="Separador de milhares 2 5 3" xfId="3802"/>
    <cellStyle name="Separador de milhares 2 5 3 2" xfId="6398"/>
    <cellStyle name="Separador de milhares 2 5 4" xfId="5154"/>
    <cellStyle name="Separador de milhares 2 6" xfId="426"/>
    <cellStyle name="Separador de milhares 2 6 2" xfId="3805"/>
    <cellStyle name="Separador de milhares 2 6 3" xfId="3804"/>
    <cellStyle name="Separador de milhares 2 6 4" xfId="3120"/>
    <cellStyle name="Separador de milhares 2 6 5" xfId="4686"/>
    <cellStyle name="Separador de milhares 2 7" xfId="3121"/>
    <cellStyle name="Separador de milhares 2 7 2" xfId="3807"/>
    <cellStyle name="Separador de milhares 2 7 3" xfId="3806"/>
    <cellStyle name="Separador de milhares 2 8" xfId="3122"/>
    <cellStyle name="Separador de milhares 2 8 2" xfId="3809"/>
    <cellStyle name="Separador de milhares 2 8 3" xfId="3808"/>
    <cellStyle name="Separador de milhares 2 9" xfId="3123"/>
    <cellStyle name="Separador de milhares 2 9 2" xfId="3811"/>
    <cellStyle name="Separador de milhares 2 9 3" xfId="3810"/>
    <cellStyle name="Separador de milhares 20" xfId="3124"/>
    <cellStyle name="Separador de milhares 20 2" xfId="3813"/>
    <cellStyle name="Separador de milhares 20 2 2" xfId="6401"/>
    <cellStyle name="Separador de milhares 20 3" xfId="3812"/>
    <cellStyle name="Separador de milhares 20 3 2" xfId="6400"/>
    <cellStyle name="Separador de milhares 20 4" xfId="5995"/>
    <cellStyle name="Separador de milhares 21" xfId="3125"/>
    <cellStyle name="Separador de milhares 21 2" xfId="3815"/>
    <cellStyle name="Separador de milhares 21 2 2" xfId="6403"/>
    <cellStyle name="Separador de milhares 21 3" xfId="3814"/>
    <cellStyle name="Separador de milhares 21 3 2" xfId="6402"/>
    <cellStyle name="Separador de milhares 21 4" xfId="5996"/>
    <cellStyle name="Separador de milhares 22" xfId="3126"/>
    <cellStyle name="Separador de milhares 22 2" xfId="3127"/>
    <cellStyle name="Separador de milhares 22 2 2" xfId="3818"/>
    <cellStyle name="Separador de milhares 22 2 2 2" xfId="6406"/>
    <cellStyle name="Separador de milhares 22 2 3" xfId="3817"/>
    <cellStyle name="Separador de milhares 22 2 3 2" xfId="6405"/>
    <cellStyle name="Separador de milhares 22 2 4" xfId="5998"/>
    <cellStyle name="Separador de milhares 22 3" xfId="3819"/>
    <cellStyle name="Separador de milhares 22 3 2" xfId="6407"/>
    <cellStyle name="Separador de milhares 22 4" xfId="3816"/>
    <cellStyle name="Separador de milhares 22 4 2" xfId="6404"/>
    <cellStyle name="Separador de milhares 22 5" xfId="5997"/>
    <cellStyle name="Separador de milhares 23" xfId="3128"/>
    <cellStyle name="Separador de milhares 23 2" xfId="3821"/>
    <cellStyle name="Separador de milhares 23 2 2" xfId="6409"/>
    <cellStyle name="Separador de milhares 23 3" xfId="3820"/>
    <cellStyle name="Separador de milhares 23 3 2" xfId="6408"/>
    <cellStyle name="Separador de milhares 23 4" xfId="5999"/>
    <cellStyle name="Separador de milhares 24" xfId="3129"/>
    <cellStyle name="Separador de milhares 24 2" xfId="3823"/>
    <cellStyle name="Separador de milhares 24 2 2" xfId="6411"/>
    <cellStyle name="Separador de milhares 24 3" xfId="3822"/>
    <cellStyle name="Separador de milhares 24 3 2" xfId="6410"/>
    <cellStyle name="Separador de milhares 24 4" xfId="6000"/>
    <cellStyle name="Separador de milhares 25" xfId="3130"/>
    <cellStyle name="Separador de milhares 25 2" xfId="3131"/>
    <cellStyle name="Separador de milhares 25 2 2" xfId="3826"/>
    <cellStyle name="Separador de milhares 25 2 2 2" xfId="6414"/>
    <cellStyle name="Separador de milhares 25 2 3" xfId="3825"/>
    <cellStyle name="Separador de milhares 25 2 3 2" xfId="6413"/>
    <cellStyle name="Separador de milhares 25 2 4" xfId="6002"/>
    <cellStyle name="Separador de milhares 25 3" xfId="3827"/>
    <cellStyle name="Separador de milhares 25 3 2" xfId="6415"/>
    <cellStyle name="Separador de milhares 25 4" xfId="3824"/>
    <cellStyle name="Separador de milhares 25 4 2" xfId="6412"/>
    <cellStyle name="Separador de milhares 25 5" xfId="6001"/>
    <cellStyle name="Separador de milhares 26" xfId="3132"/>
    <cellStyle name="Separador de milhares 26 2" xfId="3133"/>
    <cellStyle name="Separador de milhares 26 2 2" xfId="3830"/>
    <cellStyle name="Separador de milhares 26 2 2 2" xfId="6418"/>
    <cellStyle name="Separador de milhares 26 2 3" xfId="3829"/>
    <cellStyle name="Separador de milhares 26 2 3 2" xfId="6417"/>
    <cellStyle name="Separador de milhares 26 2 4" xfId="6004"/>
    <cellStyle name="Separador de milhares 26 3" xfId="3831"/>
    <cellStyle name="Separador de milhares 26 3 2" xfId="6419"/>
    <cellStyle name="Separador de milhares 26 4" xfId="3828"/>
    <cellStyle name="Separador de milhares 26 4 2" xfId="6416"/>
    <cellStyle name="Separador de milhares 26 5" xfId="6003"/>
    <cellStyle name="Separador de milhares 27" xfId="3134"/>
    <cellStyle name="Separador de milhares 27 2" xfId="3833"/>
    <cellStyle name="Separador de milhares 27 2 2" xfId="6421"/>
    <cellStyle name="Separador de milhares 27 3" xfId="3832"/>
    <cellStyle name="Separador de milhares 27 3 2" xfId="6420"/>
    <cellStyle name="Separador de milhares 27 4" xfId="6005"/>
    <cellStyle name="Separador de milhares 28" xfId="3135"/>
    <cellStyle name="Separador de milhares 28 2" xfId="3835"/>
    <cellStyle name="Separador de milhares 28 2 2" xfId="6423"/>
    <cellStyle name="Separador de milhares 28 3" xfId="3834"/>
    <cellStyle name="Separador de milhares 28 3 2" xfId="6422"/>
    <cellStyle name="Separador de milhares 28 4" xfId="6006"/>
    <cellStyle name="Separador de milhares 29" xfId="3136"/>
    <cellStyle name="Separador de milhares 29 2" xfId="3837"/>
    <cellStyle name="Separador de milhares 29 2 2" xfId="6425"/>
    <cellStyle name="Separador de milhares 29 3" xfId="3836"/>
    <cellStyle name="Separador de milhares 29 3 2" xfId="6424"/>
    <cellStyle name="Separador de milhares 29 4" xfId="6007"/>
    <cellStyle name="Separador de milhares 3" xfId="737"/>
    <cellStyle name="Separador de milhares 3 2" xfId="738"/>
    <cellStyle name="Separador de milhares 3 2 2" xfId="930"/>
    <cellStyle name="Separador de milhares 3 2 2 2" xfId="4976"/>
    <cellStyle name="Separador de milhares 3 2 3" xfId="1362"/>
    <cellStyle name="Separador de milhares 3 2 3 2" xfId="5155"/>
    <cellStyle name="Separador de milhares 3 2 4" xfId="3839"/>
    <cellStyle name="Separador de milhares 3 2 5" xfId="4850"/>
    <cellStyle name="Separador de milhares 3 3" xfId="929"/>
    <cellStyle name="Separador de milhares 3 3 2" xfId="3841"/>
    <cellStyle name="Separador de milhares 3 3 2 2" xfId="6428"/>
    <cellStyle name="Separador de milhares 3 3 3" xfId="3840"/>
    <cellStyle name="Separador de milhares 3 3 3 2" xfId="6427"/>
    <cellStyle name="Separador de milhares 3 3 4" xfId="4975"/>
    <cellStyle name="Separador de milhares 3 4" xfId="1363"/>
    <cellStyle name="Separador de milhares 3 4 2" xfId="3838"/>
    <cellStyle name="Separador de milhares 3 4 2 2" xfId="6426"/>
    <cellStyle name="Separador de milhares 3 4 3" xfId="5156"/>
    <cellStyle name="Separador de milhares 3 5" xfId="4849"/>
    <cellStyle name="Separador de milhares 30" xfId="3137"/>
    <cellStyle name="Separador de milhares 30 2" xfId="3843"/>
    <cellStyle name="Separador de milhares 30 2 2" xfId="6430"/>
    <cellStyle name="Separador de milhares 30 3" xfId="3842"/>
    <cellStyle name="Separador de milhares 30 3 2" xfId="6429"/>
    <cellStyle name="Separador de milhares 30 4" xfId="6008"/>
    <cellStyle name="Separador de milhares 31" xfId="3138"/>
    <cellStyle name="Separador de milhares 31 2" xfId="3845"/>
    <cellStyle name="Separador de milhares 31 2 2" xfId="6432"/>
    <cellStyle name="Separador de milhares 31 3" xfId="3844"/>
    <cellStyle name="Separador de milhares 31 3 2" xfId="6431"/>
    <cellStyle name="Separador de milhares 31 4" xfId="6009"/>
    <cellStyle name="Separador de milhares 32" xfId="3139"/>
    <cellStyle name="Separador de milhares 32 2" xfId="3847"/>
    <cellStyle name="Separador de milhares 32 2 2" xfId="6434"/>
    <cellStyle name="Separador de milhares 32 3" xfId="3846"/>
    <cellStyle name="Separador de milhares 32 3 2" xfId="6433"/>
    <cellStyle name="Separador de milhares 32 4" xfId="6010"/>
    <cellStyle name="Separador de milhares 33" xfId="3140"/>
    <cellStyle name="Separador de milhares 33 2" xfId="3849"/>
    <cellStyle name="Separador de milhares 33 2 2" xfId="6436"/>
    <cellStyle name="Separador de milhares 33 3" xfId="3848"/>
    <cellStyle name="Separador de milhares 33 3 2" xfId="6435"/>
    <cellStyle name="Separador de milhares 33 4" xfId="6011"/>
    <cellStyle name="Separador de milhares 34" xfId="3141"/>
    <cellStyle name="Separador de milhares 34 2" xfId="3851"/>
    <cellStyle name="Separador de milhares 34 2 2" xfId="6438"/>
    <cellStyle name="Separador de milhares 34 3" xfId="3850"/>
    <cellStyle name="Separador de milhares 34 3 2" xfId="6437"/>
    <cellStyle name="Separador de milhares 34 4" xfId="6012"/>
    <cellStyle name="Separador de milhares 35" xfId="3142"/>
    <cellStyle name="Separador de milhares 35 2" xfId="3853"/>
    <cellStyle name="Separador de milhares 35 2 2" xfId="6440"/>
    <cellStyle name="Separador de milhares 35 3" xfId="3852"/>
    <cellStyle name="Separador de milhares 35 3 2" xfId="6439"/>
    <cellStyle name="Separador de milhares 35 4" xfId="6013"/>
    <cellStyle name="Separador de milhares 36" xfId="3143"/>
    <cellStyle name="Separador de milhares 36 2" xfId="3855"/>
    <cellStyle name="Separador de milhares 36 2 2" xfId="6442"/>
    <cellStyle name="Separador de milhares 36 3" xfId="3854"/>
    <cellStyle name="Separador de milhares 36 3 2" xfId="6441"/>
    <cellStyle name="Separador de milhares 36 4" xfId="6014"/>
    <cellStyle name="Separador de milhares 37" xfId="3144"/>
    <cellStyle name="Separador de milhares 37 2" xfId="3857"/>
    <cellStyle name="Separador de milhares 37 2 2" xfId="6444"/>
    <cellStyle name="Separador de milhares 37 3" xfId="3856"/>
    <cellStyle name="Separador de milhares 37 3 2" xfId="6443"/>
    <cellStyle name="Separador de milhares 37 4" xfId="6015"/>
    <cellStyle name="Separador de milhares 38" xfId="3145"/>
    <cellStyle name="Separador de milhares 38 2" xfId="3859"/>
    <cellStyle name="Separador de milhares 38 2 2" xfId="6446"/>
    <cellStyle name="Separador de milhares 38 3" xfId="3858"/>
    <cellStyle name="Separador de milhares 38 3 2" xfId="6445"/>
    <cellStyle name="Separador de milhares 38 4" xfId="6016"/>
    <cellStyle name="Separador de milhares 39" xfId="3146"/>
    <cellStyle name="Separador de milhares 39 2" xfId="3861"/>
    <cellStyle name="Separador de milhares 39 2 2" xfId="6448"/>
    <cellStyle name="Separador de milhares 39 3" xfId="3860"/>
    <cellStyle name="Separador de milhares 39 3 2" xfId="6447"/>
    <cellStyle name="Separador de milhares 39 4" xfId="6017"/>
    <cellStyle name="Separador de milhares 4" xfId="739"/>
    <cellStyle name="Separador de milhares 4 2" xfId="740"/>
    <cellStyle name="Separador de milhares 4 2 2" xfId="932"/>
    <cellStyle name="Separador de milhares 4 2 2 2" xfId="4978"/>
    <cellStyle name="Separador de milhares 4 2 3" xfId="1364"/>
    <cellStyle name="Separador de milhares 4 2 3 2" xfId="5157"/>
    <cellStyle name="Separador de milhares 4 2 4" xfId="3148"/>
    <cellStyle name="Separador de milhares 4 2 4 2" xfId="6019"/>
    <cellStyle name="Separador de milhares 4 2 5" xfId="4852"/>
    <cellStyle name="Separador de milhares 4 3" xfId="931"/>
    <cellStyle name="Separador de milhares 4 3 2" xfId="3863"/>
    <cellStyle name="Separador de milhares 4 3 3" xfId="4977"/>
    <cellStyle name="Separador de milhares 4 4" xfId="1365"/>
    <cellStyle name="Separador de milhares 4 4 2" xfId="3862"/>
    <cellStyle name="Separador de milhares 4 4 2 10" xfId="33871"/>
    <cellStyle name="Separador de milhares 4 4 2 11" xfId="37903"/>
    <cellStyle name="Separador de milhares 4 4 2 12" xfId="41935"/>
    <cellStyle name="Separador de milhares 4 4 2 13" xfId="45967"/>
    <cellStyle name="Separador de milhares 4 4 2 14" xfId="50045"/>
    <cellStyle name="Separador de milhares 4 4 2 2" xfId="6449"/>
    <cellStyle name="Separador de milhares 4 4 2 2 10" xfId="38854"/>
    <cellStyle name="Separador de milhares 4 4 2 2 11" xfId="42886"/>
    <cellStyle name="Separador de milhares 4 4 2 2 12" xfId="46918"/>
    <cellStyle name="Separador de milhares 4 4 2 2 13" xfId="50997"/>
    <cellStyle name="Separador de milhares 4 4 2 2 2" xfId="8612"/>
    <cellStyle name="Separador de milhares 4 4 2 2 2 10" xfId="44902"/>
    <cellStyle name="Separador de milhares 4 4 2 2 2 11" xfId="48934"/>
    <cellStyle name="Separador de milhares 4 4 2 2 2 12" xfId="53013"/>
    <cellStyle name="Separador de milhares 4 4 2 2 2 2" xfId="12646"/>
    <cellStyle name="Separador de milhares 4 4 2 2 2 3" xfId="16678"/>
    <cellStyle name="Separador de milhares 4 4 2 2 2 4" xfId="20710"/>
    <cellStyle name="Separador de milhares 4 4 2 2 2 5" xfId="24742"/>
    <cellStyle name="Separador de milhares 4 4 2 2 2 6" xfId="28774"/>
    <cellStyle name="Separador de milhares 4 4 2 2 2 7" xfId="32806"/>
    <cellStyle name="Separador de milhares 4 4 2 2 2 8" xfId="36838"/>
    <cellStyle name="Separador de milhares 4 4 2 2 2 9" xfId="40870"/>
    <cellStyle name="Separador de milhares 4 4 2 2 3" xfId="10630"/>
    <cellStyle name="Separador de milhares 4 4 2 2 4" xfId="14662"/>
    <cellStyle name="Separador de milhares 4 4 2 2 5" xfId="18694"/>
    <cellStyle name="Separador de milhares 4 4 2 2 6" xfId="22726"/>
    <cellStyle name="Separador de milhares 4 4 2 2 7" xfId="26758"/>
    <cellStyle name="Separador de milhares 4 4 2 2 8" xfId="30790"/>
    <cellStyle name="Separador de milhares 4 4 2 2 9" xfId="34822"/>
    <cellStyle name="Separador de milhares 4 4 2 3" xfId="7661"/>
    <cellStyle name="Separador de milhares 4 4 2 3 10" xfId="43951"/>
    <cellStyle name="Separador de milhares 4 4 2 3 11" xfId="47983"/>
    <cellStyle name="Separador de milhares 4 4 2 3 12" xfId="52062"/>
    <cellStyle name="Separador de milhares 4 4 2 3 2" xfId="11695"/>
    <cellStyle name="Separador de milhares 4 4 2 3 3" xfId="15727"/>
    <cellStyle name="Separador de milhares 4 4 2 3 4" xfId="19759"/>
    <cellStyle name="Separador de milhares 4 4 2 3 5" xfId="23791"/>
    <cellStyle name="Separador de milhares 4 4 2 3 6" xfId="27823"/>
    <cellStyle name="Separador de milhares 4 4 2 3 7" xfId="31855"/>
    <cellStyle name="Separador de milhares 4 4 2 3 8" xfId="35887"/>
    <cellStyle name="Separador de milhares 4 4 2 3 9" xfId="39919"/>
    <cellStyle name="Separador de milhares 4 4 2 4" xfId="9679"/>
    <cellStyle name="Separador de milhares 4 4 2 5" xfId="13711"/>
    <cellStyle name="Separador de milhares 4 4 2 6" xfId="17743"/>
    <cellStyle name="Separador de milhares 4 4 2 7" xfId="21775"/>
    <cellStyle name="Separador de milhares 4 4 2 8" xfId="25807"/>
    <cellStyle name="Separador de milhares 4 4 2 9" xfId="29839"/>
    <cellStyle name="Separador de milhares 4 4 3" xfId="5158"/>
    <cellStyle name="Separador de milhares 4 5" xfId="3147"/>
    <cellStyle name="Separador de milhares 4 5 10" xfId="33859"/>
    <cellStyle name="Separador de milhares 4 5 11" xfId="37891"/>
    <cellStyle name="Separador de milhares 4 5 12" xfId="41923"/>
    <cellStyle name="Separador de milhares 4 5 13" xfId="45955"/>
    <cellStyle name="Separador de milhares 4 5 14" xfId="50033"/>
    <cellStyle name="Separador de milhares 4 5 2" xfId="6018"/>
    <cellStyle name="Separador de milhares 4 5 2 10" xfId="38842"/>
    <cellStyle name="Separador de milhares 4 5 2 11" xfId="42874"/>
    <cellStyle name="Separador de milhares 4 5 2 12" xfId="46906"/>
    <cellStyle name="Separador de milhares 4 5 2 13" xfId="50985"/>
    <cellStyle name="Separador de milhares 4 5 2 2" xfId="8600"/>
    <cellStyle name="Separador de milhares 4 5 2 2 10" xfId="44890"/>
    <cellStyle name="Separador de milhares 4 5 2 2 11" xfId="48922"/>
    <cellStyle name="Separador de milhares 4 5 2 2 12" xfId="53001"/>
    <cellStyle name="Separador de milhares 4 5 2 2 2" xfId="12634"/>
    <cellStyle name="Separador de milhares 4 5 2 2 3" xfId="16666"/>
    <cellStyle name="Separador de milhares 4 5 2 2 4" xfId="20698"/>
    <cellStyle name="Separador de milhares 4 5 2 2 5" xfId="24730"/>
    <cellStyle name="Separador de milhares 4 5 2 2 6" xfId="28762"/>
    <cellStyle name="Separador de milhares 4 5 2 2 7" xfId="32794"/>
    <cellStyle name="Separador de milhares 4 5 2 2 8" xfId="36826"/>
    <cellStyle name="Separador de milhares 4 5 2 2 9" xfId="40858"/>
    <cellStyle name="Separador de milhares 4 5 2 3" xfId="10618"/>
    <cellStyle name="Separador de milhares 4 5 2 4" xfId="14650"/>
    <cellStyle name="Separador de milhares 4 5 2 5" xfId="18682"/>
    <cellStyle name="Separador de milhares 4 5 2 6" xfId="22714"/>
    <cellStyle name="Separador de milhares 4 5 2 7" xfId="26746"/>
    <cellStyle name="Separador de milhares 4 5 2 8" xfId="30778"/>
    <cellStyle name="Separador de milhares 4 5 2 9" xfId="34810"/>
    <cellStyle name="Separador de milhares 4 5 3" xfId="7649"/>
    <cellStyle name="Separador de milhares 4 5 3 10" xfId="43939"/>
    <cellStyle name="Separador de milhares 4 5 3 11" xfId="47971"/>
    <cellStyle name="Separador de milhares 4 5 3 12" xfId="52050"/>
    <cellStyle name="Separador de milhares 4 5 3 2" xfId="11683"/>
    <cellStyle name="Separador de milhares 4 5 3 3" xfId="15715"/>
    <cellStyle name="Separador de milhares 4 5 3 4" xfId="19747"/>
    <cellStyle name="Separador de milhares 4 5 3 5" xfId="23779"/>
    <cellStyle name="Separador de milhares 4 5 3 6" xfId="27811"/>
    <cellStyle name="Separador de milhares 4 5 3 7" xfId="31843"/>
    <cellStyle name="Separador de milhares 4 5 3 8" xfId="35875"/>
    <cellStyle name="Separador de milhares 4 5 3 9" xfId="39907"/>
    <cellStyle name="Separador de milhares 4 5 4" xfId="9667"/>
    <cellStyle name="Separador de milhares 4 5 5" xfId="13699"/>
    <cellStyle name="Separador de milhares 4 5 6" xfId="17731"/>
    <cellStyle name="Separador de milhares 4 5 7" xfId="21763"/>
    <cellStyle name="Separador de milhares 4 5 8" xfId="25795"/>
    <cellStyle name="Separador de milhares 4 5 9" xfId="29827"/>
    <cellStyle name="Separador de milhares 4 6" xfId="4851"/>
    <cellStyle name="Separador de milhares 40" xfId="3149"/>
    <cellStyle name="Separador de milhares 40 2" xfId="3865"/>
    <cellStyle name="Separador de milhares 40 2 2" xfId="6451"/>
    <cellStyle name="Separador de milhares 40 3" xfId="3864"/>
    <cellStyle name="Separador de milhares 40 3 2" xfId="6450"/>
    <cellStyle name="Separador de milhares 40 4" xfId="6020"/>
    <cellStyle name="Separador de milhares 41" xfId="3150"/>
    <cellStyle name="Separador de milhares 41 2" xfId="3867"/>
    <cellStyle name="Separador de milhares 41 2 2" xfId="6453"/>
    <cellStyle name="Separador de milhares 41 3" xfId="3866"/>
    <cellStyle name="Separador de milhares 41 3 2" xfId="6452"/>
    <cellStyle name="Separador de milhares 41 4" xfId="6021"/>
    <cellStyle name="Separador de milhares 42" xfId="3151"/>
    <cellStyle name="Separador de milhares 42 2" xfId="3869"/>
    <cellStyle name="Separador de milhares 42 2 2" xfId="6455"/>
    <cellStyle name="Separador de milhares 42 3" xfId="3868"/>
    <cellStyle name="Separador de milhares 42 3 2" xfId="6454"/>
    <cellStyle name="Separador de milhares 42 4" xfId="6022"/>
    <cellStyle name="Separador de milhares 43" xfId="3152"/>
    <cellStyle name="Separador de milhares 43 2" xfId="3871"/>
    <cellStyle name="Separador de milhares 43 2 2" xfId="6457"/>
    <cellStyle name="Separador de milhares 43 3" xfId="3870"/>
    <cellStyle name="Separador de milhares 43 3 2" xfId="6456"/>
    <cellStyle name="Separador de milhares 43 4" xfId="6023"/>
    <cellStyle name="Separador de milhares 44" xfId="3153"/>
    <cellStyle name="Separador de milhares 44 2" xfId="3873"/>
    <cellStyle name="Separador de milhares 44 2 2" xfId="6459"/>
    <cellStyle name="Separador de milhares 44 3" xfId="3872"/>
    <cellStyle name="Separador de milhares 44 3 2" xfId="6458"/>
    <cellStyle name="Separador de milhares 44 4" xfId="6024"/>
    <cellStyle name="Separador de milhares 45" xfId="3154"/>
    <cellStyle name="Separador de milhares 45 2" xfId="3875"/>
    <cellStyle name="Separador de milhares 45 2 2" xfId="6461"/>
    <cellStyle name="Separador de milhares 45 3" xfId="3874"/>
    <cellStyle name="Separador de milhares 45 3 2" xfId="6460"/>
    <cellStyle name="Separador de milhares 45 4" xfId="6025"/>
    <cellStyle name="Separador de milhares 46" xfId="3155"/>
    <cellStyle name="Separador de milhares 46 2" xfId="3877"/>
    <cellStyle name="Separador de milhares 46 2 2" xfId="6463"/>
    <cellStyle name="Separador de milhares 46 3" xfId="3876"/>
    <cellStyle name="Separador de milhares 46 3 2" xfId="6462"/>
    <cellStyle name="Separador de milhares 46 4" xfId="6026"/>
    <cellStyle name="Separador de milhares 47" xfId="3156"/>
    <cellStyle name="Separador de milhares 47 2" xfId="3879"/>
    <cellStyle name="Separador de milhares 47 2 2" xfId="6465"/>
    <cellStyle name="Separador de milhares 47 3" xfId="3878"/>
    <cellStyle name="Separador de milhares 47 3 2" xfId="6464"/>
    <cellStyle name="Separador de milhares 47 4" xfId="6027"/>
    <cellStyle name="Separador de milhares 48" xfId="3157"/>
    <cellStyle name="Separador de milhares 48 2" xfId="3881"/>
    <cellStyle name="Separador de milhares 48 2 2" xfId="6467"/>
    <cellStyle name="Separador de milhares 48 3" xfId="3880"/>
    <cellStyle name="Separador de milhares 48 3 2" xfId="6466"/>
    <cellStyle name="Separador de milhares 48 4" xfId="6028"/>
    <cellStyle name="Separador de milhares 49" xfId="3158"/>
    <cellStyle name="Separador de milhares 49 2" xfId="3883"/>
    <cellStyle name="Separador de milhares 49 2 2" xfId="6469"/>
    <cellStyle name="Separador de milhares 49 3" xfId="3882"/>
    <cellStyle name="Separador de milhares 49 3 2" xfId="6468"/>
    <cellStyle name="Separador de milhares 49 4" xfId="6029"/>
    <cellStyle name="Separador de milhares 5" xfId="381"/>
    <cellStyle name="Separador de milhares 5 10" xfId="21458"/>
    <cellStyle name="Separador de milhares 5 11" xfId="25490"/>
    <cellStyle name="Separador de milhares 5 12" xfId="29522"/>
    <cellStyle name="Separador de milhares 5 13" xfId="33554"/>
    <cellStyle name="Separador de milhares 5 14" xfId="37586"/>
    <cellStyle name="Separador de milhares 5 15" xfId="41618"/>
    <cellStyle name="Separador de milhares 5 16" xfId="45650"/>
    <cellStyle name="Separador de milhares 5 17" xfId="49728"/>
    <cellStyle name="Separador de milhares 5 2" xfId="3885"/>
    <cellStyle name="Separador de milhares 5 3" xfId="3884"/>
    <cellStyle name="Separador de milhares 5 4" xfId="3159"/>
    <cellStyle name="Separador de milhares 5 4 2" xfId="6030"/>
    <cellStyle name="Separador de milhares 5 5" xfId="4677"/>
    <cellStyle name="Separador de milhares 5 5 10" xfId="38551"/>
    <cellStyle name="Separador de milhares 5 5 11" xfId="42583"/>
    <cellStyle name="Separador de milhares 5 5 12" xfId="46615"/>
    <cellStyle name="Separador de milhares 5 5 13" xfId="50694"/>
    <cellStyle name="Separador de milhares 5 5 2" xfId="8309"/>
    <cellStyle name="Separador de milhares 5 5 2 10" xfId="44599"/>
    <cellStyle name="Separador de milhares 5 5 2 11" xfId="48631"/>
    <cellStyle name="Separador de milhares 5 5 2 12" xfId="52710"/>
    <cellStyle name="Separador de milhares 5 5 2 2" xfId="12343"/>
    <cellStyle name="Separador de milhares 5 5 2 3" xfId="16375"/>
    <cellStyle name="Separador de milhares 5 5 2 4" xfId="20407"/>
    <cellStyle name="Separador de milhares 5 5 2 5" xfId="24439"/>
    <cellStyle name="Separador de milhares 5 5 2 6" xfId="28471"/>
    <cellStyle name="Separador de milhares 5 5 2 7" xfId="32503"/>
    <cellStyle name="Separador de milhares 5 5 2 8" xfId="36535"/>
    <cellStyle name="Separador de milhares 5 5 2 9" xfId="40567"/>
    <cellStyle name="Separador de milhares 5 5 3" xfId="10327"/>
    <cellStyle name="Separador de milhares 5 5 4" xfId="14359"/>
    <cellStyle name="Separador de milhares 5 5 5" xfId="18391"/>
    <cellStyle name="Separador de milhares 5 5 6" xfId="22423"/>
    <cellStyle name="Separador de milhares 5 5 7" xfId="26455"/>
    <cellStyle name="Separador de milhares 5 5 8" xfId="30487"/>
    <cellStyle name="Separador de milhares 5 5 9" xfId="34519"/>
    <cellStyle name="Separador de milhares 5 6" xfId="7344"/>
    <cellStyle name="Separador de milhares 5 6 10" xfId="43634"/>
    <cellStyle name="Separador de milhares 5 6 11" xfId="47666"/>
    <cellStyle name="Separador de milhares 5 6 12" xfId="51745"/>
    <cellStyle name="Separador de milhares 5 6 2" xfId="11378"/>
    <cellStyle name="Separador de milhares 5 6 3" xfId="15410"/>
    <cellStyle name="Separador de milhares 5 6 4" xfId="19442"/>
    <cellStyle name="Separador de milhares 5 6 5" xfId="23474"/>
    <cellStyle name="Separador de milhares 5 6 6" xfId="27506"/>
    <cellStyle name="Separador de milhares 5 6 7" xfId="31538"/>
    <cellStyle name="Separador de milhares 5 6 8" xfId="35570"/>
    <cellStyle name="Separador de milhares 5 6 9" xfId="39602"/>
    <cellStyle name="Separador de milhares 5 7" xfId="9362"/>
    <cellStyle name="Separador de milhares 5 8" xfId="13394"/>
    <cellStyle name="Separador de milhares 5 9" xfId="17426"/>
    <cellStyle name="Separador de milhares 50" xfId="3160"/>
    <cellStyle name="Separador de milhares 50 2" xfId="3161"/>
    <cellStyle name="Separador de milhares 50 2 2" xfId="3888"/>
    <cellStyle name="Separador de milhares 50 2 2 2" xfId="6472"/>
    <cellStyle name="Separador de milhares 50 2 3" xfId="3887"/>
    <cellStyle name="Separador de milhares 50 2 3 2" xfId="6471"/>
    <cellStyle name="Separador de milhares 50 2 4" xfId="6032"/>
    <cellStyle name="Separador de milhares 50 3" xfId="3889"/>
    <cellStyle name="Separador de milhares 50 3 2" xfId="6473"/>
    <cellStyle name="Separador de milhares 50 4" xfId="3886"/>
    <cellStyle name="Separador de milhares 50 4 2" xfId="6470"/>
    <cellStyle name="Separador de milhares 50 5" xfId="6031"/>
    <cellStyle name="Separador de milhares 51" xfId="3162"/>
    <cellStyle name="Separador de milhares 51 2" xfId="3891"/>
    <cellStyle name="Separador de milhares 51 2 2" xfId="6475"/>
    <cellStyle name="Separador de milhares 51 3" xfId="3890"/>
    <cellStyle name="Separador de milhares 51 3 2" xfId="6474"/>
    <cellStyle name="Separador de milhares 51 4" xfId="6033"/>
    <cellStyle name="Separador de milhares 52" xfId="3163"/>
    <cellStyle name="Separador de milhares 52 2" xfId="3893"/>
    <cellStyle name="Separador de milhares 52 2 2" xfId="6477"/>
    <cellStyle name="Separador de milhares 52 3" xfId="3892"/>
    <cellStyle name="Separador de milhares 52 3 2" xfId="6476"/>
    <cellStyle name="Separador de milhares 52 4" xfId="6034"/>
    <cellStyle name="Separador de milhares 53" xfId="3164"/>
    <cellStyle name="Separador de milhares 53 2" xfId="3895"/>
    <cellStyle name="Separador de milhares 53 2 2" xfId="6479"/>
    <cellStyle name="Separador de milhares 53 3" xfId="3894"/>
    <cellStyle name="Separador de milhares 53 3 2" xfId="6478"/>
    <cellStyle name="Separador de milhares 53 4" xfId="6035"/>
    <cellStyle name="Separador de milhares 54" xfId="3165"/>
    <cellStyle name="Separador de milhares 54 2" xfId="3897"/>
    <cellStyle name="Separador de milhares 54 2 2" xfId="6481"/>
    <cellStyle name="Separador de milhares 54 3" xfId="3896"/>
    <cellStyle name="Separador de milhares 54 3 2" xfId="6480"/>
    <cellStyle name="Separador de milhares 54 4" xfId="6036"/>
    <cellStyle name="Separador de milhares 55" xfId="3166"/>
    <cellStyle name="Separador de milhares 55 2" xfId="3167"/>
    <cellStyle name="Separador de milhares 55 2 2" xfId="3900"/>
    <cellStyle name="Separador de milhares 55 2 2 2" xfId="6484"/>
    <cellStyle name="Separador de milhares 55 2 3" xfId="3899"/>
    <cellStyle name="Separador de milhares 55 2 3 2" xfId="6483"/>
    <cellStyle name="Separador de milhares 55 2 4" xfId="6038"/>
    <cellStyle name="Separador de milhares 55 3" xfId="3901"/>
    <cellStyle name="Separador de milhares 55 3 2" xfId="6485"/>
    <cellStyle name="Separador de milhares 55 4" xfId="3898"/>
    <cellStyle name="Separador de milhares 55 4 2" xfId="6482"/>
    <cellStyle name="Separador de milhares 55 5" xfId="6037"/>
    <cellStyle name="Separador de milhares 56" xfId="3168"/>
    <cellStyle name="Separador de milhares 56 2" xfId="3903"/>
    <cellStyle name="Separador de milhares 56 2 2" xfId="6487"/>
    <cellStyle name="Separador de milhares 56 3" xfId="3902"/>
    <cellStyle name="Separador de milhares 56 3 2" xfId="6486"/>
    <cellStyle name="Separador de milhares 56 4" xfId="6039"/>
    <cellStyle name="Separador de milhares 57" xfId="3169"/>
    <cellStyle name="Separador de milhares 57 2" xfId="3170"/>
    <cellStyle name="Separador de milhares 57 2 2" xfId="3906"/>
    <cellStyle name="Separador de milhares 57 2 2 2" xfId="6490"/>
    <cellStyle name="Separador de milhares 57 2 3" xfId="3905"/>
    <cellStyle name="Separador de milhares 57 2 3 2" xfId="6489"/>
    <cellStyle name="Separador de milhares 57 2 4" xfId="6041"/>
    <cellStyle name="Separador de milhares 57 3" xfId="3907"/>
    <cellStyle name="Separador de milhares 57 3 2" xfId="6491"/>
    <cellStyle name="Separador de milhares 57 4" xfId="3904"/>
    <cellStyle name="Separador de milhares 57 4 2" xfId="6488"/>
    <cellStyle name="Separador de milhares 57 5" xfId="6040"/>
    <cellStyle name="Separador de milhares 58" xfId="3171"/>
    <cellStyle name="Separador de milhares 58 2" xfId="3909"/>
    <cellStyle name="Separador de milhares 58 2 2" xfId="6493"/>
    <cellStyle name="Separador de milhares 58 3" xfId="3908"/>
    <cellStyle name="Separador de milhares 58 3 2" xfId="6492"/>
    <cellStyle name="Separador de milhares 58 4" xfId="6042"/>
    <cellStyle name="Separador de milhares 59" xfId="3172"/>
    <cellStyle name="Separador de milhares 59 2" xfId="3911"/>
    <cellStyle name="Separador de milhares 59 2 2" xfId="6495"/>
    <cellStyle name="Separador de milhares 59 3" xfId="3910"/>
    <cellStyle name="Separador de milhares 59 3 2" xfId="6494"/>
    <cellStyle name="Separador de milhares 59 4" xfId="6043"/>
    <cellStyle name="Separador de milhares 6" xfId="3173"/>
    <cellStyle name="Separador de milhares 6 2" xfId="3174"/>
    <cellStyle name="Separador de milhares 6 2 2" xfId="3914"/>
    <cellStyle name="Separador de milhares 6 2 2 2" xfId="6498"/>
    <cellStyle name="Separador de milhares 6 2 3" xfId="3913"/>
    <cellStyle name="Separador de milhares 6 2 3 2" xfId="6497"/>
    <cellStyle name="Separador de milhares 6 2 4" xfId="6045"/>
    <cellStyle name="Separador de milhares 6 3" xfId="3915"/>
    <cellStyle name="Separador de milhares 6 3 2" xfId="6499"/>
    <cellStyle name="Separador de milhares 6 4" xfId="3912"/>
    <cellStyle name="Separador de milhares 6 4 2" xfId="6496"/>
    <cellStyle name="Separador de milhares 6 5" xfId="6044"/>
    <cellStyle name="Separador de milhares 60" xfId="3175"/>
    <cellStyle name="Separador de milhares 60 2" xfId="3917"/>
    <cellStyle name="Separador de milhares 60 2 2" xfId="6501"/>
    <cellStyle name="Separador de milhares 60 3" xfId="3916"/>
    <cellStyle name="Separador de milhares 60 3 2" xfId="6500"/>
    <cellStyle name="Separador de milhares 60 4" xfId="6046"/>
    <cellStyle name="Separador de milhares 61" xfId="3176"/>
    <cellStyle name="Separador de milhares 61 2" xfId="3177"/>
    <cellStyle name="Separador de milhares 61 2 2" xfId="3920"/>
    <cellStyle name="Separador de milhares 61 2 2 2" xfId="6504"/>
    <cellStyle name="Separador de milhares 61 2 3" xfId="3919"/>
    <cellStyle name="Separador de milhares 61 2 3 2" xfId="6503"/>
    <cellStyle name="Separador de milhares 61 2 4" xfId="6048"/>
    <cellStyle name="Separador de milhares 61 3" xfId="3921"/>
    <cellStyle name="Separador de milhares 61 3 2" xfId="6505"/>
    <cellStyle name="Separador de milhares 61 4" xfId="3918"/>
    <cellStyle name="Separador de milhares 61 4 2" xfId="6502"/>
    <cellStyle name="Separador de milhares 61 5" xfId="6047"/>
    <cellStyle name="Separador de milhares 62" xfId="3178"/>
    <cellStyle name="Separador de milhares 62 2" xfId="3923"/>
    <cellStyle name="Separador de milhares 62 2 2" xfId="6507"/>
    <cellStyle name="Separador de milhares 62 3" xfId="3922"/>
    <cellStyle name="Separador de milhares 62 3 2" xfId="6506"/>
    <cellStyle name="Separador de milhares 62 4" xfId="6049"/>
    <cellStyle name="Separador de milhares 63" xfId="3179"/>
    <cellStyle name="Separador de milhares 63 2" xfId="3925"/>
    <cellStyle name="Separador de milhares 63 2 2" xfId="6509"/>
    <cellStyle name="Separador de milhares 63 3" xfId="3924"/>
    <cellStyle name="Separador de milhares 63 3 2" xfId="6508"/>
    <cellStyle name="Separador de milhares 63 4" xfId="6050"/>
    <cellStyle name="Separador de milhares 64" xfId="3180"/>
    <cellStyle name="Separador de milhares 64 2" xfId="3927"/>
    <cellStyle name="Separador de milhares 64 2 2" xfId="6511"/>
    <cellStyle name="Separador de milhares 64 3" xfId="3926"/>
    <cellStyle name="Separador de milhares 64 3 2" xfId="6510"/>
    <cellStyle name="Separador de milhares 64 4" xfId="6051"/>
    <cellStyle name="Separador de milhares 65" xfId="3181"/>
    <cellStyle name="Separador de milhares 65 2" xfId="3182"/>
    <cellStyle name="Separador de milhares 65 2 2" xfId="3930"/>
    <cellStyle name="Separador de milhares 65 2 2 2" xfId="6514"/>
    <cellStyle name="Separador de milhares 65 2 3" xfId="3929"/>
    <cellStyle name="Separador de milhares 65 2 3 2" xfId="6513"/>
    <cellStyle name="Separador de milhares 65 2 4" xfId="6053"/>
    <cellStyle name="Separador de milhares 65 3" xfId="3931"/>
    <cellStyle name="Separador de milhares 65 3 2" xfId="6515"/>
    <cellStyle name="Separador de milhares 65 4" xfId="3928"/>
    <cellStyle name="Separador de milhares 65 4 2" xfId="6512"/>
    <cellStyle name="Separador de milhares 65 5" xfId="6052"/>
    <cellStyle name="Separador de milhares 66" xfId="3183"/>
    <cellStyle name="Separador de milhares 66 2" xfId="3184"/>
    <cellStyle name="Separador de milhares 66 2 2" xfId="3934"/>
    <cellStyle name="Separador de milhares 66 2 2 2" xfId="6518"/>
    <cellStyle name="Separador de milhares 66 2 3" xfId="3933"/>
    <cellStyle name="Separador de milhares 66 2 3 2" xfId="6517"/>
    <cellStyle name="Separador de milhares 66 2 4" xfId="6055"/>
    <cellStyle name="Separador de milhares 66 3" xfId="3935"/>
    <cellStyle name="Separador de milhares 66 3 2" xfId="6519"/>
    <cellStyle name="Separador de milhares 66 4" xfId="3932"/>
    <cellStyle name="Separador de milhares 66 4 2" xfId="6516"/>
    <cellStyle name="Separador de milhares 66 5" xfId="6054"/>
    <cellStyle name="Separador de milhares 67" xfId="3185"/>
    <cellStyle name="Separador de milhares 67 2" xfId="3937"/>
    <cellStyle name="Separador de milhares 67 2 2" xfId="6521"/>
    <cellStyle name="Separador de milhares 67 3" xfId="3936"/>
    <cellStyle name="Separador de milhares 67 3 2" xfId="6520"/>
    <cellStyle name="Separador de milhares 67 4" xfId="6056"/>
    <cellStyle name="Separador de milhares 68" xfId="3186"/>
    <cellStyle name="Separador de milhares 68 2" xfId="3939"/>
    <cellStyle name="Separador de milhares 68 2 2" xfId="6523"/>
    <cellStyle name="Separador de milhares 68 3" xfId="3938"/>
    <cellStyle name="Separador de milhares 68 3 2" xfId="6522"/>
    <cellStyle name="Separador de milhares 68 4" xfId="6057"/>
    <cellStyle name="Separador de milhares 69" xfId="3187"/>
    <cellStyle name="Separador de milhares 69 2" xfId="3941"/>
    <cellStyle name="Separador de milhares 69 2 2" xfId="6525"/>
    <cellStyle name="Separador de milhares 69 3" xfId="3940"/>
    <cellStyle name="Separador de milhares 69 3 2" xfId="6524"/>
    <cellStyle name="Separador de milhares 69 4" xfId="6058"/>
    <cellStyle name="Separador de milhares 7" xfId="3188"/>
    <cellStyle name="Separador de milhares 7 2" xfId="3943"/>
    <cellStyle name="Separador de milhares 7 2 2" xfId="6527"/>
    <cellStyle name="Separador de milhares 7 3" xfId="3942"/>
    <cellStyle name="Separador de milhares 7 3 2" xfId="6526"/>
    <cellStyle name="Separador de milhares 7 4" xfId="6059"/>
    <cellStyle name="Separador de milhares 70" xfId="3189"/>
    <cellStyle name="Separador de milhares 70 2" xfId="3945"/>
    <cellStyle name="Separador de milhares 70 2 2" xfId="6529"/>
    <cellStyle name="Separador de milhares 70 3" xfId="3944"/>
    <cellStyle name="Separador de milhares 70 3 2" xfId="6528"/>
    <cellStyle name="Separador de milhares 70 4" xfId="6060"/>
    <cellStyle name="Separador de milhares 71" xfId="3190"/>
    <cellStyle name="Separador de milhares 71 2" xfId="3947"/>
    <cellStyle name="Separador de milhares 71 2 2" xfId="6531"/>
    <cellStyle name="Separador de milhares 71 3" xfId="3946"/>
    <cellStyle name="Separador de milhares 71 3 2" xfId="6530"/>
    <cellStyle name="Separador de milhares 71 4" xfId="6061"/>
    <cellStyle name="Separador de milhares 72" xfId="3191"/>
    <cellStyle name="Separador de milhares 72 2" xfId="3949"/>
    <cellStyle name="Separador de milhares 72 2 2" xfId="6533"/>
    <cellStyle name="Separador de milhares 72 3" xfId="3948"/>
    <cellStyle name="Separador de milhares 72 3 2" xfId="6532"/>
    <cellStyle name="Separador de milhares 72 4" xfId="6062"/>
    <cellStyle name="Separador de milhares 73" xfId="3192"/>
    <cellStyle name="Separador de milhares 73 2" xfId="3951"/>
    <cellStyle name="Separador de milhares 73 2 2" xfId="6535"/>
    <cellStyle name="Separador de milhares 73 3" xfId="3950"/>
    <cellStyle name="Separador de milhares 73 3 2" xfId="6534"/>
    <cellStyle name="Separador de milhares 73 4" xfId="6063"/>
    <cellStyle name="Separador de milhares 74" xfId="3193"/>
    <cellStyle name="Separador de milhares 74 2" xfId="3953"/>
    <cellStyle name="Separador de milhares 74 2 2" xfId="6537"/>
    <cellStyle name="Separador de milhares 74 3" xfId="3952"/>
    <cellStyle name="Separador de milhares 74 3 2" xfId="6536"/>
    <cellStyle name="Separador de milhares 74 4" xfId="6064"/>
    <cellStyle name="Separador de milhares 75" xfId="3194"/>
    <cellStyle name="Separador de milhares 75 2" xfId="3955"/>
    <cellStyle name="Separador de milhares 75 2 2" xfId="6539"/>
    <cellStyle name="Separador de milhares 75 3" xfId="3954"/>
    <cellStyle name="Separador de milhares 75 3 2" xfId="6538"/>
    <cellStyle name="Separador de milhares 75 4" xfId="6065"/>
    <cellStyle name="Separador de milhares 76" xfId="3195"/>
    <cellStyle name="Separador de milhares 76 2" xfId="3957"/>
    <cellStyle name="Separador de milhares 76 2 2" xfId="6541"/>
    <cellStyle name="Separador de milhares 76 3" xfId="3956"/>
    <cellStyle name="Separador de milhares 76 3 2" xfId="6540"/>
    <cellStyle name="Separador de milhares 76 4" xfId="6066"/>
    <cellStyle name="Separador de milhares 77" xfId="3196"/>
    <cellStyle name="Separador de milhares 77 2" xfId="3959"/>
    <cellStyle name="Separador de milhares 77 2 2" xfId="6543"/>
    <cellStyle name="Separador de milhares 77 3" xfId="3958"/>
    <cellStyle name="Separador de milhares 77 3 2" xfId="6542"/>
    <cellStyle name="Separador de milhares 77 4" xfId="6067"/>
    <cellStyle name="Separador de milhares 78" xfId="3197"/>
    <cellStyle name="Separador de milhares 78 2" xfId="3961"/>
    <cellStyle name="Separador de milhares 78 2 2" xfId="6545"/>
    <cellStyle name="Separador de milhares 78 3" xfId="3960"/>
    <cellStyle name="Separador de milhares 78 3 2" xfId="6544"/>
    <cellStyle name="Separador de milhares 78 4" xfId="6068"/>
    <cellStyle name="Separador de milhares 79" xfId="3198"/>
    <cellStyle name="Separador de milhares 79 2" xfId="3963"/>
    <cellStyle name="Separador de milhares 79 2 2" xfId="6547"/>
    <cellStyle name="Separador de milhares 79 3" xfId="3962"/>
    <cellStyle name="Separador de milhares 79 3 2" xfId="6546"/>
    <cellStyle name="Separador de milhares 79 4" xfId="6069"/>
    <cellStyle name="Separador de milhares 8" xfId="3199"/>
    <cellStyle name="Separador de milhares 8 2" xfId="3200"/>
    <cellStyle name="Separador de milhares 8 2 2" xfId="3966"/>
    <cellStyle name="Separador de milhares 8 2 2 2" xfId="6550"/>
    <cellStyle name="Separador de milhares 8 2 3" xfId="3965"/>
    <cellStyle name="Separador de milhares 8 2 3 2" xfId="6549"/>
    <cellStyle name="Separador de milhares 8 2 4" xfId="6071"/>
    <cellStyle name="Separador de milhares 8 3" xfId="3967"/>
    <cellStyle name="Separador de milhares 8 3 2" xfId="6551"/>
    <cellStyle name="Separador de milhares 8 4" xfId="3964"/>
    <cellStyle name="Separador de milhares 8 4 2" xfId="6548"/>
    <cellStyle name="Separador de milhares 8 5" xfId="6070"/>
    <cellStyle name="Separador de milhares 80" xfId="3201"/>
    <cellStyle name="Separador de milhares 80 2" xfId="3969"/>
    <cellStyle name="Separador de milhares 80 2 2" xfId="6553"/>
    <cellStyle name="Separador de milhares 80 3" xfId="3968"/>
    <cellStyle name="Separador de milhares 80 3 2" xfId="6552"/>
    <cellStyle name="Separador de milhares 80 4" xfId="6072"/>
    <cellStyle name="Separador de milhares 81" xfId="3202"/>
    <cellStyle name="Separador de milhares 81 2" xfId="3971"/>
    <cellStyle name="Separador de milhares 81 2 2" xfId="6555"/>
    <cellStyle name="Separador de milhares 81 3" xfId="3970"/>
    <cellStyle name="Separador de milhares 81 3 2" xfId="6554"/>
    <cellStyle name="Separador de milhares 81 4" xfId="6073"/>
    <cellStyle name="Separador de milhares 82" xfId="3203"/>
    <cellStyle name="Separador de milhares 82 2" xfId="3973"/>
    <cellStyle name="Separador de milhares 82 2 2" xfId="6557"/>
    <cellStyle name="Separador de milhares 82 3" xfId="3972"/>
    <cellStyle name="Separador de milhares 82 3 2" xfId="6556"/>
    <cellStyle name="Separador de milhares 82 4" xfId="6074"/>
    <cellStyle name="Separador de milhares 83" xfId="3204"/>
    <cellStyle name="Separador de milhares 83 2" xfId="3975"/>
    <cellStyle name="Separador de milhares 83 2 2" xfId="6559"/>
    <cellStyle name="Separador de milhares 83 3" xfId="3974"/>
    <cellStyle name="Separador de milhares 83 3 2" xfId="6558"/>
    <cellStyle name="Separador de milhares 83 4" xfId="6075"/>
    <cellStyle name="Separador de milhares 84" xfId="3205"/>
    <cellStyle name="Separador de milhares 84 2" xfId="3977"/>
    <cellStyle name="Separador de milhares 84 2 2" xfId="6561"/>
    <cellStyle name="Separador de milhares 84 3" xfId="3976"/>
    <cellStyle name="Separador de milhares 84 3 2" xfId="6560"/>
    <cellStyle name="Separador de milhares 84 4" xfId="6076"/>
    <cellStyle name="Separador de milhares 85" xfId="3206"/>
    <cellStyle name="Separador de milhares 85 2" xfId="3979"/>
    <cellStyle name="Separador de milhares 85 2 2" xfId="6563"/>
    <cellStyle name="Separador de milhares 85 3" xfId="3978"/>
    <cellStyle name="Separador de milhares 85 3 2" xfId="6562"/>
    <cellStyle name="Separador de milhares 85 4" xfId="6077"/>
    <cellStyle name="Separador de milhares 86" xfId="3207"/>
    <cellStyle name="Separador de milhares 86 2" xfId="3981"/>
    <cellStyle name="Separador de milhares 86 2 2" xfId="6565"/>
    <cellStyle name="Separador de milhares 86 3" xfId="3980"/>
    <cellStyle name="Separador de milhares 86 3 2" xfId="6564"/>
    <cellStyle name="Separador de milhares 86 4" xfId="6078"/>
    <cellStyle name="Separador de milhares 87" xfId="3208"/>
    <cellStyle name="Separador de milhares 87 2" xfId="3983"/>
    <cellStyle name="Separador de milhares 87 2 2" xfId="6567"/>
    <cellStyle name="Separador de milhares 87 3" xfId="3982"/>
    <cellStyle name="Separador de milhares 87 3 2" xfId="6566"/>
    <cellStyle name="Separador de milhares 87 4" xfId="6079"/>
    <cellStyle name="Separador de milhares 88" xfId="3209"/>
    <cellStyle name="Separador de milhares 88 2" xfId="3985"/>
    <cellStyle name="Separador de milhares 88 2 2" xfId="6569"/>
    <cellStyle name="Separador de milhares 88 3" xfId="3984"/>
    <cellStyle name="Separador de milhares 88 3 2" xfId="6568"/>
    <cellStyle name="Separador de milhares 88 4" xfId="6080"/>
    <cellStyle name="Separador de milhares 89" xfId="3210"/>
    <cellStyle name="Separador de milhares 89 2" xfId="3987"/>
    <cellStyle name="Separador de milhares 89 2 2" xfId="6571"/>
    <cellStyle name="Separador de milhares 89 3" xfId="3986"/>
    <cellStyle name="Separador de milhares 89 3 2" xfId="6570"/>
    <cellStyle name="Separador de milhares 89 4" xfId="6081"/>
    <cellStyle name="Separador de milhares 9" xfId="3211"/>
    <cellStyle name="Separador de milhares 9 2" xfId="3212"/>
    <cellStyle name="Separador de milhares 9 2 2" xfId="3990"/>
    <cellStyle name="Separador de milhares 9 2 2 2" xfId="6574"/>
    <cellStyle name="Separador de milhares 9 2 3" xfId="3989"/>
    <cellStyle name="Separador de milhares 9 2 3 2" xfId="6573"/>
    <cellStyle name="Separador de milhares 9 2 4" xfId="6083"/>
    <cellStyle name="Separador de milhares 9 3" xfId="3991"/>
    <cellStyle name="Separador de milhares 9 3 2" xfId="6575"/>
    <cellStyle name="Separador de milhares 9 4" xfId="3988"/>
    <cellStyle name="Separador de milhares 9 4 2" xfId="6572"/>
    <cellStyle name="Separador de milhares 9 5" xfId="6082"/>
    <cellStyle name="Separador de milhares 90" xfId="3213"/>
    <cellStyle name="Separador de milhares 90 2" xfId="3993"/>
    <cellStyle name="Separador de milhares 90 2 2" xfId="6577"/>
    <cellStyle name="Separador de milhares 90 3" xfId="3992"/>
    <cellStyle name="Separador de milhares 90 3 2" xfId="6576"/>
    <cellStyle name="Separador de milhares 90 4" xfId="6084"/>
    <cellStyle name="Separador de milhares 91" xfId="3214"/>
    <cellStyle name="Separador de milhares 91 2" xfId="3995"/>
    <cellStyle name="Separador de milhares 91 2 2" xfId="6579"/>
    <cellStyle name="Separador de milhares 91 3" xfId="3994"/>
    <cellStyle name="Separador de milhares 91 3 2" xfId="6578"/>
    <cellStyle name="Separador de milhares 91 4" xfId="6085"/>
    <cellStyle name="Separador de milhares 92" xfId="3215"/>
    <cellStyle name="Separador de milhares 92 2" xfId="3997"/>
    <cellStyle name="Separador de milhares 92 2 2" xfId="6581"/>
    <cellStyle name="Separador de milhares 92 3" xfId="3996"/>
    <cellStyle name="Separador de milhares 92 3 2" xfId="6580"/>
    <cellStyle name="Separador de milhares 92 4" xfId="6086"/>
    <cellStyle name="Separador de milhares 93" xfId="3216"/>
    <cellStyle name="Separador de milhares 93 2" xfId="3999"/>
    <cellStyle name="Separador de milhares 93 2 2" xfId="6583"/>
    <cellStyle name="Separador de milhares 93 3" xfId="3998"/>
    <cellStyle name="Separador de milhares 93 3 2" xfId="6582"/>
    <cellStyle name="Separador de milhares 93 4" xfId="6087"/>
    <cellStyle name="Separador de milhares 94" xfId="3217"/>
    <cellStyle name="Separador de milhares 94 2" xfId="4001"/>
    <cellStyle name="Separador de milhares 94 2 2" xfId="6585"/>
    <cellStyle name="Separador de milhares 94 3" xfId="4000"/>
    <cellStyle name="Separador de milhares 94 3 2" xfId="6584"/>
    <cellStyle name="Separador de milhares 94 4" xfId="6088"/>
    <cellStyle name="Separador de milhares 95" xfId="3218"/>
    <cellStyle name="Separador de milhares 95 2" xfId="4003"/>
    <cellStyle name="Separador de milhares 95 2 2" xfId="6587"/>
    <cellStyle name="Separador de milhares 95 3" xfId="4002"/>
    <cellStyle name="Separador de milhares 95 3 2" xfId="6586"/>
    <cellStyle name="Separador de milhares 95 4" xfId="6089"/>
    <cellStyle name="Separador de milhares 96" xfId="3219"/>
    <cellStyle name="Separador de milhares 96 2" xfId="4005"/>
    <cellStyle name="Separador de milhares 96 2 2" xfId="6589"/>
    <cellStyle name="Separador de milhares 96 3" xfId="4004"/>
    <cellStyle name="Separador de milhares 96 3 2" xfId="6588"/>
    <cellStyle name="Separador de milhares 96 4" xfId="6090"/>
    <cellStyle name="Separador de milhares 97" xfId="3220"/>
    <cellStyle name="Separador de milhares 97 2" xfId="4007"/>
    <cellStyle name="Separador de milhares 97 2 2" xfId="6591"/>
    <cellStyle name="Separador de milhares 97 3" xfId="4006"/>
    <cellStyle name="Separador de milhares 97 3 2" xfId="6590"/>
    <cellStyle name="Separador de milhares 97 4" xfId="6091"/>
    <cellStyle name="Separador de milhares 98" xfId="3221"/>
    <cellStyle name="Separador de milhares 98 2" xfId="4009"/>
    <cellStyle name="Separador de milhares 98 2 2" xfId="6593"/>
    <cellStyle name="Separador de milhares 98 3" xfId="4008"/>
    <cellStyle name="Separador de milhares 98 3 2" xfId="6592"/>
    <cellStyle name="Separador de milhares 98 4" xfId="6092"/>
    <cellStyle name="Separador de milhares 99" xfId="3222"/>
    <cellStyle name="Separador de milhares 99 2" xfId="4011"/>
    <cellStyle name="Separador de milhares 99 2 2" xfId="6595"/>
    <cellStyle name="Separador de milhares 99 3" xfId="4010"/>
    <cellStyle name="Separador de milhares 99 3 2" xfId="6594"/>
    <cellStyle name="Separador de milhares 99 4" xfId="6093"/>
    <cellStyle name="Texto de Aviso 10 2" xfId="3223"/>
    <cellStyle name="Texto de Aviso 11 2" xfId="3224"/>
    <cellStyle name="Texto de Aviso 12 2" xfId="3225"/>
    <cellStyle name="Texto de Aviso 13 2" xfId="3226"/>
    <cellStyle name="Texto de Aviso 14 2" xfId="3227"/>
    <cellStyle name="Texto de Aviso 15 2" xfId="3228"/>
    <cellStyle name="Texto de Aviso 16 2" xfId="3229"/>
    <cellStyle name="Texto de Aviso 17 2" xfId="3230"/>
    <cellStyle name="Texto de Aviso 2" xfId="427"/>
    <cellStyle name="Texto de Aviso 2 2" xfId="1102"/>
    <cellStyle name="Texto de Aviso 2 2 2" xfId="3232"/>
    <cellStyle name="Texto de Aviso 2 3" xfId="3231"/>
    <cellStyle name="Texto de Aviso 3" xfId="1103"/>
    <cellStyle name="Texto de Aviso 3 2" xfId="3233"/>
    <cellStyle name="Texto de Aviso 4" xfId="1156"/>
    <cellStyle name="Texto de Aviso 4 2" xfId="3235"/>
    <cellStyle name="Texto de Aviso 4 3" xfId="3234"/>
    <cellStyle name="Texto de Aviso 5" xfId="1214"/>
    <cellStyle name="Texto de Aviso 5 2" xfId="3237"/>
    <cellStyle name="Texto de Aviso 5 3" xfId="3236"/>
    <cellStyle name="Texto de Aviso 6" xfId="1237"/>
    <cellStyle name="Texto de Aviso 6 2" xfId="3238"/>
    <cellStyle name="Texto de Aviso 7 2" xfId="3239"/>
    <cellStyle name="Texto de Aviso 8 2" xfId="3240"/>
    <cellStyle name="Texto de Aviso 9 2" xfId="3241"/>
    <cellStyle name="Texto Explicativo 10 2" xfId="3242"/>
    <cellStyle name="Texto Explicativo 11 2" xfId="3243"/>
    <cellStyle name="Texto Explicativo 12 2" xfId="3244"/>
    <cellStyle name="Texto Explicativo 13 2" xfId="3245"/>
    <cellStyle name="Texto Explicativo 14 2" xfId="3246"/>
    <cellStyle name="Texto Explicativo 15 2" xfId="3247"/>
    <cellStyle name="Texto Explicativo 16 2" xfId="3248"/>
    <cellStyle name="Texto Explicativo 17 2" xfId="3249"/>
    <cellStyle name="Texto Explicativo 2" xfId="428"/>
    <cellStyle name="Texto Explicativo 2 2" xfId="1104"/>
    <cellStyle name="Texto Explicativo 2 2 2" xfId="3251"/>
    <cellStyle name="Texto Explicativo 2 3" xfId="1693"/>
    <cellStyle name="Texto Explicativo 2 4" xfId="3250"/>
    <cellStyle name="Texto Explicativo 3" xfId="1105"/>
    <cellStyle name="Texto Explicativo 3 2" xfId="3252"/>
    <cellStyle name="Texto Explicativo 4" xfId="1157"/>
    <cellStyle name="Texto Explicativo 4 2" xfId="3254"/>
    <cellStyle name="Texto Explicativo 4 3" xfId="3253"/>
    <cellStyle name="Texto Explicativo 5" xfId="1215"/>
    <cellStyle name="Texto Explicativo 5 2" xfId="3256"/>
    <cellStyle name="Texto Explicativo 5 3" xfId="3255"/>
    <cellStyle name="Texto Explicativo 6" xfId="1238"/>
    <cellStyle name="Texto Explicativo 6 2" xfId="3257"/>
    <cellStyle name="Texto Explicativo 7 2" xfId="3258"/>
    <cellStyle name="Texto Explicativo 8 2" xfId="3259"/>
    <cellStyle name="Texto Explicativo 9 2" xfId="3260"/>
    <cellStyle name="Title" xfId="515"/>
    <cellStyle name="Título 1 1" xfId="30"/>
    <cellStyle name="Título 1 1 2" xfId="429"/>
    <cellStyle name="Título 1 10 2" xfId="3261"/>
    <cellStyle name="Título 1 11 2" xfId="3262"/>
    <cellStyle name="Título 1 12 2" xfId="3263"/>
    <cellStyle name="Título 1 13 2" xfId="3264"/>
    <cellStyle name="Título 1 14 2" xfId="3265"/>
    <cellStyle name="Título 1 15 2" xfId="3266"/>
    <cellStyle name="Título 1 16 2" xfId="3267"/>
    <cellStyle name="Título 1 17 2" xfId="3268"/>
    <cellStyle name="Título 1 2" xfId="430"/>
    <cellStyle name="Título 1 2 2" xfId="741"/>
    <cellStyle name="Título 1 2 2 2" xfId="3270"/>
    <cellStyle name="Título 1 2 3" xfId="875"/>
    <cellStyle name="Título 1 2 4" xfId="1106"/>
    <cellStyle name="Título 1 2 5" xfId="3269"/>
    <cellStyle name="Título 1 3" xfId="517"/>
    <cellStyle name="Título 1 3 2" xfId="1107"/>
    <cellStyle name="Título 1 3 2 2" xfId="3271"/>
    <cellStyle name="Título 1 4" xfId="1159"/>
    <cellStyle name="Título 1 4 2" xfId="3273"/>
    <cellStyle name="Título 1 4 3" xfId="3272"/>
    <cellStyle name="Título 1 5" xfId="1217"/>
    <cellStyle name="Título 1 5 2" xfId="3275"/>
    <cellStyle name="Título 1 5 3" xfId="3274"/>
    <cellStyle name="Título 1 6" xfId="1240"/>
    <cellStyle name="Título 1 6 2" xfId="3276"/>
    <cellStyle name="Título 1 7 2" xfId="3277"/>
    <cellStyle name="Título 1 8 2" xfId="3278"/>
    <cellStyle name="Título 1 9 2" xfId="3279"/>
    <cellStyle name="Título 10 2" xfId="3280"/>
    <cellStyle name="Título 11 2" xfId="3281"/>
    <cellStyle name="Título 12 2" xfId="3282"/>
    <cellStyle name="Título 13 2" xfId="3283"/>
    <cellStyle name="Título 14 2" xfId="3284"/>
    <cellStyle name="Título 15 2" xfId="3285"/>
    <cellStyle name="Título 16 2" xfId="3286"/>
    <cellStyle name="Título 17 2" xfId="3287"/>
    <cellStyle name="Título 18 2" xfId="3288"/>
    <cellStyle name="Título 19 2" xfId="3289"/>
    <cellStyle name="Título 2 10 2" xfId="3290"/>
    <cellStyle name="Título 2 11 2" xfId="3291"/>
    <cellStyle name="Título 2 12 2" xfId="3292"/>
    <cellStyle name="Título 2 13 2" xfId="3293"/>
    <cellStyle name="Título 2 14 2" xfId="3294"/>
    <cellStyle name="Título 2 15 2" xfId="3295"/>
    <cellStyle name="Título 2 16 2" xfId="3296"/>
    <cellStyle name="Título 2 17 2" xfId="3297"/>
    <cellStyle name="Título 2 2" xfId="431"/>
    <cellStyle name="Título 2 2 2" xfId="742"/>
    <cellStyle name="Título 2 2 2 2" xfId="3299"/>
    <cellStyle name="Título 2 2 3" xfId="876"/>
    <cellStyle name="Título 2 2 4" xfId="1108"/>
    <cellStyle name="Título 2 2 5" xfId="3298"/>
    <cellStyle name="Título 2 3" xfId="518"/>
    <cellStyle name="Título 2 3 2" xfId="1109"/>
    <cellStyle name="Título 2 3 2 2" xfId="3300"/>
    <cellStyle name="Título 2 4" xfId="1160"/>
    <cellStyle name="Título 2 4 2" xfId="3302"/>
    <cellStyle name="Título 2 4 3" xfId="3301"/>
    <cellStyle name="Título 2 5" xfId="1218"/>
    <cellStyle name="Título 2 5 2" xfId="3304"/>
    <cellStyle name="Título 2 5 3" xfId="3303"/>
    <cellStyle name="Título 2 6" xfId="1241"/>
    <cellStyle name="Título 2 6 2" xfId="3305"/>
    <cellStyle name="Título 2 7 2" xfId="3306"/>
    <cellStyle name="Título 2 8 2" xfId="3307"/>
    <cellStyle name="Título 2 9 2" xfId="3308"/>
    <cellStyle name="Título 20 2" xfId="3309"/>
    <cellStyle name="Título 3 10 2" xfId="3310"/>
    <cellStyle name="Título 3 11 2" xfId="3311"/>
    <cellStyle name="Título 3 12 2" xfId="3312"/>
    <cellStyle name="Título 3 13 2" xfId="3313"/>
    <cellStyle name="Título 3 14 2" xfId="3314"/>
    <cellStyle name="Título 3 15 2" xfId="3315"/>
    <cellStyle name="Título 3 16 2" xfId="3316"/>
    <cellStyle name="Título 3 17 2" xfId="3317"/>
    <cellStyle name="Título 3 2" xfId="432"/>
    <cellStyle name="Título 3 2 2" xfId="743"/>
    <cellStyle name="Título 3 2 2 2" xfId="3319"/>
    <cellStyle name="Título 3 2 3" xfId="877"/>
    <cellStyle name="Título 3 2 4" xfId="1110"/>
    <cellStyle name="Título 3 2 5" xfId="3318"/>
    <cellStyle name="Título 3 3" xfId="519"/>
    <cellStyle name="Título 3 3 2" xfId="1111"/>
    <cellStyle name="Título 3 3 2 2" xfId="3320"/>
    <cellStyle name="Título 3 4" xfId="1161"/>
    <cellStyle name="Título 3 4 2" xfId="3322"/>
    <cellStyle name="Título 3 4 3" xfId="3321"/>
    <cellStyle name="Título 3 5" xfId="1219"/>
    <cellStyle name="Título 3 5 2" xfId="3324"/>
    <cellStyle name="Título 3 5 3" xfId="3323"/>
    <cellStyle name="Título 3 6" xfId="1242"/>
    <cellStyle name="Título 3 6 2" xfId="3325"/>
    <cellStyle name="Título 3 7 2" xfId="3326"/>
    <cellStyle name="Título 3 8 2" xfId="3327"/>
    <cellStyle name="Título 3 9 2" xfId="3328"/>
    <cellStyle name="Título 4 10 2" xfId="3329"/>
    <cellStyle name="Título 4 11 2" xfId="3330"/>
    <cellStyle name="Título 4 12 2" xfId="3331"/>
    <cellStyle name="Título 4 13 2" xfId="3332"/>
    <cellStyle name="Título 4 14 2" xfId="3333"/>
    <cellStyle name="Título 4 15 2" xfId="3334"/>
    <cellStyle name="Título 4 16 2" xfId="3335"/>
    <cellStyle name="Título 4 17 2" xfId="3336"/>
    <cellStyle name="Título 4 2" xfId="433"/>
    <cellStyle name="Título 4 2 2" xfId="744"/>
    <cellStyle name="Título 4 2 2 2" xfId="3338"/>
    <cellStyle name="Título 4 2 3" xfId="878"/>
    <cellStyle name="Título 4 2 4" xfId="1112"/>
    <cellStyle name="Título 4 2 5" xfId="3337"/>
    <cellStyle name="Título 4 3" xfId="520"/>
    <cellStyle name="Título 4 3 2" xfId="1113"/>
    <cellStyle name="Título 4 3 2 2" xfId="3339"/>
    <cellStyle name="Título 4 4" xfId="1162"/>
    <cellStyle name="Título 4 4 2" xfId="3341"/>
    <cellStyle name="Título 4 4 3" xfId="3340"/>
    <cellStyle name="Título 4 5" xfId="1220"/>
    <cellStyle name="Título 4 5 2" xfId="3343"/>
    <cellStyle name="Título 4 5 3" xfId="3342"/>
    <cellStyle name="Título 4 6" xfId="1243"/>
    <cellStyle name="Título 4 6 2" xfId="3344"/>
    <cellStyle name="Título 4 7 2" xfId="3345"/>
    <cellStyle name="Título 4 8 2" xfId="3346"/>
    <cellStyle name="Título 4 9 2" xfId="3347"/>
    <cellStyle name="Título 5" xfId="516"/>
    <cellStyle name="Título 5 2" xfId="1114"/>
    <cellStyle name="Título 5 2 2" xfId="3348"/>
    <cellStyle name="Título 6" xfId="1158"/>
    <cellStyle name="Título 6 2" xfId="3349"/>
    <cellStyle name="Título 7" xfId="1216"/>
    <cellStyle name="Título 7 2" xfId="3350"/>
    <cellStyle name="Título 8" xfId="1239"/>
    <cellStyle name="Título 8 2" xfId="3351"/>
    <cellStyle name="Título 9 2" xfId="3352"/>
    <cellStyle name="Total" xfId="31" builtinId="25" customBuiltin="1"/>
    <cellStyle name="Total 10 2" xfId="3353"/>
    <cellStyle name="Total 11 2" xfId="3354"/>
    <cellStyle name="Total 12 2" xfId="3355"/>
    <cellStyle name="Total 13 2" xfId="3356"/>
    <cellStyle name="Total 14 2" xfId="3357"/>
    <cellStyle name="Total 15 2" xfId="3358"/>
    <cellStyle name="Total 16 2" xfId="3359"/>
    <cellStyle name="Total 17 2" xfId="3360"/>
    <cellStyle name="Total 2" xfId="434"/>
    <cellStyle name="Total 2 10" xfId="3362"/>
    <cellStyle name="Total 2 11" xfId="3363"/>
    <cellStyle name="Total 2 12" xfId="3364"/>
    <cellStyle name="Total 2 13" xfId="3365"/>
    <cellStyle name="Total 2 14" xfId="3366"/>
    <cellStyle name="Total 2 15" xfId="3367"/>
    <cellStyle name="Total 2 16" xfId="3368"/>
    <cellStyle name="Total 2 17" xfId="3369"/>
    <cellStyle name="Total 2 18" xfId="3370"/>
    <cellStyle name="Total 2 19" xfId="3361"/>
    <cellStyle name="Total 2 2" xfId="745"/>
    <cellStyle name="Total 2 2 2" xfId="1015"/>
    <cellStyle name="Total 2 2 2 2" xfId="1527"/>
    <cellStyle name="Total 2 2 3" xfId="1535"/>
    <cellStyle name="Total 2 3" xfId="1014"/>
    <cellStyle name="Total 2 3 2" xfId="1528"/>
    <cellStyle name="Total 2 4" xfId="1115"/>
    <cellStyle name="Total 2 4 2" xfId="3371"/>
    <cellStyle name="Total 2 5" xfId="1410"/>
    <cellStyle name="Total 2 6" xfId="3372"/>
    <cellStyle name="Total 2 7" xfId="3373"/>
    <cellStyle name="Total 2 8" xfId="3374"/>
    <cellStyle name="Total 2 9" xfId="3375"/>
    <cellStyle name="Total 3" xfId="441"/>
    <cellStyle name="Total 3 2" xfId="746"/>
    <cellStyle name="Total 3 2 2" xfId="1366"/>
    <cellStyle name="Total 3 2 2 2" xfId="1525"/>
    <cellStyle name="Total 3 2 3" xfId="1541"/>
    <cellStyle name="Total 3 2 4" xfId="3376"/>
    <cellStyle name="Total 3 3" xfId="885"/>
    <cellStyle name="Total 3 4" xfId="1016"/>
    <cellStyle name="Total 3 4 2" xfId="1526"/>
    <cellStyle name="Total 3 5" xfId="1116"/>
    <cellStyle name="Total 3 6" xfId="1367"/>
    <cellStyle name="Total 3 6 2" xfId="5159"/>
    <cellStyle name="Total 3 7" xfId="1519"/>
    <cellStyle name="Total 4" xfId="973"/>
    <cellStyle name="Total 4 2" xfId="1533"/>
    <cellStyle name="Total 4 2 2" xfId="3378"/>
    <cellStyle name="Total 4 3" xfId="3377"/>
    <cellStyle name="Total 5" xfId="1221"/>
    <cellStyle name="Total 5 2" xfId="1539"/>
    <cellStyle name="Total 5 2 2" xfId="3380"/>
    <cellStyle name="Total 5 3" xfId="3379"/>
    <cellStyle name="Total 6" xfId="1244"/>
    <cellStyle name="Total 6 2" xfId="1543"/>
    <cellStyle name="Total 6 2 2" xfId="3381"/>
    <cellStyle name="Total 7 2" xfId="3382"/>
    <cellStyle name="Total 8 2" xfId="3383"/>
    <cellStyle name="Total 9 2" xfId="3384"/>
    <cellStyle name="Vírgula 10" xfId="748"/>
    <cellStyle name="Vírgula 10 2" xfId="749"/>
    <cellStyle name="Vírgula 10 2 2" xfId="933"/>
    <cellStyle name="Vírgula 10 2 2 2" xfId="4979"/>
    <cellStyle name="Vírgula 10 2 3" xfId="1368"/>
    <cellStyle name="Vírgula 10 2 3 2" xfId="5160"/>
    <cellStyle name="Vírgula 10 2 4" xfId="4855"/>
    <cellStyle name="Vírgula 10 3" xfId="750"/>
    <cellStyle name="Vírgula 10 3 2" xfId="751"/>
    <cellStyle name="Vírgula 10 3 2 2" xfId="934"/>
    <cellStyle name="Vírgula 10 3 2 2 2" xfId="4980"/>
    <cellStyle name="Vírgula 10 3 2 3" xfId="1369"/>
    <cellStyle name="Vírgula 10 3 2 3 2" xfId="5161"/>
    <cellStyle name="Vírgula 10 3 2 4" xfId="4857"/>
    <cellStyle name="Vírgula 10 3 3" xfId="752"/>
    <cellStyle name="Vírgula 10 3 3 2" xfId="753"/>
    <cellStyle name="Vírgula 10 3 3 2 2" xfId="754"/>
    <cellStyle name="Vírgula 10 3 3 2 2 2" xfId="755"/>
    <cellStyle name="Vírgula 10 3 3 2 2 2 2" xfId="4861"/>
    <cellStyle name="Vírgula 10 3 3 2 2 3" xfId="4860"/>
    <cellStyle name="Vírgula 10 3 3 2 3" xfId="756"/>
    <cellStyle name="Vírgula 10 3 3 2 3 2" xfId="4862"/>
    <cellStyle name="Vírgula 10 3 3 2 3 3" xfId="49456"/>
    <cellStyle name="Vírgula 10 3 3 2 4" xfId="4859"/>
    <cellStyle name="Vírgula 10 3 3 3" xfId="757"/>
    <cellStyle name="Vírgula 10 3 3 3 2" xfId="4863"/>
    <cellStyle name="Vírgula 10 3 3 4" xfId="4858"/>
    <cellStyle name="Vírgula 10 3 4" xfId="758"/>
    <cellStyle name="Vírgula 10 3 4 2" xfId="759"/>
    <cellStyle name="Vírgula 10 3 4 2 2" xfId="4865"/>
    <cellStyle name="Vírgula 10 3 4 2 3" xfId="49457"/>
    <cellStyle name="Vírgula 10 3 4 3" xfId="760"/>
    <cellStyle name="Vírgula 10 3 4 3 2" xfId="4866"/>
    <cellStyle name="Vírgula 10 3 4 4" xfId="4864"/>
    <cellStyle name="Vírgula 10 3 5" xfId="4856"/>
    <cellStyle name="Vírgula 10 4" xfId="4854"/>
    <cellStyle name="Vírgula 11" xfId="761"/>
    <cellStyle name="Vírgula 11 2" xfId="762"/>
    <cellStyle name="Vírgula 11 2 2" xfId="935"/>
    <cellStyle name="Vírgula 11 2 2 2" xfId="4981"/>
    <cellStyle name="Vírgula 11 2 3" xfId="1370"/>
    <cellStyle name="Vírgula 11 2 3 2" xfId="5162"/>
    <cellStyle name="Vírgula 11 2 4" xfId="4868"/>
    <cellStyle name="Vírgula 11 3" xfId="763"/>
    <cellStyle name="Vírgula 11 3 2" xfId="764"/>
    <cellStyle name="Vírgula 11 3 2 2" xfId="4870"/>
    <cellStyle name="Vírgula 11 3 2 3" xfId="49458"/>
    <cellStyle name="Vírgula 11 3 3" xfId="765"/>
    <cellStyle name="Vírgula 11 3 3 2" xfId="4871"/>
    <cellStyle name="Vírgula 11 3 4" xfId="4869"/>
    <cellStyle name="Vírgula 11 4" xfId="4867"/>
    <cellStyle name="Vírgula 12" xfId="766"/>
    <cellStyle name="Vírgula 12 2" xfId="767"/>
    <cellStyle name="Vírgula 12 2 2" xfId="936"/>
    <cellStyle name="Vírgula 12 2 2 2" xfId="4982"/>
    <cellStyle name="Vírgula 12 2 3" xfId="1371"/>
    <cellStyle name="Vírgula 12 2 3 2" xfId="5163"/>
    <cellStyle name="Vírgula 12 2 4" xfId="4873"/>
    <cellStyle name="Vírgula 12 3" xfId="768"/>
    <cellStyle name="Vírgula 12 3 2" xfId="769"/>
    <cellStyle name="Vírgula 12 3 2 2" xfId="770"/>
    <cellStyle name="Vírgula 12 3 2 2 2" xfId="771"/>
    <cellStyle name="Vírgula 12 3 2 2 2 2" xfId="4877"/>
    <cellStyle name="Vírgula 12 3 2 2 3" xfId="4876"/>
    <cellStyle name="Vírgula 12 3 2 3" xfId="772"/>
    <cellStyle name="Vírgula 12 3 2 3 2" xfId="4878"/>
    <cellStyle name="Vírgula 12 3 2 3 3" xfId="49459"/>
    <cellStyle name="Vírgula 12 3 2 4" xfId="4875"/>
    <cellStyle name="Vírgula 12 3 3" xfId="773"/>
    <cellStyle name="Vírgula 12 3 3 2" xfId="4879"/>
    <cellStyle name="Vírgula 12 3 4" xfId="4874"/>
    <cellStyle name="Vírgula 12 4" xfId="774"/>
    <cellStyle name="Vírgula 12 4 2" xfId="775"/>
    <cellStyle name="Vírgula 12 4 2 2" xfId="4881"/>
    <cellStyle name="Vírgula 12 4 2 3" xfId="49460"/>
    <cellStyle name="Vírgula 12 4 3" xfId="776"/>
    <cellStyle name="Vírgula 12 4 3 2" xfId="4882"/>
    <cellStyle name="Vírgula 12 4 4" xfId="4880"/>
    <cellStyle name="Vírgula 12 5" xfId="4872"/>
    <cellStyle name="Vírgula 13" xfId="777"/>
    <cellStyle name="Vírgula 13 2" xfId="778"/>
    <cellStyle name="Vírgula 13 2 2" xfId="4884"/>
    <cellStyle name="Vírgula 13 2 3" xfId="49461"/>
    <cellStyle name="Vírgula 13 3" xfId="779"/>
    <cellStyle name="Vírgula 13 3 2" xfId="4885"/>
    <cellStyle name="Vírgula 13 4" xfId="4883"/>
    <cellStyle name="Vírgula 14" xfId="780"/>
    <cellStyle name="Vírgula 14 2" xfId="4886"/>
    <cellStyle name="Vírgula 14 3" xfId="49462"/>
    <cellStyle name="Vírgula 15" xfId="747"/>
    <cellStyle name="Vírgula 15 2" xfId="4853"/>
    <cellStyle name="Vírgula 16" xfId="1123"/>
    <cellStyle name="Vírgula 17" xfId="49421"/>
    <cellStyle name="Vírgula 2" xfId="102"/>
    <cellStyle name="Vírgula 2 10" xfId="4298"/>
    <cellStyle name="Vírgula 2 11" xfId="177"/>
    <cellStyle name="Vírgula 2 12" xfId="49463"/>
    <cellStyle name="Vírgula 2 2" xfId="256"/>
    <cellStyle name="Vírgula 2 2 2" xfId="783"/>
    <cellStyle name="Vírgula 2 2 2 2" xfId="938"/>
    <cellStyle name="Vírgula 2 2 2 2 2" xfId="4984"/>
    <cellStyle name="Vírgula 2 2 2 3" xfId="1372"/>
    <cellStyle name="Vírgula 2 2 2 3 2" xfId="5164"/>
    <cellStyle name="Vírgula 2 2 2 4" xfId="4888"/>
    <cellStyle name="Vírgula 2 2 3" xfId="784"/>
    <cellStyle name="Vírgula 2 2 3 2" xfId="939"/>
    <cellStyle name="Vírgula 2 2 3 2 2" xfId="4985"/>
    <cellStyle name="Vírgula 2 2 3 3" xfId="1373"/>
    <cellStyle name="Vírgula 2 2 3 3 2" xfId="5165"/>
    <cellStyle name="Vírgula 2 2 3 4" xfId="4889"/>
    <cellStyle name="Vírgula 2 2 4" xfId="937"/>
    <cellStyle name="Vírgula 2 2 4 2" xfId="4983"/>
    <cellStyle name="Vírgula 2 2 5" xfId="1374"/>
    <cellStyle name="Vírgula 2 2 5 2" xfId="5166"/>
    <cellStyle name="Vírgula 2 2 6" xfId="4374"/>
    <cellStyle name="Vírgula 2 2 7" xfId="782"/>
    <cellStyle name="Vírgula 2 3" xfId="785"/>
    <cellStyle name="Vírgula 2 3 2" xfId="940"/>
    <cellStyle name="Vírgula 2 3 2 2" xfId="4986"/>
    <cellStyle name="Vírgula 2 3 3" xfId="1375"/>
    <cellStyle name="Vírgula 2 3 3 2" xfId="5167"/>
    <cellStyle name="Vírgula 2 3 4" xfId="4890"/>
    <cellStyle name="Vírgula 2 4" xfId="786"/>
    <cellStyle name="Vírgula 2 4 2" xfId="941"/>
    <cellStyle name="Vírgula 2 4 2 2" xfId="4987"/>
    <cellStyle name="Vírgula 2 4 3" xfId="1376"/>
    <cellStyle name="Vírgula 2 4 3 2" xfId="5168"/>
    <cellStyle name="Vírgula 2 4 4" xfId="4012"/>
    <cellStyle name="Vírgula 2 4 4 2" xfId="6596"/>
    <cellStyle name="Vírgula 2 4 5" xfId="4891"/>
    <cellStyle name="Vírgula 2 5" xfId="781"/>
    <cellStyle name="Vírgula 2 5 2" xfId="4887"/>
    <cellStyle name="Vírgula 2 6" xfId="873"/>
    <cellStyle name="Vírgula 2 6 2" xfId="4932"/>
    <cellStyle name="Vírgula 2 7" xfId="1377"/>
    <cellStyle name="Vírgula 2 7 2" xfId="5169"/>
    <cellStyle name="Vírgula 2 8" xfId="425"/>
    <cellStyle name="Vírgula 2 8 2" xfId="4685"/>
    <cellStyle name="Vírgula 2 9" xfId="3394"/>
    <cellStyle name="Vírgula 2 9 10" xfId="33861"/>
    <cellStyle name="Vírgula 2 9 11" xfId="37893"/>
    <cellStyle name="Vírgula 2 9 12" xfId="41925"/>
    <cellStyle name="Vírgula 2 9 13" xfId="45957"/>
    <cellStyle name="Vírgula 2 9 14" xfId="50035"/>
    <cellStyle name="Vírgula 2 9 2" xfId="6101"/>
    <cellStyle name="Vírgula 2 9 2 10" xfId="38844"/>
    <cellStyle name="Vírgula 2 9 2 11" xfId="42876"/>
    <cellStyle name="Vírgula 2 9 2 12" xfId="46908"/>
    <cellStyle name="Vírgula 2 9 2 13" xfId="50987"/>
    <cellStyle name="Vírgula 2 9 2 2" xfId="8602"/>
    <cellStyle name="Vírgula 2 9 2 2 10" xfId="44892"/>
    <cellStyle name="Vírgula 2 9 2 2 11" xfId="48924"/>
    <cellStyle name="Vírgula 2 9 2 2 12" xfId="53003"/>
    <cellStyle name="Vírgula 2 9 2 2 2" xfId="12636"/>
    <cellStyle name="Vírgula 2 9 2 2 3" xfId="16668"/>
    <cellStyle name="Vírgula 2 9 2 2 4" xfId="20700"/>
    <cellStyle name="Vírgula 2 9 2 2 5" xfId="24732"/>
    <cellStyle name="Vírgula 2 9 2 2 6" xfId="28764"/>
    <cellStyle name="Vírgula 2 9 2 2 7" xfId="32796"/>
    <cellStyle name="Vírgula 2 9 2 2 8" xfId="36828"/>
    <cellStyle name="Vírgula 2 9 2 2 9" xfId="40860"/>
    <cellStyle name="Vírgula 2 9 2 3" xfId="10620"/>
    <cellStyle name="Vírgula 2 9 2 4" xfId="14652"/>
    <cellStyle name="Vírgula 2 9 2 5" xfId="18684"/>
    <cellStyle name="Vírgula 2 9 2 6" xfId="22716"/>
    <cellStyle name="Vírgula 2 9 2 7" xfId="26748"/>
    <cellStyle name="Vírgula 2 9 2 8" xfId="30780"/>
    <cellStyle name="Vírgula 2 9 2 9" xfId="34812"/>
    <cellStyle name="Vírgula 2 9 3" xfId="7651"/>
    <cellStyle name="Vírgula 2 9 3 10" xfId="43941"/>
    <cellStyle name="Vírgula 2 9 3 11" xfId="47973"/>
    <cellStyle name="Vírgula 2 9 3 12" xfId="52052"/>
    <cellStyle name="Vírgula 2 9 3 2" xfId="11685"/>
    <cellStyle name="Vírgula 2 9 3 3" xfId="15717"/>
    <cellStyle name="Vírgula 2 9 3 4" xfId="19749"/>
    <cellStyle name="Vírgula 2 9 3 5" xfId="23781"/>
    <cellStyle name="Vírgula 2 9 3 6" xfId="27813"/>
    <cellStyle name="Vírgula 2 9 3 7" xfId="31845"/>
    <cellStyle name="Vírgula 2 9 3 8" xfId="35877"/>
    <cellStyle name="Vírgula 2 9 3 9" xfId="39909"/>
    <cellStyle name="Vírgula 2 9 4" xfId="9669"/>
    <cellStyle name="Vírgula 2 9 5" xfId="13701"/>
    <cellStyle name="Vírgula 2 9 6" xfId="17733"/>
    <cellStyle name="Vírgula 2 9 7" xfId="21765"/>
    <cellStyle name="Vírgula 2 9 8" xfId="25797"/>
    <cellStyle name="Vírgula 2 9 9" xfId="29829"/>
    <cellStyle name="Vírgula 3" xfId="185"/>
    <cellStyle name="Vírgula 3 10" xfId="442"/>
    <cellStyle name="Vírgula 3 2" xfId="788"/>
    <cellStyle name="Vírgula 3 2 2" xfId="789"/>
    <cellStyle name="Vírgula 3 2 2 2" xfId="943"/>
    <cellStyle name="Vírgula 3 2 2 2 2" xfId="4989"/>
    <cellStyle name="Vírgula 3 2 2 3" xfId="1378"/>
    <cellStyle name="Vírgula 3 2 2 3 2" xfId="5170"/>
    <cellStyle name="Vírgula 3 2 2 4" xfId="4894"/>
    <cellStyle name="Vírgula 3 2 3" xfId="790"/>
    <cellStyle name="Vírgula 3 2 3 2" xfId="944"/>
    <cellStyle name="Vírgula 3 2 3 2 2" xfId="4990"/>
    <cellStyle name="Vírgula 3 2 3 3" xfId="1379"/>
    <cellStyle name="Vírgula 3 2 3 3 2" xfId="5171"/>
    <cellStyle name="Vírgula 3 2 3 4" xfId="4895"/>
    <cellStyle name="Vírgula 3 2 4" xfId="942"/>
    <cellStyle name="Vírgula 3 2 4 2" xfId="4988"/>
    <cellStyle name="Vírgula 3 2 5" xfId="1380"/>
    <cellStyle name="Vírgula 3 2 5 2" xfId="5172"/>
    <cellStyle name="Vírgula 3 2 6" xfId="4893"/>
    <cellStyle name="Vírgula 3 3" xfId="791"/>
    <cellStyle name="Vírgula 3 3 2" xfId="945"/>
    <cellStyle name="Vírgula 3 3 2 2" xfId="4991"/>
    <cellStyle name="Vírgula 3 3 3" xfId="1381"/>
    <cellStyle name="Vírgula 3 3 3 2" xfId="5173"/>
    <cellStyle name="Vírgula 3 3 4" xfId="4896"/>
    <cellStyle name="Vírgula 3 4" xfId="792"/>
    <cellStyle name="Vírgula 3 4 2" xfId="946"/>
    <cellStyle name="Vírgula 3 4 2 2" xfId="4992"/>
    <cellStyle name="Vírgula 3 4 3" xfId="1382"/>
    <cellStyle name="Vírgula 3 4 3 2" xfId="5174"/>
    <cellStyle name="Vírgula 3 4 4" xfId="4897"/>
    <cellStyle name="Vírgula 3 5" xfId="787"/>
    <cellStyle name="Vírgula 3 5 2" xfId="4892"/>
    <cellStyle name="Vírgula 3 6" xfId="886"/>
    <cellStyle name="Vírgula 3 7" xfId="1383"/>
    <cellStyle name="Vírgula 3 7 2" xfId="5175"/>
    <cellStyle name="Vírgula 3 8" xfId="1384"/>
    <cellStyle name="Vírgula 3 8 2" xfId="5176"/>
    <cellStyle name="Vírgula 3 9" xfId="4304"/>
    <cellStyle name="Vírgula 4" xfId="793"/>
    <cellStyle name="Vírgula 4 2" xfId="1118"/>
    <cellStyle name="Vírgula 4 2 2" xfId="5061"/>
    <cellStyle name="Vírgula 4 3" xfId="1117"/>
    <cellStyle name="Vírgula 5" xfId="794"/>
    <cellStyle name="Vírgula 5 2" xfId="795"/>
    <cellStyle name="Vírgula 5 2 2" xfId="948"/>
    <cellStyle name="Vírgula 5 2 2 2" xfId="4994"/>
    <cellStyle name="Vírgula 5 2 3" xfId="1385"/>
    <cellStyle name="Vírgula 5 2 3 2" xfId="5177"/>
    <cellStyle name="Vírgula 5 2 4" xfId="4899"/>
    <cellStyle name="Vírgula 5 3" xfId="796"/>
    <cellStyle name="Vírgula 5 3 2" xfId="949"/>
    <cellStyle name="Vírgula 5 3 2 2" xfId="4995"/>
    <cellStyle name="Vírgula 5 3 3" xfId="1119"/>
    <cellStyle name="Vírgula 5 3 3 2" xfId="1386"/>
    <cellStyle name="Vírgula 5 3 3 2 2" xfId="5178"/>
    <cellStyle name="Vírgula 5 3 3 3" xfId="1387"/>
    <cellStyle name="Vírgula 5 3 3 3 2" xfId="5179"/>
    <cellStyle name="Vírgula 5 3 3 4" xfId="5062"/>
    <cellStyle name="Vírgula 5 3 4" xfId="4900"/>
    <cellStyle name="Vírgula 5 4" xfId="947"/>
    <cellStyle name="Vírgula 5 4 2" xfId="4993"/>
    <cellStyle name="Vírgula 5 5" xfId="1388"/>
    <cellStyle name="Vírgula 5 5 2" xfId="5180"/>
    <cellStyle name="Vírgula 5 6" xfId="4898"/>
    <cellStyle name="Vírgula 6" xfId="797"/>
    <cellStyle name="Vírgula 6 2" xfId="798"/>
    <cellStyle name="Vírgula 6 2 2" xfId="951"/>
    <cellStyle name="Vírgula 6 2 2 2" xfId="4997"/>
    <cellStyle name="Vírgula 6 2 3" xfId="1121"/>
    <cellStyle name="Vírgula 6 2 3 10" xfId="25513"/>
    <cellStyle name="Vírgula 6 2 3 11" xfId="29545"/>
    <cellStyle name="Vírgula 6 2 3 12" xfId="33577"/>
    <cellStyle name="Vírgula 6 2 3 13" xfId="37609"/>
    <cellStyle name="Vírgula 6 2 3 14" xfId="41641"/>
    <cellStyle name="Vírgula 6 2 3 15" xfId="45673"/>
    <cellStyle name="Vírgula 6 2 3 16" xfId="49751"/>
    <cellStyle name="Vírgula 6 2 3 2" xfId="1389"/>
    <cellStyle name="Vírgula 6 2 3 2 2" xfId="5181"/>
    <cellStyle name="Vírgula 6 2 3 3" xfId="1390"/>
    <cellStyle name="Vírgula 6 2 3 3 10" xfId="33581"/>
    <cellStyle name="Vírgula 6 2 3 3 11" xfId="37613"/>
    <cellStyle name="Vírgula 6 2 3 3 12" xfId="41645"/>
    <cellStyle name="Vírgula 6 2 3 3 13" xfId="45677"/>
    <cellStyle name="Vírgula 6 2 3 3 14" xfId="49755"/>
    <cellStyle name="Vírgula 6 2 3 3 2" xfId="5182"/>
    <cellStyle name="Vírgula 6 2 3 3 2 10" xfId="38577"/>
    <cellStyle name="Vírgula 6 2 3 3 2 11" xfId="42609"/>
    <cellStyle name="Vírgula 6 2 3 3 2 12" xfId="46641"/>
    <cellStyle name="Vírgula 6 2 3 3 2 13" xfId="50720"/>
    <cellStyle name="Vírgula 6 2 3 3 2 2" xfId="8335"/>
    <cellStyle name="Vírgula 6 2 3 3 2 2 10" xfId="44625"/>
    <cellStyle name="Vírgula 6 2 3 3 2 2 11" xfId="48657"/>
    <cellStyle name="Vírgula 6 2 3 3 2 2 12" xfId="52736"/>
    <cellStyle name="Vírgula 6 2 3 3 2 2 2" xfId="12369"/>
    <cellStyle name="Vírgula 6 2 3 3 2 2 3" xfId="16401"/>
    <cellStyle name="Vírgula 6 2 3 3 2 2 4" xfId="20433"/>
    <cellStyle name="Vírgula 6 2 3 3 2 2 5" xfId="24465"/>
    <cellStyle name="Vírgula 6 2 3 3 2 2 6" xfId="28497"/>
    <cellStyle name="Vírgula 6 2 3 3 2 2 7" xfId="32529"/>
    <cellStyle name="Vírgula 6 2 3 3 2 2 8" xfId="36561"/>
    <cellStyle name="Vírgula 6 2 3 3 2 2 9" xfId="40593"/>
    <cellStyle name="Vírgula 6 2 3 3 2 3" xfId="10353"/>
    <cellStyle name="Vírgula 6 2 3 3 2 4" xfId="14385"/>
    <cellStyle name="Vírgula 6 2 3 3 2 5" xfId="18417"/>
    <cellStyle name="Vírgula 6 2 3 3 2 6" xfId="22449"/>
    <cellStyle name="Vírgula 6 2 3 3 2 7" xfId="26481"/>
    <cellStyle name="Vírgula 6 2 3 3 2 8" xfId="30513"/>
    <cellStyle name="Vírgula 6 2 3 3 2 9" xfId="34545"/>
    <cellStyle name="Vírgula 6 2 3 3 3" xfId="7371"/>
    <cellStyle name="Vírgula 6 2 3 3 3 10" xfId="43661"/>
    <cellStyle name="Vírgula 6 2 3 3 3 11" xfId="47693"/>
    <cellStyle name="Vírgula 6 2 3 3 3 12" xfId="51772"/>
    <cellStyle name="Vírgula 6 2 3 3 3 2" xfId="11405"/>
    <cellStyle name="Vírgula 6 2 3 3 3 3" xfId="15437"/>
    <cellStyle name="Vírgula 6 2 3 3 3 4" xfId="19469"/>
    <cellStyle name="Vírgula 6 2 3 3 3 5" xfId="23501"/>
    <cellStyle name="Vírgula 6 2 3 3 3 6" xfId="27533"/>
    <cellStyle name="Vírgula 6 2 3 3 3 7" xfId="31565"/>
    <cellStyle name="Vírgula 6 2 3 3 3 8" xfId="35597"/>
    <cellStyle name="Vírgula 6 2 3 3 3 9" xfId="39629"/>
    <cellStyle name="Vírgula 6 2 3 3 4" xfId="9389"/>
    <cellStyle name="Vírgula 6 2 3 3 5" xfId="13421"/>
    <cellStyle name="Vírgula 6 2 3 3 6" xfId="17453"/>
    <cellStyle name="Vírgula 6 2 3 3 7" xfId="21485"/>
    <cellStyle name="Vírgula 6 2 3 3 8" xfId="25517"/>
    <cellStyle name="Vírgula 6 2 3 3 9" xfId="29549"/>
    <cellStyle name="Vírgula 6 2 3 4" xfId="5064"/>
    <cellStyle name="Vírgula 6 2 3 4 10" xfId="38573"/>
    <cellStyle name="Vírgula 6 2 3 4 11" xfId="42605"/>
    <cellStyle name="Vírgula 6 2 3 4 12" xfId="46637"/>
    <cellStyle name="Vírgula 6 2 3 4 13" xfId="50716"/>
    <cellStyle name="Vírgula 6 2 3 4 2" xfId="8331"/>
    <cellStyle name="Vírgula 6 2 3 4 2 10" xfId="44621"/>
    <cellStyle name="Vírgula 6 2 3 4 2 11" xfId="48653"/>
    <cellStyle name="Vírgula 6 2 3 4 2 12" xfId="52732"/>
    <cellStyle name="Vírgula 6 2 3 4 2 2" xfId="12365"/>
    <cellStyle name="Vírgula 6 2 3 4 2 3" xfId="16397"/>
    <cellStyle name="Vírgula 6 2 3 4 2 4" xfId="20429"/>
    <cellStyle name="Vírgula 6 2 3 4 2 5" xfId="24461"/>
    <cellStyle name="Vírgula 6 2 3 4 2 6" xfId="28493"/>
    <cellStyle name="Vírgula 6 2 3 4 2 7" xfId="32525"/>
    <cellStyle name="Vírgula 6 2 3 4 2 8" xfId="36557"/>
    <cellStyle name="Vírgula 6 2 3 4 2 9" xfId="40589"/>
    <cellStyle name="Vírgula 6 2 3 4 3" xfId="10349"/>
    <cellStyle name="Vírgula 6 2 3 4 4" xfId="14381"/>
    <cellStyle name="Vírgula 6 2 3 4 5" xfId="18413"/>
    <cellStyle name="Vírgula 6 2 3 4 6" xfId="22445"/>
    <cellStyle name="Vírgula 6 2 3 4 7" xfId="26477"/>
    <cellStyle name="Vírgula 6 2 3 4 8" xfId="30509"/>
    <cellStyle name="Vírgula 6 2 3 4 9" xfId="34541"/>
    <cellStyle name="Vírgula 6 2 3 5" xfId="7367"/>
    <cellStyle name="Vírgula 6 2 3 5 10" xfId="43657"/>
    <cellStyle name="Vírgula 6 2 3 5 11" xfId="47689"/>
    <cellStyle name="Vírgula 6 2 3 5 12" xfId="51768"/>
    <cellStyle name="Vírgula 6 2 3 5 2" xfId="11401"/>
    <cellStyle name="Vírgula 6 2 3 5 3" xfId="15433"/>
    <cellStyle name="Vírgula 6 2 3 5 4" xfId="19465"/>
    <cellStyle name="Vírgula 6 2 3 5 5" xfId="23497"/>
    <cellStyle name="Vírgula 6 2 3 5 6" xfId="27529"/>
    <cellStyle name="Vírgula 6 2 3 5 7" xfId="31561"/>
    <cellStyle name="Vírgula 6 2 3 5 8" xfId="35593"/>
    <cellStyle name="Vírgula 6 2 3 5 9" xfId="39625"/>
    <cellStyle name="Vírgula 6 2 3 6" xfId="9385"/>
    <cellStyle name="Vírgula 6 2 3 7" xfId="13417"/>
    <cellStyle name="Vírgula 6 2 3 8" xfId="17449"/>
    <cellStyle name="Vírgula 6 2 3 9" xfId="21481"/>
    <cellStyle name="Vírgula 6 2 4" xfId="4902"/>
    <cellStyle name="Vírgula 6 3" xfId="799"/>
    <cellStyle name="Vírgula 6 3 2" xfId="800"/>
    <cellStyle name="Vírgula 6 3 2 2" xfId="953"/>
    <cellStyle name="Vírgula 6 3 2 2 2" xfId="4999"/>
    <cellStyle name="Vírgula 6 3 2 3" xfId="1391"/>
    <cellStyle name="Vírgula 6 3 2 3 2" xfId="5183"/>
    <cellStyle name="Vírgula 6 3 2 4" xfId="4904"/>
    <cellStyle name="Vírgula 6 3 3" xfId="952"/>
    <cellStyle name="Vírgula 6 3 3 2" xfId="4998"/>
    <cellStyle name="Vírgula 6 3 4" xfId="1392"/>
    <cellStyle name="Vírgula 6 3 4 2" xfId="5184"/>
    <cellStyle name="Vírgula 6 3 5" xfId="4903"/>
    <cellStyle name="Vírgula 6 4" xfId="801"/>
    <cellStyle name="Vírgula 6 4 2" xfId="802"/>
    <cellStyle name="Vírgula 6 4 2 2" xfId="954"/>
    <cellStyle name="Vírgula 6 4 2 2 2" xfId="5000"/>
    <cellStyle name="Vírgula 6 4 2 3" xfId="1393"/>
    <cellStyle name="Vírgula 6 4 2 3 2" xfId="5185"/>
    <cellStyle name="Vírgula 6 4 2 4" xfId="4906"/>
    <cellStyle name="Vírgula 6 4 3" xfId="803"/>
    <cellStyle name="Vírgula 6 4 3 2" xfId="804"/>
    <cellStyle name="Vírgula 6 4 3 2 2" xfId="955"/>
    <cellStyle name="Vírgula 6 4 3 2 2 2" xfId="5001"/>
    <cellStyle name="Vírgula 6 4 3 2 3" xfId="1394"/>
    <cellStyle name="Vírgula 6 4 3 2 3 2" xfId="5186"/>
    <cellStyle name="Vírgula 6 4 3 2 4" xfId="4908"/>
    <cellStyle name="Vírgula 6 4 3 3" xfId="805"/>
    <cellStyle name="Vírgula 6 4 3 3 2" xfId="806"/>
    <cellStyle name="Vírgula 6 4 3 3 2 2" xfId="807"/>
    <cellStyle name="Vírgula 6 4 3 3 2 2 2" xfId="808"/>
    <cellStyle name="Vírgula 6 4 3 3 2 2 2 2" xfId="4912"/>
    <cellStyle name="Vírgula 6 4 3 3 2 2 3" xfId="4911"/>
    <cellStyle name="Vírgula 6 4 3 3 2 3" xfId="809"/>
    <cellStyle name="Vírgula 6 4 3 3 2 3 2" xfId="4913"/>
    <cellStyle name="Vírgula 6 4 3 3 2 3 3" xfId="49464"/>
    <cellStyle name="Vírgula 6 4 3 3 2 4" xfId="4910"/>
    <cellStyle name="Vírgula 6 4 3 3 3" xfId="810"/>
    <cellStyle name="Vírgula 6 4 3 3 3 2" xfId="4914"/>
    <cellStyle name="Vírgula 6 4 3 3 4" xfId="4909"/>
    <cellStyle name="Vírgula 6 4 3 4" xfId="811"/>
    <cellStyle name="Vírgula 6 4 3 4 2" xfId="812"/>
    <cellStyle name="Vírgula 6 4 3 4 2 2" xfId="4916"/>
    <cellStyle name="Vírgula 6 4 3 4 2 3" xfId="49465"/>
    <cellStyle name="Vírgula 6 4 3 4 3" xfId="813"/>
    <cellStyle name="Vírgula 6 4 3 4 3 2" xfId="4917"/>
    <cellStyle name="Vírgula 6 4 3 4 4" xfId="4915"/>
    <cellStyle name="Vírgula 6 4 3 5" xfId="4907"/>
    <cellStyle name="Vírgula 6 4 4" xfId="4905"/>
    <cellStyle name="Vírgula 6 5" xfId="814"/>
    <cellStyle name="Vírgula 6 5 2" xfId="956"/>
    <cellStyle name="Vírgula 6 5 2 2" xfId="5002"/>
    <cellStyle name="Vírgula 6 5 3" xfId="1395"/>
    <cellStyle name="Vírgula 6 5 3 2" xfId="5187"/>
    <cellStyle name="Vírgula 6 5 4" xfId="4918"/>
    <cellStyle name="Vírgula 6 6" xfId="815"/>
    <cellStyle name="Vírgula 6 6 2" xfId="957"/>
    <cellStyle name="Vírgula 6 6 2 2" xfId="5003"/>
    <cellStyle name="Vírgula 6 6 3" xfId="1396"/>
    <cellStyle name="Vírgula 6 6 3 2" xfId="5188"/>
    <cellStyle name="Vírgula 6 6 4" xfId="4919"/>
    <cellStyle name="Vírgula 6 7" xfId="950"/>
    <cellStyle name="Vírgula 6 7 2" xfId="4996"/>
    <cellStyle name="Vírgula 6 8" xfId="1120"/>
    <cellStyle name="Vírgula 6 8 2" xfId="1397"/>
    <cellStyle name="Vírgula 6 8 2 2" xfId="5189"/>
    <cellStyle name="Vírgula 6 8 3" xfId="1398"/>
    <cellStyle name="Vírgula 6 8 3 2" xfId="5190"/>
    <cellStyle name="Vírgula 6 8 4" xfId="5063"/>
    <cellStyle name="Vírgula 6 9" xfId="4901"/>
    <cellStyle name="Vírgula 7" xfId="816"/>
    <cellStyle name="Vírgula 7 2" xfId="817"/>
    <cellStyle name="Vírgula 7 2 2" xfId="959"/>
    <cellStyle name="Vírgula 7 2 2 2" xfId="5005"/>
    <cellStyle name="Vírgula 7 2 3" xfId="1399"/>
    <cellStyle name="Vírgula 7 2 3 2" xfId="5191"/>
    <cellStyle name="Vírgula 7 2 4" xfId="4921"/>
    <cellStyle name="Vírgula 7 3" xfId="958"/>
    <cellStyle name="Vírgula 7 3 2" xfId="5004"/>
    <cellStyle name="Vírgula 7 4" xfId="1400"/>
    <cellStyle name="Vírgula 7 4 2" xfId="5192"/>
    <cellStyle name="Vírgula 7 5" xfId="4920"/>
    <cellStyle name="Vírgula 8" xfId="818"/>
    <cellStyle name="Vírgula 8 2" xfId="819"/>
    <cellStyle name="Vírgula 8 3" xfId="820"/>
    <cellStyle name="Vírgula 8 3 2" xfId="821"/>
    <cellStyle name="Vírgula 8 3 2 10" xfId="33557"/>
    <cellStyle name="Vírgula 8 3 2 11" xfId="37589"/>
    <cellStyle name="Vírgula 8 3 2 12" xfId="41621"/>
    <cellStyle name="Vírgula 8 3 2 13" xfId="45653"/>
    <cellStyle name="Vírgula 8 3 2 14" xfId="49731"/>
    <cellStyle name="Vírgula 8 3 2 2" xfId="4922"/>
    <cellStyle name="Vírgula 8 3 2 2 10" xfId="38554"/>
    <cellStyle name="Vírgula 8 3 2 2 11" xfId="42586"/>
    <cellStyle name="Vírgula 8 3 2 2 12" xfId="46618"/>
    <cellStyle name="Vírgula 8 3 2 2 13" xfId="50697"/>
    <cellStyle name="Vírgula 8 3 2 2 2" xfId="8312"/>
    <cellStyle name="Vírgula 8 3 2 2 2 10" xfId="44602"/>
    <cellStyle name="Vírgula 8 3 2 2 2 11" xfId="48634"/>
    <cellStyle name="Vírgula 8 3 2 2 2 12" xfId="52713"/>
    <cellStyle name="Vírgula 8 3 2 2 2 2" xfId="12346"/>
    <cellStyle name="Vírgula 8 3 2 2 2 3" xfId="16378"/>
    <cellStyle name="Vírgula 8 3 2 2 2 4" xfId="20410"/>
    <cellStyle name="Vírgula 8 3 2 2 2 5" xfId="24442"/>
    <cellStyle name="Vírgula 8 3 2 2 2 6" xfId="28474"/>
    <cellStyle name="Vírgula 8 3 2 2 2 7" xfId="32506"/>
    <cellStyle name="Vírgula 8 3 2 2 2 8" xfId="36538"/>
    <cellStyle name="Vírgula 8 3 2 2 2 9" xfId="40570"/>
    <cellStyle name="Vírgula 8 3 2 2 3" xfId="10330"/>
    <cellStyle name="Vírgula 8 3 2 2 4" xfId="14362"/>
    <cellStyle name="Vírgula 8 3 2 2 5" xfId="18394"/>
    <cellStyle name="Vírgula 8 3 2 2 6" xfId="22426"/>
    <cellStyle name="Vírgula 8 3 2 2 7" xfId="26458"/>
    <cellStyle name="Vírgula 8 3 2 2 8" xfId="30490"/>
    <cellStyle name="Vírgula 8 3 2 2 9" xfId="34522"/>
    <cellStyle name="Vírgula 8 3 2 3" xfId="7347"/>
    <cellStyle name="Vírgula 8 3 2 3 10" xfId="43637"/>
    <cellStyle name="Vírgula 8 3 2 3 11" xfId="47669"/>
    <cellStyle name="Vírgula 8 3 2 3 12" xfId="51748"/>
    <cellStyle name="Vírgula 8 3 2 3 2" xfId="11381"/>
    <cellStyle name="Vírgula 8 3 2 3 3" xfId="15413"/>
    <cellStyle name="Vírgula 8 3 2 3 4" xfId="19445"/>
    <cellStyle name="Vírgula 8 3 2 3 5" xfId="23477"/>
    <cellStyle name="Vírgula 8 3 2 3 6" xfId="27509"/>
    <cellStyle name="Vírgula 8 3 2 3 7" xfId="31541"/>
    <cellStyle name="Vírgula 8 3 2 3 8" xfId="35573"/>
    <cellStyle name="Vírgula 8 3 2 3 9" xfId="39605"/>
    <cellStyle name="Vírgula 8 3 2 4" xfId="9365"/>
    <cellStyle name="Vírgula 8 3 2 5" xfId="13397"/>
    <cellStyle name="Vírgula 8 3 2 6" xfId="17429"/>
    <cellStyle name="Vírgula 8 3 2 7" xfId="21461"/>
    <cellStyle name="Vírgula 8 3 2 8" xfId="25493"/>
    <cellStyle name="Vírgula 8 3 2 9" xfId="29525"/>
    <cellStyle name="Vírgula 8 3 3" xfId="822"/>
    <cellStyle name="Vírgula 8 3 4" xfId="960"/>
    <cellStyle name="Vírgula 8 4" xfId="823"/>
    <cellStyle name="Vírgula 8 5" xfId="824"/>
    <cellStyle name="Vírgula 8 5 10" xfId="33558"/>
    <cellStyle name="Vírgula 8 5 11" xfId="37590"/>
    <cellStyle name="Vírgula 8 5 12" xfId="41622"/>
    <cellStyle name="Vírgula 8 5 13" xfId="45654"/>
    <cellStyle name="Vírgula 8 5 14" xfId="49732"/>
    <cellStyle name="Vírgula 8 5 2" xfId="4923"/>
    <cellStyle name="Vírgula 8 5 2 10" xfId="38555"/>
    <cellStyle name="Vírgula 8 5 2 11" xfId="42587"/>
    <cellStyle name="Vírgula 8 5 2 12" xfId="46619"/>
    <cellStyle name="Vírgula 8 5 2 13" xfId="50698"/>
    <cellStyle name="Vírgula 8 5 2 2" xfId="8313"/>
    <cellStyle name="Vírgula 8 5 2 2 10" xfId="44603"/>
    <cellStyle name="Vírgula 8 5 2 2 11" xfId="48635"/>
    <cellStyle name="Vírgula 8 5 2 2 12" xfId="52714"/>
    <cellStyle name="Vírgula 8 5 2 2 2" xfId="12347"/>
    <cellStyle name="Vírgula 8 5 2 2 3" xfId="16379"/>
    <cellStyle name="Vírgula 8 5 2 2 4" xfId="20411"/>
    <cellStyle name="Vírgula 8 5 2 2 5" xfId="24443"/>
    <cellStyle name="Vírgula 8 5 2 2 6" xfId="28475"/>
    <cellStyle name="Vírgula 8 5 2 2 7" xfId="32507"/>
    <cellStyle name="Vírgula 8 5 2 2 8" xfId="36539"/>
    <cellStyle name="Vírgula 8 5 2 2 9" xfId="40571"/>
    <cellStyle name="Vírgula 8 5 2 3" xfId="10331"/>
    <cellStyle name="Vírgula 8 5 2 4" xfId="14363"/>
    <cellStyle name="Vírgula 8 5 2 5" xfId="18395"/>
    <cellStyle name="Vírgula 8 5 2 6" xfId="22427"/>
    <cellStyle name="Vírgula 8 5 2 7" xfId="26459"/>
    <cellStyle name="Vírgula 8 5 2 8" xfId="30491"/>
    <cellStyle name="Vírgula 8 5 2 9" xfId="34523"/>
    <cellStyle name="Vírgula 8 5 3" xfId="7348"/>
    <cellStyle name="Vírgula 8 5 3 10" xfId="43638"/>
    <cellStyle name="Vírgula 8 5 3 11" xfId="47670"/>
    <cellStyle name="Vírgula 8 5 3 12" xfId="51749"/>
    <cellStyle name="Vírgula 8 5 3 2" xfId="11382"/>
    <cellStyle name="Vírgula 8 5 3 3" xfId="15414"/>
    <cellStyle name="Vírgula 8 5 3 4" xfId="19446"/>
    <cellStyle name="Vírgula 8 5 3 5" xfId="23478"/>
    <cellStyle name="Vírgula 8 5 3 6" xfId="27510"/>
    <cellStyle name="Vírgula 8 5 3 7" xfId="31542"/>
    <cellStyle name="Vírgula 8 5 3 8" xfId="35574"/>
    <cellStyle name="Vírgula 8 5 3 9" xfId="39606"/>
    <cellStyle name="Vírgula 8 5 4" xfId="9366"/>
    <cellStyle name="Vírgula 8 5 5" xfId="13398"/>
    <cellStyle name="Vírgula 8 5 6" xfId="17430"/>
    <cellStyle name="Vírgula 8 5 7" xfId="21462"/>
    <cellStyle name="Vírgula 8 5 8" xfId="25494"/>
    <cellStyle name="Vírgula 8 5 9" xfId="29526"/>
    <cellStyle name="Vírgula 9" xfId="825"/>
    <cellStyle name="Vírgula 9 2" xfId="826"/>
    <cellStyle name="Vírgula 9 3" xfId="827"/>
    <cellStyle name="Vírgula 9 3 2" xfId="828"/>
    <cellStyle name="Vírgula 9 3 2 10" xfId="33559"/>
    <cellStyle name="Vírgula 9 3 2 11" xfId="37591"/>
    <cellStyle name="Vírgula 9 3 2 12" xfId="41623"/>
    <cellStyle name="Vírgula 9 3 2 13" xfId="45655"/>
    <cellStyle name="Vírgula 9 3 2 14" xfId="49733"/>
    <cellStyle name="Vírgula 9 3 2 2" xfId="4924"/>
    <cellStyle name="Vírgula 9 3 2 2 10" xfId="38556"/>
    <cellStyle name="Vírgula 9 3 2 2 11" xfId="42588"/>
    <cellStyle name="Vírgula 9 3 2 2 12" xfId="46620"/>
    <cellStyle name="Vírgula 9 3 2 2 13" xfId="50699"/>
    <cellStyle name="Vírgula 9 3 2 2 2" xfId="8314"/>
    <cellStyle name="Vírgula 9 3 2 2 2 10" xfId="44604"/>
    <cellStyle name="Vírgula 9 3 2 2 2 11" xfId="48636"/>
    <cellStyle name="Vírgula 9 3 2 2 2 12" xfId="52715"/>
    <cellStyle name="Vírgula 9 3 2 2 2 2" xfId="12348"/>
    <cellStyle name="Vírgula 9 3 2 2 2 3" xfId="16380"/>
    <cellStyle name="Vírgula 9 3 2 2 2 4" xfId="20412"/>
    <cellStyle name="Vírgula 9 3 2 2 2 5" xfId="24444"/>
    <cellStyle name="Vírgula 9 3 2 2 2 6" xfId="28476"/>
    <cellStyle name="Vírgula 9 3 2 2 2 7" xfId="32508"/>
    <cellStyle name="Vírgula 9 3 2 2 2 8" xfId="36540"/>
    <cellStyle name="Vírgula 9 3 2 2 2 9" xfId="40572"/>
    <cellStyle name="Vírgula 9 3 2 2 3" xfId="10332"/>
    <cellStyle name="Vírgula 9 3 2 2 4" xfId="14364"/>
    <cellStyle name="Vírgula 9 3 2 2 5" xfId="18396"/>
    <cellStyle name="Vírgula 9 3 2 2 6" xfId="22428"/>
    <cellStyle name="Vírgula 9 3 2 2 7" xfId="26460"/>
    <cellStyle name="Vírgula 9 3 2 2 8" xfId="30492"/>
    <cellStyle name="Vírgula 9 3 2 2 9" xfId="34524"/>
    <cellStyle name="Vírgula 9 3 2 3" xfId="7349"/>
    <cellStyle name="Vírgula 9 3 2 3 10" xfId="43639"/>
    <cellStyle name="Vírgula 9 3 2 3 11" xfId="47671"/>
    <cellStyle name="Vírgula 9 3 2 3 12" xfId="51750"/>
    <cellStyle name="Vírgula 9 3 2 3 2" xfId="11383"/>
    <cellStyle name="Vírgula 9 3 2 3 3" xfId="15415"/>
    <cellStyle name="Vírgula 9 3 2 3 4" xfId="19447"/>
    <cellStyle name="Vírgula 9 3 2 3 5" xfId="23479"/>
    <cellStyle name="Vírgula 9 3 2 3 6" xfId="27511"/>
    <cellStyle name="Vírgula 9 3 2 3 7" xfId="31543"/>
    <cellStyle name="Vírgula 9 3 2 3 8" xfId="35575"/>
    <cellStyle name="Vírgula 9 3 2 3 9" xfId="39607"/>
    <cellStyle name="Vírgula 9 3 2 4" xfId="9367"/>
    <cellStyle name="Vírgula 9 3 2 5" xfId="13399"/>
    <cellStyle name="Vírgula 9 3 2 6" xfId="17431"/>
    <cellStyle name="Vírgula 9 3 2 7" xfId="21463"/>
    <cellStyle name="Vírgula 9 3 2 8" xfId="25495"/>
    <cellStyle name="Vírgula 9 3 2 9" xfId="29527"/>
    <cellStyle name="Vírgula 9 3 3" xfId="829"/>
    <cellStyle name="Vírgula 9 3 4" xfId="961"/>
    <cellStyle name="Vírgula 9 4" xfId="830"/>
    <cellStyle name="Vírgula 9 5" xfId="831"/>
    <cellStyle name="Vírgula 9 5 10" xfId="33560"/>
    <cellStyle name="Vírgula 9 5 11" xfId="37592"/>
    <cellStyle name="Vírgula 9 5 12" xfId="41624"/>
    <cellStyle name="Vírgula 9 5 13" xfId="45656"/>
    <cellStyle name="Vírgula 9 5 14" xfId="49734"/>
    <cellStyle name="Vírgula 9 5 2" xfId="4925"/>
    <cellStyle name="Vírgula 9 5 2 10" xfId="38557"/>
    <cellStyle name="Vírgula 9 5 2 11" xfId="42589"/>
    <cellStyle name="Vírgula 9 5 2 12" xfId="46621"/>
    <cellStyle name="Vírgula 9 5 2 13" xfId="50700"/>
    <cellStyle name="Vírgula 9 5 2 2" xfId="8315"/>
    <cellStyle name="Vírgula 9 5 2 2 10" xfId="44605"/>
    <cellStyle name="Vírgula 9 5 2 2 11" xfId="48637"/>
    <cellStyle name="Vírgula 9 5 2 2 12" xfId="52716"/>
    <cellStyle name="Vírgula 9 5 2 2 2" xfId="12349"/>
    <cellStyle name="Vírgula 9 5 2 2 3" xfId="16381"/>
    <cellStyle name="Vírgula 9 5 2 2 4" xfId="20413"/>
    <cellStyle name="Vírgula 9 5 2 2 5" xfId="24445"/>
    <cellStyle name="Vírgula 9 5 2 2 6" xfId="28477"/>
    <cellStyle name="Vírgula 9 5 2 2 7" xfId="32509"/>
    <cellStyle name="Vírgula 9 5 2 2 8" xfId="36541"/>
    <cellStyle name="Vírgula 9 5 2 2 9" xfId="40573"/>
    <cellStyle name="Vírgula 9 5 2 3" xfId="10333"/>
    <cellStyle name="Vírgula 9 5 2 4" xfId="14365"/>
    <cellStyle name="Vírgula 9 5 2 5" xfId="18397"/>
    <cellStyle name="Vírgula 9 5 2 6" xfId="22429"/>
    <cellStyle name="Vírgula 9 5 2 7" xfId="26461"/>
    <cellStyle name="Vírgula 9 5 2 8" xfId="30493"/>
    <cellStyle name="Vírgula 9 5 2 9" xfId="34525"/>
    <cellStyle name="Vírgula 9 5 3" xfId="7350"/>
    <cellStyle name="Vírgula 9 5 3 10" xfId="43640"/>
    <cellStyle name="Vírgula 9 5 3 11" xfId="47672"/>
    <cellStyle name="Vírgula 9 5 3 12" xfId="51751"/>
    <cellStyle name="Vírgula 9 5 3 2" xfId="11384"/>
    <cellStyle name="Vírgula 9 5 3 3" xfId="15416"/>
    <cellStyle name="Vírgula 9 5 3 4" xfId="19448"/>
    <cellStyle name="Vírgula 9 5 3 5" xfId="23480"/>
    <cellStyle name="Vírgula 9 5 3 6" xfId="27512"/>
    <cellStyle name="Vírgula 9 5 3 7" xfId="31544"/>
    <cellStyle name="Vírgula 9 5 3 8" xfId="35576"/>
    <cellStyle name="Vírgula 9 5 3 9" xfId="39608"/>
    <cellStyle name="Vírgula 9 5 4" xfId="9368"/>
    <cellStyle name="Vírgula 9 5 5" xfId="13400"/>
    <cellStyle name="Vírgula 9 5 6" xfId="17432"/>
    <cellStyle name="Vírgula 9 5 7" xfId="21464"/>
    <cellStyle name="Vírgula 9 5 8" xfId="25496"/>
    <cellStyle name="Vírgula 9 5 9" xfId="29528"/>
    <cellStyle name="Vírgula0" xfId="443"/>
    <cellStyle name="Vírgula0 2" xfId="887"/>
    <cellStyle name="Vírgula0 3" xfId="1401"/>
    <cellStyle name="Vírgula0 3 2" xfId="5193"/>
    <cellStyle name="Warning Text" xfId="521"/>
  </cellStyles>
  <dxfs count="579">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16:creationId xmlns="" xmlns:a16="http://schemas.microsoft.com/office/drawing/2014/main" id="{00000000-0008-0000-0000-000002000000}"/>
            </a:ext>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76200</xdr:colOff>
      <xdr:row>1</xdr:row>
      <xdr:rowOff>76200</xdr:rowOff>
    </xdr:from>
    <xdr:to>
      <xdr:col>1</xdr:col>
      <xdr:colOff>524436</xdr:colOff>
      <xdr:row>4</xdr:row>
      <xdr:rowOff>71809</xdr:rowOff>
    </xdr:to>
    <xdr:pic>
      <xdr:nvPicPr>
        <xdr:cNvPr id="3" name="Picture 1024" descr="Resultado de imagem para LOGO UNB">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314325"/>
          <a:ext cx="1095936" cy="509959"/>
        </a:xfrm>
        <a:prstGeom prst="rect">
          <a:avLst/>
        </a:prstGeom>
        <a:noFill/>
        <a:ln w="9525">
          <a:noFill/>
          <a:miter lim="800000"/>
          <a:headEnd/>
          <a:tailEnd/>
        </a:ln>
      </xdr:spPr>
    </xdr:pic>
    <xdr:clientData/>
  </xdr:twoCellAnchor>
  <xdr:twoCellAnchor editAs="oneCell">
    <xdr:from>
      <xdr:col>8</xdr:col>
      <xdr:colOff>140633</xdr:colOff>
      <xdr:row>1</xdr:row>
      <xdr:rowOff>144318</xdr:rowOff>
    </xdr:from>
    <xdr:to>
      <xdr:col>9</xdr:col>
      <xdr:colOff>285189</xdr:colOff>
      <xdr:row>4</xdr:row>
      <xdr:rowOff>153231</xdr:rowOff>
    </xdr:to>
    <xdr:pic>
      <xdr:nvPicPr>
        <xdr:cNvPr id="4" name="Imagem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2233" y="382443"/>
          <a:ext cx="1097056" cy="5232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49696</xdr:colOff>
      <xdr:row>88</xdr:row>
      <xdr:rowOff>0</xdr:rowOff>
    </xdr:from>
    <xdr:ext cx="184731" cy="264560"/>
    <xdr:sp macro="" textlink="">
      <xdr:nvSpPr>
        <xdr:cNvPr id="2" name="CaixaDeTexto 1">
          <a:extLst>
            <a:ext uri="{FF2B5EF4-FFF2-40B4-BE49-F238E27FC236}">
              <a16:creationId xmlns="" xmlns:a16="http://schemas.microsoft.com/office/drawing/2014/main" id="{00000000-0008-0000-0900-000002000000}"/>
            </a:ext>
          </a:extLst>
        </xdr:cNvPr>
        <xdr:cNvSpPr txBox="1"/>
      </xdr:nvSpPr>
      <xdr:spPr>
        <a:xfrm>
          <a:off x="2249971" y="4331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6</xdr:col>
      <xdr:colOff>819939</xdr:colOff>
      <xdr:row>4</xdr:row>
      <xdr:rowOff>66675</xdr:rowOff>
    </xdr:to>
    <xdr:pic>
      <xdr:nvPicPr>
        <xdr:cNvPr id="4" name="Imagem 3">
          <a:extLst>
            <a:ext uri="{FF2B5EF4-FFF2-40B4-BE49-F238E27FC236}">
              <a16:creationId xmlns=""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190500"/>
          <a:ext cx="1420014" cy="6381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104775</xdr:colOff>
      <xdr:row>0</xdr:row>
      <xdr:rowOff>190500</xdr:rowOff>
    </xdr:from>
    <xdr:ext cx="1462709" cy="666750"/>
    <xdr:pic>
      <xdr:nvPicPr>
        <xdr:cNvPr id="12588" name="Picture 1024" descr="Resultado de imagem para LOGO UNB">
          <a:extLst>
            <a:ext uri="{FF2B5EF4-FFF2-40B4-BE49-F238E27FC236}">
              <a16:creationId xmlns="" xmlns:a16="http://schemas.microsoft.com/office/drawing/2014/main" id="{00000000-0008-0000-0A00-00002C31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oneCellAnchor>
  <xdr:oneCellAnchor>
    <xdr:from>
      <xdr:col>6</xdr:col>
      <xdr:colOff>819150</xdr:colOff>
      <xdr:row>0</xdr:row>
      <xdr:rowOff>180975</xdr:rowOff>
    </xdr:from>
    <xdr:ext cx="1420016" cy="638175"/>
    <xdr:pic>
      <xdr:nvPicPr>
        <xdr:cNvPr id="3" name="Imagem 2">
          <a:extLst>
            <a:ext uri="{FF2B5EF4-FFF2-40B4-BE49-F238E27FC236}">
              <a16:creationId xmlns=""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05700" y="180975"/>
          <a:ext cx="1420014" cy="63817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127187</xdr:colOff>
      <xdr:row>0</xdr:row>
      <xdr:rowOff>44823</xdr:rowOff>
    </xdr:from>
    <xdr:to>
      <xdr:col>1</xdr:col>
      <xdr:colOff>409414</xdr:colOff>
      <xdr:row>3</xdr:row>
      <xdr:rowOff>140073</xdr:rowOff>
    </xdr:to>
    <xdr:pic>
      <xdr:nvPicPr>
        <xdr:cNvPr id="2" name="Picture 1024" descr="Resultado de imagem para LOGO UNB">
          <a:extLst>
            <a:ext uri="{FF2B5EF4-FFF2-40B4-BE49-F238E27FC236}">
              <a16:creationId xmlns:a16="http://schemas.microsoft.com/office/drawing/2014/main" xmlns="" id="{5C115B68-ED56-4DE2-B084-63C46FF663BB}"/>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7187" y="44823"/>
          <a:ext cx="1168052" cy="666750"/>
        </a:xfrm>
        <a:prstGeom prst="rect">
          <a:avLst/>
        </a:prstGeom>
        <a:noFill/>
        <a:ln w="9525">
          <a:noFill/>
          <a:miter lim="800000"/>
          <a:headEnd/>
          <a:tailEnd/>
        </a:ln>
      </xdr:spPr>
    </xdr:pic>
    <xdr:clientData/>
  </xdr:twoCellAnchor>
  <xdr:twoCellAnchor editAs="oneCell">
    <xdr:from>
      <xdr:col>16</xdr:col>
      <xdr:colOff>422462</xdr:colOff>
      <xdr:row>0</xdr:row>
      <xdr:rowOff>100853</xdr:rowOff>
    </xdr:from>
    <xdr:to>
      <xdr:col>17</xdr:col>
      <xdr:colOff>509887</xdr:colOff>
      <xdr:row>3</xdr:row>
      <xdr:rowOff>167528</xdr:rowOff>
    </xdr:to>
    <xdr:pic>
      <xdr:nvPicPr>
        <xdr:cNvPr id="3" name="Imagem 2">
          <a:extLst>
            <a:ext uri="{FF2B5EF4-FFF2-40B4-BE49-F238E27FC236}">
              <a16:creationId xmlns:a16="http://schemas.microsoft.com/office/drawing/2014/main" xmlns="" id="{380AAECD-5AED-44FC-BE3D-648F262C54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767987" y="100853"/>
          <a:ext cx="1430450" cy="6381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49696</xdr:colOff>
      <xdr:row>742</xdr:row>
      <xdr:rowOff>0</xdr:rowOff>
    </xdr:from>
    <xdr:ext cx="184731" cy="264560"/>
    <xdr:sp macro="" textlink="">
      <xdr:nvSpPr>
        <xdr:cNvPr id="2" name="CaixaDeTexto 1">
          <a:extLst>
            <a:ext uri="{FF2B5EF4-FFF2-40B4-BE49-F238E27FC236}">
              <a16:creationId xmlns="" xmlns:a16="http://schemas.microsoft.com/office/drawing/2014/main" id="{00000000-0008-0000-0C00-000002000000}"/>
            </a:ext>
          </a:extLst>
        </xdr:cNvPr>
        <xdr:cNvSpPr txBox="1"/>
      </xdr:nvSpPr>
      <xdr:spPr>
        <a:xfrm>
          <a:off x="916471" y="1493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545646</xdr:colOff>
      <xdr:row>4</xdr:row>
      <xdr:rowOff>95250</xdr:rowOff>
    </xdr:to>
    <xdr:pic>
      <xdr:nvPicPr>
        <xdr:cNvPr id="3" name="Picture 1024" descr="Resultado de imagem para LOGO UNB">
          <a:extLst>
            <a:ext uri="{FF2B5EF4-FFF2-40B4-BE49-F238E27FC236}">
              <a16:creationId xmlns=""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7</xdr:col>
      <xdr:colOff>788</xdr:colOff>
      <xdr:row>4</xdr:row>
      <xdr:rowOff>66675</xdr:rowOff>
    </xdr:to>
    <xdr:pic>
      <xdr:nvPicPr>
        <xdr:cNvPr id="4" name="Imagem 3">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72300" y="190500"/>
          <a:ext cx="1420013" cy="6381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85726</xdr:colOff>
      <xdr:row>0</xdr:row>
      <xdr:rowOff>85725</xdr:rowOff>
    </xdr:from>
    <xdr:to>
      <xdr:col>1</xdr:col>
      <xdr:colOff>552450</xdr:colOff>
      <xdr:row>3</xdr:row>
      <xdr:rowOff>114300</xdr:rowOff>
    </xdr:to>
    <xdr:pic>
      <xdr:nvPicPr>
        <xdr:cNvPr id="2" name="Picture 1024" descr="Resultado de imagem para LOGO UNB">
          <a:extLst>
            <a:ext uri="{FF2B5EF4-FFF2-40B4-BE49-F238E27FC236}">
              <a16:creationId xmlns=""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85726" y="85725"/>
          <a:ext cx="1276349" cy="600075"/>
        </a:xfrm>
        <a:prstGeom prst="rect">
          <a:avLst/>
        </a:prstGeom>
        <a:noFill/>
        <a:ln w="9525">
          <a:noFill/>
          <a:miter lim="800000"/>
          <a:headEnd/>
          <a:tailEnd/>
        </a:ln>
      </xdr:spPr>
    </xdr:pic>
    <xdr:clientData/>
  </xdr:twoCellAnchor>
  <xdr:twoCellAnchor editAs="oneCell">
    <xdr:from>
      <xdr:col>6</xdr:col>
      <xdr:colOff>9525</xdr:colOff>
      <xdr:row>0</xdr:row>
      <xdr:rowOff>95251</xdr:rowOff>
    </xdr:from>
    <xdr:to>
      <xdr:col>6</xdr:col>
      <xdr:colOff>1266825</xdr:colOff>
      <xdr:row>3</xdr:row>
      <xdr:rowOff>76201</xdr:rowOff>
    </xdr:to>
    <xdr:pic>
      <xdr:nvPicPr>
        <xdr:cNvPr id="3" name="Imagem 2">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6525" y="95251"/>
          <a:ext cx="1257300" cy="552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135641</xdr:colOff>
      <xdr:row>3</xdr:row>
      <xdr:rowOff>122144</xdr:rowOff>
    </xdr:to>
    <xdr:pic>
      <xdr:nvPicPr>
        <xdr:cNvPr id="2" name="Picture 1024" descr="Resultado de imagem para LOGO UNB">
          <a:extLst>
            <a:ext uri="{FF2B5EF4-FFF2-40B4-BE49-F238E27FC236}">
              <a16:creationId xmlns=""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871714</xdr:colOff>
      <xdr:row>1</xdr:row>
      <xdr:rowOff>9525</xdr:rowOff>
    </xdr:from>
    <xdr:to>
      <xdr:col>5</xdr:col>
      <xdr:colOff>399925</xdr:colOff>
      <xdr:row>3</xdr:row>
      <xdr:rowOff>133350</xdr:rowOff>
    </xdr:to>
    <xdr:pic>
      <xdr:nvPicPr>
        <xdr:cNvPr id="3" name="Imagem 2">
          <a:extLst>
            <a:ext uri="{FF2B5EF4-FFF2-40B4-BE49-F238E27FC236}">
              <a16:creationId xmlns=""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7214" y="200025"/>
          <a:ext cx="956961"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 xmlns:a16="http://schemas.microsoft.com/office/drawing/2014/main" id="{00000000-0008-0000-0E00-000004000000}"/>
                </a:ext>
              </a:extLst>
            </xdr:cNvPr>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panose="02040503050406030204" pitchFamily="18" charset="0"/>
                          </a:rPr>
                        </m:ctrlPr>
                      </m:fPr>
                      <m:num>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panose="02040503050406030204" pitchFamily="18" charset="0"/>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85215</xdr:colOff>
      <xdr:row>3</xdr:row>
      <xdr:rowOff>85725</xdr:rowOff>
    </xdr:to>
    <xdr:pic>
      <xdr:nvPicPr>
        <xdr:cNvPr id="2" name="Picture 1024" descr="Resultado de imagem para LOGO UNB">
          <a:extLst>
            <a:ext uri="{FF2B5EF4-FFF2-40B4-BE49-F238E27FC236}">
              <a16:creationId xmlns=""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863311</xdr:colOff>
      <xdr:row>0</xdr:row>
      <xdr:rowOff>171450</xdr:rowOff>
    </xdr:from>
    <xdr:to>
      <xdr:col>5</xdr:col>
      <xdr:colOff>391522</xdr:colOff>
      <xdr:row>3</xdr:row>
      <xdr:rowOff>104775</xdr:rowOff>
    </xdr:to>
    <xdr:pic>
      <xdr:nvPicPr>
        <xdr:cNvPr id="3" name="Imagem 2">
          <a:extLst>
            <a:ext uri="{FF2B5EF4-FFF2-40B4-BE49-F238E27FC236}">
              <a16:creationId xmlns=""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2136" y="171450"/>
          <a:ext cx="985536" cy="5048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591207</xdr:colOff>
      <xdr:row>4</xdr:row>
      <xdr:rowOff>82113</xdr:rowOff>
    </xdr:to>
    <xdr:pic>
      <xdr:nvPicPr>
        <xdr:cNvPr id="2" name="Picture 1024" descr="Resultado de imagem para LOGO UNB">
          <a:extLst>
            <a:ext uri="{FF2B5EF4-FFF2-40B4-BE49-F238E27FC236}">
              <a16:creationId xmlns=""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02449" cy="666750"/>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413843</xdr:colOff>
      <xdr:row>4</xdr:row>
      <xdr:rowOff>106089</xdr:rowOff>
    </xdr:to>
    <xdr:pic>
      <xdr:nvPicPr>
        <xdr:cNvPr id="3" name="Imagem 2">
          <a:extLst>
            <a:ext uri="{FF2B5EF4-FFF2-40B4-BE49-F238E27FC236}">
              <a16:creationId xmlns=""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68259" y="151086"/>
          <a:ext cx="1123291" cy="6381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591207</xdr:colOff>
      <xdr:row>4</xdr:row>
      <xdr:rowOff>82113</xdr:rowOff>
    </xdr:to>
    <xdr:pic>
      <xdr:nvPicPr>
        <xdr:cNvPr id="2" name="Picture 1024" descr="Resultado de imagem para LOGO UNB">
          <a:extLst>
            <a:ext uri="{FF2B5EF4-FFF2-40B4-BE49-F238E27FC236}">
              <a16:creationId xmlns=""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42520" cy="659853"/>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466395</xdr:colOff>
      <xdr:row>4</xdr:row>
      <xdr:rowOff>106089</xdr:rowOff>
    </xdr:to>
    <xdr:pic>
      <xdr:nvPicPr>
        <xdr:cNvPr id="3" name="Imagem 2">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8784" y="151086"/>
          <a:ext cx="1184711" cy="63127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591207</xdr:colOff>
      <xdr:row>4</xdr:row>
      <xdr:rowOff>82113</xdr:rowOff>
    </xdr:to>
    <xdr:pic>
      <xdr:nvPicPr>
        <xdr:cNvPr id="2" name="Picture 1024" descr="Resultado de imagem para LOGO UNB">
          <a:extLst>
            <a:ext uri="{FF2B5EF4-FFF2-40B4-BE49-F238E27FC236}">
              <a16:creationId xmlns=""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42520" cy="659853"/>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466395</xdr:colOff>
      <xdr:row>4</xdr:row>
      <xdr:rowOff>106089</xdr:rowOff>
    </xdr:to>
    <xdr:pic>
      <xdr:nvPicPr>
        <xdr:cNvPr id="3" name="Imagem 2">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8784" y="151086"/>
          <a:ext cx="1184711" cy="6312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49696</xdr:colOff>
      <xdr:row>75</xdr:row>
      <xdr:rowOff>0</xdr:rowOff>
    </xdr:from>
    <xdr:ext cx="184731" cy="264560"/>
    <xdr:sp macro="" textlink="">
      <xdr:nvSpPr>
        <xdr:cNvPr id="2" name="CaixaDeTexto 1">
          <a:extLst>
            <a:ext uri="{FF2B5EF4-FFF2-40B4-BE49-F238E27FC236}">
              <a16:creationId xmlns="" xmlns:a16="http://schemas.microsoft.com/office/drawing/2014/main" id="{00000000-0008-0000-0100-000002000000}"/>
            </a:ext>
          </a:extLst>
        </xdr:cNvPr>
        <xdr:cNvSpPr txBox="1"/>
      </xdr:nvSpPr>
      <xdr:spPr>
        <a:xfrm>
          <a:off x="2249971" y="3703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6</xdr:col>
      <xdr:colOff>819939</xdr:colOff>
      <xdr:row>4</xdr:row>
      <xdr:rowOff>66675</xdr:rowOff>
    </xdr:to>
    <xdr:pic>
      <xdr:nvPicPr>
        <xdr:cNvPr id="4" name="Imagem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190500"/>
          <a:ext cx="1420014" cy="6381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545224</xdr:colOff>
      <xdr:row>4</xdr:row>
      <xdr:rowOff>82113</xdr:rowOff>
    </xdr:to>
    <xdr:pic>
      <xdr:nvPicPr>
        <xdr:cNvPr id="2" name="Picture 1024" descr="Resultado de imagem para LOGO UNB">
          <a:extLst>
            <a:ext uri="{FF2B5EF4-FFF2-40B4-BE49-F238E27FC236}">
              <a16:creationId xmlns=""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109170" cy="659853"/>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466395</xdr:colOff>
      <xdr:row>4</xdr:row>
      <xdr:rowOff>106089</xdr:rowOff>
    </xdr:to>
    <xdr:pic>
      <xdr:nvPicPr>
        <xdr:cNvPr id="3" name="Imagem 2">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77734" y="151086"/>
          <a:ext cx="1032311" cy="63127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72587</xdr:colOff>
      <xdr:row>0</xdr:row>
      <xdr:rowOff>123825</xdr:rowOff>
    </xdr:from>
    <xdr:to>
      <xdr:col>1</xdr:col>
      <xdr:colOff>430924</xdr:colOff>
      <xdr:row>4</xdr:row>
      <xdr:rowOff>15438</xdr:rowOff>
    </xdr:to>
    <xdr:pic>
      <xdr:nvPicPr>
        <xdr:cNvPr id="6" name="Picture 1024" descr="Resultado de imagem para LOGO UNB">
          <a:extLst>
            <a:ext uri="{FF2B5EF4-FFF2-40B4-BE49-F238E27FC236}">
              <a16:creationId xmlns=""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2587" y="123825"/>
          <a:ext cx="1063187" cy="567888"/>
        </a:xfrm>
        <a:prstGeom prst="rect">
          <a:avLst/>
        </a:prstGeom>
        <a:noFill/>
        <a:ln w="9525">
          <a:noFill/>
          <a:miter lim="800000"/>
          <a:headEnd/>
          <a:tailEnd/>
        </a:ln>
      </xdr:spPr>
    </xdr:pic>
    <xdr:clientData/>
  </xdr:twoCellAnchor>
  <xdr:twoCellAnchor editAs="oneCell">
    <xdr:from>
      <xdr:col>5</xdr:col>
      <xdr:colOff>762000</xdr:colOff>
      <xdr:row>0</xdr:row>
      <xdr:rowOff>141561</xdr:rowOff>
    </xdr:from>
    <xdr:to>
      <xdr:col>7</xdr:col>
      <xdr:colOff>523545</xdr:colOff>
      <xdr:row>4</xdr:row>
      <xdr:rowOff>50632</xdr:rowOff>
    </xdr:to>
    <xdr:pic>
      <xdr:nvPicPr>
        <xdr:cNvPr id="7" name="Imagem 6">
          <a:extLst>
            <a:ext uri="{FF2B5EF4-FFF2-40B4-BE49-F238E27FC236}">
              <a16:creationId xmlns="" xmlns:a16="http://schemas.microsoft.com/office/drawing/2014/main" id="{00000000-0008-0000-1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41561"/>
          <a:ext cx="1142670" cy="5853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49696</xdr:colOff>
      <xdr:row>16</xdr:row>
      <xdr:rowOff>0</xdr:rowOff>
    </xdr:from>
    <xdr:ext cx="184731" cy="264560"/>
    <xdr:sp macro="" textlink="">
      <xdr:nvSpPr>
        <xdr:cNvPr id="2" name="CaixaDeTexto 1">
          <a:extLst>
            <a:ext uri="{FF2B5EF4-FFF2-40B4-BE49-F238E27FC236}">
              <a16:creationId xmlns="" xmlns:a16="http://schemas.microsoft.com/office/drawing/2014/main" id="{00000000-0008-0000-0200-000002000000}"/>
            </a:ext>
          </a:extLst>
        </xdr:cNvPr>
        <xdr:cNvSpPr txBox="1"/>
      </xdr:nvSpPr>
      <xdr:spPr>
        <a:xfrm>
          <a:off x="2249971" y="3227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171450</xdr:colOff>
      <xdr:row>0</xdr:row>
      <xdr:rowOff>152400</xdr:rowOff>
    </xdr:from>
    <xdr:to>
      <xdr:col>1</xdr:col>
      <xdr:colOff>593271</xdr:colOff>
      <xdr:row>4</xdr:row>
      <xdr:rowOff>57150</xdr:rowOff>
    </xdr:to>
    <xdr:pic>
      <xdr:nvPicPr>
        <xdr:cNvPr id="3" name="Picture 1024" descr="Resultado de imagem para LOGO UNB">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71450" y="152400"/>
          <a:ext cx="1288596" cy="666750"/>
        </a:xfrm>
        <a:prstGeom prst="rect">
          <a:avLst/>
        </a:prstGeom>
        <a:noFill/>
        <a:ln w="9525">
          <a:noFill/>
          <a:miter lim="800000"/>
          <a:headEnd/>
          <a:tailEnd/>
        </a:ln>
      </xdr:spPr>
    </xdr:pic>
    <xdr:clientData/>
  </xdr:twoCellAnchor>
  <xdr:twoCellAnchor editAs="oneCell">
    <xdr:from>
      <xdr:col>6</xdr:col>
      <xdr:colOff>400050</xdr:colOff>
      <xdr:row>0</xdr:row>
      <xdr:rowOff>228600</xdr:rowOff>
    </xdr:from>
    <xdr:to>
      <xdr:col>7</xdr:col>
      <xdr:colOff>819939</xdr:colOff>
      <xdr:row>4</xdr:row>
      <xdr:rowOff>66675</xdr:rowOff>
    </xdr:to>
    <xdr:pic>
      <xdr:nvPicPr>
        <xdr:cNvPr id="4" name="Imagem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53450" y="190500"/>
          <a:ext cx="1420014" cy="638175"/>
        </a:xfrm>
        <a:prstGeom prst="rect">
          <a:avLst/>
        </a:prstGeom>
      </xdr:spPr>
    </xdr:pic>
    <xdr:clientData/>
  </xdr:twoCellAnchor>
  <xdr:oneCellAnchor>
    <xdr:from>
      <xdr:col>3</xdr:col>
      <xdr:colOff>49696</xdr:colOff>
      <xdr:row>18</xdr:row>
      <xdr:rowOff>0</xdr:rowOff>
    </xdr:from>
    <xdr:ext cx="184731" cy="264560"/>
    <xdr:sp macro="" textlink="">
      <xdr:nvSpPr>
        <xdr:cNvPr id="5" name="CaixaDeTexto 4">
          <a:extLst>
            <a:ext uri="{FF2B5EF4-FFF2-40B4-BE49-F238E27FC236}">
              <a16:creationId xmlns="" xmlns:a16="http://schemas.microsoft.com/office/drawing/2014/main" id="{00000000-0008-0000-0200-000005000000}"/>
            </a:ext>
          </a:extLst>
        </xdr:cNvPr>
        <xdr:cNvSpPr txBox="1"/>
      </xdr:nvSpPr>
      <xdr:spPr>
        <a:xfrm>
          <a:off x="2249971" y="350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49696</xdr:colOff>
      <xdr:row>106</xdr:row>
      <xdr:rowOff>0</xdr:rowOff>
    </xdr:from>
    <xdr:ext cx="184731" cy="264560"/>
    <xdr:sp macro="" textlink="">
      <xdr:nvSpPr>
        <xdr:cNvPr id="2" name="CaixaDeTexto 1">
          <a:extLst>
            <a:ext uri="{FF2B5EF4-FFF2-40B4-BE49-F238E27FC236}">
              <a16:creationId xmlns="" xmlns:a16="http://schemas.microsoft.com/office/drawing/2014/main" id="{00000000-0008-0000-0300-000002000000}"/>
            </a:ext>
          </a:extLst>
        </xdr:cNvPr>
        <xdr:cNvSpPr txBox="1"/>
      </xdr:nvSpPr>
      <xdr:spPr>
        <a:xfrm>
          <a:off x="2249971" y="3113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3</xdr:col>
      <xdr:colOff>49696</xdr:colOff>
      <xdr:row>106</xdr:row>
      <xdr:rowOff>0</xdr:rowOff>
    </xdr:from>
    <xdr:ext cx="184731" cy="264560"/>
    <xdr:sp macro="" textlink="">
      <xdr:nvSpPr>
        <xdr:cNvPr id="7" name="CaixaDeTexto 6">
          <a:extLst>
            <a:ext uri="{FF2B5EF4-FFF2-40B4-BE49-F238E27FC236}">
              <a16:creationId xmlns="" xmlns:a16="http://schemas.microsoft.com/office/drawing/2014/main" id="{00000000-0008-0000-0300-000007000000}"/>
            </a:ext>
          </a:extLst>
        </xdr:cNvPr>
        <xdr:cNvSpPr txBox="1"/>
      </xdr:nvSpPr>
      <xdr:spPr>
        <a:xfrm>
          <a:off x="2249971" y="29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8" name="Picture 1024" descr="Resultado de imagem para LOGO UNB">
          <a:extLst>
            <a:ext uri="{FF2B5EF4-FFF2-40B4-BE49-F238E27FC236}">
              <a16:creationId xmlns=""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819938</xdr:colOff>
      <xdr:row>4</xdr:row>
      <xdr:rowOff>66675</xdr:rowOff>
    </xdr:to>
    <xdr:pic>
      <xdr:nvPicPr>
        <xdr:cNvPr id="9" name="Imagem 8">
          <a:extLst>
            <a:ext uri="{FF2B5EF4-FFF2-40B4-BE49-F238E27FC236}">
              <a16:creationId xmlns="" xmlns:a16="http://schemas.microsoft.com/office/drawing/2014/main" id="{00000000-0008-0000-03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7300" y="190500"/>
          <a:ext cx="1420013" cy="638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49696</xdr:colOff>
      <xdr:row>57</xdr:row>
      <xdr:rowOff>0</xdr:rowOff>
    </xdr:from>
    <xdr:ext cx="184731" cy="264560"/>
    <xdr:sp macro="" textlink="">
      <xdr:nvSpPr>
        <xdr:cNvPr id="2" name="CaixaDeTexto 1">
          <a:extLst>
            <a:ext uri="{FF2B5EF4-FFF2-40B4-BE49-F238E27FC236}">
              <a16:creationId xmlns="" xmlns:a16="http://schemas.microsoft.com/office/drawing/2014/main" id="{00000000-0008-0000-0400-000002000000}"/>
            </a:ext>
          </a:extLst>
        </xdr:cNvPr>
        <xdr:cNvSpPr txBox="1"/>
      </xdr:nvSpPr>
      <xdr:spPr>
        <a:xfrm>
          <a:off x="2249971" y="250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6</xdr:col>
      <xdr:colOff>819938</xdr:colOff>
      <xdr:row>4</xdr:row>
      <xdr:rowOff>66675</xdr:rowOff>
    </xdr:to>
    <xdr:pic>
      <xdr:nvPicPr>
        <xdr:cNvPr id="4" name="Imagem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190500"/>
          <a:ext cx="1420013" cy="638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3</xdr:col>
      <xdr:colOff>49696</xdr:colOff>
      <xdr:row>750</xdr:row>
      <xdr:rowOff>0</xdr:rowOff>
    </xdr:from>
    <xdr:ext cx="184731" cy="264560"/>
    <xdr:sp macro="" textlink="">
      <xdr:nvSpPr>
        <xdr:cNvPr id="2" name="CaixaDeTexto 1">
          <a:extLst>
            <a:ext uri="{FF2B5EF4-FFF2-40B4-BE49-F238E27FC236}">
              <a16:creationId xmlns="" xmlns:a16="http://schemas.microsoft.com/office/drawing/2014/main" id="{00000000-0008-0000-0500-000002000000}"/>
            </a:ext>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14888" name="Picture 1024" descr="Resultado de imagem para LOGO UNB">
          <a:extLst>
            <a:ext uri="{FF2B5EF4-FFF2-40B4-BE49-F238E27FC236}">
              <a16:creationId xmlns="" xmlns:a16="http://schemas.microsoft.com/office/drawing/2014/main" id="{00000000-0008-0000-0500-0000283A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8250"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819939</xdr:colOff>
      <xdr:row>4</xdr:row>
      <xdr:rowOff>66675</xdr:rowOff>
    </xdr:to>
    <xdr:pic>
      <xdr:nvPicPr>
        <xdr:cNvPr id="4" name="Imagem 3">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81950" y="228600"/>
          <a:ext cx="1420014" cy="6381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49696</xdr:colOff>
      <xdr:row>617</xdr:row>
      <xdr:rowOff>0</xdr:rowOff>
    </xdr:from>
    <xdr:ext cx="184731" cy="264560"/>
    <xdr:sp macro="" textlink="">
      <xdr:nvSpPr>
        <xdr:cNvPr id="2" name="CaixaDeTexto 1">
          <a:extLst>
            <a:ext uri="{FF2B5EF4-FFF2-40B4-BE49-F238E27FC236}">
              <a16:creationId xmlns="" xmlns:a16="http://schemas.microsoft.com/office/drawing/2014/main" id="{00000000-0008-0000-0600-000002000000}"/>
            </a:ext>
          </a:extLst>
        </xdr:cNvPr>
        <xdr:cNvSpPr txBox="1"/>
      </xdr:nvSpPr>
      <xdr:spPr>
        <a:xfrm>
          <a:off x="2249971" y="2380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6</xdr:col>
      <xdr:colOff>819940</xdr:colOff>
      <xdr:row>4</xdr:row>
      <xdr:rowOff>66675</xdr:rowOff>
    </xdr:to>
    <xdr:pic>
      <xdr:nvPicPr>
        <xdr:cNvPr id="4" name="Imagem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190500"/>
          <a:ext cx="1420014" cy="6381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xdr:col>
      <xdr:colOff>49696</xdr:colOff>
      <xdr:row>137</xdr:row>
      <xdr:rowOff>0</xdr:rowOff>
    </xdr:from>
    <xdr:ext cx="184731" cy="264560"/>
    <xdr:sp macro="" textlink="">
      <xdr:nvSpPr>
        <xdr:cNvPr id="2" name="CaixaDeTexto 1">
          <a:extLst>
            <a:ext uri="{FF2B5EF4-FFF2-40B4-BE49-F238E27FC236}">
              <a16:creationId xmlns="" xmlns:a16="http://schemas.microsoft.com/office/drawing/2014/main" id="{00000000-0008-0000-0700-000002000000}"/>
            </a:ext>
          </a:extLst>
        </xdr:cNvPr>
        <xdr:cNvSpPr txBox="1"/>
      </xdr:nvSpPr>
      <xdr:spPr>
        <a:xfrm>
          <a:off x="2249971" y="33477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5</xdr:row>
      <xdr:rowOff>19050</xdr:rowOff>
    </xdr:to>
    <xdr:pic>
      <xdr:nvPicPr>
        <xdr:cNvPr id="3" name="Picture 1024" descr="Resultado de imagem para LOGO UNB">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819939</xdr:colOff>
      <xdr:row>4</xdr:row>
      <xdr:rowOff>152400</xdr:rowOff>
    </xdr:to>
    <xdr:pic>
      <xdr:nvPicPr>
        <xdr:cNvPr id="4" name="Imagem 3">
          <a:extLst>
            <a:ext uri="{FF2B5EF4-FFF2-40B4-BE49-F238E27FC236}">
              <a16:creationId xmlns=""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53450" y="190500"/>
          <a:ext cx="1420014" cy="638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xdr:col>
      <xdr:colOff>49696</xdr:colOff>
      <xdr:row>156</xdr:row>
      <xdr:rowOff>0</xdr:rowOff>
    </xdr:from>
    <xdr:ext cx="184731" cy="264560"/>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2249971" y="32201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819939</xdr:colOff>
      <xdr:row>4</xdr:row>
      <xdr:rowOff>66675</xdr:rowOff>
    </xdr:to>
    <xdr:pic>
      <xdr:nvPicPr>
        <xdr:cNvPr id="4" name="Imagem 3">
          <a:extLst>
            <a:ext uri="{FF2B5EF4-FFF2-40B4-BE49-F238E27FC236}">
              <a16:creationId xmlns=""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82025" y="190500"/>
          <a:ext cx="1420014" cy="638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arbara.gomes/Downloads/veg%20-%20UEP_FCE_Orcamento-babs%20vers&#227;o%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e Sumário"/>
      <sheetName val="ABC Reservatório"/>
      <sheetName val="Resumo"/>
      <sheetName val="Orç - Canteiro e Adm"/>
      <sheetName val="ABC Canteiro"/>
      <sheetName val="Orç - Prédio"/>
      <sheetName val="ABC Prédio"/>
      <sheetName val="Orç - Reservatório"/>
      <sheetName val="Orç - Urbanização"/>
      <sheetName val="ABC Urbanização"/>
      <sheetName val="Composições"/>
      <sheetName val="CFF REV"/>
      <sheetName val="ABC CONSOLIDADA"/>
      <sheetName val="Cotações"/>
      <sheetName val="BDI"/>
      <sheetName val="Encargos"/>
      <sheetName val="QuantCanteiro"/>
      <sheetName val="QuantPrédio"/>
      <sheetName val="QuantElétrica"/>
      <sheetName val="QuantReservatório"/>
      <sheetName val="QuantUrb"/>
      <sheetName val="InsumosSinapi"/>
      <sheetName val="CompSinapi"/>
      <sheetName val="QuantitativosÁgFria"/>
    </sheetNames>
    <sheetDataSet>
      <sheetData sheetId="0"/>
      <sheetData sheetId="1"/>
      <sheetData sheetId="2"/>
      <sheetData sheetId="3"/>
      <sheetData sheetId="4"/>
      <sheetData sheetId="5"/>
      <sheetData sheetId="6"/>
      <sheetData sheetId="7"/>
      <sheetData sheetId="8"/>
      <sheetData sheetId="9"/>
      <sheetData sheetId="10">
        <row r="6404">
          <cell r="C6404" t="str">
            <v>VEG 92418</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3" Type="http://schemas.openxmlformats.org/officeDocument/2006/relationships/hyperlink" Target="mailto:vendas@polipartes.com.br" TargetMode="External"/><Relationship Id="rId18" Type="http://schemas.openxmlformats.org/officeDocument/2006/relationships/hyperlink" Target="mailto:vendas@splitpecas.com.br" TargetMode="External"/><Relationship Id="rId26" Type="http://schemas.openxmlformats.org/officeDocument/2006/relationships/hyperlink" Target="mailto:dualclima@me.com" TargetMode="External"/><Relationship Id="rId39" Type="http://schemas.openxmlformats.org/officeDocument/2006/relationships/hyperlink" Target="mailto:lojavirtual@arcotec.com.br" TargetMode="External"/><Relationship Id="rId21" Type="http://schemas.openxmlformats.org/officeDocument/2006/relationships/hyperlink" Target="mailto:contato@cirilopecas.com.br" TargetMode="External"/><Relationship Id="rId34" Type="http://schemas.openxmlformats.org/officeDocument/2006/relationships/hyperlink" Target="https://www.dutramaquinas.com.br/p/fixador-de-porta-de-pressao-para-piso-32-63-600-000?gclid=CjwKCAjwnrjrBRAMEiwAXsCc49fkQB0jLzOn5zmVPmNLr-6sThlVANC7APD8ePgug-vw_GKpcUnZZBoCvQgQAvD_BwE" TargetMode="External"/><Relationship Id="rId42" Type="http://schemas.openxmlformats.org/officeDocument/2006/relationships/hyperlink" Target="https://www.polipartes.com.br/valvula-servico-5-8-ar-condicionado-split-springer-38xcb-xcd-18-22-30-36k-07404040/p" TargetMode="External"/><Relationship Id="rId47" Type="http://schemas.openxmlformats.org/officeDocument/2006/relationships/hyperlink" Target="https://www.splitpecas.com.br/pecas-para-ar-condicionado/valvulas/valvula-de-servico-3-8-para-ar-condicionado" TargetMode="External"/><Relationship Id="rId50" Type="http://schemas.openxmlformats.org/officeDocument/2006/relationships/hyperlink" Target="https://www.splitpecas.com.br/pecas-para-ar-condicionado/valvulas/valvula-de-liquido-1-4-com-schrader-condensadora-7-000-9-000-e-12-000btus" TargetMode="External"/><Relationship Id="rId55" Type="http://schemas.openxmlformats.org/officeDocument/2006/relationships/hyperlink" Target="http://www.casadosfusiveis.com.br/fusivel-elo/641-teste-de-inclusao-de-produto.html" TargetMode="External"/><Relationship Id="rId7" Type="http://schemas.openxmlformats.org/officeDocument/2006/relationships/hyperlink" Target="mailto:sac@iranparts.com.br" TargetMode="External"/><Relationship Id="rId2" Type="http://schemas.openxmlformats.org/officeDocument/2006/relationships/hyperlink" Target="mailto:geiser.silva@thyssenkrupp.com" TargetMode="External"/><Relationship Id="rId16" Type="http://schemas.openxmlformats.org/officeDocument/2006/relationships/hyperlink" Target="mailto:vendas@polipartes.com.br" TargetMode="External"/><Relationship Id="rId29" Type="http://schemas.openxmlformats.org/officeDocument/2006/relationships/hyperlink" Target="http://www.novaexaustores.com.br/" TargetMode="External"/><Relationship Id="rId11" Type="http://schemas.openxmlformats.org/officeDocument/2006/relationships/hyperlink" Target="mailto:vendas@polipartes.com.br" TargetMode="External"/><Relationship Id="rId24" Type="http://schemas.openxmlformats.org/officeDocument/2006/relationships/hyperlink" Target="mailto:dualclima@me.com" TargetMode="External"/><Relationship Id="rId32" Type="http://schemas.openxmlformats.org/officeDocument/2006/relationships/hyperlink" Target="mailto:tauan.martinez@novaexaustores.com.br" TargetMode="External"/><Relationship Id="rId37" Type="http://schemas.openxmlformats.org/officeDocument/2006/relationships/hyperlink" Target="mailto:lojavirtual@arcotec.com.br" TargetMode="External"/><Relationship Id="rId40" Type="http://schemas.openxmlformats.org/officeDocument/2006/relationships/hyperlink" Target="https://www.iranparts.com.br/valvula-de-servico-p-condensadora-de-7-8" TargetMode="External"/><Relationship Id="rId45" Type="http://schemas.openxmlformats.org/officeDocument/2006/relationships/hyperlink" Target="https://www.polipartes.com.br/valvula-servico-1-2-ar-condicionado-split-springer-38kca-12k-07404039/p" TargetMode="External"/><Relationship Id="rId53" Type="http://schemas.openxmlformats.org/officeDocument/2006/relationships/hyperlink" Target="mailto:arnon@tecnicontrol.com.br" TargetMode="External"/><Relationship Id="rId58" Type="http://schemas.openxmlformats.org/officeDocument/2006/relationships/hyperlink" Target="https://www.daikin.com.br/" TargetMode="External"/><Relationship Id="rId5" Type="http://schemas.openxmlformats.org/officeDocument/2006/relationships/hyperlink" Target="http://cirilopecas.com.br/produto/valvula-de-servico-7-8-carreir-cassete-piso-teto-317414401/" TargetMode="External"/><Relationship Id="rId19" Type="http://schemas.openxmlformats.org/officeDocument/2006/relationships/hyperlink" Target="mailto:vendas@refriarparts.com.br" TargetMode="External"/><Relationship Id="rId4" Type="http://schemas.openxmlformats.org/officeDocument/2006/relationships/hyperlink" Target="mailto:lia@comdados-ba.com.br" TargetMode="External"/><Relationship Id="rId9" Type="http://schemas.openxmlformats.org/officeDocument/2006/relationships/hyperlink" Target="mailto:vendas@splitpecas.com.br" TargetMode="External"/><Relationship Id="rId14" Type="http://schemas.openxmlformats.org/officeDocument/2006/relationships/hyperlink" Target="mailto:vendas@refriarparts.com.br" TargetMode="External"/><Relationship Id="rId22" Type="http://schemas.openxmlformats.org/officeDocument/2006/relationships/hyperlink" Target="http://www.tecnicontrol.com.br/" TargetMode="External"/><Relationship Id="rId27" Type="http://schemas.openxmlformats.org/officeDocument/2006/relationships/hyperlink" Target="http://www.novaexaustores.com.br/" TargetMode="External"/><Relationship Id="rId30" Type="http://schemas.openxmlformats.org/officeDocument/2006/relationships/hyperlink" Target="mailto:tauan.martinez@novaexaustores.com.br" TargetMode="External"/><Relationship Id="rId35" Type="http://schemas.openxmlformats.org/officeDocument/2006/relationships/hyperlink" Target="https://www.piresmartins.com.br/fixador-porta-p-piso/p?s=5993&amp;gclid=CjwKCAjwnrjrBRAMEiwAXsCc48p_YK9_ZlzeSjO1y8hGaJmueZbY-ugMBP-3ygYxYbz2xwkafGgHxhoCNY0QAvD_BwE" TargetMode="External"/><Relationship Id="rId43" Type="http://schemas.openxmlformats.org/officeDocument/2006/relationships/hyperlink" Target="http://www.refriarparts.com.br/produtos/0,29252_valvula-de-servico-5-8-valvula-de-servico-da-condensadora-5-8" TargetMode="External"/><Relationship Id="rId48" Type="http://schemas.openxmlformats.org/officeDocument/2006/relationships/hyperlink" Target="https://www.polipartes.com.br/valvula-servico-3-8-ar-condicionado-split-springer-38xcb-38kca-30k---79-e-30k-07404038/p" TargetMode="External"/><Relationship Id="rId56" Type="http://schemas.openxmlformats.org/officeDocument/2006/relationships/hyperlink" Target="mailto:vendas1@casadosfusiveis.com.br" TargetMode="External"/><Relationship Id="rId8" Type="http://schemas.openxmlformats.org/officeDocument/2006/relationships/hyperlink" Target="https://www.splitpecas.com.br/pecas-para-ar-condicionado/valvula-de-servico-7-8-soldavel-midea-carrier-piso-teto-36-000-a-90-000-btus-317410-401--p" TargetMode="External"/><Relationship Id="rId51" Type="http://schemas.openxmlformats.org/officeDocument/2006/relationships/hyperlink" Target="http://cirilopecas.com.br/produto/valvula-de-servico-1-4-vias-r22-springer-07404037/" TargetMode="External"/><Relationship Id="rId3" Type="http://schemas.openxmlformats.org/officeDocument/2006/relationships/hyperlink" Target="http://www.comdados-ba.com.br/" TargetMode="External"/><Relationship Id="rId12" Type="http://schemas.openxmlformats.org/officeDocument/2006/relationships/hyperlink" Target="mailto:vendas@refriarparts.com.br" TargetMode="External"/><Relationship Id="rId17" Type="http://schemas.openxmlformats.org/officeDocument/2006/relationships/hyperlink" Target="mailto:vendas@refriarparts.com.br" TargetMode="External"/><Relationship Id="rId25" Type="http://schemas.openxmlformats.org/officeDocument/2006/relationships/hyperlink" Target="mailto:dualclima@me.com" TargetMode="External"/><Relationship Id="rId33" Type="http://schemas.openxmlformats.org/officeDocument/2006/relationships/hyperlink" Target="https://www.aladimmetais.com.br/produto/tubo-quadrado-metalon-40-x-40-1-25-galvanizado-6mts-76669" TargetMode="External"/><Relationship Id="rId38" Type="http://schemas.openxmlformats.org/officeDocument/2006/relationships/hyperlink" Target="http://www.arcotec.com.br/catalogo-produtos/acessorios-para-dutos-tdc/canto-para-duto-tdc-25mm-18/" TargetMode="External"/><Relationship Id="rId46" Type="http://schemas.openxmlformats.org/officeDocument/2006/relationships/hyperlink" Target="http://www.refriarparts.com.br/produtos/0,86244_valvula-de-servico-da-condensadora-1-2-valvula-de-servico-1-2" TargetMode="External"/><Relationship Id="rId59" Type="http://schemas.openxmlformats.org/officeDocument/2006/relationships/printerSettings" Target="../printerSettings/printerSettings14.bin"/><Relationship Id="rId20" Type="http://schemas.openxmlformats.org/officeDocument/2006/relationships/hyperlink" Target="mailto:vendas@splitpecas.com.br" TargetMode="External"/><Relationship Id="rId41" Type="http://schemas.openxmlformats.org/officeDocument/2006/relationships/hyperlink" Target="http://cirilopecas.com.br/produto/valvula-de-servico-58-vias-r22-springer-07404040/" TargetMode="External"/><Relationship Id="rId54" Type="http://schemas.openxmlformats.org/officeDocument/2006/relationships/hyperlink" Target="http://www.tecnicontrol.com.br/" TargetMode="External"/><Relationship Id="rId1" Type="http://schemas.openxmlformats.org/officeDocument/2006/relationships/hyperlink" Target="http://www.thyssenkruppelevadores.com.br/" TargetMode="External"/><Relationship Id="rId6" Type="http://schemas.openxmlformats.org/officeDocument/2006/relationships/hyperlink" Target="mailto:contato@cirilopecas.com.br" TargetMode="External"/><Relationship Id="rId15" Type="http://schemas.openxmlformats.org/officeDocument/2006/relationships/hyperlink" Target="mailto:vendas@splitpecas.com.br" TargetMode="External"/><Relationship Id="rId23" Type="http://schemas.openxmlformats.org/officeDocument/2006/relationships/hyperlink" Target="mailto:arnon@tecnicontrol.com.br" TargetMode="External"/><Relationship Id="rId28" Type="http://schemas.openxmlformats.org/officeDocument/2006/relationships/hyperlink" Target="mailto:tauan.martinez@novaexaustores.com.br" TargetMode="External"/><Relationship Id="rId36" Type="http://schemas.openxmlformats.org/officeDocument/2006/relationships/hyperlink" Target="http://www.arcotec.com.br/catalogo-produtos/acessorios-para-dutos-tdc/canto-para-duto-tdc-25mm-18/" TargetMode="External"/><Relationship Id="rId49" Type="http://schemas.openxmlformats.org/officeDocument/2006/relationships/hyperlink" Target="http://www.refriarparts.com.br/produtos/0,86244_valvula-de-servico-da-condensadora-1-2-valvula-de-servico-1-2" TargetMode="External"/><Relationship Id="rId57" Type="http://schemas.openxmlformats.org/officeDocument/2006/relationships/hyperlink" Target="mailto:danilo.viana@daikin.com.br" TargetMode="External"/><Relationship Id="rId10" Type="http://schemas.openxmlformats.org/officeDocument/2006/relationships/hyperlink" Target="mailto:contato@cirilopecas.com.br" TargetMode="External"/><Relationship Id="rId31" Type="http://schemas.openxmlformats.org/officeDocument/2006/relationships/hyperlink" Target="http://www.novaexaustores.com.br/" TargetMode="External"/><Relationship Id="rId44" Type="http://schemas.openxmlformats.org/officeDocument/2006/relationships/hyperlink" Target="https://www.splitpecas.com.br/pecas-para-ar-condicionado/valvulas/valvula-de-servico-1-2-para-ar-condicionado" TargetMode="External"/><Relationship Id="rId52" Type="http://schemas.openxmlformats.org/officeDocument/2006/relationships/hyperlink" Target="http://www.refriarparts.com.br/produtos/0,24211_valvula-liquido-condensadora-1-4-com-schrader-valvula-de-servico-condensadora-1-4" TargetMode="External"/><Relationship Id="rId60"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pageSetUpPr fitToPage="1"/>
  </sheetPr>
  <dimension ref="A1:J32"/>
  <sheetViews>
    <sheetView view="pageLayout" topLeftCell="A6" zoomScale="85" zoomScaleNormal="100" zoomScaleSheetLayoutView="100" zoomScalePageLayoutView="85" workbookViewId="0">
      <selection activeCell="E25" sqref="E25"/>
    </sheetView>
  </sheetViews>
  <sheetFormatPr defaultColWidth="8.42578125" defaultRowHeight="15.75"/>
  <cols>
    <col min="1" max="1" width="9.7109375" style="65" customWidth="1"/>
    <col min="2" max="2" width="9.7109375" style="66" customWidth="1"/>
    <col min="3" max="3" width="9.7109375" style="67" customWidth="1"/>
    <col min="4" max="4" width="9.7109375" style="68" customWidth="1"/>
    <col min="5" max="8" width="9.7109375" style="59" customWidth="1"/>
    <col min="9" max="9" width="14.28515625" style="59" customWidth="1"/>
    <col min="10" max="10" width="5.42578125" style="59" customWidth="1"/>
    <col min="11" max="16384" width="8.42578125" style="59"/>
  </cols>
  <sheetData>
    <row r="1" spans="1:10" ht="18.75" customHeight="1">
      <c r="A1" s="57"/>
      <c r="B1" s="58"/>
      <c r="C1" s="58"/>
      <c r="D1" s="58"/>
    </row>
    <row r="2" spans="1:10" ht="12.75" customHeight="1">
      <c r="A2" s="60"/>
      <c r="B2" s="61"/>
      <c r="C2" s="61"/>
      <c r="D2" s="62"/>
    </row>
    <row r="3" spans="1:10" ht="15" customHeight="1">
      <c r="A3" s="685" t="s">
        <v>35</v>
      </c>
      <c r="B3" s="685"/>
      <c r="C3" s="685"/>
      <c r="D3" s="685"/>
      <c r="E3" s="685"/>
      <c r="F3" s="685"/>
      <c r="G3" s="685"/>
      <c r="H3" s="685"/>
      <c r="I3" s="685"/>
      <c r="J3" s="685"/>
    </row>
    <row r="4" spans="1:10" ht="12.75" customHeight="1">
      <c r="A4" s="685" t="s">
        <v>36</v>
      </c>
      <c r="B4" s="685"/>
      <c r="C4" s="685"/>
      <c r="D4" s="685"/>
      <c r="E4" s="685"/>
      <c r="F4" s="685"/>
      <c r="G4" s="685"/>
      <c r="H4" s="685"/>
      <c r="I4" s="685"/>
      <c r="J4" s="685"/>
    </row>
    <row r="5" spans="1:10">
      <c r="A5" s="685" t="s">
        <v>5924</v>
      </c>
      <c r="B5" s="685"/>
      <c r="C5" s="685"/>
      <c r="D5" s="685"/>
      <c r="E5" s="685"/>
      <c r="F5" s="685"/>
      <c r="G5" s="685"/>
      <c r="H5" s="685"/>
      <c r="I5" s="685"/>
      <c r="J5" s="685"/>
    </row>
    <row r="6" spans="1:10">
      <c r="A6" s="57"/>
      <c r="B6" s="58"/>
      <c r="C6" s="58"/>
      <c r="D6" s="58"/>
    </row>
    <row r="7" spans="1:10">
      <c r="A7" s="60"/>
      <c r="B7" s="61"/>
      <c r="C7" s="61"/>
      <c r="D7" s="62"/>
    </row>
    <row r="8" spans="1:10">
      <c r="A8" s="60"/>
      <c r="B8" s="61"/>
      <c r="C8" s="61"/>
      <c r="D8" s="62"/>
    </row>
    <row r="15" spans="1:10" ht="31.5">
      <c r="A15" s="686" t="s">
        <v>6179</v>
      </c>
      <c r="B15" s="686"/>
      <c r="C15" s="686"/>
      <c r="D15" s="686"/>
      <c r="E15" s="686"/>
      <c r="F15" s="686"/>
      <c r="G15" s="686"/>
      <c r="H15" s="686"/>
      <c r="I15" s="686"/>
      <c r="J15" s="686"/>
    </row>
    <row r="17" spans="1:10" ht="21">
      <c r="A17" s="687" t="s">
        <v>9618</v>
      </c>
      <c r="B17" s="687"/>
      <c r="C17" s="687"/>
      <c r="D17" s="687"/>
      <c r="E17" s="687"/>
      <c r="F17" s="687"/>
      <c r="G17" s="687"/>
      <c r="H17" s="687"/>
      <c r="I17" s="687"/>
      <c r="J17" s="687"/>
    </row>
    <row r="18" spans="1:10">
      <c r="A18" s="63"/>
      <c r="B18" s="63"/>
      <c r="C18" s="63"/>
      <c r="D18" s="63"/>
      <c r="E18" s="63"/>
      <c r="F18" s="63"/>
      <c r="G18" s="63"/>
      <c r="H18" s="63"/>
      <c r="I18" s="63"/>
      <c r="J18" s="63"/>
    </row>
    <row r="21" spans="1:10" ht="18.75">
      <c r="A21" s="64" t="s">
        <v>9606</v>
      </c>
      <c r="B21" s="64"/>
      <c r="C21" s="64"/>
      <c r="D21" s="64"/>
      <c r="E21" s="64"/>
      <c r="F21" s="64"/>
      <c r="G21" s="64"/>
      <c r="H21" s="64"/>
      <c r="I21" s="64"/>
      <c r="J21" s="64">
        <v>1</v>
      </c>
    </row>
    <row r="22" spans="1:10" ht="18.75">
      <c r="A22" s="64" t="s">
        <v>9607</v>
      </c>
      <c r="B22" s="64"/>
      <c r="C22" s="64"/>
      <c r="D22" s="64"/>
      <c r="E22" s="64"/>
      <c r="F22" s="64"/>
      <c r="G22" s="64"/>
      <c r="H22" s="64"/>
      <c r="I22" s="64"/>
      <c r="J22" s="64">
        <v>2</v>
      </c>
    </row>
    <row r="23" spans="1:10" ht="18.75">
      <c r="A23" s="64" t="s">
        <v>9608</v>
      </c>
      <c r="B23" s="64"/>
      <c r="C23" s="64"/>
      <c r="D23" s="64"/>
      <c r="E23" s="64"/>
      <c r="F23" s="64"/>
      <c r="G23" s="64"/>
      <c r="H23" s="64"/>
      <c r="I23" s="64"/>
      <c r="J23" s="64">
        <v>4</v>
      </c>
    </row>
    <row r="24" spans="1:10" ht="18.75">
      <c r="A24" s="64" t="s">
        <v>9609</v>
      </c>
      <c r="B24" s="64"/>
      <c r="C24" s="64"/>
      <c r="D24" s="64"/>
      <c r="E24" s="64"/>
      <c r="F24" s="64"/>
      <c r="G24" s="64"/>
      <c r="H24" s="64"/>
      <c r="I24" s="64"/>
      <c r="J24" s="64">
        <v>23</v>
      </c>
    </row>
    <row r="25" spans="1:10" ht="18.75">
      <c r="A25" s="64" t="s">
        <v>9610</v>
      </c>
      <c r="B25" s="64"/>
      <c r="C25" s="64"/>
      <c r="D25" s="64"/>
      <c r="E25" s="64"/>
      <c r="F25" s="64"/>
      <c r="G25" s="64"/>
      <c r="H25" s="64"/>
      <c r="I25" s="64"/>
      <c r="J25" s="64">
        <v>26</v>
      </c>
    </row>
    <row r="26" spans="1:10" ht="18.75">
      <c r="A26" s="64" t="s">
        <v>9611</v>
      </c>
      <c r="B26" s="64"/>
      <c r="C26" s="64"/>
      <c r="D26" s="64"/>
      <c r="E26" s="64"/>
      <c r="F26" s="64"/>
      <c r="G26" s="64"/>
      <c r="H26" s="64"/>
      <c r="I26" s="64"/>
      <c r="J26" s="64">
        <v>30</v>
      </c>
    </row>
    <row r="27" spans="1:10" ht="18.75">
      <c r="A27" s="64" t="s">
        <v>9612</v>
      </c>
      <c r="B27" s="64"/>
      <c r="C27" s="64"/>
      <c r="D27" s="64"/>
      <c r="E27" s="64"/>
      <c r="F27" s="64"/>
      <c r="G27" s="64"/>
      <c r="H27" s="64"/>
      <c r="I27" s="64"/>
      <c r="J27" s="64">
        <v>156</v>
      </c>
    </row>
    <row r="28" spans="1:10" ht="18.75">
      <c r="A28" s="64" t="s">
        <v>9613</v>
      </c>
      <c r="B28" s="64"/>
      <c r="C28" s="64"/>
      <c r="D28" s="64"/>
      <c r="E28" s="64"/>
      <c r="F28" s="64"/>
      <c r="G28" s="64"/>
      <c r="H28" s="64"/>
      <c r="I28" s="64"/>
      <c r="J28" s="64">
        <v>157</v>
      </c>
    </row>
    <row r="29" spans="1:10" ht="18.75">
      <c r="A29" s="64" t="s">
        <v>9614</v>
      </c>
      <c r="J29" s="64">
        <v>174</v>
      </c>
    </row>
    <row r="30" spans="1:10" ht="18.75">
      <c r="A30" s="64" t="s">
        <v>9615</v>
      </c>
      <c r="J30" s="64">
        <v>180</v>
      </c>
    </row>
    <row r="31" spans="1:10" ht="18.75">
      <c r="A31" s="64" t="s">
        <v>9616</v>
      </c>
      <c r="J31" s="64">
        <v>181</v>
      </c>
    </row>
    <row r="32" spans="1:10" ht="18.75">
      <c r="A32" s="64" t="s">
        <v>9617</v>
      </c>
      <c r="J32" s="64">
        <v>182</v>
      </c>
    </row>
  </sheetData>
  <sheetProtection selectLockedCells="1" selectUnlockedCells="1"/>
  <mergeCells count="5">
    <mergeCell ref="A3:J3"/>
    <mergeCell ref="A4:J4"/>
    <mergeCell ref="A5:J5"/>
    <mergeCell ref="A15:J15"/>
    <mergeCell ref="A17:J17"/>
  </mergeCells>
  <printOptions horizontalCentered="1"/>
  <pageMargins left="0.25" right="0.25" top="0.75" bottom="0.75" header="0.3" footer="0.3"/>
  <pageSetup paperSize="9" fitToHeight="0" orientation="portrait" useFirstPageNumber="1" horizontalDpi="300" verticalDpi="300" r:id="rId1"/>
  <headerFooter alignWithMargins="0">
    <oddFooter xml:space="preserve">&amp;CEng. Civil Daniele Firme Miranda
CREA: 24.965/D-DF
ART nº 0720190034483&amp;R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tabColor theme="5"/>
    <pageSetUpPr fitToPage="1"/>
  </sheetPr>
  <dimension ref="A1:G97"/>
  <sheetViews>
    <sheetView view="pageBreakPreview" topLeftCell="A73" zoomScaleNormal="100" zoomScaleSheetLayoutView="100" workbookViewId="0">
      <selection activeCell="A14" sqref="A14:XFD88"/>
    </sheetView>
  </sheetViews>
  <sheetFormatPr defaultRowHeight="12.75"/>
  <cols>
    <col min="1" max="1" width="13" style="8" customWidth="1"/>
    <col min="2" max="2" width="70.5703125" style="9" customWidth="1"/>
    <col min="3" max="3" width="15" style="436" customWidth="1"/>
    <col min="4" max="4" width="13.28515625" style="359" hidden="1" customWidth="1"/>
    <col min="5" max="5" width="13.28515625" style="2" hidden="1" customWidth="1"/>
    <col min="6" max="7" width="15" style="436" customWidth="1"/>
    <col min="8" max="16384" width="9.140625" style="539"/>
  </cols>
  <sheetData>
    <row r="1" spans="1:7" ht="15">
      <c r="A1" s="140"/>
      <c r="B1" s="39"/>
      <c r="C1" s="429"/>
      <c r="D1" s="347"/>
      <c r="E1" s="141"/>
      <c r="F1" s="429"/>
      <c r="G1" s="429"/>
    </row>
    <row r="2" spans="1:7" ht="15">
      <c r="A2" s="685" t="s">
        <v>35</v>
      </c>
      <c r="B2" s="685"/>
      <c r="C2" s="685"/>
      <c r="D2" s="685"/>
      <c r="E2" s="685"/>
      <c r="F2" s="685"/>
      <c r="G2" s="685"/>
    </row>
    <row r="3" spans="1:7" ht="15">
      <c r="A3" s="685" t="s">
        <v>36</v>
      </c>
      <c r="B3" s="685"/>
      <c r="C3" s="685"/>
      <c r="D3" s="685"/>
      <c r="E3" s="685"/>
      <c r="F3" s="685"/>
      <c r="G3" s="685"/>
    </row>
    <row r="4" spans="1:7" ht="15">
      <c r="A4" s="685" t="s">
        <v>5924</v>
      </c>
      <c r="B4" s="685"/>
      <c r="C4" s="685"/>
      <c r="D4" s="685"/>
      <c r="E4" s="685"/>
      <c r="F4" s="685"/>
      <c r="G4" s="685"/>
    </row>
    <row r="5" spans="1:7" ht="15">
      <c r="A5" s="33"/>
      <c r="B5" s="34" t="s">
        <v>29</v>
      </c>
      <c r="C5" s="428"/>
      <c r="D5" s="348"/>
      <c r="E5" s="41"/>
      <c r="F5" s="428"/>
      <c r="G5" s="428"/>
    </row>
    <row r="6" spans="1:7" ht="15">
      <c r="A6" s="33"/>
      <c r="B6" s="34"/>
      <c r="C6" s="429"/>
      <c r="D6" s="347"/>
      <c r="E6" s="141"/>
      <c r="F6" s="429"/>
      <c r="G6" s="429"/>
    </row>
    <row r="7" spans="1:7" ht="21">
      <c r="A7" s="689" t="s">
        <v>9179</v>
      </c>
      <c r="B7" s="689"/>
      <c r="C7" s="689"/>
      <c r="D7" s="689"/>
      <c r="E7" s="689"/>
      <c r="F7" s="689"/>
      <c r="G7" s="689"/>
    </row>
    <row r="8" spans="1:7" ht="15">
      <c r="A8" s="33"/>
      <c r="B8" s="34"/>
      <c r="C8" s="428"/>
      <c r="D8" s="348"/>
      <c r="E8" s="41"/>
      <c r="F8" s="428"/>
      <c r="G8" s="428"/>
    </row>
    <row r="9" spans="1:7" ht="15">
      <c r="A9" s="43" t="s">
        <v>5251</v>
      </c>
      <c r="B9" s="71" t="s">
        <v>9600</v>
      </c>
      <c r="C9" s="71"/>
      <c r="D9" s="71"/>
      <c r="E9" s="71"/>
      <c r="F9" s="71"/>
      <c r="G9" s="71"/>
    </row>
    <row r="10" spans="1:7" ht="15">
      <c r="A10" s="43" t="s">
        <v>131</v>
      </c>
      <c r="B10" s="71" t="s">
        <v>7854</v>
      </c>
      <c r="C10" s="71"/>
      <c r="D10" s="71"/>
      <c r="E10" s="71"/>
      <c r="F10" s="71"/>
      <c r="G10" s="71"/>
    </row>
    <row r="11" spans="1:7" ht="15">
      <c r="A11" s="43" t="s">
        <v>5252</v>
      </c>
      <c r="B11" s="71" t="s">
        <v>15460</v>
      </c>
      <c r="C11" s="71"/>
      <c r="D11" s="71"/>
      <c r="E11" s="71"/>
      <c r="F11" s="71"/>
      <c r="G11" s="71"/>
    </row>
    <row r="12" spans="1:7" ht="15">
      <c r="A12" s="688" t="s">
        <v>5796</v>
      </c>
      <c r="B12" s="688"/>
      <c r="C12" s="688"/>
      <c r="D12" s="688"/>
      <c r="E12" s="688"/>
      <c r="F12" s="688"/>
      <c r="G12" s="688"/>
    </row>
    <row r="13" spans="1:7" s="512" customFormat="1" ht="15">
      <c r="A13" s="497" t="s">
        <v>0</v>
      </c>
      <c r="B13" s="23" t="s">
        <v>1</v>
      </c>
      <c r="C13" s="430" t="s">
        <v>133</v>
      </c>
      <c r="D13" s="351" t="s">
        <v>12</v>
      </c>
      <c r="E13" s="182" t="s">
        <v>6735</v>
      </c>
      <c r="F13" s="430"/>
      <c r="G13" s="430"/>
    </row>
    <row r="14" spans="1:7" s="512" customFormat="1" ht="15">
      <c r="A14" s="338" t="s">
        <v>9502</v>
      </c>
      <c r="B14" s="336" t="s">
        <v>9505</v>
      </c>
      <c r="C14" s="431">
        <v>107043.45</v>
      </c>
      <c r="D14" s="352">
        <v>1861.65</v>
      </c>
      <c r="E14" s="339">
        <v>501.34</v>
      </c>
      <c r="F14" s="431"/>
      <c r="G14" s="431"/>
    </row>
    <row r="15" spans="1:7" s="512" customFormat="1" ht="30">
      <c r="A15" s="338" t="s">
        <v>9212</v>
      </c>
      <c r="B15" s="336" t="s">
        <v>9210</v>
      </c>
      <c r="C15" s="431">
        <v>69946.899999999994</v>
      </c>
      <c r="D15" s="352">
        <v>58.19</v>
      </c>
      <c r="E15" s="339">
        <v>15.67</v>
      </c>
      <c r="F15" s="431"/>
      <c r="G15" s="431"/>
    </row>
    <row r="16" spans="1:7" s="512" customFormat="1" ht="45">
      <c r="A16" s="338" t="s">
        <v>9461</v>
      </c>
      <c r="B16" s="336" t="s">
        <v>9353</v>
      </c>
      <c r="C16" s="431">
        <v>54308.51</v>
      </c>
      <c r="D16" s="352">
        <v>172.74</v>
      </c>
      <c r="E16" s="339">
        <v>46.52</v>
      </c>
      <c r="F16" s="431"/>
      <c r="G16" s="431"/>
    </row>
    <row r="17" spans="1:7" s="512" customFormat="1" ht="30">
      <c r="A17" s="338" t="s">
        <v>9445</v>
      </c>
      <c r="B17" s="336" t="s">
        <v>9446</v>
      </c>
      <c r="C17" s="431">
        <v>52996.32</v>
      </c>
      <c r="D17" s="352">
        <v>439.96</v>
      </c>
      <c r="E17" s="339">
        <v>118.48</v>
      </c>
      <c r="F17" s="431"/>
      <c r="G17" s="431"/>
    </row>
    <row r="18" spans="1:7" s="512" customFormat="1" ht="30">
      <c r="A18" s="338" t="s">
        <v>9449</v>
      </c>
      <c r="B18" s="336" t="s">
        <v>9447</v>
      </c>
      <c r="C18" s="431">
        <v>52996.32</v>
      </c>
      <c r="D18" s="352">
        <v>439.96</v>
      </c>
      <c r="E18" s="339">
        <v>118.48</v>
      </c>
      <c r="F18" s="431"/>
      <c r="G18" s="431"/>
    </row>
    <row r="19" spans="1:7" s="512" customFormat="1" ht="15">
      <c r="A19" s="338" t="s">
        <v>9214</v>
      </c>
      <c r="B19" s="336" t="s">
        <v>9253</v>
      </c>
      <c r="C19" s="431">
        <v>47487.24</v>
      </c>
      <c r="D19" s="352">
        <v>55.89</v>
      </c>
      <c r="E19" s="339">
        <v>15.05</v>
      </c>
      <c r="F19" s="431"/>
      <c r="G19" s="431"/>
    </row>
    <row r="20" spans="1:7" s="512" customFormat="1" ht="45">
      <c r="A20" s="338" t="s">
        <v>9541</v>
      </c>
      <c r="B20" s="336" t="s">
        <v>15417</v>
      </c>
      <c r="C20" s="431">
        <v>40410.28</v>
      </c>
      <c r="D20" s="352">
        <v>909.1</v>
      </c>
      <c r="E20" s="339">
        <v>244.82</v>
      </c>
      <c r="F20" s="431"/>
      <c r="G20" s="431"/>
    </row>
    <row r="21" spans="1:7" s="512" customFormat="1" ht="30">
      <c r="A21" s="338" t="s">
        <v>9497</v>
      </c>
      <c r="B21" s="336" t="s">
        <v>9498</v>
      </c>
      <c r="C21" s="431">
        <v>34248.589999999997</v>
      </c>
      <c r="D21" s="352">
        <v>2131.3000000000002</v>
      </c>
      <c r="E21" s="339">
        <v>573.96</v>
      </c>
      <c r="F21" s="431"/>
      <c r="G21" s="431"/>
    </row>
    <row r="22" spans="1:7" s="512" customFormat="1" ht="45">
      <c r="A22" s="338" t="s">
        <v>9230</v>
      </c>
      <c r="B22" s="336" t="s">
        <v>9352</v>
      </c>
      <c r="C22" s="431">
        <v>31688.75</v>
      </c>
      <c r="D22" s="352">
        <v>104.47</v>
      </c>
      <c r="E22" s="339">
        <v>28.13</v>
      </c>
      <c r="F22" s="431"/>
      <c r="G22" s="431"/>
    </row>
    <row r="23" spans="1:7" s="512" customFormat="1" ht="15">
      <c r="A23" s="338" t="s">
        <v>9213</v>
      </c>
      <c r="B23" s="336" t="s">
        <v>9252</v>
      </c>
      <c r="C23" s="431">
        <v>31473.95</v>
      </c>
      <c r="D23" s="352">
        <v>55.89</v>
      </c>
      <c r="E23" s="339">
        <v>15.05</v>
      </c>
      <c r="F23" s="431"/>
      <c r="G23" s="431"/>
    </row>
    <row r="24" spans="1:7" s="512" customFormat="1" ht="30">
      <c r="A24" s="338" t="s">
        <v>9221</v>
      </c>
      <c r="B24" s="336" t="s">
        <v>9220</v>
      </c>
      <c r="C24" s="431">
        <v>30063.72</v>
      </c>
      <c r="D24" s="352">
        <v>446.89000000000004</v>
      </c>
      <c r="E24" s="339">
        <v>120.35</v>
      </c>
      <c r="F24" s="431"/>
      <c r="G24" s="431"/>
    </row>
    <row r="25" spans="1:7" s="512" customFormat="1" ht="30">
      <c r="A25" s="338" t="s">
        <v>9436</v>
      </c>
      <c r="B25" s="336" t="s">
        <v>9435</v>
      </c>
      <c r="C25" s="431">
        <v>30052.47</v>
      </c>
      <c r="D25" s="352">
        <v>15.2</v>
      </c>
      <c r="E25" s="339">
        <v>4.09</v>
      </c>
      <c r="F25" s="431"/>
      <c r="G25" s="431"/>
    </row>
    <row r="26" spans="1:7" s="512" customFormat="1" ht="15">
      <c r="A26" s="338" t="s">
        <v>9538</v>
      </c>
      <c r="B26" s="336" t="s">
        <v>9535</v>
      </c>
      <c r="C26" s="431">
        <v>28419.79</v>
      </c>
      <c r="D26" s="352">
        <v>125.72999999999999</v>
      </c>
      <c r="E26" s="339">
        <v>33.86</v>
      </c>
      <c r="F26" s="431"/>
      <c r="G26" s="431"/>
    </row>
    <row r="27" spans="1:7" s="512" customFormat="1" ht="15">
      <c r="A27" s="338" t="s">
        <v>9361</v>
      </c>
      <c r="B27" s="336" t="s">
        <v>9428</v>
      </c>
      <c r="C27" s="431">
        <v>21042.9</v>
      </c>
      <c r="D27" s="352">
        <v>921.02</v>
      </c>
      <c r="E27" s="339">
        <v>248.03</v>
      </c>
      <c r="F27" s="431"/>
      <c r="G27" s="431"/>
    </row>
    <row r="28" spans="1:7" s="512" customFormat="1" ht="15">
      <c r="A28" s="338" t="s">
        <v>9437</v>
      </c>
      <c r="B28" s="336" t="s">
        <v>9438</v>
      </c>
      <c r="C28" s="431">
        <v>20405.91</v>
      </c>
      <c r="D28" s="352">
        <v>19.91</v>
      </c>
      <c r="E28" s="339">
        <v>5.36</v>
      </c>
      <c r="F28" s="431"/>
      <c r="G28" s="431"/>
    </row>
    <row r="29" spans="1:7" s="512" customFormat="1" ht="45">
      <c r="A29" s="338" t="s">
        <v>9444</v>
      </c>
      <c r="B29" s="336" t="s">
        <v>9443</v>
      </c>
      <c r="C29" s="431">
        <v>16405.61</v>
      </c>
      <c r="D29" s="352">
        <v>191.45</v>
      </c>
      <c r="E29" s="339">
        <v>51.56</v>
      </c>
      <c r="F29" s="431"/>
      <c r="G29" s="431"/>
    </row>
    <row r="30" spans="1:7" s="512" customFormat="1" ht="30">
      <c r="A30" s="338" t="s">
        <v>9399</v>
      </c>
      <c r="B30" s="336" t="s">
        <v>15418</v>
      </c>
      <c r="C30" s="431">
        <v>15785.66</v>
      </c>
      <c r="D30" s="352">
        <v>7.24</v>
      </c>
      <c r="E30" s="339">
        <v>1.95</v>
      </c>
      <c r="F30" s="431"/>
      <c r="G30" s="431"/>
    </row>
    <row r="31" spans="1:7" s="512" customFormat="1" ht="15">
      <c r="A31" s="338" t="s">
        <v>8613</v>
      </c>
      <c r="B31" s="336" t="s">
        <v>9245</v>
      </c>
      <c r="C31" s="431">
        <v>14619.72</v>
      </c>
      <c r="D31" s="352">
        <v>56.8</v>
      </c>
      <c r="E31" s="339">
        <v>15.3</v>
      </c>
      <c r="F31" s="431"/>
      <c r="G31" s="431"/>
    </row>
    <row r="32" spans="1:7" s="512" customFormat="1" ht="30">
      <c r="A32" s="338" t="s">
        <v>9238</v>
      </c>
      <c r="B32" s="336" t="s">
        <v>9239</v>
      </c>
      <c r="C32" s="431">
        <v>13894.68</v>
      </c>
      <c r="D32" s="352">
        <v>912.23</v>
      </c>
      <c r="E32" s="339">
        <v>245.66</v>
      </c>
      <c r="F32" s="431"/>
      <c r="G32" s="431"/>
    </row>
    <row r="33" spans="1:7" s="512" customFormat="1" ht="45">
      <c r="A33" s="338" t="s">
        <v>9357</v>
      </c>
      <c r="B33" s="336" t="s">
        <v>9426</v>
      </c>
      <c r="C33" s="431">
        <v>10981.28</v>
      </c>
      <c r="D33" s="352">
        <v>1081.4299999999998</v>
      </c>
      <c r="E33" s="339">
        <v>291.23</v>
      </c>
      <c r="F33" s="431"/>
      <c r="G33" s="431"/>
    </row>
    <row r="34" spans="1:7" s="512" customFormat="1" ht="30">
      <c r="A34" s="338" t="s">
        <v>9422</v>
      </c>
      <c r="B34" s="336" t="s">
        <v>9423</v>
      </c>
      <c r="C34" s="431">
        <v>10142.66</v>
      </c>
      <c r="D34" s="352">
        <v>11.41</v>
      </c>
      <c r="E34" s="339">
        <v>3.07</v>
      </c>
      <c r="F34" s="431"/>
      <c r="G34" s="431"/>
    </row>
    <row r="35" spans="1:7" s="512" customFormat="1" ht="45">
      <c r="A35" s="338" t="s">
        <v>9211</v>
      </c>
      <c r="B35" s="336" t="s">
        <v>9412</v>
      </c>
      <c r="C35" s="431">
        <v>9733.27</v>
      </c>
      <c r="D35" s="352">
        <v>161.94999999999999</v>
      </c>
      <c r="E35" s="339">
        <v>43.61</v>
      </c>
      <c r="F35" s="431"/>
      <c r="G35" s="431"/>
    </row>
    <row r="36" spans="1:7" s="512" customFormat="1" ht="15">
      <c r="A36" s="338" t="s">
        <v>8615</v>
      </c>
      <c r="B36" s="336" t="s">
        <v>7350</v>
      </c>
      <c r="C36" s="431">
        <v>8863.08</v>
      </c>
      <c r="D36" s="352">
        <v>34.44</v>
      </c>
      <c r="E36" s="339">
        <v>9.27</v>
      </c>
      <c r="F36" s="431"/>
      <c r="G36" s="431"/>
    </row>
    <row r="37" spans="1:7" s="512" customFormat="1" ht="30">
      <c r="A37" s="338" t="s">
        <v>9391</v>
      </c>
      <c r="B37" s="336" t="s">
        <v>9417</v>
      </c>
      <c r="C37" s="431">
        <v>7905.5</v>
      </c>
      <c r="D37" s="352">
        <v>38.86</v>
      </c>
      <c r="E37" s="339">
        <v>10.46</v>
      </c>
      <c r="F37" s="431"/>
      <c r="G37" s="431"/>
    </row>
    <row r="38" spans="1:7" s="512" customFormat="1" ht="30">
      <c r="A38" s="338" t="s">
        <v>9190</v>
      </c>
      <c r="B38" s="336" t="s">
        <v>9184</v>
      </c>
      <c r="C38" s="431">
        <v>7316.82</v>
      </c>
      <c r="D38" s="352">
        <v>274.5</v>
      </c>
      <c r="E38" s="339">
        <v>73.92</v>
      </c>
      <c r="F38" s="431"/>
      <c r="G38" s="431"/>
    </row>
    <row r="39" spans="1:7" s="512" customFormat="1" ht="30">
      <c r="A39" s="338" t="s">
        <v>9416</v>
      </c>
      <c r="B39" s="336" t="s">
        <v>9393</v>
      </c>
      <c r="C39" s="431">
        <v>7075.79</v>
      </c>
      <c r="D39" s="352">
        <v>32.89</v>
      </c>
      <c r="E39" s="339">
        <v>8.86</v>
      </c>
      <c r="F39" s="431"/>
      <c r="G39" s="431"/>
    </row>
    <row r="40" spans="1:7" s="512" customFormat="1" ht="60">
      <c r="A40" s="338" t="s">
        <v>9401</v>
      </c>
      <c r="B40" s="336" t="s">
        <v>9403</v>
      </c>
      <c r="C40" s="431">
        <v>6200.02</v>
      </c>
      <c r="D40" s="352">
        <v>30.47</v>
      </c>
      <c r="E40" s="339">
        <v>8.2100000000000009</v>
      </c>
      <c r="F40" s="431"/>
      <c r="G40" s="431"/>
    </row>
    <row r="41" spans="1:7" s="512" customFormat="1" ht="30">
      <c r="A41" s="338" t="s">
        <v>9360</v>
      </c>
      <c r="B41" s="336" t="s">
        <v>9231</v>
      </c>
      <c r="C41" s="431">
        <v>6164.2</v>
      </c>
      <c r="D41" s="352">
        <v>285.67</v>
      </c>
      <c r="E41" s="339">
        <v>76.930000000000007</v>
      </c>
      <c r="F41" s="431"/>
      <c r="G41" s="431"/>
    </row>
    <row r="42" spans="1:7" s="512" customFormat="1" ht="15">
      <c r="A42" s="338" t="s">
        <v>9386</v>
      </c>
      <c r="B42" s="336" t="s">
        <v>9385</v>
      </c>
      <c r="C42" s="431">
        <v>5709.84</v>
      </c>
      <c r="D42" s="352">
        <v>374.87</v>
      </c>
      <c r="E42" s="339">
        <v>100.95</v>
      </c>
      <c r="F42" s="431"/>
      <c r="G42" s="431"/>
    </row>
    <row r="43" spans="1:7" s="512" customFormat="1" ht="30">
      <c r="A43" s="338" t="s">
        <v>9237</v>
      </c>
      <c r="B43" s="336" t="s">
        <v>9453</v>
      </c>
      <c r="C43" s="431">
        <v>5663.28</v>
      </c>
      <c r="D43" s="352">
        <v>371.81</v>
      </c>
      <c r="E43" s="339">
        <v>100.13</v>
      </c>
      <c r="F43" s="431"/>
      <c r="G43" s="431"/>
    </row>
    <row r="44" spans="1:7" s="512" customFormat="1" ht="15">
      <c r="A44" s="338" t="s">
        <v>9398</v>
      </c>
      <c r="B44" s="336" t="s">
        <v>15419</v>
      </c>
      <c r="C44" s="431">
        <v>5415.45</v>
      </c>
      <c r="D44" s="352">
        <v>6.37</v>
      </c>
      <c r="E44" s="339">
        <v>1.72</v>
      </c>
      <c r="F44" s="431"/>
      <c r="G44" s="431"/>
    </row>
    <row r="45" spans="1:7" s="512" customFormat="1" ht="15">
      <c r="A45" s="338" t="s">
        <v>9233</v>
      </c>
      <c r="B45" s="336" t="s">
        <v>9234</v>
      </c>
      <c r="C45" s="431">
        <v>5262.84</v>
      </c>
      <c r="D45" s="352">
        <v>345.52000000000004</v>
      </c>
      <c r="E45" s="339">
        <v>93.05</v>
      </c>
      <c r="F45" s="431"/>
      <c r="G45" s="431"/>
    </row>
    <row r="46" spans="1:7" s="512" customFormat="1" ht="30">
      <c r="A46" s="338" t="s">
        <v>9356</v>
      </c>
      <c r="B46" s="336" t="s">
        <v>9425</v>
      </c>
      <c r="C46" s="431">
        <v>4565.92</v>
      </c>
      <c r="D46" s="352">
        <v>899.30000000000007</v>
      </c>
      <c r="E46" s="339">
        <v>242.18</v>
      </c>
      <c r="F46" s="431"/>
      <c r="G46" s="431"/>
    </row>
    <row r="47" spans="1:7" s="512" customFormat="1" ht="30">
      <c r="A47" s="338" t="s">
        <v>9187</v>
      </c>
      <c r="B47" s="336" t="s">
        <v>9181</v>
      </c>
      <c r="C47" s="431">
        <v>4455.4399999999996</v>
      </c>
      <c r="D47" s="352">
        <v>438.77</v>
      </c>
      <c r="E47" s="339">
        <v>118.16</v>
      </c>
      <c r="F47" s="431"/>
      <c r="G47" s="431"/>
    </row>
    <row r="48" spans="1:7" s="512" customFormat="1" ht="30">
      <c r="A48" s="338" t="s">
        <v>8129</v>
      </c>
      <c r="B48" s="336" t="s">
        <v>7857</v>
      </c>
      <c r="C48" s="431">
        <v>4181.75</v>
      </c>
      <c r="D48" s="339">
        <v>1.57</v>
      </c>
      <c r="E48" s="339">
        <v>0.42</v>
      </c>
      <c r="F48" s="431"/>
      <c r="G48" s="431"/>
    </row>
    <row r="49" spans="1:7" s="512" customFormat="1" ht="15">
      <c r="A49" s="338" t="s">
        <v>9455</v>
      </c>
      <c r="B49" s="336" t="s">
        <v>9456</v>
      </c>
      <c r="C49" s="431">
        <v>4179.46</v>
      </c>
      <c r="D49" s="352">
        <v>12.100000000000001</v>
      </c>
      <c r="E49" s="339">
        <v>3.26</v>
      </c>
      <c r="F49" s="431"/>
      <c r="G49" s="431"/>
    </row>
    <row r="50" spans="1:7" s="512" customFormat="1" ht="30">
      <c r="A50" s="338" t="s">
        <v>9523</v>
      </c>
      <c r="B50" s="336" t="s">
        <v>9528</v>
      </c>
      <c r="C50" s="431">
        <v>4109.88</v>
      </c>
      <c r="D50" s="352">
        <v>71.92</v>
      </c>
      <c r="E50" s="339">
        <v>19.37</v>
      </c>
      <c r="F50" s="431"/>
      <c r="G50" s="431"/>
    </row>
    <row r="51" spans="1:7" s="512" customFormat="1" ht="30">
      <c r="A51" s="338" t="s">
        <v>8335</v>
      </c>
      <c r="B51" s="336" t="s">
        <v>8943</v>
      </c>
      <c r="C51" s="431">
        <v>3488.21</v>
      </c>
      <c r="D51" s="352">
        <v>3.09</v>
      </c>
      <c r="E51" s="339">
        <v>0.83</v>
      </c>
      <c r="F51" s="431"/>
      <c r="G51" s="431"/>
    </row>
    <row r="52" spans="1:7" s="512" customFormat="1" ht="45">
      <c r="A52" s="338" t="s">
        <v>9542</v>
      </c>
      <c r="B52" s="336" t="s">
        <v>9544</v>
      </c>
      <c r="C52" s="431">
        <v>3450.82</v>
      </c>
      <c r="D52" s="352">
        <v>1.6</v>
      </c>
      <c r="E52" s="339">
        <v>0.43</v>
      </c>
      <c r="F52" s="431"/>
      <c r="G52" s="431"/>
    </row>
    <row r="53" spans="1:7" s="512" customFormat="1" ht="30">
      <c r="A53" s="338" t="s">
        <v>9188</v>
      </c>
      <c r="B53" s="336" t="s">
        <v>9182</v>
      </c>
      <c r="C53" s="431">
        <v>3383.2</v>
      </c>
      <c r="D53" s="352">
        <v>166.58999999999997</v>
      </c>
      <c r="E53" s="339">
        <v>44.86</v>
      </c>
      <c r="F53" s="431"/>
      <c r="G53" s="431"/>
    </row>
    <row r="54" spans="1:7" s="512" customFormat="1" ht="15">
      <c r="A54" s="338" t="s">
        <v>9537</v>
      </c>
      <c r="B54" s="336" t="s">
        <v>9530</v>
      </c>
      <c r="C54" s="431">
        <v>2979.05</v>
      </c>
      <c r="D54" s="352">
        <v>11.18</v>
      </c>
      <c r="E54" s="339">
        <v>3.01</v>
      </c>
      <c r="F54" s="431"/>
      <c r="G54" s="431"/>
    </row>
    <row r="55" spans="1:7" s="512" customFormat="1" ht="15">
      <c r="A55" s="338" t="s">
        <v>8330</v>
      </c>
      <c r="B55" s="336" t="s">
        <v>9236</v>
      </c>
      <c r="C55" s="431">
        <v>2361.48</v>
      </c>
      <c r="D55" s="352">
        <v>6.5</v>
      </c>
      <c r="E55" s="339">
        <v>1.75</v>
      </c>
      <c r="F55" s="431"/>
      <c r="G55" s="431"/>
    </row>
    <row r="56" spans="1:7" s="512" customFormat="1" ht="15">
      <c r="A56" s="338" t="s">
        <v>9200</v>
      </c>
      <c r="B56" s="336" t="s">
        <v>9202</v>
      </c>
      <c r="C56" s="431">
        <v>1868.4</v>
      </c>
      <c r="D56" s="352">
        <v>147.20000000000002</v>
      </c>
      <c r="E56" s="339">
        <v>39.64</v>
      </c>
      <c r="F56" s="431"/>
      <c r="G56" s="431"/>
    </row>
    <row r="57" spans="1:7" s="512" customFormat="1" ht="15">
      <c r="A57" s="338" t="s">
        <v>9208</v>
      </c>
      <c r="B57" s="336" t="s">
        <v>9207</v>
      </c>
      <c r="C57" s="431">
        <v>1736.39</v>
      </c>
      <c r="D57" s="352">
        <v>1.23</v>
      </c>
      <c r="E57" s="339">
        <v>0.33</v>
      </c>
      <c r="F57" s="431"/>
      <c r="G57" s="431"/>
    </row>
    <row r="58" spans="1:7" s="512" customFormat="1" ht="30">
      <c r="A58" s="338" t="s">
        <v>9229</v>
      </c>
      <c r="B58" s="336" t="s">
        <v>9463</v>
      </c>
      <c r="C58" s="431">
        <v>1722.44</v>
      </c>
      <c r="D58" s="352">
        <v>39.909999999999997</v>
      </c>
      <c r="E58" s="339">
        <v>10.75</v>
      </c>
      <c r="F58" s="431"/>
      <c r="G58" s="431"/>
    </row>
    <row r="59" spans="1:7" s="512" customFormat="1" ht="30">
      <c r="A59" s="338" t="s">
        <v>9462</v>
      </c>
      <c r="B59" s="336" t="s">
        <v>9485</v>
      </c>
      <c r="C59" s="431">
        <v>1550.34</v>
      </c>
      <c r="D59" s="352">
        <v>55.52</v>
      </c>
      <c r="E59" s="339">
        <v>14.95</v>
      </c>
      <c r="F59" s="431"/>
      <c r="G59" s="431"/>
    </row>
    <row r="60" spans="1:7" s="512" customFormat="1" ht="45">
      <c r="A60" s="338" t="s">
        <v>9511</v>
      </c>
      <c r="B60" s="336" t="s">
        <v>9510</v>
      </c>
      <c r="C60" s="431">
        <v>1169.31</v>
      </c>
      <c r="D60" s="352">
        <v>4.09</v>
      </c>
      <c r="E60" s="339">
        <v>1.1000000000000001</v>
      </c>
      <c r="F60" s="431"/>
      <c r="G60" s="431"/>
    </row>
    <row r="61" spans="1:7" s="512" customFormat="1" ht="15">
      <c r="A61" s="338" t="s">
        <v>9540</v>
      </c>
      <c r="B61" s="336" t="s">
        <v>9536</v>
      </c>
      <c r="C61" s="431">
        <v>972.69</v>
      </c>
      <c r="D61" s="352">
        <v>230.82</v>
      </c>
      <c r="E61" s="339">
        <v>62.16</v>
      </c>
      <c r="F61" s="431"/>
      <c r="G61" s="431"/>
    </row>
    <row r="62" spans="1:7" s="512" customFormat="1" ht="15">
      <c r="A62" s="338" t="s">
        <v>7353</v>
      </c>
      <c r="B62" s="336" t="s">
        <v>9243</v>
      </c>
      <c r="C62" s="431">
        <v>894.96</v>
      </c>
      <c r="D62" s="352">
        <v>58.76</v>
      </c>
      <c r="E62" s="339">
        <v>15.82</v>
      </c>
      <c r="F62" s="431"/>
      <c r="G62" s="431"/>
    </row>
    <row r="63" spans="1:7" s="512" customFormat="1" ht="15">
      <c r="A63" s="338" t="s">
        <v>9547</v>
      </c>
      <c r="B63" s="336" t="s">
        <v>9548</v>
      </c>
      <c r="C63" s="431">
        <v>889.86</v>
      </c>
      <c r="D63" s="352">
        <v>3.51</v>
      </c>
      <c r="E63" s="339">
        <v>0.95</v>
      </c>
      <c r="F63" s="431"/>
      <c r="G63" s="431"/>
    </row>
    <row r="64" spans="1:7" s="512" customFormat="1" ht="30">
      <c r="A64" s="338" t="s">
        <v>9189</v>
      </c>
      <c r="B64" s="336" t="s">
        <v>9183</v>
      </c>
      <c r="C64" s="431">
        <v>882.25</v>
      </c>
      <c r="D64" s="352">
        <v>139.01</v>
      </c>
      <c r="E64" s="339">
        <v>37.44</v>
      </c>
      <c r="F64" s="431"/>
      <c r="G64" s="431"/>
    </row>
    <row r="65" spans="1:7" s="512" customFormat="1" ht="15">
      <c r="A65" s="338" t="s">
        <v>9539</v>
      </c>
      <c r="B65" s="336" t="s">
        <v>9533</v>
      </c>
      <c r="C65" s="431">
        <v>849.85</v>
      </c>
      <c r="D65" s="352">
        <v>29.11</v>
      </c>
      <c r="E65" s="339">
        <v>7.84</v>
      </c>
      <c r="F65" s="431"/>
      <c r="G65" s="431"/>
    </row>
    <row r="66" spans="1:7" s="512" customFormat="1" ht="30">
      <c r="A66" s="338" t="s">
        <v>8321</v>
      </c>
      <c r="B66" s="336" t="s">
        <v>8305</v>
      </c>
      <c r="C66" s="431">
        <v>846.56</v>
      </c>
      <c r="D66" s="352">
        <v>666.95</v>
      </c>
      <c r="E66" s="339">
        <v>179.61</v>
      </c>
      <c r="F66" s="431"/>
      <c r="G66" s="431"/>
    </row>
    <row r="67" spans="1:7" s="512" customFormat="1" ht="45">
      <c r="A67" s="338" t="s">
        <v>9495</v>
      </c>
      <c r="B67" s="336" t="s">
        <v>9494</v>
      </c>
      <c r="C67" s="431">
        <v>806.21</v>
      </c>
      <c r="D67" s="352">
        <v>19.46</v>
      </c>
      <c r="E67" s="339">
        <v>5.24</v>
      </c>
      <c r="F67" s="431"/>
      <c r="G67" s="431"/>
    </row>
    <row r="68" spans="1:7" s="512" customFormat="1" ht="15">
      <c r="A68" s="338" t="s">
        <v>9247</v>
      </c>
      <c r="B68" s="336" t="s">
        <v>9246</v>
      </c>
      <c r="C68" s="431">
        <v>693</v>
      </c>
      <c r="D68" s="352">
        <v>6.5</v>
      </c>
      <c r="E68" s="339">
        <v>1.75</v>
      </c>
      <c r="F68" s="431"/>
      <c r="G68" s="431"/>
    </row>
    <row r="69" spans="1:7" s="512" customFormat="1" ht="30">
      <c r="A69" s="338" t="s">
        <v>9392</v>
      </c>
      <c r="B69" s="336" t="s">
        <v>9418</v>
      </c>
      <c r="C69" s="431">
        <v>653.25</v>
      </c>
      <c r="D69" s="352">
        <v>46.83</v>
      </c>
      <c r="E69" s="339">
        <v>12.61</v>
      </c>
      <c r="F69" s="431"/>
      <c r="G69" s="431"/>
    </row>
    <row r="70" spans="1:7" s="512" customFormat="1" ht="15">
      <c r="A70" s="338" t="s">
        <v>8469</v>
      </c>
      <c r="B70" s="336" t="s">
        <v>8461</v>
      </c>
      <c r="C70" s="431">
        <v>545.78</v>
      </c>
      <c r="D70" s="352">
        <v>7.41</v>
      </c>
      <c r="E70" s="339">
        <v>2</v>
      </c>
      <c r="F70" s="431"/>
      <c r="G70" s="431"/>
    </row>
    <row r="71" spans="1:7" s="512" customFormat="1" ht="15">
      <c r="A71" s="338" t="s">
        <v>8128</v>
      </c>
      <c r="B71" s="336" t="s">
        <v>7856</v>
      </c>
      <c r="C71" s="431">
        <v>504.33</v>
      </c>
      <c r="D71" s="339">
        <v>3.78</v>
      </c>
      <c r="E71" s="339">
        <v>1.02</v>
      </c>
      <c r="F71" s="431"/>
      <c r="G71" s="431"/>
    </row>
    <row r="72" spans="1:7" s="512" customFormat="1" ht="60">
      <c r="A72" s="338" t="s">
        <v>9402</v>
      </c>
      <c r="B72" s="336" t="s">
        <v>9209</v>
      </c>
      <c r="C72" s="431">
        <v>466.86</v>
      </c>
      <c r="D72" s="352">
        <v>33.47</v>
      </c>
      <c r="E72" s="339">
        <v>9.01</v>
      </c>
      <c r="F72" s="431"/>
      <c r="G72" s="431"/>
    </row>
    <row r="73" spans="1:7" s="512" customFormat="1" ht="15">
      <c r="A73" s="338" t="s">
        <v>7310</v>
      </c>
      <c r="B73" s="336" t="s">
        <v>9241</v>
      </c>
      <c r="C73" s="431">
        <v>442.68</v>
      </c>
      <c r="D73" s="352">
        <v>29.06</v>
      </c>
      <c r="E73" s="339">
        <v>7.83</v>
      </c>
      <c r="F73" s="431"/>
      <c r="G73" s="431"/>
    </row>
    <row r="74" spans="1:7" s="512" customFormat="1" ht="15">
      <c r="A74" s="338" t="s">
        <v>5927</v>
      </c>
      <c r="B74" s="336" t="s">
        <v>9180</v>
      </c>
      <c r="C74" s="431">
        <v>430.2</v>
      </c>
      <c r="D74" s="352">
        <v>0.31</v>
      </c>
      <c r="E74" s="339">
        <v>0.08</v>
      </c>
      <c r="F74" s="431"/>
      <c r="G74" s="431"/>
    </row>
    <row r="75" spans="1:7" s="512" customFormat="1" ht="15">
      <c r="A75" s="338" t="s">
        <v>8352</v>
      </c>
      <c r="B75" s="336" t="s">
        <v>7264</v>
      </c>
      <c r="C75" s="431">
        <v>422.87</v>
      </c>
      <c r="D75" s="352">
        <v>333.15</v>
      </c>
      <c r="E75" s="339">
        <v>89.72</v>
      </c>
      <c r="F75" s="431"/>
      <c r="G75" s="431"/>
    </row>
    <row r="76" spans="1:7" s="512" customFormat="1" ht="30">
      <c r="A76" s="338" t="s">
        <v>9524</v>
      </c>
      <c r="B76" s="336" t="s">
        <v>9519</v>
      </c>
      <c r="C76" s="431">
        <v>390.93</v>
      </c>
      <c r="D76" s="352">
        <v>1018.99</v>
      </c>
      <c r="E76" s="339">
        <v>274.41000000000003</v>
      </c>
      <c r="F76" s="431"/>
      <c r="G76" s="431"/>
    </row>
    <row r="77" spans="1:7" s="512" customFormat="1" ht="15">
      <c r="A77" s="338" t="s">
        <v>9526</v>
      </c>
      <c r="B77" s="336" t="s">
        <v>9515</v>
      </c>
      <c r="C77" s="431">
        <v>343.62</v>
      </c>
      <c r="D77" s="352">
        <v>45.12</v>
      </c>
      <c r="E77" s="339">
        <v>12.15</v>
      </c>
      <c r="F77" s="431"/>
      <c r="G77" s="431"/>
    </row>
    <row r="78" spans="1:7" s="512" customFormat="1" ht="30">
      <c r="A78" s="338" t="s">
        <v>9522</v>
      </c>
      <c r="B78" s="336" t="s">
        <v>9518</v>
      </c>
      <c r="C78" s="431">
        <v>303.64</v>
      </c>
      <c r="D78" s="352">
        <v>345.19</v>
      </c>
      <c r="E78" s="339">
        <v>92.96</v>
      </c>
      <c r="F78" s="431"/>
      <c r="G78" s="431"/>
    </row>
    <row r="79" spans="1:7" s="512" customFormat="1" ht="30">
      <c r="A79" s="338" t="s">
        <v>9191</v>
      </c>
      <c r="B79" s="336" t="s">
        <v>9185</v>
      </c>
      <c r="C79" s="431">
        <v>265.11</v>
      </c>
      <c r="D79" s="352">
        <v>13.67</v>
      </c>
      <c r="E79" s="339">
        <v>3.68</v>
      </c>
      <c r="F79" s="431"/>
      <c r="G79" s="431"/>
    </row>
    <row r="80" spans="1:7" s="512" customFormat="1" ht="30">
      <c r="A80" s="338" t="s">
        <v>9527</v>
      </c>
      <c r="B80" s="336" t="s">
        <v>9516</v>
      </c>
      <c r="C80" s="431">
        <v>230.22</v>
      </c>
      <c r="D80" s="352">
        <v>120.92</v>
      </c>
      <c r="E80" s="339">
        <v>32.56</v>
      </c>
      <c r="F80" s="431"/>
      <c r="G80" s="431"/>
    </row>
    <row r="81" spans="1:7" s="512" customFormat="1" ht="15">
      <c r="A81" s="338" t="s">
        <v>9250</v>
      </c>
      <c r="B81" s="336" t="s">
        <v>15432</v>
      </c>
      <c r="C81" s="431">
        <v>228.47</v>
      </c>
      <c r="D81" s="352">
        <v>180</v>
      </c>
      <c r="E81" s="339">
        <v>48.47</v>
      </c>
      <c r="F81" s="431"/>
      <c r="G81" s="431"/>
    </row>
    <row r="82" spans="1:7" s="512" customFormat="1" ht="30">
      <c r="A82" s="338" t="s">
        <v>9525</v>
      </c>
      <c r="B82" s="336" t="s">
        <v>9520</v>
      </c>
      <c r="C82" s="431">
        <v>206.44</v>
      </c>
      <c r="D82" s="352">
        <v>1642.82</v>
      </c>
      <c r="E82" s="339">
        <v>442.41</v>
      </c>
      <c r="F82" s="431"/>
      <c r="G82" s="431"/>
    </row>
    <row r="83" spans="1:7" s="512" customFormat="1" ht="45">
      <c r="A83" s="338" t="s">
        <v>9429</v>
      </c>
      <c r="B83" s="336" t="s">
        <v>9433</v>
      </c>
      <c r="C83" s="431">
        <v>160.4</v>
      </c>
      <c r="D83" s="352">
        <v>5.19</v>
      </c>
      <c r="E83" s="339">
        <v>1.4</v>
      </c>
      <c r="F83" s="431"/>
      <c r="G83" s="431"/>
    </row>
    <row r="84" spans="1:7" s="512" customFormat="1" ht="15">
      <c r="A84" s="338" t="s">
        <v>8349</v>
      </c>
      <c r="B84" s="336" t="s">
        <v>9232</v>
      </c>
      <c r="C84" s="431">
        <v>127.4</v>
      </c>
      <c r="D84" s="352">
        <v>7.72</v>
      </c>
      <c r="E84" s="339">
        <v>2.08</v>
      </c>
      <c r="F84" s="431"/>
      <c r="G84" s="431"/>
    </row>
    <row r="85" spans="1:7" s="512" customFormat="1" ht="45">
      <c r="A85" s="338" t="s">
        <v>9192</v>
      </c>
      <c r="B85" s="336" t="s">
        <v>9186</v>
      </c>
      <c r="C85" s="431">
        <v>116.15</v>
      </c>
      <c r="D85" s="352">
        <v>78.210000000000008</v>
      </c>
      <c r="E85" s="339">
        <v>21.06</v>
      </c>
      <c r="F85" s="431"/>
      <c r="G85" s="431"/>
    </row>
    <row r="86" spans="1:7" s="512" customFormat="1" ht="30">
      <c r="A86" s="338" t="s">
        <v>8354</v>
      </c>
      <c r="B86" s="336" t="s">
        <v>7266</v>
      </c>
      <c r="C86" s="431">
        <v>42.96</v>
      </c>
      <c r="D86" s="352">
        <v>11.28</v>
      </c>
      <c r="E86" s="339">
        <v>3.04</v>
      </c>
      <c r="F86" s="431"/>
      <c r="G86" s="431"/>
    </row>
    <row r="87" spans="1:7" s="512" customFormat="1" ht="45">
      <c r="A87" s="338" t="s">
        <v>9521</v>
      </c>
      <c r="B87" s="336" t="s">
        <v>9513</v>
      </c>
      <c r="C87" s="431">
        <v>37</v>
      </c>
      <c r="D87" s="352">
        <v>161.94999999999999</v>
      </c>
      <c r="E87" s="339">
        <v>43.61</v>
      </c>
      <c r="F87" s="431"/>
      <c r="G87" s="431"/>
    </row>
    <row r="88" spans="1:7" s="512" customFormat="1" ht="15">
      <c r="A88" s="338" t="s">
        <v>9359</v>
      </c>
      <c r="B88" s="336" t="s">
        <v>7158</v>
      </c>
      <c r="C88" s="431">
        <v>28.61</v>
      </c>
      <c r="D88" s="352">
        <v>22.54</v>
      </c>
      <c r="E88" s="339">
        <v>6.07</v>
      </c>
      <c r="F88" s="431"/>
      <c r="G88" s="431"/>
    </row>
    <row r="89" spans="1:7" ht="15">
      <c r="A89" s="344"/>
      <c r="B89" s="34"/>
      <c r="C89" s="428"/>
      <c r="D89" s="357"/>
      <c r="E89" s="14"/>
      <c r="F89" s="428"/>
      <c r="G89" s="428"/>
    </row>
    <row r="90" spans="1:7" ht="15">
      <c r="A90" s="499"/>
      <c r="B90" s="34"/>
      <c r="C90" s="428"/>
      <c r="D90" s="357"/>
      <c r="E90" s="14"/>
      <c r="F90" s="428"/>
      <c r="G90" s="428"/>
    </row>
    <row r="91" spans="1:7" ht="15">
      <c r="A91" s="499"/>
      <c r="B91" s="496"/>
      <c r="C91" s="429"/>
      <c r="D91" s="347"/>
      <c r="E91" s="141"/>
      <c r="F91" s="429"/>
      <c r="G91" s="429"/>
    </row>
    <row r="92" spans="1:7" ht="15">
      <c r="A92" s="499"/>
      <c r="B92" s="496"/>
      <c r="C92" s="429"/>
      <c r="D92" s="347"/>
      <c r="E92" s="141"/>
      <c r="F92" s="429"/>
      <c r="G92" s="429"/>
    </row>
    <row r="93" spans="1:7" ht="15">
      <c r="A93" s="499"/>
      <c r="B93" s="496"/>
      <c r="C93" s="429"/>
      <c r="D93" s="347"/>
      <c r="E93" s="141"/>
      <c r="F93" s="429"/>
      <c r="G93" s="429"/>
    </row>
    <row r="94" spans="1:7" ht="15">
      <c r="A94" s="499"/>
      <c r="B94" s="496"/>
      <c r="C94" s="429"/>
      <c r="D94" s="347"/>
      <c r="E94" s="141"/>
      <c r="F94" s="429"/>
      <c r="G94" s="429"/>
    </row>
    <row r="95" spans="1:7" ht="15">
      <c r="A95" s="499"/>
      <c r="B95" s="496"/>
      <c r="C95" s="429"/>
      <c r="D95" s="347"/>
      <c r="E95" s="141"/>
      <c r="F95" s="429"/>
      <c r="G95" s="429"/>
    </row>
    <row r="96" spans="1:7" ht="15">
      <c r="A96" s="499"/>
      <c r="B96" s="496"/>
      <c r="C96" s="429"/>
      <c r="D96" s="347"/>
      <c r="E96" s="141"/>
      <c r="F96" s="429"/>
      <c r="G96" s="429"/>
    </row>
    <row r="97" spans="2:7">
      <c r="B97" s="498"/>
      <c r="C97" s="381"/>
      <c r="D97" s="358"/>
      <c r="E97" s="333"/>
      <c r="F97" s="381"/>
      <c r="G97" s="381"/>
    </row>
  </sheetData>
  <sheetProtection selectLockedCells="1" selectUnlockedCells="1"/>
  <mergeCells count="5">
    <mergeCell ref="A12:G12"/>
    <mergeCell ref="A2:G2"/>
    <mergeCell ref="A3:G3"/>
    <mergeCell ref="A4:G4"/>
    <mergeCell ref="A7:G7"/>
  </mergeCells>
  <printOptions horizontalCentered="1"/>
  <pageMargins left="0.70866141732283472" right="0.70866141732283472" top="0.39370078740157483" bottom="0.78740157480314965" header="0.19685039370078741" footer="0"/>
  <pageSetup paperSize="9" scale="69" firstPageNumber="39" fitToHeight="0" orientation="portrait" useFirstPageNumber="1" horizontalDpi="300" verticalDpi="300" r:id="rId1"/>
  <headerFooter alignWithMargins="0">
    <oddFooter xml:space="preserve">&amp;CEng. Civil Daniele Firme Miranda
CREA: 24.965/D-DF
ART nº 0720190034483
&amp;RPágina &amp;P de 241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pageSetUpPr fitToPage="1"/>
  </sheetPr>
  <dimension ref="A1:I4767"/>
  <sheetViews>
    <sheetView topLeftCell="A151" zoomScaleNormal="100" zoomScaleSheetLayoutView="100" workbookViewId="0">
      <selection activeCell="J18" sqref="J18"/>
    </sheetView>
  </sheetViews>
  <sheetFormatPr defaultColWidth="9.5703125" defaultRowHeight="15"/>
  <cols>
    <col min="1" max="1" width="12" style="198" customWidth="1"/>
    <col min="2" max="2" width="9.28515625" style="198" customWidth="1"/>
    <col min="3" max="3" width="10.5703125" style="198" customWidth="1"/>
    <col min="4" max="4" width="41.7109375" style="134" customWidth="1"/>
    <col min="5" max="5" width="12.85546875" style="164" customWidth="1"/>
    <col min="6" max="6" width="11.28515625" style="214" customWidth="1"/>
    <col min="7" max="7" width="16.42578125" style="215" bestFit="1" customWidth="1"/>
    <col min="8" max="8" width="17.28515625" style="198" bestFit="1" customWidth="1"/>
    <col min="9" max="16384" width="9.5703125" style="152"/>
  </cols>
  <sheetData>
    <row r="1" spans="1:8" s="477" customFormat="1">
      <c r="A1" s="140"/>
      <c r="B1" s="140"/>
      <c r="C1" s="140"/>
      <c r="D1" s="121"/>
      <c r="E1" s="166"/>
      <c r="F1" s="153"/>
      <c r="G1" s="143"/>
      <c r="H1" s="141"/>
    </row>
    <row r="2" spans="1:8" s="477" customFormat="1">
      <c r="A2" s="685" t="s">
        <v>35</v>
      </c>
      <c r="B2" s="685"/>
      <c r="C2" s="685"/>
      <c r="D2" s="685"/>
      <c r="E2" s="685"/>
      <c r="F2" s="685"/>
      <c r="G2" s="685"/>
      <c r="H2" s="685"/>
    </row>
    <row r="3" spans="1:8" s="477" customFormat="1">
      <c r="A3" s="685" t="s">
        <v>36</v>
      </c>
      <c r="B3" s="685"/>
      <c r="C3" s="685"/>
      <c r="D3" s="685"/>
      <c r="E3" s="685"/>
      <c r="F3" s="685"/>
      <c r="G3" s="685"/>
      <c r="H3" s="685"/>
    </row>
    <row r="4" spans="1:8" s="477" customFormat="1">
      <c r="A4" s="685" t="s">
        <v>5924</v>
      </c>
      <c r="B4" s="685"/>
      <c r="C4" s="685"/>
      <c r="D4" s="685"/>
      <c r="E4" s="685"/>
      <c r="F4" s="685"/>
      <c r="G4" s="685"/>
      <c r="H4" s="685"/>
    </row>
    <row r="5" spans="1:8" s="477" customFormat="1">
      <c r="A5" s="157"/>
      <c r="B5" s="157"/>
      <c r="C5" s="157"/>
      <c r="D5" s="121" t="s">
        <v>29</v>
      </c>
      <c r="E5" s="169"/>
      <c r="F5" s="154"/>
      <c r="G5" s="147"/>
      <c r="H5" s="148"/>
    </row>
    <row r="6" spans="1:8" s="477" customFormat="1">
      <c r="A6" s="157"/>
      <c r="B6" s="157"/>
      <c r="C6" s="157"/>
      <c r="D6" s="121"/>
      <c r="E6" s="169"/>
      <c r="F6" s="154"/>
      <c r="G6" s="147"/>
      <c r="H6" s="148"/>
    </row>
    <row r="7" spans="1:8" s="477" customFormat="1" ht="18.75">
      <c r="A7" s="728" t="s">
        <v>27</v>
      </c>
      <c r="B7" s="728"/>
      <c r="C7" s="728"/>
      <c r="D7" s="728"/>
      <c r="E7" s="728"/>
      <c r="F7" s="728"/>
      <c r="G7" s="728"/>
      <c r="H7" s="728"/>
    </row>
    <row r="8" spans="1:8" s="201" customFormat="1">
      <c r="A8" s="131"/>
      <c r="B8" s="131"/>
      <c r="C8" s="344"/>
      <c r="D8" s="132"/>
      <c r="E8" s="168"/>
      <c r="F8" s="131"/>
      <c r="G8" s="127"/>
      <c r="H8" s="138"/>
    </row>
    <row r="9" spans="1:8" s="201" customFormat="1">
      <c r="A9" s="199" t="s">
        <v>5251</v>
      </c>
      <c r="B9" s="120" t="str">
        <f>'Orç - Canteiro e Adm'!B9:J9</f>
        <v>Construção do edifício UEP-FCE</v>
      </c>
      <c r="C9" s="151"/>
      <c r="D9" s="151"/>
      <c r="E9" s="170"/>
      <c r="F9" s="151"/>
      <c r="G9" s="151"/>
      <c r="H9" s="56"/>
    </row>
    <row r="10" spans="1:8" s="201" customFormat="1">
      <c r="A10" s="199" t="s">
        <v>131</v>
      </c>
      <c r="B10" s="120" t="str">
        <f>'Orç - Canteiro e Adm'!B10:J10</f>
        <v>QNN 14, Área Especial, Campus UnB Ceilândia, RA IX</v>
      </c>
      <c r="C10" s="151"/>
      <c r="D10" s="151"/>
      <c r="E10" s="170"/>
      <c r="F10" s="151"/>
      <c r="G10" s="151"/>
      <c r="H10" s="56"/>
    </row>
    <row r="11" spans="1:8" s="201" customFormat="1">
      <c r="A11" s="199" t="s">
        <v>5252</v>
      </c>
      <c r="B11" s="120" t="str">
        <f>'Orç - Canteiro e Adm'!B11:J11</f>
        <v>Agosto de 2019</v>
      </c>
      <c r="C11" s="151"/>
      <c r="D11" s="151"/>
      <c r="E11" s="170"/>
      <c r="F11" s="151"/>
      <c r="G11" s="151"/>
      <c r="H11" s="56"/>
    </row>
    <row r="12" spans="1:8" s="201" customFormat="1" ht="30">
      <c r="A12" s="199" t="s">
        <v>5253</v>
      </c>
      <c r="B12" s="120" t="str">
        <f>'Orç - Canteiro e Adm'!B12:J12</f>
        <v>SINAPI 07/2019; ORSE 06/2019; CPOS 07/2019; SBC 07/2017; SEINFRA 12/2018</v>
      </c>
      <c r="C12" s="151"/>
      <c r="D12" s="151"/>
      <c r="E12" s="170"/>
      <c r="F12" s="151"/>
      <c r="G12" s="151"/>
      <c r="H12" s="56"/>
    </row>
    <row r="13" spans="1:8" s="201" customFormat="1">
      <c r="A13" s="55" t="s">
        <v>132</v>
      </c>
      <c r="B13" s="149">
        <v>0.26929999999999998</v>
      </c>
      <c r="C13" s="150" t="s">
        <v>5813</v>
      </c>
      <c r="D13" s="135"/>
      <c r="E13" s="172"/>
      <c r="F13" s="135"/>
      <c r="G13" s="150"/>
      <c r="H13" s="150"/>
    </row>
    <row r="14" spans="1:8" s="201" customFormat="1">
      <c r="A14" s="55"/>
      <c r="B14" s="149">
        <v>0.20930000000000001</v>
      </c>
      <c r="C14" s="150" t="s">
        <v>5814</v>
      </c>
      <c r="D14" s="151"/>
      <c r="E14" s="170"/>
      <c r="F14" s="151"/>
      <c r="G14" s="593"/>
      <c r="H14" s="593"/>
    </row>
    <row r="15" spans="1:8" s="201" customFormat="1">
      <c r="A15" s="55"/>
      <c r="B15" s="122" t="s">
        <v>5254</v>
      </c>
      <c r="C15" s="593"/>
      <c r="D15" s="151"/>
      <c r="E15" s="170"/>
      <c r="F15" s="151"/>
      <c r="G15" s="593"/>
      <c r="H15" s="593"/>
    </row>
    <row r="16" spans="1:8" s="201" customFormat="1">
      <c r="A16" s="145"/>
      <c r="B16" s="145"/>
      <c r="C16" s="591"/>
      <c r="D16" s="592"/>
      <c r="E16" s="163"/>
      <c r="F16" s="592"/>
      <c r="G16" s="591"/>
      <c r="H16" s="591"/>
    </row>
    <row r="17" spans="1:8" s="162" customFormat="1">
      <c r="A17" s="158" t="str">
        <f>'Orç - Prédio'!A18</f>
        <v>01.00.000</v>
      </c>
      <c r="B17" s="158"/>
      <c r="C17" s="159"/>
      <c r="D17" s="133" t="s">
        <v>8682</v>
      </c>
      <c r="E17" s="171"/>
      <c r="F17" s="158"/>
      <c r="G17" s="160"/>
      <c r="H17" s="161"/>
    </row>
    <row r="18" spans="1:8" s="201" customFormat="1">
      <c r="A18" s="577"/>
      <c r="B18" s="577"/>
      <c r="C18" s="200"/>
      <c r="D18" s="125"/>
      <c r="E18" s="165"/>
      <c r="F18" s="577"/>
      <c r="G18" s="136"/>
      <c r="H18" s="211"/>
    </row>
    <row r="19" spans="1:8" s="201" customFormat="1">
      <c r="A19" s="123" t="s">
        <v>6</v>
      </c>
      <c r="B19" s="720" t="s">
        <v>7</v>
      </c>
      <c r="C19" s="720"/>
      <c r="D19" s="202" t="s">
        <v>124</v>
      </c>
      <c r="E19" s="167" t="s">
        <v>6334</v>
      </c>
      <c r="F19" s="202" t="s">
        <v>31</v>
      </c>
      <c r="G19" s="203" t="s">
        <v>125</v>
      </c>
      <c r="H19" s="204" t="s">
        <v>126</v>
      </c>
    </row>
    <row r="20" spans="1:8" s="208" customFormat="1" ht="45">
      <c r="A20" s="581" t="str">
        <f>'Orç - Prédio'!A21</f>
        <v>01.03.502.01</v>
      </c>
      <c r="B20" s="581" t="str">
        <f>'Orç - Prédio'!B21</f>
        <v>ORSE</v>
      </c>
      <c r="C20" s="581" t="str">
        <f>'Orç - Prédio'!C21</f>
        <v>7103 INSUMO</v>
      </c>
      <c r="D20" s="240" t="s">
        <v>9575</v>
      </c>
      <c r="E20" s="206">
        <v>2464.3200000000002</v>
      </c>
      <c r="F20" s="581" t="s">
        <v>6339</v>
      </c>
      <c r="G20" s="207">
        <f>VLOOKUP("CUSTO TOTAL UNIT.:",D21:$H$30004,5,FALSE)</f>
        <v>5.75</v>
      </c>
      <c r="H20" s="637">
        <f>VLOOKUP("CUSTO TOTAL:",D21:$H$30004,5,FALSE)</f>
        <v>14169.84</v>
      </c>
    </row>
    <row r="21" spans="1:8" s="124" customFormat="1" ht="45">
      <c r="A21" s="721">
        <v>7103</v>
      </c>
      <c r="B21" s="721"/>
      <c r="C21" s="200" t="s">
        <v>6333</v>
      </c>
      <c r="D21" s="139" t="s">
        <v>9576</v>
      </c>
      <c r="E21" s="209">
        <v>1</v>
      </c>
      <c r="F21" s="577" t="s">
        <v>322</v>
      </c>
      <c r="G21" s="210">
        <v>5.7510000000000003</v>
      </c>
      <c r="H21" s="211">
        <f>ROUND(G21*E21,2)</f>
        <v>5.75</v>
      </c>
    </row>
    <row r="22" spans="1:8" s="201" customFormat="1">
      <c r="A22" s="582"/>
      <c r="B22" s="582"/>
      <c r="C22" s="212"/>
      <c r="D22" s="719" t="s">
        <v>127</v>
      </c>
      <c r="E22" s="719"/>
      <c r="F22" s="719"/>
      <c r="G22" s="719"/>
      <c r="H22" s="638">
        <f>SUMIF(F21:F21,("h"),H21:H21)</f>
        <v>0</v>
      </c>
    </row>
    <row r="23" spans="1:8" s="201" customFormat="1">
      <c r="A23" s="582"/>
      <c r="B23" s="582"/>
      <c r="C23" s="212"/>
      <c r="D23" s="719" t="s">
        <v>128</v>
      </c>
      <c r="E23" s="719"/>
      <c r="F23" s="719"/>
      <c r="G23" s="719"/>
      <c r="H23" s="638">
        <f>SUMIF(F21:F21,"&lt;&gt;h",H21:H21)</f>
        <v>5.75</v>
      </c>
    </row>
    <row r="24" spans="1:8" s="201" customFormat="1">
      <c r="A24" s="582"/>
      <c r="B24" s="582"/>
      <c r="C24" s="212"/>
      <c r="D24" s="718" t="s">
        <v>129</v>
      </c>
      <c r="E24" s="718"/>
      <c r="F24" s="718"/>
      <c r="G24" s="718"/>
      <c r="H24" s="213">
        <f>SUM(H22:H23)</f>
        <v>5.75</v>
      </c>
    </row>
    <row r="25" spans="1:8" s="201" customFormat="1">
      <c r="A25" s="582"/>
      <c r="B25" s="582"/>
      <c r="C25" s="212"/>
      <c r="D25" s="719" t="s">
        <v>28</v>
      </c>
      <c r="E25" s="719"/>
      <c r="F25" s="719"/>
      <c r="G25" s="719"/>
      <c r="H25" s="639">
        <f>E20</f>
        <v>2464.3200000000002</v>
      </c>
    </row>
    <row r="26" spans="1:8" s="201" customFormat="1">
      <c r="A26" s="582"/>
      <c r="B26" s="582"/>
      <c r="C26" s="212"/>
      <c r="D26" s="718" t="s">
        <v>130</v>
      </c>
      <c r="E26" s="718"/>
      <c r="F26" s="718"/>
      <c r="G26" s="718"/>
      <c r="H26" s="213">
        <f>ROUND(H24*H25,2)</f>
        <v>14169.84</v>
      </c>
    </row>
    <row r="27" spans="1:8" s="201" customFormat="1">
      <c r="A27" s="582"/>
      <c r="B27" s="582"/>
      <c r="C27" s="212"/>
      <c r="D27" s="719" t="s">
        <v>15559</v>
      </c>
      <c r="E27" s="719"/>
      <c r="F27" s="719"/>
      <c r="G27" s="719"/>
      <c r="H27" s="638">
        <f>ROUND(H24*$B$13,2)</f>
        <v>1.55</v>
      </c>
    </row>
    <row r="28" spans="1:8">
      <c r="A28" s="582"/>
      <c r="B28" s="582"/>
      <c r="C28" s="212"/>
      <c r="D28" s="718" t="s">
        <v>9661</v>
      </c>
      <c r="E28" s="718"/>
      <c r="F28" s="718"/>
      <c r="G28" s="718"/>
      <c r="H28" s="213">
        <f>H27+H24</f>
        <v>7.3</v>
      </c>
    </row>
    <row r="30" spans="1:8" s="201" customFormat="1">
      <c r="A30" s="123" t="s">
        <v>6</v>
      </c>
      <c r="B30" s="720" t="s">
        <v>7</v>
      </c>
      <c r="C30" s="720"/>
      <c r="D30" s="202" t="s">
        <v>124</v>
      </c>
      <c r="E30" s="167" t="s">
        <v>6334</v>
      </c>
      <c r="F30" s="202" t="s">
        <v>31</v>
      </c>
      <c r="G30" s="203" t="s">
        <v>125</v>
      </c>
      <c r="H30" s="204" t="s">
        <v>126</v>
      </c>
    </row>
    <row r="31" spans="1:8" s="208" customFormat="1" ht="45">
      <c r="A31" s="581" t="str">
        <f>'Orç - Canteiro e Adm'!A21</f>
        <v>01.06.001</v>
      </c>
      <c r="B31" s="581" t="str">
        <f>'Orç - Canteiro e Adm'!B21</f>
        <v>CPOS</v>
      </c>
      <c r="C31" s="581" t="str">
        <f>'Orç - Canteiro e Adm'!C21</f>
        <v>01.27.011</v>
      </c>
      <c r="D31" s="205" t="s">
        <v>9114</v>
      </c>
      <c r="E31" s="206">
        <v>1</v>
      </c>
      <c r="F31" s="581" t="s">
        <v>6337</v>
      </c>
      <c r="G31" s="207">
        <f>VLOOKUP("CUSTO TOTAL UNIT.:",D32:$H$30004,5,FALSE)</f>
        <v>2978.4300000000003</v>
      </c>
      <c r="H31" s="637">
        <f>VLOOKUP("CUSTO TOTAL:",D32:$H$30004,5,FALSE)</f>
        <v>2978.43</v>
      </c>
    </row>
    <row r="32" spans="1:8" s="124" customFormat="1" ht="30">
      <c r="A32" s="721">
        <v>100302</v>
      </c>
      <c r="B32" s="721"/>
      <c r="C32" s="200" t="s">
        <v>5256</v>
      </c>
      <c r="D32" s="139" t="s">
        <v>15348</v>
      </c>
      <c r="E32" s="209">
        <v>4</v>
      </c>
      <c r="F32" s="577" t="s">
        <v>67</v>
      </c>
      <c r="G32" s="210">
        <v>86.273100000000014</v>
      </c>
      <c r="H32" s="211">
        <f>ROUND(G32*E32,2)</f>
        <v>345.09</v>
      </c>
    </row>
    <row r="33" spans="1:8" s="124" customFormat="1" ht="30">
      <c r="A33" s="721">
        <v>100306</v>
      </c>
      <c r="B33" s="721"/>
      <c r="C33" s="200" t="s">
        <v>5256</v>
      </c>
      <c r="D33" s="139" t="s">
        <v>15352</v>
      </c>
      <c r="E33" s="209">
        <v>39</v>
      </c>
      <c r="F33" s="577" t="s">
        <v>67</v>
      </c>
      <c r="G33" s="210">
        <v>67.521600000000007</v>
      </c>
      <c r="H33" s="211">
        <f>ROUND(G33*E33,2)</f>
        <v>2633.34</v>
      </c>
    </row>
    <row r="34" spans="1:8" s="201" customFormat="1">
      <c r="A34" s="582"/>
      <c r="B34" s="582"/>
      <c r="C34" s="212"/>
      <c r="D34" s="719" t="s">
        <v>127</v>
      </c>
      <c r="E34" s="719"/>
      <c r="F34" s="719"/>
      <c r="G34" s="719"/>
      <c r="H34" s="638">
        <f>SUMIF(F32:F33,("h"),H32:H33)</f>
        <v>2978.4300000000003</v>
      </c>
    </row>
    <row r="35" spans="1:8" s="201" customFormat="1">
      <c r="A35" s="582"/>
      <c r="B35" s="582"/>
      <c r="C35" s="212"/>
      <c r="D35" s="719" t="s">
        <v>128</v>
      </c>
      <c r="E35" s="719"/>
      <c r="F35" s="719"/>
      <c r="G35" s="719"/>
      <c r="H35" s="638">
        <f>SUMIF(F32:F33,"&lt;&gt;h",H32:H33)</f>
        <v>0</v>
      </c>
    </row>
    <row r="36" spans="1:8" s="201" customFormat="1">
      <c r="A36" s="582"/>
      <c r="B36" s="582"/>
      <c r="C36" s="212"/>
      <c r="D36" s="718" t="s">
        <v>129</v>
      </c>
      <c r="E36" s="718"/>
      <c r="F36" s="718"/>
      <c r="G36" s="718"/>
      <c r="H36" s="213">
        <f>SUM(H34:H35)</f>
        <v>2978.4300000000003</v>
      </c>
    </row>
    <row r="37" spans="1:8" s="201" customFormat="1">
      <c r="A37" s="582"/>
      <c r="B37" s="582"/>
      <c r="C37" s="212"/>
      <c r="D37" s="719" t="s">
        <v>28</v>
      </c>
      <c r="E37" s="719"/>
      <c r="F37" s="719"/>
      <c r="G37" s="719"/>
      <c r="H37" s="639">
        <f>E31</f>
        <v>1</v>
      </c>
    </row>
    <row r="38" spans="1:8" s="201" customFormat="1">
      <c r="A38" s="582"/>
      <c r="B38" s="582"/>
      <c r="C38" s="212"/>
      <c r="D38" s="718" t="s">
        <v>130</v>
      </c>
      <c r="E38" s="718"/>
      <c r="F38" s="718"/>
      <c r="G38" s="718"/>
      <c r="H38" s="213">
        <f>ROUND(H36*H37,2)</f>
        <v>2978.43</v>
      </c>
    </row>
    <row r="39" spans="1:8" s="201" customFormat="1">
      <c r="A39" s="582"/>
      <c r="B39" s="582"/>
      <c r="C39" s="212"/>
      <c r="D39" s="719" t="s">
        <v>15559</v>
      </c>
      <c r="E39" s="719"/>
      <c r="F39" s="719"/>
      <c r="G39" s="719"/>
      <c r="H39" s="638">
        <f>ROUND(H36*$B$13,2)</f>
        <v>802.09</v>
      </c>
    </row>
    <row r="40" spans="1:8">
      <c r="A40" s="582"/>
      <c r="B40" s="582"/>
      <c r="C40" s="212"/>
      <c r="D40" s="718" t="s">
        <v>9661</v>
      </c>
      <c r="E40" s="718"/>
      <c r="F40" s="718"/>
      <c r="G40" s="718"/>
      <c r="H40" s="213">
        <f>H39+H36</f>
        <v>3780.5200000000004</v>
      </c>
    </row>
    <row r="42" spans="1:8" s="201" customFormat="1">
      <c r="A42" s="123" t="s">
        <v>6</v>
      </c>
      <c r="B42" s="720" t="s">
        <v>7</v>
      </c>
      <c r="C42" s="720"/>
      <c r="D42" s="202" t="s">
        <v>124</v>
      </c>
      <c r="E42" s="167" t="s">
        <v>6334</v>
      </c>
      <c r="F42" s="202" t="s">
        <v>31</v>
      </c>
      <c r="G42" s="203" t="s">
        <v>125</v>
      </c>
      <c r="H42" s="204" t="s">
        <v>126</v>
      </c>
    </row>
    <row r="43" spans="1:8" s="208" customFormat="1" ht="30">
      <c r="A43" s="581" t="str">
        <f>'Orç - Prédio'!A25</f>
        <v>01.06.002</v>
      </c>
      <c r="B43" s="581" t="str">
        <f>'Orç - Prédio'!B25</f>
        <v>ORSE</v>
      </c>
      <c r="C43" s="581" t="str">
        <f>'Orç - Prédio'!C25</f>
        <v>INSUMO 4815</v>
      </c>
      <c r="D43" s="205" t="s">
        <v>8689</v>
      </c>
      <c r="E43" s="206">
        <v>44</v>
      </c>
      <c r="F43" s="581" t="s">
        <v>6337</v>
      </c>
      <c r="G43" s="207">
        <f>VLOOKUP("CUSTO TOTAL UNIT.:",D44:$H$30004,5,FALSE)</f>
        <v>62.16</v>
      </c>
      <c r="H43" s="637">
        <f>VLOOKUP("CUSTO TOTAL:",D44:$H$30004,5,FALSE)</f>
        <v>2735.04</v>
      </c>
    </row>
    <row r="44" spans="1:8" s="124" customFormat="1" ht="30">
      <c r="A44" s="721">
        <v>4815</v>
      </c>
      <c r="B44" s="721"/>
      <c r="C44" s="200" t="s">
        <v>6333</v>
      </c>
      <c r="D44" s="139" t="s">
        <v>15365</v>
      </c>
      <c r="E44" s="209">
        <v>1</v>
      </c>
      <c r="F44" s="577" t="s">
        <v>31</v>
      </c>
      <c r="G44" s="210">
        <v>62.159399999999998</v>
      </c>
      <c r="H44" s="211">
        <f>ROUND(G44*E44,2)</f>
        <v>62.16</v>
      </c>
    </row>
    <row r="45" spans="1:8" s="201" customFormat="1">
      <c r="A45" s="582"/>
      <c r="B45" s="582"/>
      <c r="C45" s="212"/>
      <c r="D45" s="719" t="s">
        <v>127</v>
      </c>
      <c r="E45" s="719"/>
      <c r="F45" s="719"/>
      <c r="G45" s="719"/>
      <c r="H45" s="638">
        <f>SUMIF(F44:F44,("h"),H44:H44)</f>
        <v>0</v>
      </c>
    </row>
    <row r="46" spans="1:8" s="201" customFormat="1">
      <c r="A46" s="582"/>
      <c r="B46" s="582"/>
      <c r="C46" s="212"/>
      <c r="D46" s="719" t="s">
        <v>128</v>
      </c>
      <c r="E46" s="719"/>
      <c r="F46" s="719"/>
      <c r="G46" s="719"/>
      <c r="H46" s="638">
        <f>SUMIF(F44:F44,"&lt;&gt;h",H44:H44)</f>
        <v>62.16</v>
      </c>
    </row>
    <row r="47" spans="1:8" s="201" customFormat="1">
      <c r="A47" s="582"/>
      <c r="B47" s="582"/>
      <c r="C47" s="212"/>
      <c r="D47" s="718" t="s">
        <v>129</v>
      </c>
      <c r="E47" s="718"/>
      <c r="F47" s="718"/>
      <c r="G47" s="718"/>
      <c r="H47" s="213">
        <f>SUM(H45:H46)</f>
        <v>62.16</v>
      </c>
    </row>
    <row r="48" spans="1:8" s="201" customFormat="1">
      <c r="A48" s="582"/>
      <c r="B48" s="582"/>
      <c r="C48" s="212"/>
      <c r="D48" s="719" t="s">
        <v>28</v>
      </c>
      <c r="E48" s="719"/>
      <c r="F48" s="719"/>
      <c r="G48" s="719"/>
      <c r="H48" s="639">
        <f>E43</f>
        <v>44</v>
      </c>
    </row>
    <row r="49" spans="1:8" s="201" customFormat="1">
      <c r="A49" s="582"/>
      <c r="B49" s="582"/>
      <c r="C49" s="212"/>
      <c r="D49" s="718" t="s">
        <v>130</v>
      </c>
      <c r="E49" s="718"/>
      <c r="F49" s="718"/>
      <c r="G49" s="718"/>
      <c r="H49" s="213">
        <f>ROUND(H47*H48,2)</f>
        <v>2735.04</v>
      </c>
    </row>
    <row r="50" spans="1:8" s="201" customFormat="1">
      <c r="A50" s="582"/>
      <c r="B50" s="582"/>
      <c r="C50" s="212"/>
      <c r="D50" s="719" t="s">
        <v>15559</v>
      </c>
      <c r="E50" s="719"/>
      <c r="F50" s="719"/>
      <c r="G50" s="719"/>
      <c r="H50" s="638">
        <f>ROUND(H47*$B$13,2)</f>
        <v>16.739999999999998</v>
      </c>
    </row>
    <row r="51" spans="1:8">
      <c r="A51" s="582"/>
      <c r="B51" s="582"/>
      <c r="C51" s="212"/>
      <c r="D51" s="718" t="s">
        <v>9661</v>
      </c>
      <c r="E51" s="718"/>
      <c r="F51" s="718"/>
      <c r="G51" s="718"/>
      <c r="H51" s="213">
        <f>H50+H47</f>
        <v>78.899999999999991</v>
      </c>
    </row>
    <row r="53" spans="1:8" s="201" customFormat="1">
      <c r="A53" s="123" t="s">
        <v>6</v>
      </c>
      <c r="B53" s="720" t="s">
        <v>7</v>
      </c>
      <c r="C53" s="720"/>
      <c r="D53" s="202" t="s">
        <v>124</v>
      </c>
      <c r="E53" s="167" t="s">
        <v>6334</v>
      </c>
      <c r="F53" s="202" t="s">
        <v>31</v>
      </c>
      <c r="G53" s="203" t="s">
        <v>125</v>
      </c>
      <c r="H53" s="204" t="s">
        <v>126</v>
      </c>
    </row>
    <row r="54" spans="1:8" s="208" customFormat="1" ht="60">
      <c r="A54" s="581" t="str">
        <f>'Orç - Prédio'!A26</f>
        <v>01.06.003</v>
      </c>
      <c r="B54" s="581" t="str">
        <f>'Orç - Prédio'!B26</f>
        <v>ORSE</v>
      </c>
      <c r="C54" s="581">
        <f>'Orç - Prédio'!C26</f>
        <v>11108</v>
      </c>
      <c r="D54" s="205" t="s">
        <v>9590</v>
      </c>
      <c r="E54" s="206">
        <v>444</v>
      </c>
      <c r="F54" s="581" t="s">
        <v>6337</v>
      </c>
      <c r="G54" s="207">
        <f>VLOOKUP("CUSTO TOTAL UNIT.:",D55:$H$30004,5,FALSE)</f>
        <v>5.43</v>
      </c>
      <c r="H54" s="637">
        <f>VLOOKUP("CUSTO TOTAL:",D55:$H$30004,5,FALSE)</f>
        <v>2410.92</v>
      </c>
    </row>
    <row r="55" spans="1:8" s="124" customFormat="1" ht="30">
      <c r="A55" s="721">
        <v>11965</v>
      </c>
      <c r="B55" s="721"/>
      <c r="C55" s="200" t="s">
        <v>6333</v>
      </c>
      <c r="D55" s="139" t="s">
        <v>15366</v>
      </c>
      <c r="E55" s="209">
        <v>1</v>
      </c>
      <c r="F55" s="577" t="s">
        <v>31</v>
      </c>
      <c r="G55" s="210">
        <v>5.4270000000000005</v>
      </c>
      <c r="H55" s="211">
        <f>ROUND(G55*E55,2)</f>
        <v>5.43</v>
      </c>
    </row>
    <row r="56" spans="1:8" s="201" customFormat="1">
      <c r="A56" s="582"/>
      <c r="B56" s="582"/>
      <c r="C56" s="212"/>
      <c r="D56" s="719" t="s">
        <v>127</v>
      </c>
      <c r="E56" s="719"/>
      <c r="F56" s="719"/>
      <c r="G56" s="719"/>
      <c r="H56" s="638">
        <f>SUMIF(F55:F55,("h"),H55:H55)</f>
        <v>0</v>
      </c>
    </row>
    <row r="57" spans="1:8" s="201" customFormat="1">
      <c r="A57" s="582"/>
      <c r="B57" s="582"/>
      <c r="C57" s="212"/>
      <c r="D57" s="719" t="s">
        <v>128</v>
      </c>
      <c r="E57" s="719"/>
      <c r="F57" s="719"/>
      <c r="G57" s="719"/>
      <c r="H57" s="638">
        <f>SUMIF(F55:F55,"&lt;&gt;h",H55:H55)</f>
        <v>5.43</v>
      </c>
    </row>
    <row r="58" spans="1:8" s="201" customFormat="1">
      <c r="A58" s="582"/>
      <c r="B58" s="582"/>
      <c r="C58" s="212"/>
      <c r="D58" s="718" t="s">
        <v>129</v>
      </c>
      <c r="E58" s="718"/>
      <c r="F58" s="718"/>
      <c r="G58" s="718"/>
      <c r="H58" s="213">
        <f>SUM(H56:H57)</f>
        <v>5.43</v>
      </c>
    </row>
    <row r="59" spans="1:8" s="201" customFormat="1">
      <c r="A59" s="582"/>
      <c r="B59" s="582"/>
      <c r="C59" s="212"/>
      <c r="D59" s="719" t="s">
        <v>28</v>
      </c>
      <c r="E59" s="719"/>
      <c r="F59" s="719"/>
      <c r="G59" s="719"/>
      <c r="H59" s="639">
        <f>E54</f>
        <v>444</v>
      </c>
    </row>
    <row r="60" spans="1:8" s="201" customFormat="1">
      <c r="A60" s="582"/>
      <c r="B60" s="582"/>
      <c r="C60" s="212"/>
      <c r="D60" s="718" t="s">
        <v>130</v>
      </c>
      <c r="E60" s="718"/>
      <c r="F60" s="718"/>
      <c r="G60" s="718"/>
      <c r="H60" s="213">
        <f>ROUND(H58*H59,2)</f>
        <v>2410.92</v>
      </c>
    </row>
    <row r="61" spans="1:8" s="201" customFormat="1">
      <c r="A61" s="582"/>
      <c r="B61" s="582"/>
      <c r="C61" s="212"/>
      <c r="D61" s="719" t="s">
        <v>15559</v>
      </c>
      <c r="E61" s="719"/>
      <c r="F61" s="719"/>
      <c r="G61" s="719"/>
      <c r="H61" s="638">
        <f>ROUND(H58*$B$13,2)</f>
        <v>1.46</v>
      </c>
    </row>
    <row r="62" spans="1:8">
      <c r="A62" s="582"/>
      <c r="B62" s="582"/>
      <c r="C62" s="212"/>
      <c r="D62" s="718" t="s">
        <v>9661</v>
      </c>
      <c r="E62" s="718"/>
      <c r="F62" s="718"/>
      <c r="G62" s="718"/>
      <c r="H62" s="213">
        <f>H61+H58</f>
        <v>6.89</v>
      </c>
    </row>
    <row r="64" spans="1:8" s="162" customFormat="1">
      <c r="A64" s="158" t="str">
        <f>'Orç - Canteiro e Adm'!A26</f>
        <v>02.00.000</v>
      </c>
      <c r="B64" s="158"/>
      <c r="C64" s="159"/>
      <c r="D64" s="133" t="s">
        <v>8</v>
      </c>
      <c r="E64" s="171"/>
      <c r="F64" s="158"/>
      <c r="G64" s="160"/>
      <c r="H64" s="161"/>
    </row>
    <row r="65" spans="1:8" s="201" customFormat="1">
      <c r="A65" s="577"/>
      <c r="B65" s="577"/>
      <c r="C65" s="200"/>
      <c r="D65" s="125"/>
      <c r="E65" s="165"/>
      <c r="F65" s="577"/>
      <c r="G65" s="136"/>
      <c r="H65" s="211"/>
    </row>
    <row r="66" spans="1:8" s="201" customFormat="1">
      <c r="A66" s="123" t="s">
        <v>6</v>
      </c>
      <c r="B66" s="720" t="s">
        <v>7</v>
      </c>
      <c r="C66" s="720"/>
      <c r="D66" s="202" t="s">
        <v>124</v>
      </c>
      <c r="E66" s="167" t="s">
        <v>6334</v>
      </c>
      <c r="F66" s="202" t="s">
        <v>31</v>
      </c>
      <c r="G66" s="203" t="s">
        <v>125</v>
      </c>
      <c r="H66" s="204" t="s">
        <v>126</v>
      </c>
    </row>
    <row r="67" spans="1:8" s="208" customFormat="1" ht="60">
      <c r="A67" s="581" t="str">
        <f>'Orç - Canteiro e Adm'!A36</f>
        <v>02.01.201</v>
      </c>
      <c r="B67" s="581" t="str">
        <f>'Orç - Canteiro e Adm'!B36</f>
        <v>ORSE</v>
      </c>
      <c r="C67" s="581">
        <f>'Orç - Canteiro e Adm'!C36</f>
        <v>6096</v>
      </c>
      <c r="D67" s="205" t="s">
        <v>6332</v>
      </c>
      <c r="E67" s="206">
        <v>1</v>
      </c>
      <c r="F67" s="581" t="s">
        <v>6337</v>
      </c>
      <c r="G67" s="207">
        <f>VLOOKUP("CUSTO TOTAL UNIT.:",D68:$H$30004,5,FALSE)</f>
        <v>325.57000000000005</v>
      </c>
      <c r="H67" s="637">
        <f>VLOOKUP("CUSTO TOTAL:",D68:$H$30004,5,FALSE)</f>
        <v>325.57</v>
      </c>
    </row>
    <row r="68" spans="1:8" s="124" customFormat="1">
      <c r="A68" s="721">
        <v>980</v>
      </c>
      <c r="B68" s="721"/>
      <c r="C68" s="200" t="s">
        <v>6333</v>
      </c>
      <c r="D68" s="139" t="s">
        <v>8952</v>
      </c>
      <c r="E68" s="209">
        <v>20</v>
      </c>
      <c r="F68" s="577" t="s">
        <v>139</v>
      </c>
      <c r="G68" s="210">
        <v>8.9100000000000013E-2</v>
      </c>
      <c r="H68" s="211">
        <f t="shared" ref="H68:H83" si="0">ROUND(G68*E68,2)</f>
        <v>1.78</v>
      </c>
    </row>
    <row r="69" spans="1:8" s="124" customFormat="1" ht="30">
      <c r="A69" s="721">
        <v>11831</v>
      </c>
      <c r="B69" s="721"/>
      <c r="C69" s="200" t="s">
        <v>5256</v>
      </c>
      <c r="D69" s="139" t="s">
        <v>14434</v>
      </c>
      <c r="E69" s="209">
        <v>1</v>
      </c>
      <c r="F69" s="577" t="s">
        <v>40</v>
      </c>
      <c r="G69" s="210">
        <v>14.1912</v>
      </c>
      <c r="H69" s="211">
        <f t="shared" si="0"/>
        <v>14.19</v>
      </c>
    </row>
    <row r="70" spans="1:8" s="124" customFormat="1" ht="30">
      <c r="A70" s="721">
        <v>9892</v>
      </c>
      <c r="B70" s="721"/>
      <c r="C70" s="200" t="s">
        <v>5256</v>
      </c>
      <c r="D70" s="139" t="s">
        <v>14823</v>
      </c>
      <c r="E70" s="209">
        <v>2</v>
      </c>
      <c r="F70" s="577" t="s">
        <v>40</v>
      </c>
      <c r="G70" s="210">
        <v>3.5478000000000001</v>
      </c>
      <c r="H70" s="211">
        <f t="shared" si="0"/>
        <v>7.1</v>
      </c>
    </row>
    <row r="71" spans="1:8" s="124" customFormat="1" ht="60">
      <c r="A71" s="721">
        <v>55</v>
      </c>
      <c r="B71" s="721"/>
      <c r="C71" s="200" t="s">
        <v>5256</v>
      </c>
      <c r="D71" s="139" t="s">
        <v>9776</v>
      </c>
      <c r="E71" s="209">
        <v>2</v>
      </c>
      <c r="F71" s="577" t="s">
        <v>40</v>
      </c>
      <c r="G71" s="210">
        <v>2.6325000000000003</v>
      </c>
      <c r="H71" s="211">
        <f t="shared" si="0"/>
        <v>5.27</v>
      </c>
    </row>
    <row r="72" spans="1:8" s="124" customFormat="1" ht="45">
      <c r="A72" s="721">
        <v>1414</v>
      </c>
      <c r="B72" s="721"/>
      <c r="C72" s="200" t="s">
        <v>5256</v>
      </c>
      <c r="D72" s="139" t="s">
        <v>10958</v>
      </c>
      <c r="E72" s="209">
        <v>1</v>
      </c>
      <c r="F72" s="577" t="s">
        <v>40</v>
      </c>
      <c r="G72" s="210">
        <v>6.0426000000000002</v>
      </c>
      <c r="H72" s="211">
        <f t="shared" si="0"/>
        <v>6.04</v>
      </c>
    </row>
    <row r="73" spans="1:8" s="124" customFormat="1" ht="30">
      <c r="A73" s="721">
        <v>4895</v>
      </c>
      <c r="B73" s="721"/>
      <c r="C73" s="200" t="s">
        <v>5256</v>
      </c>
      <c r="D73" s="139" t="s">
        <v>13439</v>
      </c>
      <c r="E73" s="209">
        <v>1</v>
      </c>
      <c r="F73" s="577" t="s">
        <v>40</v>
      </c>
      <c r="G73" s="210">
        <v>0.30780000000000002</v>
      </c>
      <c r="H73" s="211">
        <f t="shared" si="0"/>
        <v>0.31</v>
      </c>
    </row>
    <row r="74" spans="1:8" s="124" customFormat="1" ht="30">
      <c r="A74" s="721">
        <v>6036</v>
      </c>
      <c r="B74" s="721"/>
      <c r="C74" s="200" t="s">
        <v>5256</v>
      </c>
      <c r="D74" s="139" t="s">
        <v>13697</v>
      </c>
      <c r="E74" s="209">
        <v>1</v>
      </c>
      <c r="F74" s="577" t="s">
        <v>40</v>
      </c>
      <c r="G74" s="210">
        <v>15.0579</v>
      </c>
      <c r="H74" s="211">
        <f t="shared" si="0"/>
        <v>15.06</v>
      </c>
    </row>
    <row r="75" spans="1:8" s="124" customFormat="1" ht="30">
      <c r="A75" s="721">
        <v>7098</v>
      </c>
      <c r="B75" s="721"/>
      <c r="C75" s="200" t="s">
        <v>5256</v>
      </c>
      <c r="D75" s="139" t="s">
        <v>14126</v>
      </c>
      <c r="E75" s="209">
        <v>1</v>
      </c>
      <c r="F75" s="577" t="s">
        <v>40</v>
      </c>
      <c r="G75" s="210">
        <v>1.7334000000000003</v>
      </c>
      <c r="H75" s="211">
        <f t="shared" si="0"/>
        <v>1.73</v>
      </c>
    </row>
    <row r="76" spans="1:8" s="124" customFormat="1" ht="60">
      <c r="A76" s="721">
        <v>9813</v>
      </c>
      <c r="B76" s="721"/>
      <c r="C76" s="200" t="s">
        <v>5256</v>
      </c>
      <c r="D76" s="139" t="s">
        <v>14667</v>
      </c>
      <c r="E76" s="209">
        <v>6</v>
      </c>
      <c r="F76" s="577" t="s">
        <v>48</v>
      </c>
      <c r="G76" s="210">
        <v>2.6649000000000003</v>
      </c>
      <c r="H76" s="211">
        <f t="shared" si="0"/>
        <v>15.99</v>
      </c>
    </row>
    <row r="77" spans="1:8" s="124" customFormat="1" ht="30">
      <c r="A77" s="721">
        <v>9856</v>
      </c>
      <c r="B77" s="721"/>
      <c r="C77" s="200" t="s">
        <v>5256</v>
      </c>
      <c r="D77" s="139" t="s">
        <v>14761</v>
      </c>
      <c r="E77" s="209">
        <v>1</v>
      </c>
      <c r="F77" s="577" t="s">
        <v>48</v>
      </c>
      <c r="G77" s="210">
        <v>3.9771000000000005</v>
      </c>
      <c r="H77" s="211">
        <f t="shared" si="0"/>
        <v>3.98</v>
      </c>
    </row>
    <row r="78" spans="1:8" s="124" customFormat="1" ht="30">
      <c r="A78" s="721">
        <v>12773</v>
      </c>
      <c r="B78" s="721"/>
      <c r="C78" s="200" t="s">
        <v>5256</v>
      </c>
      <c r="D78" s="139" t="s">
        <v>12157</v>
      </c>
      <c r="E78" s="209">
        <v>1</v>
      </c>
      <c r="F78" s="577" t="s">
        <v>40</v>
      </c>
      <c r="G78" s="210">
        <v>74.779200000000003</v>
      </c>
      <c r="H78" s="211">
        <f t="shared" si="0"/>
        <v>74.78</v>
      </c>
    </row>
    <row r="79" spans="1:8" s="124" customFormat="1" ht="30">
      <c r="A79" s="721">
        <v>88316</v>
      </c>
      <c r="B79" s="721"/>
      <c r="C79" s="200" t="s">
        <v>5256</v>
      </c>
      <c r="D79" s="139" t="s">
        <v>66</v>
      </c>
      <c r="E79" s="209">
        <v>1</v>
      </c>
      <c r="F79" s="577" t="s">
        <v>67</v>
      </c>
      <c r="G79" s="210">
        <v>11.631600000000001</v>
      </c>
      <c r="H79" s="211">
        <f t="shared" si="0"/>
        <v>11.63</v>
      </c>
    </row>
    <row r="80" spans="1:8" s="124" customFormat="1" ht="30">
      <c r="A80" s="721">
        <v>88267</v>
      </c>
      <c r="B80" s="721"/>
      <c r="C80" s="200" t="s">
        <v>5256</v>
      </c>
      <c r="D80" s="139" t="s">
        <v>86</v>
      </c>
      <c r="E80" s="209">
        <v>1</v>
      </c>
      <c r="F80" s="577" t="s">
        <v>67</v>
      </c>
      <c r="G80" s="210">
        <v>15.2766</v>
      </c>
      <c r="H80" s="211">
        <f t="shared" si="0"/>
        <v>15.28</v>
      </c>
    </row>
    <row r="81" spans="1:8" s="124" customFormat="1" ht="45">
      <c r="A81" s="721">
        <v>93358</v>
      </c>
      <c r="B81" s="721"/>
      <c r="C81" s="200" t="s">
        <v>5256</v>
      </c>
      <c r="D81" s="139" t="s">
        <v>6325</v>
      </c>
      <c r="E81" s="209">
        <v>1.347</v>
      </c>
      <c r="F81" s="577" t="s">
        <v>1261</v>
      </c>
      <c r="G81" s="210">
        <v>46.008000000000003</v>
      </c>
      <c r="H81" s="211">
        <f t="shared" si="0"/>
        <v>61.97</v>
      </c>
    </row>
    <row r="82" spans="1:8" s="124" customFormat="1" ht="30">
      <c r="A82" s="721">
        <v>93382</v>
      </c>
      <c r="B82" s="721"/>
      <c r="C82" s="200" t="s">
        <v>5256</v>
      </c>
      <c r="D82" s="139" t="s">
        <v>4047</v>
      </c>
      <c r="E82" s="209">
        <v>1.3260000000000001</v>
      </c>
      <c r="F82" s="577" t="s">
        <v>1261</v>
      </c>
      <c r="G82" s="210">
        <v>16.127100000000002</v>
      </c>
      <c r="H82" s="211">
        <f t="shared" si="0"/>
        <v>21.38</v>
      </c>
    </row>
    <row r="83" spans="1:8" s="124" customFormat="1" ht="45">
      <c r="A83" s="721">
        <v>95676</v>
      </c>
      <c r="B83" s="721"/>
      <c r="C83" s="200" t="s">
        <v>5256</v>
      </c>
      <c r="D83" s="139" t="s">
        <v>3780</v>
      </c>
      <c r="E83" s="209">
        <v>1</v>
      </c>
      <c r="F83" s="577" t="s">
        <v>171</v>
      </c>
      <c r="G83" s="210">
        <v>69.084900000000005</v>
      </c>
      <c r="H83" s="211">
        <f t="shared" si="0"/>
        <v>69.08</v>
      </c>
    </row>
    <row r="84" spans="1:8" s="201" customFormat="1">
      <c r="A84" s="582"/>
      <c r="B84" s="582"/>
      <c r="C84" s="212"/>
      <c r="D84" s="719" t="s">
        <v>127</v>
      </c>
      <c r="E84" s="719"/>
      <c r="F84" s="719"/>
      <c r="G84" s="719"/>
      <c r="H84" s="638">
        <f>SUMIF(F68:F83,("h"),H68:H83)</f>
        <v>26.91</v>
      </c>
    </row>
    <row r="85" spans="1:8" s="201" customFormat="1">
      <c r="A85" s="582"/>
      <c r="B85" s="582"/>
      <c r="C85" s="212"/>
      <c r="D85" s="719" t="s">
        <v>128</v>
      </c>
      <c r="E85" s="719"/>
      <c r="F85" s="719"/>
      <c r="G85" s="719"/>
      <c r="H85" s="638">
        <f>SUMIF(F68:F83,"&lt;&gt;h",H68:H83)</f>
        <v>298.66000000000003</v>
      </c>
    </row>
    <row r="86" spans="1:8" s="201" customFormat="1">
      <c r="A86" s="582"/>
      <c r="B86" s="582"/>
      <c r="C86" s="212"/>
      <c r="D86" s="718" t="s">
        <v>129</v>
      </c>
      <c r="E86" s="718"/>
      <c r="F86" s="718"/>
      <c r="G86" s="718"/>
      <c r="H86" s="213">
        <f>SUM(H84:H85)</f>
        <v>325.57000000000005</v>
      </c>
    </row>
    <row r="87" spans="1:8" s="201" customFormat="1">
      <c r="A87" s="582"/>
      <c r="B87" s="582"/>
      <c r="C87" s="212"/>
      <c r="D87" s="719" t="s">
        <v>28</v>
      </c>
      <c r="E87" s="719"/>
      <c r="F87" s="719"/>
      <c r="G87" s="719"/>
      <c r="H87" s="639">
        <f>E67</f>
        <v>1</v>
      </c>
    </row>
    <row r="88" spans="1:8" s="201" customFormat="1">
      <c r="A88" s="582"/>
      <c r="B88" s="582"/>
      <c r="C88" s="212"/>
      <c r="D88" s="718" t="s">
        <v>130</v>
      </c>
      <c r="E88" s="718"/>
      <c r="F88" s="718"/>
      <c r="G88" s="718"/>
      <c r="H88" s="213">
        <f>ROUND(H86*H87,2)</f>
        <v>325.57</v>
      </c>
    </row>
    <row r="89" spans="1:8" s="201" customFormat="1">
      <c r="A89" s="582"/>
      <c r="B89" s="582"/>
      <c r="C89" s="212"/>
      <c r="D89" s="719" t="s">
        <v>15559</v>
      </c>
      <c r="E89" s="719"/>
      <c r="F89" s="719"/>
      <c r="G89" s="719"/>
      <c r="H89" s="638">
        <f>ROUND(H86*$B$13,2)</f>
        <v>87.68</v>
      </c>
    </row>
    <row r="90" spans="1:8">
      <c r="A90" s="582"/>
      <c r="B90" s="582"/>
      <c r="C90" s="212"/>
      <c r="D90" s="718" t="s">
        <v>9661</v>
      </c>
      <c r="E90" s="718"/>
      <c r="F90" s="718"/>
      <c r="G90" s="718"/>
      <c r="H90" s="213">
        <f>H89+H86</f>
        <v>413.25000000000006</v>
      </c>
    </row>
    <row r="92" spans="1:8" s="201" customFormat="1">
      <c r="A92" s="123" t="s">
        <v>6</v>
      </c>
      <c r="B92" s="720" t="s">
        <v>7</v>
      </c>
      <c r="C92" s="720"/>
      <c r="D92" s="202" t="s">
        <v>124</v>
      </c>
      <c r="E92" s="167" t="s">
        <v>6334</v>
      </c>
      <c r="F92" s="202" t="s">
        <v>31</v>
      </c>
      <c r="G92" s="203" t="s">
        <v>125</v>
      </c>
      <c r="H92" s="204" t="s">
        <v>126</v>
      </c>
    </row>
    <row r="93" spans="1:8" s="208" customFormat="1" ht="45">
      <c r="A93" s="581" t="str">
        <f>'Orç - Canteiro e Adm'!A42</f>
        <v>02.01.402</v>
      </c>
      <c r="B93" s="581" t="str">
        <f>'Orç - Canteiro e Adm'!B42</f>
        <v>SINAPI</v>
      </c>
      <c r="C93" s="581" t="str">
        <f>'Orç - Canteiro e Adm'!C42</f>
        <v>85424 MOD</v>
      </c>
      <c r="D93" s="205" t="s">
        <v>8978</v>
      </c>
      <c r="E93" s="206">
        <v>316.43</v>
      </c>
      <c r="F93" s="581" t="s">
        <v>6339</v>
      </c>
      <c r="G93" s="207">
        <f>VLOOKUP("CUSTO TOTAL UNIT.:",D94:$H$30004,5,FALSE)</f>
        <v>16.059999999999999</v>
      </c>
      <c r="H93" s="637">
        <f>VLOOKUP("CUSTO TOTAL:",D94:$H$30004,5,FALSE)</f>
        <v>5081.87</v>
      </c>
    </row>
    <row r="94" spans="1:8" s="124" customFormat="1" ht="45">
      <c r="A94" s="721">
        <v>4491</v>
      </c>
      <c r="B94" s="721"/>
      <c r="C94" s="200" t="s">
        <v>5256</v>
      </c>
      <c r="D94" s="139" t="s">
        <v>13461</v>
      </c>
      <c r="E94" s="209">
        <v>0.06</v>
      </c>
      <c r="F94" s="577" t="s">
        <v>48</v>
      </c>
      <c r="G94" s="210">
        <v>2.9241000000000001</v>
      </c>
      <c r="H94" s="211">
        <f t="shared" ref="H94:H99" si="1">ROUND(G94*E94,2)</f>
        <v>0.18</v>
      </c>
    </row>
    <row r="95" spans="1:8" s="124" customFormat="1" ht="45">
      <c r="A95" s="721">
        <v>4509</v>
      </c>
      <c r="B95" s="721"/>
      <c r="C95" s="200" t="s">
        <v>5256</v>
      </c>
      <c r="D95" s="139" t="s">
        <v>13926</v>
      </c>
      <c r="E95" s="209">
        <v>0.2</v>
      </c>
      <c r="F95" s="577" t="s">
        <v>48</v>
      </c>
      <c r="G95" s="210">
        <v>1.5957000000000001</v>
      </c>
      <c r="H95" s="211">
        <f t="shared" si="1"/>
        <v>0.32</v>
      </c>
    </row>
    <row r="96" spans="1:8" s="124" customFormat="1" ht="30">
      <c r="A96" s="721">
        <v>5061</v>
      </c>
      <c r="B96" s="721"/>
      <c r="C96" s="200" t="s">
        <v>5256</v>
      </c>
      <c r="D96" s="139" t="s">
        <v>13577</v>
      </c>
      <c r="E96" s="209">
        <v>0.01</v>
      </c>
      <c r="F96" s="577" t="s">
        <v>49</v>
      </c>
      <c r="G96" s="210">
        <v>8.0594999999999999</v>
      </c>
      <c r="H96" s="211">
        <f t="shared" si="1"/>
        <v>0.08</v>
      </c>
    </row>
    <row r="97" spans="1:8" s="124" customFormat="1" ht="45">
      <c r="A97" s="721">
        <v>37524</v>
      </c>
      <c r="B97" s="721"/>
      <c r="C97" s="200" t="s">
        <v>5256</v>
      </c>
      <c r="D97" s="139" t="s">
        <v>14250</v>
      </c>
      <c r="E97" s="209">
        <v>1.1000000000000001</v>
      </c>
      <c r="F97" s="577" t="s">
        <v>48</v>
      </c>
      <c r="G97" s="210">
        <v>1.5471000000000001</v>
      </c>
      <c r="H97" s="211">
        <f t="shared" si="1"/>
        <v>1.7</v>
      </c>
    </row>
    <row r="98" spans="1:8" s="124" customFormat="1" ht="30">
      <c r="A98" s="721">
        <v>88239</v>
      </c>
      <c r="B98" s="721"/>
      <c r="C98" s="200" t="s">
        <v>5256</v>
      </c>
      <c r="D98" s="139" t="s">
        <v>5086</v>
      </c>
      <c r="E98" s="209">
        <v>0.53</v>
      </c>
      <c r="F98" s="577" t="s">
        <v>67</v>
      </c>
      <c r="G98" s="210">
        <v>13.154399999999999</v>
      </c>
      <c r="H98" s="211">
        <f t="shared" si="1"/>
        <v>6.97</v>
      </c>
    </row>
    <row r="99" spans="1:8" s="124" customFormat="1" ht="30">
      <c r="A99" s="721">
        <v>88262</v>
      </c>
      <c r="B99" s="721"/>
      <c r="C99" s="200" t="s">
        <v>5256</v>
      </c>
      <c r="D99" s="139" t="s">
        <v>83</v>
      </c>
      <c r="E99" s="209">
        <v>0.44</v>
      </c>
      <c r="F99" s="577" t="s">
        <v>67</v>
      </c>
      <c r="G99" s="210">
        <v>15.487200000000001</v>
      </c>
      <c r="H99" s="211">
        <f t="shared" si="1"/>
        <v>6.81</v>
      </c>
    </row>
    <row r="100" spans="1:8" s="201" customFormat="1">
      <c r="A100" s="582"/>
      <c r="B100" s="582"/>
      <c r="C100" s="212"/>
      <c r="D100" s="719" t="s">
        <v>127</v>
      </c>
      <c r="E100" s="719"/>
      <c r="F100" s="719"/>
      <c r="G100" s="719"/>
      <c r="H100" s="638">
        <f>SUMIF(F94:F99,("h"),H94:H99)</f>
        <v>13.78</v>
      </c>
    </row>
    <row r="101" spans="1:8" s="201" customFormat="1">
      <c r="A101" s="582"/>
      <c r="B101" s="582"/>
      <c r="C101" s="212"/>
      <c r="D101" s="719" t="s">
        <v>128</v>
      </c>
      <c r="E101" s="719"/>
      <c r="F101" s="719"/>
      <c r="G101" s="719"/>
      <c r="H101" s="638">
        <f>SUMIF(F94:F99,"&lt;&gt;h",H94:H99)</f>
        <v>2.2799999999999998</v>
      </c>
    </row>
    <row r="102" spans="1:8" s="201" customFormat="1">
      <c r="A102" s="582"/>
      <c r="B102" s="582"/>
      <c r="C102" s="212"/>
      <c r="D102" s="718" t="s">
        <v>129</v>
      </c>
      <c r="E102" s="718"/>
      <c r="F102" s="718"/>
      <c r="G102" s="718"/>
      <c r="H102" s="213">
        <f>SUM(H100:H101)</f>
        <v>16.059999999999999</v>
      </c>
    </row>
    <row r="103" spans="1:8" s="201" customFormat="1">
      <c r="A103" s="582"/>
      <c r="B103" s="582"/>
      <c r="C103" s="212"/>
      <c r="D103" s="719" t="s">
        <v>28</v>
      </c>
      <c r="E103" s="719"/>
      <c r="F103" s="719"/>
      <c r="G103" s="719"/>
      <c r="H103" s="639">
        <f>E93</f>
        <v>316.43</v>
      </c>
    </row>
    <row r="104" spans="1:8" s="201" customFormat="1">
      <c r="A104" s="582"/>
      <c r="B104" s="582"/>
      <c r="C104" s="212"/>
      <c r="D104" s="718" t="s">
        <v>130</v>
      </c>
      <c r="E104" s="718"/>
      <c r="F104" s="718"/>
      <c r="G104" s="718"/>
      <c r="H104" s="213">
        <f>ROUND(H102*H103,2)</f>
        <v>5081.87</v>
      </c>
    </row>
    <row r="105" spans="1:8" s="201" customFormat="1">
      <c r="A105" s="582"/>
      <c r="B105" s="582"/>
      <c r="C105" s="212"/>
      <c r="D105" s="719" t="s">
        <v>15559</v>
      </c>
      <c r="E105" s="719"/>
      <c r="F105" s="719"/>
      <c r="G105" s="719"/>
      <c r="H105" s="638">
        <f>ROUND(H102*$B$13,2)</f>
        <v>4.32</v>
      </c>
    </row>
    <row r="106" spans="1:8">
      <c r="A106" s="582"/>
      <c r="B106" s="582"/>
      <c r="C106" s="212"/>
      <c r="D106" s="718" t="s">
        <v>9661</v>
      </c>
      <c r="E106" s="718"/>
      <c r="F106" s="718"/>
      <c r="G106" s="718"/>
      <c r="H106" s="213">
        <f>H105+H102</f>
        <v>20.38</v>
      </c>
    </row>
    <row r="108" spans="1:8" s="201" customFormat="1">
      <c r="A108" s="123" t="s">
        <v>6</v>
      </c>
      <c r="B108" s="720" t="s">
        <v>7</v>
      </c>
      <c r="C108" s="720"/>
      <c r="D108" s="202" t="s">
        <v>124</v>
      </c>
      <c r="E108" s="167" t="s">
        <v>6334</v>
      </c>
      <c r="F108" s="202" t="s">
        <v>31</v>
      </c>
      <c r="G108" s="203" t="s">
        <v>125</v>
      </c>
      <c r="H108" s="204" t="s">
        <v>126</v>
      </c>
    </row>
    <row r="109" spans="1:8" s="208" customFormat="1">
      <c r="A109" s="581" t="str">
        <f>'Orç - Urbanização'!A22</f>
        <v>02.02.182</v>
      </c>
      <c r="B109" s="581" t="str">
        <f>'Orç - Urbanização'!B22</f>
        <v>ORSE</v>
      </c>
      <c r="C109" s="581">
        <f>'Orç - Urbanização'!C22</f>
        <v>2624</v>
      </c>
      <c r="D109" s="205" t="s">
        <v>9456</v>
      </c>
      <c r="E109" s="206">
        <v>272.10000000000002</v>
      </c>
      <c r="F109" s="581" t="s">
        <v>6774</v>
      </c>
      <c r="G109" s="207">
        <f>VLOOKUP("CUSTO TOTAL UNIT.:",D110:$H$30004,5,FALSE)</f>
        <v>9.83</v>
      </c>
      <c r="H109" s="637">
        <f>VLOOKUP("CUSTO TOTAL:",D110:$H$30004,5,FALSE)</f>
        <v>2674.74</v>
      </c>
    </row>
    <row r="110" spans="1:8" s="124" customFormat="1" ht="30">
      <c r="A110" s="721">
        <v>88309</v>
      </c>
      <c r="B110" s="721"/>
      <c r="C110" s="200" t="s">
        <v>5256</v>
      </c>
      <c r="D110" s="139" t="s">
        <v>90</v>
      </c>
      <c r="E110" s="209">
        <v>0.18</v>
      </c>
      <c r="F110" s="577" t="s">
        <v>67</v>
      </c>
      <c r="G110" s="210">
        <v>15.608700000000001</v>
      </c>
      <c r="H110" s="211">
        <f>ROUND(G110*E110,2)</f>
        <v>2.81</v>
      </c>
    </row>
    <row r="111" spans="1:8" s="124" customFormat="1" ht="30">
      <c r="A111" s="721">
        <v>88316</v>
      </c>
      <c r="B111" s="721"/>
      <c r="C111" s="200" t="s">
        <v>5256</v>
      </c>
      <c r="D111" s="139" t="s">
        <v>66</v>
      </c>
      <c r="E111" s="209">
        <v>0.36</v>
      </c>
      <c r="F111" s="577" t="s">
        <v>67</v>
      </c>
      <c r="G111" s="210">
        <v>11.631600000000001</v>
      </c>
      <c r="H111" s="211">
        <f>ROUND(G111*E111,2)</f>
        <v>4.1900000000000004</v>
      </c>
    </row>
    <row r="112" spans="1:8" s="124" customFormat="1" ht="60">
      <c r="A112" s="721">
        <v>94963</v>
      </c>
      <c r="B112" s="721"/>
      <c r="C112" s="200" t="s">
        <v>5256</v>
      </c>
      <c r="D112" s="139" t="s">
        <v>2019</v>
      </c>
      <c r="E112" s="209">
        <v>1.0999999999999999E-2</v>
      </c>
      <c r="F112" s="577" t="s">
        <v>1261</v>
      </c>
      <c r="G112" s="210">
        <v>232.35660000000001</v>
      </c>
      <c r="H112" s="211">
        <f>ROUND(G112*E112,2)</f>
        <v>2.56</v>
      </c>
    </row>
    <row r="113" spans="1:8" s="124" customFormat="1" ht="45">
      <c r="A113" s="721">
        <v>88628</v>
      </c>
      <c r="B113" s="721"/>
      <c r="C113" s="200" t="s">
        <v>5256</v>
      </c>
      <c r="D113" s="139" t="s">
        <v>4993</v>
      </c>
      <c r="E113" s="209">
        <v>1E-3</v>
      </c>
      <c r="F113" s="577" t="s">
        <v>1261</v>
      </c>
      <c r="G113" s="210">
        <v>270.97740000000005</v>
      </c>
      <c r="H113" s="211">
        <f>ROUND(G113*E113,2)</f>
        <v>0.27</v>
      </c>
    </row>
    <row r="114" spans="1:8" s="201" customFormat="1">
      <c r="A114" s="582"/>
      <c r="B114" s="582"/>
      <c r="C114" s="212"/>
      <c r="D114" s="719" t="s">
        <v>127</v>
      </c>
      <c r="E114" s="719"/>
      <c r="F114" s="719"/>
      <c r="G114" s="719"/>
      <c r="H114" s="638">
        <f>SUMIF(F110:F113,("h"),H110:H113)</f>
        <v>7</v>
      </c>
    </row>
    <row r="115" spans="1:8" s="201" customFormat="1">
      <c r="A115" s="582"/>
      <c r="B115" s="582"/>
      <c r="C115" s="212"/>
      <c r="D115" s="719" t="s">
        <v>128</v>
      </c>
      <c r="E115" s="719"/>
      <c r="F115" s="719"/>
      <c r="G115" s="719"/>
      <c r="H115" s="638">
        <f>SUMIF(F110:F113,"&lt;&gt;h",H110:H113)</f>
        <v>2.83</v>
      </c>
    </row>
    <row r="116" spans="1:8" s="201" customFormat="1">
      <c r="A116" s="582"/>
      <c r="B116" s="582"/>
      <c r="C116" s="212"/>
      <c r="D116" s="718" t="s">
        <v>129</v>
      </c>
      <c r="E116" s="718"/>
      <c r="F116" s="718"/>
      <c r="G116" s="718"/>
      <c r="H116" s="213">
        <f>SUM(H114:H115)</f>
        <v>9.83</v>
      </c>
    </row>
    <row r="117" spans="1:8" s="201" customFormat="1">
      <c r="A117" s="582"/>
      <c r="B117" s="582"/>
      <c r="C117" s="212"/>
      <c r="D117" s="719" t="s">
        <v>28</v>
      </c>
      <c r="E117" s="719"/>
      <c r="F117" s="719"/>
      <c r="G117" s="719"/>
      <c r="H117" s="639">
        <f>E109</f>
        <v>272.10000000000002</v>
      </c>
    </row>
    <row r="118" spans="1:8" s="201" customFormat="1">
      <c r="A118" s="582"/>
      <c r="B118" s="582"/>
      <c r="C118" s="212"/>
      <c r="D118" s="718" t="s">
        <v>130</v>
      </c>
      <c r="E118" s="718"/>
      <c r="F118" s="718"/>
      <c r="G118" s="718"/>
      <c r="H118" s="213">
        <f>ROUND(H116*H117,2)</f>
        <v>2674.74</v>
      </c>
    </row>
    <row r="119" spans="1:8" s="201" customFormat="1">
      <c r="A119" s="582"/>
      <c r="B119" s="582"/>
      <c r="C119" s="212"/>
      <c r="D119" s="719" t="s">
        <v>15559</v>
      </c>
      <c r="E119" s="719"/>
      <c r="F119" s="719"/>
      <c r="G119" s="719"/>
      <c r="H119" s="638">
        <f>ROUND(H116*$B$13,2)</f>
        <v>2.65</v>
      </c>
    </row>
    <row r="120" spans="1:8">
      <c r="A120" s="582"/>
      <c r="B120" s="582"/>
      <c r="C120" s="212"/>
      <c r="D120" s="718" t="s">
        <v>9661</v>
      </c>
      <c r="E120" s="718"/>
      <c r="F120" s="718"/>
      <c r="G120" s="718"/>
      <c r="H120" s="213">
        <f>H119+H116</f>
        <v>12.48</v>
      </c>
    </row>
    <row r="122" spans="1:8" s="162" customFormat="1">
      <c r="A122" s="158" t="str">
        <f>'Orç - Prédio'!A39</f>
        <v>03.00.000</v>
      </c>
      <c r="B122" s="158"/>
      <c r="C122" s="159"/>
      <c r="D122" s="133" t="s">
        <v>5793</v>
      </c>
      <c r="E122" s="171"/>
      <c r="F122" s="158"/>
      <c r="G122" s="160"/>
      <c r="H122" s="161"/>
    </row>
    <row r="123" spans="1:8" s="201" customFormat="1">
      <c r="A123" s="577"/>
      <c r="B123" s="577"/>
      <c r="C123" s="200"/>
      <c r="D123" s="125"/>
      <c r="E123" s="165"/>
      <c r="F123" s="577"/>
      <c r="G123" s="136"/>
      <c r="H123" s="211"/>
    </row>
    <row r="124" spans="1:8" s="201" customFormat="1">
      <c r="A124" s="123" t="s">
        <v>6</v>
      </c>
      <c r="B124" s="720" t="s">
        <v>7</v>
      </c>
      <c r="C124" s="720"/>
      <c r="D124" s="202" t="s">
        <v>124</v>
      </c>
      <c r="E124" s="167" t="s">
        <v>6334</v>
      </c>
      <c r="F124" s="202" t="s">
        <v>31</v>
      </c>
      <c r="G124" s="203" t="s">
        <v>125</v>
      </c>
      <c r="H124" s="204" t="s">
        <v>126</v>
      </c>
    </row>
    <row r="125" spans="1:8" s="208" customFormat="1" ht="60">
      <c r="A125" s="581" t="str">
        <f>'Orç - Reservatório'!A45</f>
        <v>03.01.425.02</v>
      </c>
      <c r="B125" s="581" t="str">
        <f>'Orç - Reservatório'!B45</f>
        <v>SINAPI</v>
      </c>
      <c r="C125" s="581" t="str">
        <f>'Orç - Reservatório'!C45</f>
        <v>90810 MOD 2</v>
      </c>
      <c r="D125" s="205" t="s">
        <v>9283</v>
      </c>
      <c r="E125" s="206">
        <v>90</v>
      </c>
      <c r="F125" s="581" t="s">
        <v>6774</v>
      </c>
      <c r="G125" s="207">
        <f>VLOOKUP("CUSTO TOTAL UNIT.:",D126:$H$30004,5,FALSE)</f>
        <v>85.940000000000012</v>
      </c>
      <c r="H125" s="637">
        <f>VLOOKUP("CUSTO TOTAL:",D126:$H$30004,5,FALSE)</f>
        <v>7734.6</v>
      </c>
    </row>
    <row r="126" spans="1:8" s="124" customFormat="1" ht="60">
      <c r="A126" s="721">
        <v>38464</v>
      </c>
      <c r="B126" s="721"/>
      <c r="C126" s="200" t="s">
        <v>5256</v>
      </c>
      <c r="D126" s="139" t="s">
        <v>10994</v>
      </c>
      <c r="E126" s="209">
        <v>0.22722500000000001</v>
      </c>
      <c r="F126" s="577" t="s">
        <v>45</v>
      </c>
      <c r="G126" s="210">
        <v>289.17</v>
      </c>
      <c r="H126" s="211">
        <f t="shared" ref="H126:H132" si="2">ROUND(G126*E126,2)</f>
        <v>65.709999999999994</v>
      </c>
    </row>
    <row r="127" spans="1:8" s="124" customFormat="1" ht="75">
      <c r="A127" s="721" t="s">
        <v>4071</v>
      </c>
      <c r="B127" s="721"/>
      <c r="C127" s="200" t="s">
        <v>5256</v>
      </c>
      <c r="D127" s="139" t="s">
        <v>4072</v>
      </c>
      <c r="E127" s="209">
        <v>0.20604999999999996</v>
      </c>
      <c r="F127" s="577" t="s">
        <v>1261</v>
      </c>
      <c r="G127" s="210">
        <v>1.3365</v>
      </c>
      <c r="H127" s="211">
        <f t="shared" si="2"/>
        <v>0.28000000000000003</v>
      </c>
    </row>
    <row r="128" spans="1:8" s="124" customFormat="1" ht="30">
      <c r="A128" s="721">
        <v>88316</v>
      </c>
      <c r="B128" s="721"/>
      <c r="C128" s="200" t="s">
        <v>5256</v>
      </c>
      <c r="D128" s="139" t="s">
        <v>66</v>
      </c>
      <c r="E128" s="209">
        <v>0.172875</v>
      </c>
      <c r="F128" s="577" t="s">
        <v>67</v>
      </c>
      <c r="G128" s="210">
        <v>11.631600000000001</v>
      </c>
      <c r="H128" s="211">
        <f t="shared" si="2"/>
        <v>2.0099999999999998</v>
      </c>
    </row>
    <row r="129" spans="1:8" s="124" customFormat="1" ht="105">
      <c r="A129" s="721">
        <v>90674</v>
      </c>
      <c r="B129" s="721"/>
      <c r="C129" s="200" t="s">
        <v>5256</v>
      </c>
      <c r="D129" s="139" t="s">
        <v>413</v>
      </c>
      <c r="E129" s="209">
        <v>2.845E-2</v>
      </c>
      <c r="F129" s="577" t="s">
        <v>100</v>
      </c>
      <c r="G129" s="210">
        <v>336.20670000000001</v>
      </c>
      <c r="H129" s="211">
        <f t="shared" si="2"/>
        <v>9.57</v>
      </c>
    </row>
    <row r="130" spans="1:8" s="124" customFormat="1" ht="105">
      <c r="A130" s="721">
        <v>90675</v>
      </c>
      <c r="B130" s="721"/>
      <c r="C130" s="200" t="s">
        <v>5256</v>
      </c>
      <c r="D130" s="139" t="s">
        <v>552</v>
      </c>
      <c r="E130" s="209">
        <v>2.9199999999999997E-2</v>
      </c>
      <c r="F130" s="577" t="s">
        <v>101</v>
      </c>
      <c r="G130" s="210">
        <v>121.06260000000002</v>
      </c>
      <c r="H130" s="211">
        <f t="shared" si="2"/>
        <v>3.54</v>
      </c>
    </row>
    <row r="131" spans="1:8" s="124" customFormat="1" ht="60">
      <c r="A131" s="721">
        <v>95967</v>
      </c>
      <c r="B131" s="721"/>
      <c r="C131" s="200" t="s">
        <v>5256</v>
      </c>
      <c r="D131" s="139" t="s">
        <v>5039</v>
      </c>
      <c r="E131" s="209">
        <v>5.765E-2</v>
      </c>
      <c r="F131" s="577" t="s">
        <v>67</v>
      </c>
      <c r="G131" s="210">
        <v>82.409400000000005</v>
      </c>
      <c r="H131" s="211">
        <f t="shared" si="2"/>
        <v>4.75</v>
      </c>
    </row>
    <row r="132" spans="1:8" s="124" customFormat="1" ht="45">
      <c r="A132" s="721">
        <v>97913</v>
      </c>
      <c r="B132" s="721"/>
      <c r="C132" s="200" t="s">
        <v>5256</v>
      </c>
      <c r="D132" s="139" t="s">
        <v>6129</v>
      </c>
      <c r="E132" s="209">
        <v>6.1824999999999991E-2</v>
      </c>
      <c r="F132" s="577" t="s">
        <v>4060</v>
      </c>
      <c r="G132" s="210">
        <v>1.3527</v>
      </c>
      <c r="H132" s="211">
        <f t="shared" si="2"/>
        <v>0.08</v>
      </c>
    </row>
    <row r="133" spans="1:8" s="201" customFormat="1">
      <c r="A133" s="582"/>
      <c r="B133" s="582"/>
      <c r="C133" s="212"/>
      <c r="D133" s="719" t="s">
        <v>127</v>
      </c>
      <c r="E133" s="719"/>
      <c r="F133" s="719"/>
      <c r="G133" s="719"/>
      <c r="H133" s="638">
        <f>SUMIF(F126:F132,("h"),H126:H132)</f>
        <v>6.76</v>
      </c>
    </row>
    <row r="134" spans="1:8" s="201" customFormat="1">
      <c r="A134" s="582"/>
      <c r="B134" s="582"/>
      <c r="C134" s="212"/>
      <c r="D134" s="719" t="s">
        <v>128</v>
      </c>
      <c r="E134" s="719"/>
      <c r="F134" s="719"/>
      <c r="G134" s="719"/>
      <c r="H134" s="638">
        <f>SUMIF(F126:F132,"&lt;&gt;h",H126:H132)</f>
        <v>79.180000000000007</v>
      </c>
    </row>
    <row r="135" spans="1:8" s="201" customFormat="1">
      <c r="A135" s="582"/>
      <c r="B135" s="582"/>
      <c r="C135" s="212"/>
      <c r="D135" s="718" t="s">
        <v>129</v>
      </c>
      <c r="E135" s="718"/>
      <c r="F135" s="718"/>
      <c r="G135" s="718"/>
      <c r="H135" s="213">
        <f>SUM(H133:H134)</f>
        <v>85.940000000000012</v>
      </c>
    </row>
    <row r="136" spans="1:8" s="201" customFormat="1">
      <c r="A136" s="582"/>
      <c r="B136" s="582"/>
      <c r="C136" s="212"/>
      <c r="D136" s="719" t="s">
        <v>28</v>
      </c>
      <c r="E136" s="719"/>
      <c r="F136" s="719"/>
      <c r="G136" s="719"/>
      <c r="H136" s="639">
        <f>E125</f>
        <v>90</v>
      </c>
    </row>
    <row r="137" spans="1:8" s="201" customFormat="1">
      <c r="A137" s="582"/>
      <c r="B137" s="582"/>
      <c r="C137" s="212"/>
      <c r="D137" s="718" t="s">
        <v>130</v>
      </c>
      <c r="E137" s="718"/>
      <c r="F137" s="718"/>
      <c r="G137" s="718"/>
      <c r="H137" s="213">
        <f>ROUND(H135*H136,2)</f>
        <v>7734.6</v>
      </c>
    </row>
    <row r="138" spans="1:8" s="201" customFormat="1">
      <c r="A138" s="582"/>
      <c r="B138" s="582"/>
      <c r="C138" s="212"/>
      <c r="D138" s="719" t="s">
        <v>15559</v>
      </c>
      <c r="E138" s="719"/>
      <c r="F138" s="719"/>
      <c r="G138" s="719"/>
      <c r="H138" s="638">
        <f>ROUND(H135*$B$13,2)</f>
        <v>23.14</v>
      </c>
    </row>
    <row r="139" spans="1:8">
      <c r="A139" s="582"/>
      <c r="B139" s="582"/>
      <c r="C139" s="212"/>
      <c r="D139" s="718" t="s">
        <v>9661</v>
      </c>
      <c r="E139" s="718"/>
      <c r="F139" s="718"/>
      <c r="G139" s="718"/>
      <c r="H139" s="213">
        <f>H138+H135</f>
        <v>109.08000000000001</v>
      </c>
    </row>
    <row r="141" spans="1:8" s="201" customFormat="1">
      <c r="A141" s="123" t="s">
        <v>6</v>
      </c>
      <c r="B141" s="720" t="s">
        <v>7</v>
      </c>
      <c r="C141" s="720"/>
      <c r="D141" s="202" t="s">
        <v>124</v>
      </c>
      <c r="E141" s="167" t="s">
        <v>6334</v>
      </c>
      <c r="F141" s="202" t="s">
        <v>31</v>
      </c>
      <c r="G141" s="203" t="s">
        <v>125</v>
      </c>
      <c r="H141" s="204" t="s">
        <v>126</v>
      </c>
    </row>
    <row r="142" spans="1:8" s="208" customFormat="1" ht="60">
      <c r="A142" s="581" t="str">
        <f>'Orç - Prédio'!A56</f>
        <v>03.01.504</v>
      </c>
      <c r="B142" s="581" t="str">
        <f>'Orç - Prédio'!B56</f>
        <v>SINAPI</v>
      </c>
      <c r="C142" s="581" t="str">
        <f>'Orç - Prédio'!C56</f>
        <v>96557 MOD</v>
      </c>
      <c r="D142" s="205" t="s">
        <v>8660</v>
      </c>
      <c r="E142" s="206">
        <v>60</v>
      </c>
      <c r="F142" s="581" t="s">
        <v>6741</v>
      </c>
      <c r="G142" s="207">
        <f>VLOOKUP("CUSTO TOTAL UNIT.:",D143:$H$30004,5,FALSE)</f>
        <v>272.92999999999995</v>
      </c>
      <c r="H142" s="637">
        <f>VLOOKUP("CUSTO TOTAL:",D143:$H$30004,5,FALSE)</f>
        <v>16375.8</v>
      </c>
    </row>
    <row r="143" spans="1:8" s="124" customFormat="1" ht="60">
      <c r="A143" s="721">
        <v>1524</v>
      </c>
      <c r="B143" s="721"/>
      <c r="C143" s="200" t="s">
        <v>5256</v>
      </c>
      <c r="D143" s="139" t="s">
        <v>10991</v>
      </c>
      <c r="E143" s="209">
        <v>1.1499999999999999</v>
      </c>
      <c r="F143" s="577" t="s">
        <v>45</v>
      </c>
      <c r="G143" s="210">
        <v>226.8</v>
      </c>
      <c r="H143" s="211">
        <f>ROUND(G143*E143,2)</f>
        <v>260.82</v>
      </c>
    </row>
    <row r="144" spans="1:8" s="124" customFormat="1" ht="30">
      <c r="A144" s="721">
        <v>88309</v>
      </c>
      <c r="B144" s="721"/>
      <c r="C144" s="200" t="s">
        <v>5256</v>
      </c>
      <c r="D144" s="139" t="s">
        <v>90</v>
      </c>
      <c r="E144" s="209">
        <v>0.36299999999999999</v>
      </c>
      <c r="F144" s="577" t="s">
        <v>67</v>
      </c>
      <c r="G144" s="210">
        <v>15.608700000000001</v>
      </c>
      <c r="H144" s="211">
        <f>ROUND(G144*E144,2)</f>
        <v>5.67</v>
      </c>
    </row>
    <row r="145" spans="1:8" s="124" customFormat="1" ht="30">
      <c r="A145" s="721">
        <v>88316</v>
      </c>
      <c r="B145" s="721"/>
      <c r="C145" s="200" t="s">
        <v>5256</v>
      </c>
      <c r="D145" s="139" t="s">
        <v>66</v>
      </c>
      <c r="E145" s="209">
        <v>0.54400000000000004</v>
      </c>
      <c r="F145" s="577" t="s">
        <v>67</v>
      </c>
      <c r="G145" s="210">
        <v>11.631600000000001</v>
      </c>
      <c r="H145" s="211">
        <f>ROUND(G145*E145,2)</f>
        <v>6.33</v>
      </c>
    </row>
    <row r="146" spans="1:8" s="124" customFormat="1" ht="60">
      <c r="A146" s="721">
        <v>90586</v>
      </c>
      <c r="B146" s="721"/>
      <c r="C146" s="200" t="s">
        <v>5256</v>
      </c>
      <c r="D146" s="139" t="s">
        <v>404</v>
      </c>
      <c r="E146" s="209">
        <v>8.7999999999999995E-2</v>
      </c>
      <c r="F146" s="577" t="s">
        <v>100</v>
      </c>
      <c r="G146" s="210">
        <v>1.0530000000000002</v>
      </c>
      <c r="H146" s="211">
        <f>ROUND(G146*E146,2)</f>
        <v>0.09</v>
      </c>
    </row>
    <row r="147" spans="1:8" s="124" customFormat="1" ht="60">
      <c r="A147" s="721">
        <v>90587</v>
      </c>
      <c r="B147" s="721"/>
      <c r="C147" s="200" t="s">
        <v>5256</v>
      </c>
      <c r="D147" s="139" t="s">
        <v>543</v>
      </c>
      <c r="E147" s="209">
        <v>9.2999999999999999E-2</v>
      </c>
      <c r="F147" s="577" t="s">
        <v>101</v>
      </c>
      <c r="G147" s="210">
        <v>0.2349</v>
      </c>
      <c r="H147" s="211">
        <f>ROUND(G147*E147,2)</f>
        <v>0.02</v>
      </c>
    </row>
    <row r="148" spans="1:8" s="201" customFormat="1">
      <c r="A148" s="582"/>
      <c r="B148" s="582"/>
      <c r="C148" s="212"/>
      <c r="D148" s="719" t="s">
        <v>127</v>
      </c>
      <c r="E148" s="719"/>
      <c r="F148" s="719"/>
      <c r="G148" s="719"/>
      <c r="H148" s="638">
        <f>SUMIF(F143:F147,("h"),H143:H147)</f>
        <v>12</v>
      </c>
    </row>
    <row r="149" spans="1:8" s="201" customFormat="1">
      <c r="A149" s="582"/>
      <c r="B149" s="582"/>
      <c r="C149" s="212"/>
      <c r="D149" s="719" t="s">
        <v>128</v>
      </c>
      <c r="E149" s="719"/>
      <c r="F149" s="719"/>
      <c r="G149" s="719"/>
      <c r="H149" s="638">
        <f>SUMIF(F143:F147,"&lt;&gt;h",H143:H147)</f>
        <v>260.92999999999995</v>
      </c>
    </row>
    <row r="150" spans="1:8" s="201" customFormat="1">
      <c r="A150" s="582"/>
      <c r="B150" s="582"/>
      <c r="C150" s="212"/>
      <c r="D150" s="718" t="s">
        <v>129</v>
      </c>
      <c r="E150" s="718"/>
      <c r="F150" s="718"/>
      <c r="G150" s="718"/>
      <c r="H150" s="213">
        <f>SUM(H148:H149)</f>
        <v>272.92999999999995</v>
      </c>
    </row>
    <row r="151" spans="1:8" s="201" customFormat="1">
      <c r="A151" s="582"/>
      <c r="B151" s="582"/>
      <c r="C151" s="212"/>
      <c r="D151" s="719" t="s">
        <v>28</v>
      </c>
      <c r="E151" s="719"/>
      <c r="F151" s="719"/>
      <c r="G151" s="719"/>
      <c r="H151" s="639">
        <f>E142</f>
        <v>60</v>
      </c>
    </row>
    <row r="152" spans="1:8" s="201" customFormat="1">
      <c r="A152" s="582"/>
      <c r="B152" s="582"/>
      <c r="C152" s="212"/>
      <c r="D152" s="718" t="s">
        <v>130</v>
      </c>
      <c r="E152" s="718"/>
      <c r="F152" s="718"/>
      <c r="G152" s="718"/>
      <c r="H152" s="213">
        <f>ROUND(H150*H151,2)</f>
        <v>16375.8</v>
      </c>
    </row>
    <row r="153" spans="1:8" s="201" customFormat="1">
      <c r="A153" s="582"/>
      <c r="B153" s="582"/>
      <c r="C153" s="212"/>
      <c r="D153" s="719" t="s">
        <v>15559</v>
      </c>
      <c r="E153" s="719"/>
      <c r="F153" s="719"/>
      <c r="G153" s="719"/>
      <c r="H153" s="638">
        <f>ROUND(H150*$B$13,2)</f>
        <v>73.5</v>
      </c>
    </row>
    <row r="154" spans="1:8">
      <c r="A154" s="582"/>
      <c r="B154" s="582"/>
      <c r="C154" s="212"/>
      <c r="D154" s="718" t="s">
        <v>9661</v>
      </c>
      <c r="E154" s="718"/>
      <c r="F154" s="718"/>
      <c r="G154" s="718"/>
      <c r="H154" s="213">
        <f>H153+H150</f>
        <v>346.42999999999995</v>
      </c>
    </row>
    <row r="156" spans="1:8" s="201" customFormat="1">
      <c r="A156" s="123" t="s">
        <v>6</v>
      </c>
      <c r="B156" s="720" t="s">
        <v>7</v>
      </c>
      <c r="C156" s="720"/>
      <c r="D156" s="202" t="s">
        <v>124</v>
      </c>
      <c r="E156" s="167" t="s">
        <v>6334</v>
      </c>
      <c r="F156" s="202" t="s">
        <v>31</v>
      </c>
      <c r="G156" s="203" t="s">
        <v>125</v>
      </c>
      <c r="H156" s="204" t="s">
        <v>126</v>
      </c>
    </row>
    <row r="157" spans="1:8" s="208" customFormat="1" ht="30">
      <c r="A157" s="581" t="str">
        <f>'Orç - Prédio'!A59</f>
        <v>03.01.552.01</v>
      </c>
      <c r="B157" s="581" t="str">
        <f>'Orç - Prédio'!B59</f>
        <v>SINAPI</v>
      </c>
      <c r="C157" s="581" t="str">
        <f>'Orç - Prédio'!C59</f>
        <v>96543 MOD</v>
      </c>
      <c r="D157" s="205" t="s">
        <v>9578</v>
      </c>
      <c r="E157" s="206">
        <v>54.690909090909081</v>
      </c>
      <c r="F157" s="581" t="s">
        <v>6744</v>
      </c>
      <c r="G157" s="207">
        <f>VLOOKUP("CUSTO TOTAL UNIT.:",D158:$H$30004,5,FALSE)</f>
        <v>9.9499999999999993</v>
      </c>
      <c r="H157" s="637">
        <f>VLOOKUP("CUSTO TOTAL:",D158:$H$30004,5,FALSE)</f>
        <v>544.16999999999996</v>
      </c>
    </row>
    <row r="158" spans="1:8" s="124" customFormat="1" ht="30">
      <c r="A158" s="721">
        <v>337</v>
      </c>
      <c r="B158" s="721"/>
      <c r="C158" s="200" t="s">
        <v>5256</v>
      </c>
      <c r="D158" s="139" t="s">
        <v>10014</v>
      </c>
      <c r="E158" s="209">
        <v>2.5000000000000001E-2</v>
      </c>
      <c r="F158" s="577" t="s">
        <v>49</v>
      </c>
      <c r="G158" s="210">
        <v>9.3960000000000008</v>
      </c>
      <c r="H158" s="211">
        <f>ROUND(G158*E158,2)</f>
        <v>0.23</v>
      </c>
    </row>
    <row r="159" spans="1:8" s="124" customFormat="1" ht="60">
      <c r="A159" s="721">
        <v>39017</v>
      </c>
      <c r="B159" s="721"/>
      <c r="C159" s="200" t="s">
        <v>5256</v>
      </c>
      <c r="D159" s="139" t="s">
        <v>11795</v>
      </c>
      <c r="E159" s="209">
        <v>1.9664999999999999</v>
      </c>
      <c r="F159" s="577" t="s">
        <v>40</v>
      </c>
      <c r="G159" s="210">
        <v>0.1215</v>
      </c>
      <c r="H159" s="211">
        <f>ROUND(G159*E159,2)</f>
        <v>0.24</v>
      </c>
    </row>
    <row r="160" spans="1:8" s="124" customFormat="1" ht="30">
      <c r="A160" s="721">
        <v>88238</v>
      </c>
      <c r="B160" s="721"/>
      <c r="C160" s="200" t="s">
        <v>5256</v>
      </c>
      <c r="D160" s="139" t="s">
        <v>5085</v>
      </c>
      <c r="E160" s="209">
        <v>6.3500000000000001E-2</v>
      </c>
      <c r="F160" s="577" t="s">
        <v>67</v>
      </c>
      <c r="G160" s="210">
        <v>12.174300000000001</v>
      </c>
      <c r="H160" s="211">
        <f>ROUND(G160*E160,2)</f>
        <v>0.77</v>
      </c>
    </row>
    <row r="161" spans="1:8" s="124" customFormat="1" ht="30">
      <c r="A161" s="721">
        <v>88245</v>
      </c>
      <c r="B161" s="721"/>
      <c r="C161" s="200" t="s">
        <v>5256</v>
      </c>
      <c r="D161" s="139" t="s">
        <v>70</v>
      </c>
      <c r="E161" s="209">
        <v>0.19450000000000001</v>
      </c>
      <c r="F161" s="577" t="s">
        <v>67</v>
      </c>
      <c r="G161" s="210">
        <v>15.519600000000001</v>
      </c>
      <c r="H161" s="211">
        <f>ROUND(G161*E161,2)</f>
        <v>3.02</v>
      </c>
    </row>
    <row r="162" spans="1:8" s="124" customFormat="1" ht="30">
      <c r="A162" s="721">
        <v>92799</v>
      </c>
      <c r="B162" s="721"/>
      <c r="C162" s="200" t="s">
        <v>5256</v>
      </c>
      <c r="D162" s="139" t="s">
        <v>1923</v>
      </c>
      <c r="E162" s="209">
        <v>1</v>
      </c>
      <c r="F162" s="577" t="s">
        <v>315</v>
      </c>
      <c r="G162" s="210">
        <v>5.6943000000000001</v>
      </c>
      <c r="H162" s="211">
        <f>ROUND(G162*E162,2)</f>
        <v>5.69</v>
      </c>
    </row>
    <row r="163" spans="1:8" s="201" customFormat="1">
      <c r="A163" s="582"/>
      <c r="B163" s="582"/>
      <c r="C163" s="212"/>
      <c r="D163" s="719" t="s">
        <v>127</v>
      </c>
      <c r="E163" s="719"/>
      <c r="F163" s="719"/>
      <c r="G163" s="719"/>
      <c r="H163" s="638">
        <f>SUMIF(F158:F162,("h"),H158:H162)</f>
        <v>3.79</v>
      </c>
    </row>
    <row r="164" spans="1:8" s="201" customFormat="1">
      <c r="A164" s="582"/>
      <c r="B164" s="582"/>
      <c r="C164" s="212"/>
      <c r="D164" s="719" t="s">
        <v>128</v>
      </c>
      <c r="E164" s="719"/>
      <c r="F164" s="719"/>
      <c r="G164" s="719"/>
      <c r="H164" s="638">
        <f>SUMIF(F158:F162,"&lt;&gt;h",H158:H162)</f>
        <v>6.16</v>
      </c>
    </row>
    <row r="165" spans="1:8" s="201" customFormat="1">
      <c r="A165" s="582"/>
      <c r="B165" s="582"/>
      <c r="C165" s="212"/>
      <c r="D165" s="718" t="s">
        <v>129</v>
      </c>
      <c r="E165" s="718"/>
      <c r="F165" s="718"/>
      <c r="G165" s="718"/>
      <c r="H165" s="213">
        <f>SUM(H163:H164)</f>
        <v>9.9499999999999993</v>
      </c>
    </row>
    <row r="166" spans="1:8" s="201" customFormat="1">
      <c r="A166" s="582"/>
      <c r="B166" s="582"/>
      <c r="C166" s="212"/>
      <c r="D166" s="719" t="s">
        <v>28</v>
      </c>
      <c r="E166" s="719"/>
      <c r="F166" s="719"/>
      <c r="G166" s="719"/>
      <c r="H166" s="639">
        <f>E157</f>
        <v>54.690909090909081</v>
      </c>
    </row>
    <row r="167" spans="1:8" s="201" customFormat="1">
      <c r="A167" s="582"/>
      <c r="B167" s="582"/>
      <c r="C167" s="212"/>
      <c r="D167" s="718" t="s">
        <v>130</v>
      </c>
      <c r="E167" s="718"/>
      <c r="F167" s="718"/>
      <c r="G167" s="718"/>
      <c r="H167" s="213">
        <f>ROUND(H165*H166,2)</f>
        <v>544.16999999999996</v>
      </c>
    </row>
    <row r="168" spans="1:8" s="201" customFormat="1">
      <c r="A168" s="582"/>
      <c r="B168" s="582"/>
      <c r="C168" s="212"/>
      <c r="D168" s="719" t="s">
        <v>15559</v>
      </c>
      <c r="E168" s="719"/>
      <c r="F168" s="719"/>
      <c r="G168" s="719"/>
      <c r="H168" s="638">
        <f>ROUND(H165*$B$13,2)</f>
        <v>2.68</v>
      </c>
    </row>
    <row r="169" spans="1:8">
      <c r="A169" s="582"/>
      <c r="B169" s="582"/>
      <c r="C169" s="212"/>
      <c r="D169" s="718" t="s">
        <v>9661</v>
      </c>
      <c r="E169" s="718"/>
      <c r="F169" s="718"/>
      <c r="G169" s="718"/>
      <c r="H169" s="213">
        <f>H168+H165</f>
        <v>12.629999999999999</v>
      </c>
    </row>
    <row r="171" spans="1:8" s="201" customFormat="1">
      <c r="A171" s="123" t="s">
        <v>6</v>
      </c>
      <c r="B171" s="720" t="s">
        <v>7</v>
      </c>
      <c r="C171" s="720"/>
      <c r="D171" s="202" t="s">
        <v>124</v>
      </c>
      <c r="E171" s="167" t="s">
        <v>6334</v>
      </c>
      <c r="F171" s="202" t="s">
        <v>31</v>
      </c>
      <c r="G171" s="203" t="s">
        <v>125</v>
      </c>
      <c r="H171" s="204" t="s">
        <v>126</v>
      </c>
    </row>
    <row r="172" spans="1:8" s="208" customFormat="1" ht="60">
      <c r="A172" s="581" t="s">
        <v>8928</v>
      </c>
      <c r="B172" s="581" t="str">
        <f>'Orç - Reservatório'!B60</f>
        <v>SINAPI</v>
      </c>
      <c r="C172" s="581" t="str">
        <f>'Orç - Reservatório'!C60</f>
        <v>92719 MOD</v>
      </c>
      <c r="D172" s="205" t="s">
        <v>8768</v>
      </c>
      <c r="E172" s="206">
        <v>0.63</v>
      </c>
      <c r="F172" s="581" t="s">
        <v>6741</v>
      </c>
      <c r="G172" s="207">
        <f>VLOOKUP("CUSTO TOTAL UNIT.:",D173:$H$30004,5,FALSE)</f>
        <v>292.97000000000003</v>
      </c>
      <c r="H172" s="637">
        <f>VLOOKUP("CUSTO TOTAL:",D173:$H$30004,5,FALSE)</f>
        <v>184.57</v>
      </c>
    </row>
    <row r="173" spans="1:8" s="124" customFormat="1" ht="60">
      <c r="A173" s="721">
        <v>1525</v>
      </c>
      <c r="B173" s="721"/>
      <c r="C173" s="200" t="s">
        <v>5256</v>
      </c>
      <c r="D173" s="139" t="s">
        <v>11000</v>
      </c>
      <c r="E173" s="209">
        <v>1.103</v>
      </c>
      <c r="F173" s="577" t="s">
        <v>45</v>
      </c>
      <c r="G173" s="210">
        <v>244.30410000000003</v>
      </c>
      <c r="H173" s="211">
        <f t="shared" ref="H173:H178" si="3">ROUND(G173*E173,2)</f>
        <v>269.47000000000003</v>
      </c>
    </row>
    <row r="174" spans="1:8" s="124" customFormat="1" ht="30">
      <c r="A174" s="721">
        <v>88262</v>
      </c>
      <c r="B174" s="721"/>
      <c r="C174" s="200" t="s">
        <v>5256</v>
      </c>
      <c r="D174" s="139" t="s">
        <v>83</v>
      </c>
      <c r="E174" s="209">
        <v>0.35299999999999998</v>
      </c>
      <c r="F174" s="577" t="s">
        <v>67</v>
      </c>
      <c r="G174" s="210">
        <v>15.487200000000001</v>
      </c>
      <c r="H174" s="211">
        <f t="shared" si="3"/>
        <v>5.47</v>
      </c>
    </row>
    <row r="175" spans="1:8" s="124" customFormat="1" ht="30">
      <c r="A175" s="721">
        <v>88309</v>
      </c>
      <c r="B175" s="721"/>
      <c r="C175" s="200" t="s">
        <v>5256</v>
      </c>
      <c r="D175" s="139" t="s">
        <v>90</v>
      </c>
      <c r="E175" s="209">
        <v>0.35299999999999998</v>
      </c>
      <c r="F175" s="577" t="s">
        <v>67</v>
      </c>
      <c r="G175" s="210">
        <v>15.608700000000001</v>
      </c>
      <c r="H175" s="211">
        <f t="shared" si="3"/>
        <v>5.51</v>
      </c>
    </row>
    <row r="176" spans="1:8" s="124" customFormat="1" ht="30">
      <c r="A176" s="721">
        <v>88316</v>
      </c>
      <c r="B176" s="721"/>
      <c r="C176" s="200" t="s">
        <v>5256</v>
      </c>
      <c r="D176" s="139" t="s">
        <v>66</v>
      </c>
      <c r="E176" s="209">
        <v>1.0589999999999999</v>
      </c>
      <c r="F176" s="577" t="s">
        <v>67</v>
      </c>
      <c r="G176" s="210">
        <v>11.631600000000001</v>
      </c>
      <c r="H176" s="211">
        <f t="shared" si="3"/>
        <v>12.32</v>
      </c>
    </row>
    <row r="177" spans="1:8" s="124" customFormat="1" ht="60">
      <c r="A177" s="721">
        <v>90586</v>
      </c>
      <c r="B177" s="721"/>
      <c r="C177" s="200" t="s">
        <v>5256</v>
      </c>
      <c r="D177" s="139" t="s">
        <v>404</v>
      </c>
      <c r="E177" s="209">
        <v>0.14299999999999999</v>
      </c>
      <c r="F177" s="577" t="s">
        <v>100</v>
      </c>
      <c r="G177" s="210">
        <v>1.0530000000000002</v>
      </c>
      <c r="H177" s="211">
        <f t="shared" si="3"/>
        <v>0.15</v>
      </c>
    </row>
    <row r="178" spans="1:8" s="124" customFormat="1" ht="60">
      <c r="A178" s="721">
        <v>90587</v>
      </c>
      <c r="B178" s="721"/>
      <c r="C178" s="200" t="s">
        <v>5256</v>
      </c>
      <c r="D178" s="139" t="s">
        <v>543</v>
      </c>
      <c r="E178" s="209">
        <v>0.21</v>
      </c>
      <c r="F178" s="577" t="s">
        <v>101</v>
      </c>
      <c r="G178" s="210">
        <v>0.2349</v>
      </c>
      <c r="H178" s="211">
        <f t="shared" si="3"/>
        <v>0.05</v>
      </c>
    </row>
    <row r="179" spans="1:8" s="201" customFormat="1">
      <c r="A179" s="582"/>
      <c r="B179" s="582"/>
      <c r="C179" s="212"/>
      <c r="D179" s="719" t="s">
        <v>127</v>
      </c>
      <c r="E179" s="719"/>
      <c r="F179" s="719"/>
      <c r="G179" s="719"/>
      <c r="H179" s="638">
        <f>SUMIF(F173:F178,("h"),H173:H178)</f>
        <v>23.3</v>
      </c>
    </row>
    <row r="180" spans="1:8" s="201" customFormat="1">
      <c r="A180" s="582"/>
      <c r="B180" s="582"/>
      <c r="C180" s="212"/>
      <c r="D180" s="719" t="s">
        <v>128</v>
      </c>
      <c r="E180" s="719"/>
      <c r="F180" s="719"/>
      <c r="G180" s="719"/>
      <c r="H180" s="638">
        <f>SUMIF(F173:F178,"&lt;&gt;h",H173:H178)</f>
        <v>269.67</v>
      </c>
    </row>
    <row r="181" spans="1:8" s="201" customFormat="1">
      <c r="A181" s="582"/>
      <c r="B181" s="582"/>
      <c r="C181" s="212"/>
      <c r="D181" s="718" t="s">
        <v>129</v>
      </c>
      <c r="E181" s="718"/>
      <c r="F181" s="718"/>
      <c r="G181" s="718"/>
      <c r="H181" s="213">
        <f>SUM(H179:H180)</f>
        <v>292.97000000000003</v>
      </c>
    </row>
    <row r="182" spans="1:8" s="201" customFormat="1">
      <c r="A182" s="582"/>
      <c r="B182" s="582"/>
      <c r="C182" s="212"/>
      <c r="D182" s="719" t="s">
        <v>28</v>
      </c>
      <c r="E182" s="719"/>
      <c r="F182" s="719"/>
      <c r="G182" s="719"/>
      <c r="H182" s="639">
        <f>E172</f>
        <v>0.63</v>
      </c>
    </row>
    <row r="183" spans="1:8" s="201" customFormat="1">
      <c r="A183" s="582"/>
      <c r="B183" s="582"/>
      <c r="C183" s="212"/>
      <c r="D183" s="718" t="s">
        <v>130</v>
      </c>
      <c r="E183" s="718"/>
      <c r="F183" s="718"/>
      <c r="G183" s="718"/>
      <c r="H183" s="213">
        <f>ROUND(H181*H182,2)</f>
        <v>184.57</v>
      </c>
    </row>
    <row r="184" spans="1:8" s="201" customFormat="1">
      <c r="A184" s="582"/>
      <c r="B184" s="582"/>
      <c r="C184" s="212"/>
      <c r="D184" s="719" t="s">
        <v>15559</v>
      </c>
      <c r="E184" s="719"/>
      <c r="F184" s="719"/>
      <c r="G184" s="719"/>
      <c r="H184" s="638">
        <f>ROUND(H181*$B$13,2)</f>
        <v>78.900000000000006</v>
      </c>
    </row>
    <row r="185" spans="1:8">
      <c r="A185" s="582"/>
      <c r="B185" s="582"/>
      <c r="C185" s="212"/>
      <c r="D185" s="718" t="s">
        <v>9661</v>
      </c>
      <c r="E185" s="718"/>
      <c r="F185" s="718"/>
      <c r="G185" s="718"/>
      <c r="H185" s="213">
        <f>H184+H181</f>
        <v>371.87</v>
      </c>
    </row>
    <row r="187" spans="1:8" s="201" customFormat="1">
      <c r="A187" s="123" t="s">
        <v>6</v>
      </c>
      <c r="B187" s="720" t="s">
        <v>7</v>
      </c>
      <c r="C187" s="720"/>
      <c r="D187" s="202" t="s">
        <v>124</v>
      </c>
      <c r="E187" s="167" t="s">
        <v>6334</v>
      </c>
      <c r="F187" s="202" t="s">
        <v>31</v>
      </c>
      <c r="G187" s="203" t="s">
        <v>125</v>
      </c>
      <c r="H187" s="204" t="s">
        <v>126</v>
      </c>
    </row>
    <row r="188" spans="1:8" s="208" customFormat="1" ht="60">
      <c r="A188" s="581" t="s">
        <v>8929</v>
      </c>
      <c r="B188" s="581" t="str">
        <f>'Orç - Reservatório'!B76</f>
        <v>SINAPI</v>
      </c>
      <c r="C188" s="581" t="str">
        <f>'Orç - Reservatório'!C76</f>
        <v>92725 MOD</v>
      </c>
      <c r="D188" s="205" t="s">
        <v>8784</v>
      </c>
      <c r="E188" s="206">
        <v>2.2400000000000002</v>
      </c>
      <c r="F188" s="581" t="s">
        <v>6741</v>
      </c>
      <c r="G188" s="207">
        <f>VLOOKUP("CUSTO TOTAL UNIT.:",D189:$H$30004,5,FALSE)</f>
        <v>287.26</v>
      </c>
      <c r="H188" s="637">
        <f>VLOOKUP("CUSTO TOTAL:",D189:$H$30004,5,FALSE)</f>
        <v>643.46</v>
      </c>
    </row>
    <row r="189" spans="1:8" s="124" customFormat="1" ht="60">
      <c r="A189" s="721">
        <v>1525</v>
      </c>
      <c r="B189" s="721"/>
      <c r="C189" s="200" t="s">
        <v>5256</v>
      </c>
      <c r="D189" s="139" t="s">
        <v>11000</v>
      </c>
      <c r="E189" s="209">
        <v>1.103</v>
      </c>
      <c r="F189" s="577" t="s">
        <v>45</v>
      </c>
      <c r="G189" s="210">
        <v>244.30410000000003</v>
      </c>
      <c r="H189" s="211">
        <f t="shared" ref="H189:H194" si="4">ROUND(G189*E189,2)</f>
        <v>269.47000000000003</v>
      </c>
    </row>
    <row r="190" spans="1:8" s="124" customFormat="1" ht="30">
      <c r="A190" s="721">
        <v>88262</v>
      </c>
      <c r="B190" s="721"/>
      <c r="C190" s="200" t="s">
        <v>5256</v>
      </c>
      <c r="D190" s="139" t="s">
        <v>83</v>
      </c>
      <c r="E190" s="209">
        <v>9.4E-2</v>
      </c>
      <c r="F190" s="577" t="s">
        <v>67</v>
      </c>
      <c r="G190" s="210">
        <v>15.487200000000001</v>
      </c>
      <c r="H190" s="211">
        <f t="shared" si="4"/>
        <v>1.46</v>
      </c>
    </row>
    <row r="191" spans="1:8" s="124" customFormat="1" ht="30">
      <c r="A191" s="721">
        <v>88309</v>
      </c>
      <c r="B191" s="721"/>
      <c r="C191" s="200" t="s">
        <v>5256</v>
      </c>
      <c r="D191" s="139" t="s">
        <v>90</v>
      </c>
      <c r="E191" s="209">
        <v>0.56499999999999995</v>
      </c>
      <c r="F191" s="577" t="s">
        <v>67</v>
      </c>
      <c r="G191" s="210">
        <v>15.608700000000001</v>
      </c>
      <c r="H191" s="211">
        <f t="shared" si="4"/>
        <v>8.82</v>
      </c>
    </row>
    <row r="192" spans="1:8" s="124" customFormat="1" ht="30">
      <c r="A192" s="721">
        <v>88316</v>
      </c>
      <c r="B192" s="721"/>
      <c r="C192" s="200" t="s">
        <v>5256</v>
      </c>
      <c r="D192" s="139" t="s">
        <v>66</v>
      </c>
      <c r="E192" s="209">
        <v>0.63800000000000001</v>
      </c>
      <c r="F192" s="577" t="s">
        <v>67</v>
      </c>
      <c r="G192" s="210">
        <v>11.631600000000001</v>
      </c>
      <c r="H192" s="211">
        <f t="shared" si="4"/>
        <v>7.42</v>
      </c>
    </row>
    <row r="193" spans="1:8" s="124" customFormat="1" ht="60">
      <c r="A193" s="721">
        <v>90586</v>
      </c>
      <c r="B193" s="721"/>
      <c r="C193" s="200" t="s">
        <v>5256</v>
      </c>
      <c r="D193" s="139" t="s">
        <v>404</v>
      </c>
      <c r="E193" s="209">
        <v>5.6000000000000001E-2</v>
      </c>
      <c r="F193" s="577" t="s">
        <v>100</v>
      </c>
      <c r="G193" s="210">
        <v>1.0530000000000002</v>
      </c>
      <c r="H193" s="211">
        <f t="shared" si="4"/>
        <v>0.06</v>
      </c>
    </row>
    <row r="194" spans="1:8" s="124" customFormat="1" ht="60">
      <c r="A194" s="721">
        <v>90587</v>
      </c>
      <c r="B194" s="721"/>
      <c r="C194" s="200" t="s">
        <v>5256</v>
      </c>
      <c r="D194" s="139" t="s">
        <v>543</v>
      </c>
      <c r="E194" s="209">
        <v>0.13300000000000001</v>
      </c>
      <c r="F194" s="577" t="s">
        <v>101</v>
      </c>
      <c r="G194" s="210">
        <v>0.2349</v>
      </c>
      <c r="H194" s="211">
        <f t="shared" si="4"/>
        <v>0.03</v>
      </c>
    </row>
    <row r="195" spans="1:8" s="201" customFormat="1">
      <c r="A195" s="582"/>
      <c r="B195" s="582"/>
      <c r="C195" s="212"/>
      <c r="D195" s="719" t="s">
        <v>127</v>
      </c>
      <c r="E195" s="719"/>
      <c r="F195" s="719"/>
      <c r="G195" s="719"/>
      <c r="H195" s="638">
        <f>SUMIF(F189:F194,("h"),H189:H194)</f>
        <v>17.700000000000003</v>
      </c>
    </row>
    <row r="196" spans="1:8" s="201" customFormat="1">
      <c r="A196" s="582"/>
      <c r="B196" s="582"/>
      <c r="C196" s="212"/>
      <c r="D196" s="719" t="s">
        <v>128</v>
      </c>
      <c r="E196" s="719"/>
      <c r="F196" s="719"/>
      <c r="G196" s="719"/>
      <c r="H196" s="638">
        <f>SUMIF(F189:F194,"&lt;&gt;h",H189:H194)</f>
        <v>269.56</v>
      </c>
    </row>
    <row r="197" spans="1:8" s="201" customFormat="1">
      <c r="A197" s="582"/>
      <c r="B197" s="582"/>
      <c r="C197" s="212"/>
      <c r="D197" s="718" t="s">
        <v>129</v>
      </c>
      <c r="E197" s="718"/>
      <c r="F197" s="718"/>
      <c r="G197" s="718"/>
      <c r="H197" s="213">
        <f>SUM(H195:H196)</f>
        <v>287.26</v>
      </c>
    </row>
    <row r="198" spans="1:8" s="201" customFormat="1">
      <c r="A198" s="582"/>
      <c r="B198" s="582"/>
      <c r="C198" s="212"/>
      <c r="D198" s="719" t="s">
        <v>28</v>
      </c>
      <c r="E198" s="719"/>
      <c r="F198" s="719"/>
      <c r="G198" s="719"/>
      <c r="H198" s="639">
        <f>E188</f>
        <v>2.2400000000000002</v>
      </c>
    </row>
    <row r="199" spans="1:8" s="201" customFormat="1">
      <c r="A199" s="582"/>
      <c r="B199" s="582"/>
      <c r="C199" s="212"/>
      <c r="D199" s="718" t="s">
        <v>130</v>
      </c>
      <c r="E199" s="718"/>
      <c r="F199" s="718"/>
      <c r="G199" s="718"/>
      <c r="H199" s="213">
        <f>ROUND(H197*H198,2)</f>
        <v>643.46</v>
      </c>
    </row>
    <row r="200" spans="1:8" s="201" customFormat="1">
      <c r="A200" s="582"/>
      <c r="B200" s="582"/>
      <c r="C200" s="212"/>
      <c r="D200" s="719" t="s">
        <v>15559</v>
      </c>
      <c r="E200" s="719"/>
      <c r="F200" s="719"/>
      <c r="G200" s="719"/>
      <c r="H200" s="638">
        <f>ROUND(H197*$B$13,2)</f>
        <v>77.36</v>
      </c>
    </row>
    <row r="201" spans="1:8">
      <c r="A201" s="582"/>
      <c r="B201" s="582"/>
      <c r="C201" s="212"/>
      <c r="D201" s="718" t="s">
        <v>9661</v>
      </c>
      <c r="E201" s="718"/>
      <c r="F201" s="718"/>
      <c r="G201" s="718"/>
      <c r="H201" s="213">
        <f>H200+H197</f>
        <v>364.62</v>
      </c>
    </row>
    <row r="203" spans="1:8" s="201" customFormat="1">
      <c r="A203" s="123" t="s">
        <v>6</v>
      </c>
      <c r="B203" s="720" t="s">
        <v>7</v>
      </c>
      <c r="C203" s="720"/>
      <c r="D203" s="202" t="s">
        <v>124</v>
      </c>
      <c r="E203" s="167" t="s">
        <v>6334</v>
      </c>
      <c r="F203" s="202" t="s">
        <v>31</v>
      </c>
      <c r="G203" s="203" t="s">
        <v>125</v>
      </c>
      <c r="H203" s="204" t="s">
        <v>126</v>
      </c>
    </row>
    <row r="204" spans="1:8" s="208" customFormat="1" ht="45">
      <c r="A204" s="581" t="str">
        <f>'Orç - Reservatório'!A81</f>
        <v>03.02.143</v>
      </c>
      <c r="B204" s="581" t="str">
        <f>'Orç - Reservatório'!B81</f>
        <v>SINAPI</v>
      </c>
      <c r="C204" s="581" t="str">
        <f>'Orç - Reservatório'!C81</f>
        <v>92874 MOD</v>
      </c>
      <c r="D204" s="205" t="s">
        <v>8798</v>
      </c>
      <c r="E204" s="206">
        <v>19.43</v>
      </c>
      <c r="F204" s="581" t="s">
        <v>6741</v>
      </c>
      <c r="G204" s="207">
        <f>VLOOKUP("CUSTO TOTAL UNIT.:",D205:$H$30004,5,FALSE)</f>
        <v>262.63</v>
      </c>
      <c r="H204" s="637">
        <f>VLOOKUP("CUSTO TOTAL:",D205:$H$30004,5,FALSE)</f>
        <v>5102.8999999999996</v>
      </c>
    </row>
    <row r="205" spans="1:8" s="124" customFormat="1" ht="60">
      <c r="A205" s="721">
        <v>34496</v>
      </c>
      <c r="B205" s="721"/>
      <c r="C205" s="200" t="s">
        <v>5256</v>
      </c>
      <c r="D205" s="139" t="s">
        <v>11005</v>
      </c>
      <c r="E205" s="209">
        <v>1.103</v>
      </c>
      <c r="F205" s="577" t="s">
        <v>45</v>
      </c>
      <c r="G205" s="210">
        <v>230.38020000000003</v>
      </c>
      <c r="H205" s="211">
        <f t="shared" ref="H205:H210" si="5">ROUND(G205*E205,2)</f>
        <v>254.11</v>
      </c>
    </row>
    <row r="206" spans="1:8" s="124" customFormat="1" ht="30">
      <c r="A206" s="721">
        <v>88262</v>
      </c>
      <c r="B206" s="721"/>
      <c r="C206" s="200" t="s">
        <v>5256</v>
      </c>
      <c r="D206" s="139" t="s">
        <v>83</v>
      </c>
      <c r="E206" s="209">
        <v>0.19900000000000001</v>
      </c>
      <c r="F206" s="577" t="s">
        <v>67</v>
      </c>
      <c r="G206" s="210">
        <v>15.487200000000001</v>
      </c>
      <c r="H206" s="211">
        <f t="shared" si="5"/>
        <v>3.08</v>
      </c>
    </row>
    <row r="207" spans="1:8" s="124" customFormat="1" ht="30">
      <c r="A207" s="721">
        <v>88309</v>
      </c>
      <c r="B207" s="721"/>
      <c r="C207" s="200" t="s">
        <v>5256</v>
      </c>
      <c r="D207" s="139" t="s">
        <v>90</v>
      </c>
      <c r="E207" s="209">
        <v>0.19900000000000001</v>
      </c>
      <c r="F207" s="577" t="s">
        <v>67</v>
      </c>
      <c r="G207" s="210">
        <v>15.608700000000001</v>
      </c>
      <c r="H207" s="211">
        <f t="shared" si="5"/>
        <v>3.11</v>
      </c>
    </row>
    <row r="208" spans="1:8" s="124" customFormat="1" ht="30">
      <c r="A208" s="721">
        <v>88316</v>
      </c>
      <c r="B208" s="721"/>
      <c r="C208" s="200" t="s">
        <v>5256</v>
      </c>
      <c r="D208" s="139" t="s">
        <v>66</v>
      </c>
      <c r="E208" s="209">
        <v>0.192</v>
      </c>
      <c r="F208" s="577" t="s">
        <v>67</v>
      </c>
      <c r="G208" s="210">
        <v>11.631600000000001</v>
      </c>
      <c r="H208" s="211">
        <f t="shared" si="5"/>
        <v>2.23</v>
      </c>
    </row>
    <row r="209" spans="1:8" s="124" customFormat="1" ht="60">
      <c r="A209" s="721">
        <v>90586</v>
      </c>
      <c r="B209" s="721"/>
      <c r="C209" s="200" t="s">
        <v>5256</v>
      </c>
      <c r="D209" s="139" t="s">
        <v>404</v>
      </c>
      <c r="E209" s="209">
        <v>6.8000000000000005E-2</v>
      </c>
      <c r="F209" s="577" t="s">
        <v>100</v>
      </c>
      <c r="G209" s="210">
        <v>1.0530000000000002</v>
      </c>
      <c r="H209" s="211">
        <f t="shared" si="5"/>
        <v>7.0000000000000007E-2</v>
      </c>
    </row>
    <row r="210" spans="1:8" s="124" customFormat="1" ht="60">
      <c r="A210" s="721">
        <v>90587</v>
      </c>
      <c r="B210" s="721"/>
      <c r="C210" s="200" t="s">
        <v>5256</v>
      </c>
      <c r="D210" s="139" t="s">
        <v>543</v>
      </c>
      <c r="E210" s="209">
        <v>0.13100000000000001</v>
      </c>
      <c r="F210" s="577" t="s">
        <v>101</v>
      </c>
      <c r="G210" s="210">
        <v>0.2349</v>
      </c>
      <c r="H210" s="211">
        <f t="shared" si="5"/>
        <v>0.03</v>
      </c>
    </row>
    <row r="211" spans="1:8" s="201" customFormat="1">
      <c r="A211" s="582"/>
      <c r="B211" s="582"/>
      <c r="C211" s="212"/>
      <c r="D211" s="719" t="s">
        <v>127</v>
      </c>
      <c r="E211" s="719"/>
      <c r="F211" s="719"/>
      <c r="G211" s="719"/>
      <c r="H211" s="638">
        <f>SUMIF(F205:F210,("h"),H205:H210)</f>
        <v>8.42</v>
      </c>
    </row>
    <row r="212" spans="1:8" s="201" customFormat="1">
      <c r="A212" s="582"/>
      <c r="B212" s="582"/>
      <c r="C212" s="212"/>
      <c r="D212" s="719" t="s">
        <v>128</v>
      </c>
      <c r="E212" s="719"/>
      <c r="F212" s="719"/>
      <c r="G212" s="719"/>
      <c r="H212" s="638">
        <f>SUMIF(F205:F210,"&lt;&gt;h",H205:H210)</f>
        <v>254.21</v>
      </c>
    </row>
    <row r="213" spans="1:8" s="201" customFormat="1">
      <c r="A213" s="582"/>
      <c r="B213" s="582"/>
      <c r="C213" s="212"/>
      <c r="D213" s="718" t="s">
        <v>129</v>
      </c>
      <c r="E213" s="718"/>
      <c r="F213" s="718"/>
      <c r="G213" s="718"/>
      <c r="H213" s="213">
        <f>SUM(H211:H212)</f>
        <v>262.63</v>
      </c>
    </row>
    <row r="214" spans="1:8" s="201" customFormat="1">
      <c r="A214" s="582"/>
      <c r="B214" s="582"/>
      <c r="C214" s="212"/>
      <c r="D214" s="719" t="s">
        <v>28</v>
      </c>
      <c r="E214" s="719"/>
      <c r="F214" s="719"/>
      <c r="G214" s="719"/>
      <c r="H214" s="639">
        <f>E204</f>
        <v>19.43</v>
      </c>
    </row>
    <row r="215" spans="1:8" s="201" customFormat="1">
      <c r="A215" s="582"/>
      <c r="B215" s="582"/>
      <c r="C215" s="212"/>
      <c r="D215" s="718" t="s">
        <v>130</v>
      </c>
      <c r="E215" s="718"/>
      <c r="F215" s="718"/>
      <c r="G215" s="718"/>
      <c r="H215" s="213">
        <f>ROUND(H213*H214,2)</f>
        <v>5102.8999999999996</v>
      </c>
    </row>
    <row r="216" spans="1:8" s="201" customFormat="1">
      <c r="A216" s="582"/>
      <c r="B216" s="582"/>
      <c r="C216" s="212"/>
      <c r="D216" s="719" t="s">
        <v>15559</v>
      </c>
      <c r="E216" s="719"/>
      <c r="F216" s="719"/>
      <c r="G216" s="719"/>
      <c r="H216" s="638">
        <f>ROUND(H213*$B$13,2)</f>
        <v>70.73</v>
      </c>
    </row>
    <row r="217" spans="1:8">
      <c r="A217" s="582"/>
      <c r="B217" s="582"/>
      <c r="C217" s="212"/>
      <c r="D217" s="718" t="s">
        <v>9661</v>
      </c>
      <c r="E217" s="718"/>
      <c r="F217" s="718"/>
      <c r="G217" s="718"/>
      <c r="H217" s="213">
        <f>H216+H213</f>
        <v>333.36</v>
      </c>
    </row>
    <row r="219" spans="1:8" s="201" customFormat="1">
      <c r="A219" s="123" t="s">
        <v>6</v>
      </c>
      <c r="B219" s="720" t="s">
        <v>7</v>
      </c>
      <c r="C219" s="720"/>
      <c r="D219" s="202" t="s">
        <v>124</v>
      </c>
      <c r="E219" s="167" t="s">
        <v>6334</v>
      </c>
      <c r="F219" s="202" t="s">
        <v>31</v>
      </c>
      <c r="G219" s="203" t="s">
        <v>125</v>
      </c>
      <c r="H219" s="204" t="s">
        <v>126</v>
      </c>
    </row>
    <row r="220" spans="1:8" s="208" customFormat="1" ht="30">
      <c r="A220" s="581" t="str">
        <f>'Orç - Prédio'!A77</f>
        <v>03.02.183</v>
      </c>
      <c r="B220" s="581" t="str">
        <f>'Orç - Prédio'!B77</f>
        <v>SINAPI</v>
      </c>
      <c r="C220" s="581" t="str">
        <f>'Orç - Prédio'!C77</f>
        <v>928740 MOD</v>
      </c>
      <c r="D220" s="205" t="s">
        <v>6749</v>
      </c>
      <c r="E220" s="206">
        <v>6.32</v>
      </c>
      <c r="F220" s="581" t="s">
        <v>6741</v>
      </c>
      <c r="G220" s="207">
        <f>VLOOKUP("CUSTO TOTAL UNIT.:",D221:$H$30004,5,FALSE)</f>
        <v>250.52999999999997</v>
      </c>
      <c r="H220" s="637">
        <f>VLOOKUP("CUSTO TOTAL:",D221:$H$30004,5,FALSE)</f>
        <v>1583.35</v>
      </c>
    </row>
    <row r="221" spans="1:8" s="124" customFormat="1" ht="60">
      <c r="A221" s="721">
        <v>34496</v>
      </c>
      <c r="B221" s="721"/>
      <c r="C221" s="200" t="s">
        <v>5256</v>
      </c>
      <c r="D221" s="139" t="s">
        <v>11005</v>
      </c>
      <c r="E221" s="209">
        <v>1</v>
      </c>
      <c r="F221" s="577" t="s">
        <v>45</v>
      </c>
      <c r="G221" s="210">
        <v>230.38020000000003</v>
      </c>
      <c r="H221" s="211">
        <f t="shared" ref="H221:H226" si="6">ROUND(G221*E221,2)</f>
        <v>230.38</v>
      </c>
    </row>
    <row r="222" spans="1:8" s="124" customFormat="1" ht="30">
      <c r="A222" s="721">
        <v>88262</v>
      </c>
      <c r="B222" s="721"/>
      <c r="C222" s="200" t="s">
        <v>5256</v>
      </c>
      <c r="D222" s="139" t="s">
        <v>83</v>
      </c>
      <c r="E222" s="209">
        <v>0.19900000000000001</v>
      </c>
      <c r="F222" s="577" t="s">
        <v>67</v>
      </c>
      <c r="G222" s="210">
        <v>15.487200000000001</v>
      </c>
      <c r="H222" s="211">
        <f t="shared" si="6"/>
        <v>3.08</v>
      </c>
    </row>
    <row r="223" spans="1:8" s="124" customFormat="1" ht="30">
      <c r="A223" s="721">
        <v>88309</v>
      </c>
      <c r="B223" s="721"/>
      <c r="C223" s="200" t="s">
        <v>5256</v>
      </c>
      <c r="D223" s="139" t="s">
        <v>90</v>
      </c>
      <c r="E223" s="209">
        <v>0.19900000000000001</v>
      </c>
      <c r="F223" s="577" t="s">
        <v>67</v>
      </c>
      <c r="G223" s="210">
        <v>15.608700000000001</v>
      </c>
      <c r="H223" s="211">
        <f t="shared" si="6"/>
        <v>3.11</v>
      </c>
    </row>
    <row r="224" spans="1:8" s="124" customFormat="1" ht="30">
      <c r="A224" s="721">
        <v>88316</v>
      </c>
      <c r="B224" s="721"/>
      <c r="C224" s="200" t="s">
        <v>5256</v>
      </c>
      <c r="D224" s="139" t="s">
        <v>66</v>
      </c>
      <c r="E224" s="209">
        <v>1.1919999999999999</v>
      </c>
      <c r="F224" s="577" t="s">
        <v>67</v>
      </c>
      <c r="G224" s="210">
        <v>11.631600000000001</v>
      </c>
      <c r="H224" s="211">
        <f t="shared" si="6"/>
        <v>13.86</v>
      </c>
    </row>
    <row r="225" spans="1:8" s="124" customFormat="1" ht="60">
      <c r="A225" s="721">
        <v>90586</v>
      </c>
      <c r="B225" s="721"/>
      <c r="C225" s="200" t="s">
        <v>5256</v>
      </c>
      <c r="D225" s="139" t="s">
        <v>404</v>
      </c>
      <c r="E225" s="209">
        <v>6.8000000000000005E-2</v>
      </c>
      <c r="F225" s="577" t="s">
        <v>100</v>
      </c>
      <c r="G225" s="210">
        <v>1.0530000000000002</v>
      </c>
      <c r="H225" s="211">
        <f t="shared" si="6"/>
        <v>7.0000000000000007E-2</v>
      </c>
    </row>
    <row r="226" spans="1:8" s="124" customFormat="1" ht="60">
      <c r="A226" s="721">
        <v>90587</v>
      </c>
      <c r="B226" s="721"/>
      <c r="C226" s="200" t="s">
        <v>5256</v>
      </c>
      <c r="D226" s="139" t="s">
        <v>543</v>
      </c>
      <c r="E226" s="209">
        <v>0.13100000000000001</v>
      </c>
      <c r="F226" s="577" t="s">
        <v>101</v>
      </c>
      <c r="G226" s="210">
        <v>0.2349</v>
      </c>
      <c r="H226" s="211">
        <f t="shared" si="6"/>
        <v>0.03</v>
      </c>
    </row>
    <row r="227" spans="1:8" s="201" customFormat="1">
      <c r="A227" s="582"/>
      <c r="B227" s="582"/>
      <c r="C227" s="212"/>
      <c r="D227" s="719" t="s">
        <v>127</v>
      </c>
      <c r="E227" s="719"/>
      <c r="F227" s="719"/>
      <c r="G227" s="719"/>
      <c r="H227" s="638">
        <f>SUMIF(F221:F226,("h"),H221:H226)</f>
        <v>20.049999999999997</v>
      </c>
    </row>
    <row r="228" spans="1:8" s="201" customFormat="1">
      <c r="A228" s="582"/>
      <c r="B228" s="582"/>
      <c r="C228" s="212"/>
      <c r="D228" s="719" t="s">
        <v>128</v>
      </c>
      <c r="E228" s="719"/>
      <c r="F228" s="719"/>
      <c r="G228" s="719"/>
      <c r="H228" s="638">
        <f>SUMIF(F221:F226,"&lt;&gt;h",H221:H226)</f>
        <v>230.48</v>
      </c>
    </row>
    <row r="229" spans="1:8" s="201" customFormat="1">
      <c r="A229" s="582"/>
      <c r="B229" s="582"/>
      <c r="C229" s="212"/>
      <c r="D229" s="718" t="s">
        <v>129</v>
      </c>
      <c r="E229" s="718"/>
      <c r="F229" s="718"/>
      <c r="G229" s="718"/>
      <c r="H229" s="213">
        <f>SUM(H227:H228)</f>
        <v>250.52999999999997</v>
      </c>
    </row>
    <row r="230" spans="1:8" s="201" customFormat="1">
      <c r="A230" s="582"/>
      <c r="B230" s="582"/>
      <c r="C230" s="212"/>
      <c r="D230" s="719" t="s">
        <v>28</v>
      </c>
      <c r="E230" s="719"/>
      <c r="F230" s="719"/>
      <c r="G230" s="719"/>
      <c r="H230" s="639">
        <f>E220</f>
        <v>6.32</v>
      </c>
    </row>
    <row r="231" spans="1:8" s="201" customFormat="1">
      <c r="A231" s="582"/>
      <c r="B231" s="582"/>
      <c r="C231" s="212"/>
      <c r="D231" s="718" t="s">
        <v>130</v>
      </c>
      <c r="E231" s="718"/>
      <c r="F231" s="718"/>
      <c r="G231" s="718"/>
      <c r="H231" s="213">
        <f>ROUND(H229*H230,2)</f>
        <v>1583.35</v>
      </c>
    </row>
    <row r="232" spans="1:8" s="201" customFormat="1">
      <c r="A232" s="582"/>
      <c r="B232" s="582"/>
      <c r="C232" s="212"/>
      <c r="D232" s="719" t="s">
        <v>15559</v>
      </c>
      <c r="E232" s="719"/>
      <c r="F232" s="719"/>
      <c r="G232" s="719"/>
      <c r="H232" s="638">
        <f>ROUND(H229*$B$13,2)</f>
        <v>67.47</v>
      </c>
    </row>
    <row r="233" spans="1:8">
      <c r="A233" s="582"/>
      <c r="B233" s="582"/>
      <c r="C233" s="212"/>
      <c r="D233" s="718" t="s">
        <v>9661</v>
      </c>
      <c r="E233" s="718"/>
      <c r="F233" s="718"/>
      <c r="G233" s="718"/>
      <c r="H233" s="213">
        <f>H232+H229</f>
        <v>318</v>
      </c>
    </row>
    <row r="235" spans="1:8" s="201" customFormat="1">
      <c r="A235" s="123" t="s">
        <v>6</v>
      </c>
      <c r="B235" s="720" t="s">
        <v>7</v>
      </c>
      <c r="C235" s="720"/>
      <c r="D235" s="202" t="s">
        <v>124</v>
      </c>
      <c r="E235" s="167" t="s">
        <v>6334</v>
      </c>
      <c r="F235" s="202" t="s">
        <v>31</v>
      </c>
      <c r="G235" s="203" t="s">
        <v>125</v>
      </c>
      <c r="H235" s="204" t="s">
        <v>126</v>
      </c>
    </row>
    <row r="236" spans="1:8" s="208" customFormat="1" ht="30">
      <c r="A236" s="581" t="str">
        <f>'Orç - Prédio'!A83</f>
        <v>03.02.320</v>
      </c>
      <c r="B236" s="581" t="str">
        <f>'Orç - Prédio'!B83</f>
        <v>CPOS</v>
      </c>
      <c r="C236" s="581" t="str">
        <f>'Orç - Prédio'!C83</f>
        <v>15.05.520</v>
      </c>
      <c r="D236" s="205" t="s">
        <v>9653</v>
      </c>
      <c r="E236" s="581">
        <v>31.76</v>
      </c>
      <c r="F236" s="581" t="s">
        <v>6741</v>
      </c>
      <c r="G236" s="207">
        <f>VLOOKUP("CUSTO TOTAL UNIT.:",D237:$H$30004,5,FALSE)</f>
        <v>1951.4299999999994</v>
      </c>
      <c r="H236" s="637">
        <f>VLOOKUP("CUSTO TOTAL:",D237:$H$30004,5,FALSE)</f>
        <v>61977.42</v>
      </c>
    </row>
    <row r="237" spans="1:8" s="124" customFormat="1" ht="30">
      <c r="A237" s="721">
        <v>88262</v>
      </c>
      <c r="B237" s="721"/>
      <c r="C237" s="200" t="s">
        <v>5256</v>
      </c>
      <c r="D237" s="139" t="s">
        <v>83</v>
      </c>
      <c r="E237" s="209">
        <v>1.74</v>
      </c>
      <c r="F237" s="577" t="s">
        <v>67</v>
      </c>
      <c r="G237" s="210">
        <v>15.487200000000001</v>
      </c>
      <c r="H237" s="211">
        <f t="shared" ref="H237:H269" si="7">ROUND(G237*E237,2)</f>
        <v>26.95</v>
      </c>
    </row>
    <row r="238" spans="1:8" s="124" customFormat="1" ht="30">
      <c r="A238" s="721">
        <v>88245</v>
      </c>
      <c r="B238" s="721"/>
      <c r="C238" s="200" t="s">
        <v>5256</v>
      </c>
      <c r="D238" s="139" t="s">
        <v>70</v>
      </c>
      <c r="E238" s="209">
        <v>7.944</v>
      </c>
      <c r="F238" s="577" t="s">
        <v>67</v>
      </c>
      <c r="G238" s="210">
        <v>15.519600000000001</v>
      </c>
      <c r="H238" s="211">
        <f t="shared" si="7"/>
        <v>123.29</v>
      </c>
    </row>
    <row r="239" spans="1:8" s="124" customFormat="1" ht="30">
      <c r="A239" s="721">
        <v>88238</v>
      </c>
      <c r="B239" s="721"/>
      <c r="C239" s="200" t="s">
        <v>5256</v>
      </c>
      <c r="D239" s="139" t="s">
        <v>5085</v>
      </c>
      <c r="E239" s="209">
        <v>6.3579999999999997</v>
      </c>
      <c r="F239" s="577" t="s">
        <v>67</v>
      </c>
      <c r="G239" s="210">
        <v>12.174300000000001</v>
      </c>
      <c r="H239" s="211">
        <f t="shared" si="7"/>
        <v>77.400000000000006</v>
      </c>
    </row>
    <row r="240" spans="1:8" s="124" customFormat="1" ht="30">
      <c r="A240" s="721">
        <v>88309</v>
      </c>
      <c r="B240" s="721"/>
      <c r="C240" s="200" t="s">
        <v>5256</v>
      </c>
      <c r="D240" s="139" t="s">
        <v>90</v>
      </c>
      <c r="E240" s="209">
        <v>6.76</v>
      </c>
      <c r="F240" s="577" t="s">
        <v>67</v>
      </c>
      <c r="G240" s="210">
        <v>15.608700000000001</v>
      </c>
      <c r="H240" s="211">
        <f t="shared" si="7"/>
        <v>105.51</v>
      </c>
    </row>
    <row r="241" spans="1:8" s="124" customFormat="1" ht="30">
      <c r="A241" s="721">
        <v>88316</v>
      </c>
      <c r="B241" s="721"/>
      <c r="C241" s="200" t="s">
        <v>5256</v>
      </c>
      <c r="D241" s="139" t="s">
        <v>66</v>
      </c>
      <c r="E241" s="209">
        <v>8.59</v>
      </c>
      <c r="F241" s="577" t="s">
        <v>67</v>
      </c>
      <c r="G241" s="210">
        <v>11.631600000000001</v>
      </c>
      <c r="H241" s="211">
        <f t="shared" si="7"/>
        <v>99.92</v>
      </c>
    </row>
    <row r="242" spans="1:8" s="124" customFormat="1" ht="30">
      <c r="A242" s="721">
        <v>90779</v>
      </c>
      <c r="B242" s="721"/>
      <c r="C242" s="200" t="s">
        <v>5256</v>
      </c>
      <c r="D242" s="139" t="s">
        <v>5152</v>
      </c>
      <c r="E242" s="209">
        <v>0.09</v>
      </c>
      <c r="F242" s="577" t="s">
        <v>67</v>
      </c>
      <c r="G242" s="210">
        <v>91.513800000000003</v>
      </c>
      <c r="H242" s="211">
        <f t="shared" si="7"/>
        <v>8.24</v>
      </c>
    </row>
    <row r="243" spans="1:8" s="124" customFormat="1" ht="30">
      <c r="A243" s="721">
        <v>90777</v>
      </c>
      <c r="B243" s="721"/>
      <c r="C243" s="200" t="s">
        <v>5256</v>
      </c>
      <c r="D243" s="139" t="s">
        <v>5150</v>
      </c>
      <c r="E243" s="209">
        <v>0.1</v>
      </c>
      <c r="F243" s="577" t="s">
        <v>67</v>
      </c>
      <c r="G243" s="210">
        <v>59.0976</v>
      </c>
      <c r="H243" s="211">
        <f t="shared" si="7"/>
        <v>5.91</v>
      </c>
    </row>
    <row r="244" spans="1:8" s="124" customFormat="1" ht="30">
      <c r="A244" s="721">
        <v>90775</v>
      </c>
      <c r="B244" s="721"/>
      <c r="C244" s="200" t="s">
        <v>5256</v>
      </c>
      <c r="D244" s="139" t="s">
        <v>5148</v>
      </c>
      <c r="E244" s="209">
        <v>0.4</v>
      </c>
      <c r="F244" s="577" t="s">
        <v>67</v>
      </c>
      <c r="G244" s="210">
        <v>16.434899999999999</v>
      </c>
      <c r="H244" s="211">
        <f t="shared" si="7"/>
        <v>6.57</v>
      </c>
    </row>
    <row r="245" spans="1:8" s="124" customFormat="1" ht="30">
      <c r="A245" s="721">
        <v>90773</v>
      </c>
      <c r="B245" s="721"/>
      <c r="C245" s="200" t="s">
        <v>5256</v>
      </c>
      <c r="D245" s="139" t="s">
        <v>5147</v>
      </c>
      <c r="E245" s="209">
        <v>0.7</v>
      </c>
      <c r="F245" s="577" t="s">
        <v>67</v>
      </c>
      <c r="G245" s="210">
        <v>11.947500000000002</v>
      </c>
      <c r="H245" s="211">
        <f t="shared" si="7"/>
        <v>8.36</v>
      </c>
    </row>
    <row r="246" spans="1:8" s="124" customFormat="1" ht="30">
      <c r="A246" s="721">
        <v>370</v>
      </c>
      <c r="B246" s="721"/>
      <c r="C246" s="200" t="s">
        <v>5256</v>
      </c>
      <c r="D246" s="139" t="s">
        <v>10018</v>
      </c>
      <c r="E246" s="209">
        <v>3.2399999999999998E-2</v>
      </c>
      <c r="F246" s="577" t="s">
        <v>45</v>
      </c>
      <c r="G246" s="210">
        <v>72.227700000000013</v>
      </c>
      <c r="H246" s="211">
        <f t="shared" si="7"/>
        <v>2.34</v>
      </c>
    </row>
    <row r="247" spans="1:8" s="124" customFormat="1">
      <c r="A247" s="721">
        <v>1379</v>
      </c>
      <c r="B247" s="721"/>
      <c r="C247" s="200" t="s">
        <v>5256</v>
      </c>
      <c r="D247" s="139" t="s">
        <v>10940</v>
      </c>
      <c r="E247" s="209">
        <v>12.13</v>
      </c>
      <c r="F247" s="577" t="s">
        <v>49</v>
      </c>
      <c r="G247" s="210">
        <v>0.33210000000000001</v>
      </c>
      <c r="H247" s="211">
        <f t="shared" si="7"/>
        <v>4.03</v>
      </c>
    </row>
    <row r="248" spans="1:8" s="124" customFormat="1" ht="30">
      <c r="A248" s="721">
        <v>4729</v>
      </c>
      <c r="B248" s="721"/>
      <c r="C248" s="200" t="s">
        <v>5256</v>
      </c>
      <c r="D248" s="139" t="s">
        <v>13267</v>
      </c>
      <c r="E248" s="209">
        <v>5.1999999999999998E-2</v>
      </c>
      <c r="F248" s="577" t="s">
        <v>45</v>
      </c>
      <c r="G248" s="210">
        <v>77.249700000000004</v>
      </c>
      <c r="H248" s="211">
        <f t="shared" si="7"/>
        <v>4.0199999999999996</v>
      </c>
    </row>
    <row r="249" spans="1:8" s="124" customFormat="1" ht="45">
      <c r="A249" s="721">
        <v>4720</v>
      </c>
      <c r="B249" s="721"/>
      <c r="C249" s="200" t="s">
        <v>5256</v>
      </c>
      <c r="D249" s="139" t="s">
        <v>13268</v>
      </c>
      <c r="E249" s="209">
        <v>0.01</v>
      </c>
      <c r="F249" s="577" t="s">
        <v>45</v>
      </c>
      <c r="G249" s="210">
        <v>84.466800000000006</v>
      </c>
      <c r="H249" s="211">
        <f t="shared" si="7"/>
        <v>0.84</v>
      </c>
    </row>
    <row r="250" spans="1:8" s="124" customFormat="1" ht="60">
      <c r="A250" s="721">
        <v>11145</v>
      </c>
      <c r="B250" s="721"/>
      <c r="C250" s="200" t="s">
        <v>5256</v>
      </c>
      <c r="D250" s="139" t="s">
        <v>11004</v>
      </c>
      <c r="E250" s="209">
        <v>1.03</v>
      </c>
      <c r="F250" s="577" t="s">
        <v>45</v>
      </c>
      <c r="G250" s="210">
        <v>253.06020000000004</v>
      </c>
      <c r="H250" s="211">
        <f t="shared" si="7"/>
        <v>260.64999999999998</v>
      </c>
    </row>
    <row r="251" spans="1:8" s="124" customFormat="1" ht="45">
      <c r="A251" s="721">
        <v>4491</v>
      </c>
      <c r="B251" s="721"/>
      <c r="C251" s="200" t="s">
        <v>5256</v>
      </c>
      <c r="D251" s="139" t="s">
        <v>13461</v>
      </c>
      <c r="E251" s="209">
        <v>2.16</v>
      </c>
      <c r="F251" s="577" t="s">
        <v>48</v>
      </c>
      <c r="G251" s="210">
        <v>2.9241000000000001</v>
      </c>
      <c r="H251" s="211">
        <f t="shared" si="7"/>
        <v>6.32</v>
      </c>
    </row>
    <row r="252" spans="1:8" s="124" customFormat="1" ht="45">
      <c r="A252" s="721">
        <v>4460</v>
      </c>
      <c r="B252" s="721"/>
      <c r="C252" s="200" t="s">
        <v>5256</v>
      </c>
      <c r="D252" s="139" t="s">
        <v>13815</v>
      </c>
      <c r="E252" s="209">
        <v>2.35</v>
      </c>
      <c r="F252" s="577" t="s">
        <v>48</v>
      </c>
      <c r="G252" s="210">
        <v>7.2981000000000007</v>
      </c>
      <c r="H252" s="211">
        <f t="shared" si="7"/>
        <v>17.149999999999999</v>
      </c>
    </row>
    <row r="253" spans="1:8" s="124" customFormat="1" ht="45">
      <c r="A253" s="721">
        <v>6188</v>
      </c>
      <c r="B253" s="721"/>
      <c r="C253" s="200" t="s">
        <v>5256</v>
      </c>
      <c r="D253" s="139" t="s">
        <v>13930</v>
      </c>
      <c r="E253" s="209">
        <v>0.52</v>
      </c>
      <c r="F253" s="577" t="s">
        <v>46</v>
      </c>
      <c r="G253" s="210">
        <v>19.7073</v>
      </c>
      <c r="H253" s="211">
        <f t="shared" si="7"/>
        <v>10.25</v>
      </c>
    </row>
    <row r="254" spans="1:8" s="124" customFormat="1" ht="45">
      <c r="A254" s="721">
        <v>1357</v>
      </c>
      <c r="B254" s="721"/>
      <c r="C254" s="200" t="s">
        <v>5256</v>
      </c>
      <c r="D254" s="139" t="s">
        <v>10889</v>
      </c>
      <c r="E254" s="209">
        <v>0.46</v>
      </c>
      <c r="F254" s="577" t="s">
        <v>40</v>
      </c>
      <c r="G254" s="210">
        <v>37.154699999999998</v>
      </c>
      <c r="H254" s="211">
        <f t="shared" si="7"/>
        <v>17.09</v>
      </c>
    </row>
    <row r="255" spans="1:8" s="124" customFormat="1">
      <c r="A255" s="721">
        <v>34439</v>
      </c>
      <c r="B255" s="721"/>
      <c r="C255" s="200" t="s">
        <v>5256</v>
      </c>
      <c r="D255" s="139" t="s">
        <v>9747</v>
      </c>
      <c r="E255" s="209">
        <v>52</v>
      </c>
      <c r="F255" s="577" t="s">
        <v>49</v>
      </c>
      <c r="G255" s="210">
        <v>4.3416000000000006</v>
      </c>
      <c r="H255" s="211">
        <f t="shared" si="7"/>
        <v>225.76</v>
      </c>
    </row>
    <row r="256" spans="1:8" s="124" customFormat="1">
      <c r="A256" s="721">
        <v>34456</v>
      </c>
      <c r="B256" s="721"/>
      <c r="C256" s="200" t="s">
        <v>5256</v>
      </c>
      <c r="D256" s="139" t="s">
        <v>9762</v>
      </c>
      <c r="E256" s="209">
        <v>5.5</v>
      </c>
      <c r="F256" s="577" t="s">
        <v>49</v>
      </c>
      <c r="G256" s="210">
        <v>4.0175999999999998</v>
      </c>
      <c r="H256" s="211">
        <f t="shared" si="7"/>
        <v>22.1</v>
      </c>
    </row>
    <row r="257" spans="1:8" s="124" customFormat="1" ht="75">
      <c r="A257" s="721">
        <v>7155</v>
      </c>
      <c r="B257" s="721"/>
      <c r="C257" s="200" t="s">
        <v>5256</v>
      </c>
      <c r="D257" s="139" t="s">
        <v>14222</v>
      </c>
      <c r="E257" s="209">
        <v>61.4</v>
      </c>
      <c r="F257" s="577" t="s">
        <v>46</v>
      </c>
      <c r="G257" s="210">
        <v>10.9674</v>
      </c>
      <c r="H257" s="211">
        <f t="shared" si="7"/>
        <v>673.4</v>
      </c>
    </row>
    <row r="258" spans="1:8" s="124" customFormat="1" ht="30">
      <c r="A258" s="721">
        <v>1330</v>
      </c>
      <c r="B258" s="721"/>
      <c r="C258" s="200" t="s">
        <v>5256</v>
      </c>
      <c r="D258" s="139" t="s">
        <v>10848</v>
      </c>
      <c r="E258" s="209">
        <v>8.4</v>
      </c>
      <c r="F258" s="577" t="s">
        <v>49</v>
      </c>
      <c r="G258" s="210">
        <v>4.2768000000000006</v>
      </c>
      <c r="H258" s="211">
        <f t="shared" si="7"/>
        <v>35.93</v>
      </c>
    </row>
    <row r="259" spans="1:8" s="124" customFormat="1" ht="45">
      <c r="A259" s="721" t="s">
        <v>9655</v>
      </c>
      <c r="B259" s="721"/>
      <c r="C259" s="184" t="s">
        <v>6753</v>
      </c>
      <c r="D259" s="185" t="s">
        <v>9656</v>
      </c>
      <c r="E259" s="209">
        <v>1</v>
      </c>
      <c r="F259" s="577" t="s">
        <v>31</v>
      </c>
      <c r="G259" s="174">
        <v>11.5749</v>
      </c>
      <c r="H259" s="211">
        <f t="shared" si="7"/>
        <v>11.57</v>
      </c>
    </row>
    <row r="260" spans="1:8" s="124" customFormat="1" ht="30">
      <c r="A260" s="721" t="s">
        <v>9657</v>
      </c>
      <c r="B260" s="721"/>
      <c r="C260" s="184" t="s">
        <v>6753</v>
      </c>
      <c r="D260" s="185" t="s">
        <v>9658</v>
      </c>
      <c r="E260" s="209">
        <v>2.5000000000000001E-3</v>
      </c>
      <c r="F260" s="577" t="s">
        <v>31</v>
      </c>
      <c r="G260" s="174">
        <v>318.13560000000001</v>
      </c>
      <c r="H260" s="211">
        <f t="shared" si="7"/>
        <v>0.8</v>
      </c>
    </row>
    <row r="261" spans="1:8" s="124" customFormat="1" ht="30">
      <c r="A261" s="721" t="s">
        <v>9659</v>
      </c>
      <c r="B261" s="721"/>
      <c r="C261" s="184" t="s">
        <v>6753</v>
      </c>
      <c r="D261" s="185" t="s">
        <v>9660</v>
      </c>
      <c r="E261" s="209">
        <v>2.5000000000000001E-3</v>
      </c>
      <c r="F261" s="577" t="s">
        <v>31</v>
      </c>
      <c r="G261" s="174">
        <v>28.941299999999998</v>
      </c>
      <c r="H261" s="211">
        <f t="shared" si="7"/>
        <v>7.0000000000000007E-2</v>
      </c>
    </row>
    <row r="262" spans="1:8" s="124" customFormat="1" ht="30">
      <c r="A262" s="721">
        <v>5061</v>
      </c>
      <c r="B262" s="721"/>
      <c r="C262" s="200" t="s">
        <v>5256</v>
      </c>
      <c r="D262" s="139" t="s">
        <v>13577</v>
      </c>
      <c r="E262" s="209">
        <v>0.81</v>
      </c>
      <c r="F262" s="577" t="s">
        <v>49</v>
      </c>
      <c r="G262" s="210">
        <v>8.0594999999999999</v>
      </c>
      <c r="H262" s="211">
        <f t="shared" si="7"/>
        <v>6.53</v>
      </c>
    </row>
    <row r="263" spans="1:8" s="124" customFormat="1" ht="30">
      <c r="A263" s="721">
        <v>345</v>
      </c>
      <c r="B263" s="721"/>
      <c r="C263" s="200" t="s">
        <v>5256</v>
      </c>
      <c r="D263" s="139" t="s">
        <v>10010</v>
      </c>
      <c r="E263" s="209">
        <v>1.355</v>
      </c>
      <c r="F263" s="577" t="s">
        <v>49</v>
      </c>
      <c r="G263" s="210">
        <v>14.831099999999999</v>
      </c>
      <c r="H263" s="211">
        <f t="shared" si="7"/>
        <v>20.100000000000001</v>
      </c>
    </row>
    <row r="264" spans="1:8" s="124" customFormat="1" ht="45">
      <c r="A264" s="721">
        <v>2692</v>
      </c>
      <c r="B264" s="721"/>
      <c r="C264" s="200" t="s">
        <v>5256</v>
      </c>
      <c r="D264" s="139" t="s">
        <v>11509</v>
      </c>
      <c r="E264" s="209">
        <v>2.99</v>
      </c>
      <c r="F264" s="577" t="s">
        <v>50</v>
      </c>
      <c r="G264" s="210">
        <v>4.9491000000000005</v>
      </c>
      <c r="H264" s="211">
        <f t="shared" si="7"/>
        <v>14.8</v>
      </c>
    </row>
    <row r="265" spans="1:8" s="124" customFormat="1" ht="60">
      <c r="A265" s="721">
        <v>87445</v>
      </c>
      <c r="B265" s="721"/>
      <c r="C265" s="200" t="s">
        <v>5256</v>
      </c>
      <c r="D265" s="139" t="s">
        <v>381</v>
      </c>
      <c r="E265" s="209">
        <v>0.12</v>
      </c>
      <c r="F265" s="577" t="s">
        <v>100</v>
      </c>
      <c r="G265" s="210">
        <v>2.5110000000000001</v>
      </c>
      <c r="H265" s="211">
        <f t="shared" si="7"/>
        <v>0.3</v>
      </c>
    </row>
    <row r="266" spans="1:8" s="124" customFormat="1" ht="90">
      <c r="A266" s="721">
        <v>93402</v>
      </c>
      <c r="B266" s="721"/>
      <c r="C266" s="200" t="s">
        <v>5256</v>
      </c>
      <c r="D266" s="139" t="s">
        <v>445</v>
      </c>
      <c r="E266" s="209">
        <v>0.8</v>
      </c>
      <c r="F266" s="577" t="s">
        <v>100</v>
      </c>
      <c r="G266" s="210">
        <v>110.4759</v>
      </c>
      <c r="H266" s="211">
        <f t="shared" si="7"/>
        <v>88.38</v>
      </c>
    </row>
    <row r="267" spans="1:8" s="124" customFormat="1" ht="60">
      <c r="A267" s="721">
        <v>1523</v>
      </c>
      <c r="B267" s="721"/>
      <c r="C267" s="200" t="s">
        <v>5256</v>
      </c>
      <c r="D267" s="139" t="s">
        <v>11012</v>
      </c>
      <c r="E267" s="209">
        <v>8.3299999999999999E-2</v>
      </c>
      <c r="F267" s="577" t="s">
        <v>45</v>
      </c>
      <c r="G267" s="210">
        <v>196.39260000000002</v>
      </c>
      <c r="H267" s="211">
        <f t="shared" si="7"/>
        <v>16.36</v>
      </c>
    </row>
    <row r="268" spans="1:8" s="124" customFormat="1" ht="105">
      <c r="A268" s="721">
        <v>5875</v>
      </c>
      <c r="B268" s="721"/>
      <c r="C268" s="200" t="s">
        <v>5256</v>
      </c>
      <c r="D268" s="139" t="s">
        <v>355</v>
      </c>
      <c r="E268" s="209">
        <v>1.1999999999999999E-3</v>
      </c>
      <c r="F268" s="577" t="s">
        <v>100</v>
      </c>
      <c r="G268" s="210">
        <v>72.802800000000005</v>
      </c>
      <c r="H268" s="211">
        <f t="shared" si="7"/>
        <v>0.09</v>
      </c>
    </row>
    <row r="269" spans="1:8" s="124" customFormat="1" ht="60">
      <c r="A269" s="721">
        <v>89272</v>
      </c>
      <c r="B269" s="721"/>
      <c r="C269" s="200" t="s">
        <v>5256</v>
      </c>
      <c r="D269" s="139" t="s">
        <v>399</v>
      </c>
      <c r="E269" s="209">
        <v>0.4</v>
      </c>
      <c r="F269" s="577" t="s">
        <v>100</v>
      </c>
      <c r="G269" s="210">
        <v>125.99550000000002</v>
      </c>
      <c r="H269" s="211">
        <f t="shared" si="7"/>
        <v>50.4</v>
      </c>
    </row>
    <row r="270" spans="1:8" s="201" customFormat="1">
      <c r="A270" s="582"/>
      <c r="B270" s="582"/>
      <c r="C270" s="212"/>
      <c r="D270" s="719" t="s">
        <v>127</v>
      </c>
      <c r="E270" s="719"/>
      <c r="F270" s="719"/>
      <c r="G270" s="719"/>
      <c r="H270" s="638">
        <f>SUMIF(F237:F269,("h"),H237:H269)</f>
        <v>462.15000000000009</v>
      </c>
    </row>
    <row r="271" spans="1:8" s="201" customFormat="1">
      <c r="A271" s="582"/>
      <c r="B271" s="582"/>
      <c r="C271" s="212"/>
      <c r="D271" s="719" t="s">
        <v>128</v>
      </c>
      <c r="E271" s="719"/>
      <c r="F271" s="719"/>
      <c r="G271" s="719"/>
      <c r="H271" s="638">
        <f>SUMIF(F237:F269,"&lt;&gt;h",H237:H269)</f>
        <v>1489.2799999999993</v>
      </c>
    </row>
    <row r="272" spans="1:8" s="201" customFormat="1">
      <c r="A272" s="582"/>
      <c r="B272" s="582"/>
      <c r="C272" s="212"/>
      <c r="D272" s="718" t="s">
        <v>129</v>
      </c>
      <c r="E272" s="718"/>
      <c r="F272" s="718"/>
      <c r="G272" s="718"/>
      <c r="H272" s="213">
        <f>SUM(H270:H271)</f>
        <v>1951.4299999999994</v>
      </c>
    </row>
    <row r="273" spans="1:8" s="201" customFormat="1">
      <c r="A273" s="582"/>
      <c r="B273" s="582"/>
      <c r="C273" s="212"/>
      <c r="D273" s="719" t="s">
        <v>28</v>
      </c>
      <c r="E273" s="719"/>
      <c r="F273" s="719"/>
      <c r="G273" s="719"/>
      <c r="H273" s="639">
        <f>E236</f>
        <v>31.76</v>
      </c>
    </row>
    <row r="274" spans="1:8" s="201" customFormat="1">
      <c r="A274" s="582"/>
      <c r="B274" s="582"/>
      <c r="C274" s="212"/>
      <c r="D274" s="718" t="s">
        <v>130</v>
      </c>
      <c r="E274" s="718"/>
      <c r="F274" s="718"/>
      <c r="G274" s="718"/>
      <c r="H274" s="213">
        <f>ROUND(H272*H273,2)</f>
        <v>61977.42</v>
      </c>
    </row>
    <row r="275" spans="1:8" s="201" customFormat="1">
      <c r="A275" s="582"/>
      <c r="B275" s="582"/>
      <c r="C275" s="212"/>
      <c r="D275" s="719" t="s">
        <v>15559</v>
      </c>
      <c r="E275" s="719"/>
      <c r="F275" s="719"/>
      <c r="G275" s="719"/>
      <c r="H275" s="638">
        <f>ROUND(H272*$B$13,2)</f>
        <v>525.52</v>
      </c>
    </row>
    <row r="276" spans="1:8">
      <c r="A276" s="582"/>
      <c r="B276" s="582"/>
      <c r="C276" s="212"/>
      <c r="D276" s="718" t="s">
        <v>9661</v>
      </c>
      <c r="E276" s="718"/>
      <c r="F276" s="718"/>
      <c r="G276" s="718"/>
      <c r="H276" s="213">
        <f>H275+H272</f>
        <v>2476.9499999999994</v>
      </c>
    </row>
    <row r="278" spans="1:8" s="201" customFormat="1">
      <c r="A278" s="123" t="s">
        <v>6</v>
      </c>
      <c r="B278" s="720" t="s">
        <v>7</v>
      </c>
      <c r="C278" s="720"/>
      <c r="D278" s="202" t="s">
        <v>124</v>
      </c>
      <c r="E278" s="167" t="s">
        <v>6334</v>
      </c>
      <c r="F278" s="202" t="s">
        <v>31</v>
      </c>
      <c r="G278" s="203" t="s">
        <v>125</v>
      </c>
      <c r="H278" s="204" t="s">
        <v>126</v>
      </c>
    </row>
    <row r="279" spans="1:8" s="208" customFormat="1" ht="30">
      <c r="A279" s="581" t="str">
        <f>'Orç - Prédio'!A84</f>
        <v>03.02.330</v>
      </c>
      <c r="B279" s="581" t="str">
        <f>'Orç - Prédio'!B84</f>
        <v>CPOS</v>
      </c>
      <c r="C279" s="581" t="str">
        <f>'Orç - Prédio'!C84</f>
        <v>15.05.290</v>
      </c>
      <c r="D279" s="205" t="s">
        <v>9652</v>
      </c>
      <c r="E279" s="581">
        <v>175.08</v>
      </c>
      <c r="F279" s="581" t="s">
        <v>6741</v>
      </c>
      <c r="G279" s="207">
        <f>VLOOKUP("CUSTO TOTAL UNIT.:",D280:$H$30004,5,FALSE)</f>
        <v>2406.2700000000004</v>
      </c>
      <c r="H279" s="637">
        <f>VLOOKUP("CUSTO TOTAL:",D280:$H$30004,5,FALSE)</f>
        <v>421289.75</v>
      </c>
    </row>
    <row r="280" spans="1:8" s="124" customFormat="1" ht="30">
      <c r="A280" s="721">
        <v>88262</v>
      </c>
      <c r="B280" s="721"/>
      <c r="C280" s="200" t="s">
        <v>5256</v>
      </c>
      <c r="D280" s="139" t="s">
        <v>83</v>
      </c>
      <c r="E280" s="209">
        <v>1.94</v>
      </c>
      <c r="F280" s="577" t="s">
        <v>67</v>
      </c>
      <c r="G280" s="210">
        <v>15.487200000000001</v>
      </c>
      <c r="H280" s="211">
        <f t="shared" ref="H280:H312" si="8">ROUND(G280*E280,2)</f>
        <v>30.05</v>
      </c>
    </row>
    <row r="281" spans="1:8" s="124" customFormat="1" ht="30">
      <c r="A281" s="721">
        <v>88245</v>
      </c>
      <c r="B281" s="721"/>
      <c r="C281" s="200" t="s">
        <v>5256</v>
      </c>
      <c r="D281" s="139" t="s">
        <v>70</v>
      </c>
      <c r="E281" s="209">
        <v>8.6280000000000001</v>
      </c>
      <c r="F281" s="577" t="s">
        <v>67</v>
      </c>
      <c r="G281" s="210">
        <v>15.519600000000001</v>
      </c>
      <c r="H281" s="211">
        <f t="shared" si="8"/>
        <v>133.9</v>
      </c>
    </row>
    <row r="282" spans="1:8" s="124" customFormat="1" ht="30">
      <c r="A282" s="721">
        <v>88238</v>
      </c>
      <c r="B282" s="721"/>
      <c r="C282" s="200" t="s">
        <v>5256</v>
      </c>
      <c r="D282" s="139" t="s">
        <v>5085</v>
      </c>
      <c r="E282" s="209">
        <v>7.1959999999999997</v>
      </c>
      <c r="F282" s="577" t="s">
        <v>67</v>
      </c>
      <c r="G282" s="210">
        <v>12.174300000000001</v>
      </c>
      <c r="H282" s="211">
        <f t="shared" si="8"/>
        <v>87.61</v>
      </c>
    </row>
    <row r="283" spans="1:8" s="124" customFormat="1" ht="30">
      <c r="A283" s="721">
        <v>88309</v>
      </c>
      <c r="B283" s="721"/>
      <c r="C283" s="200" t="s">
        <v>5256</v>
      </c>
      <c r="D283" s="139" t="s">
        <v>90</v>
      </c>
      <c r="E283" s="209">
        <v>6.75</v>
      </c>
      <c r="F283" s="577" t="s">
        <v>67</v>
      </c>
      <c r="G283" s="210">
        <v>15.608700000000001</v>
      </c>
      <c r="H283" s="211">
        <f t="shared" si="8"/>
        <v>105.36</v>
      </c>
    </row>
    <row r="284" spans="1:8" s="124" customFormat="1" ht="30">
      <c r="A284" s="721">
        <v>88316</v>
      </c>
      <c r="B284" s="721"/>
      <c r="C284" s="200" t="s">
        <v>5256</v>
      </c>
      <c r="D284" s="139" t="s">
        <v>66</v>
      </c>
      <c r="E284" s="209">
        <v>8.7899999999999991</v>
      </c>
      <c r="F284" s="577" t="s">
        <v>67</v>
      </c>
      <c r="G284" s="210">
        <v>11.631600000000001</v>
      </c>
      <c r="H284" s="211">
        <f t="shared" si="8"/>
        <v>102.24</v>
      </c>
    </row>
    <row r="285" spans="1:8" s="124" customFormat="1" ht="30">
      <c r="A285" s="721">
        <v>90779</v>
      </c>
      <c r="B285" s="721"/>
      <c r="C285" s="200" t="s">
        <v>5256</v>
      </c>
      <c r="D285" s="139" t="s">
        <v>5152</v>
      </c>
      <c r="E285" s="209">
        <v>0.09</v>
      </c>
      <c r="F285" s="577" t="s">
        <v>67</v>
      </c>
      <c r="G285" s="210">
        <v>91.513800000000003</v>
      </c>
      <c r="H285" s="211">
        <f t="shared" si="8"/>
        <v>8.24</v>
      </c>
    </row>
    <row r="286" spans="1:8" s="124" customFormat="1" ht="30">
      <c r="A286" s="721">
        <v>90777</v>
      </c>
      <c r="B286" s="721"/>
      <c r="C286" s="200" t="s">
        <v>5256</v>
      </c>
      <c r="D286" s="139" t="s">
        <v>5150</v>
      </c>
      <c r="E286" s="209">
        <v>0.1</v>
      </c>
      <c r="F286" s="577" t="s">
        <v>67</v>
      </c>
      <c r="G286" s="210">
        <v>59.0976</v>
      </c>
      <c r="H286" s="211">
        <f t="shared" si="8"/>
        <v>5.91</v>
      </c>
    </row>
    <row r="287" spans="1:8" s="124" customFormat="1" ht="30">
      <c r="A287" s="721">
        <v>90775</v>
      </c>
      <c r="B287" s="721"/>
      <c r="C287" s="200" t="s">
        <v>5256</v>
      </c>
      <c r="D287" s="139" t="s">
        <v>5148</v>
      </c>
      <c r="E287" s="209">
        <v>0.4</v>
      </c>
      <c r="F287" s="577" t="s">
        <v>67</v>
      </c>
      <c r="G287" s="210">
        <v>16.434899999999999</v>
      </c>
      <c r="H287" s="211">
        <f t="shared" si="8"/>
        <v>6.57</v>
      </c>
    </row>
    <row r="288" spans="1:8" s="124" customFormat="1" ht="30">
      <c r="A288" s="721">
        <v>90773</v>
      </c>
      <c r="B288" s="721"/>
      <c r="C288" s="200" t="s">
        <v>5256</v>
      </c>
      <c r="D288" s="139" t="s">
        <v>5147</v>
      </c>
      <c r="E288" s="209">
        <v>0.7</v>
      </c>
      <c r="F288" s="577" t="s">
        <v>67</v>
      </c>
      <c r="G288" s="210">
        <v>11.947500000000002</v>
      </c>
      <c r="H288" s="211">
        <f t="shared" si="8"/>
        <v>8.36</v>
      </c>
    </row>
    <row r="289" spans="1:8" s="124" customFormat="1" ht="30">
      <c r="A289" s="721">
        <v>370</v>
      </c>
      <c r="B289" s="721"/>
      <c r="C289" s="200" t="s">
        <v>5256</v>
      </c>
      <c r="D289" s="139" t="s">
        <v>10018</v>
      </c>
      <c r="E289" s="209">
        <v>0.03</v>
      </c>
      <c r="F289" s="577" t="s">
        <v>45</v>
      </c>
      <c r="G289" s="210">
        <v>72.227700000000013</v>
      </c>
      <c r="H289" s="211">
        <f t="shared" si="8"/>
        <v>2.17</v>
      </c>
    </row>
    <row r="290" spans="1:8" s="124" customFormat="1">
      <c r="A290" s="721">
        <v>1379</v>
      </c>
      <c r="B290" s="721"/>
      <c r="C290" s="200" t="s">
        <v>5256</v>
      </c>
      <c r="D290" s="139" t="s">
        <v>10940</v>
      </c>
      <c r="E290" s="209">
        <v>12.13</v>
      </c>
      <c r="F290" s="577" t="s">
        <v>49</v>
      </c>
      <c r="G290" s="210">
        <v>0.33210000000000001</v>
      </c>
      <c r="H290" s="211">
        <f t="shared" si="8"/>
        <v>4.03</v>
      </c>
    </row>
    <row r="291" spans="1:8" s="124" customFormat="1" ht="30">
      <c r="A291" s="721">
        <v>4729</v>
      </c>
      <c r="B291" s="721"/>
      <c r="C291" s="200" t="s">
        <v>5256</v>
      </c>
      <c r="D291" s="139" t="s">
        <v>13267</v>
      </c>
      <c r="E291" s="209">
        <v>0.05</v>
      </c>
      <c r="F291" s="577" t="s">
        <v>45</v>
      </c>
      <c r="G291" s="210">
        <v>77.249700000000004</v>
      </c>
      <c r="H291" s="211">
        <f t="shared" si="8"/>
        <v>3.86</v>
      </c>
    </row>
    <row r="292" spans="1:8" s="124" customFormat="1" ht="45">
      <c r="A292" s="721">
        <v>4720</v>
      </c>
      <c r="B292" s="721"/>
      <c r="C292" s="200" t="s">
        <v>5256</v>
      </c>
      <c r="D292" s="139" t="s">
        <v>13268</v>
      </c>
      <c r="E292" s="209">
        <v>0.01</v>
      </c>
      <c r="F292" s="577" t="s">
        <v>45</v>
      </c>
      <c r="G292" s="210">
        <v>84.466800000000006</v>
      </c>
      <c r="H292" s="211">
        <f t="shared" si="8"/>
        <v>0.84</v>
      </c>
    </row>
    <row r="293" spans="1:8" s="124" customFormat="1" ht="60">
      <c r="A293" s="721">
        <v>34479</v>
      </c>
      <c r="B293" s="721"/>
      <c r="C293" s="200" t="s">
        <v>5256</v>
      </c>
      <c r="D293" s="139" t="s">
        <v>11006</v>
      </c>
      <c r="E293" s="209">
        <v>1.03</v>
      </c>
      <c r="F293" s="577" t="s">
        <v>45</v>
      </c>
      <c r="G293" s="210">
        <v>262.61009999999999</v>
      </c>
      <c r="H293" s="211">
        <f t="shared" si="8"/>
        <v>270.49</v>
      </c>
    </row>
    <row r="294" spans="1:8" s="124" customFormat="1" ht="45">
      <c r="A294" s="721">
        <v>4491</v>
      </c>
      <c r="B294" s="721"/>
      <c r="C294" s="200" t="s">
        <v>5256</v>
      </c>
      <c r="D294" s="139" t="s">
        <v>13461</v>
      </c>
      <c r="E294" s="209">
        <v>2.16</v>
      </c>
      <c r="F294" s="577" t="s">
        <v>48</v>
      </c>
      <c r="G294" s="210">
        <v>2.9241000000000001</v>
      </c>
      <c r="H294" s="211">
        <f t="shared" si="8"/>
        <v>6.32</v>
      </c>
    </row>
    <row r="295" spans="1:8" s="124" customFormat="1" ht="45">
      <c r="A295" s="721">
        <v>4460</v>
      </c>
      <c r="B295" s="721"/>
      <c r="C295" s="200" t="s">
        <v>5256</v>
      </c>
      <c r="D295" s="139" t="s">
        <v>13815</v>
      </c>
      <c r="E295" s="209">
        <v>2.75</v>
      </c>
      <c r="F295" s="577" t="s">
        <v>48</v>
      </c>
      <c r="G295" s="210">
        <v>7.2981000000000007</v>
      </c>
      <c r="H295" s="211">
        <f t="shared" si="8"/>
        <v>20.07</v>
      </c>
    </row>
    <row r="296" spans="1:8" s="124" customFormat="1" ht="45">
      <c r="A296" s="721">
        <v>6188</v>
      </c>
      <c r="B296" s="721"/>
      <c r="C296" s="200" t="s">
        <v>5256</v>
      </c>
      <c r="D296" s="139" t="s">
        <v>13930</v>
      </c>
      <c r="E296" s="209">
        <v>0.52</v>
      </c>
      <c r="F296" s="577" t="s">
        <v>46</v>
      </c>
      <c r="G296" s="210">
        <v>19.7073</v>
      </c>
      <c r="H296" s="211">
        <f t="shared" si="8"/>
        <v>10.25</v>
      </c>
    </row>
    <row r="297" spans="1:8" s="124" customFormat="1" ht="45">
      <c r="A297" s="721">
        <v>1357</v>
      </c>
      <c r="B297" s="721"/>
      <c r="C297" s="200" t="s">
        <v>5256</v>
      </c>
      <c r="D297" s="139" t="s">
        <v>10889</v>
      </c>
      <c r="E297" s="209">
        <v>0.46</v>
      </c>
      <c r="F297" s="577" t="s">
        <v>40</v>
      </c>
      <c r="G297" s="210">
        <v>37.154699999999998</v>
      </c>
      <c r="H297" s="211">
        <f t="shared" si="8"/>
        <v>17.09</v>
      </c>
    </row>
    <row r="298" spans="1:8" s="124" customFormat="1">
      <c r="A298" s="721">
        <v>34439</v>
      </c>
      <c r="B298" s="721"/>
      <c r="C298" s="200" t="s">
        <v>5256</v>
      </c>
      <c r="D298" s="139" t="s">
        <v>9747</v>
      </c>
      <c r="E298" s="209">
        <v>27.8</v>
      </c>
      <c r="F298" s="577" t="s">
        <v>49</v>
      </c>
      <c r="G298" s="210">
        <v>4.3416000000000006</v>
      </c>
      <c r="H298" s="211">
        <f t="shared" si="8"/>
        <v>120.7</v>
      </c>
    </row>
    <row r="299" spans="1:8" s="124" customFormat="1">
      <c r="A299" s="721">
        <v>34456</v>
      </c>
      <c r="B299" s="721"/>
      <c r="C299" s="200" t="s">
        <v>5256</v>
      </c>
      <c r="D299" s="139" t="s">
        <v>9762</v>
      </c>
      <c r="E299" s="209">
        <v>0.95</v>
      </c>
      <c r="F299" s="577" t="s">
        <v>49</v>
      </c>
      <c r="G299" s="210">
        <v>4.0175999999999998</v>
      </c>
      <c r="H299" s="211">
        <f t="shared" si="8"/>
        <v>3.82</v>
      </c>
    </row>
    <row r="300" spans="1:8" s="124" customFormat="1" ht="75">
      <c r="A300" s="721">
        <v>7155</v>
      </c>
      <c r="B300" s="721"/>
      <c r="C300" s="200" t="s">
        <v>5256</v>
      </c>
      <c r="D300" s="139" t="s">
        <v>14222</v>
      </c>
      <c r="E300" s="209">
        <v>108.75</v>
      </c>
      <c r="F300" s="577" t="s">
        <v>46</v>
      </c>
      <c r="G300" s="210">
        <v>10.9674</v>
      </c>
      <c r="H300" s="211">
        <f t="shared" si="8"/>
        <v>1192.7</v>
      </c>
    </row>
    <row r="301" spans="1:8" s="124" customFormat="1" ht="30">
      <c r="A301" s="721">
        <v>1330</v>
      </c>
      <c r="B301" s="721"/>
      <c r="C301" s="200" t="s">
        <v>5256</v>
      </c>
      <c r="D301" s="139" t="s">
        <v>10848</v>
      </c>
      <c r="E301" s="209">
        <v>8.92</v>
      </c>
      <c r="F301" s="577" t="s">
        <v>49</v>
      </c>
      <c r="G301" s="210">
        <v>4.2768000000000006</v>
      </c>
      <c r="H301" s="211">
        <f t="shared" si="8"/>
        <v>38.15</v>
      </c>
    </row>
    <row r="302" spans="1:8" s="124" customFormat="1" ht="45">
      <c r="A302" s="721" t="s">
        <v>9655</v>
      </c>
      <c r="B302" s="721"/>
      <c r="C302" s="184" t="s">
        <v>6753</v>
      </c>
      <c r="D302" s="185" t="s">
        <v>9656</v>
      </c>
      <c r="E302" s="209">
        <v>1</v>
      </c>
      <c r="F302" s="577" t="s">
        <v>31</v>
      </c>
      <c r="G302" s="174">
        <v>11.5749</v>
      </c>
      <c r="H302" s="211">
        <f t="shared" si="8"/>
        <v>11.57</v>
      </c>
    </row>
    <row r="303" spans="1:8" s="124" customFormat="1" ht="30">
      <c r="A303" s="721" t="s">
        <v>9657</v>
      </c>
      <c r="B303" s="721"/>
      <c r="C303" s="184" t="s">
        <v>6753</v>
      </c>
      <c r="D303" s="185" t="s">
        <v>9658</v>
      </c>
      <c r="E303" s="209">
        <v>0.05</v>
      </c>
      <c r="F303" s="577" t="s">
        <v>31</v>
      </c>
      <c r="G303" s="174">
        <v>318.13560000000001</v>
      </c>
      <c r="H303" s="211">
        <f t="shared" si="8"/>
        <v>15.91</v>
      </c>
    </row>
    <row r="304" spans="1:8" s="124" customFormat="1" ht="30">
      <c r="A304" s="721" t="s">
        <v>9659</v>
      </c>
      <c r="B304" s="721"/>
      <c r="C304" s="184" t="s">
        <v>6753</v>
      </c>
      <c r="D304" s="185" t="s">
        <v>9660</v>
      </c>
      <c r="E304" s="209">
        <v>0.05</v>
      </c>
      <c r="F304" s="577" t="s">
        <v>31</v>
      </c>
      <c r="G304" s="174">
        <v>28.941299999999998</v>
      </c>
      <c r="H304" s="211">
        <f t="shared" si="8"/>
        <v>1.45</v>
      </c>
    </row>
    <row r="305" spans="1:8" s="124" customFormat="1" ht="30">
      <c r="A305" s="721">
        <v>5061</v>
      </c>
      <c r="B305" s="721"/>
      <c r="C305" s="200" t="s">
        <v>5256</v>
      </c>
      <c r="D305" s="139" t="s">
        <v>13577</v>
      </c>
      <c r="E305" s="209">
        <v>0.81</v>
      </c>
      <c r="F305" s="577" t="s">
        <v>49</v>
      </c>
      <c r="G305" s="210">
        <v>8.0594999999999999</v>
      </c>
      <c r="H305" s="211">
        <f t="shared" si="8"/>
        <v>6.53</v>
      </c>
    </row>
    <row r="306" spans="1:8" s="124" customFormat="1" ht="30">
      <c r="A306" s="721">
        <v>345</v>
      </c>
      <c r="B306" s="721"/>
      <c r="C306" s="200" t="s">
        <v>5256</v>
      </c>
      <c r="D306" s="139" t="s">
        <v>10010</v>
      </c>
      <c r="E306" s="209">
        <v>1.36</v>
      </c>
      <c r="F306" s="577" t="s">
        <v>49</v>
      </c>
      <c r="G306" s="210">
        <v>14.831099999999999</v>
      </c>
      <c r="H306" s="211">
        <f t="shared" si="8"/>
        <v>20.170000000000002</v>
      </c>
    </row>
    <row r="307" spans="1:8" s="124" customFormat="1" ht="45">
      <c r="A307" s="721">
        <v>2692</v>
      </c>
      <c r="B307" s="721"/>
      <c r="C307" s="200" t="s">
        <v>5256</v>
      </c>
      <c r="D307" s="139" t="s">
        <v>11509</v>
      </c>
      <c r="E307" s="209">
        <v>3.31</v>
      </c>
      <c r="F307" s="577" t="s">
        <v>50</v>
      </c>
      <c r="G307" s="210">
        <v>4.9491000000000005</v>
      </c>
      <c r="H307" s="211">
        <f t="shared" si="8"/>
        <v>16.38</v>
      </c>
    </row>
    <row r="308" spans="1:8" s="124" customFormat="1" ht="60">
      <c r="A308" s="721">
        <v>87445</v>
      </c>
      <c r="B308" s="721"/>
      <c r="C308" s="200" t="s">
        <v>5256</v>
      </c>
      <c r="D308" s="139" t="s">
        <v>381</v>
      </c>
      <c r="E308" s="209">
        <v>0.12</v>
      </c>
      <c r="F308" s="577" t="s">
        <v>100</v>
      </c>
      <c r="G308" s="210">
        <v>2.5110000000000001</v>
      </c>
      <c r="H308" s="211">
        <f t="shared" si="8"/>
        <v>0.3</v>
      </c>
    </row>
    <row r="309" spans="1:8" s="124" customFormat="1" ht="90">
      <c r="A309" s="721">
        <v>93402</v>
      </c>
      <c r="B309" s="721"/>
      <c r="C309" s="200" t="s">
        <v>5256</v>
      </c>
      <c r="D309" s="139" t="s">
        <v>445</v>
      </c>
      <c r="E309" s="209">
        <v>0.8</v>
      </c>
      <c r="F309" s="577" t="s">
        <v>100</v>
      </c>
      <c r="G309" s="210">
        <v>110.4759</v>
      </c>
      <c r="H309" s="211">
        <f t="shared" si="8"/>
        <v>88.38</v>
      </c>
    </row>
    <row r="310" spans="1:8" s="124" customFormat="1" ht="60">
      <c r="A310" s="721">
        <v>1523</v>
      </c>
      <c r="B310" s="721"/>
      <c r="C310" s="200" t="s">
        <v>5256</v>
      </c>
      <c r="D310" s="139" t="s">
        <v>11012</v>
      </c>
      <c r="E310" s="209">
        <v>8.3299999999999999E-2</v>
      </c>
      <c r="F310" s="577" t="s">
        <v>45</v>
      </c>
      <c r="G310" s="210">
        <v>196.39260000000002</v>
      </c>
      <c r="H310" s="211">
        <f t="shared" si="8"/>
        <v>16.36</v>
      </c>
    </row>
    <row r="311" spans="1:8" s="124" customFormat="1" ht="105">
      <c r="A311" s="721">
        <v>5875</v>
      </c>
      <c r="B311" s="721"/>
      <c r="C311" s="200" t="s">
        <v>5256</v>
      </c>
      <c r="D311" s="139" t="s">
        <v>355</v>
      </c>
      <c r="E311" s="209">
        <v>1.1999999999999999E-3</v>
      </c>
      <c r="F311" s="577" t="s">
        <v>100</v>
      </c>
      <c r="G311" s="210">
        <v>72.802800000000005</v>
      </c>
      <c r="H311" s="211">
        <f t="shared" si="8"/>
        <v>0.09</v>
      </c>
    </row>
    <row r="312" spans="1:8" s="124" customFormat="1" ht="60">
      <c r="A312" s="721">
        <v>89272</v>
      </c>
      <c r="B312" s="721"/>
      <c r="C312" s="200" t="s">
        <v>5256</v>
      </c>
      <c r="D312" s="139" t="s">
        <v>399</v>
      </c>
      <c r="E312" s="209">
        <v>0.4</v>
      </c>
      <c r="F312" s="577" t="s">
        <v>100</v>
      </c>
      <c r="G312" s="210">
        <v>125.99550000000002</v>
      </c>
      <c r="H312" s="211">
        <f t="shared" si="8"/>
        <v>50.4</v>
      </c>
    </row>
    <row r="313" spans="1:8" s="201" customFormat="1">
      <c r="A313" s="582"/>
      <c r="B313" s="582"/>
      <c r="C313" s="212"/>
      <c r="D313" s="719" t="s">
        <v>127</v>
      </c>
      <c r="E313" s="719"/>
      <c r="F313" s="719"/>
      <c r="G313" s="719"/>
      <c r="H313" s="638">
        <f>SUMIF(F280:F312,("h"),H280:H312)</f>
        <v>488.24000000000007</v>
      </c>
    </row>
    <row r="314" spans="1:8" s="201" customFormat="1">
      <c r="A314" s="582"/>
      <c r="B314" s="582"/>
      <c r="C314" s="212"/>
      <c r="D314" s="719" t="s">
        <v>128</v>
      </c>
      <c r="E314" s="719"/>
      <c r="F314" s="719"/>
      <c r="G314" s="719"/>
      <c r="H314" s="638">
        <f>SUMIF(F280:F312,"&lt;&gt;h",H280:H312)</f>
        <v>1918.0300000000002</v>
      </c>
    </row>
    <row r="315" spans="1:8" s="201" customFormat="1">
      <c r="A315" s="582"/>
      <c r="B315" s="582"/>
      <c r="C315" s="212"/>
      <c r="D315" s="718" t="s">
        <v>129</v>
      </c>
      <c r="E315" s="718"/>
      <c r="F315" s="718"/>
      <c r="G315" s="718"/>
      <c r="H315" s="213">
        <f>SUM(H313:H314)</f>
        <v>2406.2700000000004</v>
      </c>
    </row>
    <row r="316" spans="1:8" s="201" customFormat="1">
      <c r="A316" s="582"/>
      <c r="B316" s="582"/>
      <c r="C316" s="212"/>
      <c r="D316" s="719" t="s">
        <v>28</v>
      </c>
      <c r="E316" s="719"/>
      <c r="F316" s="719"/>
      <c r="G316" s="719"/>
      <c r="H316" s="639">
        <f>E279</f>
        <v>175.08</v>
      </c>
    </row>
    <row r="317" spans="1:8" s="201" customFormat="1">
      <c r="A317" s="582"/>
      <c r="B317" s="582"/>
      <c r="C317" s="212"/>
      <c r="D317" s="718" t="s">
        <v>130</v>
      </c>
      <c r="E317" s="718"/>
      <c r="F317" s="718"/>
      <c r="G317" s="718"/>
      <c r="H317" s="213">
        <f>ROUND(H315*H316,2)</f>
        <v>421289.75</v>
      </c>
    </row>
    <row r="318" spans="1:8" s="201" customFormat="1">
      <c r="A318" s="582"/>
      <c r="B318" s="582"/>
      <c r="C318" s="212"/>
      <c r="D318" s="719" t="s">
        <v>15559</v>
      </c>
      <c r="E318" s="719"/>
      <c r="F318" s="719"/>
      <c r="G318" s="719"/>
      <c r="H318" s="638">
        <f>ROUND(H315*$B$13,2)</f>
        <v>648.01</v>
      </c>
    </row>
    <row r="319" spans="1:8">
      <c r="A319" s="582"/>
      <c r="B319" s="582"/>
      <c r="C319" s="212"/>
      <c r="D319" s="718" t="s">
        <v>9661</v>
      </c>
      <c r="E319" s="718"/>
      <c r="F319" s="718"/>
      <c r="G319" s="718"/>
      <c r="H319" s="213">
        <f>H318+H315</f>
        <v>3054.2800000000007</v>
      </c>
    </row>
    <row r="321" spans="1:8" s="201" customFormat="1">
      <c r="A321" s="123" t="s">
        <v>6</v>
      </c>
      <c r="B321" s="720" t="s">
        <v>7</v>
      </c>
      <c r="C321" s="720"/>
      <c r="D321" s="202" t="s">
        <v>124</v>
      </c>
      <c r="E321" s="167" t="s">
        <v>6334</v>
      </c>
      <c r="F321" s="202" t="s">
        <v>31</v>
      </c>
      <c r="G321" s="203" t="s">
        <v>125</v>
      </c>
      <c r="H321" s="204" t="s">
        <v>126</v>
      </c>
    </row>
    <row r="322" spans="1:8" s="208" customFormat="1" ht="60">
      <c r="A322" s="581" t="str">
        <f>'Orç - Prédio'!A85</f>
        <v>03.02.340</v>
      </c>
      <c r="B322" s="581" t="str">
        <f>'Orç - Prédio'!B85</f>
        <v>CPOS</v>
      </c>
      <c r="C322" s="581" t="str">
        <f>'Orç - Prédio'!C85</f>
        <v>13.03.150</v>
      </c>
      <c r="D322" s="205" t="s">
        <v>9654</v>
      </c>
      <c r="E322" s="206">
        <v>1931.39</v>
      </c>
      <c r="F322" s="581" t="s">
        <v>6339</v>
      </c>
      <c r="G322" s="207">
        <f>VLOOKUP("CUSTO TOTAL UNIT.:",D323:$H$30004,5,FALSE)</f>
        <v>171.91</v>
      </c>
      <c r="H322" s="637">
        <f>VLOOKUP("CUSTO TOTAL:",D323:$H$30004,5,FALSE)</f>
        <v>332025.25</v>
      </c>
    </row>
    <row r="323" spans="1:8" s="124" customFormat="1" ht="30">
      <c r="A323" s="721">
        <v>88309</v>
      </c>
      <c r="B323" s="721"/>
      <c r="C323" s="200" t="s">
        <v>5256</v>
      </c>
      <c r="D323" s="139" t="s">
        <v>90</v>
      </c>
      <c r="E323" s="209">
        <v>0.16</v>
      </c>
      <c r="F323" s="577" t="s">
        <v>67</v>
      </c>
      <c r="G323" s="210">
        <v>15.608700000000001</v>
      </c>
      <c r="H323" s="211">
        <f t="shared" ref="H323:H332" si="9">ROUND(G323*E323,2)</f>
        <v>2.5</v>
      </c>
    </row>
    <row r="324" spans="1:8" s="124" customFormat="1" ht="30">
      <c r="A324" s="721">
        <v>88316</v>
      </c>
      <c r="B324" s="721"/>
      <c r="C324" s="200" t="s">
        <v>5256</v>
      </c>
      <c r="D324" s="139" t="s">
        <v>66</v>
      </c>
      <c r="E324" s="209">
        <v>0.24</v>
      </c>
      <c r="F324" s="577" t="s">
        <v>67</v>
      </c>
      <c r="G324" s="210">
        <v>11.631600000000001</v>
      </c>
      <c r="H324" s="211">
        <f t="shared" si="9"/>
        <v>2.79</v>
      </c>
    </row>
    <row r="325" spans="1:8" s="124" customFormat="1" ht="30">
      <c r="A325" s="721">
        <v>370</v>
      </c>
      <c r="B325" s="721"/>
      <c r="C325" s="200" t="s">
        <v>5256</v>
      </c>
      <c r="D325" s="139" t="s">
        <v>10018</v>
      </c>
      <c r="E325" s="209">
        <v>6.6E-3</v>
      </c>
      <c r="F325" s="577" t="s">
        <v>45</v>
      </c>
      <c r="G325" s="210">
        <v>72.227700000000013</v>
      </c>
      <c r="H325" s="211">
        <f t="shared" si="9"/>
        <v>0.48</v>
      </c>
    </row>
    <row r="326" spans="1:8" s="124" customFormat="1">
      <c r="A326" s="721">
        <v>1379</v>
      </c>
      <c r="B326" s="721"/>
      <c r="C326" s="200" t="s">
        <v>5256</v>
      </c>
      <c r="D326" s="139" t="s">
        <v>10940</v>
      </c>
      <c r="E326" s="209">
        <v>4.0209999999999999</v>
      </c>
      <c r="F326" s="577" t="s">
        <v>49</v>
      </c>
      <c r="G326" s="210">
        <v>0.33210000000000001</v>
      </c>
      <c r="H326" s="211">
        <f t="shared" si="9"/>
        <v>1.34</v>
      </c>
    </row>
    <row r="327" spans="1:8" s="124" customFormat="1" ht="45">
      <c r="A327" s="721">
        <v>4720</v>
      </c>
      <c r="B327" s="721"/>
      <c r="C327" s="200" t="s">
        <v>5256</v>
      </c>
      <c r="D327" s="139" t="s">
        <v>13268</v>
      </c>
      <c r="E327" s="209">
        <v>8.8000000000000005E-3</v>
      </c>
      <c r="F327" s="577" t="s">
        <v>45</v>
      </c>
      <c r="G327" s="210">
        <v>84.466800000000006</v>
      </c>
      <c r="H327" s="211">
        <f t="shared" si="9"/>
        <v>0.74</v>
      </c>
    </row>
    <row r="328" spans="1:8" s="124" customFormat="1" ht="75">
      <c r="A328" s="721">
        <v>7155</v>
      </c>
      <c r="B328" s="721"/>
      <c r="C328" s="200" t="s">
        <v>5256</v>
      </c>
      <c r="D328" s="139" t="s">
        <v>14222</v>
      </c>
      <c r="E328" s="209">
        <v>1</v>
      </c>
      <c r="F328" s="577" t="s">
        <v>46</v>
      </c>
      <c r="G328" s="210">
        <v>10.9674</v>
      </c>
      <c r="H328" s="211">
        <f t="shared" si="9"/>
        <v>10.97</v>
      </c>
    </row>
    <row r="329" spans="1:8" s="124" customFormat="1" ht="60">
      <c r="A329" s="721">
        <v>34493</v>
      </c>
      <c r="B329" s="721"/>
      <c r="C329" s="200" t="s">
        <v>5256</v>
      </c>
      <c r="D329" s="139" t="s">
        <v>10995</v>
      </c>
      <c r="E329" s="209">
        <v>5.5E-2</v>
      </c>
      <c r="F329" s="577" t="s">
        <v>45</v>
      </c>
      <c r="G329" s="210">
        <v>202.52430000000001</v>
      </c>
      <c r="H329" s="211">
        <f t="shared" si="9"/>
        <v>11.14</v>
      </c>
    </row>
    <row r="330" spans="1:8" s="124" customFormat="1" ht="30">
      <c r="A330" s="721" t="s">
        <v>6760</v>
      </c>
      <c r="B330" s="721"/>
      <c r="C330" s="184" t="s">
        <v>6753</v>
      </c>
      <c r="D330" s="185" t="s">
        <v>6761</v>
      </c>
      <c r="E330" s="209">
        <v>4.1200000000000001E-2</v>
      </c>
      <c r="F330" s="577" t="s">
        <v>49</v>
      </c>
      <c r="G330" s="174">
        <v>7.2090000000000005</v>
      </c>
      <c r="H330" s="211">
        <f t="shared" si="9"/>
        <v>0.3</v>
      </c>
    </row>
    <row r="331" spans="1:8" s="124" customFormat="1" ht="30">
      <c r="A331" s="721" t="s">
        <v>15546</v>
      </c>
      <c r="B331" s="721"/>
      <c r="C331" s="184" t="s">
        <v>6753</v>
      </c>
      <c r="D331" s="185" t="s">
        <v>6762</v>
      </c>
      <c r="E331" s="209">
        <v>1</v>
      </c>
      <c r="F331" s="577" t="s">
        <v>46</v>
      </c>
      <c r="G331" s="174">
        <v>133.25323932000001</v>
      </c>
      <c r="H331" s="211">
        <f t="shared" si="9"/>
        <v>133.25</v>
      </c>
    </row>
    <row r="332" spans="1:8" s="124" customFormat="1" ht="60">
      <c r="A332" s="721">
        <v>89272</v>
      </c>
      <c r="B332" s="721"/>
      <c r="C332" s="200" t="s">
        <v>5256</v>
      </c>
      <c r="D332" s="139" t="s">
        <v>399</v>
      </c>
      <c r="E332" s="209">
        <v>6.6699999999999995E-2</v>
      </c>
      <c r="F332" s="577" t="s">
        <v>100</v>
      </c>
      <c r="G332" s="210">
        <v>125.99550000000002</v>
      </c>
      <c r="H332" s="211">
        <f t="shared" si="9"/>
        <v>8.4</v>
      </c>
    </row>
    <row r="333" spans="1:8" s="201" customFormat="1">
      <c r="A333" s="582"/>
      <c r="B333" s="582"/>
      <c r="C333" s="212"/>
      <c r="D333" s="719" t="s">
        <v>127</v>
      </c>
      <c r="E333" s="719"/>
      <c r="F333" s="719"/>
      <c r="G333" s="719"/>
      <c r="H333" s="638">
        <f>SUMIF(F323:F332,("h"),H323:H332)</f>
        <v>5.29</v>
      </c>
    </row>
    <row r="334" spans="1:8" s="201" customFormat="1">
      <c r="A334" s="582"/>
      <c r="B334" s="582"/>
      <c r="C334" s="212"/>
      <c r="D334" s="719" t="s">
        <v>128</v>
      </c>
      <c r="E334" s="719"/>
      <c r="F334" s="719"/>
      <c r="G334" s="719"/>
      <c r="H334" s="638">
        <f>SUMIF(F323:F332,"&lt;&gt;h",H323:H332)</f>
        <v>166.62</v>
      </c>
    </row>
    <row r="335" spans="1:8" s="201" customFormat="1">
      <c r="A335" s="582"/>
      <c r="B335" s="582"/>
      <c r="C335" s="212"/>
      <c r="D335" s="718" t="s">
        <v>129</v>
      </c>
      <c r="E335" s="718"/>
      <c r="F335" s="718"/>
      <c r="G335" s="718"/>
      <c r="H335" s="213">
        <f>SUM(H333:H334)</f>
        <v>171.91</v>
      </c>
    </row>
    <row r="336" spans="1:8" s="201" customFormat="1">
      <c r="A336" s="582"/>
      <c r="B336" s="582"/>
      <c r="C336" s="212"/>
      <c r="D336" s="719" t="s">
        <v>28</v>
      </c>
      <c r="E336" s="719"/>
      <c r="F336" s="719"/>
      <c r="G336" s="719"/>
      <c r="H336" s="639">
        <f>E322</f>
        <v>1931.39</v>
      </c>
    </row>
    <row r="337" spans="1:8" s="201" customFormat="1">
      <c r="A337" s="582"/>
      <c r="B337" s="582"/>
      <c r="C337" s="212"/>
      <c r="D337" s="718" t="s">
        <v>130</v>
      </c>
      <c r="E337" s="718"/>
      <c r="F337" s="718"/>
      <c r="G337" s="718"/>
      <c r="H337" s="213">
        <f>ROUND(H335*H336,2)</f>
        <v>332025.25</v>
      </c>
    </row>
    <row r="338" spans="1:8" s="201" customFormat="1">
      <c r="A338" s="582"/>
      <c r="B338" s="582"/>
      <c r="C338" s="212"/>
      <c r="D338" s="719" t="s">
        <v>15559</v>
      </c>
      <c r="E338" s="719"/>
      <c r="F338" s="719"/>
      <c r="G338" s="719"/>
      <c r="H338" s="638">
        <f>ROUND(H335*$B$13,2)</f>
        <v>46.3</v>
      </c>
    </row>
    <row r="339" spans="1:8">
      <c r="A339" s="582"/>
      <c r="B339" s="582"/>
      <c r="C339" s="212"/>
      <c r="D339" s="718" t="s">
        <v>9661</v>
      </c>
      <c r="E339" s="718"/>
      <c r="F339" s="718"/>
      <c r="G339" s="718"/>
      <c r="H339" s="213">
        <f>H338+H335</f>
        <v>218.20999999999998</v>
      </c>
    </row>
    <row r="340" spans="1:8">
      <c r="A340" s="727" t="s">
        <v>15547</v>
      </c>
      <c r="B340" s="727"/>
      <c r="C340" s="727"/>
      <c r="D340" s="727"/>
      <c r="E340" s="727"/>
      <c r="F340" s="727"/>
      <c r="G340" s="727"/>
      <c r="H340" s="727"/>
    </row>
    <row r="342" spans="1:8" s="201" customFormat="1">
      <c r="A342" s="123" t="s">
        <v>6</v>
      </c>
      <c r="B342" s="720" t="s">
        <v>7</v>
      </c>
      <c r="C342" s="720"/>
      <c r="D342" s="202" t="s">
        <v>124</v>
      </c>
      <c r="E342" s="167" t="s">
        <v>6334</v>
      </c>
      <c r="F342" s="202" t="s">
        <v>31</v>
      </c>
      <c r="G342" s="203" t="s">
        <v>125</v>
      </c>
      <c r="H342" s="204" t="s">
        <v>126</v>
      </c>
    </row>
    <row r="343" spans="1:8" s="208" customFormat="1" ht="30">
      <c r="A343" s="581" t="str">
        <f>'Orç - Prédio'!A90</f>
        <v>03.03.201.01</v>
      </c>
      <c r="B343" s="581" t="str">
        <f>'Orç - Prédio'!B90</f>
        <v>ORSE</v>
      </c>
      <c r="C343" s="581" t="str">
        <f>'Orç - Prédio'!C90</f>
        <v>13120 INSUMO</v>
      </c>
      <c r="D343" s="240" t="s">
        <v>9621</v>
      </c>
      <c r="E343" s="206">
        <v>1092.0664000000002</v>
      </c>
      <c r="F343" s="581" t="s">
        <v>6744</v>
      </c>
      <c r="G343" s="207">
        <f>VLOOKUP("CUSTO TOTAL UNIT.:",D344:$H$30004,5,FALSE)</f>
        <v>5.45</v>
      </c>
      <c r="H343" s="637">
        <f>VLOOKUP("CUSTO TOTAL:",D344:$H$30004,5,FALSE)</f>
        <v>5951.76</v>
      </c>
    </row>
    <row r="344" spans="1:8" s="124" customFormat="1" ht="30">
      <c r="A344" s="721">
        <v>13120</v>
      </c>
      <c r="B344" s="721"/>
      <c r="C344" s="200" t="s">
        <v>6333</v>
      </c>
      <c r="D344" s="139" t="s">
        <v>9622</v>
      </c>
      <c r="E344" s="209">
        <v>1</v>
      </c>
      <c r="F344" s="577" t="s">
        <v>315</v>
      </c>
      <c r="G344" s="210">
        <v>5.4513000000000007</v>
      </c>
      <c r="H344" s="211">
        <f>ROUND(G344*E344,2)</f>
        <v>5.45</v>
      </c>
    </row>
    <row r="345" spans="1:8" s="201" customFormat="1">
      <c r="A345" s="582"/>
      <c r="B345" s="582"/>
      <c r="C345" s="212"/>
      <c r="D345" s="719" t="s">
        <v>127</v>
      </c>
      <c r="E345" s="719"/>
      <c r="F345" s="719"/>
      <c r="G345" s="719"/>
      <c r="H345" s="638">
        <f>SUMIF(F344:F344,("h"),H344:H344)</f>
        <v>0</v>
      </c>
    </row>
    <row r="346" spans="1:8" s="201" customFormat="1">
      <c r="A346" s="582"/>
      <c r="B346" s="582"/>
      <c r="C346" s="212"/>
      <c r="D346" s="719" t="s">
        <v>128</v>
      </c>
      <c r="E346" s="719"/>
      <c r="F346" s="719"/>
      <c r="G346" s="719"/>
      <c r="H346" s="638">
        <f>SUMIF(F344:F344,"&lt;&gt;h",H344:H344)</f>
        <v>5.45</v>
      </c>
    </row>
    <row r="347" spans="1:8" s="201" customFormat="1">
      <c r="A347" s="582"/>
      <c r="B347" s="582"/>
      <c r="C347" s="212"/>
      <c r="D347" s="718" t="s">
        <v>129</v>
      </c>
      <c r="E347" s="718"/>
      <c r="F347" s="718"/>
      <c r="G347" s="718"/>
      <c r="H347" s="213">
        <f>SUM(H345:H346)</f>
        <v>5.45</v>
      </c>
    </row>
    <row r="348" spans="1:8" s="201" customFormat="1">
      <c r="A348" s="582"/>
      <c r="B348" s="582"/>
      <c r="C348" s="212"/>
      <c r="D348" s="719" t="s">
        <v>28</v>
      </c>
      <c r="E348" s="719"/>
      <c r="F348" s="719"/>
      <c r="G348" s="719"/>
      <c r="H348" s="639">
        <f>E343</f>
        <v>1092.0664000000002</v>
      </c>
    </row>
    <row r="349" spans="1:8" s="201" customFormat="1">
      <c r="A349" s="582"/>
      <c r="B349" s="582"/>
      <c r="C349" s="212"/>
      <c r="D349" s="718" t="s">
        <v>130</v>
      </c>
      <c r="E349" s="718"/>
      <c r="F349" s="718"/>
      <c r="G349" s="718"/>
      <c r="H349" s="213">
        <f>ROUND(H347*H348,2)</f>
        <v>5951.76</v>
      </c>
    </row>
    <row r="350" spans="1:8" s="201" customFormat="1">
      <c r="A350" s="582"/>
      <c r="B350" s="582"/>
      <c r="C350" s="212"/>
      <c r="D350" s="719" t="s">
        <v>15559</v>
      </c>
      <c r="E350" s="719"/>
      <c r="F350" s="719"/>
      <c r="G350" s="719"/>
      <c r="H350" s="638">
        <f>ROUND(H347*$B$13,2)</f>
        <v>1.47</v>
      </c>
    </row>
    <row r="351" spans="1:8">
      <c r="A351" s="582"/>
      <c r="B351" s="582"/>
      <c r="C351" s="212"/>
      <c r="D351" s="718" t="s">
        <v>9661</v>
      </c>
      <c r="E351" s="718"/>
      <c r="F351" s="718"/>
      <c r="G351" s="718"/>
      <c r="H351" s="213">
        <f>H350+H347</f>
        <v>6.92</v>
      </c>
    </row>
    <row r="353" spans="1:8" s="201" customFormat="1">
      <c r="A353" s="123" t="s">
        <v>6</v>
      </c>
      <c r="B353" s="720" t="s">
        <v>7</v>
      </c>
      <c r="C353" s="720"/>
      <c r="D353" s="202" t="s">
        <v>124</v>
      </c>
      <c r="E353" s="167" t="s">
        <v>6334</v>
      </c>
      <c r="F353" s="202" t="s">
        <v>31</v>
      </c>
      <c r="G353" s="203" t="s">
        <v>125</v>
      </c>
      <c r="H353" s="204" t="s">
        <v>126</v>
      </c>
    </row>
    <row r="354" spans="1:8" s="208" customFormat="1" ht="30" customHeight="1">
      <c r="A354" s="581" t="str">
        <f>'Orç - Prédio'!A91</f>
        <v>03.03.201.02</v>
      </c>
      <c r="B354" s="726" t="str">
        <f>'Orç - Prédio'!B91</f>
        <v>Pesquisa de Mercado</v>
      </c>
      <c r="C354" s="726"/>
      <c r="D354" s="240" t="s">
        <v>9625</v>
      </c>
      <c r="E354" s="206">
        <v>833.00850000000014</v>
      </c>
      <c r="F354" s="581" t="s">
        <v>6744</v>
      </c>
      <c r="G354" s="207">
        <f>VLOOKUP("CUSTO TOTAL UNIT.:",D355:$H$30004,5,FALSE)</f>
        <v>6.11</v>
      </c>
      <c r="H354" s="637">
        <f>VLOOKUP("CUSTO TOTAL:",D355:$H$30004,5,FALSE)</f>
        <v>5089.68</v>
      </c>
    </row>
    <row r="355" spans="1:8" s="124" customFormat="1" ht="30">
      <c r="A355" s="721" t="s">
        <v>7394</v>
      </c>
      <c r="B355" s="721"/>
      <c r="C355" s="721"/>
      <c r="D355" s="139" t="s">
        <v>9647</v>
      </c>
      <c r="E355" s="209">
        <v>0.65359477124183007</v>
      </c>
      <c r="F355" s="577" t="s">
        <v>139</v>
      </c>
      <c r="G355" s="210">
        <v>9.3433499999999992</v>
      </c>
      <c r="H355" s="211">
        <f>ROUND(G355*E355,2)</f>
        <v>6.11</v>
      </c>
    </row>
    <row r="356" spans="1:8" s="201" customFormat="1">
      <c r="A356" s="582"/>
      <c r="B356" s="582"/>
      <c r="C356" s="212"/>
      <c r="D356" s="719" t="s">
        <v>127</v>
      </c>
      <c r="E356" s="719"/>
      <c r="F356" s="719"/>
      <c r="G356" s="719"/>
      <c r="H356" s="638">
        <f>SUMIF(F355:F355,("h"),H355:H355)</f>
        <v>0</v>
      </c>
    </row>
    <row r="357" spans="1:8" s="201" customFormat="1">
      <c r="A357" s="582"/>
      <c r="B357" s="582"/>
      <c r="C357" s="212"/>
      <c r="D357" s="719" t="s">
        <v>128</v>
      </c>
      <c r="E357" s="719"/>
      <c r="F357" s="719"/>
      <c r="G357" s="719"/>
      <c r="H357" s="638">
        <f>SUMIF(F355:F355,"&lt;&gt;h",H355:H355)</f>
        <v>6.11</v>
      </c>
    </row>
    <row r="358" spans="1:8" s="201" customFormat="1">
      <c r="A358" s="582"/>
      <c r="B358" s="582"/>
      <c r="C358" s="212"/>
      <c r="D358" s="718" t="s">
        <v>129</v>
      </c>
      <c r="E358" s="718"/>
      <c r="F358" s="718"/>
      <c r="G358" s="718"/>
      <c r="H358" s="213">
        <f>SUM(H356:H357)</f>
        <v>6.11</v>
      </c>
    </row>
    <row r="359" spans="1:8" s="201" customFormat="1">
      <c r="A359" s="582"/>
      <c r="B359" s="582"/>
      <c r="C359" s="212"/>
      <c r="D359" s="719" t="s">
        <v>28</v>
      </c>
      <c r="E359" s="719"/>
      <c r="F359" s="719"/>
      <c r="G359" s="719"/>
      <c r="H359" s="639">
        <f>E354</f>
        <v>833.00850000000014</v>
      </c>
    </row>
    <row r="360" spans="1:8" s="201" customFormat="1">
      <c r="A360" s="582"/>
      <c r="B360" s="582"/>
      <c r="C360" s="212"/>
      <c r="D360" s="718" t="s">
        <v>130</v>
      </c>
      <c r="E360" s="718"/>
      <c r="F360" s="718"/>
      <c r="G360" s="718"/>
      <c r="H360" s="213">
        <f>ROUND(H358*H359,2)</f>
        <v>5089.68</v>
      </c>
    </row>
    <row r="361" spans="1:8" s="201" customFormat="1">
      <c r="A361" s="582"/>
      <c r="B361" s="582"/>
      <c r="C361" s="212"/>
      <c r="D361" s="719" t="s">
        <v>15559</v>
      </c>
      <c r="E361" s="719"/>
      <c r="F361" s="719"/>
      <c r="G361" s="719"/>
      <c r="H361" s="638">
        <f>ROUND(H358*$B$13,2)</f>
        <v>1.65</v>
      </c>
    </row>
    <row r="362" spans="1:8">
      <c r="A362" s="582"/>
      <c r="B362" s="582"/>
      <c r="C362" s="212"/>
      <c r="D362" s="718" t="s">
        <v>9661</v>
      </c>
      <c r="E362" s="718"/>
      <c r="F362" s="718"/>
      <c r="G362" s="718"/>
      <c r="H362" s="213">
        <f>H361+H358</f>
        <v>7.76</v>
      </c>
    </row>
    <row r="364" spans="1:8" s="201" customFormat="1">
      <c r="A364" s="123" t="s">
        <v>6</v>
      </c>
      <c r="B364" s="720" t="s">
        <v>7</v>
      </c>
      <c r="C364" s="720"/>
      <c r="D364" s="202" t="s">
        <v>124</v>
      </c>
      <c r="E364" s="167" t="s">
        <v>6334</v>
      </c>
      <c r="F364" s="202" t="s">
        <v>31</v>
      </c>
      <c r="G364" s="203" t="s">
        <v>125</v>
      </c>
      <c r="H364" s="204" t="s">
        <v>126</v>
      </c>
    </row>
    <row r="365" spans="1:8" s="208" customFormat="1" ht="30">
      <c r="A365" s="581" t="str">
        <f>'Orç - Prédio'!A92</f>
        <v>03.03.201.03</v>
      </c>
      <c r="B365" s="581" t="str">
        <f>'Orç - Prédio'!B92</f>
        <v>SINAPI</v>
      </c>
      <c r="C365" s="581" t="str">
        <f>'Orç - Prédio'!C92</f>
        <v>92580 MOD</v>
      </c>
      <c r="D365" s="205" t="s">
        <v>9632</v>
      </c>
      <c r="E365" s="206">
        <v>879.5</v>
      </c>
      <c r="F365" s="581" t="s">
        <v>6339</v>
      </c>
      <c r="G365" s="207">
        <f>VLOOKUP("CUSTO TOTAL UNIT.:",D366:$H$30004,5,FALSE)</f>
        <v>3.9799999999999995</v>
      </c>
      <c r="H365" s="637">
        <f>VLOOKUP("CUSTO TOTAL:",D366:$H$30004,5,FALSE)</f>
        <v>3500.41</v>
      </c>
    </row>
    <row r="366" spans="1:8" s="124" customFormat="1" ht="30">
      <c r="A366" s="721">
        <v>88278</v>
      </c>
      <c r="B366" s="721"/>
      <c r="C366" s="200" t="s">
        <v>5256</v>
      </c>
      <c r="D366" s="139" t="s">
        <v>5109</v>
      </c>
      <c r="E366" s="209">
        <v>0.21299999999999999</v>
      </c>
      <c r="F366" s="577" t="s">
        <v>67</v>
      </c>
      <c r="G366" s="210">
        <v>11.9556</v>
      </c>
      <c r="H366" s="211">
        <f>ROUND(G366*E366,2)</f>
        <v>2.5499999999999998</v>
      </c>
    </row>
    <row r="367" spans="1:8" s="124" customFormat="1" ht="30">
      <c r="A367" s="721">
        <v>88316</v>
      </c>
      <c r="B367" s="721"/>
      <c r="C367" s="200" t="s">
        <v>5256</v>
      </c>
      <c r="D367" s="139" t="s">
        <v>66</v>
      </c>
      <c r="E367" s="209">
        <v>0.105</v>
      </c>
      <c r="F367" s="577" t="s">
        <v>67</v>
      </c>
      <c r="G367" s="210">
        <v>11.631600000000001</v>
      </c>
      <c r="H367" s="211">
        <f>ROUND(G367*E367,2)</f>
        <v>1.22</v>
      </c>
    </row>
    <row r="368" spans="1:8" s="124" customFormat="1" ht="60">
      <c r="A368" s="721">
        <v>93281</v>
      </c>
      <c r="B368" s="721"/>
      <c r="C368" s="200" t="s">
        <v>5256</v>
      </c>
      <c r="D368" s="139" t="s">
        <v>443</v>
      </c>
      <c r="E368" s="209">
        <v>6.7000000000000002E-3</v>
      </c>
      <c r="F368" s="577" t="s">
        <v>100</v>
      </c>
      <c r="G368" s="210">
        <v>13.130100000000002</v>
      </c>
      <c r="H368" s="211">
        <f>ROUND(G368*E368,2)</f>
        <v>0.09</v>
      </c>
    </row>
    <row r="369" spans="1:8" s="124" customFormat="1" ht="60">
      <c r="A369" s="721">
        <v>93282</v>
      </c>
      <c r="B369" s="721"/>
      <c r="C369" s="200" t="s">
        <v>5256</v>
      </c>
      <c r="D369" s="139" t="s">
        <v>584</v>
      </c>
      <c r="E369" s="209">
        <v>9.2999999999999992E-3</v>
      </c>
      <c r="F369" s="577" t="s">
        <v>101</v>
      </c>
      <c r="G369" s="210">
        <v>12.5145</v>
      </c>
      <c r="H369" s="211">
        <f>ROUND(G369*E369,2)</f>
        <v>0.12</v>
      </c>
    </row>
    <row r="370" spans="1:8" s="201" customFormat="1">
      <c r="A370" s="582"/>
      <c r="B370" s="582"/>
      <c r="C370" s="212"/>
      <c r="D370" s="719" t="s">
        <v>127</v>
      </c>
      <c r="E370" s="719"/>
      <c r="F370" s="719"/>
      <c r="G370" s="719"/>
      <c r="H370" s="638">
        <f>SUMIF(F366:F369,("h"),H366:H369)</f>
        <v>3.7699999999999996</v>
      </c>
    </row>
    <row r="371" spans="1:8" s="201" customFormat="1">
      <c r="A371" s="582"/>
      <c r="B371" s="582"/>
      <c r="C371" s="212"/>
      <c r="D371" s="719" t="s">
        <v>128</v>
      </c>
      <c r="E371" s="719"/>
      <c r="F371" s="719"/>
      <c r="G371" s="719"/>
      <c r="H371" s="638">
        <f>SUMIF(F366:F369,"&lt;&gt;h",H366:H369)</f>
        <v>0.21</v>
      </c>
    </row>
    <row r="372" spans="1:8" s="201" customFormat="1">
      <c r="A372" s="582"/>
      <c r="B372" s="582"/>
      <c r="C372" s="212"/>
      <c r="D372" s="718" t="s">
        <v>129</v>
      </c>
      <c r="E372" s="718"/>
      <c r="F372" s="718"/>
      <c r="G372" s="718"/>
      <c r="H372" s="213">
        <f>SUM(H370:H371)</f>
        <v>3.9799999999999995</v>
      </c>
    </row>
    <row r="373" spans="1:8" s="201" customFormat="1">
      <c r="A373" s="582"/>
      <c r="B373" s="582"/>
      <c r="C373" s="212"/>
      <c r="D373" s="719" t="s">
        <v>28</v>
      </c>
      <c r="E373" s="719"/>
      <c r="F373" s="719"/>
      <c r="G373" s="719"/>
      <c r="H373" s="639">
        <f>E365</f>
        <v>879.5</v>
      </c>
    </row>
    <row r="374" spans="1:8" s="201" customFormat="1">
      <c r="A374" s="582"/>
      <c r="B374" s="582"/>
      <c r="C374" s="212"/>
      <c r="D374" s="718" t="s">
        <v>130</v>
      </c>
      <c r="E374" s="718"/>
      <c r="F374" s="718"/>
      <c r="G374" s="718"/>
      <c r="H374" s="213">
        <f>ROUND(H372*H373,2)</f>
        <v>3500.41</v>
      </c>
    </row>
    <row r="375" spans="1:8" s="201" customFormat="1">
      <c r="A375" s="582"/>
      <c r="B375" s="582"/>
      <c r="C375" s="212"/>
      <c r="D375" s="719" t="s">
        <v>15559</v>
      </c>
      <c r="E375" s="719"/>
      <c r="F375" s="719"/>
      <c r="G375" s="719"/>
      <c r="H375" s="638">
        <f>ROUND(H372*$B$13,2)</f>
        <v>1.07</v>
      </c>
    </row>
    <row r="376" spans="1:8">
      <c r="A376" s="582"/>
      <c r="B376" s="582"/>
      <c r="C376" s="212"/>
      <c r="D376" s="718" t="s">
        <v>9661</v>
      </c>
      <c r="E376" s="718"/>
      <c r="F376" s="718"/>
      <c r="G376" s="718"/>
      <c r="H376" s="213">
        <f>H375+H372</f>
        <v>5.05</v>
      </c>
    </row>
    <row r="378" spans="1:8" s="201" customFormat="1">
      <c r="A378" s="123" t="s">
        <v>6</v>
      </c>
      <c r="B378" s="720" t="s">
        <v>7</v>
      </c>
      <c r="C378" s="720"/>
      <c r="D378" s="202" t="s">
        <v>124</v>
      </c>
      <c r="E378" s="167" t="s">
        <v>6334</v>
      </c>
      <c r="F378" s="202" t="s">
        <v>31</v>
      </c>
      <c r="G378" s="203" t="s">
        <v>125</v>
      </c>
      <c r="H378" s="204" t="s">
        <v>126</v>
      </c>
    </row>
    <row r="379" spans="1:8" s="208" customFormat="1" ht="60">
      <c r="A379" s="581" t="str">
        <f>'Orç - Prédio'!A93</f>
        <v>03.03.201.04</v>
      </c>
      <c r="B379" s="581" t="str">
        <f>'Orç - Prédio'!B93</f>
        <v>SINAPI</v>
      </c>
      <c r="C379" s="581" t="str">
        <f>'Orç - Prédio'!C93</f>
        <v>73970/1 MOD</v>
      </c>
      <c r="D379" s="205" t="s">
        <v>9567</v>
      </c>
      <c r="E379" s="206">
        <v>823.8839999999999</v>
      </c>
      <c r="F379" s="581" t="s">
        <v>6744</v>
      </c>
      <c r="G379" s="207">
        <f>VLOOKUP("CUSTO TOTAL UNIT.:",D380:$H$30004,5,FALSE)</f>
        <v>9.18</v>
      </c>
      <c r="H379" s="637">
        <f>VLOOKUP("CUSTO TOTAL:",D380:$H$30004,5,FALSE)</f>
        <v>7563.26</v>
      </c>
    </row>
    <row r="380" spans="1:8" s="124" customFormat="1">
      <c r="A380" s="721">
        <v>13120</v>
      </c>
      <c r="B380" s="721"/>
      <c r="C380" s="200" t="s">
        <v>6333</v>
      </c>
      <c r="D380" s="139" t="s">
        <v>9569</v>
      </c>
      <c r="E380" s="209">
        <v>1</v>
      </c>
      <c r="F380" s="577" t="s">
        <v>315</v>
      </c>
      <c r="G380" s="210">
        <v>5.4513000000000007</v>
      </c>
      <c r="H380" s="211">
        <f t="shared" ref="H380:H385" si="10">ROUND(G380*E380,2)</f>
        <v>5.45</v>
      </c>
    </row>
    <row r="381" spans="1:8" s="124" customFormat="1" ht="30">
      <c r="A381" s="721">
        <v>88315</v>
      </c>
      <c r="B381" s="721"/>
      <c r="C381" s="200" t="s">
        <v>5256</v>
      </c>
      <c r="D381" s="139" t="s">
        <v>112</v>
      </c>
      <c r="E381" s="209">
        <v>0.12</v>
      </c>
      <c r="F381" s="577" t="s">
        <v>67</v>
      </c>
      <c r="G381" s="210">
        <v>15.519600000000001</v>
      </c>
      <c r="H381" s="211">
        <f t="shared" si="10"/>
        <v>1.86</v>
      </c>
    </row>
    <row r="382" spans="1:8" s="124" customFormat="1" ht="30">
      <c r="A382" s="721">
        <v>88316</v>
      </c>
      <c r="B382" s="721"/>
      <c r="C382" s="200" t="s">
        <v>5256</v>
      </c>
      <c r="D382" s="139" t="s">
        <v>66</v>
      </c>
      <c r="E382" s="209">
        <v>0.12</v>
      </c>
      <c r="F382" s="577" t="s">
        <v>67</v>
      </c>
      <c r="G382" s="210">
        <v>11.631600000000001</v>
      </c>
      <c r="H382" s="211">
        <f t="shared" si="10"/>
        <v>1.4</v>
      </c>
    </row>
    <row r="383" spans="1:8" s="124" customFormat="1" ht="45">
      <c r="A383" s="721">
        <v>98746</v>
      </c>
      <c r="B383" s="721"/>
      <c r="C383" s="200" t="s">
        <v>5256</v>
      </c>
      <c r="D383" s="139" t="s">
        <v>7542</v>
      </c>
      <c r="E383" s="209">
        <v>6.0000000000000001E-3</v>
      </c>
      <c r="F383" s="577" t="s">
        <v>139</v>
      </c>
      <c r="G383" s="210">
        <v>34.133400000000002</v>
      </c>
      <c r="H383" s="211">
        <f t="shared" si="10"/>
        <v>0.2</v>
      </c>
    </row>
    <row r="384" spans="1:8" s="124" customFormat="1" ht="60">
      <c r="A384" s="721">
        <v>93287</v>
      </c>
      <c r="B384" s="721"/>
      <c r="C384" s="200" t="s">
        <v>5256</v>
      </c>
      <c r="D384" s="139" t="s">
        <v>444</v>
      </c>
      <c r="E384" s="209">
        <v>8.0000000000000004E-4</v>
      </c>
      <c r="F384" s="577" t="s">
        <v>100</v>
      </c>
      <c r="G384" s="210">
        <v>249.06690000000003</v>
      </c>
      <c r="H384" s="211">
        <f t="shared" si="10"/>
        <v>0.2</v>
      </c>
    </row>
    <row r="385" spans="1:8" s="124" customFormat="1" ht="60">
      <c r="A385" s="721">
        <v>93288</v>
      </c>
      <c r="B385" s="721"/>
      <c r="C385" s="200" t="s">
        <v>5256</v>
      </c>
      <c r="D385" s="139" t="s">
        <v>585</v>
      </c>
      <c r="E385" s="209">
        <v>1.1000000000000001E-3</v>
      </c>
      <c r="F385" s="577" t="s">
        <v>101</v>
      </c>
      <c r="G385" s="210">
        <v>67.748400000000004</v>
      </c>
      <c r="H385" s="211">
        <f t="shared" si="10"/>
        <v>7.0000000000000007E-2</v>
      </c>
    </row>
    <row r="386" spans="1:8" s="201" customFormat="1">
      <c r="A386" s="582"/>
      <c r="B386" s="582"/>
      <c r="C386" s="212"/>
      <c r="D386" s="719" t="s">
        <v>127</v>
      </c>
      <c r="E386" s="719"/>
      <c r="F386" s="719"/>
      <c r="G386" s="719"/>
      <c r="H386" s="638">
        <f>SUMIF(F380:F385,("h"),H380:H385)</f>
        <v>3.26</v>
      </c>
    </row>
    <row r="387" spans="1:8" s="201" customFormat="1">
      <c r="A387" s="582"/>
      <c r="B387" s="582"/>
      <c r="C387" s="212"/>
      <c r="D387" s="719" t="s">
        <v>128</v>
      </c>
      <c r="E387" s="719"/>
      <c r="F387" s="719"/>
      <c r="G387" s="719"/>
      <c r="H387" s="638">
        <f>SUMIF(F380:F385,"&lt;&gt;h",H380:H385)</f>
        <v>5.9200000000000008</v>
      </c>
    </row>
    <row r="388" spans="1:8" s="201" customFormat="1">
      <c r="A388" s="582"/>
      <c r="B388" s="582"/>
      <c r="C388" s="212"/>
      <c r="D388" s="718" t="s">
        <v>129</v>
      </c>
      <c r="E388" s="718"/>
      <c r="F388" s="718"/>
      <c r="G388" s="718"/>
      <c r="H388" s="213">
        <f>SUM(H386:H387)</f>
        <v>9.18</v>
      </c>
    </row>
    <row r="389" spans="1:8" s="201" customFormat="1">
      <c r="A389" s="582"/>
      <c r="B389" s="582"/>
      <c r="C389" s="212"/>
      <c r="D389" s="719" t="s">
        <v>28</v>
      </c>
      <c r="E389" s="719"/>
      <c r="F389" s="719"/>
      <c r="G389" s="719"/>
      <c r="H389" s="639">
        <f>E379</f>
        <v>823.8839999999999</v>
      </c>
    </row>
    <row r="390" spans="1:8" s="201" customFormat="1">
      <c r="A390" s="582"/>
      <c r="B390" s="582"/>
      <c r="C390" s="212"/>
      <c r="D390" s="718" t="s">
        <v>130</v>
      </c>
      <c r="E390" s="718"/>
      <c r="F390" s="718"/>
      <c r="G390" s="718"/>
      <c r="H390" s="213">
        <f>ROUND(H388*H389,2)</f>
        <v>7563.26</v>
      </c>
    </row>
    <row r="391" spans="1:8" s="201" customFormat="1">
      <c r="A391" s="582"/>
      <c r="B391" s="582"/>
      <c r="C391" s="212"/>
      <c r="D391" s="719" t="s">
        <v>15559</v>
      </c>
      <c r="E391" s="719"/>
      <c r="F391" s="719"/>
      <c r="G391" s="719"/>
      <c r="H391" s="638">
        <f>ROUND(H388*$B$13,2)</f>
        <v>2.4700000000000002</v>
      </c>
    </row>
    <row r="392" spans="1:8">
      <c r="A392" s="582"/>
      <c r="B392" s="582"/>
      <c r="C392" s="212"/>
      <c r="D392" s="718" t="s">
        <v>9661</v>
      </c>
      <c r="E392" s="718"/>
      <c r="F392" s="718"/>
      <c r="G392" s="718"/>
      <c r="H392" s="213">
        <f>H391+H388</f>
        <v>11.65</v>
      </c>
    </row>
    <row r="393" spans="1:8" ht="15" customHeight="1">
      <c r="A393" s="724" t="s">
        <v>9568</v>
      </c>
      <c r="B393" s="724"/>
      <c r="C393" s="724"/>
      <c r="D393" s="724"/>
      <c r="E393" s="724"/>
      <c r="F393" s="724"/>
      <c r="G393" s="724"/>
      <c r="H393" s="724"/>
    </row>
    <row r="395" spans="1:8" s="201" customFormat="1">
      <c r="A395" s="123" t="s">
        <v>6</v>
      </c>
      <c r="B395" s="720" t="s">
        <v>7</v>
      </c>
      <c r="C395" s="720"/>
      <c r="D395" s="202" t="s">
        <v>124</v>
      </c>
      <c r="E395" s="167" t="s">
        <v>6334</v>
      </c>
      <c r="F395" s="202" t="s">
        <v>31</v>
      </c>
      <c r="G395" s="203" t="s">
        <v>125</v>
      </c>
      <c r="H395" s="204" t="s">
        <v>126</v>
      </c>
    </row>
    <row r="396" spans="1:8" s="208" customFormat="1" ht="45">
      <c r="A396" s="581" t="str">
        <f>'Orç - Prédio'!A95</f>
        <v>03.03.301</v>
      </c>
      <c r="B396" s="581" t="str">
        <f>'Orç - Prédio'!B95</f>
        <v>Comp. Montada</v>
      </c>
      <c r="C396" s="581">
        <f>'Orç - Prédio'!C95</f>
        <v>1</v>
      </c>
      <c r="D396" s="205" t="s">
        <v>9641</v>
      </c>
      <c r="E396" s="206">
        <v>278</v>
      </c>
      <c r="F396" s="581" t="s">
        <v>6337</v>
      </c>
      <c r="G396" s="207">
        <f>VLOOKUP("CUSTO TOTAL UNIT.:",D397:$H$30004,5,FALSE)</f>
        <v>19.840000000000003</v>
      </c>
      <c r="H396" s="637">
        <f>VLOOKUP("CUSTO TOTAL:",D397:$H$30004,5,FALSE)</f>
        <v>5515.52</v>
      </c>
    </row>
    <row r="397" spans="1:8" s="124" customFormat="1" ht="30">
      <c r="A397" s="721">
        <v>3663</v>
      </c>
      <c r="B397" s="721"/>
      <c r="C397" s="200" t="s">
        <v>6333</v>
      </c>
      <c r="D397" s="139" t="s">
        <v>9634</v>
      </c>
      <c r="E397" s="209">
        <v>1.2E-2</v>
      </c>
      <c r="F397" s="577" t="s">
        <v>322</v>
      </c>
      <c r="G397" s="210">
        <v>133.76339999999999</v>
      </c>
      <c r="H397" s="211">
        <f>ROUND(G397*E397,2)</f>
        <v>1.61</v>
      </c>
    </row>
    <row r="398" spans="1:8" s="124" customFormat="1">
      <c r="A398" s="721">
        <v>10813</v>
      </c>
      <c r="B398" s="721"/>
      <c r="C398" s="200" t="s">
        <v>6333</v>
      </c>
      <c r="D398" s="139" t="s">
        <v>9635</v>
      </c>
      <c r="E398" s="209">
        <v>4</v>
      </c>
      <c r="F398" s="577" t="s">
        <v>31</v>
      </c>
      <c r="G398" s="210">
        <v>0.81</v>
      </c>
      <c r="H398" s="211">
        <f>ROUND(G398*E398,2)</f>
        <v>3.24</v>
      </c>
    </row>
    <row r="399" spans="1:8" s="124" customFormat="1">
      <c r="A399" s="721">
        <v>5005</v>
      </c>
      <c r="B399" s="721"/>
      <c r="C399" s="200" t="s">
        <v>6333</v>
      </c>
      <c r="D399" s="139" t="s">
        <v>9636</v>
      </c>
      <c r="E399" s="209">
        <v>4</v>
      </c>
      <c r="F399" s="577" t="s">
        <v>31</v>
      </c>
      <c r="G399" s="210">
        <v>4.0500000000000008E-2</v>
      </c>
      <c r="H399" s="211">
        <f>ROUND(G399*E399,2)</f>
        <v>0.16</v>
      </c>
    </row>
    <row r="400" spans="1:8" s="124" customFormat="1">
      <c r="A400" s="721">
        <v>6555</v>
      </c>
      <c r="B400" s="721"/>
      <c r="C400" s="200" t="s">
        <v>6333</v>
      </c>
      <c r="D400" s="139" t="s">
        <v>9637</v>
      </c>
      <c r="E400" s="209">
        <v>4</v>
      </c>
      <c r="F400" s="577" t="s">
        <v>31</v>
      </c>
      <c r="G400" s="210">
        <v>0.11340000000000001</v>
      </c>
      <c r="H400" s="211">
        <f>ROUND(G400*E400,2)</f>
        <v>0.45</v>
      </c>
    </row>
    <row r="401" spans="1:8" s="124" customFormat="1" ht="30">
      <c r="A401" s="582">
        <v>3846</v>
      </c>
      <c r="B401" s="582" t="s">
        <v>9639</v>
      </c>
      <c r="C401" s="212" t="s">
        <v>6333</v>
      </c>
      <c r="D401" s="579" t="s">
        <v>9638</v>
      </c>
      <c r="E401" s="454">
        <v>32</v>
      </c>
      <c r="F401" s="582" t="s">
        <v>9640</v>
      </c>
      <c r="G401" s="455"/>
      <c r="H401" s="456"/>
    </row>
    <row r="402" spans="1:8" s="124" customFormat="1" ht="30">
      <c r="A402" s="721">
        <v>10997</v>
      </c>
      <c r="B402" s="721"/>
      <c r="C402" s="200" t="s">
        <v>5256</v>
      </c>
      <c r="D402" s="139" t="s">
        <v>11652</v>
      </c>
      <c r="E402" s="209">
        <v>8.0000000000000002E-3</v>
      </c>
      <c r="F402" s="577" t="s">
        <v>49</v>
      </c>
      <c r="G402" s="210">
        <v>14.482800000000001</v>
      </c>
      <c r="H402" s="211">
        <f>ROUND(G402*E402*$E$401,2)</f>
        <v>3.71</v>
      </c>
    </row>
    <row r="403" spans="1:8" s="124" customFormat="1" ht="30">
      <c r="A403" s="721">
        <v>88316</v>
      </c>
      <c r="B403" s="721"/>
      <c r="C403" s="200" t="s">
        <v>5256</v>
      </c>
      <c r="D403" s="139" t="s">
        <v>66</v>
      </c>
      <c r="E403" s="209">
        <v>1.2E-2</v>
      </c>
      <c r="F403" s="577" t="s">
        <v>67</v>
      </c>
      <c r="G403" s="210">
        <v>11.631600000000001</v>
      </c>
      <c r="H403" s="211">
        <f>ROUND(G403*E403*$E$401,2)</f>
        <v>4.47</v>
      </c>
    </row>
    <row r="404" spans="1:8" s="124" customFormat="1" ht="30">
      <c r="A404" s="721">
        <v>88317</v>
      </c>
      <c r="B404" s="721"/>
      <c r="C404" s="200" t="s">
        <v>5256</v>
      </c>
      <c r="D404" s="139" t="s">
        <v>5132</v>
      </c>
      <c r="E404" s="209">
        <v>1.2E-2</v>
      </c>
      <c r="F404" s="577" t="s">
        <v>67</v>
      </c>
      <c r="G404" s="210">
        <v>16.1433</v>
      </c>
      <c r="H404" s="211">
        <f>ROUND(G404*E404*$E$401,2)</f>
        <v>6.2</v>
      </c>
    </row>
    <row r="405" spans="1:8" s="201" customFormat="1">
      <c r="A405" s="582"/>
      <c r="B405" s="582"/>
      <c r="C405" s="212"/>
      <c r="D405" s="719" t="s">
        <v>127</v>
      </c>
      <c r="E405" s="719"/>
      <c r="F405" s="719"/>
      <c r="G405" s="719"/>
      <c r="H405" s="638">
        <f>SUMIF(F397:F404,("h"),H397:H404)</f>
        <v>10.67</v>
      </c>
    </row>
    <row r="406" spans="1:8" s="201" customFormat="1">
      <c r="A406" s="582"/>
      <c r="B406" s="582"/>
      <c r="C406" s="212"/>
      <c r="D406" s="719" t="s">
        <v>128</v>
      </c>
      <c r="E406" s="719"/>
      <c r="F406" s="719"/>
      <c r="G406" s="719"/>
      <c r="H406" s="638">
        <f>SUMIF(F397:F404,"&lt;&gt;h",H397:H404)</f>
        <v>9.1700000000000017</v>
      </c>
    </row>
    <row r="407" spans="1:8" s="201" customFormat="1">
      <c r="A407" s="582"/>
      <c r="B407" s="582"/>
      <c r="C407" s="212"/>
      <c r="D407" s="718" t="s">
        <v>129</v>
      </c>
      <c r="E407" s="718"/>
      <c r="F407" s="718"/>
      <c r="G407" s="718"/>
      <c r="H407" s="213">
        <f>SUM(H405:H406)</f>
        <v>19.840000000000003</v>
      </c>
    </row>
    <row r="408" spans="1:8" s="201" customFormat="1">
      <c r="A408" s="582"/>
      <c r="B408" s="582"/>
      <c r="C408" s="212"/>
      <c r="D408" s="719" t="s">
        <v>28</v>
      </c>
      <c r="E408" s="719"/>
      <c r="F408" s="719"/>
      <c r="G408" s="719"/>
      <c r="H408" s="639">
        <f>E396</f>
        <v>278</v>
      </c>
    </row>
    <row r="409" spans="1:8" s="201" customFormat="1">
      <c r="A409" s="582"/>
      <c r="B409" s="582"/>
      <c r="C409" s="212"/>
      <c r="D409" s="718" t="s">
        <v>130</v>
      </c>
      <c r="E409" s="718"/>
      <c r="F409" s="718"/>
      <c r="G409" s="718"/>
      <c r="H409" s="213">
        <f>ROUND(H407*H408,2)</f>
        <v>5515.52</v>
      </c>
    </row>
    <row r="410" spans="1:8" s="201" customFormat="1">
      <c r="A410" s="582"/>
      <c r="B410" s="582"/>
      <c r="C410" s="212"/>
      <c r="D410" s="719" t="s">
        <v>15559</v>
      </c>
      <c r="E410" s="719"/>
      <c r="F410" s="719"/>
      <c r="G410" s="719"/>
      <c r="H410" s="638">
        <f>ROUND(H407*$B$13,2)</f>
        <v>5.34</v>
      </c>
    </row>
    <row r="411" spans="1:8">
      <c r="A411" s="582"/>
      <c r="B411" s="582"/>
      <c r="C411" s="212"/>
      <c r="D411" s="718" t="s">
        <v>9661</v>
      </c>
      <c r="E411" s="718"/>
      <c r="F411" s="718"/>
      <c r="G411" s="718"/>
      <c r="H411" s="213">
        <f>H410+H407</f>
        <v>25.180000000000003</v>
      </c>
    </row>
    <row r="413" spans="1:8" s="201" customFormat="1">
      <c r="A413" s="123" t="s">
        <v>6</v>
      </c>
      <c r="B413" s="720" t="s">
        <v>7</v>
      </c>
      <c r="C413" s="720"/>
      <c r="D413" s="202" t="s">
        <v>124</v>
      </c>
      <c r="E413" s="167" t="s">
        <v>6334</v>
      </c>
      <c r="F413" s="202" t="s">
        <v>31</v>
      </c>
      <c r="G413" s="203" t="s">
        <v>125</v>
      </c>
      <c r="H413" s="204" t="s">
        <v>126</v>
      </c>
    </row>
    <row r="414" spans="1:8" s="208" customFormat="1" ht="30">
      <c r="A414" s="581" t="str">
        <f>'Orç - Prédio'!A96</f>
        <v>03.03.302</v>
      </c>
      <c r="B414" s="581" t="str">
        <f>'Orç - Prédio'!B96</f>
        <v>ORSE</v>
      </c>
      <c r="C414" s="581" t="str">
        <f>'Orç - Prédio'!C96</f>
        <v>3846 MOD</v>
      </c>
      <c r="D414" s="205" t="s">
        <v>9645</v>
      </c>
      <c r="E414" s="206">
        <v>7040</v>
      </c>
      <c r="F414" s="581" t="s">
        <v>9642</v>
      </c>
      <c r="G414" s="207">
        <f>VLOOKUP("CUSTO TOTAL UNIT.:",D415:$H$30004,5,FALSE)</f>
        <v>0.45</v>
      </c>
      <c r="H414" s="637">
        <f>VLOOKUP("CUSTO TOTAL:",D415:$H$30004,5,FALSE)</f>
        <v>3168</v>
      </c>
    </row>
    <row r="415" spans="1:8" s="124" customFormat="1" ht="30">
      <c r="A415" s="721">
        <v>10997</v>
      </c>
      <c r="B415" s="721"/>
      <c r="C415" s="200" t="s">
        <v>5256</v>
      </c>
      <c r="D415" s="139" t="s">
        <v>11652</v>
      </c>
      <c r="E415" s="209">
        <v>8.0000000000000002E-3</v>
      </c>
      <c r="F415" s="577" t="s">
        <v>49</v>
      </c>
      <c r="G415" s="210">
        <v>14.482800000000001</v>
      </c>
      <c r="H415" s="211">
        <f>ROUND(G415*E415,2)</f>
        <v>0.12</v>
      </c>
    </row>
    <row r="416" spans="1:8" s="124" customFormat="1" ht="30">
      <c r="A416" s="721">
        <v>88316</v>
      </c>
      <c r="B416" s="721"/>
      <c r="C416" s="200" t="s">
        <v>5256</v>
      </c>
      <c r="D416" s="139" t="s">
        <v>66</v>
      </c>
      <c r="E416" s="209">
        <v>1.2E-2</v>
      </c>
      <c r="F416" s="577" t="s">
        <v>67</v>
      </c>
      <c r="G416" s="210">
        <v>11.631600000000001</v>
      </c>
      <c r="H416" s="211">
        <f>ROUND(G416*E416,2)</f>
        <v>0.14000000000000001</v>
      </c>
    </row>
    <row r="417" spans="1:8" s="124" customFormat="1" ht="30">
      <c r="A417" s="721">
        <v>88317</v>
      </c>
      <c r="B417" s="721"/>
      <c r="C417" s="200" t="s">
        <v>5256</v>
      </c>
      <c r="D417" s="139" t="s">
        <v>5132</v>
      </c>
      <c r="E417" s="209">
        <v>1.2E-2</v>
      </c>
      <c r="F417" s="577" t="s">
        <v>67</v>
      </c>
      <c r="G417" s="210">
        <v>16.1433</v>
      </c>
      <c r="H417" s="211">
        <f>ROUND(G417*E417,2)</f>
        <v>0.19</v>
      </c>
    </row>
    <row r="418" spans="1:8" s="201" customFormat="1">
      <c r="A418" s="582"/>
      <c r="B418" s="582"/>
      <c r="C418" s="212"/>
      <c r="D418" s="719" t="s">
        <v>127</v>
      </c>
      <c r="E418" s="719"/>
      <c r="F418" s="719"/>
      <c r="G418" s="719"/>
      <c r="H418" s="638">
        <f>SUMIF(F415:F417,("h"),H415:H417)</f>
        <v>0.33</v>
      </c>
    </row>
    <row r="419" spans="1:8" s="201" customFormat="1">
      <c r="A419" s="582"/>
      <c r="B419" s="582"/>
      <c r="C419" s="212"/>
      <c r="D419" s="719" t="s">
        <v>128</v>
      </c>
      <c r="E419" s="719"/>
      <c r="F419" s="719"/>
      <c r="G419" s="719"/>
      <c r="H419" s="638">
        <f>SUMIF(F415:F417,"&lt;&gt;h",H415:H417)</f>
        <v>0.12</v>
      </c>
    </row>
    <row r="420" spans="1:8" s="201" customFormat="1">
      <c r="A420" s="582"/>
      <c r="B420" s="582"/>
      <c r="C420" s="212"/>
      <c r="D420" s="718" t="s">
        <v>129</v>
      </c>
      <c r="E420" s="718"/>
      <c r="F420" s="718"/>
      <c r="G420" s="718"/>
      <c r="H420" s="213">
        <f>SUM(H418:H419)</f>
        <v>0.45</v>
      </c>
    </row>
    <row r="421" spans="1:8" s="201" customFormat="1">
      <c r="A421" s="582"/>
      <c r="B421" s="582"/>
      <c r="C421" s="212"/>
      <c r="D421" s="719" t="s">
        <v>28</v>
      </c>
      <c r="E421" s="719"/>
      <c r="F421" s="719"/>
      <c r="G421" s="719"/>
      <c r="H421" s="639">
        <f>E414</f>
        <v>7040</v>
      </c>
    </row>
    <row r="422" spans="1:8" s="201" customFormat="1">
      <c r="A422" s="582"/>
      <c r="B422" s="582"/>
      <c r="C422" s="212"/>
      <c r="D422" s="718" t="s">
        <v>130</v>
      </c>
      <c r="E422" s="718"/>
      <c r="F422" s="718"/>
      <c r="G422" s="718"/>
      <c r="H422" s="213">
        <f>ROUND(H420*H421,2)</f>
        <v>3168</v>
      </c>
    </row>
    <row r="423" spans="1:8" s="201" customFormat="1">
      <c r="A423" s="582"/>
      <c r="B423" s="582"/>
      <c r="C423" s="212"/>
      <c r="D423" s="719" t="s">
        <v>15559</v>
      </c>
      <c r="E423" s="719"/>
      <c r="F423" s="719"/>
      <c r="G423" s="719"/>
      <c r="H423" s="638">
        <f>ROUND(H420*$B$13,2)</f>
        <v>0.12</v>
      </c>
    </row>
    <row r="424" spans="1:8">
      <c r="A424" s="582"/>
      <c r="B424" s="582"/>
      <c r="C424" s="212"/>
      <c r="D424" s="718" t="s">
        <v>9661</v>
      </c>
      <c r="E424" s="718"/>
      <c r="F424" s="718"/>
      <c r="G424" s="718"/>
      <c r="H424" s="213">
        <f>H423+H420</f>
        <v>0.57000000000000006</v>
      </c>
    </row>
    <row r="426" spans="1:8" s="162" customFormat="1">
      <c r="A426" s="158" t="str">
        <f>'Orç - Prédio'!A101</f>
        <v>04.00.000</v>
      </c>
      <c r="B426" s="158"/>
      <c r="C426" s="159"/>
      <c r="D426" s="133" t="s">
        <v>5804</v>
      </c>
      <c r="E426" s="171"/>
      <c r="F426" s="158"/>
      <c r="G426" s="160"/>
      <c r="H426" s="161"/>
    </row>
    <row r="427" spans="1:8" s="201" customFormat="1">
      <c r="A427" s="577"/>
      <c r="B427" s="577"/>
      <c r="C427" s="200"/>
      <c r="D427" s="125"/>
      <c r="E427" s="165"/>
      <c r="F427" s="577"/>
      <c r="G427" s="136"/>
      <c r="H427" s="211"/>
    </row>
    <row r="428" spans="1:8" s="201" customFormat="1">
      <c r="A428" s="123" t="s">
        <v>6</v>
      </c>
      <c r="B428" s="720" t="s">
        <v>7</v>
      </c>
      <c r="C428" s="720"/>
      <c r="D428" s="202" t="s">
        <v>124</v>
      </c>
      <c r="E428" s="167" t="s">
        <v>6334</v>
      </c>
      <c r="F428" s="202" t="s">
        <v>31</v>
      </c>
      <c r="G428" s="203" t="s">
        <v>125</v>
      </c>
      <c r="H428" s="204" t="s">
        <v>126</v>
      </c>
    </row>
    <row r="429" spans="1:8" s="208" customFormat="1" ht="30">
      <c r="A429" s="581" t="str">
        <f>'Orç - Prédio'!A110</f>
        <v>04.01.102.06</v>
      </c>
      <c r="B429" s="216" t="str">
        <f>'Orç - Prédio'!B110</f>
        <v>Comp. Montada</v>
      </c>
      <c r="C429" s="216">
        <f>'Orç - Prédio'!C110</f>
        <v>2</v>
      </c>
      <c r="D429" s="217" t="s">
        <v>7813</v>
      </c>
      <c r="E429" s="206">
        <v>310.19549999999998</v>
      </c>
      <c r="F429" s="216" t="s">
        <v>6774</v>
      </c>
      <c r="G429" s="207">
        <f>VLOOKUP("CUSTO TOTAL UNIT.:",D430:$H$30004,5,FALSE)</f>
        <v>48.81</v>
      </c>
      <c r="H429" s="637">
        <f>VLOOKUP("CUSTO TOTAL:",D430:$H$30004,5,FALSE)</f>
        <v>15140.64</v>
      </c>
    </row>
    <row r="430" spans="1:8" s="124" customFormat="1" ht="75">
      <c r="A430" s="721">
        <v>92776</v>
      </c>
      <c r="B430" s="721"/>
      <c r="C430" s="200" t="s">
        <v>5256</v>
      </c>
      <c r="D430" s="139" t="s">
        <v>1900</v>
      </c>
      <c r="E430" s="209">
        <v>0.98</v>
      </c>
      <c r="F430" s="577" t="s">
        <v>315</v>
      </c>
      <c r="G430" s="210">
        <v>8.3916000000000004</v>
      </c>
      <c r="H430" s="211">
        <f>ROUND(G430*E430,2)</f>
        <v>8.2200000000000006</v>
      </c>
    </row>
    <row r="431" spans="1:8" s="124" customFormat="1" ht="75">
      <c r="A431" s="721">
        <v>92775</v>
      </c>
      <c r="B431" s="721"/>
      <c r="C431" s="200" t="s">
        <v>5256</v>
      </c>
      <c r="D431" s="139" t="s">
        <v>1899</v>
      </c>
      <c r="E431" s="209">
        <v>0.35727999999999999</v>
      </c>
      <c r="F431" s="577" t="s">
        <v>315</v>
      </c>
      <c r="G431" s="210">
        <v>9.7200000000000006</v>
      </c>
      <c r="H431" s="211">
        <f>ROUND(G431*E431,2)</f>
        <v>3.47</v>
      </c>
    </row>
    <row r="432" spans="1:8" s="124" customFormat="1" ht="105">
      <c r="A432" s="721">
        <v>92426</v>
      </c>
      <c r="B432" s="721"/>
      <c r="C432" s="200" t="s">
        <v>5256</v>
      </c>
      <c r="D432" s="139" t="s">
        <v>1732</v>
      </c>
      <c r="E432" s="209">
        <v>1</v>
      </c>
      <c r="F432" s="577" t="s">
        <v>322</v>
      </c>
      <c r="G432" s="210">
        <v>34.319699999999997</v>
      </c>
      <c r="H432" s="211">
        <f>ROUND(G432*E432,2)</f>
        <v>34.32</v>
      </c>
    </row>
    <row r="433" spans="1:8" s="124" customFormat="1" ht="75">
      <c r="A433" s="721">
        <v>92718</v>
      </c>
      <c r="B433" s="721"/>
      <c r="C433" s="200" t="s">
        <v>5256</v>
      </c>
      <c r="D433" s="139" t="s">
        <v>1994</v>
      </c>
      <c r="E433" s="209">
        <v>8.0999999999999996E-3</v>
      </c>
      <c r="F433" s="577" t="s">
        <v>1261</v>
      </c>
      <c r="G433" s="210">
        <v>346.16970000000003</v>
      </c>
      <c r="H433" s="211">
        <f>ROUND(G433*E433,2)</f>
        <v>2.8</v>
      </c>
    </row>
    <row r="434" spans="1:8" s="201" customFormat="1">
      <c r="A434" s="582"/>
      <c r="B434" s="582"/>
      <c r="C434" s="212"/>
      <c r="D434" s="719" t="s">
        <v>127</v>
      </c>
      <c r="E434" s="719"/>
      <c r="F434" s="719"/>
      <c r="G434" s="719"/>
      <c r="H434" s="638">
        <f>SUMIF(F430:F433,("h"),H430:H433)</f>
        <v>0</v>
      </c>
    </row>
    <row r="435" spans="1:8" s="201" customFormat="1">
      <c r="A435" s="582"/>
      <c r="B435" s="582"/>
      <c r="C435" s="212"/>
      <c r="D435" s="719" t="s">
        <v>128</v>
      </c>
      <c r="E435" s="719"/>
      <c r="F435" s="719"/>
      <c r="G435" s="719"/>
      <c r="H435" s="638">
        <f>SUMIF(F430:F433,"&lt;&gt;h",H430:H433)</f>
        <v>48.81</v>
      </c>
    </row>
    <row r="436" spans="1:8" s="201" customFormat="1">
      <c r="A436" s="582"/>
      <c r="B436" s="582"/>
      <c r="C436" s="212"/>
      <c r="D436" s="718" t="s">
        <v>129</v>
      </c>
      <c r="E436" s="718"/>
      <c r="F436" s="718"/>
      <c r="G436" s="718"/>
      <c r="H436" s="213">
        <f>SUM(H434:H435)</f>
        <v>48.81</v>
      </c>
    </row>
    <row r="437" spans="1:8" s="201" customFormat="1">
      <c r="A437" s="582"/>
      <c r="B437" s="582"/>
      <c r="C437" s="212"/>
      <c r="D437" s="719" t="s">
        <v>28</v>
      </c>
      <c r="E437" s="719"/>
      <c r="F437" s="719"/>
      <c r="G437" s="719"/>
      <c r="H437" s="639">
        <f>E429</f>
        <v>310.19549999999998</v>
      </c>
    </row>
    <row r="438" spans="1:8" s="201" customFormat="1">
      <c r="A438" s="582"/>
      <c r="B438" s="582"/>
      <c r="C438" s="212"/>
      <c r="D438" s="718" t="s">
        <v>130</v>
      </c>
      <c r="E438" s="718"/>
      <c r="F438" s="718"/>
      <c r="G438" s="718"/>
      <c r="H438" s="213">
        <f>ROUND(H436*H437,2)</f>
        <v>15140.64</v>
      </c>
    </row>
    <row r="439" spans="1:8" s="201" customFormat="1">
      <c r="A439" s="582"/>
      <c r="B439" s="582"/>
      <c r="C439" s="212"/>
      <c r="D439" s="719" t="s">
        <v>15559</v>
      </c>
      <c r="E439" s="719"/>
      <c r="F439" s="719"/>
      <c r="G439" s="719"/>
      <c r="H439" s="638">
        <f>ROUND(H436*$B$13,2)</f>
        <v>13.14</v>
      </c>
    </row>
    <row r="440" spans="1:8">
      <c r="A440" s="582"/>
      <c r="B440" s="582"/>
      <c r="C440" s="212"/>
      <c r="D440" s="718" t="s">
        <v>9661</v>
      </c>
      <c r="E440" s="718"/>
      <c r="F440" s="718"/>
      <c r="G440" s="718"/>
      <c r="H440" s="213">
        <f>H439+H436</f>
        <v>61.95</v>
      </c>
    </row>
    <row r="442" spans="1:8" s="201" customFormat="1">
      <c r="A442" s="123" t="s">
        <v>6</v>
      </c>
      <c r="B442" s="720" t="s">
        <v>7</v>
      </c>
      <c r="C442" s="720"/>
      <c r="D442" s="202" t="s">
        <v>124</v>
      </c>
      <c r="E442" s="167" t="s">
        <v>6334</v>
      </c>
      <c r="F442" s="202" t="s">
        <v>31</v>
      </c>
      <c r="G442" s="203" t="s">
        <v>125</v>
      </c>
      <c r="H442" s="204" t="s">
        <v>126</v>
      </c>
    </row>
    <row r="443" spans="1:8" s="208" customFormat="1" ht="60">
      <c r="A443" s="581" t="str">
        <f>'Orç - Prédio'!A113</f>
        <v>04.01.120</v>
      </c>
      <c r="B443" s="581" t="str">
        <f>'Orç - Prédio'!B113</f>
        <v>SINAPI</v>
      </c>
      <c r="C443" s="581" t="str">
        <f>'Orç - Prédio'!C113</f>
        <v>79627 MOD</v>
      </c>
      <c r="D443" s="205" t="s">
        <v>9664</v>
      </c>
      <c r="E443" s="581">
        <v>61.15</v>
      </c>
      <c r="F443" s="581" t="s">
        <v>6339</v>
      </c>
      <c r="G443" s="207">
        <f>VLOOKUP("CUSTO TOTAL UNIT.:",D444:$H$30004,5,FALSE)</f>
        <v>554.86</v>
      </c>
      <c r="H443" s="637">
        <f>VLOOKUP("CUSTO TOTAL:",D444:$H$30004,5,FALSE)</f>
        <v>33929.69</v>
      </c>
    </row>
    <row r="444" spans="1:8" s="124" customFormat="1" ht="30">
      <c r="A444" s="721">
        <v>2511</v>
      </c>
      <c r="B444" s="721"/>
      <c r="C444" s="184" t="s">
        <v>6333</v>
      </c>
      <c r="D444" s="185" t="s">
        <v>7439</v>
      </c>
      <c r="E444" s="209">
        <v>2.66</v>
      </c>
      <c r="F444" s="577" t="s">
        <v>139</v>
      </c>
      <c r="G444" s="174">
        <v>5.9211</v>
      </c>
      <c r="H444" s="211">
        <f t="shared" ref="H444:H449" si="11">ROUND(G444*E444,2)</f>
        <v>15.75</v>
      </c>
    </row>
    <row r="445" spans="1:8" s="124" customFormat="1">
      <c r="A445" s="721">
        <v>1380</v>
      </c>
      <c r="B445" s="721"/>
      <c r="C445" s="200" t="s">
        <v>5256</v>
      </c>
      <c r="D445" s="139" t="s">
        <v>10938</v>
      </c>
      <c r="E445" s="209">
        <v>0.7</v>
      </c>
      <c r="F445" s="577" t="s">
        <v>49</v>
      </c>
      <c r="G445" s="210">
        <v>1.9845000000000004</v>
      </c>
      <c r="H445" s="211">
        <f t="shared" si="11"/>
        <v>1.39</v>
      </c>
    </row>
    <row r="446" spans="1:8" s="124" customFormat="1" ht="60">
      <c r="A446" s="721">
        <v>25976</v>
      </c>
      <c r="B446" s="721"/>
      <c r="C446" s="200" t="s">
        <v>5256</v>
      </c>
      <c r="D446" s="139" t="s">
        <v>11612</v>
      </c>
      <c r="E446" s="209">
        <v>1</v>
      </c>
      <c r="F446" s="577" t="s">
        <v>46</v>
      </c>
      <c r="G446" s="210">
        <v>447.1767000000001</v>
      </c>
      <c r="H446" s="211">
        <f t="shared" si="11"/>
        <v>447.18</v>
      </c>
    </row>
    <row r="447" spans="1:8" s="124" customFormat="1" ht="30">
      <c r="A447" s="721">
        <v>88274</v>
      </c>
      <c r="B447" s="721"/>
      <c r="C447" s="200" t="s">
        <v>5256</v>
      </c>
      <c r="D447" s="139" t="s">
        <v>5106</v>
      </c>
      <c r="E447" s="209">
        <v>4.8</v>
      </c>
      <c r="F447" s="577" t="s">
        <v>67</v>
      </c>
      <c r="G447" s="210">
        <v>13.097700000000001</v>
      </c>
      <c r="H447" s="211">
        <f t="shared" si="11"/>
        <v>62.87</v>
      </c>
    </row>
    <row r="448" spans="1:8" s="124" customFormat="1" ht="30">
      <c r="A448" s="721">
        <v>88316</v>
      </c>
      <c r="B448" s="721"/>
      <c r="C448" s="200" t="s">
        <v>5256</v>
      </c>
      <c r="D448" s="139" t="s">
        <v>66</v>
      </c>
      <c r="E448" s="209">
        <v>2.2999999999999998</v>
      </c>
      <c r="F448" s="577" t="s">
        <v>67</v>
      </c>
      <c r="G448" s="210">
        <v>11.631600000000001</v>
      </c>
      <c r="H448" s="211">
        <f t="shared" si="11"/>
        <v>26.75</v>
      </c>
    </row>
    <row r="449" spans="1:8" s="124" customFormat="1" ht="30">
      <c r="A449" s="721">
        <v>88631</v>
      </c>
      <c r="B449" s="721"/>
      <c r="C449" s="200" t="s">
        <v>5256</v>
      </c>
      <c r="D449" s="139" t="s">
        <v>4996</v>
      </c>
      <c r="E449" s="209">
        <v>3.0000000000000001E-3</v>
      </c>
      <c r="F449" s="577" t="s">
        <v>1261</v>
      </c>
      <c r="G449" s="210">
        <v>306.64980000000003</v>
      </c>
      <c r="H449" s="211">
        <f t="shared" si="11"/>
        <v>0.92</v>
      </c>
    </row>
    <row r="450" spans="1:8" s="201" customFormat="1">
      <c r="A450" s="582"/>
      <c r="B450" s="582"/>
      <c r="C450" s="212"/>
      <c r="D450" s="719" t="s">
        <v>127</v>
      </c>
      <c r="E450" s="719"/>
      <c r="F450" s="719"/>
      <c r="G450" s="719"/>
      <c r="H450" s="638">
        <f>SUMIF(F444:F449,("h"),H444:H449)</f>
        <v>89.62</v>
      </c>
    </row>
    <row r="451" spans="1:8" s="201" customFormat="1">
      <c r="A451" s="582"/>
      <c r="B451" s="582"/>
      <c r="C451" s="212"/>
      <c r="D451" s="719" t="s">
        <v>128</v>
      </c>
      <c r="E451" s="719"/>
      <c r="F451" s="719"/>
      <c r="G451" s="719"/>
      <c r="H451" s="638">
        <f>SUMIF(F444:F449,"&lt;&gt;h",H444:H449)</f>
        <v>465.24</v>
      </c>
    </row>
    <row r="452" spans="1:8" s="201" customFormat="1">
      <c r="A452" s="582"/>
      <c r="B452" s="582"/>
      <c r="C452" s="212"/>
      <c r="D452" s="718" t="s">
        <v>129</v>
      </c>
      <c r="E452" s="718"/>
      <c r="F452" s="718"/>
      <c r="G452" s="718"/>
      <c r="H452" s="213">
        <f>SUM(H450:H451)</f>
        <v>554.86</v>
      </c>
    </row>
    <row r="453" spans="1:8" s="201" customFormat="1">
      <c r="A453" s="582"/>
      <c r="B453" s="582"/>
      <c r="C453" s="212"/>
      <c r="D453" s="719" t="s">
        <v>28</v>
      </c>
      <c r="E453" s="719"/>
      <c r="F453" s="719"/>
      <c r="G453" s="719"/>
      <c r="H453" s="639">
        <f>E443</f>
        <v>61.15</v>
      </c>
    </row>
    <row r="454" spans="1:8" s="201" customFormat="1">
      <c r="A454" s="582"/>
      <c r="B454" s="582"/>
      <c r="C454" s="212"/>
      <c r="D454" s="718" t="s">
        <v>130</v>
      </c>
      <c r="E454" s="718"/>
      <c r="F454" s="718"/>
      <c r="G454" s="718"/>
      <c r="H454" s="213">
        <f>ROUND(H452*H453,2)</f>
        <v>33929.69</v>
      </c>
    </row>
    <row r="455" spans="1:8" s="201" customFormat="1">
      <c r="A455" s="582"/>
      <c r="B455" s="582"/>
      <c r="C455" s="212"/>
      <c r="D455" s="719" t="s">
        <v>15559</v>
      </c>
      <c r="E455" s="719"/>
      <c r="F455" s="719"/>
      <c r="G455" s="719"/>
      <c r="H455" s="638">
        <f>ROUND(H452*$B$13,2)</f>
        <v>149.41999999999999</v>
      </c>
    </row>
    <row r="456" spans="1:8">
      <c r="A456" s="582"/>
      <c r="B456" s="582"/>
      <c r="C456" s="212"/>
      <c r="D456" s="718" t="s">
        <v>9661</v>
      </c>
      <c r="E456" s="718"/>
      <c r="F456" s="718"/>
      <c r="G456" s="718"/>
      <c r="H456" s="213">
        <f>H455+H452</f>
        <v>704.28</v>
      </c>
    </row>
    <row r="458" spans="1:8" s="201" customFormat="1">
      <c r="A458" s="123" t="s">
        <v>6</v>
      </c>
      <c r="B458" s="720" t="s">
        <v>7</v>
      </c>
      <c r="C458" s="720"/>
      <c r="D458" s="202" t="s">
        <v>124</v>
      </c>
      <c r="E458" s="167" t="s">
        <v>6334</v>
      </c>
      <c r="F458" s="202" t="s">
        <v>31</v>
      </c>
      <c r="G458" s="203" t="s">
        <v>125</v>
      </c>
      <c r="H458" s="204" t="s">
        <v>126</v>
      </c>
    </row>
    <row r="459" spans="1:8" s="208" customFormat="1" ht="30">
      <c r="A459" s="581" t="str">
        <f>'Orç - Reservatório'!A90</f>
        <v>04.01.210.01</v>
      </c>
      <c r="B459" s="581" t="str">
        <f>'Orç - Reservatório'!B90</f>
        <v>SINAPI</v>
      </c>
      <c r="C459" s="581" t="str">
        <f>'Orç - Reservatório'!C90</f>
        <v>74079/2 MOD 1</v>
      </c>
      <c r="D459" s="205" t="s">
        <v>8829</v>
      </c>
      <c r="E459" s="206">
        <v>3</v>
      </c>
      <c r="F459" s="581" t="s">
        <v>6337</v>
      </c>
      <c r="G459" s="207">
        <f>VLOOKUP("CUSTO TOTAL UNIT.:",D460:$H$30004,5,FALSE)</f>
        <v>157.47</v>
      </c>
      <c r="H459" s="637">
        <f>VLOOKUP("CUSTO TOTAL:",D460:$H$30004,5,FALSE)</f>
        <v>472.41</v>
      </c>
    </row>
    <row r="460" spans="1:8" s="124" customFormat="1" ht="30">
      <c r="A460" s="721">
        <v>567</v>
      </c>
      <c r="B460" s="721"/>
      <c r="C460" s="200" t="s">
        <v>5256</v>
      </c>
      <c r="D460" s="139" t="s">
        <v>10740</v>
      </c>
      <c r="E460" s="209">
        <v>4.2</v>
      </c>
      <c r="F460" s="577" t="s">
        <v>48</v>
      </c>
      <c r="G460" s="210">
        <v>5.7186000000000003</v>
      </c>
      <c r="H460" s="211">
        <f t="shared" ref="H460:H466" si="12">ROUND(G460*E460,2)</f>
        <v>24.02</v>
      </c>
    </row>
    <row r="461" spans="1:8" s="124" customFormat="1" ht="30">
      <c r="A461" s="721">
        <v>1322</v>
      </c>
      <c r="B461" s="721"/>
      <c r="C461" s="200" t="s">
        <v>5256</v>
      </c>
      <c r="D461" s="139" t="s">
        <v>10834</v>
      </c>
      <c r="E461" s="209">
        <v>13.23</v>
      </c>
      <c r="F461" s="577" t="s">
        <v>49</v>
      </c>
      <c r="G461" s="210">
        <v>4.7952000000000004</v>
      </c>
      <c r="H461" s="211">
        <f t="shared" si="12"/>
        <v>63.44</v>
      </c>
    </row>
    <row r="462" spans="1:8" s="124" customFormat="1" ht="45">
      <c r="A462" s="721">
        <v>11447</v>
      </c>
      <c r="B462" s="721"/>
      <c r="C462" s="200" t="s">
        <v>5256</v>
      </c>
      <c r="D462" s="139" t="s">
        <v>11621</v>
      </c>
      <c r="E462" s="209">
        <v>2</v>
      </c>
      <c r="F462" s="577" t="s">
        <v>40</v>
      </c>
      <c r="G462" s="210">
        <v>18.071100000000001</v>
      </c>
      <c r="H462" s="211">
        <f t="shared" si="12"/>
        <v>36.14</v>
      </c>
    </row>
    <row r="463" spans="1:8" s="124" customFormat="1" ht="30">
      <c r="A463" s="721">
        <v>88309</v>
      </c>
      <c r="B463" s="721"/>
      <c r="C463" s="200" t="s">
        <v>5256</v>
      </c>
      <c r="D463" s="139" t="s">
        <v>90</v>
      </c>
      <c r="E463" s="209">
        <v>0.6</v>
      </c>
      <c r="F463" s="577" t="s">
        <v>67</v>
      </c>
      <c r="G463" s="210">
        <v>15.608700000000001</v>
      </c>
      <c r="H463" s="211">
        <f t="shared" si="12"/>
        <v>9.3699999999999992</v>
      </c>
    </row>
    <row r="464" spans="1:8" s="124" customFormat="1" ht="30">
      <c r="A464" s="721">
        <v>88315</v>
      </c>
      <c r="B464" s="721"/>
      <c r="C464" s="200" t="s">
        <v>5256</v>
      </c>
      <c r="D464" s="139" t="s">
        <v>112</v>
      </c>
      <c r="E464" s="209">
        <v>0.6</v>
      </c>
      <c r="F464" s="577" t="s">
        <v>67</v>
      </c>
      <c r="G464" s="210">
        <v>15.519600000000001</v>
      </c>
      <c r="H464" s="211">
        <f t="shared" si="12"/>
        <v>9.31</v>
      </c>
    </row>
    <row r="465" spans="1:8" s="124" customFormat="1" ht="30">
      <c r="A465" s="721">
        <v>88316</v>
      </c>
      <c r="B465" s="721"/>
      <c r="C465" s="200" t="s">
        <v>5256</v>
      </c>
      <c r="D465" s="139" t="s">
        <v>66</v>
      </c>
      <c r="E465" s="209">
        <v>1.2</v>
      </c>
      <c r="F465" s="577" t="s">
        <v>67</v>
      </c>
      <c r="G465" s="210">
        <v>11.631600000000001</v>
      </c>
      <c r="H465" s="211">
        <f t="shared" si="12"/>
        <v>13.96</v>
      </c>
    </row>
    <row r="466" spans="1:8" s="124" customFormat="1" ht="30">
      <c r="A466" s="721">
        <v>88631</v>
      </c>
      <c r="B466" s="721"/>
      <c r="C466" s="200" t="s">
        <v>5256</v>
      </c>
      <c r="D466" s="139" t="s">
        <v>4996</v>
      </c>
      <c r="E466" s="209">
        <v>4.0000000000000001E-3</v>
      </c>
      <c r="F466" s="577" t="s">
        <v>1261</v>
      </c>
      <c r="G466" s="210">
        <v>306.64980000000003</v>
      </c>
      <c r="H466" s="211">
        <f t="shared" si="12"/>
        <v>1.23</v>
      </c>
    </row>
    <row r="467" spans="1:8" s="201" customFormat="1">
      <c r="A467" s="582"/>
      <c r="B467" s="582"/>
      <c r="C467" s="212"/>
      <c r="D467" s="719" t="s">
        <v>127</v>
      </c>
      <c r="E467" s="719"/>
      <c r="F467" s="719"/>
      <c r="G467" s="719"/>
      <c r="H467" s="638">
        <f>SUMIF(F460:F466,("h"),H460:H466)</f>
        <v>32.64</v>
      </c>
    </row>
    <row r="468" spans="1:8" s="201" customFormat="1">
      <c r="A468" s="582"/>
      <c r="B468" s="582"/>
      <c r="C468" s="212"/>
      <c r="D468" s="719" t="s">
        <v>128</v>
      </c>
      <c r="E468" s="719"/>
      <c r="F468" s="719"/>
      <c r="G468" s="719"/>
      <c r="H468" s="638">
        <f>SUMIF(F460:F466,"&lt;&gt;h",H460:H466)</f>
        <v>124.83</v>
      </c>
    </row>
    <row r="469" spans="1:8" s="201" customFormat="1">
      <c r="A469" s="582"/>
      <c r="B469" s="582"/>
      <c r="C469" s="212"/>
      <c r="D469" s="718" t="s">
        <v>129</v>
      </c>
      <c r="E469" s="718"/>
      <c r="F469" s="718"/>
      <c r="G469" s="718"/>
      <c r="H469" s="213">
        <f>SUM(H467:H468)</f>
        <v>157.47</v>
      </c>
    </row>
    <row r="470" spans="1:8" s="201" customFormat="1">
      <c r="A470" s="582"/>
      <c r="B470" s="582"/>
      <c r="C470" s="212"/>
      <c r="D470" s="719" t="s">
        <v>28</v>
      </c>
      <c r="E470" s="719"/>
      <c r="F470" s="719"/>
      <c r="G470" s="719"/>
      <c r="H470" s="639">
        <f>E459</f>
        <v>3</v>
      </c>
    </row>
    <row r="471" spans="1:8" s="201" customFormat="1">
      <c r="A471" s="582"/>
      <c r="B471" s="582"/>
      <c r="C471" s="212"/>
      <c r="D471" s="718" t="s">
        <v>130</v>
      </c>
      <c r="E471" s="718"/>
      <c r="F471" s="718"/>
      <c r="G471" s="718"/>
      <c r="H471" s="213">
        <f>ROUND(H469*H470,2)</f>
        <v>472.41</v>
      </c>
    </row>
    <row r="472" spans="1:8" s="201" customFormat="1">
      <c r="A472" s="582"/>
      <c r="B472" s="582"/>
      <c r="C472" s="212"/>
      <c r="D472" s="719" t="s">
        <v>15559</v>
      </c>
      <c r="E472" s="719"/>
      <c r="F472" s="719"/>
      <c r="G472" s="719"/>
      <c r="H472" s="638">
        <f>ROUND(H469*$B$13,2)</f>
        <v>42.41</v>
      </c>
    </row>
    <row r="473" spans="1:8">
      <c r="A473" s="582"/>
      <c r="B473" s="582"/>
      <c r="C473" s="212"/>
      <c r="D473" s="718" t="s">
        <v>9661</v>
      </c>
      <c r="E473" s="718"/>
      <c r="F473" s="718"/>
      <c r="G473" s="718"/>
      <c r="H473" s="213">
        <f>H472+H469</f>
        <v>199.88</v>
      </c>
    </row>
    <row r="475" spans="1:8" s="201" customFormat="1">
      <c r="A475" s="123" t="s">
        <v>6</v>
      </c>
      <c r="B475" s="720" t="s">
        <v>7</v>
      </c>
      <c r="C475" s="720"/>
      <c r="D475" s="202" t="s">
        <v>124</v>
      </c>
      <c r="E475" s="167" t="s">
        <v>6334</v>
      </c>
      <c r="F475" s="202" t="s">
        <v>31</v>
      </c>
      <c r="G475" s="203" t="s">
        <v>125</v>
      </c>
      <c r="H475" s="204" t="s">
        <v>126</v>
      </c>
    </row>
    <row r="476" spans="1:8" s="208" customFormat="1" ht="30">
      <c r="A476" s="581" t="str">
        <f>'Orç - Reservatório'!A91</f>
        <v>04.01.210.02</v>
      </c>
      <c r="B476" s="581" t="str">
        <f>'Orç - Reservatório'!B91</f>
        <v>SINAPI</v>
      </c>
      <c r="C476" s="581" t="str">
        <f>'Orç - Reservatório'!C91</f>
        <v>74079/2 MOD 2</v>
      </c>
      <c r="D476" s="205" t="s">
        <v>8830</v>
      </c>
      <c r="E476" s="206">
        <v>1</v>
      </c>
      <c r="F476" s="581" t="s">
        <v>6337</v>
      </c>
      <c r="G476" s="207">
        <f>VLOOKUP("CUSTO TOTAL UNIT.:",D477:$H$30004,5,FALSE)</f>
        <v>187.40999999999997</v>
      </c>
      <c r="H476" s="637">
        <f>VLOOKUP("CUSTO TOTAL:",D477:$H$30004,5,FALSE)</f>
        <v>187.41</v>
      </c>
    </row>
    <row r="477" spans="1:8" s="124" customFormat="1" ht="30">
      <c r="A477" s="721">
        <v>567</v>
      </c>
      <c r="B477" s="721"/>
      <c r="C477" s="200" t="s">
        <v>5256</v>
      </c>
      <c r="D477" s="139" t="s">
        <v>10740</v>
      </c>
      <c r="E477" s="209">
        <v>4.9399999999999995</v>
      </c>
      <c r="F477" s="577" t="s">
        <v>48</v>
      </c>
      <c r="G477" s="210">
        <v>5.7186000000000003</v>
      </c>
      <c r="H477" s="211">
        <f t="shared" ref="H477:H483" si="13">ROUND(G477*E477,2)</f>
        <v>28.25</v>
      </c>
    </row>
    <row r="478" spans="1:8" s="124" customFormat="1" ht="30">
      <c r="A478" s="721">
        <v>1322</v>
      </c>
      <c r="B478" s="721"/>
      <c r="C478" s="200" t="s">
        <v>5256</v>
      </c>
      <c r="D478" s="139" t="s">
        <v>10834</v>
      </c>
      <c r="E478" s="209">
        <v>17.7</v>
      </c>
      <c r="F478" s="577" t="s">
        <v>49</v>
      </c>
      <c r="G478" s="210">
        <v>4.7952000000000004</v>
      </c>
      <c r="H478" s="211">
        <f t="shared" si="13"/>
        <v>84.88</v>
      </c>
    </row>
    <row r="479" spans="1:8" s="124" customFormat="1" ht="45">
      <c r="A479" s="721">
        <v>11447</v>
      </c>
      <c r="B479" s="721"/>
      <c r="C479" s="200" t="s">
        <v>5256</v>
      </c>
      <c r="D479" s="139" t="s">
        <v>11621</v>
      </c>
      <c r="E479" s="209">
        <v>2</v>
      </c>
      <c r="F479" s="577" t="s">
        <v>40</v>
      </c>
      <c r="G479" s="210">
        <v>18.071100000000001</v>
      </c>
      <c r="H479" s="211">
        <f t="shared" si="13"/>
        <v>36.14</v>
      </c>
    </row>
    <row r="480" spans="1:8" s="124" customFormat="1" ht="30">
      <c r="A480" s="721">
        <v>88309</v>
      </c>
      <c r="B480" s="721"/>
      <c r="C480" s="200" t="s">
        <v>5256</v>
      </c>
      <c r="D480" s="139" t="s">
        <v>90</v>
      </c>
      <c r="E480" s="209">
        <v>0.7</v>
      </c>
      <c r="F480" s="577" t="s">
        <v>67</v>
      </c>
      <c r="G480" s="210">
        <v>15.608700000000001</v>
      </c>
      <c r="H480" s="211">
        <f t="shared" si="13"/>
        <v>10.93</v>
      </c>
    </row>
    <row r="481" spans="1:8" s="124" customFormat="1" ht="30">
      <c r="A481" s="721">
        <v>88315</v>
      </c>
      <c r="B481" s="721"/>
      <c r="C481" s="200" t="s">
        <v>5256</v>
      </c>
      <c r="D481" s="139" t="s">
        <v>112</v>
      </c>
      <c r="E481" s="209">
        <v>0.7</v>
      </c>
      <c r="F481" s="577" t="s">
        <v>67</v>
      </c>
      <c r="G481" s="210">
        <v>15.519600000000001</v>
      </c>
      <c r="H481" s="211">
        <f t="shared" si="13"/>
        <v>10.86</v>
      </c>
    </row>
    <row r="482" spans="1:8" s="124" customFormat="1" ht="30">
      <c r="A482" s="721">
        <v>88316</v>
      </c>
      <c r="B482" s="721"/>
      <c r="C482" s="200" t="s">
        <v>5256</v>
      </c>
      <c r="D482" s="139" t="s">
        <v>66</v>
      </c>
      <c r="E482" s="209">
        <v>1.3</v>
      </c>
      <c r="F482" s="577" t="s">
        <v>67</v>
      </c>
      <c r="G482" s="210">
        <v>11.631600000000001</v>
      </c>
      <c r="H482" s="211">
        <f t="shared" si="13"/>
        <v>15.12</v>
      </c>
    </row>
    <row r="483" spans="1:8" s="124" customFormat="1" ht="30">
      <c r="A483" s="721">
        <v>88631</v>
      </c>
      <c r="B483" s="721"/>
      <c r="C483" s="200" t="s">
        <v>5256</v>
      </c>
      <c r="D483" s="139" t="s">
        <v>4996</v>
      </c>
      <c r="E483" s="209">
        <v>4.0000000000000001E-3</v>
      </c>
      <c r="F483" s="577" t="s">
        <v>1261</v>
      </c>
      <c r="G483" s="210">
        <v>306.64980000000003</v>
      </c>
      <c r="H483" s="211">
        <f t="shared" si="13"/>
        <v>1.23</v>
      </c>
    </row>
    <row r="484" spans="1:8" s="201" customFormat="1">
      <c r="A484" s="582"/>
      <c r="B484" s="582"/>
      <c r="C484" s="212"/>
      <c r="D484" s="719" t="s">
        <v>127</v>
      </c>
      <c r="E484" s="719"/>
      <c r="F484" s="719"/>
      <c r="G484" s="719"/>
      <c r="H484" s="638">
        <f>SUMIF(F477:F483,("h"),H477:H483)</f>
        <v>36.909999999999997</v>
      </c>
    </row>
    <row r="485" spans="1:8" s="201" customFormat="1">
      <c r="A485" s="582"/>
      <c r="B485" s="582"/>
      <c r="C485" s="212"/>
      <c r="D485" s="719" t="s">
        <v>128</v>
      </c>
      <c r="E485" s="719"/>
      <c r="F485" s="719"/>
      <c r="G485" s="719"/>
      <c r="H485" s="638">
        <f>SUMIF(F477:F483,"&lt;&gt;h",H477:H483)</f>
        <v>150.49999999999997</v>
      </c>
    </row>
    <row r="486" spans="1:8" s="201" customFormat="1">
      <c r="A486" s="582"/>
      <c r="B486" s="582"/>
      <c r="C486" s="212"/>
      <c r="D486" s="718" t="s">
        <v>129</v>
      </c>
      <c r="E486" s="718"/>
      <c r="F486" s="718"/>
      <c r="G486" s="718"/>
      <c r="H486" s="213">
        <f>SUM(H484:H485)</f>
        <v>187.40999999999997</v>
      </c>
    </row>
    <row r="487" spans="1:8" s="201" customFormat="1">
      <c r="A487" s="582"/>
      <c r="B487" s="582"/>
      <c r="C487" s="212"/>
      <c r="D487" s="719" t="s">
        <v>28</v>
      </c>
      <c r="E487" s="719"/>
      <c r="F487" s="719"/>
      <c r="G487" s="719"/>
      <c r="H487" s="639">
        <f>E476</f>
        <v>1</v>
      </c>
    </row>
    <row r="488" spans="1:8" s="201" customFormat="1">
      <c r="A488" s="582"/>
      <c r="B488" s="582"/>
      <c r="C488" s="212"/>
      <c r="D488" s="718" t="s">
        <v>130</v>
      </c>
      <c r="E488" s="718"/>
      <c r="F488" s="718"/>
      <c r="G488" s="718"/>
      <c r="H488" s="213">
        <f>ROUND(H486*H487,2)</f>
        <v>187.41</v>
      </c>
    </row>
    <row r="489" spans="1:8" s="201" customFormat="1">
      <c r="A489" s="582"/>
      <c r="B489" s="582"/>
      <c r="C489" s="212"/>
      <c r="D489" s="719" t="s">
        <v>15559</v>
      </c>
      <c r="E489" s="719"/>
      <c r="F489" s="719"/>
      <c r="G489" s="719"/>
      <c r="H489" s="638">
        <f>ROUND(H486*$B$13,2)</f>
        <v>50.47</v>
      </c>
    </row>
    <row r="490" spans="1:8">
      <c r="A490" s="582"/>
      <c r="B490" s="582"/>
      <c r="C490" s="212"/>
      <c r="D490" s="718" t="s">
        <v>9661</v>
      </c>
      <c r="E490" s="718"/>
      <c r="F490" s="718"/>
      <c r="G490" s="718"/>
      <c r="H490" s="213">
        <f>H489+H486</f>
        <v>237.87999999999997</v>
      </c>
    </row>
    <row r="492" spans="1:8" s="201" customFormat="1">
      <c r="A492" s="123" t="s">
        <v>6</v>
      </c>
      <c r="B492" s="720" t="s">
        <v>7</v>
      </c>
      <c r="C492" s="720"/>
      <c r="D492" s="202" t="s">
        <v>124</v>
      </c>
      <c r="E492" s="167" t="s">
        <v>6334</v>
      </c>
      <c r="F492" s="202" t="s">
        <v>31</v>
      </c>
      <c r="G492" s="203" t="s">
        <v>125</v>
      </c>
      <c r="H492" s="204" t="s">
        <v>126</v>
      </c>
    </row>
    <row r="493" spans="1:8" s="208" customFormat="1" ht="60">
      <c r="A493" s="581" t="str">
        <f>'Orç - Prédio'!A117</f>
        <v>04.01.220.01</v>
      </c>
      <c r="B493" s="216" t="str">
        <f>'Orç - Prédio'!B117</f>
        <v>SINAPI</v>
      </c>
      <c r="C493" s="216" t="str">
        <f>'Orç - Prédio'!C117</f>
        <v>91341 MOD 1</v>
      </c>
      <c r="D493" s="217" t="s">
        <v>6782</v>
      </c>
      <c r="E493" s="206">
        <v>16</v>
      </c>
      <c r="F493" s="216" t="s">
        <v>6337</v>
      </c>
      <c r="G493" s="207">
        <f>VLOOKUP("CUSTO TOTAL UNIT.:",D494:$H$30004,5,FALSE)</f>
        <v>875.01</v>
      </c>
      <c r="H493" s="637">
        <f>VLOOKUP("CUSTO TOTAL:",D494:$H$30004,5,FALSE)</f>
        <v>14000.16</v>
      </c>
    </row>
    <row r="494" spans="1:8" s="124" customFormat="1" ht="45">
      <c r="A494" s="721">
        <v>142</v>
      </c>
      <c r="B494" s="721"/>
      <c r="C494" s="200" t="s">
        <v>5256</v>
      </c>
      <c r="D494" s="139" t="s">
        <v>13830</v>
      </c>
      <c r="E494" s="209">
        <v>1.66267728</v>
      </c>
      <c r="F494" s="577" t="s">
        <v>65</v>
      </c>
      <c r="G494" s="210">
        <v>25.1829</v>
      </c>
      <c r="H494" s="211">
        <f t="shared" ref="H494:H502" si="14">ROUND(G494*E494,2)</f>
        <v>41.87</v>
      </c>
    </row>
    <row r="495" spans="1:8" s="124" customFormat="1" ht="60">
      <c r="A495" s="721">
        <v>7568</v>
      </c>
      <c r="B495" s="721"/>
      <c r="C495" s="200" t="s">
        <v>5256</v>
      </c>
      <c r="D495" s="139" t="s">
        <v>10290</v>
      </c>
      <c r="E495" s="209">
        <v>9</v>
      </c>
      <c r="F495" s="577" t="s">
        <v>40</v>
      </c>
      <c r="G495" s="210">
        <v>0.49410000000000004</v>
      </c>
      <c r="H495" s="211">
        <f t="shared" si="14"/>
        <v>4.45</v>
      </c>
    </row>
    <row r="496" spans="1:8" s="124" customFormat="1" ht="45">
      <c r="A496" s="721">
        <v>11447</v>
      </c>
      <c r="B496" s="721"/>
      <c r="C496" s="200" t="s">
        <v>5256</v>
      </c>
      <c r="D496" s="139" t="s">
        <v>11621</v>
      </c>
      <c r="E496" s="209">
        <v>6</v>
      </c>
      <c r="F496" s="577" t="s">
        <v>40</v>
      </c>
      <c r="G496" s="210">
        <v>18.071100000000001</v>
      </c>
      <c r="H496" s="211">
        <f t="shared" si="14"/>
        <v>108.43</v>
      </c>
    </row>
    <row r="497" spans="1:8" s="124" customFormat="1" ht="45">
      <c r="A497" s="721">
        <v>36888</v>
      </c>
      <c r="B497" s="721"/>
      <c r="C497" s="200" t="s">
        <v>5256</v>
      </c>
      <c r="D497" s="139" t="s">
        <v>12123</v>
      </c>
      <c r="E497" s="209">
        <v>5.16</v>
      </c>
      <c r="F497" s="577" t="s">
        <v>48</v>
      </c>
      <c r="G497" s="210">
        <v>6.1559999999999997</v>
      </c>
      <c r="H497" s="211">
        <f t="shared" si="14"/>
        <v>31.76</v>
      </c>
    </row>
    <row r="498" spans="1:8" s="124" customFormat="1" ht="60">
      <c r="A498" s="721">
        <v>39025</v>
      </c>
      <c r="B498" s="721"/>
      <c r="C498" s="200" t="s">
        <v>5256</v>
      </c>
      <c r="D498" s="139" t="s">
        <v>13481</v>
      </c>
      <c r="E498" s="209">
        <v>1.03067536</v>
      </c>
      <c r="F498" s="577" t="s">
        <v>40</v>
      </c>
      <c r="G498" s="210">
        <v>471.70350000000008</v>
      </c>
      <c r="H498" s="211">
        <f t="shared" si="14"/>
        <v>486.17</v>
      </c>
    </row>
    <row r="499" spans="1:8" s="124" customFormat="1" ht="30">
      <c r="A499" s="721">
        <v>88309</v>
      </c>
      <c r="B499" s="721"/>
      <c r="C499" s="200" t="s">
        <v>5256</v>
      </c>
      <c r="D499" s="139" t="s">
        <v>90</v>
      </c>
      <c r="E499" s="209">
        <v>0.72051231999999998</v>
      </c>
      <c r="F499" s="577" t="s">
        <v>67</v>
      </c>
      <c r="G499" s="210">
        <v>15.608700000000001</v>
      </c>
      <c r="H499" s="211">
        <f t="shared" si="14"/>
        <v>11.25</v>
      </c>
    </row>
    <row r="500" spans="1:8" s="124" customFormat="1" ht="30">
      <c r="A500" s="721">
        <v>88316</v>
      </c>
      <c r="B500" s="721"/>
      <c r="C500" s="200" t="s">
        <v>5256</v>
      </c>
      <c r="D500" s="139" t="s">
        <v>66</v>
      </c>
      <c r="E500" s="209">
        <v>0.35969119999999999</v>
      </c>
      <c r="F500" s="577" t="s">
        <v>67</v>
      </c>
      <c r="G500" s="210">
        <v>11.631600000000001</v>
      </c>
      <c r="H500" s="211">
        <f t="shared" si="14"/>
        <v>4.18</v>
      </c>
    </row>
    <row r="501" spans="1:8" s="124" customFormat="1" ht="45">
      <c r="A501" s="721">
        <v>95468</v>
      </c>
      <c r="B501" s="721"/>
      <c r="C501" s="200" t="s">
        <v>5256</v>
      </c>
      <c r="D501" s="139" t="s">
        <v>4492</v>
      </c>
      <c r="E501" s="209">
        <v>3.7664000000000004</v>
      </c>
      <c r="F501" s="577" t="s">
        <v>322</v>
      </c>
      <c r="G501" s="210">
        <v>28.892700000000005</v>
      </c>
      <c r="H501" s="211">
        <f t="shared" si="14"/>
        <v>108.82</v>
      </c>
    </row>
    <row r="502" spans="1:8" s="124" customFormat="1" ht="75">
      <c r="A502" s="721">
        <v>90830</v>
      </c>
      <c r="B502" s="721"/>
      <c r="C502" s="200" t="s">
        <v>5256</v>
      </c>
      <c r="D502" s="139" t="s">
        <v>1460</v>
      </c>
      <c r="E502" s="209">
        <v>1</v>
      </c>
      <c r="F502" s="577" t="s">
        <v>171</v>
      </c>
      <c r="G502" s="210">
        <v>78.075900000000004</v>
      </c>
      <c r="H502" s="211">
        <f t="shared" si="14"/>
        <v>78.08</v>
      </c>
    </row>
    <row r="503" spans="1:8" s="201" customFormat="1">
      <c r="A503" s="582"/>
      <c r="B503" s="582"/>
      <c r="C503" s="212"/>
      <c r="D503" s="719" t="s">
        <v>127</v>
      </c>
      <c r="E503" s="719"/>
      <c r="F503" s="719"/>
      <c r="G503" s="719"/>
      <c r="H503" s="638">
        <f>SUMIF(F494:F502,("h"),H494:H502)</f>
        <v>15.43</v>
      </c>
    </row>
    <row r="504" spans="1:8" s="201" customFormat="1">
      <c r="A504" s="582"/>
      <c r="B504" s="582"/>
      <c r="C504" s="212"/>
      <c r="D504" s="719" t="s">
        <v>128</v>
      </c>
      <c r="E504" s="719"/>
      <c r="F504" s="719"/>
      <c r="G504" s="719"/>
      <c r="H504" s="638">
        <f>SUMIF(F494:F502,"&lt;&gt;h",H494:H502)</f>
        <v>859.58</v>
      </c>
    </row>
    <row r="505" spans="1:8" s="201" customFormat="1">
      <c r="A505" s="582"/>
      <c r="B505" s="582"/>
      <c r="C505" s="212"/>
      <c r="D505" s="718" t="s">
        <v>129</v>
      </c>
      <c r="E505" s="718"/>
      <c r="F505" s="718"/>
      <c r="G505" s="718"/>
      <c r="H505" s="213">
        <f>SUM(H503:H504)</f>
        <v>875.01</v>
      </c>
    </row>
    <row r="506" spans="1:8" s="201" customFormat="1">
      <c r="A506" s="582"/>
      <c r="B506" s="582"/>
      <c r="C506" s="212"/>
      <c r="D506" s="719" t="s">
        <v>28</v>
      </c>
      <c r="E506" s="719"/>
      <c r="F506" s="719"/>
      <c r="G506" s="719"/>
      <c r="H506" s="639">
        <f>E493</f>
        <v>16</v>
      </c>
    </row>
    <row r="507" spans="1:8" s="201" customFormat="1">
      <c r="A507" s="582"/>
      <c r="B507" s="582"/>
      <c r="C507" s="212"/>
      <c r="D507" s="718" t="s">
        <v>130</v>
      </c>
      <c r="E507" s="718"/>
      <c r="F507" s="718"/>
      <c r="G507" s="718"/>
      <c r="H507" s="213">
        <f>ROUND(H505*H506,2)</f>
        <v>14000.16</v>
      </c>
    </row>
    <row r="508" spans="1:8" s="201" customFormat="1">
      <c r="A508" s="582"/>
      <c r="B508" s="582"/>
      <c r="C508" s="212"/>
      <c r="D508" s="719" t="s">
        <v>15559</v>
      </c>
      <c r="E508" s="719"/>
      <c r="F508" s="719"/>
      <c r="G508" s="719"/>
      <c r="H508" s="638">
        <f>ROUND(H505*$B$13,2)</f>
        <v>235.64</v>
      </c>
    </row>
    <row r="509" spans="1:8">
      <c r="A509" s="582"/>
      <c r="B509" s="582"/>
      <c r="C509" s="212"/>
      <c r="D509" s="718" t="s">
        <v>9661</v>
      </c>
      <c r="E509" s="718"/>
      <c r="F509" s="718"/>
      <c r="G509" s="718"/>
      <c r="H509" s="213">
        <f>H508+H505</f>
        <v>1110.6500000000001</v>
      </c>
    </row>
    <row r="511" spans="1:8" s="201" customFormat="1">
      <c r="A511" s="123" t="s">
        <v>6</v>
      </c>
      <c r="B511" s="720" t="s">
        <v>7</v>
      </c>
      <c r="C511" s="720"/>
      <c r="D511" s="202" t="s">
        <v>124</v>
      </c>
      <c r="E511" s="167" t="s">
        <v>6334</v>
      </c>
      <c r="F511" s="202" t="s">
        <v>31</v>
      </c>
      <c r="G511" s="203" t="s">
        <v>125</v>
      </c>
      <c r="H511" s="204" t="s">
        <v>126</v>
      </c>
    </row>
    <row r="512" spans="1:8" s="208" customFormat="1" ht="75">
      <c r="A512" s="581" t="str">
        <f>'Orç - Prédio'!A118</f>
        <v>04.01.220.02</v>
      </c>
      <c r="B512" s="216" t="str">
        <f>'Orç - Prédio'!B118</f>
        <v>SINAPI</v>
      </c>
      <c r="C512" s="216" t="str">
        <f>'Orç - Prédio'!C118</f>
        <v>91341 MOD 2</v>
      </c>
      <c r="D512" s="217" t="s">
        <v>6783</v>
      </c>
      <c r="E512" s="206">
        <v>6</v>
      </c>
      <c r="F512" s="216" t="s">
        <v>6337</v>
      </c>
      <c r="G512" s="207">
        <f>VLOOKUP("CUSTO TOTAL UNIT.:",D513:$H$30004,5,FALSE)</f>
        <v>968.17</v>
      </c>
      <c r="H512" s="637">
        <f>VLOOKUP("CUSTO TOTAL:",D513:$H$30004,5,FALSE)</f>
        <v>5809.02</v>
      </c>
    </row>
    <row r="513" spans="1:8" s="124" customFormat="1" ht="45">
      <c r="A513" s="721">
        <v>142</v>
      </c>
      <c r="B513" s="721"/>
      <c r="C513" s="200" t="s">
        <v>5256</v>
      </c>
      <c r="D513" s="139" t="s">
        <v>13830</v>
      </c>
      <c r="E513" s="209">
        <v>2.4911023499999998</v>
      </c>
      <c r="F513" s="577" t="s">
        <v>65</v>
      </c>
      <c r="G513" s="210">
        <v>25.1829</v>
      </c>
      <c r="H513" s="211">
        <f t="shared" ref="H513:H522" si="15">ROUND(G513*E513,2)</f>
        <v>62.73</v>
      </c>
    </row>
    <row r="514" spans="1:8" s="124" customFormat="1" ht="60">
      <c r="A514" s="721">
        <v>7568</v>
      </c>
      <c r="B514" s="721"/>
      <c r="C514" s="200" t="s">
        <v>5256</v>
      </c>
      <c r="D514" s="139" t="s">
        <v>10290</v>
      </c>
      <c r="E514" s="209">
        <v>14</v>
      </c>
      <c r="F514" s="577" t="s">
        <v>40</v>
      </c>
      <c r="G514" s="210">
        <v>0.49410000000000004</v>
      </c>
      <c r="H514" s="211">
        <f t="shared" si="15"/>
        <v>6.92</v>
      </c>
    </row>
    <row r="515" spans="1:8" s="124" customFormat="1" ht="45">
      <c r="A515" s="721">
        <v>11447</v>
      </c>
      <c r="B515" s="721"/>
      <c r="C515" s="200" t="s">
        <v>5256</v>
      </c>
      <c r="D515" s="139" t="s">
        <v>11621</v>
      </c>
      <c r="E515" s="209">
        <v>3</v>
      </c>
      <c r="F515" s="577" t="s">
        <v>40</v>
      </c>
      <c r="G515" s="210">
        <v>18.071100000000001</v>
      </c>
      <c r="H515" s="211">
        <f t="shared" si="15"/>
        <v>54.21</v>
      </c>
    </row>
    <row r="516" spans="1:8" s="124" customFormat="1" ht="45">
      <c r="A516" s="721">
        <v>36888</v>
      </c>
      <c r="B516" s="721"/>
      <c r="C516" s="200" t="s">
        <v>5256</v>
      </c>
      <c r="D516" s="139" t="s">
        <v>12123</v>
      </c>
      <c r="E516" s="209">
        <v>4.24</v>
      </c>
      <c r="F516" s="577" t="s">
        <v>48</v>
      </c>
      <c r="G516" s="210">
        <v>6.1559999999999997</v>
      </c>
      <c r="H516" s="211">
        <f t="shared" si="15"/>
        <v>26.1</v>
      </c>
    </row>
    <row r="517" spans="1:8" s="124" customFormat="1" ht="60">
      <c r="A517" s="721">
        <v>39025</v>
      </c>
      <c r="B517" s="721"/>
      <c r="C517" s="200" t="s">
        <v>5256</v>
      </c>
      <c r="D517" s="139" t="s">
        <v>13481</v>
      </c>
      <c r="E517" s="209">
        <v>1</v>
      </c>
      <c r="F517" s="577" t="s">
        <v>40</v>
      </c>
      <c r="G517" s="210">
        <v>471.70350000000008</v>
      </c>
      <c r="H517" s="211">
        <f t="shared" si="15"/>
        <v>471.7</v>
      </c>
    </row>
    <row r="518" spans="1:8" s="124" customFormat="1" ht="45">
      <c r="A518" s="721">
        <v>11067</v>
      </c>
      <c r="B518" s="721"/>
      <c r="C518" s="200" t="s">
        <v>5256</v>
      </c>
      <c r="D518" s="139" t="s">
        <v>14263</v>
      </c>
      <c r="E518" s="209">
        <v>0.53437499999999993</v>
      </c>
      <c r="F518" s="577" t="s">
        <v>40</v>
      </c>
      <c r="G518" s="210">
        <v>153.9486</v>
      </c>
      <c r="H518" s="211">
        <f t="shared" si="15"/>
        <v>82.27</v>
      </c>
    </row>
    <row r="519" spans="1:8" s="124" customFormat="1" ht="30">
      <c r="A519" s="721">
        <v>88309</v>
      </c>
      <c r="B519" s="721"/>
      <c r="C519" s="200" t="s">
        <v>5256</v>
      </c>
      <c r="D519" s="139" t="s">
        <v>90</v>
      </c>
      <c r="E519" s="209">
        <v>1.0795059</v>
      </c>
      <c r="F519" s="577" t="s">
        <v>67</v>
      </c>
      <c r="G519" s="210">
        <v>15.608700000000001</v>
      </c>
      <c r="H519" s="211">
        <f t="shared" si="15"/>
        <v>16.850000000000001</v>
      </c>
    </row>
    <row r="520" spans="1:8" s="124" customFormat="1" ht="30">
      <c r="A520" s="721">
        <v>88316</v>
      </c>
      <c r="B520" s="721"/>
      <c r="C520" s="200" t="s">
        <v>5256</v>
      </c>
      <c r="D520" s="139" t="s">
        <v>66</v>
      </c>
      <c r="E520" s="209">
        <v>0.53890649999999996</v>
      </c>
      <c r="F520" s="577" t="s">
        <v>67</v>
      </c>
      <c r="G520" s="210">
        <v>11.631600000000001</v>
      </c>
      <c r="H520" s="211">
        <f t="shared" si="15"/>
        <v>6.27</v>
      </c>
    </row>
    <row r="521" spans="1:8" s="124" customFormat="1" ht="45">
      <c r="A521" s="721">
        <v>95468</v>
      </c>
      <c r="B521" s="721"/>
      <c r="C521" s="200" t="s">
        <v>5256</v>
      </c>
      <c r="D521" s="139" t="s">
        <v>4492</v>
      </c>
      <c r="E521" s="209">
        <v>5.6429999999999998</v>
      </c>
      <c r="F521" s="577" t="s">
        <v>322</v>
      </c>
      <c r="G521" s="210">
        <v>28.892700000000005</v>
      </c>
      <c r="H521" s="211">
        <f t="shared" si="15"/>
        <v>163.04</v>
      </c>
    </row>
    <row r="522" spans="1:8" s="124" customFormat="1" ht="75">
      <c r="A522" s="721">
        <v>90830</v>
      </c>
      <c r="B522" s="721"/>
      <c r="C522" s="200" t="s">
        <v>5256</v>
      </c>
      <c r="D522" s="139" t="s">
        <v>1460</v>
      </c>
      <c r="E522" s="209">
        <v>1</v>
      </c>
      <c r="F522" s="577" t="s">
        <v>171</v>
      </c>
      <c r="G522" s="210">
        <v>78.075900000000004</v>
      </c>
      <c r="H522" s="211">
        <f t="shared" si="15"/>
        <v>78.08</v>
      </c>
    </row>
    <row r="523" spans="1:8" s="201" customFormat="1">
      <c r="A523" s="582"/>
      <c r="B523" s="582"/>
      <c r="C523" s="212"/>
      <c r="D523" s="719" t="s">
        <v>127</v>
      </c>
      <c r="E523" s="719"/>
      <c r="F523" s="719"/>
      <c r="G523" s="719"/>
      <c r="H523" s="638">
        <f>SUMIF(F513:F522,("h"),H513:H522)</f>
        <v>23.12</v>
      </c>
    </row>
    <row r="524" spans="1:8" s="201" customFormat="1">
      <c r="A524" s="582"/>
      <c r="B524" s="582"/>
      <c r="C524" s="212"/>
      <c r="D524" s="719" t="s">
        <v>128</v>
      </c>
      <c r="E524" s="719"/>
      <c r="F524" s="719"/>
      <c r="G524" s="719"/>
      <c r="H524" s="638">
        <f>SUMIF(F513:F522,"&lt;&gt;h",H513:H522)</f>
        <v>945.05</v>
      </c>
    </row>
    <row r="525" spans="1:8" s="201" customFormat="1">
      <c r="A525" s="582"/>
      <c r="B525" s="582"/>
      <c r="C525" s="212"/>
      <c r="D525" s="718" t="s">
        <v>129</v>
      </c>
      <c r="E525" s="718"/>
      <c r="F525" s="718"/>
      <c r="G525" s="718"/>
      <c r="H525" s="213">
        <f>SUM(H523:H524)</f>
        <v>968.17</v>
      </c>
    </row>
    <row r="526" spans="1:8" s="201" customFormat="1">
      <c r="A526" s="582"/>
      <c r="B526" s="582"/>
      <c r="C526" s="212"/>
      <c r="D526" s="719" t="s">
        <v>28</v>
      </c>
      <c r="E526" s="719"/>
      <c r="F526" s="719"/>
      <c r="G526" s="719"/>
      <c r="H526" s="639">
        <f>E512</f>
        <v>6</v>
      </c>
    </row>
    <row r="527" spans="1:8" s="201" customFormat="1">
      <c r="A527" s="582"/>
      <c r="B527" s="582"/>
      <c r="C527" s="212"/>
      <c r="D527" s="718" t="s">
        <v>130</v>
      </c>
      <c r="E527" s="718"/>
      <c r="F527" s="718"/>
      <c r="G527" s="718"/>
      <c r="H527" s="213">
        <f>ROUND(H525*H526,2)</f>
        <v>5809.02</v>
      </c>
    </row>
    <row r="528" spans="1:8" s="201" customFormat="1">
      <c r="A528" s="582"/>
      <c r="B528" s="582"/>
      <c r="C528" s="212"/>
      <c r="D528" s="719" t="s">
        <v>15559</v>
      </c>
      <c r="E528" s="719"/>
      <c r="F528" s="719"/>
      <c r="G528" s="719"/>
      <c r="H528" s="638">
        <f>ROUND(H525*$B$13,2)</f>
        <v>260.73</v>
      </c>
    </row>
    <row r="529" spans="1:8">
      <c r="A529" s="582"/>
      <c r="B529" s="582"/>
      <c r="C529" s="212"/>
      <c r="D529" s="718" t="s">
        <v>9661</v>
      </c>
      <c r="E529" s="718"/>
      <c r="F529" s="718"/>
      <c r="G529" s="718"/>
      <c r="H529" s="213">
        <f>H528+H525</f>
        <v>1228.9000000000001</v>
      </c>
    </row>
    <row r="531" spans="1:8" s="201" customFormat="1">
      <c r="A531" s="123" t="s">
        <v>6</v>
      </c>
      <c r="B531" s="720" t="s">
        <v>7</v>
      </c>
      <c r="C531" s="720"/>
      <c r="D531" s="202" t="s">
        <v>124</v>
      </c>
      <c r="E531" s="167" t="s">
        <v>6334</v>
      </c>
      <c r="F531" s="202" t="s">
        <v>31</v>
      </c>
      <c r="G531" s="203" t="s">
        <v>125</v>
      </c>
      <c r="H531" s="204" t="s">
        <v>126</v>
      </c>
    </row>
    <row r="532" spans="1:8" s="208" customFormat="1" ht="75">
      <c r="A532" s="581" t="str">
        <f>'Orç - Prédio'!A119</f>
        <v>04.01.220.03</v>
      </c>
      <c r="B532" s="216" t="str">
        <f>'Orç - Prédio'!B119</f>
        <v>SINAPI</v>
      </c>
      <c r="C532" s="216" t="str">
        <f>'Orç - Prédio'!C119</f>
        <v>91341 MOD 3</v>
      </c>
      <c r="D532" s="217" t="s">
        <v>6784</v>
      </c>
      <c r="E532" s="206">
        <v>1</v>
      </c>
      <c r="F532" s="216" t="s">
        <v>6337</v>
      </c>
      <c r="G532" s="207">
        <f>VLOOKUP("CUSTO TOTAL UNIT.:",D533:$H$30004,5,FALSE)</f>
        <v>4466.43</v>
      </c>
      <c r="H532" s="637">
        <f>VLOOKUP("CUSTO TOTAL:",D533:$H$30004,5,FALSE)</f>
        <v>4466.43</v>
      </c>
    </row>
    <row r="533" spans="1:8" s="124" customFormat="1" ht="45">
      <c r="A533" s="721">
        <v>142</v>
      </c>
      <c r="B533" s="721"/>
      <c r="C533" s="200" t="s">
        <v>5256</v>
      </c>
      <c r="D533" s="139" t="s">
        <v>13830</v>
      </c>
      <c r="E533" s="209">
        <v>5.977233</v>
      </c>
      <c r="F533" s="577" t="s">
        <v>65</v>
      </c>
      <c r="G533" s="210">
        <v>25.1829</v>
      </c>
      <c r="H533" s="211">
        <f t="shared" ref="H533:H541" si="16">ROUND(G533*E533,2)</f>
        <v>150.52000000000001</v>
      </c>
    </row>
    <row r="534" spans="1:8" s="124" customFormat="1" ht="60">
      <c r="A534" s="721">
        <v>7568</v>
      </c>
      <c r="B534" s="721"/>
      <c r="C534" s="200" t="s">
        <v>5256</v>
      </c>
      <c r="D534" s="139" t="s">
        <v>10290</v>
      </c>
      <c r="E534" s="209">
        <v>23</v>
      </c>
      <c r="F534" s="577" t="s">
        <v>40</v>
      </c>
      <c r="G534" s="210">
        <v>0.49410000000000004</v>
      </c>
      <c r="H534" s="211">
        <f t="shared" si="16"/>
        <v>11.36</v>
      </c>
    </row>
    <row r="535" spans="1:8" s="124" customFormat="1" ht="45">
      <c r="A535" s="721">
        <v>11447</v>
      </c>
      <c r="B535" s="721"/>
      <c r="C535" s="200" t="s">
        <v>5256</v>
      </c>
      <c r="D535" s="139" t="s">
        <v>11621</v>
      </c>
      <c r="E535" s="209">
        <v>18</v>
      </c>
      <c r="F535" s="577" t="s">
        <v>40</v>
      </c>
      <c r="G535" s="210">
        <v>18.071100000000001</v>
      </c>
      <c r="H535" s="211">
        <f t="shared" si="16"/>
        <v>325.27999999999997</v>
      </c>
    </row>
    <row r="536" spans="1:8" s="124" customFormat="1" ht="45">
      <c r="A536" s="721">
        <v>36888</v>
      </c>
      <c r="B536" s="721"/>
      <c r="C536" s="200" t="s">
        <v>5256</v>
      </c>
      <c r="D536" s="139" t="s">
        <v>12123</v>
      </c>
      <c r="E536" s="209">
        <v>16.96</v>
      </c>
      <c r="F536" s="577" t="s">
        <v>48</v>
      </c>
      <c r="G536" s="210">
        <v>6.1559999999999997</v>
      </c>
      <c r="H536" s="211">
        <f t="shared" si="16"/>
        <v>104.41</v>
      </c>
    </row>
    <row r="537" spans="1:8" s="124" customFormat="1" ht="60">
      <c r="A537" s="721">
        <v>39025</v>
      </c>
      <c r="B537" s="721"/>
      <c r="C537" s="200" t="s">
        <v>5256</v>
      </c>
      <c r="D537" s="139" t="s">
        <v>13481</v>
      </c>
      <c r="E537" s="209">
        <v>6.7710000000000008</v>
      </c>
      <c r="F537" s="577" t="s">
        <v>40</v>
      </c>
      <c r="G537" s="210">
        <v>471.70350000000008</v>
      </c>
      <c r="H537" s="211">
        <f t="shared" si="16"/>
        <v>3193.9</v>
      </c>
    </row>
    <row r="538" spans="1:8" s="124" customFormat="1" ht="30">
      <c r="A538" s="721">
        <v>88309</v>
      </c>
      <c r="B538" s="721"/>
      <c r="C538" s="200" t="s">
        <v>5256</v>
      </c>
      <c r="D538" s="139" t="s">
        <v>90</v>
      </c>
      <c r="E538" s="209">
        <v>2.5902019999999997</v>
      </c>
      <c r="F538" s="577" t="s">
        <v>67</v>
      </c>
      <c r="G538" s="210">
        <v>15.608700000000001</v>
      </c>
      <c r="H538" s="211">
        <f t="shared" si="16"/>
        <v>40.43</v>
      </c>
    </row>
    <row r="539" spans="1:8" s="124" customFormat="1" ht="30">
      <c r="A539" s="721">
        <v>88316</v>
      </c>
      <c r="B539" s="721"/>
      <c r="C539" s="200" t="s">
        <v>5256</v>
      </c>
      <c r="D539" s="139" t="s">
        <v>66</v>
      </c>
      <c r="E539" s="209">
        <v>1.2930699999999999</v>
      </c>
      <c r="F539" s="577" t="s">
        <v>67</v>
      </c>
      <c r="G539" s="210">
        <v>11.631600000000001</v>
      </c>
      <c r="H539" s="211">
        <f t="shared" si="16"/>
        <v>15.04</v>
      </c>
    </row>
    <row r="540" spans="1:8" s="124" customFormat="1" ht="45">
      <c r="A540" s="721">
        <v>95468</v>
      </c>
      <c r="B540" s="721"/>
      <c r="C540" s="200" t="s">
        <v>5256</v>
      </c>
      <c r="D540" s="139" t="s">
        <v>4492</v>
      </c>
      <c r="E540" s="209">
        <v>13.542000000000002</v>
      </c>
      <c r="F540" s="577" t="s">
        <v>322</v>
      </c>
      <c r="G540" s="210">
        <v>28.892700000000005</v>
      </c>
      <c r="H540" s="211">
        <f t="shared" si="16"/>
        <v>391.26</v>
      </c>
    </row>
    <row r="541" spans="1:8" s="124" customFormat="1" ht="75">
      <c r="A541" s="721">
        <v>90830</v>
      </c>
      <c r="B541" s="721"/>
      <c r="C541" s="200" t="s">
        <v>5256</v>
      </c>
      <c r="D541" s="139" t="s">
        <v>1460</v>
      </c>
      <c r="E541" s="209">
        <v>3</v>
      </c>
      <c r="F541" s="577" t="s">
        <v>171</v>
      </c>
      <c r="G541" s="210">
        <v>78.075900000000004</v>
      </c>
      <c r="H541" s="211">
        <f t="shared" si="16"/>
        <v>234.23</v>
      </c>
    </row>
    <row r="542" spans="1:8" s="201" customFormat="1">
      <c r="A542" s="582"/>
      <c r="B542" s="582"/>
      <c r="C542" s="212"/>
      <c r="D542" s="719" t="s">
        <v>127</v>
      </c>
      <c r="E542" s="719"/>
      <c r="F542" s="719"/>
      <c r="G542" s="719"/>
      <c r="H542" s="638">
        <f>SUMIF(F533:F541,("h"),H533:H541)</f>
        <v>55.47</v>
      </c>
    </row>
    <row r="543" spans="1:8" s="201" customFormat="1">
      <c r="A543" s="582"/>
      <c r="B543" s="582"/>
      <c r="C543" s="212"/>
      <c r="D543" s="719" t="s">
        <v>128</v>
      </c>
      <c r="E543" s="719"/>
      <c r="F543" s="719"/>
      <c r="G543" s="719"/>
      <c r="H543" s="638">
        <f>SUMIF(F533:F541,"&lt;&gt;h",H533:H541)</f>
        <v>4410.96</v>
      </c>
    </row>
    <row r="544" spans="1:8" s="201" customFormat="1">
      <c r="A544" s="582"/>
      <c r="B544" s="582"/>
      <c r="C544" s="212"/>
      <c r="D544" s="718" t="s">
        <v>129</v>
      </c>
      <c r="E544" s="718"/>
      <c r="F544" s="718"/>
      <c r="G544" s="718"/>
      <c r="H544" s="213">
        <f>SUM(H542:H543)</f>
        <v>4466.43</v>
      </c>
    </row>
    <row r="545" spans="1:8" s="201" customFormat="1">
      <c r="A545" s="582"/>
      <c r="B545" s="582"/>
      <c r="C545" s="212"/>
      <c r="D545" s="719" t="s">
        <v>28</v>
      </c>
      <c r="E545" s="719"/>
      <c r="F545" s="719"/>
      <c r="G545" s="719"/>
      <c r="H545" s="639">
        <f>E532</f>
        <v>1</v>
      </c>
    </row>
    <row r="546" spans="1:8" s="201" customFormat="1">
      <c r="A546" s="582"/>
      <c r="B546" s="582"/>
      <c r="C546" s="212"/>
      <c r="D546" s="718" t="s">
        <v>130</v>
      </c>
      <c r="E546" s="718"/>
      <c r="F546" s="718"/>
      <c r="G546" s="718"/>
      <c r="H546" s="213">
        <f>ROUND(H544*H545,2)</f>
        <v>4466.43</v>
      </c>
    </row>
    <row r="547" spans="1:8" s="201" customFormat="1">
      <c r="A547" s="582"/>
      <c r="B547" s="582"/>
      <c r="C547" s="212"/>
      <c r="D547" s="719" t="s">
        <v>15559</v>
      </c>
      <c r="E547" s="719"/>
      <c r="F547" s="719"/>
      <c r="G547" s="719"/>
      <c r="H547" s="638">
        <f>ROUND(H544*$B$13,2)</f>
        <v>1202.81</v>
      </c>
    </row>
    <row r="548" spans="1:8">
      <c r="A548" s="582"/>
      <c r="B548" s="582"/>
      <c r="C548" s="212"/>
      <c r="D548" s="718" t="s">
        <v>9661</v>
      </c>
      <c r="E548" s="718"/>
      <c r="F548" s="718"/>
      <c r="G548" s="718"/>
      <c r="H548" s="213">
        <f>H547+H544</f>
        <v>5669.24</v>
      </c>
    </row>
    <row r="550" spans="1:8" s="201" customFormat="1">
      <c r="A550" s="123" t="s">
        <v>6</v>
      </c>
      <c r="B550" s="720" t="s">
        <v>7</v>
      </c>
      <c r="C550" s="720"/>
      <c r="D550" s="202" t="s">
        <v>124</v>
      </c>
      <c r="E550" s="167" t="s">
        <v>6334</v>
      </c>
      <c r="F550" s="202" t="s">
        <v>31</v>
      </c>
      <c r="G550" s="203" t="s">
        <v>125</v>
      </c>
      <c r="H550" s="204" t="s">
        <v>126</v>
      </c>
    </row>
    <row r="551" spans="1:8" s="208" customFormat="1" ht="75">
      <c r="A551" s="581" t="str">
        <f>'Orç - Prédio'!A120</f>
        <v>04.01.220.04</v>
      </c>
      <c r="B551" s="216" t="str">
        <f>'Orç - Prédio'!B120</f>
        <v>SINAPI</v>
      </c>
      <c r="C551" s="216" t="str">
        <f>'Orç - Prédio'!C120</f>
        <v>91341 MOD 4</v>
      </c>
      <c r="D551" s="217" t="s">
        <v>6785</v>
      </c>
      <c r="E551" s="206">
        <v>1</v>
      </c>
      <c r="F551" s="216" t="s">
        <v>6337</v>
      </c>
      <c r="G551" s="207">
        <f>VLOOKUP("CUSTO TOTAL UNIT.:",D552:$H$30004,5,FALSE)</f>
        <v>4968.63</v>
      </c>
      <c r="H551" s="637">
        <f>VLOOKUP("CUSTO TOTAL:",D552:$H$30004,5,FALSE)</f>
        <v>4968.63</v>
      </c>
    </row>
    <row r="552" spans="1:8" s="124" customFormat="1" ht="45">
      <c r="A552" s="721">
        <v>142</v>
      </c>
      <c r="B552" s="721"/>
      <c r="C552" s="200" t="s">
        <v>5256</v>
      </c>
      <c r="D552" s="139" t="s">
        <v>13830</v>
      </c>
      <c r="E552" s="209">
        <v>6.7630140000000001</v>
      </c>
      <c r="F552" s="577" t="s">
        <v>65</v>
      </c>
      <c r="G552" s="210">
        <v>25.1829</v>
      </c>
      <c r="H552" s="211">
        <f t="shared" ref="H552:H560" si="17">ROUND(G552*E552,2)</f>
        <v>170.31</v>
      </c>
    </row>
    <row r="553" spans="1:8" s="124" customFormat="1" ht="60">
      <c r="A553" s="721">
        <v>7568</v>
      </c>
      <c r="B553" s="721"/>
      <c r="C553" s="200" t="s">
        <v>5256</v>
      </c>
      <c r="D553" s="139" t="s">
        <v>10290</v>
      </c>
      <c r="E553" s="209">
        <v>23</v>
      </c>
      <c r="F553" s="577" t="s">
        <v>40</v>
      </c>
      <c r="G553" s="210">
        <v>0.49410000000000004</v>
      </c>
      <c r="H553" s="211">
        <f t="shared" si="17"/>
        <v>11.36</v>
      </c>
    </row>
    <row r="554" spans="1:8" s="124" customFormat="1" ht="45">
      <c r="A554" s="721">
        <v>11447</v>
      </c>
      <c r="B554" s="721"/>
      <c r="C554" s="200" t="s">
        <v>5256</v>
      </c>
      <c r="D554" s="139" t="s">
        <v>11621</v>
      </c>
      <c r="E554" s="209">
        <v>18</v>
      </c>
      <c r="F554" s="577" t="s">
        <v>40</v>
      </c>
      <c r="G554" s="210">
        <v>18.071100000000001</v>
      </c>
      <c r="H554" s="211">
        <f t="shared" si="17"/>
        <v>325.27999999999997</v>
      </c>
    </row>
    <row r="555" spans="1:8" s="124" customFormat="1" ht="45">
      <c r="A555" s="721">
        <v>36888</v>
      </c>
      <c r="B555" s="721"/>
      <c r="C555" s="200" t="s">
        <v>5256</v>
      </c>
      <c r="D555" s="139" t="s">
        <v>12123</v>
      </c>
      <c r="E555" s="209">
        <v>17.759999999999998</v>
      </c>
      <c r="F555" s="577" t="s">
        <v>48</v>
      </c>
      <c r="G555" s="210">
        <v>6.1559999999999997</v>
      </c>
      <c r="H555" s="211">
        <f t="shared" si="17"/>
        <v>109.33</v>
      </c>
    </row>
    <row r="556" spans="1:8" s="124" customFormat="1" ht="60">
      <c r="A556" s="721">
        <v>39025</v>
      </c>
      <c r="B556" s="721"/>
      <c r="C556" s="200" t="s">
        <v>5256</v>
      </c>
      <c r="D556" s="139" t="s">
        <v>13481</v>
      </c>
      <c r="E556" s="209">
        <v>7.6590000000000007</v>
      </c>
      <c r="F556" s="577" t="s">
        <v>40</v>
      </c>
      <c r="G556" s="210">
        <v>471.70350000000008</v>
      </c>
      <c r="H556" s="211">
        <f t="shared" si="17"/>
        <v>3612.78</v>
      </c>
    </row>
    <row r="557" spans="1:8" s="124" customFormat="1" ht="30">
      <c r="A557" s="721">
        <v>88309</v>
      </c>
      <c r="B557" s="721"/>
      <c r="C557" s="200" t="s">
        <v>5256</v>
      </c>
      <c r="D557" s="139" t="s">
        <v>90</v>
      </c>
      <c r="E557" s="209">
        <v>2.9307159999999999</v>
      </c>
      <c r="F557" s="577" t="s">
        <v>67</v>
      </c>
      <c r="G557" s="210">
        <v>15.608700000000001</v>
      </c>
      <c r="H557" s="211">
        <f t="shared" si="17"/>
        <v>45.74</v>
      </c>
    </row>
    <row r="558" spans="1:8" s="124" customFormat="1" ht="30">
      <c r="A558" s="721">
        <v>88316</v>
      </c>
      <c r="B558" s="721"/>
      <c r="C558" s="200" t="s">
        <v>5256</v>
      </c>
      <c r="D558" s="139" t="s">
        <v>66</v>
      </c>
      <c r="E558" s="209">
        <v>1.46306</v>
      </c>
      <c r="F558" s="577" t="s">
        <v>67</v>
      </c>
      <c r="G558" s="210">
        <v>11.631600000000001</v>
      </c>
      <c r="H558" s="211">
        <f t="shared" si="17"/>
        <v>17.02</v>
      </c>
    </row>
    <row r="559" spans="1:8" s="124" customFormat="1" ht="45">
      <c r="A559" s="721">
        <v>95468</v>
      </c>
      <c r="B559" s="721"/>
      <c r="C559" s="200" t="s">
        <v>5256</v>
      </c>
      <c r="D559" s="139" t="s">
        <v>4492</v>
      </c>
      <c r="E559" s="209">
        <v>15.318000000000001</v>
      </c>
      <c r="F559" s="577" t="s">
        <v>322</v>
      </c>
      <c r="G559" s="210">
        <v>28.892700000000005</v>
      </c>
      <c r="H559" s="211">
        <f t="shared" si="17"/>
        <v>442.58</v>
      </c>
    </row>
    <row r="560" spans="1:8" s="124" customFormat="1" ht="75">
      <c r="A560" s="721">
        <v>90830</v>
      </c>
      <c r="B560" s="721"/>
      <c r="C560" s="200" t="s">
        <v>5256</v>
      </c>
      <c r="D560" s="139" t="s">
        <v>1460</v>
      </c>
      <c r="E560" s="209">
        <v>3</v>
      </c>
      <c r="F560" s="577" t="s">
        <v>171</v>
      </c>
      <c r="G560" s="210">
        <v>78.075900000000004</v>
      </c>
      <c r="H560" s="211">
        <f t="shared" si="17"/>
        <v>234.23</v>
      </c>
    </row>
    <row r="561" spans="1:8" s="201" customFormat="1">
      <c r="A561" s="582"/>
      <c r="B561" s="582"/>
      <c r="C561" s="212"/>
      <c r="D561" s="719" t="s">
        <v>127</v>
      </c>
      <c r="E561" s="719"/>
      <c r="F561" s="719"/>
      <c r="G561" s="719"/>
      <c r="H561" s="638">
        <f>SUMIF(F552:F560,("h"),H552:H560)</f>
        <v>62.760000000000005</v>
      </c>
    </row>
    <row r="562" spans="1:8" s="201" customFormat="1">
      <c r="A562" s="582"/>
      <c r="B562" s="582"/>
      <c r="C562" s="212"/>
      <c r="D562" s="719" t="s">
        <v>128</v>
      </c>
      <c r="E562" s="719"/>
      <c r="F562" s="719"/>
      <c r="G562" s="719"/>
      <c r="H562" s="638">
        <f>SUMIF(F552:F560,"&lt;&gt;h",H552:H560)</f>
        <v>4905.87</v>
      </c>
    </row>
    <row r="563" spans="1:8" s="201" customFormat="1">
      <c r="A563" s="582"/>
      <c r="B563" s="582"/>
      <c r="C563" s="212"/>
      <c r="D563" s="718" t="s">
        <v>129</v>
      </c>
      <c r="E563" s="718"/>
      <c r="F563" s="718"/>
      <c r="G563" s="718"/>
      <c r="H563" s="213">
        <f>SUM(H561:H562)</f>
        <v>4968.63</v>
      </c>
    </row>
    <row r="564" spans="1:8" s="201" customFormat="1">
      <c r="A564" s="582"/>
      <c r="B564" s="582"/>
      <c r="C564" s="212"/>
      <c r="D564" s="719" t="s">
        <v>28</v>
      </c>
      <c r="E564" s="719"/>
      <c r="F564" s="719"/>
      <c r="G564" s="719"/>
      <c r="H564" s="639">
        <f>E551</f>
        <v>1</v>
      </c>
    </row>
    <row r="565" spans="1:8" s="201" customFormat="1">
      <c r="A565" s="582"/>
      <c r="B565" s="582"/>
      <c r="C565" s="212"/>
      <c r="D565" s="718" t="s">
        <v>130</v>
      </c>
      <c r="E565" s="718"/>
      <c r="F565" s="718"/>
      <c r="G565" s="718"/>
      <c r="H565" s="213">
        <f>ROUND(H563*H564,2)</f>
        <v>4968.63</v>
      </c>
    </row>
    <row r="566" spans="1:8" s="201" customFormat="1">
      <c r="A566" s="582"/>
      <c r="B566" s="582"/>
      <c r="C566" s="212"/>
      <c r="D566" s="719" t="s">
        <v>15559</v>
      </c>
      <c r="E566" s="719"/>
      <c r="F566" s="719"/>
      <c r="G566" s="719"/>
      <c r="H566" s="638">
        <f>ROUND(H563*$B$13,2)</f>
        <v>1338.05</v>
      </c>
    </row>
    <row r="567" spans="1:8">
      <c r="A567" s="582"/>
      <c r="B567" s="582"/>
      <c r="C567" s="212"/>
      <c r="D567" s="718" t="s">
        <v>9661</v>
      </c>
      <c r="E567" s="718"/>
      <c r="F567" s="718"/>
      <c r="G567" s="718"/>
      <c r="H567" s="213">
        <f>H566+H563</f>
        <v>6306.68</v>
      </c>
    </row>
    <row r="569" spans="1:8" s="201" customFormat="1">
      <c r="A569" s="123" t="s">
        <v>6</v>
      </c>
      <c r="B569" s="720" t="s">
        <v>7</v>
      </c>
      <c r="C569" s="720"/>
      <c r="D569" s="202" t="s">
        <v>124</v>
      </c>
      <c r="E569" s="167" t="s">
        <v>6334</v>
      </c>
      <c r="F569" s="202" t="s">
        <v>31</v>
      </c>
      <c r="G569" s="203" t="s">
        <v>125</v>
      </c>
      <c r="H569" s="204" t="s">
        <v>126</v>
      </c>
    </row>
    <row r="570" spans="1:8" s="208" customFormat="1" ht="60">
      <c r="A570" s="581" t="str">
        <f>'Orç - Prédio'!A121</f>
        <v>04.01.220.05</v>
      </c>
      <c r="B570" s="216" t="str">
        <f>'Orç - Prédio'!B121</f>
        <v>SINAPI</v>
      </c>
      <c r="C570" s="216" t="str">
        <f>'Orç - Prédio'!C121</f>
        <v>91341 MOD 5</v>
      </c>
      <c r="D570" s="217" t="s">
        <v>6786</v>
      </c>
      <c r="E570" s="206">
        <v>5</v>
      </c>
      <c r="F570" s="216" t="s">
        <v>6337</v>
      </c>
      <c r="G570" s="207">
        <f>VLOOKUP("CUSTO TOTAL UNIT.:",D571:$H$30004,5,FALSE)</f>
        <v>931.57999999999993</v>
      </c>
      <c r="H570" s="637">
        <f>VLOOKUP("CUSTO TOTAL:",D571:$H$30004,5,FALSE)</f>
        <v>4657.8999999999996</v>
      </c>
    </row>
    <row r="571" spans="1:8" s="124" customFormat="1" ht="45">
      <c r="A571" s="721">
        <v>142</v>
      </c>
      <c r="B571" s="721"/>
      <c r="C571" s="200" t="s">
        <v>5256</v>
      </c>
      <c r="D571" s="139" t="s">
        <v>13830</v>
      </c>
      <c r="E571" s="209">
        <v>2.5423200000000001</v>
      </c>
      <c r="F571" s="577" t="s">
        <v>65</v>
      </c>
      <c r="G571" s="210">
        <v>25.1829</v>
      </c>
      <c r="H571" s="211">
        <f t="shared" ref="H571:H579" si="18">ROUND(G571*E571,2)</f>
        <v>64.02</v>
      </c>
    </row>
    <row r="572" spans="1:8" s="124" customFormat="1" ht="60">
      <c r="A572" s="721">
        <v>7568</v>
      </c>
      <c r="B572" s="721"/>
      <c r="C572" s="200" t="s">
        <v>5256</v>
      </c>
      <c r="D572" s="139" t="s">
        <v>10290</v>
      </c>
      <c r="E572" s="209">
        <v>7</v>
      </c>
      <c r="F572" s="577" t="s">
        <v>40</v>
      </c>
      <c r="G572" s="210">
        <v>0.49410000000000004</v>
      </c>
      <c r="H572" s="211">
        <f t="shared" si="18"/>
        <v>3.46</v>
      </c>
    </row>
    <row r="573" spans="1:8" s="124" customFormat="1" ht="45">
      <c r="A573" s="721">
        <v>11447</v>
      </c>
      <c r="B573" s="721"/>
      <c r="C573" s="200" t="s">
        <v>5256</v>
      </c>
      <c r="D573" s="139" t="s">
        <v>11621</v>
      </c>
      <c r="E573" s="209">
        <v>2</v>
      </c>
      <c r="F573" s="577" t="s">
        <v>40</v>
      </c>
      <c r="G573" s="210">
        <v>18.071100000000001</v>
      </c>
      <c r="H573" s="211">
        <f t="shared" si="18"/>
        <v>36.14</v>
      </c>
    </row>
    <row r="574" spans="1:8" s="124" customFormat="1" ht="45">
      <c r="A574" s="721">
        <v>36888</v>
      </c>
      <c r="B574" s="721"/>
      <c r="C574" s="200" t="s">
        <v>5256</v>
      </c>
      <c r="D574" s="139" t="s">
        <v>12123</v>
      </c>
      <c r="E574" s="209">
        <v>3.9</v>
      </c>
      <c r="F574" s="577" t="s">
        <v>48</v>
      </c>
      <c r="G574" s="210">
        <v>6.1559999999999997</v>
      </c>
      <c r="H574" s="211">
        <f t="shared" si="18"/>
        <v>24.01</v>
      </c>
    </row>
    <row r="575" spans="1:8" s="124" customFormat="1" ht="60">
      <c r="A575" s="721">
        <v>39025</v>
      </c>
      <c r="B575" s="721"/>
      <c r="C575" s="200" t="s">
        <v>5256</v>
      </c>
      <c r="D575" s="139" t="s">
        <v>13481</v>
      </c>
      <c r="E575" s="209">
        <v>1.35</v>
      </c>
      <c r="F575" s="577" t="s">
        <v>40</v>
      </c>
      <c r="G575" s="210">
        <v>471.70350000000008</v>
      </c>
      <c r="H575" s="211">
        <f t="shared" si="18"/>
        <v>636.79999999999995</v>
      </c>
    </row>
    <row r="576" spans="1:8" s="124" customFormat="1" ht="30">
      <c r="A576" s="721">
        <v>88309</v>
      </c>
      <c r="B576" s="721"/>
      <c r="C576" s="200" t="s">
        <v>5256</v>
      </c>
      <c r="D576" s="139" t="s">
        <v>90</v>
      </c>
      <c r="E576" s="209">
        <v>0.51651000000000002</v>
      </c>
      <c r="F576" s="577" t="s">
        <v>67</v>
      </c>
      <c r="G576" s="210">
        <v>15.608700000000001</v>
      </c>
      <c r="H576" s="211">
        <f t="shared" si="18"/>
        <v>8.06</v>
      </c>
    </row>
    <row r="577" spans="1:8" s="124" customFormat="1" ht="30">
      <c r="A577" s="721">
        <v>88316</v>
      </c>
      <c r="B577" s="721"/>
      <c r="C577" s="200" t="s">
        <v>5256</v>
      </c>
      <c r="D577" s="139" t="s">
        <v>66</v>
      </c>
      <c r="E577" s="209">
        <v>0.25785000000000002</v>
      </c>
      <c r="F577" s="577" t="s">
        <v>67</v>
      </c>
      <c r="G577" s="210">
        <v>11.631600000000001</v>
      </c>
      <c r="H577" s="211">
        <f t="shared" si="18"/>
        <v>3</v>
      </c>
    </row>
    <row r="578" spans="1:8" s="124" customFormat="1" ht="45">
      <c r="A578" s="721">
        <v>95468</v>
      </c>
      <c r="B578" s="721"/>
      <c r="C578" s="200" t="s">
        <v>5256</v>
      </c>
      <c r="D578" s="139" t="s">
        <v>4492</v>
      </c>
      <c r="E578" s="209">
        <v>2.7</v>
      </c>
      <c r="F578" s="577" t="s">
        <v>322</v>
      </c>
      <c r="G578" s="210">
        <v>28.892700000000005</v>
      </c>
      <c r="H578" s="211">
        <f t="shared" si="18"/>
        <v>78.010000000000005</v>
      </c>
    </row>
    <row r="579" spans="1:8" s="124" customFormat="1" ht="75">
      <c r="A579" s="721">
        <v>90830</v>
      </c>
      <c r="B579" s="721"/>
      <c r="C579" s="200" t="s">
        <v>5256</v>
      </c>
      <c r="D579" s="139" t="s">
        <v>1460</v>
      </c>
      <c r="E579" s="209">
        <v>1</v>
      </c>
      <c r="F579" s="577" t="s">
        <v>171</v>
      </c>
      <c r="G579" s="210">
        <v>78.075900000000004</v>
      </c>
      <c r="H579" s="211">
        <f t="shared" si="18"/>
        <v>78.08</v>
      </c>
    </row>
    <row r="580" spans="1:8" s="201" customFormat="1">
      <c r="A580" s="582"/>
      <c r="B580" s="582"/>
      <c r="C580" s="212"/>
      <c r="D580" s="719" t="s">
        <v>127</v>
      </c>
      <c r="E580" s="719"/>
      <c r="F580" s="719"/>
      <c r="G580" s="719"/>
      <c r="H580" s="638">
        <f>SUMIF(F571:F579,("h"),H571:H579)</f>
        <v>11.06</v>
      </c>
    </row>
    <row r="581" spans="1:8" s="201" customFormat="1">
      <c r="A581" s="582"/>
      <c r="B581" s="582"/>
      <c r="C581" s="212"/>
      <c r="D581" s="719" t="s">
        <v>128</v>
      </c>
      <c r="E581" s="719"/>
      <c r="F581" s="719"/>
      <c r="G581" s="719"/>
      <c r="H581" s="638">
        <f>SUMIF(F571:F579,"&lt;&gt;h",H571:H579)</f>
        <v>920.52</v>
      </c>
    </row>
    <row r="582" spans="1:8" s="201" customFormat="1">
      <c r="A582" s="582"/>
      <c r="B582" s="582"/>
      <c r="C582" s="212"/>
      <c r="D582" s="718" t="s">
        <v>129</v>
      </c>
      <c r="E582" s="718"/>
      <c r="F582" s="718"/>
      <c r="G582" s="718"/>
      <c r="H582" s="213">
        <f>SUM(H580:H581)</f>
        <v>931.57999999999993</v>
      </c>
    </row>
    <row r="583" spans="1:8" s="201" customFormat="1">
      <c r="A583" s="582"/>
      <c r="B583" s="582"/>
      <c r="C583" s="212"/>
      <c r="D583" s="719" t="s">
        <v>28</v>
      </c>
      <c r="E583" s="719"/>
      <c r="F583" s="719"/>
      <c r="G583" s="719"/>
      <c r="H583" s="639">
        <f>E570</f>
        <v>5</v>
      </c>
    </row>
    <row r="584" spans="1:8" s="201" customFormat="1">
      <c r="A584" s="582"/>
      <c r="B584" s="582"/>
      <c r="C584" s="212"/>
      <c r="D584" s="718" t="s">
        <v>130</v>
      </c>
      <c r="E584" s="718"/>
      <c r="F584" s="718"/>
      <c r="G584" s="718"/>
      <c r="H584" s="213">
        <f>ROUND(H582*H583,2)</f>
        <v>4657.8999999999996</v>
      </c>
    </row>
    <row r="585" spans="1:8" s="201" customFormat="1">
      <c r="A585" s="582"/>
      <c r="B585" s="582"/>
      <c r="C585" s="212"/>
      <c r="D585" s="719" t="s">
        <v>15559</v>
      </c>
      <c r="E585" s="719"/>
      <c r="F585" s="719"/>
      <c r="G585" s="719"/>
      <c r="H585" s="638">
        <f>ROUND(H582*$B$13,2)</f>
        <v>250.87</v>
      </c>
    </row>
    <row r="586" spans="1:8">
      <c r="A586" s="582"/>
      <c r="B586" s="582"/>
      <c r="C586" s="212"/>
      <c r="D586" s="718" t="s">
        <v>9661</v>
      </c>
      <c r="E586" s="718"/>
      <c r="F586" s="718"/>
      <c r="G586" s="718"/>
      <c r="H586" s="213">
        <f>H585+H582</f>
        <v>1182.4499999999998</v>
      </c>
    </row>
    <row r="588" spans="1:8" s="201" customFormat="1">
      <c r="A588" s="123" t="s">
        <v>6</v>
      </c>
      <c r="B588" s="720" t="s">
        <v>7</v>
      </c>
      <c r="C588" s="720"/>
      <c r="D588" s="202" t="s">
        <v>124</v>
      </c>
      <c r="E588" s="167" t="s">
        <v>6334</v>
      </c>
      <c r="F588" s="202" t="s">
        <v>31</v>
      </c>
      <c r="G588" s="203" t="s">
        <v>125</v>
      </c>
      <c r="H588" s="204" t="s">
        <v>126</v>
      </c>
    </row>
    <row r="589" spans="1:8" s="208" customFormat="1" ht="60">
      <c r="A589" s="581" t="str">
        <f>'Orç - Prédio'!A122</f>
        <v>04.01.223.01</v>
      </c>
      <c r="B589" s="216" t="str">
        <f>'Orç - Prédio'!B122</f>
        <v>SINAPI</v>
      </c>
      <c r="C589" s="216" t="str">
        <f>'Orç - Prédio'!C122</f>
        <v>85010 MOD 1</v>
      </c>
      <c r="D589" s="217" t="s">
        <v>6792</v>
      </c>
      <c r="E589" s="206">
        <v>1</v>
      </c>
      <c r="F589" s="216" t="s">
        <v>6337</v>
      </c>
      <c r="G589" s="207">
        <f>VLOOKUP("CUSTO TOTAL UNIT.:",D590:$H$30004,5,FALSE)</f>
        <v>19779.099999999999</v>
      </c>
      <c r="H589" s="637">
        <f>VLOOKUP("CUSTO TOTAL:",D590:$H$30004,5,FALSE)</f>
        <v>19779.099999999999</v>
      </c>
    </row>
    <row r="590" spans="1:8" s="124" customFormat="1" ht="30">
      <c r="A590" s="721">
        <v>87324</v>
      </c>
      <c r="B590" s="721"/>
      <c r="C590" s="184" t="s">
        <v>6799</v>
      </c>
      <c r="D590" s="185" t="s">
        <v>15379</v>
      </c>
      <c r="E590" s="209">
        <v>52.089000000000006</v>
      </c>
      <c r="F590" s="577" t="s">
        <v>322</v>
      </c>
      <c r="G590" s="174">
        <v>279.45000000000005</v>
      </c>
      <c r="H590" s="211">
        <f t="shared" ref="H590:H597" si="19">ROUND(G590*E590,2)</f>
        <v>14556.27</v>
      </c>
    </row>
    <row r="591" spans="1:8" s="124" customFormat="1" ht="45">
      <c r="A591" s="721">
        <v>142</v>
      </c>
      <c r="B591" s="721"/>
      <c r="C591" s="200" t="s">
        <v>5256</v>
      </c>
      <c r="D591" s="139" t="s">
        <v>13830</v>
      </c>
      <c r="E591" s="209">
        <v>45.989378100000003</v>
      </c>
      <c r="F591" s="577" t="s">
        <v>65</v>
      </c>
      <c r="G591" s="210">
        <v>25.1829</v>
      </c>
      <c r="H591" s="211">
        <f t="shared" si="19"/>
        <v>1158.1500000000001</v>
      </c>
    </row>
    <row r="592" spans="1:8" s="124" customFormat="1" ht="60">
      <c r="A592" s="721">
        <v>7568</v>
      </c>
      <c r="B592" s="721"/>
      <c r="C592" s="200" t="s">
        <v>5256</v>
      </c>
      <c r="D592" s="139" t="s">
        <v>10290</v>
      </c>
      <c r="E592" s="175">
        <v>215</v>
      </c>
      <c r="F592" s="577" t="s">
        <v>40</v>
      </c>
      <c r="G592" s="210">
        <v>0.49410000000000004</v>
      </c>
      <c r="H592" s="211">
        <f t="shared" si="19"/>
        <v>106.23</v>
      </c>
    </row>
    <row r="593" spans="1:8" s="124" customFormat="1" ht="45">
      <c r="A593" s="721">
        <v>11447</v>
      </c>
      <c r="B593" s="721"/>
      <c r="C593" s="200" t="s">
        <v>5256</v>
      </c>
      <c r="D593" s="139" t="s">
        <v>11621</v>
      </c>
      <c r="E593" s="209">
        <v>12</v>
      </c>
      <c r="F593" s="577" t="s">
        <v>40</v>
      </c>
      <c r="G593" s="210">
        <v>18.071100000000001</v>
      </c>
      <c r="H593" s="211">
        <f t="shared" si="19"/>
        <v>216.85</v>
      </c>
    </row>
    <row r="594" spans="1:8" s="124" customFormat="1" ht="30">
      <c r="A594" s="721">
        <v>39623</v>
      </c>
      <c r="B594" s="721"/>
      <c r="C594" s="200" t="s">
        <v>5256</v>
      </c>
      <c r="D594" s="139" t="s">
        <v>10131</v>
      </c>
      <c r="E594" s="209">
        <v>4</v>
      </c>
      <c r="F594" s="577" t="s">
        <v>40</v>
      </c>
      <c r="G594" s="210">
        <v>530.97929999999997</v>
      </c>
      <c r="H594" s="211">
        <f t="shared" si="19"/>
        <v>2123.92</v>
      </c>
    </row>
    <row r="595" spans="1:8" s="124" customFormat="1" ht="30">
      <c r="A595" s="721">
        <v>88309</v>
      </c>
      <c r="B595" s="721"/>
      <c r="C595" s="200" t="s">
        <v>5256</v>
      </c>
      <c r="D595" s="139" t="s">
        <v>90</v>
      </c>
      <c r="E595" s="209">
        <v>15.626700000000001</v>
      </c>
      <c r="F595" s="577" t="s">
        <v>67</v>
      </c>
      <c r="G595" s="210">
        <v>15.608700000000001</v>
      </c>
      <c r="H595" s="211">
        <f t="shared" si="19"/>
        <v>243.91</v>
      </c>
    </row>
    <row r="596" spans="1:8" s="124" customFormat="1" ht="30">
      <c r="A596" s="721">
        <v>88315</v>
      </c>
      <c r="B596" s="721"/>
      <c r="C596" s="200" t="s">
        <v>5256</v>
      </c>
      <c r="D596" s="139" t="s">
        <v>112</v>
      </c>
      <c r="E596" s="209">
        <v>41.671200000000006</v>
      </c>
      <c r="F596" s="577" t="s">
        <v>67</v>
      </c>
      <c r="G596" s="210">
        <v>15.519600000000001</v>
      </c>
      <c r="H596" s="211">
        <f t="shared" si="19"/>
        <v>646.72</v>
      </c>
    </row>
    <row r="597" spans="1:8" s="124" customFormat="1" ht="30">
      <c r="A597" s="721">
        <v>88316</v>
      </c>
      <c r="B597" s="721"/>
      <c r="C597" s="200" t="s">
        <v>5256</v>
      </c>
      <c r="D597" s="139" t="s">
        <v>66</v>
      </c>
      <c r="E597" s="209">
        <v>62.506800000000005</v>
      </c>
      <c r="F597" s="577" t="s">
        <v>67</v>
      </c>
      <c r="G597" s="210">
        <v>11.631600000000001</v>
      </c>
      <c r="H597" s="211">
        <f t="shared" si="19"/>
        <v>727.05</v>
      </c>
    </row>
    <row r="598" spans="1:8" s="201" customFormat="1">
      <c r="A598" s="582"/>
      <c r="B598" s="582"/>
      <c r="C598" s="212"/>
      <c r="D598" s="719" t="s">
        <v>127</v>
      </c>
      <c r="E598" s="719"/>
      <c r="F598" s="719"/>
      <c r="G598" s="719"/>
      <c r="H598" s="638">
        <f>SUMIF(F590:F597,("h"),H590:H597)</f>
        <v>1617.6799999999998</v>
      </c>
    </row>
    <row r="599" spans="1:8" s="201" customFormat="1">
      <c r="A599" s="582"/>
      <c r="B599" s="582"/>
      <c r="C599" s="212"/>
      <c r="D599" s="719" t="s">
        <v>128</v>
      </c>
      <c r="E599" s="719"/>
      <c r="F599" s="719"/>
      <c r="G599" s="719"/>
      <c r="H599" s="638">
        <f>SUMIF(F590:F597,"&lt;&gt;h",H590:H597)</f>
        <v>18161.419999999998</v>
      </c>
    </row>
    <row r="600" spans="1:8" s="201" customFormat="1">
      <c r="A600" s="582"/>
      <c r="B600" s="582"/>
      <c r="C600" s="212"/>
      <c r="D600" s="718" t="s">
        <v>129</v>
      </c>
      <c r="E600" s="718"/>
      <c r="F600" s="718"/>
      <c r="G600" s="718"/>
      <c r="H600" s="213">
        <f>SUM(H598:H599)</f>
        <v>19779.099999999999</v>
      </c>
    </row>
    <row r="601" spans="1:8" s="201" customFormat="1">
      <c r="A601" s="582"/>
      <c r="B601" s="582"/>
      <c r="C601" s="212"/>
      <c r="D601" s="719" t="s">
        <v>28</v>
      </c>
      <c r="E601" s="719"/>
      <c r="F601" s="719"/>
      <c r="G601" s="719"/>
      <c r="H601" s="639">
        <f>E589</f>
        <v>1</v>
      </c>
    </row>
    <row r="602" spans="1:8" s="201" customFormat="1">
      <c r="A602" s="582"/>
      <c r="B602" s="582"/>
      <c r="C602" s="212"/>
      <c r="D602" s="718" t="s">
        <v>130</v>
      </c>
      <c r="E602" s="718"/>
      <c r="F602" s="718"/>
      <c r="G602" s="718"/>
      <c r="H602" s="213">
        <f>ROUND(H600*H601,2)</f>
        <v>19779.099999999999</v>
      </c>
    </row>
    <row r="603" spans="1:8" s="201" customFormat="1">
      <c r="A603" s="582"/>
      <c r="B603" s="582"/>
      <c r="C603" s="212"/>
      <c r="D603" s="719" t="s">
        <v>15559</v>
      </c>
      <c r="E603" s="719"/>
      <c r="F603" s="719"/>
      <c r="G603" s="719"/>
      <c r="H603" s="638">
        <f>ROUND(H600*$B$13,2)</f>
        <v>5326.51</v>
      </c>
    </row>
    <row r="604" spans="1:8">
      <c r="A604" s="582"/>
      <c r="B604" s="582"/>
      <c r="C604" s="212"/>
      <c r="D604" s="718" t="s">
        <v>9661</v>
      </c>
      <c r="E604" s="718"/>
      <c r="F604" s="718"/>
      <c r="G604" s="718"/>
      <c r="H604" s="213">
        <f>H603+H600</f>
        <v>25105.61</v>
      </c>
    </row>
    <row r="606" spans="1:8" s="201" customFormat="1">
      <c r="A606" s="123" t="s">
        <v>6</v>
      </c>
      <c r="B606" s="720" t="s">
        <v>7</v>
      </c>
      <c r="C606" s="720"/>
      <c r="D606" s="202" t="s">
        <v>124</v>
      </c>
      <c r="E606" s="167" t="s">
        <v>6334</v>
      </c>
      <c r="F606" s="202" t="s">
        <v>31</v>
      </c>
      <c r="G606" s="203" t="s">
        <v>125</v>
      </c>
      <c r="H606" s="204" t="s">
        <v>126</v>
      </c>
    </row>
    <row r="607" spans="1:8" s="208" customFormat="1" ht="60">
      <c r="A607" s="581" t="str">
        <f>'Orç - Prédio'!A123</f>
        <v>04.01.223.02</v>
      </c>
      <c r="B607" s="216" t="str">
        <f>'Orç - Prédio'!B123</f>
        <v>SINAPI</v>
      </c>
      <c r="C607" s="216" t="str">
        <f>'Orç - Prédio'!C123</f>
        <v>85010 MOD 2</v>
      </c>
      <c r="D607" s="217" t="s">
        <v>6793</v>
      </c>
      <c r="E607" s="206">
        <v>1</v>
      </c>
      <c r="F607" s="216" t="s">
        <v>6337</v>
      </c>
      <c r="G607" s="207">
        <f>VLOOKUP("CUSTO TOTAL UNIT.:",D608:$H$30004,5,FALSE)</f>
        <v>18748.469999999998</v>
      </c>
      <c r="H607" s="637">
        <f>VLOOKUP("CUSTO TOTAL:",D608:$H$30004,5,FALSE)</f>
        <v>18748.47</v>
      </c>
    </row>
    <row r="608" spans="1:8" s="124" customFormat="1" ht="30">
      <c r="A608" s="721">
        <v>87324</v>
      </c>
      <c r="B608" s="721"/>
      <c r="C608" s="184" t="s">
        <v>6799</v>
      </c>
      <c r="D608" s="185" t="s">
        <v>15379</v>
      </c>
      <c r="E608" s="173">
        <v>52.509</v>
      </c>
      <c r="F608" s="577" t="s">
        <v>322</v>
      </c>
      <c r="G608" s="174">
        <v>279.45000000000005</v>
      </c>
      <c r="H608" s="211">
        <f t="shared" ref="H608:H615" si="20">ROUND(G608*E608,2)</f>
        <v>14673.64</v>
      </c>
    </row>
    <row r="609" spans="1:8" s="124" customFormat="1" ht="45">
      <c r="A609" s="721">
        <v>142</v>
      </c>
      <c r="B609" s="721"/>
      <c r="C609" s="200" t="s">
        <v>5256</v>
      </c>
      <c r="D609" s="139" t="s">
        <v>13830</v>
      </c>
      <c r="E609" s="209">
        <v>46.360196100000003</v>
      </c>
      <c r="F609" s="577" t="s">
        <v>65</v>
      </c>
      <c r="G609" s="210">
        <v>25.1829</v>
      </c>
      <c r="H609" s="211">
        <f t="shared" si="20"/>
        <v>1167.48</v>
      </c>
    </row>
    <row r="610" spans="1:8" s="124" customFormat="1" ht="60">
      <c r="A610" s="721">
        <v>7568</v>
      </c>
      <c r="B610" s="721"/>
      <c r="C610" s="200" t="s">
        <v>5256</v>
      </c>
      <c r="D610" s="139" t="s">
        <v>10290</v>
      </c>
      <c r="E610" s="175">
        <v>215</v>
      </c>
      <c r="F610" s="577" t="s">
        <v>40</v>
      </c>
      <c r="G610" s="210">
        <v>0.49410000000000004</v>
      </c>
      <c r="H610" s="211">
        <f t="shared" si="20"/>
        <v>106.23</v>
      </c>
    </row>
    <row r="611" spans="1:8" s="124" customFormat="1" ht="45">
      <c r="A611" s="721">
        <v>11447</v>
      </c>
      <c r="B611" s="721"/>
      <c r="C611" s="200" t="s">
        <v>5256</v>
      </c>
      <c r="D611" s="139" t="s">
        <v>11621</v>
      </c>
      <c r="E611" s="209">
        <v>6</v>
      </c>
      <c r="F611" s="577" t="s">
        <v>40</v>
      </c>
      <c r="G611" s="210">
        <v>18.071100000000001</v>
      </c>
      <c r="H611" s="211">
        <f t="shared" si="20"/>
        <v>108.43</v>
      </c>
    </row>
    <row r="612" spans="1:8" s="124" customFormat="1" ht="30">
      <c r="A612" s="721">
        <v>39623</v>
      </c>
      <c r="B612" s="721"/>
      <c r="C612" s="200" t="s">
        <v>5256</v>
      </c>
      <c r="D612" s="139" t="s">
        <v>10131</v>
      </c>
      <c r="E612" s="209">
        <v>2</v>
      </c>
      <c r="F612" s="577" t="s">
        <v>40</v>
      </c>
      <c r="G612" s="210">
        <v>530.97929999999997</v>
      </c>
      <c r="H612" s="211">
        <f t="shared" si="20"/>
        <v>1061.96</v>
      </c>
    </row>
    <row r="613" spans="1:8" s="124" customFormat="1" ht="30">
      <c r="A613" s="721">
        <v>88309</v>
      </c>
      <c r="B613" s="721"/>
      <c r="C613" s="200" t="s">
        <v>5256</v>
      </c>
      <c r="D613" s="139" t="s">
        <v>90</v>
      </c>
      <c r="E613" s="209">
        <v>15.752699999999999</v>
      </c>
      <c r="F613" s="577" t="s">
        <v>67</v>
      </c>
      <c r="G613" s="210">
        <v>15.608700000000001</v>
      </c>
      <c r="H613" s="211">
        <f t="shared" si="20"/>
        <v>245.88</v>
      </c>
    </row>
    <row r="614" spans="1:8" s="124" customFormat="1" ht="30">
      <c r="A614" s="721">
        <v>88315</v>
      </c>
      <c r="B614" s="721"/>
      <c r="C614" s="200" t="s">
        <v>5256</v>
      </c>
      <c r="D614" s="139" t="s">
        <v>112</v>
      </c>
      <c r="E614" s="209">
        <v>42.007200000000005</v>
      </c>
      <c r="F614" s="577" t="s">
        <v>67</v>
      </c>
      <c r="G614" s="210">
        <v>15.519600000000001</v>
      </c>
      <c r="H614" s="211">
        <f t="shared" si="20"/>
        <v>651.92999999999995</v>
      </c>
    </row>
    <row r="615" spans="1:8" s="124" customFormat="1" ht="30">
      <c r="A615" s="721">
        <v>88316</v>
      </c>
      <c r="B615" s="721"/>
      <c r="C615" s="200" t="s">
        <v>5256</v>
      </c>
      <c r="D615" s="139" t="s">
        <v>66</v>
      </c>
      <c r="E615" s="209">
        <v>63.010799999999996</v>
      </c>
      <c r="F615" s="577" t="s">
        <v>67</v>
      </c>
      <c r="G615" s="210">
        <v>11.631600000000001</v>
      </c>
      <c r="H615" s="211">
        <f t="shared" si="20"/>
        <v>732.92</v>
      </c>
    </row>
    <row r="616" spans="1:8" s="201" customFormat="1">
      <c r="A616" s="582"/>
      <c r="B616" s="582"/>
      <c r="C616" s="212"/>
      <c r="D616" s="719" t="s">
        <v>127</v>
      </c>
      <c r="E616" s="719"/>
      <c r="F616" s="719"/>
      <c r="G616" s="719"/>
      <c r="H616" s="638">
        <f>SUMIF(F608:F615,("h"),H608:H615)</f>
        <v>1630.73</v>
      </c>
    </row>
    <row r="617" spans="1:8" s="201" customFormat="1">
      <c r="A617" s="582"/>
      <c r="B617" s="582"/>
      <c r="C617" s="212"/>
      <c r="D617" s="719" t="s">
        <v>128</v>
      </c>
      <c r="E617" s="719"/>
      <c r="F617" s="719"/>
      <c r="G617" s="719"/>
      <c r="H617" s="638">
        <f>SUMIF(F608:F615,"&lt;&gt;h",H608:H615)</f>
        <v>17117.739999999998</v>
      </c>
    </row>
    <row r="618" spans="1:8" s="201" customFormat="1">
      <c r="A618" s="582"/>
      <c r="B618" s="582"/>
      <c r="C618" s="212"/>
      <c r="D618" s="718" t="s">
        <v>129</v>
      </c>
      <c r="E618" s="718"/>
      <c r="F618" s="718"/>
      <c r="G618" s="718"/>
      <c r="H618" s="213">
        <f>SUM(H616:H617)</f>
        <v>18748.469999999998</v>
      </c>
    </row>
    <row r="619" spans="1:8" s="201" customFormat="1">
      <c r="A619" s="582"/>
      <c r="B619" s="582"/>
      <c r="C619" s="212"/>
      <c r="D619" s="719" t="s">
        <v>28</v>
      </c>
      <c r="E619" s="719"/>
      <c r="F619" s="719"/>
      <c r="G619" s="719"/>
      <c r="H619" s="639">
        <f>E607</f>
        <v>1</v>
      </c>
    </row>
    <row r="620" spans="1:8" s="201" customFormat="1">
      <c r="A620" s="582"/>
      <c r="B620" s="582"/>
      <c r="C620" s="212"/>
      <c r="D620" s="718" t="s">
        <v>130</v>
      </c>
      <c r="E620" s="718"/>
      <c r="F620" s="718"/>
      <c r="G620" s="718"/>
      <c r="H620" s="213">
        <f>ROUND(H618*H619,2)</f>
        <v>18748.47</v>
      </c>
    </row>
    <row r="621" spans="1:8" s="201" customFormat="1">
      <c r="A621" s="582"/>
      <c r="B621" s="582"/>
      <c r="C621" s="212"/>
      <c r="D621" s="719" t="s">
        <v>15559</v>
      </c>
      <c r="E621" s="719"/>
      <c r="F621" s="719"/>
      <c r="G621" s="719"/>
      <c r="H621" s="638">
        <f>ROUND(H618*$B$13,2)</f>
        <v>5048.96</v>
      </c>
    </row>
    <row r="622" spans="1:8">
      <c r="A622" s="582"/>
      <c r="B622" s="582"/>
      <c r="C622" s="212"/>
      <c r="D622" s="718" t="s">
        <v>9661</v>
      </c>
      <c r="E622" s="718"/>
      <c r="F622" s="718"/>
      <c r="G622" s="718"/>
      <c r="H622" s="213">
        <f>H621+H618</f>
        <v>23797.429999999997</v>
      </c>
    </row>
    <row r="624" spans="1:8" s="201" customFormat="1">
      <c r="A624" s="123" t="s">
        <v>6</v>
      </c>
      <c r="B624" s="720" t="s">
        <v>7</v>
      </c>
      <c r="C624" s="720"/>
      <c r="D624" s="202" t="s">
        <v>124</v>
      </c>
      <c r="E624" s="167" t="s">
        <v>6334</v>
      </c>
      <c r="F624" s="202" t="s">
        <v>31</v>
      </c>
      <c r="G624" s="203" t="s">
        <v>125</v>
      </c>
      <c r="H624" s="204" t="s">
        <v>126</v>
      </c>
    </row>
    <row r="625" spans="1:8" s="208" customFormat="1" ht="30">
      <c r="A625" s="581" t="str">
        <f>'Orç - Prédio'!A124</f>
        <v>04.01.223.03</v>
      </c>
      <c r="B625" s="216" t="str">
        <f>'Orç - Prédio'!B124</f>
        <v>SINAPI</v>
      </c>
      <c r="C625" s="216" t="str">
        <f>'Orç - Prédio'!C124</f>
        <v>85010 MOD 3</v>
      </c>
      <c r="D625" s="217" t="s">
        <v>9581</v>
      </c>
      <c r="E625" s="206">
        <v>1</v>
      </c>
      <c r="F625" s="216" t="s">
        <v>6337</v>
      </c>
      <c r="G625" s="207">
        <f>VLOOKUP("CUSTO TOTAL UNIT.:",D626:$H$30004,5,FALSE)</f>
        <v>1172.92</v>
      </c>
      <c r="H625" s="637">
        <f>VLOOKUP("CUSTO TOTAL:",D626:$H$30004,5,FALSE)</f>
        <v>1172.92</v>
      </c>
    </row>
    <row r="626" spans="1:8" s="124" customFormat="1" ht="30">
      <c r="A626" s="721">
        <v>87324</v>
      </c>
      <c r="B626" s="721"/>
      <c r="C626" s="184" t="s">
        <v>6799</v>
      </c>
      <c r="D626" s="185" t="s">
        <v>15379</v>
      </c>
      <c r="E626" s="209">
        <v>3.5</v>
      </c>
      <c r="F626" s="577" t="s">
        <v>322</v>
      </c>
      <c r="G626" s="174">
        <v>279.45000000000005</v>
      </c>
      <c r="H626" s="211">
        <f t="shared" ref="H626:H631" si="21">ROUND(G626*E626,2)</f>
        <v>978.08</v>
      </c>
    </row>
    <row r="627" spans="1:8" s="124" customFormat="1" ht="45">
      <c r="A627" s="721">
        <v>142</v>
      </c>
      <c r="B627" s="721"/>
      <c r="C627" s="200" t="s">
        <v>5256</v>
      </c>
      <c r="D627" s="139" t="s">
        <v>13830</v>
      </c>
      <c r="E627" s="209">
        <v>3.09015</v>
      </c>
      <c r="F627" s="577" t="s">
        <v>65</v>
      </c>
      <c r="G627" s="210">
        <v>25.1829</v>
      </c>
      <c r="H627" s="211">
        <f t="shared" si="21"/>
        <v>77.819999999999993</v>
      </c>
    </row>
    <row r="628" spans="1:8" s="124" customFormat="1" ht="60">
      <c r="A628" s="721">
        <v>7568</v>
      </c>
      <c r="B628" s="721"/>
      <c r="C628" s="200" t="s">
        <v>5256</v>
      </c>
      <c r="D628" s="139" t="s">
        <v>10290</v>
      </c>
      <c r="E628" s="175">
        <v>16.8581</v>
      </c>
      <c r="F628" s="577" t="s">
        <v>40</v>
      </c>
      <c r="G628" s="210">
        <v>0.49410000000000004</v>
      </c>
      <c r="H628" s="211">
        <f t="shared" si="21"/>
        <v>8.33</v>
      </c>
    </row>
    <row r="629" spans="1:8" s="124" customFormat="1" ht="30">
      <c r="A629" s="721">
        <v>88309</v>
      </c>
      <c r="B629" s="721"/>
      <c r="C629" s="200" t="s">
        <v>5256</v>
      </c>
      <c r="D629" s="139" t="s">
        <v>90</v>
      </c>
      <c r="E629" s="209">
        <v>1.05</v>
      </c>
      <c r="F629" s="577" t="s">
        <v>67</v>
      </c>
      <c r="G629" s="210">
        <v>15.608700000000001</v>
      </c>
      <c r="H629" s="211">
        <f t="shared" si="21"/>
        <v>16.39</v>
      </c>
    </row>
    <row r="630" spans="1:8" s="124" customFormat="1" ht="30">
      <c r="A630" s="721">
        <v>88315</v>
      </c>
      <c r="B630" s="721"/>
      <c r="C630" s="200" t="s">
        <v>5256</v>
      </c>
      <c r="D630" s="139" t="s">
        <v>112</v>
      </c>
      <c r="E630" s="209">
        <v>2.8000000000000003</v>
      </c>
      <c r="F630" s="577" t="s">
        <v>67</v>
      </c>
      <c r="G630" s="210">
        <v>15.519600000000001</v>
      </c>
      <c r="H630" s="211">
        <f t="shared" si="21"/>
        <v>43.45</v>
      </c>
    </row>
    <row r="631" spans="1:8" s="124" customFormat="1" ht="30">
      <c r="A631" s="721">
        <v>88316</v>
      </c>
      <c r="B631" s="721"/>
      <c r="C631" s="200" t="s">
        <v>5256</v>
      </c>
      <c r="D631" s="139" t="s">
        <v>66</v>
      </c>
      <c r="E631" s="209">
        <v>4.2</v>
      </c>
      <c r="F631" s="577" t="s">
        <v>67</v>
      </c>
      <c r="G631" s="210">
        <v>11.631600000000001</v>
      </c>
      <c r="H631" s="211">
        <f t="shared" si="21"/>
        <v>48.85</v>
      </c>
    </row>
    <row r="632" spans="1:8" s="201" customFormat="1">
      <c r="A632" s="582"/>
      <c r="B632" s="582"/>
      <c r="C632" s="212"/>
      <c r="D632" s="719" t="s">
        <v>127</v>
      </c>
      <c r="E632" s="719"/>
      <c r="F632" s="719"/>
      <c r="G632" s="719"/>
      <c r="H632" s="638">
        <f>SUMIF(F626:F631,("h"),H626:H631)</f>
        <v>108.69</v>
      </c>
    </row>
    <row r="633" spans="1:8" s="201" customFormat="1">
      <c r="A633" s="582"/>
      <c r="B633" s="582"/>
      <c r="C633" s="212"/>
      <c r="D633" s="719" t="s">
        <v>128</v>
      </c>
      <c r="E633" s="719"/>
      <c r="F633" s="719"/>
      <c r="G633" s="719"/>
      <c r="H633" s="638">
        <f>SUMIF(F626:F631,"&lt;&gt;h",H626:H631)</f>
        <v>1064.23</v>
      </c>
    </row>
    <row r="634" spans="1:8" s="201" customFormat="1">
      <c r="A634" s="582"/>
      <c r="B634" s="582"/>
      <c r="C634" s="212"/>
      <c r="D634" s="718" t="s">
        <v>129</v>
      </c>
      <c r="E634" s="718"/>
      <c r="F634" s="718"/>
      <c r="G634" s="718"/>
      <c r="H634" s="213">
        <f>SUM(H632:H633)</f>
        <v>1172.92</v>
      </c>
    </row>
    <row r="635" spans="1:8" s="201" customFormat="1">
      <c r="A635" s="582"/>
      <c r="B635" s="582"/>
      <c r="C635" s="212"/>
      <c r="D635" s="719" t="s">
        <v>28</v>
      </c>
      <c r="E635" s="719"/>
      <c r="F635" s="719"/>
      <c r="G635" s="719"/>
      <c r="H635" s="639">
        <f>E625</f>
        <v>1</v>
      </c>
    </row>
    <row r="636" spans="1:8" s="201" customFormat="1">
      <c r="A636" s="582"/>
      <c r="B636" s="582"/>
      <c r="C636" s="212"/>
      <c r="D636" s="718" t="s">
        <v>130</v>
      </c>
      <c r="E636" s="718"/>
      <c r="F636" s="718"/>
      <c r="G636" s="718"/>
      <c r="H636" s="213">
        <f>ROUND(H634*H635,2)</f>
        <v>1172.92</v>
      </c>
    </row>
    <row r="637" spans="1:8" s="201" customFormat="1">
      <c r="A637" s="582"/>
      <c r="B637" s="582"/>
      <c r="C637" s="212"/>
      <c r="D637" s="719" t="s">
        <v>15559</v>
      </c>
      <c r="E637" s="719"/>
      <c r="F637" s="719"/>
      <c r="G637" s="719"/>
      <c r="H637" s="638">
        <f>ROUND(H634*$B$13,2)</f>
        <v>315.87</v>
      </c>
    </row>
    <row r="638" spans="1:8">
      <c r="A638" s="582"/>
      <c r="B638" s="582"/>
      <c r="C638" s="212"/>
      <c r="D638" s="718" t="s">
        <v>9661</v>
      </c>
      <c r="E638" s="718"/>
      <c r="F638" s="718"/>
      <c r="G638" s="718"/>
      <c r="H638" s="213">
        <f>H637+H634</f>
        <v>1488.79</v>
      </c>
    </row>
    <row r="640" spans="1:8" s="201" customFormat="1">
      <c r="A640" s="123" t="s">
        <v>6</v>
      </c>
      <c r="B640" s="720" t="s">
        <v>7</v>
      </c>
      <c r="C640" s="720"/>
      <c r="D640" s="202" t="s">
        <v>124</v>
      </c>
      <c r="E640" s="167" t="s">
        <v>6334</v>
      </c>
      <c r="F640" s="202" t="s">
        <v>31</v>
      </c>
      <c r="G640" s="203" t="s">
        <v>125</v>
      </c>
      <c r="H640" s="204" t="s">
        <v>126</v>
      </c>
    </row>
    <row r="641" spans="1:8" s="208" customFormat="1" ht="30">
      <c r="A641" s="581" t="str">
        <f>'Orç - Prédio'!A125</f>
        <v>04.01.223.04</v>
      </c>
      <c r="B641" s="216" t="str">
        <f>'Orç - Prédio'!B125</f>
        <v>SINAPI</v>
      </c>
      <c r="C641" s="216" t="str">
        <f>'Orç - Prédio'!C125</f>
        <v>85010 MOD 4</v>
      </c>
      <c r="D641" s="217" t="s">
        <v>9582</v>
      </c>
      <c r="E641" s="206">
        <v>3</v>
      </c>
      <c r="F641" s="216" t="s">
        <v>6337</v>
      </c>
      <c r="G641" s="207">
        <f>VLOOKUP("CUSTO TOTAL UNIT.:",D642:$H$30004,5,FALSE)</f>
        <v>636.73</v>
      </c>
      <c r="H641" s="637">
        <f>VLOOKUP("CUSTO TOTAL:",D642:$H$30004,5,FALSE)</f>
        <v>1910.19</v>
      </c>
    </row>
    <row r="642" spans="1:8" s="124" customFormat="1" ht="30">
      <c r="A642" s="721">
        <v>87324</v>
      </c>
      <c r="B642" s="721"/>
      <c r="C642" s="184" t="s">
        <v>6799</v>
      </c>
      <c r="D642" s="185" t="s">
        <v>15379</v>
      </c>
      <c r="E642" s="209">
        <v>1.9</v>
      </c>
      <c r="F642" s="577" t="s">
        <v>322</v>
      </c>
      <c r="G642" s="174">
        <v>279.45000000000005</v>
      </c>
      <c r="H642" s="211">
        <f t="shared" ref="H642:H647" si="22">ROUND(G642*E642,2)</f>
        <v>530.96</v>
      </c>
    </row>
    <row r="643" spans="1:8" s="124" customFormat="1" ht="45">
      <c r="A643" s="721">
        <v>142</v>
      </c>
      <c r="B643" s="721"/>
      <c r="C643" s="200" t="s">
        <v>5256</v>
      </c>
      <c r="D643" s="139" t="s">
        <v>13830</v>
      </c>
      <c r="E643" s="209">
        <v>1.6775100000000001</v>
      </c>
      <c r="F643" s="577" t="s">
        <v>65</v>
      </c>
      <c r="G643" s="210">
        <v>25.1829</v>
      </c>
      <c r="H643" s="211">
        <f t="shared" si="22"/>
        <v>42.24</v>
      </c>
    </row>
    <row r="644" spans="1:8" s="124" customFormat="1" ht="60">
      <c r="A644" s="721">
        <v>7568</v>
      </c>
      <c r="B644" s="721"/>
      <c r="C644" s="200" t="s">
        <v>5256</v>
      </c>
      <c r="D644" s="139" t="s">
        <v>10290</v>
      </c>
      <c r="E644" s="175">
        <v>9.1515400000000007</v>
      </c>
      <c r="F644" s="577" t="s">
        <v>40</v>
      </c>
      <c r="G644" s="210">
        <v>0.49410000000000004</v>
      </c>
      <c r="H644" s="211">
        <f t="shared" si="22"/>
        <v>4.5199999999999996</v>
      </c>
    </row>
    <row r="645" spans="1:8" s="124" customFormat="1" ht="30">
      <c r="A645" s="721">
        <v>88309</v>
      </c>
      <c r="B645" s="721"/>
      <c r="C645" s="200" t="s">
        <v>5256</v>
      </c>
      <c r="D645" s="139" t="s">
        <v>90</v>
      </c>
      <c r="E645" s="209">
        <v>0.56999999999999995</v>
      </c>
      <c r="F645" s="577" t="s">
        <v>67</v>
      </c>
      <c r="G645" s="210">
        <v>15.608700000000001</v>
      </c>
      <c r="H645" s="211">
        <f t="shared" si="22"/>
        <v>8.9</v>
      </c>
    </row>
    <row r="646" spans="1:8" s="124" customFormat="1" ht="30">
      <c r="A646" s="721">
        <v>88315</v>
      </c>
      <c r="B646" s="721"/>
      <c r="C646" s="200" t="s">
        <v>5256</v>
      </c>
      <c r="D646" s="139" t="s">
        <v>112</v>
      </c>
      <c r="E646" s="209">
        <v>1.52</v>
      </c>
      <c r="F646" s="577" t="s">
        <v>67</v>
      </c>
      <c r="G646" s="210">
        <v>15.519600000000001</v>
      </c>
      <c r="H646" s="211">
        <f t="shared" si="22"/>
        <v>23.59</v>
      </c>
    </row>
    <row r="647" spans="1:8" s="124" customFormat="1" ht="30">
      <c r="A647" s="721">
        <v>88316</v>
      </c>
      <c r="B647" s="721"/>
      <c r="C647" s="200" t="s">
        <v>5256</v>
      </c>
      <c r="D647" s="139" t="s">
        <v>66</v>
      </c>
      <c r="E647" s="209">
        <v>2.2799999999999998</v>
      </c>
      <c r="F647" s="577" t="s">
        <v>67</v>
      </c>
      <c r="G647" s="210">
        <v>11.631600000000001</v>
      </c>
      <c r="H647" s="211">
        <f t="shared" si="22"/>
        <v>26.52</v>
      </c>
    </row>
    <row r="648" spans="1:8" s="201" customFormat="1">
      <c r="A648" s="582"/>
      <c r="B648" s="582"/>
      <c r="C648" s="212"/>
      <c r="D648" s="719" t="s">
        <v>127</v>
      </c>
      <c r="E648" s="719"/>
      <c r="F648" s="719"/>
      <c r="G648" s="719"/>
      <c r="H648" s="638">
        <f>SUMIF(F642:F647,("h"),H642:H647)</f>
        <v>59.010000000000005</v>
      </c>
    </row>
    <row r="649" spans="1:8" s="201" customFormat="1">
      <c r="A649" s="582"/>
      <c r="B649" s="582"/>
      <c r="C649" s="212"/>
      <c r="D649" s="719" t="s">
        <v>128</v>
      </c>
      <c r="E649" s="719"/>
      <c r="F649" s="719"/>
      <c r="G649" s="719"/>
      <c r="H649" s="638">
        <f>SUMIF(F642:F647,"&lt;&gt;h",H642:H647)</f>
        <v>577.72</v>
      </c>
    </row>
    <row r="650" spans="1:8" s="201" customFormat="1">
      <c r="A650" s="582"/>
      <c r="B650" s="582"/>
      <c r="C650" s="212"/>
      <c r="D650" s="718" t="s">
        <v>129</v>
      </c>
      <c r="E650" s="718"/>
      <c r="F650" s="718"/>
      <c r="G650" s="718"/>
      <c r="H650" s="213">
        <f>SUM(H648:H649)</f>
        <v>636.73</v>
      </c>
    </row>
    <row r="651" spans="1:8" s="201" customFormat="1">
      <c r="A651" s="582"/>
      <c r="B651" s="582"/>
      <c r="C651" s="212"/>
      <c r="D651" s="719" t="s">
        <v>28</v>
      </c>
      <c r="E651" s="719"/>
      <c r="F651" s="719"/>
      <c r="G651" s="719"/>
      <c r="H651" s="639">
        <f>E641</f>
        <v>3</v>
      </c>
    </row>
    <row r="652" spans="1:8" s="201" customFormat="1">
      <c r="A652" s="582"/>
      <c r="B652" s="582"/>
      <c r="C652" s="212"/>
      <c r="D652" s="718" t="s">
        <v>130</v>
      </c>
      <c r="E652" s="718"/>
      <c r="F652" s="718"/>
      <c r="G652" s="718"/>
      <c r="H652" s="213">
        <f>ROUND(H650*H651,2)</f>
        <v>1910.19</v>
      </c>
    </row>
    <row r="653" spans="1:8" s="201" customFormat="1">
      <c r="A653" s="582"/>
      <c r="B653" s="582"/>
      <c r="C653" s="212"/>
      <c r="D653" s="719" t="s">
        <v>15559</v>
      </c>
      <c r="E653" s="719"/>
      <c r="F653" s="719"/>
      <c r="G653" s="719"/>
      <c r="H653" s="638">
        <f>ROUND(H650*$B$13,2)</f>
        <v>171.47</v>
      </c>
    </row>
    <row r="654" spans="1:8">
      <c r="A654" s="582"/>
      <c r="B654" s="582"/>
      <c r="C654" s="212"/>
      <c r="D654" s="718" t="s">
        <v>9661</v>
      </c>
      <c r="E654" s="718"/>
      <c r="F654" s="718"/>
      <c r="G654" s="718"/>
      <c r="H654" s="213">
        <f>H653+H650</f>
        <v>808.2</v>
      </c>
    </row>
    <row r="656" spans="1:8" s="201" customFormat="1">
      <c r="A656" s="123" t="s">
        <v>6</v>
      </c>
      <c r="B656" s="720" t="s">
        <v>7</v>
      </c>
      <c r="C656" s="720"/>
      <c r="D656" s="202" t="s">
        <v>124</v>
      </c>
      <c r="E656" s="167" t="s">
        <v>6334</v>
      </c>
      <c r="F656" s="202" t="s">
        <v>31</v>
      </c>
      <c r="G656" s="203" t="s">
        <v>125</v>
      </c>
      <c r="H656" s="204" t="s">
        <v>126</v>
      </c>
    </row>
    <row r="657" spans="1:8" s="208" customFormat="1" ht="30">
      <c r="A657" s="581" t="str">
        <f>'Orç - Prédio'!A126</f>
        <v>04.01.223.05</v>
      </c>
      <c r="B657" s="216" t="str">
        <f>'Orç - Prédio'!B126</f>
        <v>SINAPI</v>
      </c>
      <c r="C657" s="216" t="str">
        <f>'Orç - Prédio'!C126</f>
        <v>85010 MOD 5</v>
      </c>
      <c r="D657" s="217" t="s">
        <v>9583</v>
      </c>
      <c r="E657" s="206">
        <v>2</v>
      </c>
      <c r="F657" s="216" t="s">
        <v>6337</v>
      </c>
      <c r="G657" s="207">
        <f>VLOOKUP("CUSTO TOTAL UNIT.:",D658:$H$30004,5,FALSE)</f>
        <v>1256.7000000000003</v>
      </c>
      <c r="H657" s="637">
        <f>VLOOKUP("CUSTO TOTAL:",D658:$H$30004,5,FALSE)</f>
        <v>2513.4</v>
      </c>
    </row>
    <row r="658" spans="1:8" s="124" customFormat="1" ht="30">
      <c r="A658" s="721">
        <v>87324</v>
      </c>
      <c r="B658" s="721"/>
      <c r="C658" s="184" t="s">
        <v>6799</v>
      </c>
      <c r="D658" s="185" t="s">
        <v>15379</v>
      </c>
      <c r="E658" s="209">
        <v>3.75</v>
      </c>
      <c r="F658" s="577" t="s">
        <v>322</v>
      </c>
      <c r="G658" s="174">
        <v>279.45000000000005</v>
      </c>
      <c r="H658" s="211">
        <f t="shared" ref="H658:H663" si="23">ROUND(G658*E658,2)</f>
        <v>1047.94</v>
      </c>
    </row>
    <row r="659" spans="1:8" s="124" customFormat="1" ht="45">
      <c r="A659" s="721">
        <v>142</v>
      </c>
      <c r="B659" s="721"/>
      <c r="C659" s="200" t="s">
        <v>5256</v>
      </c>
      <c r="D659" s="139" t="s">
        <v>13830</v>
      </c>
      <c r="E659" s="209">
        <v>3.3108750000000002</v>
      </c>
      <c r="F659" s="577" t="s">
        <v>65</v>
      </c>
      <c r="G659" s="210">
        <v>25.1829</v>
      </c>
      <c r="H659" s="211">
        <f t="shared" si="23"/>
        <v>83.38</v>
      </c>
    </row>
    <row r="660" spans="1:8" s="124" customFormat="1" ht="60">
      <c r="A660" s="721">
        <v>7568</v>
      </c>
      <c r="B660" s="721"/>
      <c r="C660" s="200" t="s">
        <v>5256</v>
      </c>
      <c r="D660" s="139" t="s">
        <v>10290</v>
      </c>
      <c r="E660" s="175">
        <v>18.062250000000002</v>
      </c>
      <c r="F660" s="577" t="s">
        <v>40</v>
      </c>
      <c r="G660" s="210">
        <v>0.49410000000000004</v>
      </c>
      <c r="H660" s="211">
        <f t="shared" si="23"/>
        <v>8.92</v>
      </c>
    </row>
    <row r="661" spans="1:8" s="124" customFormat="1" ht="30">
      <c r="A661" s="721">
        <v>88309</v>
      </c>
      <c r="B661" s="721"/>
      <c r="C661" s="200" t="s">
        <v>5256</v>
      </c>
      <c r="D661" s="139" t="s">
        <v>90</v>
      </c>
      <c r="E661" s="209">
        <v>1.125</v>
      </c>
      <c r="F661" s="577" t="s">
        <v>67</v>
      </c>
      <c r="G661" s="210">
        <v>15.608700000000001</v>
      </c>
      <c r="H661" s="211">
        <f t="shared" si="23"/>
        <v>17.559999999999999</v>
      </c>
    </row>
    <row r="662" spans="1:8" s="124" customFormat="1" ht="30">
      <c r="A662" s="721">
        <v>88315</v>
      </c>
      <c r="B662" s="721"/>
      <c r="C662" s="200" t="s">
        <v>5256</v>
      </c>
      <c r="D662" s="139" t="s">
        <v>112</v>
      </c>
      <c r="E662" s="209">
        <v>3</v>
      </c>
      <c r="F662" s="577" t="s">
        <v>67</v>
      </c>
      <c r="G662" s="210">
        <v>15.519600000000001</v>
      </c>
      <c r="H662" s="211">
        <f t="shared" si="23"/>
        <v>46.56</v>
      </c>
    </row>
    <row r="663" spans="1:8" s="124" customFormat="1" ht="30">
      <c r="A663" s="721">
        <v>88316</v>
      </c>
      <c r="B663" s="721"/>
      <c r="C663" s="200" t="s">
        <v>5256</v>
      </c>
      <c r="D663" s="139" t="s">
        <v>66</v>
      </c>
      <c r="E663" s="209">
        <v>4.5</v>
      </c>
      <c r="F663" s="577" t="s">
        <v>67</v>
      </c>
      <c r="G663" s="210">
        <v>11.631600000000001</v>
      </c>
      <c r="H663" s="211">
        <f t="shared" si="23"/>
        <v>52.34</v>
      </c>
    </row>
    <row r="664" spans="1:8" s="201" customFormat="1">
      <c r="A664" s="582"/>
      <c r="B664" s="582"/>
      <c r="C664" s="212"/>
      <c r="D664" s="719" t="s">
        <v>127</v>
      </c>
      <c r="E664" s="719"/>
      <c r="F664" s="719"/>
      <c r="G664" s="719"/>
      <c r="H664" s="638">
        <f>SUMIF(F658:F663,("h"),H658:H663)</f>
        <v>116.46000000000001</v>
      </c>
    </row>
    <row r="665" spans="1:8" s="201" customFormat="1">
      <c r="A665" s="582"/>
      <c r="B665" s="582"/>
      <c r="C665" s="212"/>
      <c r="D665" s="719" t="s">
        <v>128</v>
      </c>
      <c r="E665" s="719"/>
      <c r="F665" s="719"/>
      <c r="G665" s="719"/>
      <c r="H665" s="638">
        <f>SUMIF(F658:F663,"&lt;&gt;h",H658:H663)</f>
        <v>1140.2400000000002</v>
      </c>
    </row>
    <row r="666" spans="1:8" s="201" customFormat="1">
      <c r="A666" s="582"/>
      <c r="B666" s="582"/>
      <c r="C666" s="212"/>
      <c r="D666" s="718" t="s">
        <v>129</v>
      </c>
      <c r="E666" s="718"/>
      <c r="F666" s="718"/>
      <c r="G666" s="718"/>
      <c r="H666" s="213">
        <f>SUM(H664:H665)</f>
        <v>1256.7000000000003</v>
      </c>
    </row>
    <row r="667" spans="1:8" s="201" customFormat="1">
      <c r="A667" s="582"/>
      <c r="B667" s="582"/>
      <c r="C667" s="212"/>
      <c r="D667" s="719" t="s">
        <v>28</v>
      </c>
      <c r="E667" s="719"/>
      <c r="F667" s="719"/>
      <c r="G667" s="719"/>
      <c r="H667" s="639">
        <f>E657</f>
        <v>2</v>
      </c>
    </row>
    <row r="668" spans="1:8" s="201" customFormat="1">
      <c r="A668" s="582"/>
      <c r="B668" s="582"/>
      <c r="C668" s="212"/>
      <c r="D668" s="718" t="s">
        <v>130</v>
      </c>
      <c r="E668" s="718"/>
      <c r="F668" s="718"/>
      <c r="G668" s="718"/>
      <c r="H668" s="213">
        <f>ROUND(H666*H667,2)</f>
        <v>2513.4</v>
      </c>
    </row>
    <row r="669" spans="1:8" s="201" customFormat="1">
      <c r="A669" s="582"/>
      <c r="B669" s="582"/>
      <c r="C669" s="212"/>
      <c r="D669" s="719" t="s">
        <v>15559</v>
      </c>
      <c r="E669" s="719"/>
      <c r="F669" s="719"/>
      <c r="G669" s="719"/>
      <c r="H669" s="638">
        <f>ROUND(H666*$B$13,2)</f>
        <v>338.43</v>
      </c>
    </row>
    <row r="670" spans="1:8">
      <c r="A670" s="582"/>
      <c r="B670" s="582"/>
      <c r="C670" s="212"/>
      <c r="D670" s="718" t="s">
        <v>9661</v>
      </c>
      <c r="E670" s="718"/>
      <c r="F670" s="718"/>
      <c r="G670" s="718"/>
      <c r="H670" s="213">
        <f>H669+H666</f>
        <v>1595.1300000000003</v>
      </c>
    </row>
    <row r="672" spans="1:8" s="201" customFormat="1">
      <c r="A672" s="123" t="s">
        <v>6</v>
      </c>
      <c r="B672" s="720" t="s">
        <v>7</v>
      </c>
      <c r="C672" s="720"/>
      <c r="D672" s="202" t="s">
        <v>124</v>
      </c>
      <c r="E672" s="167" t="s">
        <v>6334</v>
      </c>
      <c r="F672" s="202" t="s">
        <v>31</v>
      </c>
      <c r="G672" s="203" t="s">
        <v>125</v>
      </c>
      <c r="H672" s="204" t="s">
        <v>126</v>
      </c>
    </row>
    <row r="673" spans="1:8" s="208" customFormat="1" ht="45">
      <c r="A673" s="581" t="str">
        <f>'Orç - Prédio'!A127</f>
        <v>04.01.223.06</v>
      </c>
      <c r="B673" s="581" t="str">
        <f>'Orç - Prédio'!B127</f>
        <v>SINAPI</v>
      </c>
      <c r="C673" s="581" t="str">
        <f>'Orç - Prédio'!C127</f>
        <v>85014 MOD</v>
      </c>
      <c r="D673" s="205" t="s">
        <v>9584</v>
      </c>
      <c r="E673" s="206">
        <v>4</v>
      </c>
      <c r="F673" s="581" t="s">
        <v>6337</v>
      </c>
      <c r="G673" s="207">
        <f>VLOOKUP("CUSTO TOTAL UNIT.:",D674:$H$30004,5,FALSE)</f>
        <v>591.09</v>
      </c>
      <c r="H673" s="637">
        <f>VLOOKUP("CUSTO TOTAL:",D674:$H$30004,5,FALSE)</f>
        <v>2364.36</v>
      </c>
    </row>
    <row r="674" spans="1:8" s="124" customFormat="1" ht="30">
      <c r="A674" s="721">
        <v>87324</v>
      </c>
      <c r="B674" s="721"/>
      <c r="C674" s="184" t="s">
        <v>6799</v>
      </c>
      <c r="D674" s="185" t="s">
        <v>15379</v>
      </c>
      <c r="E674" s="209">
        <v>0.86</v>
      </c>
      <c r="F674" s="577" t="s">
        <v>322</v>
      </c>
      <c r="G674" s="174">
        <v>279.45000000000005</v>
      </c>
      <c r="H674" s="211">
        <f t="shared" ref="H674:H679" si="24">ROUND(G674*E674,2)</f>
        <v>240.33</v>
      </c>
    </row>
    <row r="675" spans="1:8" s="124" customFormat="1" ht="30">
      <c r="A675" s="721" t="s">
        <v>9585</v>
      </c>
      <c r="B675" s="721"/>
      <c r="C675" s="200" t="s">
        <v>6753</v>
      </c>
      <c r="D675" s="139" t="s">
        <v>9586</v>
      </c>
      <c r="E675" s="209">
        <v>0.86</v>
      </c>
      <c r="F675" s="577" t="s">
        <v>322</v>
      </c>
      <c r="G675" s="210">
        <v>362.70179999999999</v>
      </c>
      <c r="H675" s="211">
        <f t="shared" si="24"/>
        <v>311.92</v>
      </c>
    </row>
    <row r="676" spans="1:8" s="124" customFormat="1" ht="45">
      <c r="A676" s="721">
        <v>88627</v>
      </c>
      <c r="B676" s="721"/>
      <c r="C676" s="200" t="s">
        <v>5256</v>
      </c>
      <c r="D676" s="139" t="s">
        <v>4992</v>
      </c>
      <c r="E676" s="209">
        <v>5.1599999999999997E-3</v>
      </c>
      <c r="F676" s="577" t="s">
        <v>1261</v>
      </c>
      <c r="G676" s="210">
        <v>337.73759999999999</v>
      </c>
      <c r="H676" s="211">
        <f t="shared" si="24"/>
        <v>1.74</v>
      </c>
    </row>
    <row r="677" spans="1:8" s="124" customFormat="1" ht="30">
      <c r="A677" s="721">
        <v>88309</v>
      </c>
      <c r="B677" s="721"/>
      <c r="C677" s="200" t="s">
        <v>5256</v>
      </c>
      <c r="D677" s="139" t="s">
        <v>90</v>
      </c>
      <c r="E677" s="209">
        <v>6.88E-2</v>
      </c>
      <c r="F677" s="577" t="s">
        <v>67</v>
      </c>
      <c r="G677" s="210">
        <v>15.608700000000001</v>
      </c>
      <c r="H677" s="211">
        <f t="shared" si="24"/>
        <v>1.07</v>
      </c>
    </row>
    <row r="678" spans="1:8" s="124" customFormat="1" ht="30">
      <c r="A678" s="721">
        <v>88315</v>
      </c>
      <c r="B678" s="721"/>
      <c r="C678" s="200" t="s">
        <v>5256</v>
      </c>
      <c r="D678" s="139" t="s">
        <v>112</v>
      </c>
      <c r="E678" s="209">
        <v>1.032</v>
      </c>
      <c r="F678" s="577" t="s">
        <v>67</v>
      </c>
      <c r="G678" s="210">
        <v>15.519600000000001</v>
      </c>
      <c r="H678" s="211">
        <f t="shared" si="24"/>
        <v>16.02</v>
      </c>
    </row>
    <row r="679" spans="1:8" s="124" customFormat="1" ht="30">
      <c r="A679" s="721">
        <v>88316</v>
      </c>
      <c r="B679" s="721"/>
      <c r="C679" s="200" t="s">
        <v>5256</v>
      </c>
      <c r="D679" s="139" t="s">
        <v>66</v>
      </c>
      <c r="E679" s="209">
        <v>1.72</v>
      </c>
      <c r="F679" s="577" t="s">
        <v>67</v>
      </c>
      <c r="G679" s="210">
        <v>11.631600000000001</v>
      </c>
      <c r="H679" s="211">
        <f t="shared" si="24"/>
        <v>20.010000000000002</v>
      </c>
    </row>
    <row r="680" spans="1:8" s="201" customFormat="1">
      <c r="A680" s="582"/>
      <c r="B680" s="582"/>
      <c r="C680" s="212"/>
      <c r="D680" s="719" t="s">
        <v>127</v>
      </c>
      <c r="E680" s="719"/>
      <c r="F680" s="719"/>
      <c r="G680" s="719"/>
      <c r="H680" s="638">
        <f>SUMIF(F674:F679,("h"),H674:H679)</f>
        <v>37.1</v>
      </c>
    </row>
    <row r="681" spans="1:8" s="201" customFormat="1">
      <c r="A681" s="582"/>
      <c r="B681" s="582"/>
      <c r="C681" s="212"/>
      <c r="D681" s="719" t="s">
        <v>128</v>
      </c>
      <c r="E681" s="719"/>
      <c r="F681" s="719"/>
      <c r="G681" s="719"/>
      <c r="H681" s="638">
        <f>SUMIF(F674:F679,"&lt;&gt;h",H674:H679)</f>
        <v>553.99</v>
      </c>
    </row>
    <row r="682" spans="1:8" s="201" customFormat="1">
      <c r="A682" s="582"/>
      <c r="B682" s="582"/>
      <c r="C682" s="212"/>
      <c r="D682" s="718" t="s">
        <v>129</v>
      </c>
      <c r="E682" s="718"/>
      <c r="F682" s="718"/>
      <c r="G682" s="718"/>
      <c r="H682" s="213">
        <f>SUM(H680:H681)</f>
        <v>591.09</v>
      </c>
    </row>
    <row r="683" spans="1:8" s="201" customFormat="1">
      <c r="A683" s="582"/>
      <c r="B683" s="582"/>
      <c r="C683" s="212"/>
      <c r="D683" s="719" t="s">
        <v>28</v>
      </c>
      <c r="E683" s="719"/>
      <c r="F683" s="719"/>
      <c r="G683" s="719"/>
      <c r="H683" s="639">
        <f>E673</f>
        <v>4</v>
      </c>
    </row>
    <row r="684" spans="1:8" s="201" customFormat="1">
      <c r="A684" s="582"/>
      <c r="B684" s="582"/>
      <c r="C684" s="212"/>
      <c r="D684" s="718" t="s">
        <v>130</v>
      </c>
      <c r="E684" s="718"/>
      <c r="F684" s="718"/>
      <c r="G684" s="718"/>
      <c r="H684" s="213">
        <f>ROUND(H682*H683,2)</f>
        <v>2364.36</v>
      </c>
    </row>
    <row r="685" spans="1:8" s="201" customFormat="1">
      <c r="A685" s="582"/>
      <c r="B685" s="582"/>
      <c r="C685" s="212"/>
      <c r="D685" s="719" t="s">
        <v>15559</v>
      </c>
      <c r="E685" s="719"/>
      <c r="F685" s="719"/>
      <c r="G685" s="719"/>
      <c r="H685" s="638">
        <f>ROUND(H682*$B$13,2)</f>
        <v>159.18</v>
      </c>
    </row>
    <row r="686" spans="1:8">
      <c r="A686" s="582"/>
      <c r="B686" s="582"/>
      <c r="C686" s="212"/>
      <c r="D686" s="718" t="s">
        <v>9661</v>
      </c>
      <c r="E686" s="718"/>
      <c r="F686" s="718"/>
      <c r="G686" s="718"/>
      <c r="H686" s="213">
        <f>H685+H682</f>
        <v>750.27</v>
      </c>
    </row>
    <row r="688" spans="1:8" s="201" customFormat="1">
      <c r="A688" s="123" t="s">
        <v>6</v>
      </c>
      <c r="B688" s="720" t="s">
        <v>7</v>
      </c>
      <c r="C688" s="720"/>
      <c r="D688" s="202" t="s">
        <v>124</v>
      </c>
      <c r="E688" s="167" t="s">
        <v>6334</v>
      </c>
      <c r="F688" s="202" t="s">
        <v>31</v>
      </c>
      <c r="G688" s="203" t="s">
        <v>125</v>
      </c>
      <c r="H688" s="204" t="s">
        <v>126</v>
      </c>
    </row>
    <row r="689" spans="1:8" s="208" customFormat="1" ht="60">
      <c r="A689" s="581" t="str">
        <f>'Orç - Prédio'!A128</f>
        <v>04.01.228.01</v>
      </c>
      <c r="B689" s="216" t="str">
        <f>'Orç - Prédio'!B128</f>
        <v>Comp. Montada</v>
      </c>
      <c r="C689" s="216">
        <f>'Orç - Prédio'!C128</f>
        <v>3</v>
      </c>
      <c r="D689" s="217" t="s">
        <v>6800</v>
      </c>
      <c r="E689" s="206">
        <v>8</v>
      </c>
      <c r="F689" s="216" t="s">
        <v>6337</v>
      </c>
      <c r="G689" s="207">
        <f>VLOOKUP("CUSTO TOTAL UNIT.:",D690:$H$30004,5,FALSE)</f>
        <v>4614.47</v>
      </c>
      <c r="H689" s="637">
        <f>VLOOKUP("CUSTO TOTAL:",D690:$H$30004,5,FALSE)</f>
        <v>36915.760000000002</v>
      </c>
    </row>
    <row r="690" spans="1:8" s="124" customFormat="1" ht="30">
      <c r="A690" s="721">
        <v>87324</v>
      </c>
      <c r="B690" s="721"/>
      <c r="C690" s="184" t="s">
        <v>6799</v>
      </c>
      <c r="D690" s="185" t="s">
        <v>15379</v>
      </c>
      <c r="E690" s="209">
        <v>2.6160000000000001</v>
      </c>
      <c r="F690" s="577" t="s">
        <v>322</v>
      </c>
      <c r="G690" s="174">
        <v>279.45000000000005</v>
      </c>
      <c r="H690" s="211">
        <f t="shared" ref="H690:H698" si="25">ROUND(G690*E690,2)</f>
        <v>731.04</v>
      </c>
    </row>
    <row r="691" spans="1:8" s="124" customFormat="1" ht="30">
      <c r="A691" s="721">
        <v>12789</v>
      </c>
      <c r="B691" s="721"/>
      <c r="C691" s="184" t="s">
        <v>6333</v>
      </c>
      <c r="D691" s="185" t="s">
        <v>6804</v>
      </c>
      <c r="E691" s="209">
        <v>5.94</v>
      </c>
      <c r="F691" s="577" t="s">
        <v>322</v>
      </c>
      <c r="G691" s="174">
        <v>214.65</v>
      </c>
      <c r="H691" s="211">
        <f t="shared" si="25"/>
        <v>1275.02</v>
      </c>
    </row>
    <row r="692" spans="1:8" s="124" customFormat="1" ht="30">
      <c r="A692" s="721">
        <v>87328</v>
      </c>
      <c r="B692" s="721"/>
      <c r="C692" s="184" t="s">
        <v>6799</v>
      </c>
      <c r="D692" s="185" t="s">
        <v>15380</v>
      </c>
      <c r="E692" s="209">
        <v>4.6500000000000004</v>
      </c>
      <c r="F692" s="577" t="s">
        <v>322</v>
      </c>
      <c r="G692" s="174">
        <v>345.06</v>
      </c>
      <c r="H692" s="211">
        <f t="shared" si="25"/>
        <v>1604.53</v>
      </c>
    </row>
    <row r="693" spans="1:8" s="124" customFormat="1" ht="45">
      <c r="A693" s="721">
        <v>142</v>
      </c>
      <c r="B693" s="721"/>
      <c r="C693" s="200" t="s">
        <v>5256</v>
      </c>
      <c r="D693" s="139" t="s">
        <v>13830</v>
      </c>
      <c r="E693" s="209">
        <v>11.659577400000002</v>
      </c>
      <c r="F693" s="577" t="s">
        <v>65</v>
      </c>
      <c r="G693" s="210">
        <v>25.1829</v>
      </c>
      <c r="H693" s="211">
        <f t="shared" si="25"/>
        <v>293.62</v>
      </c>
    </row>
    <row r="694" spans="1:8" s="124" customFormat="1" ht="60">
      <c r="A694" s="721">
        <v>7568</v>
      </c>
      <c r="B694" s="721"/>
      <c r="C694" s="200" t="s">
        <v>5256</v>
      </c>
      <c r="D694" s="139" t="s">
        <v>10290</v>
      </c>
      <c r="E694" s="175">
        <v>63.608019600000006</v>
      </c>
      <c r="F694" s="577" t="s">
        <v>40</v>
      </c>
      <c r="G694" s="210">
        <v>0.49410000000000004</v>
      </c>
      <c r="H694" s="211">
        <f t="shared" si="25"/>
        <v>31.43</v>
      </c>
    </row>
    <row r="695" spans="1:8" s="124" customFormat="1" ht="45">
      <c r="A695" s="721">
        <v>95468</v>
      </c>
      <c r="B695" s="721"/>
      <c r="C695" s="200" t="s">
        <v>5256</v>
      </c>
      <c r="D695" s="139" t="s">
        <v>4492</v>
      </c>
      <c r="E695" s="209">
        <v>9.3000000000000007</v>
      </c>
      <c r="F695" s="577" t="s">
        <v>322</v>
      </c>
      <c r="G695" s="210">
        <v>28.892700000000005</v>
      </c>
      <c r="H695" s="211">
        <f t="shared" si="25"/>
        <v>268.7</v>
      </c>
    </row>
    <row r="696" spans="1:8" s="124" customFormat="1" ht="30">
      <c r="A696" s="721">
        <v>88309</v>
      </c>
      <c r="B696" s="721"/>
      <c r="C696" s="200" t="s">
        <v>5256</v>
      </c>
      <c r="D696" s="139" t="s">
        <v>90</v>
      </c>
      <c r="E696" s="209">
        <v>3.9618000000000002</v>
      </c>
      <c r="F696" s="577" t="s">
        <v>67</v>
      </c>
      <c r="G696" s="210">
        <v>15.608700000000001</v>
      </c>
      <c r="H696" s="211">
        <f t="shared" si="25"/>
        <v>61.84</v>
      </c>
    </row>
    <row r="697" spans="1:8" s="124" customFormat="1" ht="30">
      <c r="A697" s="721">
        <v>88315</v>
      </c>
      <c r="B697" s="721"/>
      <c r="C697" s="200" t="s">
        <v>5256</v>
      </c>
      <c r="D697" s="139" t="s">
        <v>112</v>
      </c>
      <c r="E697" s="209">
        <v>10.564800000000002</v>
      </c>
      <c r="F697" s="577" t="s">
        <v>67</v>
      </c>
      <c r="G697" s="210">
        <v>15.519600000000001</v>
      </c>
      <c r="H697" s="211">
        <f t="shared" si="25"/>
        <v>163.96</v>
      </c>
    </row>
    <row r="698" spans="1:8" s="124" customFormat="1" ht="30">
      <c r="A698" s="721">
        <v>88316</v>
      </c>
      <c r="B698" s="721"/>
      <c r="C698" s="200" t="s">
        <v>5256</v>
      </c>
      <c r="D698" s="139" t="s">
        <v>66</v>
      </c>
      <c r="E698" s="209">
        <v>15.847200000000001</v>
      </c>
      <c r="F698" s="577" t="s">
        <v>67</v>
      </c>
      <c r="G698" s="210">
        <v>11.631600000000001</v>
      </c>
      <c r="H698" s="211">
        <f t="shared" si="25"/>
        <v>184.33</v>
      </c>
    </row>
    <row r="699" spans="1:8" s="201" customFormat="1">
      <c r="A699" s="582"/>
      <c r="B699" s="582"/>
      <c r="C699" s="212"/>
      <c r="D699" s="719" t="s">
        <v>127</v>
      </c>
      <c r="E699" s="719"/>
      <c r="F699" s="719"/>
      <c r="G699" s="719"/>
      <c r="H699" s="638">
        <f>SUMIF(F690:F698,("h"),H690:H698)</f>
        <v>410.13</v>
      </c>
    </row>
    <row r="700" spans="1:8" s="201" customFormat="1">
      <c r="A700" s="582"/>
      <c r="B700" s="582"/>
      <c r="C700" s="212"/>
      <c r="D700" s="719" t="s">
        <v>128</v>
      </c>
      <c r="E700" s="719"/>
      <c r="F700" s="719"/>
      <c r="G700" s="719"/>
      <c r="H700" s="638">
        <f>SUMIF(F690:F698,"&lt;&gt;h",H690:H698)</f>
        <v>4204.34</v>
      </c>
    </row>
    <row r="701" spans="1:8" s="201" customFormat="1">
      <c r="A701" s="582"/>
      <c r="B701" s="582"/>
      <c r="C701" s="212"/>
      <c r="D701" s="718" t="s">
        <v>129</v>
      </c>
      <c r="E701" s="718"/>
      <c r="F701" s="718"/>
      <c r="G701" s="718"/>
      <c r="H701" s="213">
        <f>SUM(H699:H700)</f>
        <v>4614.47</v>
      </c>
    </row>
    <row r="702" spans="1:8" s="201" customFormat="1">
      <c r="A702" s="582"/>
      <c r="B702" s="582"/>
      <c r="C702" s="212"/>
      <c r="D702" s="719" t="s">
        <v>28</v>
      </c>
      <c r="E702" s="719"/>
      <c r="F702" s="719"/>
      <c r="G702" s="719"/>
      <c r="H702" s="639">
        <f>E689</f>
        <v>8</v>
      </c>
    </row>
    <row r="703" spans="1:8" s="201" customFormat="1">
      <c r="A703" s="582"/>
      <c r="B703" s="582"/>
      <c r="C703" s="212"/>
      <c r="D703" s="718" t="s">
        <v>130</v>
      </c>
      <c r="E703" s="718"/>
      <c r="F703" s="718"/>
      <c r="G703" s="718"/>
      <c r="H703" s="213">
        <f>ROUND(H701*H702,2)</f>
        <v>36915.760000000002</v>
      </c>
    </row>
    <row r="704" spans="1:8" s="201" customFormat="1">
      <c r="A704" s="582"/>
      <c r="B704" s="582"/>
      <c r="C704" s="212"/>
      <c r="D704" s="719" t="s">
        <v>15559</v>
      </c>
      <c r="E704" s="719"/>
      <c r="F704" s="719"/>
      <c r="G704" s="719"/>
      <c r="H704" s="638">
        <f>ROUND(H701*$B$13,2)</f>
        <v>1242.68</v>
      </c>
    </row>
    <row r="705" spans="1:8">
      <c r="A705" s="582"/>
      <c r="B705" s="582"/>
      <c r="C705" s="212"/>
      <c r="D705" s="718" t="s">
        <v>9661</v>
      </c>
      <c r="E705" s="718"/>
      <c r="F705" s="718"/>
      <c r="G705" s="718"/>
      <c r="H705" s="213">
        <f>H704+H701</f>
        <v>5857.1500000000005</v>
      </c>
    </row>
    <row r="707" spans="1:8" s="201" customFormat="1">
      <c r="A707" s="123" t="s">
        <v>6</v>
      </c>
      <c r="B707" s="720" t="s">
        <v>7</v>
      </c>
      <c r="C707" s="720"/>
      <c r="D707" s="202" t="s">
        <v>124</v>
      </c>
      <c r="E707" s="167" t="s">
        <v>6334</v>
      </c>
      <c r="F707" s="202" t="s">
        <v>31</v>
      </c>
      <c r="G707" s="203" t="s">
        <v>125</v>
      </c>
      <c r="H707" s="204" t="s">
        <v>126</v>
      </c>
    </row>
    <row r="708" spans="1:8" s="208" customFormat="1" ht="60">
      <c r="A708" s="581" t="str">
        <f>'Orç - Prédio'!A129</f>
        <v>04.01.228.02</v>
      </c>
      <c r="B708" s="216" t="str">
        <f>'Orç - Prédio'!B129</f>
        <v>Comp. Montada</v>
      </c>
      <c r="C708" s="216">
        <f>'Orç - Prédio'!C129</f>
        <v>4</v>
      </c>
      <c r="D708" s="217" t="s">
        <v>6801</v>
      </c>
      <c r="E708" s="206">
        <v>8</v>
      </c>
      <c r="F708" s="216" t="s">
        <v>6337</v>
      </c>
      <c r="G708" s="207">
        <f>VLOOKUP("CUSTO TOTAL UNIT.:",D709:$H$30004,5,FALSE)</f>
        <v>4614.47</v>
      </c>
      <c r="H708" s="637">
        <f>VLOOKUP("CUSTO TOTAL:",D709:$H$30004,5,FALSE)</f>
        <v>36915.760000000002</v>
      </c>
    </row>
    <row r="709" spans="1:8" s="124" customFormat="1" ht="30">
      <c r="A709" s="721">
        <v>87324</v>
      </c>
      <c r="B709" s="721"/>
      <c r="C709" s="184" t="s">
        <v>6799</v>
      </c>
      <c r="D709" s="185" t="s">
        <v>15379</v>
      </c>
      <c r="E709" s="209">
        <v>2.6160000000000001</v>
      </c>
      <c r="F709" s="577" t="s">
        <v>322</v>
      </c>
      <c r="G709" s="174">
        <v>279.45000000000005</v>
      </c>
      <c r="H709" s="211">
        <f t="shared" ref="H709:H717" si="26">ROUND(G709*E709,2)</f>
        <v>731.04</v>
      </c>
    </row>
    <row r="710" spans="1:8" s="124" customFormat="1" ht="30">
      <c r="A710" s="721">
        <v>12789</v>
      </c>
      <c r="B710" s="721"/>
      <c r="C710" s="184" t="s">
        <v>6333</v>
      </c>
      <c r="D710" s="185" t="s">
        <v>6804</v>
      </c>
      <c r="E710" s="209">
        <v>5.94</v>
      </c>
      <c r="F710" s="577" t="s">
        <v>322</v>
      </c>
      <c r="G710" s="174">
        <v>214.65</v>
      </c>
      <c r="H710" s="211">
        <f t="shared" si="26"/>
        <v>1275.02</v>
      </c>
    </row>
    <row r="711" spans="1:8" s="124" customFormat="1" ht="30">
      <c r="A711" s="721">
        <v>87328</v>
      </c>
      <c r="B711" s="721"/>
      <c r="C711" s="184" t="s">
        <v>6799</v>
      </c>
      <c r="D711" s="185" t="s">
        <v>15380</v>
      </c>
      <c r="E711" s="209">
        <v>4.6500000000000004</v>
      </c>
      <c r="F711" s="577" t="s">
        <v>322</v>
      </c>
      <c r="G711" s="174">
        <v>345.06</v>
      </c>
      <c r="H711" s="211">
        <f t="shared" si="26"/>
        <v>1604.53</v>
      </c>
    </row>
    <row r="712" spans="1:8" s="124" customFormat="1" ht="45">
      <c r="A712" s="721">
        <v>142</v>
      </c>
      <c r="B712" s="721"/>
      <c r="C712" s="200" t="s">
        <v>5256</v>
      </c>
      <c r="D712" s="139" t="s">
        <v>13830</v>
      </c>
      <c r="E712" s="209">
        <v>11.659577400000002</v>
      </c>
      <c r="F712" s="577" t="s">
        <v>65</v>
      </c>
      <c r="G712" s="210">
        <v>25.1829</v>
      </c>
      <c r="H712" s="211">
        <f t="shared" si="26"/>
        <v>293.62</v>
      </c>
    </row>
    <row r="713" spans="1:8" s="124" customFormat="1" ht="60">
      <c r="A713" s="721">
        <v>7568</v>
      </c>
      <c r="B713" s="721"/>
      <c r="C713" s="200" t="s">
        <v>5256</v>
      </c>
      <c r="D713" s="139" t="s">
        <v>10290</v>
      </c>
      <c r="E713" s="175">
        <v>63.608019600000006</v>
      </c>
      <c r="F713" s="577" t="s">
        <v>40</v>
      </c>
      <c r="G713" s="210">
        <v>0.49410000000000004</v>
      </c>
      <c r="H713" s="211">
        <f t="shared" si="26"/>
        <v>31.43</v>
      </c>
    </row>
    <row r="714" spans="1:8" s="124" customFormat="1" ht="45">
      <c r="A714" s="721">
        <v>95468</v>
      </c>
      <c r="B714" s="721"/>
      <c r="C714" s="200" t="s">
        <v>5256</v>
      </c>
      <c r="D714" s="139" t="s">
        <v>4492</v>
      </c>
      <c r="E714" s="209">
        <v>9.3000000000000007</v>
      </c>
      <c r="F714" s="577" t="s">
        <v>322</v>
      </c>
      <c r="G714" s="210">
        <v>28.892700000000005</v>
      </c>
      <c r="H714" s="211">
        <f t="shared" si="26"/>
        <v>268.7</v>
      </c>
    </row>
    <row r="715" spans="1:8" s="124" customFormat="1" ht="30">
      <c r="A715" s="721">
        <v>88309</v>
      </c>
      <c r="B715" s="721"/>
      <c r="C715" s="200" t="s">
        <v>5256</v>
      </c>
      <c r="D715" s="139" t="s">
        <v>90</v>
      </c>
      <c r="E715" s="209">
        <v>3.9618000000000002</v>
      </c>
      <c r="F715" s="577" t="s">
        <v>67</v>
      </c>
      <c r="G715" s="210">
        <v>15.608700000000001</v>
      </c>
      <c r="H715" s="211">
        <f t="shared" si="26"/>
        <v>61.84</v>
      </c>
    </row>
    <row r="716" spans="1:8" s="124" customFormat="1" ht="30">
      <c r="A716" s="721">
        <v>88315</v>
      </c>
      <c r="B716" s="721"/>
      <c r="C716" s="200" t="s">
        <v>5256</v>
      </c>
      <c r="D716" s="139" t="s">
        <v>112</v>
      </c>
      <c r="E716" s="209">
        <v>10.564800000000002</v>
      </c>
      <c r="F716" s="577" t="s">
        <v>67</v>
      </c>
      <c r="G716" s="210">
        <v>15.519600000000001</v>
      </c>
      <c r="H716" s="211">
        <f t="shared" si="26"/>
        <v>163.96</v>
      </c>
    </row>
    <row r="717" spans="1:8" s="124" customFormat="1" ht="30">
      <c r="A717" s="721">
        <v>88316</v>
      </c>
      <c r="B717" s="721"/>
      <c r="C717" s="200" t="s">
        <v>5256</v>
      </c>
      <c r="D717" s="139" t="s">
        <v>66</v>
      </c>
      <c r="E717" s="209">
        <v>15.847200000000001</v>
      </c>
      <c r="F717" s="577" t="s">
        <v>67</v>
      </c>
      <c r="G717" s="210">
        <v>11.631600000000001</v>
      </c>
      <c r="H717" s="211">
        <f t="shared" si="26"/>
        <v>184.33</v>
      </c>
    </row>
    <row r="718" spans="1:8" s="201" customFormat="1">
      <c r="A718" s="582"/>
      <c r="B718" s="582"/>
      <c r="C718" s="212"/>
      <c r="D718" s="719" t="s">
        <v>127</v>
      </c>
      <c r="E718" s="719"/>
      <c r="F718" s="719"/>
      <c r="G718" s="719"/>
      <c r="H718" s="638">
        <f>SUMIF(F709:F717,("h"),H709:H717)</f>
        <v>410.13</v>
      </c>
    </row>
    <row r="719" spans="1:8" s="201" customFormat="1">
      <c r="A719" s="582"/>
      <c r="B719" s="582"/>
      <c r="C719" s="212"/>
      <c r="D719" s="719" t="s">
        <v>128</v>
      </c>
      <c r="E719" s="719"/>
      <c r="F719" s="719"/>
      <c r="G719" s="719"/>
      <c r="H719" s="638">
        <f>SUMIF(F709:F717,"&lt;&gt;h",H709:H717)</f>
        <v>4204.34</v>
      </c>
    </row>
    <row r="720" spans="1:8" s="201" customFormat="1">
      <c r="A720" s="582"/>
      <c r="B720" s="582"/>
      <c r="C720" s="212"/>
      <c r="D720" s="718" t="s">
        <v>129</v>
      </c>
      <c r="E720" s="718"/>
      <c r="F720" s="718"/>
      <c r="G720" s="718"/>
      <c r="H720" s="213">
        <f>SUM(H718:H719)</f>
        <v>4614.47</v>
      </c>
    </row>
    <row r="721" spans="1:8" s="201" customFormat="1">
      <c r="A721" s="582"/>
      <c r="B721" s="582"/>
      <c r="C721" s="212"/>
      <c r="D721" s="719" t="s">
        <v>28</v>
      </c>
      <c r="E721" s="719"/>
      <c r="F721" s="719"/>
      <c r="G721" s="719"/>
      <c r="H721" s="639">
        <f>E708</f>
        <v>8</v>
      </c>
    </row>
    <row r="722" spans="1:8" s="201" customFormat="1">
      <c r="A722" s="582"/>
      <c r="B722" s="582"/>
      <c r="C722" s="212"/>
      <c r="D722" s="718" t="s">
        <v>130</v>
      </c>
      <c r="E722" s="718"/>
      <c r="F722" s="718"/>
      <c r="G722" s="718"/>
      <c r="H722" s="213">
        <f>ROUND(H720*H721,2)</f>
        <v>36915.760000000002</v>
      </c>
    </row>
    <row r="723" spans="1:8" s="201" customFormat="1">
      <c r="A723" s="582"/>
      <c r="B723" s="582"/>
      <c r="C723" s="212"/>
      <c r="D723" s="719" t="s">
        <v>15559</v>
      </c>
      <c r="E723" s="719"/>
      <c r="F723" s="719"/>
      <c r="G723" s="719"/>
      <c r="H723" s="638">
        <f>ROUND(H720*$B$13,2)</f>
        <v>1242.68</v>
      </c>
    </row>
    <row r="724" spans="1:8">
      <c r="A724" s="582"/>
      <c r="B724" s="582"/>
      <c r="C724" s="212"/>
      <c r="D724" s="718" t="s">
        <v>9661</v>
      </c>
      <c r="E724" s="718"/>
      <c r="F724" s="718"/>
      <c r="G724" s="718"/>
      <c r="H724" s="213">
        <f>H723+H720</f>
        <v>5857.1500000000005</v>
      </c>
    </row>
    <row r="726" spans="1:8" s="201" customFormat="1">
      <c r="A726" s="123" t="s">
        <v>6</v>
      </c>
      <c r="B726" s="720" t="s">
        <v>7</v>
      </c>
      <c r="C726" s="720"/>
      <c r="D726" s="202" t="s">
        <v>124</v>
      </c>
      <c r="E726" s="167" t="s">
        <v>6334</v>
      </c>
      <c r="F726" s="202" t="s">
        <v>31</v>
      </c>
      <c r="G726" s="203" t="s">
        <v>125</v>
      </c>
      <c r="H726" s="204" t="s">
        <v>126</v>
      </c>
    </row>
    <row r="727" spans="1:8" s="208" customFormat="1" ht="60">
      <c r="A727" s="581" t="str">
        <f>'Orç - Prédio'!A130</f>
        <v>04.01.228.03</v>
      </c>
      <c r="B727" s="216" t="str">
        <f>'Orç - Prédio'!B130</f>
        <v>Comp. Montada</v>
      </c>
      <c r="C727" s="216">
        <f>'Orç - Prédio'!C130</f>
        <v>5</v>
      </c>
      <c r="D727" s="217" t="s">
        <v>6802</v>
      </c>
      <c r="E727" s="206">
        <v>6</v>
      </c>
      <c r="F727" s="216" t="s">
        <v>6337</v>
      </c>
      <c r="G727" s="207">
        <f>VLOOKUP("CUSTO TOTAL UNIT.:",D728:$H$30004,5,FALSE)</f>
        <v>4671.9799999999996</v>
      </c>
      <c r="H727" s="637">
        <f>VLOOKUP("CUSTO TOTAL:",D728:$H$30004,5,FALSE)</f>
        <v>28031.88</v>
      </c>
    </row>
    <row r="728" spans="1:8" s="124" customFormat="1" ht="30">
      <c r="A728" s="721">
        <v>87324</v>
      </c>
      <c r="B728" s="721"/>
      <c r="C728" s="184" t="s">
        <v>6799</v>
      </c>
      <c r="D728" s="185" t="s">
        <v>15379</v>
      </c>
      <c r="E728" s="209">
        <v>2.3520000000000003</v>
      </c>
      <c r="F728" s="577" t="s">
        <v>322</v>
      </c>
      <c r="G728" s="174">
        <v>279.45000000000005</v>
      </c>
      <c r="H728" s="211">
        <f t="shared" ref="H728:H736" si="27">ROUND(G728*E728,2)</f>
        <v>657.27</v>
      </c>
    </row>
    <row r="729" spans="1:8" s="124" customFormat="1" ht="30">
      <c r="A729" s="721">
        <v>12789</v>
      </c>
      <c r="B729" s="721"/>
      <c r="C729" s="184" t="s">
        <v>6333</v>
      </c>
      <c r="D729" s="185" t="s">
        <v>6804</v>
      </c>
      <c r="E729" s="209">
        <v>6.48</v>
      </c>
      <c r="F729" s="577" t="s">
        <v>322</v>
      </c>
      <c r="G729" s="174">
        <v>214.65</v>
      </c>
      <c r="H729" s="211">
        <f t="shared" si="27"/>
        <v>1390.93</v>
      </c>
    </row>
    <row r="730" spans="1:8" s="124" customFormat="1" ht="30">
      <c r="A730" s="721">
        <v>87328</v>
      </c>
      <c r="B730" s="721"/>
      <c r="C730" s="184" t="s">
        <v>6799</v>
      </c>
      <c r="D730" s="185" t="s">
        <v>15380</v>
      </c>
      <c r="E730" s="209">
        <v>4.6500000000000004</v>
      </c>
      <c r="F730" s="577" t="s">
        <v>322</v>
      </c>
      <c r="G730" s="174">
        <v>345.06</v>
      </c>
      <c r="H730" s="211">
        <f t="shared" si="27"/>
        <v>1604.53</v>
      </c>
    </row>
    <row r="731" spans="1:8" s="124" customFormat="1" ht="45">
      <c r="A731" s="721">
        <v>142</v>
      </c>
      <c r="B731" s="721"/>
      <c r="C731" s="200" t="s">
        <v>5256</v>
      </c>
      <c r="D731" s="139" t="s">
        <v>13830</v>
      </c>
      <c r="E731" s="209">
        <v>11.9032578</v>
      </c>
      <c r="F731" s="577" t="s">
        <v>65</v>
      </c>
      <c r="G731" s="210">
        <v>25.1829</v>
      </c>
      <c r="H731" s="211">
        <f t="shared" si="27"/>
        <v>299.76</v>
      </c>
    </row>
    <row r="732" spans="1:8" s="124" customFormat="1" ht="60">
      <c r="A732" s="721">
        <v>7568</v>
      </c>
      <c r="B732" s="721"/>
      <c r="C732" s="200" t="s">
        <v>5256</v>
      </c>
      <c r="D732" s="139" t="s">
        <v>10290</v>
      </c>
      <c r="E732" s="175">
        <v>64.937401200000011</v>
      </c>
      <c r="F732" s="577" t="s">
        <v>40</v>
      </c>
      <c r="G732" s="210">
        <v>0.49410000000000004</v>
      </c>
      <c r="H732" s="211">
        <f t="shared" si="27"/>
        <v>32.090000000000003</v>
      </c>
    </row>
    <row r="733" spans="1:8" s="124" customFormat="1" ht="45">
      <c r="A733" s="721">
        <v>95468</v>
      </c>
      <c r="B733" s="721"/>
      <c r="C733" s="200" t="s">
        <v>5256</v>
      </c>
      <c r="D733" s="139" t="s">
        <v>4492</v>
      </c>
      <c r="E733" s="209">
        <v>9.3000000000000007</v>
      </c>
      <c r="F733" s="577" t="s">
        <v>322</v>
      </c>
      <c r="G733" s="210">
        <v>28.892700000000005</v>
      </c>
      <c r="H733" s="211">
        <f t="shared" si="27"/>
        <v>268.7</v>
      </c>
    </row>
    <row r="734" spans="1:8" s="124" customFormat="1" ht="30">
      <c r="A734" s="721">
        <v>88309</v>
      </c>
      <c r="B734" s="721"/>
      <c r="C734" s="200" t="s">
        <v>5256</v>
      </c>
      <c r="D734" s="139" t="s">
        <v>90</v>
      </c>
      <c r="E734" s="209">
        <v>4.0446</v>
      </c>
      <c r="F734" s="577" t="s">
        <v>67</v>
      </c>
      <c r="G734" s="210">
        <v>15.608700000000001</v>
      </c>
      <c r="H734" s="211">
        <f t="shared" si="27"/>
        <v>63.13</v>
      </c>
    </row>
    <row r="735" spans="1:8" s="124" customFormat="1" ht="30">
      <c r="A735" s="721">
        <v>88315</v>
      </c>
      <c r="B735" s="721"/>
      <c r="C735" s="200" t="s">
        <v>5256</v>
      </c>
      <c r="D735" s="139" t="s">
        <v>112</v>
      </c>
      <c r="E735" s="209">
        <v>10.785600000000002</v>
      </c>
      <c r="F735" s="577" t="s">
        <v>67</v>
      </c>
      <c r="G735" s="210">
        <v>15.519600000000001</v>
      </c>
      <c r="H735" s="211">
        <f t="shared" si="27"/>
        <v>167.39</v>
      </c>
    </row>
    <row r="736" spans="1:8" s="124" customFormat="1" ht="30">
      <c r="A736" s="721">
        <v>88316</v>
      </c>
      <c r="B736" s="721"/>
      <c r="C736" s="200" t="s">
        <v>5256</v>
      </c>
      <c r="D736" s="139" t="s">
        <v>66</v>
      </c>
      <c r="E736" s="209">
        <v>16.1784</v>
      </c>
      <c r="F736" s="577" t="s">
        <v>67</v>
      </c>
      <c r="G736" s="210">
        <v>11.631600000000001</v>
      </c>
      <c r="H736" s="211">
        <f t="shared" si="27"/>
        <v>188.18</v>
      </c>
    </row>
    <row r="737" spans="1:8" s="201" customFormat="1">
      <c r="A737" s="582"/>
      <c r="B737" s="582"/>
      <c r="C737" s="212"/>
      <c r="D737" s="719" t="s">
        <v>127</v>
      </c>
      <c r="E737" s="719"/>
      <c r="F737" s="719"/>
      <c r="G737" s="719"/>
      <c r="H737" s="638">
        <f>SUMIF(F728:F736,("h"),H728:H736)</f>
        <v>418.7</v>
      </c>
    </row>
    <row r="738" spans="1:8" s="201" customFormat="1">
      <c r="A738" s="582"/>
      <c r="B738" s="582"/>
      <c r="C738" s="212"/>
      <c r="D738" s="719" t="s">
        <v>128</v>
      </c>
      <c r="E738" s="719"/>
      <c r="F738" s="719"/>
      <c r="G738" s="719"/>
      <c r="H738" s="638">
        <f>SUMIF(F728:F736,"&lt;&gt;h",H728:H736)</f>
        <v>4253.28</v>
      </c>
    </row>
    <row r="739" spans="1:8" s="201" customFormat="1">
      <c r="A739" s="582"/>
      <c r="B739" s="582"/>
      <c r="C739" s="212"/>
      <c r="D739" s="718" t="s">
        <v>129</v>
      </c>
      <c r="E739" s="718"/>
      <c r="F739" s="718"/>
      <c r="G739" s="718"/>
      <c r="H739" s="213">
        <f>SUM(H737:H738)</f>
        <v>4671.9799999999996</v>
      </c>
    </row>
    <row r="740" spans="1:8" s="201" customFormat="1">
      <c r="A740" s="582"/>
      <c r="B740" s="582"/>
      <c r="C740" s="212"/>
      <c r="D740" s="719" t="s">
        <v>28</v>
      </c>
      <c r="E740" s="719"/>
      <c r="F740" s="719"/>
      <c r="G740" s="719"/>
      <c r="H740" s="639">
        <f>E727</f>
        <v>6</v>
      </c>
    </row>
    <row r="741" spans="1:8" s="201" customFormat="1">
      <c r="A741" s="582"/>
      <c r="B741" s="582"/>
      <c r="C741" s="212"/>
      <c r="D741" s="718" t="s">
        <v>130</v>
      </c>
      <c r="E741" s="718"/>
      <c r="F741" s="718"/>
      <c r="G741" s="718"/>
      <c r="H741" s="213">
        <f>ROUND(H739*H740,2)</f>
        <v>28031.88</v>
      </c>
    </row>
    <row r="742" spans="1:8" s="201" customFormat="1">
      <c r="A742" s="582"/>
      <c r="B742" s="582"/>
      <c r="C742" s="212"/>
      <c r="D742" s="719" t="s">
        <v>15559</v>
      </c>
      <c r="E742" s="719"/>
      <c r="F742" s="719"/>
      <c r="G742" s="719"/>
      <c r="H742" s="638">
        <f>ROUND(H739*$B$13,2)</f>
        <v>1258.1600000000001</v>
      </c>
    </row>
    <row r="743" spans="1:8">
      <c r="A743" s="582"/>
      <c r="B743" s="582"/>
      <c r="C743" s="212"/>
      <c r="D743" s="718" t="s">
        <v>9661</v>
      </c>
      <c r="E743" s="718"/>
      <c r="F743" s="718"/>
      <c r="G743" s="718"/>
      <c r="H743" s="213">
        <f>H742+H739</f>
        <v>5930.1399999999994</v>
      </c>
    </row>
    <row r="745" spans="1:8" s="201" customFormat="1">
      <c r="A745" s="123" t="s">
        <v>6</v>
      </c>
      <c r="B745" s="720" t="s">
        <v>7</v>
      </c>
      <c r="C745" s="720"/>
      <c r="D745" s="202" t="s">
        <v>124</v>
      </c>
      <c r="E745" s="167" t="s">
        <v>6334</v>
      </c>
      <c r="F745" s="202" t="s">
        <v>31</v>
      </c>
      <c r="G745" s="203" t="s">
        <v>125</v>
      </c>
      <c r="H745" s="204" t="s">
        <v>126</v>
      </c>
    </row>
    <row r="746" spans="1:8" s="208" customFormat="1" ht="60">
      <c r="A746" s="581" t="str">
        <f>'Orç - Prédio'!A131</f>
        <v>04.01.228.04</v>
      </c>
      <c r="B746" s="216" t="str">
        <f>'Orç - Prédio'!B131</f>
        <v>Comp. Montada</v>
      </c>
      <c r="C746" s="216">
        <f>'Orç - Prédio'!C131</f>
        <v>6</v>
      </c>
      <c r="D746" s="217" t="s">
        <v>6803</v>
      </c>
      <c r="E746" s="206">
        <v>2</v>
      </c>
      <c r="F746" s="216" t="s">
        <v>6337</v>
      </c>
      <c r="G746" s="207">
        <f>VLOOKUP("CUSTO TOTAL UNIT.:",D747:$H$30004,5,FALSE)</f>
        <v>3759.4</v>
      </c>
      <c r="H746" s="637">
        <f>VLOOKUP("CUSTO TOTAL:",D747:$H$30004,5,FALSE)</f>
        <v>7518.8</v>
      </c>
    </row>
    <row r="747" spans="1:8" s="124" customFormat="1" ht="30">
      <c r="A747" s="721">
        <v>87324</v>
      </c>
      <c r="B747" s="721"/>
      <c r="C747" s="184" t="s">
        <v>6799</v>
      </c>
      <c r="D747" s="185" t="s">
        <v>15379</v>
      </c>
      <c r="E747" s="209">
        <v>0.5</v>
      </c>
      <c r="F747" s="577" t="s">
        <v>322</v>
      </c>
      <c r="G747" s="174">
        <v>279.45000000000005</v>
      </c>
      <c r="H747" s="211">
        <f t="shared" ref="H747:H755" si="28">ROUND(G747*E747,2)</f>
        <v>139.72999999999999</v>
      </c>
    </row>
    <row r="748" spans="1:8" s="124" customFormat="1" ht="30">
      <c r="A748" s="721">
        <v>12789</v>
      </c>
      <c r="B748" s="721"/>
      <c r="C748" s="184" t="s">
        <v>6333</v>
      </c>
      <c r="D748" s="185" t="s">
        <v>6804</v>
      </c>
      <c r="E748" s="209">
        <v>5.4</v>
      </c>
      <c r="F748" s="577" t="s">
        <v>322</v>
      </c>
      <c r="G748" s="174">
        <v>214.65</v>
      </c>
      <c r="H748" s="211">
        <f t="shared" si="28"/>
        <v>1159.1099999999999</v>
      </c>
    </row>
    <row r="749" spans="1:8" s="124" customFormat="1" ht="30">
      <c r="A749" s="721">
        <v>87328</v>
      </c>
      <c r="B749" s="721"/>
      <c r="C749" s="184" t="s">
        <v>6799</v>
      </c>
      <c r="D749" s="185" t="s">
        <v>15380</v>
      </c>
      <c r="E749" s="209">
        <v>4.6500000000000004</v>
      </c>
      <c r="F749" s="577" t="s">
        <v>322</v>
      </c>
      <c r="G749" s="174">
        <v>345.06</v>
      </c>
      <c r="H749" s="211">
        <f t="shared" si="28"/>
        <v>1604.53</v>
      </c>
    </row>
    <row r="750" spans="1:8" s="124" customFormat="1" ht="45">
      <c r="A750" s="721">
        <v>142</v>
      </c>
      <c r="B750" s="721"/>
      <c r="C750" s="200" t="s">
        <v>5256</v>
      </c>
      <c r="D750" s="139" t="s">
        <v>13830</v>
      </c>
      <c r="E750" s="209">
        <v>9.3145950000000006</v>
      </c>
      <c r="F750" s="577" t="s">
        <v>65</v>
      </c>
      <c r="G750" s="174">
        <v>25.1829</v>
      </c>
      <c r="H750" s="211">
        <f t="shared" si="28"/>
        <v>234.57</v>
      </c>
    </row>
    <row r="751" spans="1:8" s="124" customFormat="1" ht="60">
      <c r="A751" s="721">
        <v>7568</v>
      </c>
      <c r="B751" s="721"/>
      <c r="C751" s="200" t="s">
        <v>5256</v>
      </c>
      <c r="D751" s="139" t="s">
        <v>10290</v>
      </c>
      <c r="E751" s="175">
        <v>50.815130000000003</v>
      </c>
      <c r="F751" s="577" t="s">
        <v>40</v>
      </c>
      <c r="G751" s="210">
        <v>0.49410000000000004</v>
      </c>
      <c r="H751" s="211">
        <f t="shared" si="28"/>
        <v>25.11</v>
      </c>
    </row>
    <row r="752" spans="1:8" s="124" customFormat="1" ht="45">
      <c r="A752" s="721">
        <v>95468</v>
      </c>
      <c r="B752" s="721"/>
      <c r="C752" s="200" t="s">
        <v>5256</v>
      </c>
      <c r="D752" s="139" t="s">
        <v>4492</v>
      </c>
      <c r="E752" s="209">
        <v>9.3000000000000007</v>
      </c>
      <c r="F752" s="577" t="s">
        <v>322</v>
      </c>
      <c r="G752" s="210">
        <v>28.892700000000005</v>
      </c>
      <c r="H752" s="211">
        <f t="shared" si="28"/>
        <v>268.7</v>
      </c>
    </row>
    <row r="753" spans="1:8" s="124" customFormat="1" ht="30">
      <c r="A753" s="721">
        <v>88309</v>
      </c>
      <c r="B753" s="721"/>
      <c r="C753" s="200" t="s">
        <v>5256</v>
      </c>
      <c r="D753" s="139" t="s">
        <v>90</v>
      </c>
      <c r="E753" s="209">
        <v>3.165</v>
      </c>
      <c r="F753" s="577" t="s">
        <v>67</v>
      </c>
      <c r="G753" s="210">
        <v>15.608700000000001</v>
      </c>
      <c r="H753" s="211">
        <f t="shared" si="28"/>
        <v>49.4</v>
      </c>
    </row>
    <row r="754" spans="1:8" s="124" customFormat="1" ht="30">
      <c r="A754" s="721">
        <v>88315</v>
      </c>
      <c r="B754" s="721"/>
      <c r="C754" s="200" t="s">
        <v>5256</v>
      </c>
      <c r="D754" s="139" t="s">
        <v>112</v>
      </c>
      <c r="E754" s="209">
        <v>8.4400000000000013</v>
      </c>
      <c r="F754" s="577" t="s">
        <v>67</v>
      </c>
      <c r="G754" s="210">
        <v>15.519600000000001</v>
      </c>
      <c r="H754" s="211">
        <f t="shared" si="28"/>
        <v>130.99</v>
      </c>
    </row>
    <row r="755" spans="1:8" s="124" customFormat="1" ht="30">
      <c r="A755" s="721">
        <v>88316</v>
      </c>
      <c r="B755" s="721"/>
      <c r="C755" s="200" t="s">
        <v>5256</v>
      </c>
      <c r="D755" s="139" t="s">
        <v>66</v>
      </c>
      <c r="E755" s="209">
        <v>12.66</v>
      </c>
      <c r="F755" s="577" t="s">
        <v>67</v>
      </c>
      <c r="G755" s="210">
        <v>11.631600000000001</v>
      </c>
      <c r="H755" s="211">
        <f t="shared" si="28"/>
        <v>147.26</v>
      </c>
    </row>
    <row r="756" spans="1:8" s="201" customFormat="1">
      <c r="A756" s="582"/>
      <c r="B756" s="582"/>
      <c r="C756" s="212"/>
      <c r="D756" s="719" t="s">
        <v>127</v>
      </c>
      <c r="E756" s="719"/>
      <c r="F756" s="719"/>
      <c r="G756" s="719"/>
      <c r="H756" s="638">
        <f>SUMIF(F747:F755,("h"),H747:H755)</f>
        <v>327.64999999999998</v>
      </c>
    </row>
    <row r="757" spans="1:8" s="201" customFormat="1">
      <c r="A757" s="582"/>
      <c r="B757" s="582"/>
      <c r="C757" s="212"/>
      <c r="D757" s="719" t="s">
        <v>128</v>
      </c>
      <c r="E757" s="719"/>
      <c r="F757" s="719"/>
      <c r="G757" s="719"/>
      <c r="H757" s="638">
        <f>SUMIF(F747:F755,"&lt;&gt;h",H747:H755)</f>
        <v>3431.75</v>
      </c>
    </row>
    <row r="758" spans="1:8" s="201" customFormat="1">
      <c r="A758" s="582"/>
      <c r="B758" s="582"/>
      <c r="C758" s="212"/>
      <c r="D758" s="718" t="s">
        <v>129</v>
      </c>
      <c r="E758" s="718"/>
      <c r="F758" s="718"/>
      <c r="G758" s="718"/>
      <c r="H758" s="213">
        <f>SUM(H756:H757)</f>
        <v>3759.4</v>
      </c>
    </row>
    <row r="759" spans="1:8" s="201" customFormat="1">
      <c r="A759" s="582"/>
      <c r="B759" s="582"/>
      <c r="C759" s="212"/>
      <c r="D759" s="719" t="s">
        <v>28</v>
      </c>
      <c r="E759" s="719"/>
      <c r="F759" s="719"/>
      <c r="G759" s="719"/>
      <c r="H759" s="639">
        <f>E746</f>
        <v>2</v>
      </c>
    </row>
    <row r="760" spans="1:8" s="201" customFormat="1">
      <c r="A760" s="582"/>
      <c r="B760" s="582"/>
      <c r="C760" s="212"/>
      <c r="D760" s="718" t="s">
        <v>130</v>
      </c>
      <c r="E760" s="718"/>
      <c r="F760" s="718"/>
      <c r="G760" s="718"/>
      <c r="H760" s="213">
        <f>ROUND(H758*H759,2)</f>
        <v>7518.8</v>
      </c>
    </row>
    <row r="761" spans="1:8" s="201" customFormat="1">
      <c r="A761" s="582"/>
      <c r="B761" s="582"/>
      <c r="C761" s="212"/>
      <c r="D761" s="719" t="s">
        <v>15559</v>
      </c>
      <c r="E761" s="719"/>
      <c r="F761" s="719"/>
      <c r="G761" s="719"/>
      <c r="H761" s="638">
        <f>ROUND(H758*$B$13,2)</f>
        <v>1012.41</v>
      </c>
    </row>
    <row r="762" spans="1:8">
      <c r="A762" s="582"/>
      <c r="B762" s="582"/>
      <c r="C762" s="212"/>
      <c r="D762" s="718" t="s">
        <v>9661</v>
      </c>
      <c r="E762" s="718"/>
      <c r="F762" s="718"/>
      <c r="G762" s="718"/>
      <c r="H762" s="213">
        <f>H761+H758</f>
        <v>4771.8100000000004</v>
      </c>
    </row>
    <row r="764" spans="1:8" s="201" customFormat="1">
      <c r="A764" s="123" t="s">
        <v>6</v>
      </c>
      <c r="B764" s="720" t="s">
        <v>7</v>
      </c>
      <c r="C764" s="720"/>
      <c r="D764" s="202" t="s">
        <v>124</v>
      </c>
      <c r="E764" s="167" t="s">
        <v>6334</v>
      </c>
      <c r="F764" s="202" t="s">
        <v>31</v>
      </c>
      <c r="G764" s="203" t="s">
        <v>125</v>
      </c>
      <c r="H764" s="204" t="s">
        <v>126</v>
      </c>
    </row>
    <row r="765" spans="1:8" s="208" customFormat="1" ht="60">
      <c r="A765" s="581" t="str">
        <f>'Orç - Prédio'!A132</f>
        <v>04.01.229</v>
      </c>
      <c r="B765" s="581" t="str">
        <f>'Orç - Prédio'!B132</f>
        <v>ORSE</v>
      </c>
      <c r="C765" s="581">
        <f>'Orç - Prédio'!C132</f>
        <v>12082</v>
      </c>
      <c r="D765" s="205" t="s">
        <v>7816</v>
      </c>
      <c r="E765" s="206">
        <v>1</v>
      </c>
      <c r="F765" s="581" t="s">
        <v>6337</v>
      </c>
      <c r="G765" s="207">
        <f>VLOOKUP("CUSTO TOTAL UNIT.:",D766:$H$30004,5,FALSE)</f>
        <v>3341.5600000000004</v>
      </c>
      <c r="H765" s="637">
        <f>VLOOKUP("CUSTO TOTAL:",D766:$H$30004,5,FALSE)</f>
        <v>3341.56</v>
      </c>
    </row>
    <row r="766" spans="1:8" s="124" customFormat="1" ht="105">
      <c r="A766" s="721">
        <v>12919</v>
      </c>
      <c r="B766" s="721"/>
      <c r="C766" s="184" t="s">
        <v>6333</v>
      </c>
      <c r="D766" s="185" t="s">
        <v>7817</v>
      </c>
      <c r="E766" s="209">
        <v>1</v>
      </c>
      <c r="F766" s="577" t="s">
        <v>31</v>
      </c>
      <c r="G766" s="174">
        <v>3235.7961</v>
      </c>
      <c r="H766" s="211">
        <f>ROUND(G766*E766,2)</f>
        <v>3235.8</v>
      </c>
    </row>
    <row r="767" spans="1:8" s="124" customFormat="1" ht="30">
      <c r="A767" s="721">
        <v>88262</v>
      </c>
      <c r="B767" s="721"/>
      <c r="C767" s="200" t="s">
        <v>5256</v>
      </c>
      <c r="D767" s="139" t="s">
        <v>83</v>
      </c>
      <c r="E767" s="209">
        <v>3.9</v>
      </c>
      <c r="F767" s="577" t="s">
        <v>67</v>
      </c>
      <c r="G767" s="210">
        <v>15.487200000000001</v>
      </c>
      <c r="H767" s="211">
        <f>ROUND(G767*E767,2)</f>
        <v>60.4</v>
      </c>
    </row>
    <row r="768" spans="1:8" s="124" customFormat="1" ht="30">
      <c r="A768" s="721">
        <v>88316</v>
      </c>
      <c r="B768" s="721"/>
      <c r="C768" s="200" t="s">
        <v>5256</v>
      </c>
      <c r="D768" s="139" t="s">
        <v>66</v>
      </c>
      <c r="E768" s="209">
        <v>3.9</v>
      </c>
      <c r="F768" s="577" t="s">
        <v>67</v>
      </c>
      <c r="G768" s="210">
        <v>11.631600000000001</v>
      </c>
      <c r="H768" s="211">
        <f>ROUND(G768*E768,2)</f>
        <v>45.36</v>
      </c>
    </row>
    <row r="769" spans="1:8" s="201" customFormat="1">
      <c r="A769" s="582"/>
      <c r="B769" s="582"/>
      <c r="C769" s="212"/>
      <c r="D769" s="719" t="s">
        <v>127</v>
      </c>
      <c r="E769" s="719"/>
      <c r="F769" s="719"/>
      <c r="G769" s="719"/>
      <c r="H769" s="638">
        <f>SUMIF(F766:F768,("h"),H766:H768)</f>
        <v>105.75999999999999</v>
      </c>
    </row>
    <row r="770" spans="1:8" s="201" customFormat="1">
      <c r="A770" s="582"/>
      <c r="B770" s="582"/>
      <c r="C770" s="212"/>
      <c r="D770" s="719" t="s">
        <v>128</v>
      </c>
      <c r="E770" s="719"/>
      <c r="F770" s="719"/>
      <c r="G770" s="719"/>
      <c r="H770" s="638">
        <f>SUMIF(F766:F768,"&lt;&gt;h",H766:H768)</f>
        <v>3235.8</v>
      </c>
    </row>
    <row r="771" spans="1:8" s="201" customFormat="1">
      <c r="A771" s="582"/>
      <c r="B771" s="582"/>
      <c r="C771" s="212"/>
      <c r="D771" s="718" t="s">
        <v>129</v>
      </c>
      <c r="E771" s="718"/>
      <c r="F771" s="718"/>
      <c r="G771" s="718"/>
      <c r="H771" s="213">
        <f>SUM(H769:H770)</f>
        <v>3341.5600000000004</v>
      </c>
    </row>
    <row r="772" spans="1:8" s="201" customFormat="1">
      <c r="A772" s="582"/>
      <c r="B772" s="582"/>
      <c r="C772" s="212"/>
      <c r="D772" s="719" t="s">
        <v>28</v>
      </c>
      <c r="E772" s="719"/>
      <c r="F772" s="719"/>
      <c r="G772" s="719"/>
      <c r="H772" s="639">
        <f>E765</f>
        <v>1</v>
      </c>
    </row>
    <row r="773" spans="1:8" s="201" customFormat="1">
      <c r="A773" s="582"/>
      <c r="B773" s="582"/>
      <c r="C773" s="212"/>
      <c r="D773" s="718" t="s">
        <v>130</v>
      </c>
      <c r="E773" s="718"/>
      <c r="F773" s="718"/>
      <c r="G773" s="718"/>
      <c r="H773" s="213">
        <f>ROUND(H771*H772,2)</f>
        <v>3341.56</v>
      </c>
    </row>
    <row r="774" spans="1:8" s="201" customFormat="1">
      <c r="A774" s="582"/>
      <c r="B774" s="582"/>
      <c r="C774" s="212"/>
      <c r="D774" s="719" t="s">
        <v>15559</v>
      </c>
      <c r="E774" s="719"/>
      <c r="F774" s="719"/>
      <c r="G774" s="719"/>
      <c r="H774" s="638">
        <f>ROUND(H771*$B$13,2)</f>
        <v>899.88</v>
      </c>
    </row>
    <row r="775" spans="1:8">
      <c r="A775" s="582"/>
      <c r="B775" s="582"/>
      <c r="C775" s="212"/>
      <c r="D775" s="718" t="s">
        <v>9661</v>
      </c>
      <c r="E775" s="718"/>
      <c r="F775" s="718"/>
      <c r="G775" s="718"/>
      <c r="H775" s="213">
        <f>H774+H771</f>
        <v>4241.4400000000005</v>
      </c>
    </row>
    <row r="777" spans="1:8" s="201" customFormat="1">
      <c r="A777" s="123" t="s">
        <v>6</v>
      </c>
      <c r="B777" s="720" t="s">
        <v>7</v>
      </c>
      <c r="C777" s="720"/>
      <c r="D777" s="202" t="s">
        <v>124</v>
      </c>
      <c r="E777" s="167" t="s">
        <v>6334</v>
      </c>
      <c r="F777" s="202" t="s">
        <v>31</v>
      </c>
      <c r="G777" s="203" t="s">
        <v>125</v>
      </c>
      <c r="H777" s="204" t="s">
        <v>126</v>
      </c>
    </row>
    <row r="778" spans="1:8" s="208" customFormat="1" ht="105">
      <c r="A778" s="581" t="str">
        <f>'Orç - Prédio'!A133</f>
        <v>04.01.230.01</v>
      </c>
      <c r="B778" s="216" t="str">
        <f>'Orç - Prédio'!B133</f>
        <v>SINAPI</v>
      </c>
      <c r="C778" s="216" t="str">
        <f>'Orç - Prédio'!C133</f>
        <v>90844 MOD 1</v>
      </c>
      <c r="D778" s="217" t="s">
        <v>6805</v>
      </c>
      <c r="E778" s="206">
        <v>6</v>
      </c>
      <c r="F778" s="216" t="s">
        <v>6337</v>
      </c>
      <c r="G778" s="207">
        <f>VLOOKUP("CUSTO TOTAL UNIT.:",D779:$H$30004,5,FALSE)</f>
        <v>672.63000000000011</v>
      </c>
      <c r="H778" s="637">
        <f>VLOOKUP("CUSTO TOTAL:",D779:$H$30004,5,FALSE)</f>
        <v>4035.78</v>
      </c>
    </row>
    <row r="779" spans="1:8" s="124" customFormat="1" ht="30">
      <c r="A779" s="721">
        <v>87328</v>
      </c>
      <c r="B779" s="721"/>
      <c r="C779" s="184" t="s">
        <v>6799</v>
      </c>
      <c r="D779" s="185" t="s">
        <v>15380</v>
      </c>
      <c r="E779" s="209">
        <v>0.2</v>
      </c>
      <c r="F779" s="577" t="s">
        <v>322</v>
      </c>
      <c r="G779" s="174">
        <v>345.06</v>
      </c>
      <c r="H779" s="211">
        <f t="shared" ref="H779:H785" si="29">ROUND(G779*E779,2)</f>
        <v>69.010000000000005</v>
      </c>
    </row>
    <row r="780" spans="1:8" s="124" customFormat="1" ht="45">
      <c r="A780" s="721">
        <v>11572</v>
      </c>
      <c r="B780" s="721"/>
      <c r="C780" s="200" t="s">
        <v>5256</v>
      </c>
      <c r="D780" s="139" t="s">
        <v>13583</v>
      </c>
      <c r="E780" s="209">
        <v>1</v>
      </c>
      <c r="F780" s="577" t="s">
        <v>40</v>
      </c>
      <c r="G780" s="210">
        <v>12.311999999999999</v>
      </c>
      <c r="H780" s="211">
        <f t="shared" si="29"/>
        <v>12.31</v>
      </c>
    </row>
    <row r="781" spans="1:8" s="124" customFormat="1" ht="30">
      <c r="A781" s="721">
        <v>11560</v>
      </c>
      <c r="B781" s="721"/>
      <c r="C781" s="200" t="s">
        <v>5256</v>
      </c>
      <c r="D781" s="139" t="s">
        <v>13006</v>
      </c>
      <c r="E781" s="209">
        <v>1</v>
      </c>
      <c r="F781" s="577" t="s">
        <v>40</v>
      </c>
      <c r="G781" s="210">
        <v>95.523300000000006</v>
      </c>
      <c r="H781" s="211">
        <f t="shared" si="29"/>
        <v>95.52</v>
      </c>
    </row>
    <row r="782" spans="1:8" s="124" customFormat="1" ht="90">
      <c r="A782" s="721">
        <v>39493</v>
      </c>
      <c r="B782" s="721"/>
      <c r="C782" s="200" t="s">
        <v>5256</v>
      </c>
      <c r="D782" s="139" t="s">
        <v>12472</v>
      </c>
      <c r="E782" s="209">
        <v>1</v>
      </c>
      <c r="F782" s="577" t="s">
        <v>40</v>
      </c>
      <c r="G782" s="210">
        <v>323.99190000000004</v>
      </c>
      <c r="H782" s="211">
        <f t="shared" si="29"/>
        <v>323.99</v>
      </c>
    </row>
    <row r="783" spans="1:8" s="124" customFormat="1" ht="75">
      <c r="A783" s="721">
        <v>90830</v>
      </c>
      <c r="B783" s="721"/>
      <c r="C783" s="200" t="s">
        <v>5256</v>
      </c>
      <c r="D783" s="139" t="s">
        <v>1460</v>
      </c>
      <c r="E783" s="209">
        <v>1</v>
      </c>
      <c r="F783" s="577" t="s">
        <v>171</v>
      </c>
      <c r="G783" s="210">
        <v>78.075900000000004</v>
      </c>
      <c r="H783" s="211">
        <f t="shared" si="29"/>
        <v>78.08</v>
      </c>
    </row>
    <row r="784" spans="1:8" s="124" customFormat="1" ht="60">
      <c r="A784" s="721">
        <v>90829</v>
      </c>
      <c r="B784" s="721"/>
      <c r="C784" s="200" t="s">
        <v>5256</v>
      </c>
      <c r="D784" s="139" t="s">
        <v>1459</v>
      </c>
      <c r="E784" s="209">
        <v>1</v>
      </c>
      <c r="F784" s="577" t="s">
        <v>171</v>
      </c>
      <c r="G784" s="210">
        <v>34.740900000000003</v>
      </c>
      <c r="H784" s="211">
        <f t="shared" si="29"/>
        <v>34.74</v>
      </c>
    </row>
    <row r="785" spans="1:8" s="124" customFormat="1" ht="45">
      <c r="A785" s="721">
        <v>90819</v>
      </c>
      <c r="B785" s="721"/>
      <c r="C785" s="200" t="s">
        <v>5256</v>
      </c>
      <c r="D785" s="139" t="s">
        <v>1451</v>
      </c>
      <c r="E785" s="209">
        <v>1</v>
      </c>
      <c r="F785" s="577" t="s">
        <v>171</v>
      </c>
      <c r="G785" s="210">
        <v>58.984200000000001</v>
      </c>
      <c r="H785" s="211">
        <f t="shared" si="29"/>
        <v>58.98</v>
      </c>
    </row>
    <row r="786" spans="1:8" s="201" customFormat="1">
      <c r="A786" s="582"/>
      <c r="B786" s="582"/>
      <c r="C786" s="212"/>
      <c r="D786" s="719" t="s">
        <v>127</v>
      </c>
      <c r="E786" s="719"/>
      <c r="F786" s="719"/>
      <c r="G786" s="719"/>
      <c r="H786" s="638">
        <f>SUMIF(F779:F785,("h"),H779:H785)</f>
        <v>0</v>
      </c>
    </row>
    <row r="787" spans="1:8" s="201" customFormat="1">
      <c r="A787" s="582"/>
      <c r="B787" s="582"/>
      <c r="C787" s="212"/>
      <c r="D787" s="719" t="s">
        <v>128</v>
      </c>
      <c r="E787" s="719"/>
      <c r="F787" s="719"/>
      <c r="G787" s="719"/>
      <c r="H787" s="638">
        <f>SUMIF(F779:F785,"&lt;&gt;h",H779:H785)</f>
        <v>672.63000000000011</v>
      </c>
    </row>
    <row r="788" spans="1:8" s="201" customFormat="1">
      <c r="A788" s="582"/>
      <c r="B788" s="582"/>
      <c r="C788" s="212"/>
      <c r="D788" s="718" t="s">
        <v>129</v>
      </c>
      <c r="E788" s="718"/>
      <c r="F788" s="718"/>
      <c r="G788" s="718"/>
      <c r="H788" s="213">
        <f>SUM(H786:H787)</f>
        <v>672.63000000000011</v>
      </c>
    </row>
    <row r="789" spans="1:8" s="201" customFormat="1">
      <c r="A789" s="582"/>
      <c r="B789" s="582"/>
      <c r="C789" s="212"/>
      <c r="D789" s="719" t="s">
        <v>28</v>
      </c>
      <c r="E789" s="719"/>
      <c r="F789" s="719"/>
      <c r="G789" s="719"/>
      <c r="H789" s="639">
        <f>E778</f>
        <v>6</v>
      </c>
    </row>
    <row r="790" spans="1:8" s="201" customFormat="1">
      <c r="A790" s="582"/>
      <c r="B790" s="582"/>
      <c r="C790" s="212"/>
      <c r="D790" s="718" t="s">
        <v>130</v>
      </c>
      <c r="E790" s="718"/>
      <c r="F790" s="718"/>
      <c r="G790" s="718"/>
      <c r="H790" s="213">
        <f>ROUND(H788*H789,2)</f>
        <v>4035.78</v>
      </c>
    </row>
    <row r="791" spans="1:8" s="201" customFormat="1">
      <c r="A791" s="582"/>
      <c r="B791" s="582"/>
      <c r="C791" s="212"/>
      <c r="D791" s="719" t="s">
        <v>15559</v>
      </c>
      <c r="E791" s="719"/>
      <c r="F791" s="719"/>
      <c r="G791" s="719"/>
      <c r="H791" s="638">
        <f>ROUND(H788*$B$13,2)</f>
        <v>181.14</v>
      </c>
    </row>
    <row r="792" spans="1:8">
      <c r="A792" s="582"/>
      <c r="B792" s="582"/>
      <c r="C792" s="212"/>
      <c r="D792" s="718" t="s">
        <v>9661</v>
      </c>
      <c r="E792" s="718"/>
      <c r="F792" s="718"/>
      <c r="G792" s="718"/>
      <c r="H792" s="213">
        <f>H791+H788</f>
        <v>853.7700000000001</v>
      </c>
    </row>
    <row r="794" spans="1:8" s="201" customFormat="1">
      <c r="A794" s="123" t="s">
        <v>6</v>
      </c>
      <c r="B794" s="720" t="s">
        <v>7</v>
      </c>
      <c r="C794" s="720"/>
      <c r="D794" s="202" t="s">
        <v>124</v>
      </c>
      <c r="E794" s="167" t="s">
        <v>6334</v>
      </c>
      <c r="F794" s="202" t="s">
        <v>31</v>
      </c>
      <c r="G794" s="203" t="s">
        <v>125</v>
      </c>
      <c r="H794" s="204" t="s">
        <v>126</v>
      </c>
    </row>
    <row r="795" spans="1:8" s="208" customFormat="1" ht="120">
      <c r="A795" s="581" t="str">
        <f>'Orç - Prédio'!A134</f>
        <v>04.01.230.02</v>
      </c>
      <c r="B795" s="216" t="str">
        <f>'Orç - Prédio'!B134</f>
        <v>SINAPI</v>
      </c>
      <c r="C795" s="216" t="str">
        <f>'Orç - Prédio'!C134</f>
        <v>90844 MOD 2</v>
      </c>
      <c r="D795" s="217" t="s">
        <v>6806</v>
      </c>
      <c r="E795" s="206">
        <v>4</v>
      </c>
      <c r="F795" s="216" t="s">
        <v>6337</v>
      </c>
      <c r="G795" s="207">
        <f>VLOOKUP("CUSTO TOTAL UNIT.:",D796:$H$30004,5,FALSE)</f>
        <v>1186.44</v>
      </c>
      <c r="H795" s="637">
        <f>VLOOKUP("CUSTO TOTAL:",D796:$H$30004,5,FALSE)</f>
        <v>4745.76</v>
      </c>
    </row>
    <row r="796" spans="1:8" s="124" customFormat="1" ht="30">
      <c r="A796" s="721">
        <v>87328</v>
      </c>
      <c r="B796" s="721"/>
      <c r="C796" s="184" t="s">
        <v>6799</v>
      </c>
      <c r="D796" s="185" t="s">
        <v>15380</v>
      </c>
      <c r="E796" s="209">
        <v>0.2</v>
      </c>
      <c r="F796" s="577" t="s">
        <v>322</v>
      </c>
      <c r="G796" s="174">
        <v>345.06</v>
      </c>
      <c r="H796" s="211">
        <f t="shared" ref="H796:H803" si="30">ROUND(G796*E796,2)</f>
        <v>69.010000000000005</v>
      </c>
    </row>
    <row r="797" spans="1:8" s="124" customFormat="1" ht="45">
      <c r="A797" s="721">
        <v>11572</v>
      </c>
      <c r="B797" s="721"/>
      <c r="C797" s="200" t="s">
        <v>5256</v>
      </c>
      <c r="D797" s="139" t="s">
        <v>13583</v>
      </c>
      <c r="E797" s="209">
        <v>1</v>
      </c>
      <c r="F797" s="577" t="s">
        <v>40</v>
      </c>
      <c r="G797" s="210">
        <v>12.311999999999999</v>
      </c>
      <c r="H797" s="211">
        <f t="shared" si="30"/>
        <v>12.31</v>
      </c>
    </row>
    <row r="798" spans="1:8" s="124" customFormat="1" ht="90">
      <c r="A798" s="721">
        <v>39493</v>
      </c>
      <c r="B798" s="721"/>
      <c r="C798" s="200" t="s">
        <v>5256</v>
      </c>
      <c r="D798" s="139" t="s">
        <v>12472</v>
      </c>
      <c r="E798" s="209">
        <v>1</v>
      </c>
      <c r="F798" s="577" t="s">
        <v>40</v>
      </c>
      <c r="G798" s="210">
        <v>323.99190000000004</v>
      </c>
      <c r="H798" s="211">
        <f t="shared" si="30"/>
        <v>323.99</v>
      </c>
    </row>
    <row r="799" spans="1:8" s="124" customFormat="1" ht="45">
      <c r="A799" s="721">
        <v>12759</v>
      </c>
      <c r="B799" s="721"/>
      <c r="C799" s="200" t="s">
        <v>5256</v>
      </c>
      <c r="D799" s="139" t="s">
        <v>10827</v>
      </c>
      <c r="E799" s="209">
        <v>0.84</v>
      </c>
      <c r="F799" s="577" t="s">
        <v>46</v>
      </c>
      <c r="G799" s="210">
        <v>562.15620000000001</v>
      </c>
      <c r="H799" s="211">
        <f t="shared" si="30"/>
        <v>472.21</v>
      </c>
    </row>
    <row r="800" spans="1:8" s="124" customFormat="1" ht="45">
      <c r="A800" s="721">
        <v>36218</v>
      </c>
      <c r="B800" s="721"/>
      <c r="C800" s="200" t="s">
        <v>5256</v>
      </c>
      <c r="D800" s="139" t="s">
        <v>10139</v>
      </c>
      <c r="E800" s="209">
        <v>2</v>
      </c>
      <c r="F800" s="577" t="s">
        <v>40</v>
      </c>
      <c r="G800" s="210">
        <v>68.558400000000006</v>
      </c>
      <c r="H800" s="211">
        <f t="shared" si="30"/>
        <v>137.12</v>
      </c>
    </row>
    <row r="801" spans="1:8" s="124" customFormat="1" ht="75">
      <c r="A801" s="721">
        <v>90830</v>
      </c>
      <c r="B801" s="721"/>
      <c r="C801" s="200" t="s">
        <v>5256</v>
      </c>
      <c r="D801" s="139" t="s">
        <v>1460</v>
      </c>
      <c r="E801" s="209">
        <v>1</v>
      </c>
      <c r="F801" s="577" t="s">
        <v>171</v>
      </c>
      <c r="G801" s="210">
        <v>78.075900000000004</v>
      </c>
      <c r="H801" s="211">
        <f t="shared" si="30"/>
        <v>78.08</v>
      </c>
    </row>
    <row r="802" spans="1:8" s="124" customFormat="1" ht="60">
      <c r="A802" s="721">
        <v>90829</v>
      </c>
      <c r="B802" s="721"/>
      <c r="C802" s="200" t="s">
        <v>5256</v>
      </c>
      <c r="D802" s="139" t="s">
        <v>1459</v>
      </c>
      <c r="E802" s="209">
        <v>1</v>
      </c>
      <c r="F802" s="577" t="s">
        <v>171</v>
      </c>
      <c r="G802" s="210">
        <v>34.740900000000003</v>
      </c>
      <c r="H802" s="211">
        <f t="shared" si="30"/>
        <v>34.74</v>
      </c>
    </row>
    <row r="803" spans="1:8" s="124" customFormat="1" ht="45">
      <c r="A803" s="721">
        <v>90819</v>
      </c>
      <c r="B803" s="721"/>
      <c r="C803" s="200" t="s">
        <v>5256</v>
      </c>
      <c r="D803" s="139" t="s">
        <v>1451</v>
      </c>
      <c r="E803" s="209">
        <v>1</v>
      </c>
      <c r="F803" s="577" t="s">
        <v>171</v>
      </c>
      <c r="G803" s="210">
        <v>58.984200000000001</v>
      </c>
      <c r="H803" s="211">
        <f t="shared" si="30"/>
        <v>58.98</v>
      </c>
    </row>
    <row r="804" spans="1:8" s="201" customFormat="1">
      <c r="A804" s="582"/>
      <c r="B804" s="582"/>
      <c r="C804" s="212"/>
      <c r="D804" s="719" t="s">
        <v>127</v>
      </c>
      <c r="E804" s="719"/>
      <c r="F804" s="719"/>
      <c r="G804" s="719"/>
      <c r="H804" s="638">
        <f>SUMIF(F796:F803,("h"),H796:H803)</f>
        <v>0</v>
      </c>
    </row>
    <row r="805" spans="1:8" s="201" customFormat="1">
      <c r="A805" s="582"/>
      <c r="B805" s="582"/>
      <c r="C805" s="212"/>
      <c r="D805" s="719" t="s">
        <v>128</v>
      </c>
      <c r="E805" s="719"/>
      <c r="F805" s="719"/>
      <c r="G805" s="719"/>
      <c r="H805" s="638">
        <f>SUMIF(F796:F803,"&lt;&gt;h",H796:H803)</f>
        <v>1186.44</v>
      </c>
    </row>
    <row r="806" spans="1:8" s="201" customFormat="1">
      <c r="A806" s="582"/>
      <c r="B806" s="582"/>
      <c r="C806" s="212"/>
      <c r="D806" s="718" t="s">
        <v>129</v>
      </c>
      <c r="E806" s="718"/>
      <c r="F806" s="718"/>
      <c r="G806" s="718"/>
      <c r="H806" s="213">
        <f>SUM(H804:H805)</f>
        <v>1186.44</v>
      </c>
    </row>
    <row r="807" spans="1:8" s="201" customFormat="1">
      <c r="A807" s="582"/>
      <c r="B807" s="582"/>
      <c r="C807" s="212"/>
      <c r="D807" s="719" t="s">
        <v>28</v>
      </c>
      <c r="E807" s="719"/>
      <c r="F807" s="719"/>
      <c r="G807" s="719"/>
      <c r="H807" s="639">
        <f>E795</f>
        <v>4</v>
      </c>
    </row>
    <row r="808" spans="1:8" s="201" customFormat="1">
      <c r="A808" s="582"/>
      <c r="B808" s="582"/>
      <c r="C808" s="212"/>
      <c r="D808" s="718" t="s">
        <v>130</v>
      </c>
      <c r="E808" s="718"/>
      <c r="F808" s="718"/>
      <c r="G808" s="718"/>
      <c r="H808" s="213">
        <f>ROUND(H806*H807,2)</f>
        <v>4745.76</v>
      </c>
    </row>
    <row r="809" spans="1:8" s="201" customFormat="1">
      <c r="A809" s="582"/>
      <c r="B809" s="582"/>
      <c r="C809" s="212"/>
      <c r="D809" s="719" t="s">
        <v>15559</v>
      </c>
      <c r="E809" s="719"/>
      <c r="F809" s="719"/>
      <c r="G809" s="719"/>
      <c r="H809" s="638">
        <f>ROUND(H806*$B$13,2)</f>
        <v>319.51</v>
      </c>
    </row>
    <row r="810" spans="1:8">
      <c r="A810" s="582"/>
      <c r="B810" s="582"/>
      <c r="C810" s="212"/>
      <c r="D810" s="718" t="s">
        <v>9661</v>
      </c>
      <c r="E810" s="718"/>
      <c r="F810" s="718"/>
      <c r="G810" s="718"/>
      <c r="H810" s="213">
        <f>H809+H806</f>
        <v>1505.95</v>
      </c>
    </row>
    <row r="812" spans="1:8" s="201" customFormat="1">
      <c r="A812" s="123" t="s">
        <v>6</v>
      </c>
      <c r="B812" s="720" t="s">
        <v>7</v>
      </c>
      <c r="C812" s="720"/>
      <c r="D812" s="202" t="s">
        <v>124</v>
      </c>
      <c r="E812" s="167" t="s">
        <v>6334</v>
      </c>
      <c r="F812" s="202" t="s">
        <v>31</v>
      </c>
      <c r="G812" s="203" t="s">
        <v>125</v>
      </c>
      <c r="H812" s="204" t="s">
        <v>126</v>
      </c>
    </row>
    <row r="813" spans="1:8" s="208" customFormat="1" ht="105">
      <c r="A813" s="581" t="str">
        <f>'Orç - Prédio'!A135</f>
        <v>04.01.230.03</v>
      </c>
      <c r="B813" s="216" t="str">
        <f>'Orç - Prédio'!B135</f>
        <v>SINAPI</v>
      </c>
      <c r="C813" s="216" t="str">
        <f>'Orç - Prédio'!C135</f>
        <v>90844 MOD 3</v>
      </c>
      <c r="D813" s="217" t="s">
        <v>6807</v>
      </c>
      <c r="E813" s="206">
        <v>17</v>
      </c>
      <c r="F813" s="216" t="s">
        <v>6337</v>
      </c>
      <c r="G813" s="207">
        <f>VLOOKUP("CUSTO TOTAL UNIT.:",D814:$H$30004,5,FALSE)</f>
        <v>815.74000000000012</v>
      </c>
      <c r="H813" s="637">
        <f>VLOOKUP("CUSTO TOTAL:",D814:$H$30004,5,FALSE)</f>
        <v>13867.58</v>
      </c>
    </row>
    <row r="814" spans="1:8" s="124" customFormat="1">
      <c r="A814" s="721">
        <v>2445</v>
      </c>
      <c r="B814" s="721"/>
      <c r="C814" s="184" t="s">
        <v>6333</v>
      </c>
      <c r="D814" s="185" t="s">
        <v>6817</v>
      </c>
      <c r="E814" s="209">
        <v>0.44</v>
      </c>
      <c r="F814" s="577" t="s">
        <v>322</v>
      </c>
      <c r="G814" s="174">
        <v>145.80000000000001</v>
      </c>
      <c r="H814" s="211">
        <f t="shared" ref="H814:H820" si="31">ROUND(G814*E814,2)</f>
        <v>64.150000000000006</v>
      </c>
    </row>
    <row r="815" spans="1:8" s="124" customFormat="1" ht="45">
      <c r="A815" s="721">
        <v>11572</v>
      </c>
      <c r="B815" s="721"/>
      <c r="C815" s="200" t="s">
        <v>5256</v>
      </c>
      <c r="D815" s="139" t="s">
        <v>13583</v>
      </c>
      <c r="E815" s="209">
        <v>1</v>
      </c>
      <c r="F815" s="577" t="s">
        <v>40</v>
      </c>
      <c r="G815" s="210">
        <v>12.311999999999999</v>
      </c>
      <c r="H815" s="211">
        <f t="shared" si="31"/>
        <v>12.31</v>
      </c>
    </row>
    <row r="816" spans="1:8" s="124" customFormat="1" ht="90">
      <c r="A816" s="721">
        <v>39490</v>
      </c>
      <c r="B816" s="721"/>
      <c r="C816" s="200" t="s">
        <v>5256</v>
      </c>
      <c r="D816" s="139" t="s">
        <v>12466</v>
      </c>
      <c r="E816" s="209">
        <v>0.6666666</v>
      </c>
      <c r="F816" s="577" t="s">
        <v>40</v>
      </c>
      <c r="G816" s="210">
        <v>294.93720000000002</v>
      </c>
      <c r="H816" s="211">
        <f t="shared" si="31"/>
        <v>196.62</v>
      </c>
    </row>
    <row r="817" spans="1:8" s="124" customFormat="1" ht="90">
      <c r="A817" s="721">
        <v>39493</v>
      </c>
      <c r="B817" s="721"/>
      <c r="C817" s="200" t="s">
        <v>5256</v>
      </c>
      <c r="D817" s="139" t="s">
        <v>12472</v>
      </c>
      <c r="E817" s="209">
        <v>1</v>
      </c>
      <c r="F817" s="577" t="s">
        <v>40</v>
      </c>
      <c r="G817" s="210">
        <v>323.99190000000004</v>
      </c>
      <c r="H817" s="211">
        <f t="shared" si="31"/>
        <v>323.99</v>
      </c>
    </row>
    <row r="818" spans="1:8" s="124" customFormat="1" ht="75">
      <c r="A818" s="721">
        <v>90830</v>
      </c>
      <c r="B818" s="721"/>
      <c r="C818" s="200" t="s">
        <v>5256</v>
      </c>
      <c r="D818" s="139" t="s">
        <v>1460</v>
      </c>
      <c r="E818" s="209">
        <v>1</v>
      </c>
      <c r="F818" s="577" t="s">
        <v>171</v>
      </c>
      <c r="G818" s="210">
        <v>78.075900000000004</v>
      </c>
      <c r="H818" s="211">
        <f t="shared" si="31"/>
        <v>78.08</v>
      </c>
    </row>
    <row r="819" spans="1:8" s="124" customFormat="1" ht="60">
      <c r="A819" s="721">
        <v>90829</v>
      </c>
      <c r="B819" s="721"/>
      <c r="C819" s="200" t="s">
        <v>5256</v>
      </c>
      <c r="D819" s="139" t="s">
        <v>1459</v>
      </c>
      <c r="E819" s="209">
        <v>1.5</v>
      </c>
      <c r="F819" s="577" t="s">
        <v>171</v>
      </c>
      <c r="G819" s="210">
        <v>34.740900000000003</v>
      </c>
      <c r="H819" s="211">
        <f t="shared" si="31"/>
        <v>52.11</v>
      </c>
    </row>
    <row r="820" spans="1:8" s="124" customFormat="1" ht="45">
      <c r="A820" s="721">
        <v>90819</v>
      </c>
      <c r="B820" s="721"/>
      <c r="C820" s="200" t="s">
        <v>5256</v>
      </c>
      <c r="D820" s="139" t="s">
        <v>1451</v>
      </c>
      <c r="E820" s="209">
        <v>1.5</v>
      </c>
      <c r="F820" s="577" t="s">
        <v>171</v>
      </c>
      <c r="G820" s="210">
        <v>58.984200000000001</v>
      </c>
      <c r="H820" s="211">
        <f t="shared" si="31"/>
        <v>88.48</v>
      </c>
    </row>
    <row r="821" spans="1:8" s="201" customFormat="1">
      <c r="A821" s="582"/>
      <c r="B821" s="582"/>
      <c r="C821" s="212"/>
      <c r="D821" s="719" t="s">
        <v>127</v>
      </c>
      <c r="E821" s="719"/>
      <c r="F821" s="719"/>
      <c r="G821" s="719"/>
      <c r="H821" s="638">
        <f>SUMIF(F814:F820,("h"),H814:H820)</f>
        <v>0</v>
      </c>
    </row>
    <row r="822" spans="1:8" s="201" customFormat="1">
      <c r="A822" s="582"/>
      <c r="B822" s="582"/>
      <c r="C822" s="212"/>
      <c r="D822" s="719" t="s">
        <v>128</v>
      </c>
      <c r="E822" s="719"/>
      <c r="F822" s="719"/>
      <c r="G822" s="719"/>
      <c r="H822" s="638">
        <f>SUMIF(F814:F820,"&lt;&gt;h",H814:H820)</f>
        <v>815.74000000000012</v>
      </c>
    </row>
    <row r="823" spans="1:8" s="201" customFormat="1">
      <c r="A823" s="582"/>
      <c r="B823" s="582"/>
      <c r="C823" s="212"/>
      <c r="D823" s="718" t="s">
        <v>129</v>
      </c>
      <c r="E823" s="718"/>
      <c r="F823" s="718"/>
      <c r="G823" s="718"/>
      <c r="H823" s="213">
        <f>SUM(H821:H822)</f>
        <v>815.74000000000012</v>
      </c>
    </row>
    <row r="824" spans="1:8" s="201" customFormat="1">
      <c r="A824" s="582"/>
      <c r="B824" s="582"/>
      <c r="C824" s="212"/>
      <c r="D824" s="719" t="s">
        <v>28</v>
      </c>
      <c r="E824" s="719"/>
      <c r="F824" s="719"/>
      <c r="G824" s="719"/>
      <c r="H824" s="639">
        <f>E813</f>
        <v>17</v>
      </c>
    </row>
    <row r="825" spans="1:8" s="201" customFormat="1">
      <c r="A825" s="582"/>
      <c r="B825" s="582"/>
      <c r="C825" s="212"/>
      <c r="D825" s="718" t="s">
        <v>130</v>
      </c>
      <c r="E825" s="718"/>
      <c r="F825" s="718"/>
      <c r="G825" s="718"/>
      <c r="H825" s="213">
        <f>ROUND(H823*H824,2)</f>
        <v>13867.58</v>
      </c>
    </row>
    <row r="826" spans="1:8" s="201" customFormat="1">
      <c r="A826" s="582"/>
      <c r="B826" s="582"/>
      <c r="C826" s="212"/>
      <c r="D826" s="719" t="s">
        <v>15559</v>
      </c>
      <c r="E826" s="719"/>
      <c r="F826" s="719"/>
      <c r="G826" s="719"/>
      <c r="H826" s="638">
        <f>ROUND(H823*$B$13,2)</f>
        <v>219.68</v>
      </c>
    </row>
    <row r="827" spans="1:8">
      <c r="A827" s="582"/>
      <c r="B827" s="582"/>
      <c r="C827" s="212"/>
      <c r="D827" s="718" t="s">
        <v>9661</v>
      </c>
      <c r="E827" s="718"/>
      <c r="F827" s="718"/>
      <c r="G827" s="718"/>
      <c r="H827" s="213">
        <f>H826+H823</f>
        <v>1035.42</v>
      </c>
    </row>
    <row r="829" spans="1:8" s="201" customFormat="1">
      <c r="A829" s="123" t="s">
        <v>6</v>
      </c>
      <c r="B829" s="720" t="s">
        <v>7</v>
      </c>
      <c r="C829" s="720"/>
      <c r="D829" s="202" t="s">
        <v>124</v>
      </c>
      <c r="E829" s="167" t="s">
        <v>6334</v>
      </c>
      <c r="F829" s="202" t="s">
        <v>31</v>
      </c>
      <c r="G829" s="203" t="s">
        <v>125</v>
      </c>
      <c r="H829" s="204" t="s">
        <v>126</v>
      </c>
    </row>
    <row r="830" spans="1:8" s="208" customFormat="1" ht="105">
      <c r="A830" s="581" t="str">
        <f>'Orç - Prédio'!A136</f>
        <v>04.01.230.04</v>
      </c>
      <c r="B830" s="216" t="str">
        <f>'Orç - Prédio'!B136</f>
        <v>SINAPI</v>
      </c>
      <c r="C830" s="216" t="str">
        <f>'Orç - Prédio'!C136</f>
        <v>90844 MOD 4</v>
      </c>
      <c r="D830" s="217" t="s">
        <v>6808</v>
      </c>
      <c r="E830" s="206">
        <v>21</v>
      </c>
      <c r="F830" s="216" t="s">
        <v>6337</v>
      </c>
      <c r="G830" s="207">
        <f>VLOOKUP("CUSTO TOTAL UNIT.:",D831:$H$30004,5,FALSE)</f>
        <v>537.03</v>
      </c>
      <c r="H830" s="637">
        <f>VLOOKUP("CUSTO TOTAL:",D831:$H$30004,5,FALSE)</f>
        <v>11277.63</v>
      </c>
    </row>
    <row r="831" spans="1:8" s="124" customFormat="1">
      <c r="A831" s="721">
        <v>2445</v>
      </c>
      <c r="B831" s="721"/>
      <c r="C831" s="184" t="s">
        <v>6333</v>
      </c>
      <c r="D831" s="185" t="s">
        <v>6817</v>
      </c>
      <c r="E831" s="209">
        <v>0.22</v>
      </c>
      <c r="F831" s="577" t="s">
        <v>322</v>
      </c>
      <c r="G831" s="174">
        <v>145.80000000000001</v>
      </c>
      <c r="H831" s="211">
        <f t="shared" ref="H831:H836" si="32">ROUND(G831*E831,2)</f>
        <v>32.08</v>
      </c>
    </row>
    <row r="832" spans="1:8" s="124" customFormat="1">
      <c r="A832" s="721" t="s">
        <v>7394</v>
      </c>
      <c r="B832" s="721"/>
      <c r="C832" s="721"/>
      <c r="D832" s="185" t="s">
        <v>6816</v>
      </c>
      <c r="E832" s="209">
        <v>1</v>
      </c>
      <c r="F832" s="577" t="s">
        <v>31</v>
      </c>
      <c r="G832" s="174">
        <v>9.1611000000000011</v>
      </c>
      <c r="H832" s="211">
        <f t="shared" si="32"/>
        <v>9.16</v>
      </c>
    </row>
    <row r="833" spans="1:8" s="124" customFormat="1" ht="90">
      <c r="A833" s="721">
        <v>39493</v>
      </c>
      <c r="B833" s="721"/>
      <c r="C833" s="200" t="s">
        <v>5256</v>
      </c>
      <c r="D833" s="139" t="s">
        <v>12472</v>
      </c>
      <c r="E833" s="209">
        <v>1</v>
      </c>
      <c r="F833" s="577" t="s">
        <v>40</v>
      </c>
      <c r="G833" s="210">
        <v>323.99190000000004</v>
      </c>
      <c r="H833" s="211">
        <f t="shared" si="32"/>
        <v>323.99</v>
      </c>
    </row>
    <row r="834" spans="1:8" s="124" customFormat="1" ht="75">
      <c r="A834" s="721">
        <v>90830</v>
      </c>
      <c r="B834" s="721"/>
      <c r="C834" s="200" t="s">
        <v>5256</v>
      </c>
      <c r="D834" s="139" t="s">
        <v>1460</v>
      </c>
      <c r="E834" s="209">
        <v>1</v>
      </c>
      <c r="F834" s="577" t="s">
        <v>171</v>
      </c>
      <c r="G834" s="210">
        <v>78.075900000000004</v>
      </c>
      <c r="H834" s="211">
        <f t="shared" si="32"/>
        <v>78.08</v>
      </c>
    </row>
    <row r="835" spans="1:8" s="124" customFormat="1" ht="60">
      <c r="A835" s="721">
        <v>90829</v>
      </c>
      <c r="B835" s="721"/>
      <c r="C835" s="200" t="s">
        <v>5256</v>
      </c>
      <c r="D835" s="139" t="s">
        <v>1459</v>
      </c>
      <c r="E835" s="209">
        <v>1</v>
      </c>
      <c r="F835" s="577" t="s">
        <v>171</v>
      </c>
      <c r="G835" s="210">
        <v>34.740900000000003</v>
      </c>
      <c r="H835" s="211">
        <f t="shared" si="32"/>
        <v>34.74</v>
      </c>
    </row>
    <row r="836" spans="1:8" s="124" customFormat="1" ht="45">
      <c r="A836" s="721">
        <v>90819</v>
      </c>
      <c r="B836" s="721"/>
      <c r="C836" s="200" t="s">
        <v>5256</v>
      </c>
      <c r="D836" s="139" t="s">
        <v>1451</v>
      </c>
      <c r="E836" s="209">
        <v>1</v>
      </c>
      <c r="F836" s="577" t="s">
        <v>171</v>
      </c>
      <c r="G836" s="210">
        <v>58.984200000000001</v>
      </c>
      <c r="H836" s="211">
        <f t="shared" si="32"/>
        <v>58.98</v>
      </c>
    </row>
    <row r="837" spans="1:8" s="201" customFormat="1">
      <c r="A837" s="582"/>
      <c r="B837" s="582"/>
      <c r="C837" s="212"/>
      <c r="D837" s="719" t="s">
        <v>127</v>
      </c>
      <c r="E837" s="719"/>
      <c r="F837" s="719"/>
      <c r="G837" s="719"/>
      <c r="H837" s="638">
        <f>SUMIF(F831:F836,("h"),H831:H836)</f>
        <v>0</v>
      </c>
    </row>
    <row r="838" spans="1:8" s="201" customFormat="1">
      <c r="A838" s="582"/>
      <c r="B838" s="582"/>
      <c r="C838" s="212"/>
      <c r="D838" s="719" t="s">
        <v>128</v>
      </c>
      <c r="E838" s="719"/>
      <c r="F838" s="719"/>
      <c r="G838" s="719"/>
      <c r="H838" s="638">
        <f>SUMIF(F831:F836,"&lt;&gt;h",H831:H836)</f>
        <v>537.03</v>
      </c>
    </row>
    <row r="839" spans="1:8" s="201" customFormat="1">
      <c r="A839" s="582"/>
      <c r="B839" s="582"/>
      <c r="C839" s="212"/>
      <c r="D839" s="718" t="s">
        <v>129</v>
      </c>
      <c r="E839" s="718"/>
      <c r="F839" s="718"/>
      <c r="G839" s="718"/>
      <c r="H839" s="213">
        <f>SUM(H837:H838)</f>
        <v>537.03</v>
      </c>
    </row>
    <row r="840" spans="1:8" s="201" customFormat="1">
      <c r="A840" s="582"/>
      <c r="B840" s="582"/>
      <c r="C840" s="212"/>
      <c r="D840" s="719" t="s">
        <v>28</v>
      </c>
      <c r="E840" s="719"/>
      <c r="F840" s="719"/>
      <c r="G840" s="719"/>
      <c r="H840" s="639">
        <f>E830</f>
        <v>21</v>
      </c>
    </row>
    <row r="841" spans="1:8" s="201" customFormat="1">
      <c r="A841" s="582"/>
      <c r="B841" s="582"/>
      <c r="C841" s="212"/>
      <c r="D841" s="718" t="s">
        <v>130</v>
      </c>
      <c r="E841" s="718"/>
      <c r="F841" s="718"/>
      <c r="G841" s="718"/>
      <c r="H841" s="213">
        <f>ROUND(H839*H840,2)</f>
        <v>11277.63</v>
      </c>
    </row>
    <row r="842" spans="1:8" s="201" customFormat="1">
      <c r="A842" s="582"/>
      <c r="B842" s="582"/>
      <c r="C842" s="212"/>
      <c r="D842" s="719" t="s">
        <v>15559</v>
      </c>
      <c r="E842" s="719"/>
      <c r="F842" s="719"/>
      <c r="G842" s="719"/>
      <c r="H842" s="638">
        <f>ROUND(H839*$B$13,2)</f>
        <v>144.62</v>
      </c>
    </row>
    <row r="843" spans="1:8">
      <c r="A843" s="582"/>
      <c r="B843" s="582"/>
      <c r="C843" s="212"/>
      <c r="D843" s="718" t="s">
        <v>9661</v>
      </c>
      <c r="E843" s="718"/>
      <c r="F843" s="718"/>
      <c r="G843" s="718"/>
      <c r="H843" s="213">
        <f>H842+H839</f>
        <v>681.65</v>
      </c>
    </row>
    <row r="845" spans="1:8" s="201" customFormat="1">
      <c r="A845" s="123" t="s">
        <v>6</v>
      </c>
      <c r="B845" s="720" t="s">
        <v>7</v>
      </c>
      <c r="C845" s="720"/>
      <c r="D845" s="202" t="s">
        <v>124</v>
      </c>
      <c r="E845" s="167" t="s">
        <v>6334</v>
      </c>
      <c r="F845" s="202" t="s">
        <v>31</v>
      </c>
      <c r="G845" s="203" t="s">
        <v>125</v>
      </c>
      <c r="H845" s="204" t="s">
        <v>126</v>
      </c>
    </row>
    <row r="846" spans="1:8" s="208" customFormat="1" ht="75">
      <c r="A846" s="581" t="str">
        <f>'Orç - Prédio'!A133</f>
        <v>04.01.230.01</v>
      </c>
      <c r="B846" s="216" t="str">
        <f>'Orç - Prédio'!B137</f>
        <v>SINAPI</v>
      </c>
      <c r="C846" s="216" t="str">
        <f>'Orç - Prédio'!C137</f>
        <v>91009 MOD</v>
      </c>
      <c r="D846" s="217" t="s">
        <v>6809</v>
      </c>
      <c r="E846" s="206">
        <v>18</v>
      </c>
      <c r="F846" s="216" t="s">
        <v>6337</v>
      </c>
      <c r="G846" s="207">
        <f>VLOOKUP("CUSTO TOTAL UNIT.:",D847:$H$30004,5,FALSE)</f>
        <v>275.39999999999998</v>
      </c>
      <c r="H846" s="637">
        <f>VLOOKUP("CUSTO TOTAL:",D847:$H$30004,5,FALSE)</f>
        <v>4957.2</v>
      </c>
    </row>
    <row r="847" spans="1:8" s="124" customFormat="1" ht="75">
      <c r="A847" s="721">
        <v>20322</v>
      </c>
      <c r="B847" s="721"/>
      <c r="C847" s="200" t="s">
        <v>5256</v>
      </c>
      <c r="D847" s="139" t="s">
        <v>13499</v>
      </c>
      <c r="E847" s="209">
        <v>1</v>
      </c>
      <c r="F847" s="577" t="s">
        <v>40</v>
      </c>
      <c r="G847" s="210">
        <v>127.63170000000001</v>
      </c>
      <c r="H847" s="211">
        <f t="shared" ref="H847:H853" si="33">ROUND(G847*E847,2)</f>
        <v>127.63</v>
      </c>
    </row>
    <row r="848" spans="1:8" s="124" customFormat="1" ht="45">
      <c r="A848" s="721">
        <v>2432</v>
      </c>
      <c r="B848" s="721"/>
      <c r="C848" s="200" t="s">
        <v>5256</v>
      </c>
      <c r="D848" s="139" t="s">
        <v>11616</v>
      </c>
      <c r="E848" s="209">
        <v>2</v>
      </c>
      <c r="F848" s="577" t="s">
        <v>40</v>
      </c>
      <c r="G848" s="210">
        <v>15.714</v>
      </c>
      <c r="H848" s="211">
        <f t="shared" si="33"/>
        <v>31.43</v>
      </c>
    </row>
    <row r="849" spans="1:8" s="124" customFormat="1" ht="45">
      <c r="A849" s="721">
        <v>11055</v>
      </c>
      <c r="B849" s="721"/>
      <c r="C849" s="200" t="s">
        <v>5256</v>
      </c>
      <c r="D849" s="139" t="s">
        <v>13211</v>
      </c>
      <c r="E849" s="209">
        <v>19.8</v>
      </c>
      <c r="F849" s="577" t="s">
        <v>40</v>
      </c>
      <c r="G849" s="210">
        <v>3.2400000000000005E-2</v>
      </c>
      <c r="H849" s="211">
        <f t="shared" si="33"/>
        <v>0.64</v>
      </c>
    </row>
    <row r="850" spans="1:8" s="124" customFormat="1" ht="75">
      <c r="A850" s="721">
        <v>90831</v>
      </c>
      <c r="B850" s="721"/>
      <c r="C850" s="200" t="s">
        <v>5256</v>
      </c>
      <c r="D850" s="139" t="s">
        <v>1461</v>
      </c>
      <c r="E850" s="209">
        <v>1</v>
      </c>
      <c r="F850" s="577" t="s">
        <v>171</v>
      </c>
      <c r="G850" s="210">
        <v>61.2117</v>
      </c>
      <c r="H850" s="211">
        <f t="shared" si="33"/>
        <v>61.21</v>
      </c>
    </row>
    <row r="851" spans="1:8" s="124" customFormat="1" ht="30">
      <c r="A851" s="721" t="s">
        <v>1566</v>
      </c>
      <c r="B851" s="721"/>
      <c r="C851" s="200" t="s">
        <v>5256</v>
      </c>
      <c r="D851" s="139" t="s">
        <v>1567</v>
      </c>
      <c r="E851" s="209">
        <v>1</v>
      </c>
      <c r="F851" s="577" t="s">
        <v>171</v>
      </c>
      <c r="G851" s="210">
        <v>27.126900000000003</v>
      </c>
      <c r="H851" s="211">
        <f t="shared" si="33"/>
        <v>27.13</v>
      </c>
    </row>
    <row r="852" spans="1:8" s="124" customFormat="1" ht="30">
      <c r="A852" s="721">
        <v>88261</v>
      </c>
      <c r="B852" s="721"/>
      <c r="C852" s="200" t="s">
        <v>5256</v>
      </c>
      <c r="D852" s="139" t="s">
        <v>5099</v>
      </c>
      <c r="E852" s="209">
        <v>1.282</v>
      </c>
      <c r="F852" s="577" t="s">
        <v>67</v>
      </c>
      <c r="G852" s="210">
        <v>15.519600000000001</v>
      </c>
      <c r="H852" s="211">
        <f t="shared" si="33"/>
        <v>19.899999999999999</v>
      </c>
    </row>
    <row r="853" spans="1:8" s="124" customFormat="1" ht="30">
      <c r="A853" s="721">
        <v>88316</v>
      </c>
      <c r="B853" s="721"/>
      <c r="C853" s="200" t="s">
        <v>5256</v>
      </c>
      <c r="D853" s="139" t="s">
        <v>66</v>
      </c>
      <c r="E853" s="209">
        <v>0.64100000000000001</v>
      </c>
      <c r="F853" s="577" t="s">
        <v>67</v>
      </c>
      <c r="G853" s="210">
        <v>11.631600000000001</v>
      </c>
      <c r="H853" s="211">
        <f t="shared" si="33"/>
        <v>7.46</v>
      </c>
    </row>
    <row r="854" spans="1:8" s="201" customFormat="1">
      <c r="A854" s="582"/>
      <c r="B854" s="582"/>
      <c r="C854" s="212"/>
      <c r="D854" s="719" t="s">
        <v>127</v>
      </c>
      <c r="E854" s="719"/>
      <c r="F854" s="719"/>
      <c r="G854" s="719"/>
      <c r="H854" s="638">
        <f>SUMIF(F847:F853,("h"),H847:H853)</f>
        <v>27.36</v>
      </c>
    </row>
    <row r="855" spans="1:8" s="201" customFormat="1">
      <c r="A855" s="582"/>
      <c r="B855" s="582"/>
      <c r="C855" s="212"/>
      <c r="D855" s="719" t="s">
        <v>128</v>
      </c>
      <c r="E855" s="719"/>
      <c r="F855" s="719"/>
      <c r="G855" s="719"/>
      <c r="H855" s="638">
        <f>SUMIF(F847:F853,"&lt;&gt;h",H847:H853)</f>
        <v>248.04</v>
      </c>
    </row>
    <row r="856" spans="1:8" s="201" customFormat="1">
      <c r="A856" s="582"/>
      <c r="B856" s="582"/>
      <c r="C856" s="212"/>
      <c r="D856" s="718" t="s">
        <v>129</v>
      </c>
      <c r="E856" s="718"/>
      <c r="F856" s="718"/>
      <c r="G856" s="718"/>
      <c r="H856" s="213">
        <f>SUM(H854:H855)</f>
        <v>275.39999999999998</v>
      </c>
    </row>
    <row r="857" spans="1:8" s="201" customFormat="1">
      <c r="A857" s="582"/>
      <c r="B857" s="582"/>
      <c r="C857" s="212"/>
      <c r="D857" s="719" t="s">
        <v>28</v>
      </c>
      <c r="E857" s="719"/>
      <c r="F857" s="719"/>
      <c r="G857" s="719"/>
      <c r="H857" s="639">
        <f>E846</f>
        <v>18</v>
      </c>
    </row>
    <row r="858" spans="1:8" s="201" customFormat="1">
      <c r="A858" s="582"/>
      <c r="B858" s="582"/>
      <c r="C858" s="212"/>
      <c r="D858" s="718" t="s">
        <v>130</v>
      </c>
      <c r="E858" s="718"/>
      <c r="F858" s="718"/>
      <c r="G858" s="718"/>
      <c r="H858" s="213">
        <f>ROUND(H856*H857,2)</f>
        <v>4957.2</v>
      </c>
    </row>
    <row r="859" spans="1:8" s="201" customFormat="1">
      <c r="A859" s="582"/>
      <c r="B859" s="582"/>
      <c r="C859" s="212"/>
      <c r="D859" s="719" t="s">
        <v>15559</v>
      </c>
      <c r="E859" s="719"/>
      <c r="F859" s="719"/>
      <c r="G859" s="719"/>
      <c r="H859" s="638">
        <f>ROUND(H856*$B$13,2)</f>
        <v>74.17</v>
      </c>
    </row>
    <row r="860" spans="1:8">
      <c r="A860" s="582"/>
      <c r="B860" s="582"/>
      <c r="C860" s="212"/>
      <c r="D860" s="718" t="s">
        <v>9661</v>
      </c>
      <c r="E860" s="718"/>
      <c r="F860" s="718"/>
      <c r="G860" s="718"/>
      <c r="H860" s="213">
        <f>H859+H856</f>
        <v>349.57</v>
      </c>
    </row>
    <row r="862" spans="1:8" s="201" customFormat="1">
      <c r="A862" s="123" t="s">
        <v>6</v>
      </c>
      <c r="B862" s="720" t="s">
        <v>7</v>
      </c>
      <c r="C862" s="720"/>
      <c r="D862" s="202" t="s">
        <v>124</v>
      </c>
      <c r="E862" s="167" t="s">
        <v>6334</v>
      </c>
      <c r="F862" s="202" t="s">
        <v>31</v>
      </c>
      <c r="G862" s="203" t="s">
        <v>125</v>
      </c>
      <c r="H862" s="204" t="s">
        <v>126</v>
      </c>
    </row>
    <row r="863" spans="1:8" s="208" customFormat="1" ht="45">
      <c r="A863" s="581" t="str">
        <f>'Orç - Prédio'!A142</f>
        <v>04.01.305.04</v>
      </c>
      <c r="B863" s="216" t="str">
        <f>'Orç - Prédio'!B142</f>
        <v>SBC</v>
      </c>
      <c r="C863" s="216" t="str">
        <f>'Orç - Prédio'!C142</f>
        <v>150056 MOD</v>
      </c>
      <c r="D863" s="217" t="s">
        <v>6823</v>
      </c>
      <c r="E863" s="206">
        <v>52.6</v>
      </c>
      <c r="F863" s="216" t="s">
        <v>6339</v>
      </c>
      <c r="G863" s="207">
        <f>VLOOKUP("CUSTO TOTAL UNIT.:",D864:$H$30004,5,FALSE)</f>
        <v>518.24</v>
      </c>
      <c r="H863" s="637">
        <f>VLOOKUP("CUSTO TOTAL:",D864:$H$30004,5,FALSE)</f>
        <v>27259.42</v>
      </c>
    </row>
    <row r="864" spans="1:8" s="124" customFormat="1">
      <c r="A864" s="721">
        <v>17265</v>
      </c>
      <c r="B864" s="721"/>
      <c r="C864" s="200" t="s">
        <v>6799</v>
      </c>
      <c r="D864" s="139" t="s">
        <v>6824</v>
      </c>
      <c r="E864" s="209">
        <v>1</v>
      </c>
      <c r="F864" s="577" t="s">
        <v>322</v>
      </c>
      <c r="G864" s="210">
        <v>481.95000000000005</v>
      </c>
      <c r="H864" s="211">
        <f>ROUND(G864*E864,2)</f>
        <v>481.95</v>
      </c>
    </row>
    <row r="865" spans="1:8" s="124" customFormat="1">
      <c r="A865" s="721">
        <v>8475</v>
      </c>
      <c r="B865" s="721"/>
      <c r="C865" s="200" t="s">
        <v>6799</v>
      </c>
      <c r="D865" s="139" t="s">
        <v>15394</v>
      </c>
      <c r="E865" s="209">
        <v>1.665</v>
      </c>
      <c r="F865" s="577" t="s">
        <v>139</v>
      </c>
      <c r="G865" s="210">
        <v>1.2636000000000001</v>
      </c>
      <c r="H865" s="211">
        <f>ROUND(G865*E865,2)</f>
        <v>2.1</v>
      </c>
    </row>
    <row r="866" spans="1:8" s="124" customFormat="1" ht="30">
      <c r="A866" s="721">
        <v>88316</v>
      </c>
      <c r="B866" s="721"/>
      <c r="C866" s="200" t="s">
        <v>5256</v>
      </c>
      <c r="D866" s="139" t="s">
        <v>66</v>
      </c>
      <c r="E866" s="209">
        <v>1.4279999999999999</v>
      </c>
      <c r="F866" s="577" t="s">
        <v>67</v>
      </c>
      <c r="G866" s="210">
        <v>11.631600000000001</v>
      </c>
      <c r="H866" s="211">
        <f>ROUND(G866*E866,2)</f>
        <v>16.61</v>
      </c>
    </row>
    <row r="867" spans="1:8" s="124" customFormat="1" ht="30">
      <c r="A867" s="721">
        <v>88325</v>
      </c>
      <c r="B867" s="721"/>
      <c r="C867" s="200" t="s">
        <v>5256</v>
      </c>
      <c r="D867" s="139" t="s">
        <v>97</v>
      </c>
      <c r="E867" s="209">
        <v>1.2090000000000001</v>
      </c>
      <c r="F867" s="577" t="s">
        <v>67</v>
      </c>
      <c r="G867" s="210">
        <v>14.5395</v>
      </c>
      <c r="H867" s="211">
        <f>ROUND(G867*E867,2)</f>
        <v>17.579999999999998</v>
      </c>
    </row>
    <row r="868" spans="1:8" s="201" customFormat="1">
      <c r="A868" s="582"/>
      <c r="B868" s="582"/>
      <c r="C868" s="212"/>
      <c r="D868" s="719" t="s">
        <v>127</v>
      </c>
      <c r="E868" s="719"/>
      <c r="F868" s="719"/>
      <c r="G868" s="719"/>
      <c r="H868" s="638">
        <f>SUMIF(F864:F867,("h"),H864:H867)</f>
        <v>34.19</v>
      </c>
    </row>
    <row r="869" spans="1:8" s="201" customFormat="1">
      <c r="A869" s="582"/>
      <c r="B869" s="582"/>
      <c r="C869" s="212"/>
      <c r="D869" s="719" t="s">
        <v>128</v>
      </c>
      <c r="E869" s="719"/>
      <c r="F869" s="719"/>
      <c r="G869" s="719"/>
      <c r="H869" s="638">
        <f>SUMIF(F864:F867,"&lt;&gt;h",H864:H867)</f>
        <v>484.05</v>
      </c>
    </row>
    <row r="870" spans="1:8" s="201" customFormat="1">
      <c r="A870" s="582"/>
      <c r="B870" s="582"/>
      <c r="C870" s="212"/>
      <c r="D870" s="718" t="s">
        <v>129</v>
      </c>
      <c r="E870" s="718"/>
      <c r="F870" s="718"/>
      <c r="G870" s="718"/>
      <c r="H870" s="213">
        <f>SUM(H868:H869)</f>
        <v>518.24</v>
      </c>
    </row>
    <row r="871" spans="1:8" s="201" customFormat="1">
      <c r="A871" s="582"/>
      <c r="B871" s="582"/>
      <c r="C871" s="212"/>
      <c r="D871" s="719" t="s">
        <v>28</v>
      </c>
      <c r="E871" s="719"/>
      <c r="F871" s="719"/>
      <c r="G871" s="719"/>
      <c r="H871" s="639">
        <f>E863</f>
        <v>52.6</v>
      </c>
    </row>
    <row r="872" spans="1:8" s="201" customFormat="1">
      <c r="A872" s="582"/>
      <c r="B872" s="582"/>
      <c r="C872" s="212"/>
      <c r="D872" s="718" t="s">
        <v>130</v>
      </c>
      <c r="E872" s="718"/>
      <c r="F872" s="718"/>
      <c r="G872" s="718"/>
      <c r="H872" s="213">
        <f>ROUND(H870*H871,2)</f>
        <v>27259.42</v>
      </c>
    </row>
    <row r="873" spans="1:8" s="201" customFormat="1">
      <c r="A873" s="582"/>
      <c r="B873" s="582"/>
      <c r="C873" s="212"/>
      <c r="D873" s="719" t="s">
        <v>15559</v>
      </c>
      <c r="E873" s="719"/>
      <c r="F873" s="719"/>
      <c r="G873" s="719"/>
      <c r="H873" s="638">
        <f>ROUND(H870*$B$13,2)</f>
        <v>139.56</v>
      </c>
    </row>
    <row r="874" spans="1:8">
      <c r="A874" s="582"/>
      <c r="B874" s="582"/>
      <c r="C874" s="212"/>
      <c r="D874" s="718" t="s">
        <v>9661</v>
      </c>
      <c r="E874" s="718"/>
      <c r="F874" s="718"/>
      <c r="G874" s="718"/>
      <c r="H874" s="213">
        <f>H873+H870</f>
        <v>657.8</v>
      </c>
    </row>
    <row r="876" spans="1:8" s="201" customFormat="1">
      <c r="A876" s="123" t="s">
        <v>6</v>
      </c>
      <c r="B876" s="720" t="s">
        <v>7</v>
      </c>
      <c r="C876" s="720"/>
      <c r="D876" s="202" t="s">
        <v>124</v>
      </c>
      <c r="E876" s="167" t="s">
        <v>6334</v>
      </c>
      <c r="F876" s="202" t="s">
        <v>31</v>
      </c>
      <c r="G876" s="203" t="s">
        <v>125</v>
      </c>
      <c r="H876" s="204" t="s">
        <v>126</v>
      </c>
    </row>
    <row r="877" spans="1:8" s="208" customFormat="1" ht="45">
      <c r="A877" s="581" t="str">
        <f>'Orç - Prédio'!A145</f>
        <v>04.01.407</v>
      </c>
      <c r="B877" s="581" t="str">
        <f>'Orç - Prédio'!B145</f>
        <v>SINAPI</v>
      </c>
      <c r="C877" s="581" t="str">
        <f>'Orç - Prédio'!C145</f>
        <v>94213 MOD</v>
      </c>
      <c r="D877" s="205" t="s">
        <v>15395</v>
      </c>
      <c r="E877" s="581">
        <v>879.5</v>
      </c>
      <c r="F877" s="581" t="s">
        <v>6339</v>
      </c>
      <c r="G877" s="207">
        <f>VLOOKUP("CUSTO TOTAL UNIT.:",D878:$H$30004,5,FALSE)</f>
        <v>72.3</v>
      </c>
      <c r="H877" s="637">
        <f>VLOOKUP("CUSTO TOTAL:",D878:$H$30004,5,FALSE)</f>
        <v>63587.85</v>
      </c>
    </row>
    <row r="878" spans="1:8" s="124" customFormat="1" ht="30">
      <c r="A878" s="721" t="s">
        <v>6833</v>
      </c>
      <c r="B878" s="721"/>
      <c r="C878" s="200" t="s">
        <v>6753</v>
      </c>
      <c r="D878" s="185" t="s">
        <v>6834</v>
      </c>
      <c r="E878" s="209">
        <v>1.6666666000000001</v>
      </c>
      <c r="F878" s="577" t="s">
        <v>322</v>
      </c>
      <c r="G878" s="174">
        <v>38.215800000000002</v>
      </c>
      <c r="H878" s="211">
        <f t="shared" ref="H878:H883" si="34">ROUND(G878*E878,2)</f>
        <v>63.69</v>
      </c>
    </row>
    <row r="879" spans="1:8" s="124" customFormat="1" ht="30">
      <c r="A879" s="721">
        <v>1669</v>
      </c>
      <c r="B879" s="721"/>
      <c r="C879" s="200" t="s">
        <v>6333</v>
      </c>
      <c r="D879" s="139" t="s">
        <v>15396</v>
      </c>
      <c r="E879" s="209">
        <v>4.1500000000000004</v>
      </c>
      <c r="F879" s="577" t="s">
        <v>31</v>
      </c>
      <c r="G879" s="210">
        <v>1.3851</v>
      </c>
      <c r="H879" s="211">
        <f t="shared" si="34"/>
        <v>5.75</v>
      </c>
    </row>
    <row r="880" spans="1:8" s="124" customFormat="1" ht="30">
      <c r="A880" s="721">
        <v>88316</v>
      </c>
      <c r="B880" s="721"/>
      <c r="C880" s="200" t="s">
        <v>5256</v>
      </c>
      <c r="D880" s="139" t="s">
        <v>66</v>
      </c>
      <c r="E880" s="209">
        <v>9.6000000000000002E-2</v>
      </c>
      <c r="F880" s="577" t="s">
        <v>67</v>
      </c>
      <c r="G880" s="210">
        <v>11.631600000000001</v>
      </c>
      <c r="H880" s="211">
        <f t="shared" si="34"/>
        <v>1.1200000000000001</v>
      </c>
    </row>
    <row r="881" spans="1:8" s="124" customFormat="1" ht="30">
      <c r="A881" s="721">
        <v>88323</v>
      </c>
      <c r="B881" s="721"/>
      <c r="C881" s="200" t="s">
        <v>5256</v>
      </c>
      <c r="D881" s="139" t="s">
        <v>94</v>
      </c>
      <c r="E881" s="209">
        <v>9.0999999999999998E-2</v>
      </c>
      <c r="F881" s="577" t="s">
        <v>67</v>
      </c>
      <c r="G881" s="210">
        <v>16.499700000000001</v>
      </c>
      <c r="H881" s="211">
        <f t="shared" si="34"/>
        <v>1.5</v>
      </c>
    </row>
    <row r="882" spans="1:8" s="124" customFormat="1" ht="60">
      <c r="A882" s="721">
        <v>93287</v>
      </c>
      <c r="B882" s="721"/>
      <c r="C882" s="200" t="s">
        <v>5256</v>
      </c>
      <c r="D882" s="139" t="s">
        <v>444</v>
      </c>
      <c r="E882" s="209">
        <v>6.9999999999999999E-4</v>
      </c>
      <c r="F882" s="577" t="s">
        <v>100</v>
      </c>
      <c r="G882" s="210">
        <v>249.06690000000003</v>
      </c>
      <c r="H882" s="211">
        <f t="shared" si="34"/>
        <v>0.17</v>
      </c>
    </row>
    <row r="883" spans="1:8" s="124" customFormat="1" ht="60">
      <c r="A883" s="721">
        <v>93288</v>
      </c>
      <c r="B883" s="721"/>
      <c r="C883" s="200" t="s">
        <v>5256</v>
      </c>
      <c r="D883" s="139" t="s">
        <v>585</v>
      </c>
      <c r="E883" s="209">
        <v>1E-3</v>
      </c>
      <c r="F883" s="577" t="s">
        <v>101</v>
      </c>
      <c r="G883" s="210">
        <v>67.748400000000004</v>
      </c>
      <c r="H883" s="211">
        <f t="shared" si="34"/>
        <v>7.0000000000000007E-2</v>
      </c>
    </row>
    <row r="884" spans="1:8" s="201" customFormat="1">
      <c r="A884" s="582"/>
      <c r="B884" s="582"/>
      <c r="C884" s="212"/>
      <c r="D884" s="719" t="s">
        <v>127</v>
      </c>
      <c r="E884" s="719"/>
      <c r="F884" s="719"/>
      <c r="G884" s="719"/>
      <c r="H884" s="638">
        <f>SUMIF(F878:F883,("h"),H878:H883)</f>
        <v>2.62</v>
      </c>
    </row>
    <row r="885" spans="1:8" s="201" customFormat="1">
      <c r="A885" s="582"/>
      <c r="B885" s="582"/>
      <c r="C885" s="212"/>
      <c r="D885" s="719" t="s">
        <v>128</v>
      </c>
      <c r="E885" s="719"/>
      <c r="F885" s="719"/>
      <c r="G885" s="719"/>
      <c r="H885" s="638">
        <f>SUMIF(F878:F883,"&lt;&gt;h",H878:H883)</f>
        <v>69.679999999999993</v>
      </c>
    </row>
    <row r="886" spans="1:8" s="201" customFormat="1">
      <c r="A886" s="582"/>
      <c r="B886" s="582"/>
      <c r="C886" s="212"/>
      <c r="D886" s="718" t="s">
        <v>129</v>
      </c>
      <c r="E886" s="718"/>
      <c r="F886" s="718"/>
      <c r="G886" s="718"/>
      <c r="H886" s="213">
        <f>SUM(H884:H885)</f>
        <v>72.3</v>
      </c>
    </row>
    <row r="887" spans="1:8" s="201" customFormat="1">
      <c r="A887" s="582"/>
      <c r="B887" s="582"/>
      <c r="C887" s="212"/>
      <c r="D887" s="719" t="s">
        <v>28</v>
      </c>
      <c r="E887" s="719"/>
      <c r="F887" s="719"/>
      <c r="G887" s="719"/>
      <c r="H887" s="639">
        <f>E877</f>
        <v>879.5</v>
      </c>
    </row>
    <row r="888" spans="1:8" s="201" customFormat="1">
      <c r="A888" s="582"/>
      <c r="B888" s="582"/>
      <c r="C888" s="212"/>
      <c r="D888" s="718" t="s">
        <v>130</v>
      </c>
      <c r="E888" s="718"/>
      <c r="F888" s="718"/>
      <c r="G888" s="718"/>
      <c r="H888" s="213">
        <f>ROUND(H886*H887,2)</f>
        <v>63587.85</v>
      </c>
    </row>
    <row r="889" spans="1:8" s="201" customFormat="1">
      <c r="A889" s="582"/>
      <c r="B889" s="582"/>
      <c r="C889" s="212"/>
      <c r="D889" s="719" t="s">
        <v>15559</v>
      </c>
      <c r="E889" s="719"/>
      <c r="F889" s="719"/>
      <c r="G889" s="719"/>
      <c r="H889" s="638">
        <f>ROUND(H886*$B$13,2)</f>
        <v>19.47</v>
      </c>
    </row>
    <row r="890" spans="1:8">
      <c r="A890" s="582"/>
      <c r="B890" s="582"/>
      <c r="C890" s="212"/>
      <c r="D890" s="718" t="s">
        <v>9661</v>
      </c>
      <c r="E890" s="718"/>
      <c r="F890" s="718"/>
      <c r="G890" s="718"/>
      <c r="H890" s="213">
        <f>H889+H886</f>
        <v>91.77</v>
      </c>
    </row>
    <row r="892" spans="1:8" s="201" customFormat="1">
      <c r="A892" s="123" t="s">
        <v>6</v>
      </c>
      <c r="B892" s="720" t="s">
        <v>7</v>
      </c>
      <c r="C892" s="720"/>
      <c r="D892" s="202" t="s">
        <v>124</v>
      </c>
      <c r="E892" s="167" t="s">
        <v>6334</v>
      </c>
      <c r="F892" s="202" t="s">
        <v>31</v>
      </c>
      <c r="G892" s="203" t="s">
        <v>125</v>
      </c>
      <c r="H892" s="204" t="s">
        <v>126</v>
      </c>
    </row>
    <row r="893" spans="1:8" s="208" customFormat="1" ht="30">
      <c r="A893" s="581" t="str">
        <f>'Orç - Prédio'!A153</f>
        <v>04.01.528.01</v>
      </c>
      <c r="B893" s="581" t="str">
        <f>'Orç - Prédio'!B153</f>
        <v>SINAPI</v>
      </c>
      <c r="C893" s="581" t="str">
        <f>'Orç - Prédio'!C153</f>
        <v>72183 MOD</v>
      </c>
      <c r="D893" s="205" t="s">
        <v>8931</v>
      </c>
      <c r="E893" s="206">
        <v>871.66</v>
      </c>
      <c r="F893" s="581" t="s">
        <v>6339</v>
      </c>
      <c r="G893" s="207">
        <f>VLOOKUP("CUSTO TOTAL UNIT.:",D894:$H$30004,5,FALSE)</f>
        <v>58.379999999999995</v>
      </c>
      <c r="H893" s="637">
        <f>VLOOKUP("CUSTO TOTAL:",D894:$H$30004,5,FALSE)</f>
        <v>50887.51</v>
      </c>
    </row>
    <row r="894" spans="1:8" s="124" customFormat="1" ht="60">
      <c r="A894" s="721">
        <v>1524</v>
      </c>
      <c r="B894" s="721"/>
      <c r="C894" s="200" t="s">
        <v>5256</v>
      </c>
      <c r="D894" s="139" t="s">
        <v>10991</v>
      </c>
      <c r="E894" s="209">
        <v>7.0000000000000007E-2</v>
      </c>
      <c r="F894" s="577" t="s">
        <v>45</v>
      </c>
      <c r="G894" s="210">
        <v>226.8</v>
      </c>
      <c r="H894" s="211">
        <f>ROUND(G894*E894,2)</f>
        <v>15.88</v>
      </c>
    </row>
    <row r="895" spans="1:8" s="124" customFormat="1" ht="60">
      <c r="A895" s="721">
        <v>7156</v>
      </c>
      <c r="B895" s="721"/>
      <c r="C895" s="200" t="s">
        <v>5256</v>
      </c>
      <c r="D895" s="139" t="s">
        <v>14230</v>
      </c>
      <c r="E895" s="209">
        <v>1.05</v>
      </c>
      <c r="F895" s="577" t="s">
        <v>46</v>
      </c>
      <c r="G895" s="210">
        <v>14.823000000000002</v>
      </c>
      <c r="H895" s="211">
        <f>ROUND(G895*E895,2)</f>
        <v>15.56</v>
      </c>
    </row>
    <row r="896" spans="1:8" s="124" customFormat="1" ht="30">
      <c r="A896" s="721">
        <v>88245</v>
      </c>
      <c r="B896" s="721"/>
      <c r="C896" s="200" t="s">
        <v>5256</v>
      </c>
      <c r="D896" s="139" t="s">
        <v>70</v>
      </c>
      <c r="E896" s="209">
        <v>0.02</v>
      </c>
      <c r="F896" s="577" t="s">
        <v>67</v>
      </c>
      <c r="G896" s="210">
        <v>15.519600000000001</v>
      </c>
      <c r="H896" s="211">
        <f>ROUND(G896*E896,2)</f>
        <v>0.31</v>
      </c>
    </row>
    <row r="897" spans="1:8" s="124" customFormat="1" ht="30">
      <c r="A897" s="721">
        <v>88309</v>
      </c>
      <c r="B897" s="721"/>
      <c r="C897" s="200" t="s">
        <v>5256</v>
      </c>
      <c r="D897" s="139" t="s">
        <v>90</v>
      </c>
      <c r="E897" s="209">
        <v>0.26</v>
      </c>
      <c r="F897" s="577" t="s">
        <v>67</v>
      </c>
      <c r="G897" s="210">
        <v>15.608700000000001</v>
      </c>
      <c r="H897" s="211">
        <f>ROUND(G897*E897,2)</f>
        <v>4.0599999999999996</v>
      </c>
    </row>
    <row r="898" spans="1:8" s="124" customFormat="1" ht="30">
      <c r="A898" s="721">
        <v>88316</v>
      </c>
      <c r="B898" s="721"/>
      <c r="C898" s="200" t="s">
        <v>5256</v>
      </c>
      <c r="D898" s="139" t="s">
        <v>66</v>
      </c>
      <c r="E898" s="209">
        <v>1.94</v>
      </c>
      <c r="F898" s="577" t="s">
        <v>67</v>
      </c>
      <c r="G898" s="210">
        <v>11.631600000000001</v>
      </c>
      <c r="H898" s="211">
        <f>ROUND(G898*E898,2)</f>
        <v>22.57</v>
      </c>
    </row>
    <row r="899" spans="1:8" s="201" customFormat="1">
      <c r="A899" s="582"/>
      <c r="B899" s="582"/>
      <c r="C899" s="212"/>
      <c r="D899" s="719" t="s">
        <v>127</v>
      </c>
      <c r="E899" s="719"/>
      <c r="F899" s="719"/>
      <c r="G899" s="719"/>
      <c r="H899" s="638">
        <f>SUMIF(F894:F898,("h"),H894:H898)</f>
        <v>26.939999999999998</v>
      </c>
    </row>
    <row r="900" spans="1:8" s="201" customFormat="1">
      <c r="A900" s="582"/>
      <c r="B900" s="582"/>
      <c r="C900" s="212"/>
      <c r="D900" s="719" t="s">
        <v>128</v>
      </c>
      <c r="E900" s="719"/>
      <c r="F900" s="719"/>
      <c r="G900" s="719"/>
      <c r="H900" s="638">
        <f>SUMIF(F894:F898,"&lt;&gt;h",H894:H898)</f>
        <v>31.44</v>
      </c>
    </row>
    <row r="901" spans="1:8" s="201" customFormat="1">
      <c r="A901" s="582"/>
      <c r="B901" s="582"/>
      <c r="C901" s="212"/>
      <c r="D901" s="718" t="s">
        <v>129</v>
      </c>
      <c r="E901" s="718"/>
      <c r="F901" s="718"/>
      <c r="G901" s="718"/>
      <c r="H901" s="213">
        <f>SUM(H899:H900)</f>
        <v>58.379999999999995</v>
      </c>
    </row>
    <row r="902" spans="1:8" s="201" customFormat="1">
      <c r="A902" s="582"/>
      <c r="B902" s="582"/>
      <c r="C902" s="212"/>
      <c r="D902" s="719" t="s">
        <v>28</v>
      </c>
      <c r="E902" s="719"/>
      <c r="F902" s="719"/>
      <c r="G902" s="719"/>
      <c r="H902" s="639">
        <f>E893</f>
        <v>871.66</v>
      </c>
    </row>
    <row r="903" spans="1:8" s="201" customFormat="1">
      <c r="A903" s="582"/>
      <c r="B903" s="582"/>
      <c r="C903" s="212"/>
      <c r="D903" s="718" t="s">
        <v>130</v>
      </c>
      <c r="E903" s="718"/>
      <c r="F903" s="718"/>
      <c r="G903" s="718"/>
      <c r="H903" s="213">
        <f>ROUND(H901*H902,2)</f>
        <v>50887.51</v>
      </c>
    </row>
    <row r="904" spans="1:8" s="201" customFormat="1">
      <c r="A904" s="582"/>
      <c r="B904" s="582"/>
      <c r="C904" s="212"/>
      <c r="D904" s="719" t="s">
        <v>15559</v>
      </c>
      <c r="E904" s="719"/>
      <c r="F904" s="719"/>
      <c r="G904" s="719"/>
      <c r="H904" s="638">
        <f>ROUND(H901*$B$13,2)</f>
        <v>15.72</v>
      </c>
    </row>
    <row r="905" spans="1:8">
      <c r="A905" s="582"/>
      <c r="B905" s="582"/>
      <c r="C905" s="212"/>
      <c r="D905" s="718" t="s">
        <v>9661</v>
      </c>
      <c r="E905" s="718"/>
      <c r="F905" s="718"/>
      <c r="G905" s="718"/>
      <c r="H905" s="213">
        <f>H904+H901</f>
        <v>74.099999999999994</v>
      </c>
    </row>
    <row r="907" spans="1:8" s="201" customFormat="1">
      <c r="A907" s="123" t="s">
        <v>6</v>
      </c>
      <c r="B907" s="720" t="s">
        <v>7</v>
      </c>
      <c r="C907" s="720"/>
      <c r="D907" s="202" t="s">
        <v>124</v>
      </c>
      <c r="E907" s="167" t="s">
        <v>6334</v>
      </c>
      <c r="F907" s="202" t="s">
        <v>31</v>
      </c>
      <c r="G907" s="203" t="s">
        <v>125</v>
      </c>
      <c r="H907" s="204" t="s">
        <v>126</v>
      </c>
    </row>
    <row r="908" spans="1:8" s="208" customFormat="1" ht="45">
      <c r="A908" s="581" t="str">
        <f>'Orç - Prédio'!A155</f>
        <v>04.01.528.03</v>
      </c>
      <c r="B908" s="216" t="str">
        <f>'Orç - Prédio'!B155</f>
        <v>SINAPI</v>
      </c>
      <c r="C908" s="216" t="str">
        <f>'Orç - Prédio'!C155</f>
        <v>87643 MOD</v>
      </c>
      <c r="D908" s="217" t="s">
        <v>7822</v>
      </c>
      <c r="E908" s="206">
        <v>5.67</v>
      </c>
      <c r="F908" s="216" t="s">
        <v>6339</v>
      </c>
      <c r="G908" s="207">
        <f>VLOOKUP("CUSTO TOTAL UNIT.:",D909:$H$30004,5,FALSE)</f>
        <v>102.25999999999999</v>
      </c>
      <c r="H908" s="637">
        <f>VLOOKUP("CUSTO TOTAL:",D909:$H$30004,5,FALSE)</f>
        <v>579.80999999999995</v>
      </c>
    </row>
    <row r="909" spans="1:8" s="124" customFormat="1" ht="30">
      <c r="A909" s="721">
        <v>256</v>
      </c>
      <c r="B909" s="721"/>
      <c r="C909" s="200" t="s">
        <v>6333</v>
      </c>
      <c r="D909" s="139" t="s">
        <v>7821</v>
      </c>
      <c r="E909" s="209">
        <v>80</v>
      </c>
      <c r="F909" s="577" t="s">
        <v>315</v>
      </c>
      <c r="G909" s="210">
        <v>1.0854000000000001</v>
      </c>
      <c r="H909" s="211">
        <f>ROUND(G909*E909,2)</f>
        <v>86.83</v>
      </c>
    </row>
    <row r="910" spans="1:8" s="124" customFormat="1" ht="30">
      <c r="A910" s="721">
        <v>88309</v>
      </c>
      <c r="B910" s="721"/>
      <c r="C910" s="200" t="s">
        <v>5256</v>
      </c>
      <c r="D910" s="139" t="s">
        <v>90</v>
      </c>
      <c r="E910" s="209">
        <v>0.72</v>
      </c>
      <c r="F910" s="577" t="s">
        <v>67</v>
      </c>
      <c r="G910" s="210">
        <v>15.608700000000001</v>
      </c>
      <c r="H910" s="211">
        <f>ROUND(G910*E910,2)</f>
        <v>11.24</v>
      </c>
    </row>
    <row r="911" spans="1:8" s="124" customFormat="1" ht="30">
      <c r="A911" s="721">
        <v>88316</v>
      </c>
      <c r="B911" s="721"/>
      <c r="C911" s="200" t="s">
        <v>5256</v>
      </c>
      <c r="D911" s="139" t="s">
        <v>66</v>
      </c>
      <c r="E911" s="209">
        <v>0.36</v>
      </c>
      <c r="F911" s="577" t="s">
        <v>67</v>
      </c>
      <c r="G911" s="210">
        <v>11.631600000000001</v>
      </c>
      <c r="H911" s="211">
        <f>ROUND(G911*E911,2)</f>
        <v>4.1900000000000004</v>
      </c>
    </row>
    <row r="912" spans="1:8" s="201" customFormat="1">
      <c r="A912" s="582"/>
      <c r="B912" s="582"/>
      <c r="C912" s="212"/>
      <c r="D912" s="719" t="s">
        <v>127</v>
      </c>
      <c r="E912" s="719"/>
      <c r="F912" s="719"/>
      <c r="G912" s="719"/>
      <c r="H912" s="638">
        <f>SUMIF(F909:F911,("h"),H909:H911)</f>
        <v>15.43</v>
      </c>
    </row>
    <row r="913" spans="1:8" s="201" customFormat="1">
      <c r="A913" s="582"/>
      <c r="B913" s="582"/>
      <c r="C913" s="212"/>
      <c r="D913" s="719" t="s">
        <v>128</v>
      </c>
      <c r="E913" s="719"/>
      <c r="F913" s="719"/>
      <c r="G913" s="719"/>
      <c r="H913" s="638">
        <f>SUMIF(F909:F911,"&lt;&gt;h",H909:H911)</f>
        <v>86.83</v>
      </c>
    </row>
    <row r="914" spans="1:8" s="201" customFormat="1">
      <c r="A914" s="582"/>
      <c r="B914" s="582"/>
      <c r="C914" s="212"/>
      <c r="D914" s="718" t="s">
        <v>129</v>
      </c>
      <c r="E914" s="718"/>
      <c r="F914" s="718"/>
      <c r="G914" s="718"/>
      <c r="H914" s="213">
        <f>SUM(H912:H913)</f>
        <v>102.25999999999999</v>
      </c>
    </row>
    <row r="915" spans="1:8" s="201" customFormat="1">
      <c r="A915" s="582"/>
      <c r="B915" s="582"/>
      <c r="C915" s="212"/>
      <c r="D915" s="719" t="s">
        <v>28</v>
      </c>
      <c r="E915" s="719"/>
      <c r="F915" s="719"/>
      <c r="G915" s="719"/>
      <c r="H915" s="639">
        <f>E908</f>
        <v>5.67</v>
      </c>
    </row>
    <row r="916" spans="1:8" s="201" customFormat="1">
      <c r="A916" s="582"/>
      <c r="B916" s="582"/>
      <c r="C916" s="212"/>
      <c r="D916" s="718" t="s">
        <v>130</v>
      </c>
      <c r="E916" s="718"/>
      <c r="F916" s="718"/>
      <c r="G916" s="718"/>
      <c r="H916" s="213">
        <f>ROUND(H914*H915,2)</f>
        <v>579.80999999999995</v>
      </c>
    </row>
    <row r="917" spans="1:8" s="201" customFormat="1">
      <c r="A917" s="582"/>
      <c r="B917" s="582"/>
      <c r="C917" s="212"/>
      <c r="D917" s="719" t="s">
        <v>15559</v>
      </c>
      <c r="E917" s="719"/>
      <c r="F917" s="719"/>
      <c r="G917" s="719"/>
      <c r="H917" s="638">
        <f>ROUND(H914*$B$13,2)</f>
        <v>27.54</v>
      </c>
    </row>
    <row r="918" spans="1:8">
      <c r="A918" s="582"/>
      <c r="B918" s="582"/>
      <c r="C918" s="212"/>
      <c r="D918" s="718" t="s">
        <v>9661</v>
      </c>
      <c r="E918" s="718"/>
      <c r="F918" s="718"/>
      <c r="G918" s="718"/>
      <c r="H918" s="213">
        <f>H917+H914</f>
        <v>129.79999999999998</v>
      </c>
    </row>
    <row r="920" spans="1:8" s="201" customFormat="1">
      <c r="A920" s="123" t="s">
        <v>6</v>
      </c>
      <c r="B920" s="720" t="s">
        <v>7</v>
      </c>
      <c r="C920" s="720"/>
      <c r="D920" s="202" t="s">
        <v>124</v>
      </c>
      <c r="E920" s="167" t="s">
        <v>6334</v>
      </c>
      <c r="F920" s="202" t="s">
        <v>31</v>
      </c>
      <c r="G920" s="203" t="s">
        <v>125</v>
      </c>
      <c r="H920" s="204" t="s">
        <v>126</v>
      </c>
    </row>
    <row r="921" spans="1:8" s="208" customFormat="1" ht="60">
      <c r="A921" s="581" t="str">
        <f>'Orç - Prédio'!A156</f>
        <v>04.01.529</v>
      </c>
      <c r="B921" s="216" t="str">
        <f>'Orç - Prédio'!B156</f>
        <v>SINAPI</v>
      </c>
      <c r="C921" s="216" t="str">
        <f>'Orç - Prédio'!C156</f>
        <v>98670 MOD</v>
      </c>
      <c r="D921" s="217" t="s">
        <v>8984</v>
      </c>
      <c r="E921" s="206">
        <v>16.690000000000001</v>
      </c>
      <c r="F921" s="216" t="s">
        <v>6339</v>
      </c>
      <c r="G921" s="207">
        <f>VLOOKUP("CUSTO TOTAL UNIT.:",D922:$H$30004,5,FALSE)</f>
        <v>106.05000000000001</v>
      </c>
      <c r="H921" s="637">
        <f>VLOOKUP("CUSTO TOTAL:",D922:$H$30004,5,FALSE)</f>
        <v>1769.97</v>
      </c>
    </row>
    <row r="922" spans="1:8" s="124" customFormat="1" ht="30">
      <c r="A922" s="721">
        <v>38135</v>
      </c>
      <c r="B922" s="721"/>
      <c r="C922" s="200" t="s">
        <v>5256</v>
      </c>
      <c r="D922" s="139" t="s">
        <v>12480</v>
      </c>
      <c r="E922" s="209">
        <v>1.03</v>
      </c>
      <c r="F922" s="577" t="s">
        <v>46</v>
      </c>
      <c r="G922" s="210">
        <v>46.737000000000002</v>
      </c>
      <c r="H922" s="211">
        <f t="shared" ref="H922:H927" si="35">ROUND(G922*E922,2)</f>
        <v>48.14</v>
      </c>
    </row>
    <row r="923" spans="1:8" s="124" customFormat="1">
      <c r="A923" s="721">
        <v>37595</v>
      </c>
      <c r="B923" s="721"/>
      <c r="C923" s="200" t="s">
        <v>5256</v>
      </c>
      <c r="D923" s="139" t="s">
        <v>10024</v>
      </c>
      <c r="E923" s="209">
        <v>8.6199999999999992</v>
      </c>
      <c r="F923" s="577" t="s">
        <v>49</v>
      </c>
      <c r="G923" s="210">
        <v>0.93959999999999999</v>
      </c>
      <c r="H923" s="211">
        <f t="shared" si="35"/>
        <v>8.1</v>
      </c>
    </row>
    <row r="924" spans="1:8" s="124" customFormat="1">
      <c r="A924" s="721">
        <v>7353</v>
      </c>
      <c r="B924" s="721"/>
      <c r="C924" s="200" t="s">
        <v>5256</v>
      </c>
      <c r="D924" s="139" t="s">
        <v>13748</v>
      </c>
      <c r="E924" s="209">
        <v>0.12</v>
      </c>
      <c r="F924" s="577" t="s">
        <v>50</v>
      </c>
      <c r="G924" s="210">
        <v>19.585800000000003</v>
      </c>
      <c r="H924" s="211">
        <f t="shared" si="35"/>
        <v>2.35</v>
      </c>
    </row>
    <row r="925" spans="1:8" s="124" customFormat="1">
      <c r="A925" s="721">
        <v>34357</v>
      </c>
      <c r="B925" s="721"/>
      <c r="C925" s="200" t="s">
        <v>5256</v>
      </c>
      <c r="D925" s="139" t="s">
        <v>13742</v>
      </c>
      <c r="E925" s="209">
        <v>0.24</v>
      </c>
      <c r="F925" s="577" t="s">
        <v>49</v>
      </c>
      <c r="G925" s="210">
        <v>1.9521000000000002</v>
      </c>
      <c r="H925" s="211">
        <f t="shared" si="35"/>
        <v>0.47</v>
      </c>
    </row>
    <row r="926" spans="1:8" s="124" customFormat="1" ht="30">
      <c r="A926" s="721">
        <v>88256</v>
      </c>
      <c r="B926" s="721"/>
      <c r="C926" s="200" t="s">
        <v>5256</v>
      </c>
      <c r="D926" s="139" t="s">
        <v>80</v>
      </c>
      <c r="E926" s="209">
        <v>2.1989999999999998</v>
      </c>
      <c r="F926" s="577" t="s">
        <v>67</v>
      </c>
      <c r="G926" s="210">
        <v>15.552</v>
      </c>
      <c r="H926" s="211">
        <f t="shared" si="35"/>
        <v>34.200000000000003</v>
      </c>
    </row>
    <row r="927" spans="1:8" s="124" customFormat="1" ht="30">
      <c r="A927" s="721">
        <v>88316</v>
      </c>
      <c r="B927" s="721"/>
      <c r="C927" s="200" t="s">
        <v>5256</v>
      </c>
      <c r="D927" s="139" t="s">
        <v>66</v>
      </c>
      <c r="E927" s="209">
        <v>1.1000000000000001</v>
      </c>
      <c r="F927" s="577" t="s">
        <v>67</v>
      </c>
      <c r="G927" s="210">
        <v>11.631600000000001</v>
      </c>
      <c r="H927" s="211">
        <f t="shared" si="35"/>
        <v>12.79</v>
      </c>
    </row>
    <row r="928" spans="1:8" s="201" customFormat="1">
      <c r="A928" s="582"/>
      <c r="B928" s="582"/>
      <c r="C928" s="212"/>
      <c r="D928" s="719" t="s">
        <v>127</v>
      </c>
      <c r="E928" s="719"/>
      <c r="F928" s="719"/>
      <c r="G928" s="719"/>
      <c r="H928" s="638">
        <f>SUMIF(F922:F927,("h"),H922:H927)</f>
        <v>46.99</v>
      </c>
    </row>
    <row r="929" spans="1:8" s="201" customFormat="1">
      <c r="A929" s="582"/>
      <c r="B929" s="582"/>
      <c r="C929" s="212"/>
      <c r="D929" s="719" t="s">
        <v>128</v>
      </c>
      <c r="E929" s="719"/>
      <c r="F929" s="719"/>
      <c r="G929" s="719"/>
      <c r="H929" s="638">
        <f>SUMIF(F922:F927,"&lt;&gt;h",H922:H927)</f>
        <v>59.06</v>
      </c>
    </row>
    <row r="930" spans="1:8" s="201" customFormat="1">
      <c r="A930" s="582"/>
      <c r="B930" s="582"/>
      <c r="C930" s="212"/>
      <c r="D930" s="718" t="s">
        <v>129</v>
      </c>
      <c r="E930" s="718"/>
      <c r="F930" s="718"/>
      <c r="G930" s="718"/>
      <c r="H930" s="213">
        <f>SUM(H928:H929)</f>
        <v>106.05000000000001</v>
      </c>
    </row>
    <row r="931" spans="1:8" s="201" customFormat="1">
      <c r="A931" s="582"/>
      <c r="B931" s="582"/>
      <c r="C931" s="212"/>
      <c r="D931" s="719" t="s">
        <v>28</v>
      </c>
      <c r="E931" s="719"/>
      <c r="F931" s="719"/>
      <c r="G931" s="719"/>
      <c r="H931" s="639">
        <f>E921</f>
        <v>16.690000000000001</v>
      </c>
    </row>
    <row r="932" spans="1:8" s="201" customFormat="1">
      <c r="A932" s="582"/>
      <c r="B932" s="582"/>
      <c r="C932" s="212"/>
      <c r="D932" s="718" t="s">
        <v>130</v>
      </c>
      <c r="E932" s="718"/>
      <c r="F932" s="718"/>
      <c r="G932" s="718"/>
      <c r="H932" s="213">
        <f>ROUND(H930*H931,2)</f>
        <v>1769.97</v>
      </c>
    </row>
    <row r="933" spans="1:8" s="201" customFormat="1">
      <c r="A933" s="582"/>
      <c r="B933" s="582"/>
      <c r="C933" s="212"/>
      <c r="D933" s="719" t="s">
        <v>15559</v>
      </c>
      <c r="E933" s="719"/>
      <c r="F933" s="719"/>
      <c r="G933" s="719"/>
      <c r="H933" s="638">
        <f>ROUND(H930*$B$13,2)</f>
        <v>28.56</v>
      </c>
    </row>
    <row r="934" spans="1:8">
      <c r="A934" s="582"/>
      <c r="B934" s="582"/>
      <c r="C934" s="212"/>
      <c r="D934" s="718" t="s">
        <v>9661</v>
      </c>
      <c r="E934" s="718"/>
      <c r="F934" s="718"/>
      <c r="G934" s="718"/>
      <c r="H934" s="213">
        <f>H933+H930</f>
        <v>134.61000000000001</v>
      </c>
    </row>
    <row r="936" spans="1:8" s="201" customFormat="1">
      <c r="A936" s="123" t="s">
        <v>6</v>
      </c>
      <c r="B936" s="720" t="s">
        <v>7</v>
      </c>
      <c r="C936" s="720"/>
      <c r="D936" s="202" t="s">
        <v>124</v>
      </c>
      <c r="E936" s="167" t="s">
        <v>6334</v>
      </c>
      <c r="F936" s="202" t="s">
        <v>31</v>
      </c>
      <c r="G936" s="203" t="s">
        <v>125</v>
      </c>
      <c r="H936" s="204" t="s">
        <v>126</v>
      </c>
    </row>
    <row r="937" spans="1:8" s="208" customFormat="1" ht="45">
      <c r="A937" s="581" t="str">
        <f>'Orç - Prédio'!A162</f>
        <v>04.01.546</v>
      </c>
      <c r="B937" s="581" t="str">
        <f>'Orç - Prédio'!B162</f>
        <v>ORSE</v>
      </c>
      <c r="C937" s="581" t="str">
        <f>'Orç - Prédio'!C162</f>
        <v>10716 MOD</v>
      </c>
      <c r="D937" s="205" t="s">
        <v>7819</v>
      </c>
      <c r="E937" s="206">
        <v>32.950000000000003</v>
      </c>
      <c r="F937" s="581" t="s">
        <v>6339</v>
      </c>
      <c r="G937" s="207">
        <f>VLOOKUP("CUSTO TOTAL UNIT.:",D938:$H$30004,5,FALSE)</f>
        <v>143.01</v>
      </c>
      <c r="H937" s="637">
        <f>VLOOKUP("CUSTO TOTAL:",D938:$H$30004,5,FALSE)</f>
        <v>4712.18</v>
      </c>
    </row>
    <row r="938" spans="1:8" s="124" customFormat="1" ht="30">
      <c r="A938" s="721">
        <v>256</v>
      </c>
      <c r="B938" s="721"/>
      <c r="C938" s="200" t="s">
        <v>6333</v>
      </c>
      <c r="D938" s="139" t="s">
        <v>7821</v>
      </c>
      <c r="E938" s="209">
        <v>80</v>
      </c>
      <c r="F938" s="577" t="s">
        <v>315</v>
      </c>
      <c r="G938" s="210">
        <v>1.0854000000000001</v>
      </c>
      <c r="H938" s="211">
        <f>ROUND(G938*E938,2)</f>
        <v>86.83</v>
      </c>
    </row>
    <row r="939" spans="1:8" s="124" customFormat="1" ht="30">
      <c r="A939" s="721">
        <v>88309</v>
      </c>
      <c r="B939" s="721"/>
      <c r="C939" s="200" t="s">
        <v>5256</v>
      </c>
      <c r="D939" s="139" t="s">
        <v>90</v>
      </c>
      <c r="E939" s="209">
        <v>1.96</v>
      </c>
      <c r="F939" s="577" t="s">
        <v>67</v>
      </c>
      <c r="G939" s="210">
        <v>15.608700000000001</v>
      </c>
      <c r="H939" s="211">
        <f>ROUND(G939*E939,2)</f>
        <v>30.59</v>
      </c>
    </row>
    <row r="940" spans="1:8" s="124" customFormat="1" ht="30">
      <c r="A940" s="721">
        <v>88316</v>
      </c>
      <c r="B940" s="721"/>
      <c r="C940" s="200" t="s">
        <v>5256</v>
      </c>
      <c r="D940" s="139" t="s">
        <v>66</v>
      </c>
      <c r="E940" s="209">
        <v>2.2000000000000002</v>
      </c>
      <c r="F940" s="577" t="s">
        <v>67</v>
      </c>
      <c r="G940" s="210">
        <v>11.631600000000001</v>
      </c>
      <c r="H940" s="211">
        <f>ROUND(G940*E940,2)</f>
        <v>25.59</v>
      </c>
    </row>
    <row r="941" spans="1:8" s="201" customFormat="1">
      <c r="A941" s="582"/>
      <c r="B941" s="582"/>
      <c r="C941" s="212"/>
      <c r="D941" s="719" t="s">
        <v>127</v>
      </c>
      <c r="E941" s="719"/>
      <c r="F941" s="719"/>
      <c r="G941" s="719"/>
      <c r="H941" s="638">
        <f>SUMIF(F938:F940,("h"),H938:H940)</f>
        <v>56.18</v>
      </c>
    </row>
    <row r="942" spans="1:8" s="201" customFormat="1">
      <c r="A942" s="582"/>
      <c r="B942" s="582"/>
      <c r="C942" s="212"/>
      <c r="D942" s="719" t="s">
        <v>128</v>
      </c>
      <c r="E942" s="719"/>
      <c r="F942" s="719"/>
      <c r="G942" s="719"/>
      <c r="H942" s="638">
        <f>SUMIF(F938:F940,"&lt;&gt;h",H938:H940)</f>
        <v>86.83</v>
      </c>
    </row>
    <row r="943" spans="1:8" s="201" customFormat="1">
      <c r="A943" s="582"/>
      <c r="B943" s="582"/>
      <c r="C943" s="212"/>
      <c r="D943" s="718" t="s">
        <v>129</v>
      </c>
      <c r="E943" s="718"/>
      <c r="F943" s="718"/>
      <c r="G943" s="718"/>
      <c r="H943" s="213">
        <f>SUM(H941:H942)</f>
        <v>143.01</v>
      </c>
    </row>
    <row r="944" spans="1:8" s="201" customFormat="1">
      <c r="A944" s="582"/>
      <c r="B944" s="582"/>
      <c r="C944" s="212"/>
      <c r="D944" s="719" t="s">
        <v>28</v>
      </c>
      <c r="E944" s="719"/>
      <c r="F944" s="719"/>
      <c r="G944" s="719"/>
      <c r="H944" s="639">
        <f>E937</f>
        <v>32.950000000000003</v>
      </c>
    </row>
    <row r="945" spans="1:8" s="201" customFormat="1">
      <c r="A945" s="582"/>
      <c r="B945" s="582"/>
      <c r="C945" s="212"/>
      <c r="D945" s="718" t="s">
        <v>130</v>
      </c>
      <c r="E945" s="718"/>
      <c r="F945" s="718"/>
      <c r="G945" s="718"/>
      <c r="H945" s="213">
        <f>ROUND(H943*H944,2)</f>
        <v>4712.18</v>
      </c>
    </row>
    <row r="946" spans="1:8" s="201" customFormat="1">
      <c r="A946" s="582"/>
      <c r="B946" s="582"/>
      <c r="C946" s="212"/>
      <c r="D946" s="719" t="s">
        <v>15559</v>
      </c>
      <c r="E946" s="719"/>
      <c r="F946" s="719"/>
      <c r="G946" s="719"/>
      <c r="H946" s="638">
        <f>ROUND(H943*$B$13,2)</f>
        <v>38.51</v>
      </c>
    </row>
    <row r="947" spans="1:8">
      <c r="A947" s="582"/>
      <c r="B947" s="582"/>
      <c r="C947" s="212"/>
      <c r="D947" s="718" t="s">
        <v>9661</v>
      </c>
      <c r="E947" s="718"/>
      <c r="F947" s="718"/>
      <c r="G947" s="718"/>
      <c r="H947" s="213">
        <f>H946+H943</f>
        <v>181.51999999999998</v>
      </c>
    </row>
    <row r="949" spans="1:8" s="201" customFormat="1">
      <c r="A949" s="123" t="s">
        <v>6</v>
      </c>
      <c r="B949" s="720" t="s">
        <v>7</v>
      </c>
      <c r="C949" s="720"/>
      <c r="D949" s="202" t="s">
        <v>124</v>
      </c>
      <c r="E949" s="167" t="s">
        <v>6334</v>
      </c>
      <c r="F949" s="202" t="s">
        <v>31</v>
      </c>
      <c r="G949" s="203" t="s">
        <v>125</v>
      </c>
      <c r="H949" s="204" t="s">
        <v>126</v>
      </c>
    </row>
    <row r="950" spans="1:8" s="208" customFormat="1" ht="60">
      <c r="A950" s="581" t="str">
        <f>'Orç - Prédio'!A164</f>
        <v>04.01.555.01</v>
      </c>
      <c r="B950" s="216" t="str">
        <f>'Orç - Prédio'!B165</f>
        <v>SINAPI</v>
      </c>
      <c r="C950" s="216" t="str">
        <f>'Orç - Prédio'!C165</f>
        <v>01.REVE. FORR.022/ MOD</v>
      </c>
      <c r="D950" s="217" t="s">
        <v>7827</v>
      </c>
      <c r="E950" s="206">
        <v>1582.59</v>
      </c>
      <c r="F950" s="216" t="s">
        <v>6339</v>
      </c>
      <c r="G950" s="207">
        <f>VLOOKUP("CUSTO TOTAL UNIT.:",D951:$H$30004,5,FALSE)</f>
        <v>59.910000000000004</v>
      </c>
      <c r="H950" s="637">
        <f>VLOOKUP("CUSTO TOTAL:",D951:$H$30004,5,FALSE)</f>
        <v>94812.97</v>
      </c>
    </row>
    <row r="951" spans="1:8" s="124" customFormat="1" ht="45">
      <c r="A951" s="721">
        <v>39570</v>
      </c>
      <c r="B951" s="721"/>
      <c r="C951" s="200" t="s">
        <v>5256</v>
      </c>
      <c r="D951" s="139" t="s">
        <v>13327</v>
      </c>
      <c r="E951" s="209">
        <v>2.9929000000000001</v>
      </c>
      <c r="F951" s="577" t="s">
        <v>48</v>
      </c>
      <c r="G951" s="210">
        <v>2.1465000000000001</v>
      </c>
      <c r="H951" s="211">
        <f t="shared" ref="H951:H959" si="36">ROUND(G951*E951,2)</f>
        <v>6.42</v>
      </c>
    </row>
    <row r="952" spans="1:8" s="124" customFormat="1" ht="30">
      <c r="A952" s="721">
        <v>335</v>
      </c>
      <c r="B952" s="721"/>
      <c r="C952" s="200" t="s">
        <v>5256</v>
      </c>
      <c r="D952" s="139" t="s">
        <v>10005</v>
      </c>
      <c r="E952" s="209">
        <v>3.27E-2</v>
      </c>
      <c r="F952" s="577" t="s">
        <v>49</v>
      </c>
      <c r="G952" s="210">
        <v>9.6957000000000004</v>
      </c>
      <c r="H952" s="211">
        <f t="shared" si="36"/>
        <v>0.32</v>
      </c>
    </row>
    <row r="953" spans="1:8" s="124" customFormat="1" ht="45">
      <c r="A953" s="721">
        <v>39443</v>
      </c>
      <c r="B953" s="721"/>
      <c r="C953" s="200" t="s">
        <v>5256</v>
      </c>
      <c r="D953" s="139" t="s">
        <v>13188</v>
      </c>
      <c r="E953" s="209">
        <v>1.0092000000000001</v>
      </c>
      <c r="F953" s="577" t="s">
        <v>40</v>
      </c>
      <c r="G953" s="210">
        <v>0.13770000000000002</v>
      </c>
      <c r="H953" s="211">
        <f t="shared" si="36"/>
        <v>0.14000000000000001</v>
      </c>
    </row>
    <row r="954" spans="1:8" s="124" customFormat="1" ht="75">
      <c r="A954" s="721">
        <v>39567</v>
      </c>
      <c r="B954" s="721"/>
      <c r="C954" s="200" t="s">
        <v>5256</v>
      </c>
      <c r="D954" s="139" t="s">
        <v>13398</v>
      </c>
      <c r="E954" s="209">
        <v>1.07</v>
      </c>
      <c r="F954" s="577" t="s">
        <v>46</v>
      </c>
      <c r="G954" s="210">
        <v>40.718700000000005</v>
      </c>
      <c r="H954" s="211">
        <f t="shared" si="36"/>
        <v>43.57</v>
      </c>
    </row>
    <row r="955" spans="1:8" s="124" customFormat="1" ht="45">
      <c r="A955" s="721">
        <v>39571</v>
      </c>
      <c r="B955" s="721"/>
      <c r="C955" s="200" t="s">
        <v>5256</v>
      </c>
      <c r="D955" s="139" t="s">
        <v>13319</v>
      </c>
      <c r="E955" s="209">
        <v>1.0092000000000001</v>
      </c>
      <c r="F955" s="577" t="s">
        <v>48</v>
      </c>
      <c r="G955" s="210">
        <v>2.1870000000000003</v>
      </c>
      <c r="H955" s="211">
        <f t="shared" si="36"/>
        <v>2.21</v>
      </c>
    </row>
    <row r="956" spans="1:8" s="124" customFormat="1" ht="30">
      <c r="A956" s="721">
        <v>40547</v>
      </c>
      <c r="B956" s="721"/>
      <c r="C956" s="200" t="s">
        <v>5256</v>
      </c>
      <c r="D956" s="139" t="s">
        <v>13227</v>
      </c>
      <c r="E956" s="209">
        <v>1.01E-2</v>
      </c>
      <c r="F956" s="577" t="s">
        <v>62</v>
      </c>
      <c r="G956" s="210">
        <v>16.054200000000002</v>
      </c>
      <c r="H956" s="211">
        <f t="shared" si="36"/>
        <v>0.16</v>
      </c>
    </row>
    <row r="957" spans="1:8" s="124" customFormat="1" ht="60">
      <c r="A957" s="721">
        <v>39430</v>
      </c>
      <c r="B957" s="721"/>
      <c r="C957" s="200" t="s">
        <v>5256</v>
      </c>
      <c r="D957" s="139" t="s">
        <v>13290</v>
      </c>
      <c r="E957" s="209">
        <v>1.0183</v>
      </c>
      <c r="F957" s="577" t="s">
        <v>40</v>
      </c>
      <c r="G957" s="210">
        <v>0.90720000000000012</v>
      </c>
      <c r="H957" s="211">
        <f t="shared" si="36"/>
        <v>0.92</v>
      </c>
    </row>
    <row r="958" spans="1:8" s="124" customFormat="1" ht="30">
      <c r="A958" s="721">
        <v>88278</v>
      </c>
      <c r="B958" s="721"/>
      <c r="C958" s="200" t="s">
        <v>5256</v>
      </c>
      <c r="D958" s="139" t="s">
        <v>5109</v>
      </c>
      <c r="E958" s="209">
        <v>0.2616</v>
      </c>
      <c r="F958" s="577" t="s">
        <v>67</v>
      </c>
      <c r="G958" s="210">
        <v>11.9556</v>
      </c>
      <c r="H958" s="211">
        <f t="shared" si="36"/>
        <v>3.13</v>
      </c>
    </row>
    <row r="959" spans="1:8" s="124" customFormat="1" ht="30">
      <c r="A959" s="721">
        <v>88316</v>
      </c>
      <c r="B959" s="721"/>
      <c r="C959" s="200" t="s">
        <v>5256</v>
      </c>
      <c r="D959" s="139" t="s">
        <v>66</v>
      </c>
      <c r="E959" s="209">
        <v>0.2616</v>
      </c>
      <c r="F959" s="577" t="s">
        <v>67</v>
      </c>
      <c r="G959" s="210">
        <v>11.631600000000001</v>
      </c>
      <c r="H959" s="211">
        <f t="shared" si="36"/>
        <v>3.04</v>
      </c>
    </row>
    <row r="960" spans="1:8" s="201" customFormat="1">
      <c r="A960" s="582"/>
      <c r="B960" s="582"/>
      <c r="C960" s="212"/>
      <c r="D960" s="719" t="s">
        <v>127</v>
      </c>
      <c r="E960" s="719"/>
      <c r="F960" s="719"/>
      <c r="G960" s="719"/>
      <c r="H960" s="638">
        <f>SUMIF(F951:F959,("h"),H951:H959)</f>
        <v>6.17</v>
      </c>
    </row>
    <row r="961" spans="1:8" s="201" customFormat="1">
      <c r="A961" s="582"/>
      <c r="B961" s="582"/>
      <c r="C961" s="212"/>
      <c r="D961" s="719" t="s">
        <v>128</v>
      </c>
      <c r="E961" s="719"/>
      <c r="F961" s="719"/>
      <c r="G961" s="719"/>
      <c r="H961" s="638">
        <f>SUMIF(F951:F959,"&lt;&gt;h",H951:H959)</f>
        <v>53.74</v>
      </c>
    </row>
    <row r="962" spans="1:8" s="201" customFormat="1">
      <c r="A962" s="582"/>
      <c r="B962" s="582"/>
      <c r="C962" s="212"/>
      <c r="D962" s="718" t="s">
        <v>129</v>
      </c>
      <c r="E962" s="718"/>
      <c r="F962" s="718"/>
      <c r="G962" s="718"/>
      <c r="H962" s="213">
        <f>SUM(H960:H961)</f>
        <v>59.910000000000004</v>
      </c>
    </row>
    <row r="963" spans="1:8" s="201" customFormat="1">
      <c r="A963" s="582"/>
      <c r="B963" s="582"/>
      <c r="C963" s="212"/>
      <c r="D963" s="719" t="s">
        <v>28</v>
      </c>
      <c r="E963" s="719"/>
      <c r="F963" s="719"/>
      <c r="G963" s="719"/>
      <c r="H963" s="639">
        <f>E950</f>
        <v>1582.59</v>
      </c>
    </row>
    <row r="964" spans="1:8" s="201" customFormat="1">
      <c r="A964" s="582"/>
      <c r="B964" s="582"/>
      <c r="C964" s="212"/>
      <c r="D964" s="718" t="s">
        <v>130</v>
      </c>
      <c r="E964" s="718"/>
      <c r="F964" s="718"/>
      <c r="G964" s="718"/>
      <c r="H964" s="213">
        <f>ROUND(H962*H963,2)</f>
        <v>94812.97</v>
      </c>
    </row>
    <row r="965" spans="1:8" s="201" customFormat="1">
      <c r="A965" s="582"/>
      <c r="B965" s="582"/>
      <c r="C965" s="212"/>
      <c r="D965" s="719" t="s">
        <v>15559</v>
      </c>
      <c r="E965" s="719"/>
      <c r="F965" s="719"/>
      <c r="G965" s="719"/>
      <c r="H965" s="638">
        <f>ROUND(H962*$B$13,2)</f>
        <v>16.13</v>
      </c>
    </row>
    <row r="966" spans="1:8">
      <c r="A966" s="582"/>
      <c r="B966" s="582"/>
      <c r="C966" s="212"/>
      <c r="D966" s="718" t="s">
        <v>9661</v>
      </c>
      <c r="E966" s="718"/>
      <c r="F966" s="718"/>
      <c r="G966" s="718"/>
      <c r="H966" s="213">
        <f>H965+H962</f>
        <v>76.040000000000006</v>
      </c>
    </row>
    <row r="968" spans="1:8" s="201" customFormat="1">
      <c r="A968" s="123" t="s">
        <v>6</v>
      </c>
      <c r="B968" s="720" t="s">
        <v>7</v>
      </c>
      <c r="C968" s="720"/>
      <c r="D968" s="202" t="s">
        <v>124</v>
      </c>
      <c r="E968" s="167" t="s">
        <v>6334</v>
      </c>
      <c r="F968" s="202" t="s">
        <v>31</v>
      </c>
      <c r="G968" s="203" t="s">
        <v>125</v>
      </c>
      <c r="H968" s="204" t="s">
        <v>126</v>
      </c>
    </row>
    <row r="969" spans="1:8" s="208" customFormat="1" ht="45">
      <c r="A969" s="581" t="str">
        <f>'Orç - Prédio'!A166</f>
        <v>04.01.558</v>
      </c>
      <c r="B969" s="581" t="str">
        <f>'Orç - Prédio'!B166</f>
        <v>SINAPI</v>
      </c>
      <c r="C969" s="581" t="str">
        <f>'Orç - Prédio'!C166</f>
        <v>90406 MOD</v>
      </c>
      <c r="D969" s="205" t="s">
        <v>7828</v>
      </c>
      <c r="E969" s="581">
        <v>5.67</v>
      </c>
      <c r="F969" s="581" t="s">
        <v>6339</v>
      </c>
      <c r="G969" s="207">
        <f>VLOOKUP("CUSTO TOTAL UNIT.:",D970:$H$30004,5,FALSE)</f>
        <v>118.21</v>
      </c>
      <c r="H969" s="637">
        <f>VLOOKUP("CUSTO TOTAL:",D970:$H$30004,5,FALSE)</f>
        <v>670.25</v>
      </c>
    </row>
    <row r="970" spans="1:8" s="124" customFormat="1" ht="30">
      <c r="A970" s="721">
        <v>256</v>
      </c>
      <c r="B970" s="721"/>
      <c r="C970" s="200" t="s">
        <v>6333</v>
      </c>
      <c r="D970" s="139" t="s">
        <v>7821</v>
      </c>
      <c r="E970" s="209">
        <v>80</v>
      </c>
      <c r="F970" s="577" t="s">
        <v>315</v>
      </c>
      <c r="G970" s="210">
        <v>1.0854000000000001</v>
      </c>
      <c r="H970" s="211">
        <f>ROUND(G970*E970,2)</f>
        <v>86.83</v>
      </c>
    </row>
    <row r="971" spans="1:8" s="124" customFormat="1" ht="30">
      <c r="A971" s="721">
        <v>88309</v>
      </c>
      <c r="B971" s="721"/>
      <c r="C971" s="200" t="s">
        <v>5256</v>
      </c>
      <c r="D971" s="139" t="s">
        <v>90</v>
      </c>
      <c r="E971" s="209">
        <v>1.58</v>
      </c>
      <c r="F971" s="577" t="s">
        <v>67</v>
      </c>
      <c r="G971" s="210">
        <v>15.608700000000001</v>
      </c>
      <c r="H971" s="211">
        <f>ROUND(G971*E971,2)</f>
        <v>24.66</v>
      </c>
    </row>
    <row r="972" spans="1:8" s="124" customFormat="1" ht="30">
      <c r="A972" s="721">
        <v>88316</v>
      </c>
      <c r="B972" s="721"/>
      <c r="C972" s="200" t="s">
        <v>5256</v>
      </c>
      <c r="D972" s="139" t="s">
        <v>66</v>
      </c>
      <c r="E972" s="209">
        <v>0.57799999999999996</v>
      </c>
      <c r="F972" s="577" t="s">
        <v>67</v>
      </c>
      <c r="G972" s="210">
        <v>11.631600000000001</v>
      </c>
      <c r="H972" s="211">
        <f>ROUND(G972*E972,2)</f>
        <v>6.72</v>
      </c>
    </row>
    <row r="973" spans="1:8" s="201" customFormat="1">
      <c r="A973" s="582"/>
      <c r="B973" s="582"/>
      <c r="C973" s="212"/>
      <c r="D973" s="719" t="s">
        <v>127</v>
      </c>
      <c r="E973" s="719"/>
      <c r="F973" s="719"/>
      <c r="G973" s="719"/>
      <c r="H973" s="638">
        <f>SUMIF(F970:F972,("h"),H970:H972)</f>
        <v>31.38</v>
      </c>
    </row>
    <row r="974" spans="1:8" s="201" customFormat="1">
      <c r="A974" s="582"/>
      <c r="B974" s="582"/>
      <c r="C974" s="212"/>
      <c r="D974" s="719" t="s">
        <v>128</v>
      </c>
      <c r="E974" s="719"/>
      <c r="F974" s="719"/>
      <c r="G974" s="719"/>
      <c r="H974" s="638">
        <f>SUMIF(F970:F972,"&lt;&gt;h",H970:H972)</f>
        <v>86.83</v>
      </c>
    </row>
    <row r="975" spans="1:8" s="201" customFormat="1">
      <c r="A975" s="582"/>
      <c r="B975" s="582"/>
      <c r="C975" s="212"/>
      <c r="D975" s="718" t="s">
        <v>129</v>
      </c>
      <c r="E975" s="718"/>
      <c r="F975" s="718"/>
      <c r="G975" s="718"/>
      <c r="H975" s="213">
        <f>SUM(H973:H974)</f>
        <v>118.21</v>
      </c>
    </row>
    <row r="976" spans="1:8" s="201" customFormat="1">
      <c r="A976" s="582"/>
      <c r="B976" s="582"/>
      <c r="C976" s="212"/>
      <c r="D976" s="719" t="s">
        <v>28</v>
      </c>
      <c r="E976" s="719"/>
      <c r="F976" s="719"/>
      <c r="G976" s="719"/>
      <c r="H976" s="639">
        <f>E969</f>
        <v>5.67</v>
      </c>
    </row>
    <row r="977" spans="1:8" s="201" customFormat="1">
      <c r="A977" s="582"/>
      <c r="B977" s="582"/>
      <c r="C977" s="212"/>
      <c r="D977" s="718" t="s">
        <v>130</v>
      </c>
      <c r="E977" s="718"/>
      <c r="F977" s="718"/>
      <c r="G977" s="718"/>
      <c r="H977" s="213">
        <f>ROUND(H975*H976,2)</f>
        <v>670.25</v>
      </c>
    </row>
    <row r="978" spans="1:8" s="201" customFormat="1">
      <c r="A978" s="582"/>
      <c r="B978" s="582"/>
      <c r="C978" s="212"/>
      <c r="D978" s="719" t="s">
        <v>15559</v>
      </c>
      <c r="E978" s="719"/>
      <c r="F978" s="719"/>
      <c r="G978" s="719"/>
      <c r="H978" s="638">
        <f>ROUND(H975*$B$13,2)</f>
        <v>31.83</v>
      </c>
    </row>
    <row r="979" spans="1:8">
      <c r="A979" s="582"/>
      <c r="B979" s="582"/>
      <c r="C979" s="212"/>
      <c r="D979" s="718" t="s">
        <v>9661</v>
      </c>
      <c r="E979" s="718"/>
      <c r="F979" s="718"/>
      <c r="G979" s="718"/>
      <c r="H979" s="213">
        <f>H978+H975</f>
        <v>150.04</v>
      </c>
    </row>
    <row r="981" spans="1:8" s="201" customFormat="1">
      <c r="A981" s="123" t="s">
        <v>6</v>
      </c>
      <c r="B981" s="720" t="s">
        <v>7</v>
      </c>
      <c r="C981" s="720"/>
      <c r="D981" s="202" t="s">
        <v>124</v>
      </c>
      <c r="E981" s="167" t="s">
        <v>6334</v>
      </c>
      <c r="F981" s="202" t="s">
        <v>31</v>
      </c>
      <c r="G981" s="203" t="s">
        <v>125</v>
      </c>
      <c r="H981" s="204" t="s">
        <v>126</v>
      </c>
    </row>
    <row r="982" spans="1:8" s="208" customFormat="1" ht="45">
      <c r="A982" s="581" t="str">
        <f>'Orç - Prédio'!A176</f>
        <v>04.01.576.02</v>
      </c>
      <c r="B982" s="216" t="str">
        <f>'Orç - Prédio'!B176</f>
        <v>ORSE</v>
      </c>
      <c r="C982" s="216">
        <f>'Orç - Prédio'!C176</f>
        <v>4934</v>
      </c>
      <c r="D982" s="217" t="s">
        <v>7831</v>
      </c>
      <c r="E982" s="206">
        <v>2310.17</v>
      </c>
      <c r="F982" s="216" t="s">
        <v>6339</v>
      </c>
      <c r="G982" s="207">
        <f>VLOOKUP("CUSTO TOTAL UNIT.:",D983:$H$30004,5,FALSE)</f>
        <v>5.26</v>
      </c>
      <c r="H982" s="637">
        <f>VLOOKUP("CUSTO TOTAL:",D983:$H$30004,5,FALSE)</f>
        <v>12151.49</v>
      </c>
    </row>
    <row r="983" spans="1:8" s="124" customFormat="1">
      <c r="A983" s="721">
        <v>4740</v>
      </c>
      <c r="B983" s="721"/>
      <c r="C983" s="200" t="s">
        <v>6333</v>
      </c>
      <c r="D983" s="139" t="s">
        <v>7832</v>
      </c>
      <c r="E983" s="209">
        <v>0.08</v>
      </c>
      <c r="F983" s="577" t="s">
        <v>4999</v>
      </c>
      <c r="G983" s="210">
        <v>9.9711000000000016</v>
      </c>
      <c r="H983" s="211">
        <f>ROUND(G983*E983,2)</f>
        <v>0.8</v>
      </c>
    </row>
    <row r="984" spans="1:8" s="124" customFormat="1">
      <c r="A984" s="721">
        <v>88310</v>
      </c>
      <c r="B984" s="721"/>
      <c r="C984" s="200" t="s">
        <v>5256</v>
      </c>
      <c r="D984" s="139" t="s">
        <v>92</v>
      </c>
      <c r="E984" s="209">
        <v>0.2</v>
      </c>
      <c r="F984" s="577" t="s">
        <v>67</v>
      </c>
      <c r="G984" s="210">
        <v>16.515900000000002</v>
      </c>
      <c r="H984" s="211">
        <f>ROUND(G984*E984,2)</f>
        <v>3.3</v>
      </c>
    </row>
    <row r="985" spans="1:8" s="124" customFormat="1" ht="30">
      <c r="A985" s="721">
        <v>88316</v>
      </c>
      <c r="B985" s="721"/>
      <c r="C985" s="200" t="s">
        <v>5256</v>
      </c>
      <c r="D985" s="139" t="s">
        <v>66</v>
      </c>
      <c r="E985" s="209">
        <v>0.1</v>
      </c>
      <c r="F985" s="577" t="s">
        <v>67</v>
      </c>
      <c r="G985" s="210">
        <v>11.631600000000001</v>
      </c>
      <c r="H985" s="211">
        <f>ROUND(G985*E985,2)</f>
        <v>1.1599999999999999</v>
      </c>
    </row>
    <row r="986" spans="1:8" s="201" customFormat="1">
      <c r="A986" s="582"/>
      <c r="B986" s="582"/>
      <c r="C986" s="212"/>
      <c r="D986" s="719" t="s">
        <v>127</v>
      </c>
      <c r="E986" s="719"/>
      <c r="F986" s="719"/>
      <c r="G986" s="719"/>
      <c r="H986" s="638">
        <f>SUMIF(F983:F985,("h"),H983:H985)</f>
        <v>4.46</v>
      </c>
    </row>
    <row r="987" spans="1:8" s="201" customFormat="1">
      <c r="A987" s="582"/>
      <c r="B987" s="582"/>
      <c r="C987" s="212"/>
      <c r="D987" s="719" t="s">
        <v>128</v>
      </c>
      <c r="E987" s="719"/>
      <c r="F987" s="719"/>
      <c r="G987" s="719"/>
      <c r="H987" s="638">
        <f>SUMIF(F983:F985,"&lt;&gt;h",H983:H985)</f>
        <v>0.8</v>
      </c>
    </row>
    <row r="988" spans="1:8" s="201" customFormat="1">
      <c r="A988" s="582"/>
      <c r="B988" s="582"/>
      <c r="C988" s="212"/>
      <c r="D988" s="718" t="s">
        <v>129</v>
      </c>
      <c r="E988" s="718"/>
      <c r="F988" s="718"/>
      <c r="G988" s="718"/>
      <c r="H988" s="213">
        <f>SUM(H986:H987)</f>
        <v>5.26</v>
      </c>
    </row>
    <row r="989" spans="1:8" s="201" customFormat="1">
      <c r="A989" s="582"/>
      <c r="B989" s="582"/>
      <c r="C989" s="212"/>
      <c r="D989" s="719" t="s">
        <v>28</v>
      </c>
      <c r="E989" s="719"/>
      <c r="F989" s="719"/>
      <c r="G989" s="719"/>
      <c r="H989" s="639">
        <f>E982</f>
        <v>2310.17</v>
      </c>
    </row>
    <row r="990" spans="1:8" s="201" customFormat="1">
      <c r="A990" s="582"/>
      <c r="B990" s="582"/>
      <c r="C990" s="212"/>
      <c r="D990" s="718" t="s">
        <v>130</v>
      </c>
      <c r="E990" s="718"/>
      <c r="F990" s="718"/>
      <c r="G990" s="718"/>
      <c r="H990" s="213">
        <f>ROUND(H988*H989,2)</f>
        <v>12151.49</v>
      </c>
    </row>
    <row r="991" spans="1:8" s="201" customFormat="1">
      <c r="A991" s="582"/>
      <c r="B991" s="582"/>
      <c r="C991" s="212"/>
      <c r="D991" s="719" t="s">
        <v>15559</v>
      </c>
      <c r="E991" s="719"/>
      <c r="F991" s="719"/>
      <c r="G991" s="719"/>
      <c r="H991" s="638">
        <f>ROUND(H988*$B$13,2)</f>
        <v>1.42</v>
      </c>
    </row>
    <row r="992" spans="1:8">
      <c r="A992" s="582"/>
      <c r="B992" s="582"/>
      <c r="C992" s="212"/>
      <c r="D992" s="718" t="s">
        <v>9661</v>
      </c>
      <c r="E992" s="718"/>
      <c r="F992" s="718"/>
      <c r="G992" s="718"/>
      <c r="H992" s="213">
        <f>H991+H988</f>
        <v>6.68</v>
      </c>
    </row>
    <row r="994" spans="1:8" s="201" customFormat="1">
      <c r="A994" s="123" t="s">
        <v>6</v>
      </c>
      <c r="B994" s="720" t="s">
        <v>7</v>
      </c>
      <c r="C994" s="720"/>
      <c r="D994" s="202" t="s">
        <v>124</v>
      </c>
      <c r="E994" s="167" t="s">
        <v>6334</v>
      </c>
      <c r="F994" s="202" t="s">
        <v>31</v>
      </c>
      <c r="G994" s="203" t="s">
        <v>125</v>
      </c>
      <c r="H994" s="204" t="s">
        <v>126</v>
      </c>
    </row>
    <row r="995" spans="1:8" s="208" customFormat="1" ht="75">
      <c r="A995" s="581" t="str">
        <f>'Orç - Prédio'!A179</f>
        <v>04.01.601.02</v>
      </c>
      <c r="B995" s="216" t="str">
        <f>'Orç - Prédio'!B179</f>
        <v>SINAPI</v>
      </c>
      <c r="C995" s="216" t="str">
        <f>'Orç - Prédio'!C179</f>
        <v>98546 MOD</v>
      </c>
      <c r="D995" s="217" t="s">
        <v>6874</v>
      </c>
      <c r="E995" s="206">
        <v>473.02</v>
      </c>
      <c r="F995" s="216" t="s">
        <v>6339</v>
      </c>
      <c r="G995" s="207">
        <f>VLOOKUP("CUSTO TOTAL UNIT.:",D996:$H$30004,5,FALSE)</f>
        <v>66.44</v>
      </c>
      <c r="H995" s="637">
        <f>VLOOKUP("CUSTO TOTAL:",D996:$H$30004,5,FALSE)</f>
        <v>31427.45</v>
      </c>
    </row>
    <row r="996" spans="1:8" s="124" customFormat="1" ht="45">
      <c r="A996" s="721">
        <v>511</v>
      </c>
      <c r="B996" s="721"/>
      <c r="C996" s="200" t="s">
        <v>5256</v>
      </c>
      <c r="D996" s="139" t="s">
        <v>13585</v>
      </c>
      <c r="E996" s="209">
        <v>0.61499999999999999</v>
      </c>
      <c r="F996" s="577" t="s">
        <v>50</v>
      </c>
      <c r="G996" s="210">
        <v>11.040300000000002</v>
      </c>
      <c r="H996" s="211">
        <f>ROUND(G996*E996,2)</f>
        <v>6.79</v>
      </c>
    </row>
    <row r="997" spans="1:8" s="124" customFormat="1" ht="45">
      <c r="A997" s="721">
        <v>4015</v>
      </c>
      <c r="B997" s="721"/>
      <c r="C997" s="200" t="s">
        <v>5256</v>
      </c>
      <c r="D997" s="139" t="s">
        <v>12889</v>
      </c>
      <c r="E997" s="209">
        <v>1.125</v>
      </c>
      <c r="F997" s="577" t="s">
        <v>46</v>
      </c>
      <c r="G997" s="210">
        <v>36.474300000000007</v>
      </c>
      <c r="H997" s="211">
        <f>ROUND(G997*E997,2)</f>
        <v>41.03</v>
      </c>
    </row>
    <row r="998" spans="1:8" s="124" customFormat="1">
      <c r="A998" s="721">
        <v>4226</v>
      </c>
      <c r="B998" s="721"/>
      <c r="C998" s="200" t="s">
        <v>5256</v>
      </c>
      <c r="D998" s="139" t="s">
        <v>12049</v>
      </c>
      <c r="E998" s="209">
        <v>0.26</v>
      </c>
      <c r="F998" s="577" t="s">
        <v>49</v>
      </c>
      <c r="G998" s="210">
        <v>4.5927000000000007</v>
      </c>
      <c r="H998" s="211">
        <f>ROUND(G998*E998,2)</f>
        <v>1.19</v>
      </c>
    </row>
    <row r="999" spans="1:8" s="124" customFormat="1" ht="30">
      <c r="A999" s="721">
        <v>88243</v>
      </c>
      <c r="B999" s="721"/>
      <c r="C999" s="200" t="s">
        <v>5256</v>
      </c>
      <c r="D999" s="139" t="s">
        <v>102</v>
      </c>
      <c r="E999" s="209">
        <v>0.192</v>
      </c>
      <c r="F999" s="577" t="s">
        <v>67</v>
      </c>
      <c r="G999" s="210">
        <v>13.7133</v>
      </c>
      <c r="H999" s="211">
        <f>ROUND(G999*E999,2)</f>
        <v>2.63</v>
      </c>
    </row>
    <row r="1000" spans="1:8" s="124" customFormat="1" ht="30">
      <c r="A1000" s="721">
        <v>88270</v>
      </c>
      <c r="B1000" s="721"/>
      <c r="C1000" s="200" t="s">
        <v>5256</v>
      </c>
      <c r="D1000" s="139" t="s">
        <v>103</v>
      </c>
      <c r="E1000" s="209">
        <v>0.94799999999999995</v>
      </c>
      <c r="F1000" s="577" t="s">
        <v>67</v>
      </c>
      <c r="G1000" s="210">
        <v>15.608700000000001</v>
      </c>
      <c r="H1000" s="211">
        <f>ROUND(G1000*E1000,2)</f>
        <v>14.8</v>
      </c>
    </row>
    <row r="1001" spans="1:8" s="201" customFormat="1">
      <c r="A1001" s="582"/>
      <c r="B1001" s="582"/>
      <c r="C1001" s="212"/>
      <c r="D1001" s="719" t="s">
        <v>127</v>
      </c>
      <c r="E1001" s="719"/>
      <c r="F1001" s="719"/>
      <c r="G1001" s="719"/>
      <c r="H1001" s="638">
        <f>SUMIF(F996:F1000,("h"),H996:H1000)</f>
        <v>17.43</v>
      </c>
    </row>
    <row r="1002" spans="1:8" s="201" customFormat="1">
      <c r="A1002" s="582"/>
      <c r="B1002" s="582"/>
      <c r="C1002" s="212"/>
      <c r="D1002" s="719" t="s">
        <v>128</v>
      </c>
      <c r="E1002" s="719"/>
      <c r="F1002" s="719"/>
      <c r="G1002" s="719"/>
      <c r="H1002" s="638">
        <f>SUMIF(F996:F1000,"&lt;&gt;h",H996:H1000)</f>
        <v>49.01</v>
      </c>
    </row>
    <row r="1003" spans="1:8" s="201" customFormat="1">
      <c r="A1003" s="582"/>
      <c r="B1003" s="582"/>
      <c r="C1003" s="212"/>
      <c r="D1003" s="718" t="s">
        <v>129</v>
      </c>
      <c r="E1003" s="718"/>
      <c r="F1003" s="718"/>
      <c r="G1003" s="718"/>
      <c r="H1003" s="213">
        <f>SUM(H1001:H1002)</f>
        <v>66.44</v>
      </c>
    </row>
    <row r="1004" spans="1:8" s="201" customFormat="1">
      <c r="A1004" s="582"/>
      <c r="B1004" s="582"/>
      <c r="C1004" s="212"/>
      <c r="D1004" s="719" t="s">
        <v>28</v>
      </c>
      <c r="E1004" s="719"/>
      <c r="F1004" s="719"/>
      <c r="G1004" s="719"/>
      <c r="H1004" s="639">
        <f>E995</f>
        <v>473.02</v>
      </c>
    </row>
    <row r="1005" spans="1:8" s="201" customFormat="1">
      <c r="A1005" s="582"/>
      <c r="B1005" s="582"/>
      <c r="C1005" s="212"/>
      <c r="D1005" s="718" t="s">
        <v>130</v>
      </c>
      <c r="E1005" s="718"/>
      <c r="F1005" s="718"/>
      <c r="G1005" s="718"/>
      <c r="H1005" s="213">
        <f>ROUND(H1003*H1004,2)</f>
        <v>31427.45</v>
      </c>
    </row>
    <row r="1006" spans="1:8" s="201" customFormat="1">
      <c r="A1006" s="582"/>
      <c r="B1006" s="582"/>
      <c r="C1006" s="212"/>
      <c r="D1006" s="719" t="s">
        <v>15559</v>
      </c>
      <c r="E1006" s="719"/>
      <c r="F1006" s="719"/>
      <c r="G1006" s="719"/>
      <c r="H1006" s="638">
        <f>ROUND(H1003*$B$13,2)</f>
        <v>17.89</v>
      </c>
    </row>
    <row r="1007" spans="1:8">
      <c r="A1007" s="582"/>
      <c r="B1007" s="582"/>
      <c r="C1007" s="212"/>
      <c r="D1007" s="718" t="s">
        <v>9661</v>
      </c>
      <c r="E1007" s="718"/>
      <c r="F1007" s="718"/>
      <c r="G1007" s="718"/>
      <c r="H1007" s="213">
        <f>H1006+H1003</f>
        <v>84.33</v>
      </c>
    </row>
    <row r="1009" spans="1:8" s="201" customFormat="1">
      <c r="A1009" s="123" t="s">
        <v>6</v>
      </c>
      <c r="B1009" s="720" t="s">
        <v>7</v>
      </c>
      <c r="C1009" s="720"/>
      <c r="D1009" s="202" t="s">
        <v>124</v>
      </c>
      <c r="E1009" s="167" t="s">
        <v>6334</v>
      </c>
      <c r="F1009" s="202" t="s">
        <v>31</v>
      </c>
      <c r="G1009" s="203" t="s">
        <v>125</v>
      </c>
      <c r="H1009" s="204" t="s">
        <v>126</v>
      </c>
    </row>
    <row r="1010" spans="1:8" s="208" customFormat="1" ht="75">
      <c r="A1010" s="581" t="str">
        <f>'Orç - Prédio'!A180</f>
        <v>04.01.601.03</v>
      </c>
      <c r="B1010" s="216" t="str">
        <f>'Orç - Prédio'!B180</f>
        <v>SINAPI</v>
      </c>
      <c r="C1010" s="216" t="str">
        <f>'Orç - Prédio'!C180</f>
        <v>87755 MOD</v>
      </c>
      <c r="D1010" s="217" t="s">
        <v>6869</v>
      </c>
      <c r="E1010" s="206">
        <v>473.02</v>
      </c>
      <c r="F1010" s="216" t="s">
        <v>6339</v>
      </c>
      <c r="G1010" s="207">
        <f>VLOOKUP("CUSTO TOTAL UNIT.:",D1011:$H$30004,5,FALSE)</f>
        <v>37.57</v>
      </c>
      <c r="H1010" s="637">
        <f>VLOOKUP("CUSTO TOTAL:",D1011:$H$30004,5,FALSE)</f>
        <v>17771.36</v>
      </c>
    </row>
    <row r="1011" spans="1:8" s="124" customFormat="1">
      <c r="A1011" s="721">
        <v>1379</v>
      </c>
      <c r="B1011" s="721"/>
      <c r="C1011" s="200" t="s">
        <v>5256</v>
      </c>
      <c r="D1011" s="139" t="s">
        <v>10940</v>
      </c>
      <c r="E1011" s="209">
        <v>0.5</v>
      </c>
      <c r="F1011" s="577" t="s">
        <v>49</v>
      </c>
      <c r="G1011" s="210">
        <v>0.33210000000000001</v>
      </c>
      <c r="H1011" s="211">
        <f>ROUND(G1011*E1011,2)</f>
        <v>0.17</v>
      </c>
    </row>
    <row r="1012" spans="1:8" s="124" customFormat="1" ht="45">
      <c r="A1012" s="721">
        <v>37411</v>
      </c>
      <c r="B1012" s="721"/>
      <c r="C1012" s="200" t="s">
        <v>5256</v>
      </c>
      <c r="D1012" s="139" t="s">
        <v>14218</v>
      </c>
      <c r="E1012" s="209">
        <v>1</v>
      </c>
      <c r="F1012" s="577" t="s">
        <v>46</v>
      </c>
      <c r="G1012" s="210">
        <v>9.5175000000000001</v>
      </c>
      <c r="H1012" s="211">
        <f>ROUND(G1012*E1012,2)</f>
        <v>9.52</v>
      </c>
    </row>
    <row r="1013" spans="1:8" s="124" customFormat="1" ht="60">
      <c r="A1013" s="721">
        <v>87301</v>
      </c>
      <c r="B1013" s="721"/>
      <c r="C1013" s="200" t="s">
        <v>5256</v>
      </c>
      <c r="D1013" s="139" t="s">
        <v>4894</v>
      </c>
      <c r="E1013" s="209">
        <v>4.3099999999999999E-2</v>
      </c>
      <c r="F1013" s="577" t="s">
        <v>1261</v>
      </c>
      <c r="G1013" s="210">
        <v>318.89699999999999</v>
      </c>
      <c r="H1013" s="211">
        <f>ROUND(G1013*E1013,2)</f>
        <v>13.74</v>
      </c>
    </row>
    <row r="1014" spans="1:8" s="124" customFormat="1" ht="30">
      <c r="A1014" s="721">
        <v>88309</v>
      </c>
      <c r="B1014" s="721"/>
      <c r="C1014" s="200" t="s">
        <v>5256</v>
      </c>
      <c r="D1014" s="139" t="s">
        <v>90</v>
      </c>
      <c r="E1014" s="209">
        <v>0.66</v>
      </c>
      <c r="F1014" s="577" t="s">
        <v>67</v>
      </c>
      <c r="G1014" s="210">
        <v>15.608700000000001</v>
      </c>
      <c r="H1014" s="211">
        <f>ROUND(G1014*E1014,2)</f>
        <v>10.3</v>
      </c>
    </row>
    <row r="1015" spans="1:8" s="124" customFormat="1" ht="30">
      <c r="A1015" s="721">
        <v>88316</v>
      </c>
      <c r="B1015" s="721"/>
      <c r="C1015" s="200" t="s">
        <v>5256</v>
      </c>
      <c r="D1015" s="139" t="s">
        <v>66</v>
      </c>
      <c r="E1015" s="209">
        <v>0.33</v>
      </c>
      <c r="F1015" s="577" t="s">
        <v>67</v>
      </c>
      <c r="G1015" s="210">
        <v>11.631600000000001</v>
      </c>
      <c r="H1015" s="211">
        <f>ROUND(G1015*E1015,2)</f>
        <v>3.84</v>
      </c>
    </row>
    <row r="1016" spans="1:8" s="201" customFormat="1">
      <c r="A1016" s="582"/>
      <c r="B1016" s="582"/>
      <c r="C1016" s="212"/>
      <c r="D1016" s="719" t="s">
        <v>127</v>
      </c>
      <c r="E1016" s="719"/>
      <c r="F1016" s="719"/>
      <c r="G1016" s="719"/>
      <c r="H1016" s="638">
        <f>SUMIF(F1011:F1015,("h"),H1011:H1015)</f>
        <v>14.14</v>
      </c>
    </row>
    <row r="1017" spans="1:8" s="201" customFormat="1">
      <c r="A1017" s="582"/>
      <c r="B1017" s="582"/>
      <c r="C1017" s="212"/>
      <c r="D1017" s="719" t="s">
        <v>128</v>
      </c>
      <c r="E1017" s="719"/>
      <c r="F1017" s="719"/>
      <c r="G1017" s="719"/>
      <c r="H1017" s="638">
        <f>SUMIF(F1011:F1015,"&lt;&gt;h",H1011:H1015)</f>
        <v>23.43</v>
      </c>
    </row>
    <row r="1018" spans="1:8" s="201" customFormat="1">
      <c r="A1018" s="582"/>
      <c r="B1018" s="582"/>
      <c r="C1018" s="212"/>
      <c r="D1018" s="718" t="s">
        <v>129</v>
      </c>
      <c r="E1018" s="718"/>
      <c r="F1018" s="718"/>
      <c r="G1018" s="718"/>
      <c r="H1018" s="213">
        <f>SUM(H1016:H1017)</f>
        <v>37.57</v>
      </c>
    </row>
    <row r="1019" spans="1:8" s="201" customFormat="1">
      <c r="A1019" s="582"/>
      <c r="B1019" s="582"/>
      <c r="C1019" s="212"/>
      <c r="D1019" s="719" t="s">
        <v>28</v>
      </c>
      <c r="E1019" s="719"/>
      <c r="F1019" s="719"/>
      <c r="G1019" s="719"/>
      <c r="H1019" s="639">
        <f>E1010</f>
        <v>473.02</v>
      </c>
    </row>
    <row r="1020" spans="1:8" s="201" customFormat="1">
      <c r="A1020" s="582"/>
      <c r="B1020" s="582"/>
      <c r="C1020" s="212"/>
      <c r="D1020" s="718" t="s">
        <v>130</v>
      </c>
      <c r="E1020" s="718"/>
      <c r="F1020" s="718"/>
      <c r="G1020" s="718"/>
      <c r="H1020" s="213">
        <f>ROUND(H1018*H1019,2)</f>
        <v>17771.36</v>
      </c>
    </row>
    <row r="1021" spans="1:8" s="201" customFormat="1">
      <c r="A1021" s="582"/>
      <c r="B1021" s="582"/>
      <c r="C1021" s="212"/>
      <c r="D1021" s="719" t="s">
        <v>15559</v>
      </c>
      <c r="E1021" s="719"/>
      <c r="F1021" s="719"/>
      <c r="G1021" s="719"/>
      <c r="H1021" s="638">
        <f>ROUND(H1018*$B$13,2)</f>
        <v>10.119999999999999</v>
      </c>
    </row>
    <row r="1022" spans="1:8">
      <c r="A1022" s="582"/>
      <c r="B1022" s="582"/>
      <c r="C1022" s="212"/>
      <c r="D1022" s="718" t="s">
        <v>9661</v>
      </c>
      <c r="E1022" s="718"/>
      <c r="F1022" s="718"/>
      <c r="G1022" s="718"/>
      <c r="H1022" s="213">
        <f>H1021+H1018</f>
        <v>47.69</v>
      </c>
    </row>
    <row r="1024" spans="1:8" s="201" customFormat="1">
      <c r="A1024" s="123" t="s">
        <v>6</v>
      </c>
      <c r="B1024" s="720" t="s">
        <v>7</v>
      </c>
      <c r="C1024" s="720"/>
      <c r="D1024" s="202" t="s">
        <v>124</v>
      </c>
      <c r="E1024" s="167" t="s">
        <v>6334</v>
      </c>
      <c r="F1024" s="202" t="s">
        <v>31</v>
      </c>
      <c r="G1024" s="203" t="s">
        <v>125</v>
      </c>
      <c r="H1024" s="204" t="s">
        <v>126</v>
      </c>
    </row>
    <row r="1025" spans="1:8" s="208" customFormat="1" ht="30">
      <c r="A1025" s="205" t="str">
        <f>'Orç - Prédio'!A189</f>
        <v>04.01.703</v>
      </c>
      <c r="B1025" s="581" t="str">
        <f>'Orç - Prédio'!B189</f>
        <v>SINAPI</v>
      </c>
      <c r="C1025" s="581" t="str">
        <f>'Orç - Prédio'!C189</f>
        <v>97734 MOD</v>
      </c>
      <c r="D1025" s="205" t="s">
        <v>6985</v>
      </c>
      <c r="E1025" s="581">
        <v>192.86</v>
      </c>
      <c r="F1025" s="581" t="s">
        <v>6774</v>
      </c>
      <c r="G1025" s="207">
        <f>VLOOKUP("CUSTO TOTAL UNIT.:",D1026:$H$30004,5,FALSE)</f>
        <v>19.37</v>
      </c>
      <c r="H1025" s="637">
        <f>VLOOKUP("CUSTO TOTAL:",D1026:$H$30004,5,FALSE)</f>
        <v>3735.7</v>
      </c>
    </row>
    <row r="1026" spans="1:8" s="124" customFormat="1" ht="45">
      <c r="A1026" s="721">
        <v>97734</v>
      </c>
      <c r="B1026" s="721"/>
      <c r="C1026" s="200" t="s">
        <v>5256</v>
      </c>
      <c r="D1026" s="139" t="s">
        <v>6467</v>
      </c>
      <c r="E1026" s="209">
        <v>1.2E-2</v>
      </c>
      <c r="F1026" s="577" t="s">
        <v>1261</v>
      </c>
      <c r="G1026" s="210">
        <v>1614.0789000000002</v>
      </c>
      <c r="H1026" s="211">
        <f>ROUND(G1026*E1026,2)</f>
        <v>19.37</v>
      </c>
    </row>
    <row r="1027" spans="1:8" s="201" customFormat="1">
      <c r="A1027" s="582"/>
      <c r="B1027" s="582"/>
      <c r="C1027" s="212"/>
      <c r="D1027" s="719" t="s">
        <v>127</v>
      </c>
      <c r="E1027" s="719"/>
      <c r="F1027" s="719"/>
      <c r="G1027" s="719"/>
      <c r="H1027" s="638">
        <f>SUMIF(F1026:F1026,("h"),H1026:H1026)</f>
        <v>0</v>
      </c>
    </row>
    <row r="1028" spans="1:8" s="201" customFormat="1">
      <c r="A1028" s="582"/>
      <c r="B1028" s="582"/>
      <c r="C1028" s="212"/>
      <c r="D1028" s="719" t="s">
        <v>128</v>
      </c>
      <c r="E1028" s="719"/>
      <c r="F1028" s="719"/>
      <c r="G1028" s="719"/>
      <c r="H1028" s="638">
        <f>SUMIF(F1026:F1026,"&lt;&gt;h",H1026:H1026)</f>
        <v>19.37</v>
      </c>
    </row>
    <row r="1029" spans="1:8" s="201" customFormat="1">
      <c r="A1029" s="582"/>
      <c r="B1029" s="582"/>
      <c r="C1029" s="212"/>
      <c r="D1029" s="718" t="s">
        <v>129</v>
      </c>
      <c r="E1029" s="718"/>
      <c r="F1029" s="718"/>
      <c r="G1029" s="718"/>
      <c r="H1029" s="213">
        <f>SUM(H1027:H1028)</f>
        <v>19.37</v>
      </c>
    </row>
    <row r="1030" spans="1:8" s="201" customFormat="1">
      <c r="A1030" s="582"/>
      <c r="B1030" s="582"/>
      <c r="C1030" s="212"/>
      <c r="D1030" s="719" t="s">
        <v>28</v>
      </c>
      <c r="E1030" s="719"/>
      <c r="F1030" s="719"/>
      <c r="G1030" s="719"/>
      <c r="H1030" s="639">
        <f>E1025</f>
        <v>192.86</v>
      </c>
    </row>
    <row r="1031" spans="1:8" s="201" customFormat="1">
      <c r="A1031" s="582"/>
      <c r="B1031" s="582"/>
      <c r="C1031" s="212"/>
      <c r="D1031" s="718" t="s">
        <v>130</v>
      </c>
      <c r="E1031" s="718"/>
      <c r="F1031" s="718"/>
      <c r="G1031" s="718"/>
      <c r="H1031" s="213">
        <f>ROUND(H1029*H1030,2)</f>
        <v>3735.7</v>
      </c>
    </row>
    <row r="1032" spans="1:8" s="201" customFormat="1">
      <c r="A1032" s="582"/>
      <c r="B1032" s="582"/>
      <c r="C1032" s="212"/>
      <c r="D1032" s="719" t="s">
        <v>15559</v>
      </c>
      <c r="E1032" s="719"/>
      <c r="F1032" s="719"/>
      <c r="G1032" s="719"/>
      <c r="H1032" s="638">
        <f>ROUND(H1029*$B$13,2)</f>
        <v>5.22</v>
      </c>
    </row>
    <row r="1033" spans="1:8">
      <c r="A1033" s="582"/>
      <c r="B1033" s="582"/>
      <c r="C1033" s="212"/>
      <c r="D1033" s="718" t="s">
        <v>9661</v>
      </c>
      <c r="E1033" s="718"/>
      <c r="F1033" s="718"/>
      <c r="G1033" s="718"/>
      <c r="H1033" s="213">
        <f>H1032+H1029</f>
        <v>24.59</v>
      </c>
    </row>
    <row r="1035" spans="1:8" s="201" customFormat="1">
      <c r="A1035" s="123" t="s">
        <v>6</v>
      </c>
      <c r="B1035" s="720" t="s">
        <v>7</v>
      </c>
      <c r="C1035" s="720"/>
      <c r="D1035" s="202" t="s">
        <v>124</v>
      </c>
      <c r="E1035" s="167" t="s">
        <v>6334</v>
      </c>
      <c r="F1035" s="202" t="s">
        <v>31</v>
      </c>
      <c r="G1035" s="203" t="s">
        <v>125</v>
      </c>
      <c r="H1035" s="204" t="s">
        <v>126</v>
      </c>
    </row>
    <row r="1036" spans="1:8" s="208" customFormat="1" ht="90">
      <c r="A1036" s="581" t="str">
        <f>'Orç - Prédio'!A192</f>
        <v>04.01.801.01</v>
      </c>
      <c r="B1036" s="216" t="str">
        <f>'Orç - Prédio'!B192</f>
        <v>Comp. Montada</v>
      </c>
      <c r="C1036" s="216">
        <f>'Orç - Prédio'!C192</f>
        <v>7</v>
      </c>
      <c r="D1036" s="217" t="s">
        <v>6992</v>
      </c>
      <c r="E1036" s="206">
        <v>60.58</v>
      </c>
      <c r="F1036" s="216" t="s">
        <v>6774</v>
      </c>
      <c r="G1036" s="207">
        <f>VLOOKUP("CUSTO TOTAL UNIT.:",D1037:$H$30004,5,FALSE)</f>
        <v>245.97000000000003</v>
      </c>
      <c r="H1036" s="637">
        <f>VLOOKUP("CUSTO TOTAL:",D1037:$H$30004,5,FALSE)</f>
        <v>14900.86</v>
      </c>
    </row>
    <row r="1037" spans="1:8" s="124" customFormat="1" ht="30">
      <c r="A1037" s="721">
        <v>568</v>
      </c>
      <c r="B1037" s="721"/>
      <c r="C1037" s="200" t="s">
        <v>5256</v>
      </c>
      <c r="D1037" s="139" t="s">
        <v>10741</v>
      </c>
      <c r="E1037" s="209">
        <v>0.12</v>
      </c>
      <c r="F1037" s="577" t="s">
        <v>48</v>
      </c>
      <c r="G1037" s="210">
        <v>34.635600000000004</v>
      </c>
      <c r="H1037" s="211">
        <f t="shared" ref="H1037:H1044" si="37">ROUND(G1037*E1037,2)</f>
        <v>4.16</v>
      </c>
    </row>
    <row r="1038" spans="1:8" s="124" customFormat="1" ht="30">
      <c r="A1038" s="721">
        <v>11975</v>
      </c>
      <c r="B1038" s="721"/>
      <c r="C1038" s="200" t="s">
        <v>5256</v>
      </c>
      <c r="D1038" s="139" t="s">
        <v>10930</v>
      </c>
      <c r="E1038" s="209">
        <v>8</v>
      </c>
      <c r="F1038" s="577" t="s">
        <v>40</v>
      </c>
      <c r="G1038" s="210">
        <v>13.810500000000001</v>
      </c>
      <c r="H1038" s="211">
        <f t="shared" si="37"/>
        <v>110.48</v>
      </c>
    </row>
    <row r="1039" spans="1:8" s="124" customFormat="1" ht="45">
      <c r="A1039" s="721">
        <v>21013</v>
      </c>
      <c r="B1039" s="721"/>
      <c r="C1039" s="200" t="s">
        <v>5256</v>
      </c>
      <c r="D1039" s="139" t="s">
        <v>14502</v>
      </c>
      <c r="E1039" s="209">
        <v>2</v>
      </c>
      <c r="F1039" s="577" t="s">
        <v>48</v>
      </c>
      <c r="G1039" s="210">
        <v>34.862400000000001</v>
      </c>
      <c r="H1039" s="211">
        <f t="shared" si="37"/>
        <v>69.72</v>
      </c>
    </row>
    <row r="1040" spans="1:8" s="124" customFormat="1" ht="30">
      <c r="A1040" s="721">
        <v>546</v>
      </c>
      <c r="B1040" s="721"/>
      <c r="C1040" s="200" t="s">
        <v>5256</v>
      </c>
      <c r="D1040" s="139" t="s">
        <v>10143</v>
      </c>
      <c r="E1040" s="209">
        <v>2.44</v>
      </c>
      <c r="F1040" s="577" t="s">
        <v>49</v>
      </c>
      <c r="G1040" s="210">
        <v>4.3416000000000006</v>
      </c>
      <c r="H1040" s="211">
        <f t="shared" si="37"/>
        <v>10.59</v>
      </c>
    </row>
    <row r="1041" spans="1:8" s="124" customFormat="1" ht="30">
      <c r="A1041" s="721" t="s">
        <v>4477</v>
      </c>
      <c r="B1041" s="721"/>
      <c r="C1041" s="200" t="s">
        <v>5256</v>
      </c>
      <c r="D1041" s="139" t="s">
        <v>4478</v>
      </c>
      <c r="E1041" s="209">
        <v>0.37415999999999999</v>
      </c>
      <c r="F1041" s="577" t="s">
        <v>322</v>
      </c>
      <c r="G1041" s="210">
        <v>15.122700000000002</v>
      </c>
      <c r="H1041" s="211">
        <f t="shared" si="37"/>
        <v>5.66</v>
      </c>
    </row>
    <row r="1042" spans="1:8" s="124" customFormat="1" ht="30">
      <c r="A1042" s="721" t="s">
        <v>4471</v>
      </c>
      <c r="B1042" s="721"/>
      <c r="C1042" s="200" t="s">
        <v>5256</v>
      </c>
      <c r="D1042" s="139" t="s">
        <v>4472</v>
      </c>
      <c r="E1042" s="209">
        <v>0.81415999999999999</v>
      </c>
      <c r="F1042" s="577" t="s">
        <v>322</v>
      </c>
      <c r="G1042" s="210">
        <v>19.2942</v>
      </c>
      <c r="H1042" s="211">
        <f t="shared" si="37"/>
        <v>15.71</v>
      </c>
    </row>
    <row r="1043" spans="1:8" s="124" customFormat="1" ht="30">
      <c r="A1043" s="721">
        <v>88316</v>
      </c>
      <c r="B1043" s="721"/>
      <c r="C1043" s="200" t="s">
        <v>5256</v>
      </c>
      <c r="D1043" s="139" t="s">
        <v>66</v>
      </c>
      <c r="E1043" s="209">
        <v>0.81415999999999999</v>
      </c>
      <c r="F1043" s="577" t="s">
        <v>67</v>
      </c>
      <c r="G1043" s="210">
        <v>11.631600000000001</v>
      </c>
      <c r="H1043" s="211">
        <f t="shared" si="37"/>
        <v>9.4700000000000006</v>
      </c>
    </row>
    <row r="1044" spans="1:8" s="124" customFormat="1" ht="30">
      <c r="A1044" s="721">
        <v>88315</v>
      </c>
      <c r="B1044" s="721"/>
      <c r="C1044" s="200" t="s">
        <v>5256</v>
      </c>
      <c r="D1044" s="139" t="s">
        <v>112</v>
      </c>
      <c r="E1044" s="209">
        <v>1.3</v>
      </c>
      <c r="F1044" s="577" t="s">
        <v>67</v>
      </c>
      <c r="G1044" s="210">
        <v>15.519600000000001</v>
      </c>
      <c r="H1044" s="211">
        <f t="shared" si="37"/>
        <v>20.18</v>
      </c>
    </row>
    <row r="1045" spans="1:8" s="201" customFormat="1">
      <c r="A1045" s="582"/>
      <c r="B1045" s="582"/>
      <c r="C1045" s="212"/>
      <c r="D1045" s="719" t="s">
        <v>127</v>
      </c>
      <c r="E1045" s="719"/>
      <c r="F1045" s="719"/>
      <c r="G1045" s="719"/>
      <c r="H1045" s="638">
        <f>SUMIF(F1037:F1044,("h"),H1037:H1044)</f>
        <v>29.65</v>
      </c>
    </row>
    <row r="1046" spans="1:8" s="201" customFormat="1">
      <c r="A1046" s="582"/>
      <c r="B1046" s="582"/>
      <c r="C1046" s="212"/>
      <c r="D1046" s="719" t="s">
        <v>128</v>
      </c>
      <c r="E1046" s="719"/>
      <c r="F1046" s="719"/>
      <c r="G1046" s="719"/>
      <c r="H1046" s="638">
        <f>SUMIF(F1037:F1044,"&lt;&gt;h",H1037:H1044)</f>
        <v>216.32000000000002</v>
      </c>
    </row>
    <row r="1047" spans="1:8" s="201" customFormat="1">
      <c r="A1047" s="582"/>
      <c r="B1047" s="582"/>
      <c r="C1047" s="212"/>
      <c r="D1047" s="718" t="s">
        <v>129</v>
      </c>
      <c r="E1047" s="718"/>
      <c r="F1047" s="718"/>
      <c r="G1047" s="718"/>
      <c r="H1047" s="213">
        <f>SUM(H1045:H1046)</f>
        <v>245.97000000000003</v>
      </c>
    </row>
    <row r="1048" spans="1:8" s="201" customFormat="1">
      <c r="A1048" s="582"/>
      <c r="B1048" s="582"/>
      <c r="C1048" s="212"/>
      <c r="D1048" s="719" t="s">
        <v>28</v>
      </c>
      <c r="E1048" s="719"/>
      <c r="F1048" s="719"/>
      <c r="G1048" s="719"/>
      <c r="H1048" s="639">
        <f>E1036</f>
        <v>60.58</v>
      </c>
    </row>
    <row r="1049" spans="1:8" s="201" customFormat="1">
      <c r="A1049" s="582"/>
      <c r="B1049" s="582"/>
      <c r="C1049" s="212"/>
      <c r="D1049" s="718" t="s">
        <v>130</v>
      </c>
      <c r="E1049" s="718"/>
      <c r="F1049" s="718"/>
      <c r="G1049" s="718"/>
      <c r="H1049" s="213">
        <f>ROUND(H1047*H1048,2)</f>
        <v>14900.86</v>
      </c>
    </row>
    <row r="1050" spans="1:8" s="201" customFormat="1">
      <c r="A1050" s="582"/>
      <c r="B1050" s="582"/>
      <c r="C1050" s="212"/>
      <c r="D1050" s="719" t="s">
        <v>15559</v>
      </c>
      <c r="E1050" s="719"/>
      <c r="F1050" s="719"/>
      <c r="G1050" s="719"/>
      <c r="H1050" s="638">
        <f>ROUND(H1047*$B$13,2)</f>
        <v>66.239999999999995</v>
      </c>
    </row>
    <row r="1051" spans="1:8">
      <c r="A1051" s="582"/>
      <c r="B1051" s="582"/>
      <c r="C1051" s="212"/>
      <c r="D1051" s="718" t="s">
        <v>9661</v>
      </c>
      <c r="E1051" s="718"/>
      <c r="F1051" s="718"/>
      <c r="G1051" s="718"/>
      <c r="H1051" s="213">
        <f>H1050+H1047</f>
        <v>312.21000000000004</v>
      </c>
    </row>
    <row r="1053" spans="1:8" s="201" customFormat="1">
      <c r="A1053" s="123" t="s">
        <v>6</v>
      </c>
      <c r="B1053" s="720" t="s">
        <v>7</v>
      </c>
      <c r="C1053" s="720"/>
      <c r="D1053" s="202" t="s">
        <v>124</v>
      </c>
      <c r="E1053" s="167" t="s">
        <v>6334</v>
      </c>
      <c r="F1053" s="202" t="s">
        <v>31</v>
      </c>
      <c r="G1053" s="203" t="s">
        <v>125</v>
      </c>
      <c r="H1053" s="204" t="s">
        <v>126</v>
      </c>
    </row>
    <row r="1054" spans="1:8" s="208" customFormat="1" ht="60">
      <c r="A1054" s="581" t="str">
        <f>'Orç - Prédio'!A193</f>
        <v>04.01.801.02</v>
      </c>
      <c r="B1054" s="216" t="str">
        <f>'Orç - Prédio'!B193</f>
        <v>Comp. Montada</v>
      </c>
      <c r="C1054" s="216">
        <f>'Orç - Prédio'!C193</f>
        <v>8</v>
      </c>
      <c r="D1054" s="217" t="s">
        <v>6993</v>
      </c>
      <c r="E1054" s="206">
        <v>11.04</v>
      </c>
      <c r="F1054" s="216" t="s">
        <v>6774</v>
      </c>
      <c r="G1054" s="207">
        <f>VLOOKUP("CUSTO TOTAL UNIT.:",D1055:$H$30004,5,FALSE)</f>
        <v>300.52999999999997</v>
      </c>
      <c r="H1054" s="637">
        <f>VLOOKUP("CUSTO TOTAL:",D1055:$H$30004,5,FALSE)</f>
        <v>3317.85</v>
      </c>
    </row>
    <row r="1055" spans="1:8" s="124" customFormat="1" ht="30">
      <c r="A1055" s="721">
        <v>568</v>
      </c>
      <c r="B1055" s="721"/>
      <c r="C1055" s="200" t="s">
        <v>5256</v>
      </c>
      <c r="D1055" s="139" t="s">
        <v>10741</v>
      </c>
      <c r="E1055" s="209">
        <v>0.12</v>
      </c>
      <c r="F1055" s="577" t="s">
        <v>48</v>
      </c>
      <c r="G1055" s="210">
        <v>34.635600000000004</v>
      </c>
      <c r="H1055" s="211">
        <f t="shared" ref="H1055:H1063" si="38">ROUND(G1055*E1055,2)</f>
        <v>4.16</v>
      </c>
    </row>
    <row r="1056" spans="1:8" s="124" customFormat="1" ht="60">
      <c r="A1056" s="721">
        <v>40706</v>
      </c>
      <c r="B1056" s="721"/>
      <c r="C1056" s="200" t="s">
        <v>5256</v>
      </c>
      <c r="D1056" s="139" t="s">
        <v>14240</v>
      </c>
      <c r="E1056" s="209">
        <v>1</v>
      </c>
      <c r="F1056" s="577" t="s">
        <v>46</v>
      </c>
      <c r="G1056" s="210">
        <v>24.453900000000004</v>
      </c>
      <c r="H1056" s="211">
        <f t="shared" si="38"/>
        <v>24.45</v>
      </c>
    </row>
    <row r="1057" spans="1:8" s="124" customFormat="1" ht="30">
      <c r="A1057" s="721">
        <v>11975</v>
      </c>
      <c r="B1057" s="721"/>
      <c r="C1057" s="200" t="s">
        <v>5256</v>
      </c>
      <c r="D1057" s="139" t="s">
        <v>10930</v>
      </c>
      <c r="E1057" s="209">
        <v>8</v>
      </c>
      <c r="F1057" s="577" t="s">
        <v>40</v>
      </c>
      <c r="G1057" s="210">
        <v>13.810500000000001</v>
      </c>
      <c r="H1057" s="211">
        <f t="shared" si="38"/>
        <v>110.48</v>
      </c>
    </row>
    <row r="1058" spans="1:8" s="124" customFormat="1" ht="45">
      <c r="A1058" s="721">
        <v>21013</v>
      </c>
      <c r="B1058" s="721"/>
      <c r="C1058" s="200" t="s">
        <v>5256</v>
      </c>
      <c r="D1058" s="139" t="s">
        <v>14502</v>
      </c>
      <c r="E1058" s="209">
        <v>1</v>
      </c>
      <c r="F1058" s="577" t="s">
        <v>48</v>
      </c>
      <c r="G1058" s="210">
        <v>34.862400000000001</v>
      </c>
      <c r="H1058" s="211">
        <f t="shared" si="38"/>
        <v>34.86</v>
      </c>
    </row>
    <row r="1059" spans="1:8" s="124" customFormat="1" ht="30">
      <c r="A1059" s="721">
        <v>546</v>
      </c>
      <c r="B1059" s="721"/>
      <c r="C1059" s="200" t="s">
        <v>5256</v>
      </c>
      <c r="D1059" s="139" t="s">
        <v>10143</v>
      </c>
      <c r="E1059" s="209">
        <v>2.44</v>
      </c>
      <c r="F1059" s="577" t="s">
        <v>49</v>
      </c>
      <c r="G1059" s="210">
        <v>4.3416000000000006</v>
      </c>
      <c r="H1059" s="211">
        <f t="shared" si="38"/>
        <v>10.59</v>
      </c>
    </row>
    <row r="1060" spans="1:8" s="124" customFormat="1" ht="30">
      <c r="A1060" s="721" t="s">
        <v>4477</v>
      </c>
      <c r="B1060" s="721"/>
      <c r="C1060" s="200" t="s">
        <v>5256</v>
      </c>
      <c r="D1060" s="139" t="s">
        <v>4478</v>
      </c>
      <c r="E1060" s="209">
        <v>1.6570800000000001</v>
      </c>
      <c r="F1060" s="577" t="s">
        <v>322</v>
      </c>
      <c r="G1060" s="210">
        <v>15.122700000000002</v>
      </c>
      <c r="H1060" s="211">
        <f t="shared" si="38"/>
        <v>25.06</v>
      </c>
    </row>
    <row r="1061" spans="1:8" s="124" customFormat="1" ht="30">
      <c r="A1061" s="721" t="s">
        <v>4471</v>
      </c>
      <c r="B1061" s="721"/>
      <c r="C1061" s="200" t="s">
        <v>5256</v>
      </c>
      <c r="D1061" s="139" t="s">
        <v>4472</v>
      </c>
      <c r="E1061" s="209">
        <v>1.6570800000000001</v>
      </c>
      <c r="F1061" s="577" t="s">
        <v>322</v>
      </c>
      <c r="G1061" s="210">
        <v>19.2942</v>
      </c>
      <c r="H1061" s="211">
        <f t="shared" si="38"/>
        <v>31.97</v>
      </c>
    </row>
    <row r="1062" spans="1:8" s="124" customFormat="1" ht="30">
      <c r="A1062" s="721">
        <v>88316</v>
      </c>
      <c r="B1062" s="721"/>
      <c r="C1062" s="200" t="s">
        <v>5256</v>
      </c>
      <c r="D1062" s="139" t="s">
        <v>66</v>
      </c>
      <c r="E1062" s="209">
        <v>1.6</v>
      </c>
      <c r="F1062" s="577" t="s">
        <v>67</v>
      </c>
      <c r="G1062" s="210">
        <v>11.631600000000001</v>
      </c>
      <c r="H1062" s="211">
        <f t="shared" si="38"/>
        <v>18.61</v>
      </c>
    </row>
    <row r="1063" spans="1:8" s="124" customFormat="1" ht="30">
      <c r="A1063" s="721">
        <v>88315</v>
      </c>
      <c r="B1063" s="721"/>
      <c r="C1063" s="200" t="s">
        <v>5256</v>
      </c>
      <c r="D1063" s="139" t="s">
        <v>112</v>
      </c>
      <c r="E1063" s="209">
        <v>2.6</v>
      </c>
      <c r="F1063" s="577" t="s">
        <v>67</v>
      </c>
      <c r="G1063" s="210">
        <v>15.519600000000001</v>
      </c>
      <c r="H1063" s="211">
        <f t="shared" si="38"/>
        <v>40.35</v>
      </c>
    </row>
    <row r="1064" spans="1:8" s="201" customFormat="1">
      <c r="A1064" s="582"/>
      <c r="B1064" s="582"/>
      <c r="C1064" s="212"/>
      <c r="D1064" s="719" t="s">
        <v>127</v>
      </c>
      <c r="E1064" s="719"/>
      <c r="F1064" s="719"/>
      <c r="G1064" s="719"/>
      <c r="H1064" s="638">
        <f>SUMIF(F1055:F1063,("h"),H1055:H1063)</f>
        <v>58.96</v>
      </c>
    </row>
    <row r="1065" spans="1:8" s="201" customFormat="1">
      <c r="A1065" s="582"/>
      <c r="B1065" s="582"/>
      <c r="C1065" s="212"/>
      <c r="D1065" s="719" t="s">
        <v>128</v>
      </c>
      <c r="E1065" s="719"/>
      <c r="F1065" s="719"/>
      <c r="G1065" s="719"/>
      <c r="H1065" s="638">
        <f>SUMIF(F1055:F1063,"&lt;&gt;h",H1055:H1063)</f>
        <v>241.57</v>
      </c>
    </row>
    <row r="1066" spans="1:8" s="201" customFormat="1">
      <c r="A1066" s="582"/>
      <c r="B1066" s="582"/>
      <c r="C1066" s="212"/>
      <c r="D1066" s="718" t="s">
        <v>129</v>
      </c>
      <c r="E1066" s="718"/>
      <c r="F1066" s="718"/>
      <c r="G1066" s="718"/>
      <c r="H1066" s="213">
        <f>SUM(H1064:H1065)</f>
        <v>300.52999999999997</v>
      </c>
    </row>
    <row r="1067" spans="1:8" s="201" customFormat="1">
      <c r="A1067" s="582"/>
      <c r="B1067" s="582"/>
      <c r="C1067" s="212"/>
      <c r="D1067" s="719" t="s">
        <v>28</v>
      </c>
      <c r="E1067" s="719"/>
      <c r="F1067" s="719"/>
      <c r="G1067" s="719"/>
      <c r="H1067" s="639">
        <f>E1054</f>
        <v>11.04</v>
      </c>
    </row>
    <row r="1068" spans="1:8" s="201" customFormat="1">
      <c r="A1068" s="582"/>
      <c r="B1068" s="582"/>
      <c r="C1068" s="212"/>
      <c r="D1068" s="718" t="s">
        <v>130</v>
      </c>
      <c r="E1068" s="718"/>
      <c r="F1068" s="718"/>
      <c r="G1068" s="718"/>
      <c r="H1068" s="213">
        <f>ROUND(H1066*H1067,2)</f>
        <v>3317.85</v>
      </c>
    </row>
    <row r="1069" spans="1:8" s="201" customFormat="1">
      <c r="A1069" s="582"/>
      <c r="B1069" s="582"/>
      <c r="C1069" s="212"/>
      <c r="D1069" s="719" t="s">
        <v>15559</v>
      </c>
      <c r="E1069" s="719"/>
      <c r="F1069" s="719"/>
      <c r="G1069" s="719"/>
      <c r="H1069" s="638">
        <f>ROUND(H1066*$B$13,2)</f>
        <v>80.930000000000007</v>
      </c>
    </row>
    <row r="1070" spans="1:8">
      <c r="A1070" s="582"/>
      <c r="B1070" s="582"/>
      <c r="C1070" s="212"/>
      <c r="D1070" s="718" t="s">
        <v>9661</v>
      </c>
      <c r="E1070" s="718"/>
      <c r="F1070" s="718"/>
      <c r="G1070" s="718"/>
      <c r="H1070" s="213">
        <f>H1069+H1066</f>
        <v>381.46</v>
      </c>
    </row>
    <row r="1072" spans="1:8" s="201" customFormat="1">
      <c r="A1072" s="123" t="s">
        <v>6</v>
      </c>
      <c r="B1072" s="720" t="s">
        <v>7</v>
      </c>
      <c r="C1072" s="720"/>
      <c r="D1072" s="202" t="s">
        <v>124</v>
      </c>
      <c r="E1072" s="167" t="s">
        <v>6334</v>
      </c>
      <c r="F1072" s="202" t="s">
        <v>31</v>
      </c>
      <c r="G1072" s="203" t="s">
        <v>125</v>
      </c>
      <c r="H1072" s="204" t="s">
        <v>126</v>
      </c>
    </row>
    <row r="1073" spans="1:8" s="208" customFormat="1" ht="75">
      <c r="A1073" s="581" t="str">
        <f>'Orç - Prédio'!A194</f>
        <v>04.01.801.03</v>
      </c>
      <c r="B1073" s="216" t="str">
        <f>'Orç - Prédio'!B194</f>
        <v>Comp. Montada</v>
      </c>
      <c r="C1073" s="216">
        <f>'Orç - Prédio'!C194</f>
        <v>9</v>
      </c>
      <c r="D1073" s="217" t="s">
        <v>6994</v>
      </c>
      <c r="E1073" s="206">
        <v>35.130000000000003</v>
      </c>
      <c r="F1073" s="216" t="s">
        <v>6774</v>
      </c>
      <c r="G1073" s="207">
        <f>VLOOKUP("CUSTO TOTAL UNIT.:",D1074:$H$30004,5,FALSE)</f>
        <v>381.07</v>
      </c>
      <c r="H1073" s="637">
        <f>VLOOKUP("CUSTO TOTAL:",D1074:$H$30004,5,FALSE)</f>
        <v>13386.99</v>
      </c>
    </row>
    <row r="1074" spans="1:8" s="124" customFormat="1" ht="30">
      <c r="A1074" s="721">
        <v>568</v>
      </c>
      <c r="B1074" s="721"/>
      <c r="C1074" s="200" t="s">
        <v>5256</v>
      </c>
      <c r="D1074" s="139" t="s">
        <v>10741</v>
      </c>
      <c r="E1074" s="209">
        <v>0.12</v>
      </c>
      <c r="F1074" s="577" t="s">
        <v>48</v>
      </c>
      <c r="G1074" s="210">
        <v>34.635600000000004</v>
      </c>
      <c r="H1074" s="211">
        <f t="shared" ref="H1074:H1082" si="39">ROUND(G1074*E1074,2)</f>
        <v>4.16</v>
      </c>
    </row>
    <row r="1075" spans="1:8" s="124" customFormat="1" ht="60">
      <c r="A1075" s="721">
        <v>40706</v>
      </c>
      <c r="B1075" s="721"/>
      <c r="C1075" s="200" t="s">
        <v>5256</v>
      </c>
      <c r="D1075" s="139" t="s">
        <v>14240</v>
      </c>
      <c r="E1075" s="209">
        <v>1</v>
      </c>
      <c r="F1075" s="577" t="s">
        <v>46</v>
      </c>
      <c r="G1075" s="210">
        <v>24.453900000000004</v>
      </c>
      <c r="H1075" s="211">
        <f t="shared" si="39"/>
        <v>24.45</v>
      </c>
    </row>
    <row r="1076" spans="1:8" s="124" customFormat="1" ht="30">
      <c r="A1076" s="721">
        <v>11975</v>
      </c>
      <c r="B1076" s="721"/>
      <c r="C1076" s="200" t="s">
        <v>5256</v>
      </c>
      <c r="D1076" s="139" t="s">
        <v>10930</v>
      </c>
      <c r="E1076" s="209">
        <v>8</v>
      </c>
      <c r="F1076" s="577" t="s">
        <v>40</v>
      </c>
      <c r="G1076" s="210">
        <v>13.810500000000001</v>
      </c>
      <c r="H1076" s="211">
        <f t="shared" si="39"/>
        <v>110.48</v>
      </c>
    </row>
    <row r="1077" spans="1:8" s="124" customFormat="1" ht="45">
      <c r="A1077" s="721">
        <v>21013</v>
      </c>
      <c r="B1077" s="721"/>
      <c r="C1077" s="200" t="s">
        <v>5256</v>
      </c>
      <c r="D1077" s="139" t="s">
        <v>14502</v>
      </c>
      <c r="E1077" s="209">
        <v>3</v>
      </c>
      <c r="F1077" s="577" t="s">
        <v>48</v>
      </c>
      <c r="G1077" s="210">
        <v>34.862400000000001</v>
      </c>
      <c r="H1077" s="211">
        <f t="shared" si="39"/>
        <v>104.59</v>
      </c>
    </row>
    <row r="1078" spans="1:8" s="124" customFormat="1" ht="30">
      <c r="A1078" s="721">
        <v>546</v>
      </c>
      <c r="B1078" s="721"/>
      <c r="C1078" s="200" t="s">
        <v>5256</v>
      </c>
      <c r="D1078" s="139" t="s">
        <v>10143</v>
      </c>
      <c r="E1078" s="209">
        <v>2.44</v>
      </c>
      <c r="F1078" s="577" t="s">
        <v>49</v>
      </c>
      <c r="G1078" s="210">
        <v>4.3416000000000006</v>
      </c>
      <c r="H1078" s="211">
        <f t="shared" si="39"/>
        <v>10.59</v>
      </c>
    </row>
    <row r="1079" spans="1:8" s="124" customFormat="1" ht="30">
      <c r="A1079" s="721" t="s">
        <v>4477</v>
      </c>
      <c r="B1079" s="721"/>
      <c r="C1079" s="200" t="s">
        <v>5256</v>
      </c>
      <c r="D1079" s="139" t="s">
        <v>4478</v>
      </c>
      <c r="E1079" s="209">
        <v>1.9712399999999999</v>
      </c>
      <c r="F1079" s="577" t="s">
        <v>322</v>
      </c>
      <c r="G1079" s="210">
        <v>15.122700000000002</v>
      </c>
      <c r="H1079" s="211">
        <f t="shared" si="39"/>
        <v>29.81</v>
      </c>
    </row>
    <row r="1080" spans="1:8" s="124" customFormat="1" ht="30">
      <c r="A1080" s="721" t="s">
        <v>4471</v>
      </c>
      <c r="B1080" s="721"/>
      <c r="C1080" s="200" t="s">
        <v>5256</v>
      </c>
      <c r="D1080" s="139" t="s">
        <v>4472</v>
      </c>
      <c r="E1080" s="209">
        <v>1.9712399999999999</v>
      </c>
      <c r="F1080" s="577" t="s">
        <v>322</v>
      </c>
      <c r="G1080" s="210">
        <v>19.2942</v>
      </c>
      <c r="H1080" s="211">
        <f t="shared" si="39"/>
        <v>38.03</v>
      </c>
    </row>
    <row r="1081" spans="1:8" s="124" customFormat="1" ht="30">
      <c r="A1081" s="721">
        <v>88316</v>
      </c>
      <c r="B1081" s="721"/>
      <c r="C1081" s="200" t="s">
        <v>5256</v>
      </c>
      <c r="D1081" s="139" t="s">
        <v>66</v>
      </c>
      <c r="E1081" s="209">
        <v>1.6</v>
      </c>
      <c r="F1081" s="577" t="s">
        <v>67</v>
      </c>
      <c r="G1081" s="210">
        <v>11.631600000000001</v>
      </c>
      <c r="H1081" s="211">
        <f t="shared" si="39"/>
        <v>18.61</v>
      </c>
    </row>
    <row r="1082" spans="1:8" s="124" customFormat="1" ht="30">
      <c r="A1082" s="721">
        <v>88315</v>
      </c>
      <c r="B1082" s="721"/>
      <c r="C1082" s="200" t="s">
        <v>5256</v>
      </c>
      <c r="D1082" s="139" t="s">
        <v>112</v>
      </c>
      <c r="E1082" s="209">
        <v>2.6</v>
      </c>
      <c r="F1082" s="577" t="s">
        <v>67</v>
      </c>
      <c r="G1082" s="210">
        <v>15.519600000000001</v>
      </c>
      <c r="H1082" s="211">
        <f t="shared" si="39"/>
        <v>40.35</v>
      </c>
    </row>
    <row r="1083" spans="1:8" s="201" customFormat="1">
      <c r="A1083" s="582"/>
      <c r="B1083" s="582"/>
      <c r="C1083" s="212"/>
      <c r="D1083" s="719" t="s">
        <v>127</v>
      </c>
      <c r="E1083" s="719"/>
      <c r="F1083" s="719"/>
      <c r="G1083" s="719"/>
      <c r="H1083" s="638">
        <f>SUMIF(F1074:F1082,("h"),H1074:H1082)</f>
        <v>58.96</v>
      </c>
    </row>
    <row r="1084" spans="1:8" s="201" customFormat="1">
      <c r="A1084" s="582"/>
      <c r="B1084" s="582"/>
      <c r="C1084" s="212"/>
      <c r="D1084" s="719" t="s">
        <v>128</v>
      </c>
      <c r="E1084" s="719"/>
      <c r="F1084" s="719"/>
      <c r="G1084" s="719"/>
      <c r="H1084" s="638">
        <f>SUMIF(F1074:F1082,"&lt;&gt;h",H1074:H1082)</f>
        <v>322.11</v>
      </c>
    </row>
    <row r="1085" spans="1:8" s="201" customFormat="1">
      <c r="A1085" s="582"/>
      <c r="B1085" s="582"/>
      <c r="C1085" s="212"/>
      <c r="D1085" s="718" t="s">
        <v>129</v>
      </c>
      <c r="E1085" s="718"/>
      <c r="F1085" s="718"/>
      <c r="G1085" s="718"/>
      <c r="H1085" s="213">
        <f>SUM(H1083:H1084)</f>
        <v>381.07</v>
      </c>
    </row>
    <row r="1086" spans="1:8" s="201" customFormat="1">
      <c r="A1086" s="582"/>
      <c r="B1086" s="582"/>
      <c r="C1086" s="212"/>
      <c r="D1086" s="719" t="s">
        <v>28</v>
      </c>
      <c r="E1086" s="719"/>
      <c r="F1086" s="719"/>
      <c r="G1086" s="719"/>
      <c r="H1086" s="639">
        <f>E1073</f>
        <v>35.130000000000003</v>
      </c>
    </row>
    <row r="1087" spans="1:8" s="201" customFormat="1">
      <c r="A1087" s="582"/>
      <c r="B1087" s="582"/>
      <c r="C1087" s="212"/>
      <c r="D1087" s="718" t="s">
        <v>130</v>
      </c>
      <c r="E1087" s="718"/>
      <c r="F1087" s="718"/>
      <c r="G1087" s="718"/>
      <c r="H1087" s="213">
        <f>ROUND(H1085*H1086,2)</f>
        <v>13386.99</v>
      </c>
    </row>
    <row r="1088" spans="1:8" s="201" customFormat="1">
      <c r="A1088" s="582"/>
      <c r="B1088" s="582"/>
      <c r="C1088" s="212"/>
      <c r="D1088" s="719" t="s">
        <v>15559</v>
      </c>
      <c r="E1088" s="719"/>
      <c r="F1088" s="719"/>
      <c r="G1088" s="719"/>
      <c r="H1088" s="638">
        <f>ROUND(H1085*$B$13,2)</f>
        <v>102.62</v>
      </c>
    </row>
    <row r="1089" spans="1:8">
      <c r="A1089" s="582"/>
      <c r="B1089" s="582"/>
      <c r="C1089" s="212"/>
      <c r="D1089" s="718" t="s">
        <v>9661</v>
      </c>
      <c r="E1089" s="718"/>
      <c r="F1089" s="718"/>
      <c r="G1089" s="718"/>
      <c r="H1089" s="213">
        <f>H1088+H1085</f>
        <v>483.69</v>
      </c>
    </row>
    <row r="1091" spans="1:8" s="201" customFormat="1">
      <c r="A1091" s="123" t="s">
        <v>6</v>
      </c>
      <c r="B1091" s="720" t="s">
        <v>7</v>
      </c>
      <c r="C1091" s="720"/>
      <c r="D1091" s="202" t="s">
        <v>124</v>
      </c>
      <c r="E1091" s="167" t="s">
        <v>6334</v>
      </c>
      <c r="F1091" s="202" t="s">
        <v>31</v>
      </c>
      <c r="G1091" s="203" t="s">
        <v>125</v>
      </c>
      <c r="H1091" s="204" t="s">
        <v>126</v>
      </c>
    </row>
    <row r="1092" spans="1:8" s="208" customFormat="1" ht="75">
      <c r="A1092" s="581" t="str">
        <f>'Orç - Prédio'!A195</f>
        <v>04.01.801.04</v>
      </c>
      <c r="B1092" s="216" t="str">
        <f>'Orç - Prédio'!B195</f>
        <v>Comp. Montada</v>
      </c>
      <c r="C1092" s="216">
        <f>'Orç - Prédio'!C195</f>
        <v>10</v>
      </c>
      <c r="D1092" s="217" t="s">
        <v>6995</v>
      </c>
      <c r="E1092" s="206">
        <v>14.37</v>
      </c>
      <c r="F1092" s="216" t="s">
        <v>6774</v>
      </c>
      <c r="G1092" s="207">
        <f>VLOOKUP("CUSTO TOTAL UNIT.:",D1093:$H$30004,5,FALSE)</f>
        <v>461.59999999999997</v>
      </c>
      <c r="H1092" s="637">
        <f>VLOOKUP("CUSTO TOTAL:",D1093:$H$30004,5,FALSE)</f>
        <v>6633.19</v>
      </c>
    </row>
    <row r="1093" spans="1:8" s="124" customFormat="1" ht="30">
      <c r="A1093" s="721">
        <v>568</v>
      </c>
      <c r="B1093" s="721"/>
      <c r="C1093" s="200" t="s">
        <v>5256</v>
      </c>
      <c r="D1093" s="139" t="s">
        <v>10741</v>
      </c>
      <c r="E1093" s="209">
        <v>0.12</v>
      </c>
      <c r="F1093" s="577" t="s">
        <v>48</v>
      </c>
      <c r="G1093" s="210">
        <v>34.635600000000004</v>
      </c>
      <c r="H1093" s="211">
        <f t="shared" ref="H1093:H1101" si="40">ROUND(G1093*E1093,2)</f>
        <v>4.16</v>
      </c>
    </row>
    <row r="1094" spans="1:8" s="124" customFormat="1" ht="60">
      <c r="A1094" s="721">
        <v>40706</v>
      </c>
      <c r="B1094" s="721"/>
      <c r="C1094" s="200" t="s">
        <v>5256</v>
      </c>
      <c r="D1094" s="139" t="s">
        <v>14240</v>
      </c>
      <c r="E1094" s="209">
        <v>1</v>
      </c>
      <c r="F1094" s="577" t="s">
        <v>46</v>
      </c>
      <c r="G1094" s="210">
        <v>24.453900000000004</v>
      </c>
      <c r="H1094" s="211">
        <f t="shared" si="40"/>
        <v>24.45</v>
      </c>
    </row>
    <row r="1095" spans="1:8" s="124" customFormat="1" ht="30">
      <c r="A1095" s="721">
        <v>11975</v>
      </c>
      <c r="B1095" s="721"/>
      <c r="C1095" s="200" t="s">
        <v>5256</v>
      </c>
      <c r="D1095" s="139" t="s">
        <v>10930</v>
      </c>
      <c r="E1095" s="209">
        <v>8</v>
      </c>
      <c r="F1095" s="577" t="s">
        <v>40</v>
      </c>
      <c r="G1095" s="210">
        <v>13.810500000000001</v>
      </c>
      <c r="H1095" s="211">
        <f t="shared" si="40"/>
        <v>110.48</v>
      </c>
    </row>
    <row r="1096" spans="1:8" s="124" customFormat="1" ht="45">
      <c r="A1096" s="721">
        <v>21013</v>
      </c>
      <c r="B1096" s="721"/>
      <c r="C1096" s="200" t="s">
        <v>5256</v>
      </c>
      <c r="D1096" s="139" t="s">
        <v>14502</v>
      </c>
      <c r="E1096" s="209">
        <v>5</v>
      </c>
      <c r="F1096" s="577" t="s">
        <v>48</v>
      </c>
      <c r="G1096" s="210">
        <v>34.862400000000001</v>
      </c>
      <c r="H1096" s="211">
        <f t="shared" si="40"/>
        <v>174.31</v>
      </c>
    </row>
    <row r="1097" spans="1:8" s="124" customFormat="1" ht="30">
      <c r="A1097" s="721">
        <v>546</v>
      </c>
      <c r="B1097" s="721"/>
      <c r="C1097" s="200" t="s">
        <v>5256</v>
      </c>
      <c r="D1097" s="139" t="s">
        <v>10143</v>
      </c>
      <c r="E1097" s="209">
        <v>2.44</v>
      </c>
      <c r="F1097" s="577" t="s">
        <v>49</v>
      </c>
      <c r="G1097" s="210">
        <v>4.3416000000000006</v>
      </c>
      <c r="H1097" s="211">
        <f t="shared" si="40"/>
        <v>10.59</v>
      </c>
    </row>
    <row r="1098" spans="1:8" s="124" customFormat="1" ht="30">
      <c r="A1098" s="721" t="s">
        <v>4477</v>
      </c>
      <c r="B1098" s="721"/>
      <c r="C1098" s="200" t="s">
        <v>5256</v>
      </c>
      <c r="D1098" s="139" t="s">
        <v>4478</v>
      </c>
      <c r="E1098" s="209">
        <v>2.2854000000000001</v>
      </c>
      <c r="F1098" s="577" t="s">
        <v>322</v>
      </c>
      <c r="G1098" s="210">
        <v>15.122700000000002</v>
      </c>
      <c r="H1098" s="211">
        <f t="shared" si="40"/>
        <v>34.56</v>
      </c>
    </row>
    <row r="1099" spans="1:8" s="124" customFormat="1" ht="30">
      <c r="A1099" s="721" t="s">
        <v>4471</v>
      </c>
      <c r="B1099" s="721"/>
      <c r="C1099" s="200" t="s">
        <v>5256</v>
      </c>
      <c r="D1099" s="139" t="s">
        <v>4472</v>
      </c>
      <c r="E1099" s="209">
        <v>2.2854000000000001</v>
      </c>
      <c r="F1099" s="577" t="s">
        <v>322</v>
      </c>
      <c r="G1099" s="210">
        <v>19.2942</v>
      </c>
      <c r="H1099" s="211">
        <f t="shared" si="40"/>
        <v>44.09</v>
      </c>
    </row>
    <row r="1100" spans="1:8" s="124" customFormat="1" ht="30">
      <c r="A1100" s="721">
        <v>88316</v>
      </c>
      <c r="B1100" s="721"/>
      <c r="C1100" s="200" t="s">
        <v>5256</v>
      </c>
      <c r="D1100" s="139" t="s">
        <v>66</v>
      </c>
      <c r="E1100" s="209">
        <v>1.6</v>
      </c>
      <c r="F1100" s="577" t="s">
        <v>67</v>
      </c>
      <c r="G1100" s="210">
        <v>11.631600000000001</v>
      </c>
      <c r="H1100" s="211">
        <f t="shared" si="40"/>
        <v>18.61</v>
      </c>
    </row>
    <row r="1101" spans="1:8" s="124" customFormat="1" ht="30">
      <c r="A1101" s="721">
        <v>88315</v>
      </c>
      <c r="B1101" s="721"/>
      <c r="C1101" s="200" t="s">
        <v>5256</v>
      </c>
      <c r="D1101" s="139" t="s">
        <v>112</v>
      </c>
      <c r="E1101" s="209">
        <v>2.6</v>
      </c>
      <c r="F1101" s="577" t="s">
        <v>67</v>
      </c>
      <c r="G1101" s="210">
        <v>15.519600000000001</v>
      </c>
      <c r="H1101" s="211">
        <f t="shared" si="40"/>
        <v>40.35</v>
      </c>
    </row>
    <row r="1102" spans="1:8" s="201" customFormat="1">
      <c r="A1102" s="582"/>
      <c r="B1102" s="582"/>
      <c r="C1102" s="212"/>
      <c r="D1102" s="719" t="s">
        <v>127</v>
      </c>
      <c r="E1102" s="719"/>
      <c r="F1102" s="719"/>
      <c r="G1102" s="719"/>
      <c r="H1102" s="638">
        <f>SUMIF(F1093:F1101,("h"),H1093:H1101)</f>
        <v>58.96</v>
      </c>
    </row>
    <row r="1103" spans="1:8" s="201" customFormat="1">
      <c r="A1103" s="582"/>
      <c r="B1103" s="582"/>
      <c r="C1103" s="212"/>
      <c r="D1103" s="719" t="s">
        <v>128</v>
      </c>
      <c r="E1103" s="719"/>
      <c r="F1103" s="719"/>
      <c r="G1103" s="719"/>
      <c r="H1103" s="638">
        <f>SUMIF(F1093:F1101,"&lt;&gt;h",H1093:H1101)</f>
        <v>402.64</v>
      </c>
    </row>
    <row r="1104" spans="1:8" s="201" customFormat="1">
      <c r="A1104" s="582"/>
      <c r="B1104" s="582"/>
      <c r="C1104" s="212"/>
      <c r="D1104" s="718" t="s">
        <v>129</v>
      </c>
      <c r="E1104" s="718"/>
      <c r="F1104" s="718"/>
      <c r="G1104" s="718"/>
      <c r="H1104" s="213">
        <f>SUM(H1102:H1103)</f>
        <v>461.59999999999997</v>
      </c>
    </row>
    <row r="1105" spans="1:8" s="201" customFormat="1">
      <c r="A1105" s="582"/>
      <c r="B1105" s="582"/>
      <c r="C1105" s="212"/>
      <c r="D1105" s="719" t="s">
        <v>28</v>
      </c>
      <c r="E1105" s="719"/>
      <c r="F1105" s="719"/>
      <c r="G1105" s="719"/>
      <c r="H1105" s="639">
        <f>E1092</f>
        <v>14.37</v>
      </c>
    </row>
    <row r="1106" spans="1:8" s="201" customFormat="1">
      <c r="A1106" s="582"/>
      <c r="B1106" s="582"/>
      <c r="C1106" s="212"/>
      <c r="D1106" s="718" t="s">
        <v>130</v>
      </c>
      <c r="E1106" s="718"/>
      <c r="F1106" s="718"/>
      <c r="G1106" s="718"/>
      <c r="H1106" s="213">
        <f>ROUND(H1104*H1105,2)</f>
        <v>6633.19</v>
      </c>
    </row>
    <row r="1107" spans="1:8" s="201" customFormat="1">
      <c r="A1107" s="582"/>
      <c r="B1107" s="582"/>
      <c r="C1107" s="212"/>
      <c r="D1107" s="719" t="s">
        <v>15559</v>
      </c>
      <c r="E1107" s="719"/>
      <c r="F1107" s="719"/>
      <c r="G1107" s="719"/>
      <c r="H1107" s="638">
        <f>ROUND(H1104*$B$13,2)</f>
        <v>124.31</v>
      </c>
    </row>
    <row r="1108" spans="1:8">
      <c r="A1108" s="582"/>
      <c r="B1108" s="582"/>
      <c r="C1108" s="212"/>
      <c r="D1108" s="718" t="s">
        <v>9661</v>
      </c>
      <c r="E1108" s="718"/>
      <c r="F1108" s="718"/>
      <c r="G1108" s="718"/>
      <c r="H1108" s="213">
        <f>H1107+H1104</f>
        <v>585.91</v>
      </c>
    </row>
    <row r="1110" spans="1:8" s="201" customFormat="1">
      <c r="A1110" s="123" t="s">
        <v>6</v>
      </c>
      <c r="B1110" s="720" t="s">
        <v>7</v>
      </c>
      <c r="C1110" s="720"/>
      <c r="D1110" s="202" t="s">
        <v>124</v>
      </c>
      <c r="E1110" s="167" t="s">
        <v>6334</v>
      </c>
      <c r="F1110" s="202" t="s">
        <v>31</v>
      </c>
      <c r="G1110" s="203" t="s">
        <v>125</v>
      </c>
      <c r="H1110" s="204" t="s">
        <v>126</v>
      </c>
    </row>
    <row r="1111" spans="1:8" s="208" customFormat="1" ht="105">
      <c r="A1111" s="581" t="str">
        <f>'Orç - Prédio'!A196</f>
        <v>04.01.802.01</v>
      </c>
      <c r="B1111" s="581" t="str">
        <f>'Orç - Prédio'!B196</f>
        <v>CPOS</v>
      </c>
      <c r="C1111" s="581" t="str">
        <f>'Orç - Prédio'!C196</f>
        <v>22.06.210</v>
      </c>
      <c r="D1111" s="205" t="s">
        <v>9570</v>
      </c>
      <c r="E1111" s="581">
        <v>655.12</v>
      </c>
      <c r="F1111" s="581" t="s">
        <v>6339</v>
      </c>
      <c r="G1111" s="207">
        <f>VLOOKUP("CUSTO TOTAL UNIT.:",D1112:$H$30004,5,FALSE)</f>
        <v>159.31</v>
      </c>
      <c r="H1111" s="637">
        <f>VLOOKUP("CUSTO TOTAL:",D1112:$H$30004,5,FALSE)</f>
        <v>104367.17</v>
      </c>
    </row>
    <row r="1112" spans="1:8" s="124" customFormat="1" ht="45">
      <c r="A1112" s="721" t="s">
        <v>9017</v>
      </c>
      <c r="B1112" s="721"/>
      <c r="C1112" s="200" t="s">
        <v>6753</v>
      </c>
      <c r="D1112" s="139" t="s">
        <v>9016</v>
      </c>
      <c r="E1112" s="209">
        <v>1</v>
      </c>
      <c r="F1112" s="577" t="s">
        <v>322</v>
      </c>
      <c r="G1112" s="210">
        <v>159.31080000000003</v>
      </c>
      <c r="H1112" s="211">
        <f>ROUND(G1112*E1112,2)</f>
        <v>159.31</v>
      </c>
    </row>
    <row r="1113" spans="1:8" s="201" customFormat="1">
      <c r="A1113" s="582"/>
      <c r="B1113" s="582"/>
      <c r="C1113" s="212"/>
      <c r="D1113" s="719" t="s">
        <v>127</v>
      </c>
      <c r="E1113" s="719"/>
      <c r="F1113" s="719"/>
      <c r="G1113" s="719"/>
      <c r="H1113" s="638">
        <f>SUMIF(F1112:F1112,("h"),H1112:H1112)</f>
        <v>0</v>
      </c>
    </row>
    <row r="1114" spans="1:8" s="201" customFormat="1">
      <c r="A1114" s="582"/>
      <c r="B1114" s="582"/>
      <c r="C1114" s="212"/>
      <c r="D1114" s="719" t="s">
        <v>128</v>
      </c>
      <c r="E1114" s="719"/>
      <c r="F1114" s="719"/>
      <c r="G1114" s="719"/>
      <c r="H1114" s="638">
        <f>SUMIF(F1112:F1112,"&lt;&gt;h",H1112:H1112)</f>
        <v>159.31</v>
      </c>
    </row>
    <row r="1115" spans="1:8" s="201" customFormat="1">
      <c r="A1115" s="582"/>
      <c r="B1115" s="582"/>
      <c r="C1115" s="212"/>
      <c r="D1115" s="718" t="s">
        <v>129</v>
      </c>
      <c r="E1115" s="718"/>
      <c r="F1115" s="718"/>
      <c r="G1115" s="718"/>
      <c r="H1115" s="213">
        <f>SUM(H1113:H1114)</f>
        <v>159.31</v>
      </c>
    </row>
    <row r="1116" spans="1:8" s="201" customFormat="1">
      <c r="A1116" s="582"/>
      <c r="B1116" s="582"/>
      <c r="C1116" s="212"/>
      <c r="D1116" s="719" t="s">
        <v>28</v>
      </c>
      <c r="E1116" s="719"/>
      <c r="F1116" s="719"/>
      <c r="G1116" s="719"/>
      <c r="H1116" s="639">
        <f>E1111</f>
        <v>655.12</v>
      </c>
    </row>
    <row r="1117" spans="1:8" s="201" customFormat="1">
      <c r="A1117" s="582"/>
      <c r="B1117" s="582"/>
      <c r="C1117" s="212"/>
      <c r="D1117" s="718" t="s">
        <v>130</v>
      </c>
      <c r="E1117" s="718"/>
      <c r="F1117" s="718"/>
      <c r="G1117" s="718"/>
      <c r="H1117" s="213">
        <f>ROUND(H1115*H1116,2)</f>
        <v>104367.17</v>
      </c>
    </row>
    <row r="1118" spans="1:8" s="201" customFormat="1">
      <c r="A1118" s="582"/>
      <c r="B1118" s="582"/>
      <c r="C1118" s="212"/>
      <c r="D1118" s="719" t="s">
        <v>15560</v>
      </c>
      <c r="E1118" s="719"/>
      <c r="F1118" s="719"/>
      <c r="G1118" s="719"/>
      <c r="H1118" s="638">
        <f>ROUND(H1115*$B$14,2)</f>
        <v>33.340000000000003</v>
      </c>
    </row>
    <row r="1119" spans="1:8">
      <c r="A1119" s="582"/>
      <c r="B1119" s="582"/>
      <c r="C1119" s="212"/>
      <c r="D1119" s="718" t="s">
        <v>9661</v>
      </c>
      <c r="E1119" s="718"/>
      <c r="F1119" s="718"/>
      <c r="G1119" s="718"/>
      <c r="H1119" s="213">
        <f>H1118+H1115</f>
        <v>192.65</v>
      </c>
    </row>
    <row r="1121" spans="1:8" s="201" customFormat="1">
      <c r="A1121" s="123" t="s">
        <v>6</v>
      </c>
      <c r="B1121" s="720" t="s">
        <v>7</v>
      </c>
      <c r="C1121" s="720"/>
      <c r="D1121" s="202" t="s">
        <v>124</v>
      </c>
      <c r="E1121" s="167" t="s">
        <v>6334</v>
      </c>
      <c r="F1121" s="202" t="s">
        <v>31</v>
      </c>
      <c r="G1121" s="203" t="s">
        <v>125</v>
      </c>
      <c r="H1121" s="204" t="s">
        <v>126</v>
      </c>
    </row>
    <row r="1122" spans="1:8" s="208" customFormat="1" ht="45">
      <c r="A1122" s="581" t="str">
        <f>'Orç - Prédio'!A197</f>
        <v>04.01.802.02</v>
      </c>
      <c r="B1122" s="581" t="str">
        <f>'Orç - Prédio'!B197</f>
        <v>SINAPI</v>
      </c>
      <c r="C1122" s="581" t="str">
        <f>'Orç - Prédio'!C197</f>
        <v>VEG 73970/1 MOD</v>
      </c>
      <c r="D1122" s="205" t="s">
        <v>9571</v>
      </c>
      <c r="E1122" s="581">
        <v>655.12</v>
      </c>
      <c r="F1122" s="581" t="s">
        <v>6339</v>
      </c>
      <c r="G1122" s="207">
        <f>VLOOKUP("CUSTO TOTAL UNIT.:",D1123:$H$30004,5,FALSE)</f>
        <v>81.169999999999987</v>
      </c>
      <c r="H1122" s="637">
        <f>VLOOKUP("CUSTO TOTAL:",D1123:$H$30004,5,FALSE)</f>
        <v>53176.09</v>
      </c>
    </row>
    <row r="1123" spans="1:8" s="124" customFormat="1">
      <c r="A1123" s="721">
        <v>13119</v>
      </c>
      <c r="B1123" s="721"/>
      <c r="C1123" s="200" t="s">
        <v>6333</v>
      </c>
      <c r="D1123" s="139" t="s">
        <v>9572</v>
      </c>
      <c r="E1123" s="209">
        <v>4.32</v>
      </c>
      <c r="F1123" s="577" t="s">
        <v>315</v>
      </c>
      <c r="G1123" s="210">
        <v>5.4513000000000007</v>
      </c>
      <c r="H1123" s="211">
        <f>ROUND(G1123*E1123,2)</f>
        <v>23.55</v>
      </c>
    </row>
    <row r="1124" spans="1:8" s="124" customFormat="1">
      <c r="A1124" s="721">
        <v>13121</v>
      </c>
      <c r="B1124" s="721"/>
      <c r="C1124" s="200" t="s">
        <v>6333</v>
      </c>
      <c r="D1124" s="139" t="s">
        <v>9573</v>
      </c>
      <c r="E1124" s="209">
        <v>7.72</v>
      </c>
      <c r="F1124" s="577" t="s">
        <v>315</v>
      </c>
      <c r="G1124" s="210">
        <v>5.4513000000000007</v>
      </c>
      <c r="H1124" s="211">
        <f>ROUND(G1124*E1124,2)</f>
        <v>42.08</v>
      </c>
    </row>
    <row r="1125" spans="1:8" s="124" customFormat="1" ht="30">
      <c r="A1125" s="721">
        <v>88315</v>
      </c>
      <c r="B1125" s="721"/>
      <c r="C1125" s="200" t="s">
        <v>5256</v>
      </c>
      <c r="D1125" s="139" t="s">
        <v>112</v>
      </c>
      <c r="E1125" s="209">
        <v>0.48159999999999997</v>
      </c>
      <c r="F1125" s="577" t="s">
        <v>67</v>
      </c>
      <c r="G1125" s="210">
        <v>15.519600000000001</v>
      </c>
      <c r="H1125" s="211">
        <f>ROUND(G1125*E1125,2)</f>
        <v>7.47</v>
      </c>
    </row>
    <row r="1126" spans="1:8" s="124" customFormat="1" ht="30">
      <c r="A1126" s="721">
        <v>88316</v>
      </c>
      <c r="B1126" s="721"/>
      <c r="C1126" s="200" t="s">
        <v>5256</v>
      </c>
      <c r="D1126" s="139" t="s">
        <v>66</v>
      </c>
      <c r="E1126" s="209">
        <v>0.48159999999999997</v>
      </c>
      <c r="F1126" s="577" t="s">
        <v>67</v>
      </c>
      <c r="G1126" s="210">
        <v>11.631600000000001</v>
      </c>
      <c r="H1126" s="211">
        <f>ROUND(G1126*E1126,2)</f>
        <v>5.6</v>
      </c>
    </row>
    <row r="1127" spans="1:8" s="124" customFormat="1" ht="45">
      <c r="A1127" s="721">
        <v>98746</v>
      </c>
      <c r="B1127" s="721"/>
      <c r="C1127" s="200" t="s">
        <v>5256</v>
      </c>
      <c r="D1127" s="139" t="s">
        <v>7542</v>
      </c>
      <c r="E1127" s="209">
        <v>7.2239999999999999E-2</v>
      </c>
      <c r="F1127" s="577" t="s">
        <v>139</v>
      </c>
      <c r="G1127" s="210">
        <v>34.133400000000002</v>
      </c>
      <c r="H1127" s="211">
        <f>ROUND(G1127*E1127,2)</f>
        <v>2.4700000000000002</v>
      </c>
    </row>
    <row r="1128" spans="1:8" s="201" customFormat="1">
      <c r="A1128" s="582"/>
      <c r="B1128" s="582"/>
      <c r="C1128" s="212"/>
      <c r="D1128" s="719" t="s">
        <v>127</v>
      </c>
      <c r="E1128" s="719"/>
      <c r="F1128" s="719"/>
      <c r="G1128" s="719"/>
      <c r="H1128" s="638">
        <f>SUMIF(F1123:F1127,("h"),H1123:H1127)</f>
        <v>13.07</v>
      </c>
    </row>
    <row r="1129" spans="1:8" s="201" customFormat="1">
      <c r="A1129" s="582"/>
      <c r="B1129" s="582"/>
      <c r="C1129" s="212"/>
      <c r="D1129" s="719" t="s">
        <v>128</v>
      </c>
      <c r="E1129" s="719"/>
      <c r="F1129" s="719"/>
      <c r="G1129" s="719"/>
      <c r="H1129" s="638">
        <f>SUMIF(F1123:F1127,"&lt;&gt;h",H1123:H1127)</f>
        <v>68.099999999999994</v>
      </c>
    </row>
    <row r="1130" spans="1:8" s="201" customFormat="1">
      <c r="A1130" s="582"/>
      <c r="B1130" s="582"/>
      <c r="C1130" s="212"/>
      <c r="D1130" s="718" t="s">
        <v>129</v>
      </c>
      <c r="E1130" s="718"/>
      <c r="F1130" s="718"/>
      <c r="G1130" s="718"/>
      <c r="H1130" s="213">
        <f>SUM(H1128:H1129)</f>
        <v>81.169999999999987</v>
      </c>
    </row>
    <row r="1131" spans="1:8" s="201" customFormat="1">
      <c r="A1131" s="582"/>
      <c r="B1131" s="582"/>
      <c r="C1131" s="212"/>
      <c r="D1131" s="719" t="s">
        <v>28</v>
      </c>
      <c r="E1131" s="719"/>
      <c r="F1131" s="719"/>
      <c r="G1131" s="719"/>
      <c r="H1131" s="639">
        <f>E1122</f>
        <v>655.12</v>
      </c>
    </row>
    <row r="1132" spans="1:8" s="201" customFormat="1">
      <c r="A1132" s="582"/>
      <c r="B1132" s="582"/>
      <c r="C1132" s="212"/>
      <c r="D1132" s="718" t="s">
        <v>130</v>
      </c>
      <c r="E1132" s="718"/>
      <c r="F1132" s="718"/>
      <c r="G1132" s="718"/>
      <c r="H1132" s="213">
        <f>ROUND(H1130*H1131,2)</f>
        <v>53176.09</v>
      </c>
    </row>
    <row r="1133" spans="1:8" s="201" customFormat="1">
      <c r="A1133" s="582"/>
      <c r="B1133" s="582"/>
      <c r="C1133" s="212"/>
      <c r="D1133" s="719" t="s">
        <v>15560</v>
      </c>
      <c r="E1133" s="719"/>
      <c r="F1133" s="719"/>
      <c r="G1133" s="719"/>
      <c r="H1133" s="638">
        <f>ROUND(H1130*$B$13,2)</f>
        <v>21.86</v>
      </c>
    </row>
    <row r="1134" spans="1:8">
      <c r="A1134" s="582"/>
      <c r="B1134" s="582"/>
      <c r="C1134" s="212"/>
      <c r="D1134" s="718" t="s">
        <v>9661</v>
      </c>
      <c r="E1134" s="718"/>
      <c r="F1134" s="718"/>
      <c r="G1134" s="718"/>
      <c r="H1134" s="213">
        <f>H1133+H1130</f>
        <v>103.02999999999999</v>
      </c>
    </row>
    <row r="1136" spans="1:8" s="201" customFormat="1">
      <c r="A1136" s="123" t="s">
        <v>6</v>
      </c>
      <c r="B1136" s="720" t="s">
        <v>7</v>
      </c>
      <c r="C1136" s="720"/>
      <c r="D1136" s="202" t="s">
        <v>124</v>
      </c>
      <c r="E1136" s="167" t="s">
        <v>6334</v>
      </c>
      <c r="F1136" s="202" t="s">
        <v>31</v>
      </c>
      <c r="G1136" s="203" t="s">
        <v>125</v>
      </c>
      <c r="H1136" s="204" t="s">
        <v>126</v>
      </c>
    </row>
    <row r="1137" spans="1:8" s="208" customFormat="1" ht="30">
      <c r="A1137" s="581" t="str">
        <f>'Orç - Prédio'!A200</f>
        <v>04.01.808.01</v>
      </c>
      <c r="B1137" s="216" t="str">
        <f>'Orç - Prédio'!B200</f>
        <v>ORSE</v>
      </c>
      <c r="C1137" s="216">
        <f>'Orç - Prédio'!C200</f>
        <v>10759</v>
      </c>
      <c r="D1137" s="217" t="s">
        <v>7001</v>
      </c>
      <c r="E1137" s="206">
        <v>233.88</v>
      </c>
      <c r="F1137" s="216" t="s">
        <v>6339</v>
      </c>
      <c r="G1137" s="207">
        <f>VLOOKUP("CUSTO TOTAL UNIT.:",D1138:$H$30004,5,FALSE)</f>
        <v>426.88000000000005</v>
      </c>
      <c r="H1137" s="637">
        <f>VLOOKUP("CUSTO TOTAL:",D1138:$H$30004,5,FALSE)</f>
        <v>99838.69</v>
      </c>
    </row>
    <row r="1138" spans="1:8" s="124" customFormat="1" ht="60">
      <c r="A1138" s="721">
        <v>11795</v>
      </c>
      <c r="B1138" s="721"/>
      <c r="C1138" s="200" t="s">
        <v>5256</v>
      </c>
      <c r="D1138" s="139" t="s">
        <v>12088</v>
      </c>
      <c r="E1138" s="209">
        <v>1</v>
      </c>
      <c r="F1138" s="577" t="s">
        <v>46</v>
      </c>
      <c r="G1138" s="210">
        <v>403.46910000000003</v>
      </c>
      <c r="H1138" s="211">
        <f>ROUND(G1138*E1138,2)</f>
        <v>403.47</v>
      </c>
    </row>
    <row r="1139" spans="1:8" s="124" customFormat="1" ht="30">
      <c r="A1139" s="721">
        <v>88309</v>
      </c>
      <c r="B1139" s="721"/>
      <c r="C1139" s="200" t="s">
        <v>5256</v>
      </c>
      <c r="D1139" s="139" t="s">
        <v>90</v>
      </c>
      <c r="E1139" s="209">
        <v>0.65</v>
      </c>
      <c r="F1139" s="577" t="s">
        <v>67</v>
      </c>
      <c r="G1139" s="210">
        <v>15.608700000000001</v>
      </c>
      <c r="H1139" s="211">
        <f>ROUND(G1139*E1139,2)</f>
        <v>10.15</v>
      </c>
    </row>
    <row r="1140" spans="1:8" s="124" customFormat="1" ht="30">
      <c r="A1140" s="721">
        <v>88316</v>
      </c>
      <c r="B1140" s="721"/>
      <c r="C1140" s="200" t="s">
        <v>5256</v>
      </c>
      <c r="D1140" s="139" t="s">
        <v>66</v>
      </c>
      <c r="E1140" s="209">
        <v>1.1399999999999999</v>
      </c>
      <c r="F1140" s="577" t="s">
        <v>67</v>
      </c>
      <c r="G1140" s="210">
        <v>11.631600000000001</v>
      </c>
      <c r="H1140" s="211">
        <f>ROUND(G1140*E1140,2)</f>
        <v>13.26</v>
      </c>
    </row>
    <row r="1141" spans="1:8" s="201" customFormat="1">
      <c r="A1141" s="582"/>
      <c r="B1141" s="582"/>
      <c r="C1141" s="212"/>
      <c r="D1141" s="719" t="s">
        <v>127</v>
      </c>
      <c r="E1141" s="719"/>
      <c r="F1141" s="719"/>
      <c r="G1141" s="719"/>
      <c r="H1141" s="638">
        <f>SUMIF(F1138:F1140,("h"),H1138:H1140)</f>
        <v>23.41</v>
      </c>
    </row>
    <row r="1142" spans="1:8" s="201" customFormat="1">
      <c r="A1142" s="582"/>
      <c r="B1142" s="582"/>
      <c r="C1142" s="212"/>
      <c r="D1142" s="719" t="s">
        <v>128</v>
      </c>
      <c r="E1142" s="719"/>
      <c r="F1142" s="719"/>
      <c r="G1142" s="719"/>
      <c r="H1142" s="638">
        <f>SUMIF(F1138:F1140,"&lt;&gt;h",H1138:H1140)</f>
        <v>403.47</v>
      </c>
    </row>
    <row r="1143" spans="1:8" s="201" customFormat="1">
      <c r="A1143" s="582"/>
      <c r="B1143" s="582"/>
      <c r="C1143" s="212"/>
      <c r="D1143" s="718" t="s">
        <v>129</v>
      </c>
      <c r="E1143" s="718"/>
      <c r="F1143" s="718"/>
      <c r="G1143" s="718"/>
      <c r="H1143" s="213">
        <f>SUM(H1141:H1142)</f>
        <v>426.88000000000005</v>
      </c>
    </row>
    <row r="1144" spans="1:8" s="201" customFormat="1">
      <c r="A1144" s="582"/>
      <c r="B1144" s="582"/>
      <c r="C1144" s="212"/>
      <c r="D1144" s="719" t="s">
        <v>28</v>
      </c>
      <c r="E1144" s="719"/>
      <c r="F1144" s="719"/>
      <c r="G1144" s="719"/>
      <c r="H1144" s="639">
        <f>E1137</f>
        <v>233.88</v>
      </c>
    </row>
    <row r="1145" spans="1:8" s="201" customFormat="1">
      <c r="A1145" s="582"/>
      <c r="B1145" s="582"/>
      <c r="C1145" s="212"/>
      <c r="D1145" s="718" t="s">
        <v>130</v>
      </c>
      <c r="E1145" s="718"/>
      <c r="F1145" s="718"/>
      <c r="G1145" s="718"/>
      <c r="H1145" s="213">
        <f>ROUND(H1143*H1144,2)</f>
        <v>99838.69</v>
      </c>
    </row>
    <row r="1146" spans="1:8" s="201" customFormat="1">
      <c r="A1146" s="582"/>
      <c r="B1146" s="582"/>
      <c r="C1146" s="212"/>
      <c r="D1146" s="719" t="s">
        <v>15559</v>
      </c>
      <c r="E1146" s="719"/>
      <c r="F1146" s="719"/>
      <c r="G1146" s="719"/>
      <c r="H1146" s="638">
        <f>ROUND(H1143*$B$13,2)</f>
        <v>114.96</v>
      </c>
    </row>
    <row r="1147" spans="1:8">
      <c r="A1147" s="582"/>
      <c r="B1147" s="582"/>
      <c r="C1147" s="212"/>
      <c r="D1147" s="718" t="s">
        <v>9661</v>
      </c>
      <c r="E1147" s="718"/>
      <c r="F1147" s="718"/>
      <c r="G1147" s="718"/>
      <c r="H1147" s="213">
        <f>H1146+H1143</f>
        <v>541.84</v>
      </c>
    </row>
    <row r="1149" spans="1:8" s="201" customFormat="1">
      <c r="A1149" s="123" t="s">
        <v>6</v>
      </c>
      <c r="B1149" s="720" t="s">
        <v>7</v>
      </c>
      <c r="C1149" s="720"/>
      <c r="D1149" s="202" t="s">
        <v>124</v>
      </c>
      <c r="E1149" s="167" t="s">
        <v>6334</v>
      </c>
      <c r="F1149" s="202" t="s">
        <v>31</v>
      </c>
      <c r="G1149" s="203" t="s">
        <v>125</v>
      </c>
      <c r="H1149" s="204" t="s">
        <v>126</v>
      </c>
    </row>
    <row r="1150" spans="1:8" s="208" customFormat="1" ht="45">
      <c r="A1150" s="581" t="str">
        <f>'Orç - Prédio'!A202</f>
        <v>04.01.808.03</v>
      </c>
      <c r="B1150" s="581" t="str">
        <f>'Orç - Prédio'!B202</f>
        <v>SINAPI</v>
      </c>
      <c r="C1150" s="581" t="str">
        <f>'Orç - Prédio'!C202</f>
        <v>86895 MOD</v>
      </c>
      <c r="D1150" s="205" t="s">
        <v>6988</v>
      </c>
      <c r="E1150" s="581">
        <v>3.81</v>
      </c>
      <c r="F1150" s="581" t="s">
        <v>6339</v>
      </c>
      <c r="G1150" s="207">
        <f>VLOOKUP("CUSTO TOTAL UNIT.:",D1151:$H$30004,5,FALSE)</f>
        <v>534.73</v>
      </c>
      <c r="H1150" s="637">
        <f>VLOOKUP("CUSTO TOTAL:",D1151:$H$30004,5,FALSE)</f>
        <v>2037.32</v>
      </c>
    </row>
    <row r="1151" spans="1:8" s="124" customFormat="1">
      <c r="A1151" s="721">
        <v>4823</v>
      </c>
      <c r="B1151" s="721"/>
      <c r="C1151" s="200" t="s">
        <v>5256</v>
      </c>
      <c r="D1151" s="139" t="s">
        <v>12944</v>
      </c>
      <c r="E1151" s="209">
        <v>1.0196289999999999</v>
      </c>
      <c r="F1151" s="577" t="s">
        <v>49</v>
      </c>
      <c r="G1151" s="210">
        <v>24.121800000000004</v>
      </c>
      <c r="H1151" s="211">
        <f t="shared" ref="H1151:H1156" si="41">ROUND(G1151*E1151,2)</f>
        <v>24.6</v>
      </c>
    </row>
    <row r="1152" spans="1:8" s="124" customFormat="1" ht="60">
      <c r="A1152" s="721">
        <v>7568</v>
      </c>
      <c r="B1152" s="721"/>
      <c r="C1152" s="200" t="s">
        <v>5256</v>
      </c>
      <c r="D1152" s="139" t="s">
        <v>10290</v>
      </c>
      <c r="E1152" s="209">
        <v>15.91512</v>
      </c>
      <c r="F1152" s="577" t="s">
        <v>40</v>
      </c>
      <c r="G1152" s="210">
        <v>0.49410000000000004</v>
      </c>
      <c r="H1152" s="211">
        <f t="shared" si="41"/>
        <v>7.86</v>
      </c>
    </row>
    <row r="1153" spans="1:8" s="124" customFormat="1" ht="60">
      <c r="A1153" s="721">
        <v>11795</v>
      </c>
      <c r="B1153" s="721"/>
      <c r="C1153" s="200" t="s">
        <v>5256</v>
      </c>
      <c r="D1153" s="139" t="s">
        <v>12088</v>
      </c>
      <c r="E1153" s="209">
        <v>1</v>
      </c>
      <c r="F1153" s="577" t="s">
        <v>46</v>
      </c>
      <c r="G1153" s="210">
        <v>403.46910000000003</v>
      </c>
      <c r="H1153" s="211">
        <f t="shared" si="41"/>
        <v>403.47</v>
      </c>
    </row>
    <row r="1154" spans="1:8" s="124" customFormat="1">
      <c r="A1154" s="721">
        <v>37329</v>
      </c>
      <c r="B1154" s="721"/>
      <c r="C1154" s="200" t="s">
        <v>5256</v>
      </c>
      <c r="D1154" s="139" t="s">
        <v>13743</v>
      </c>
      <c r="E1154" s="209">
        <v>6.8169999999999994E-2</v>
      </c>
      <c r="F1154" s="577" t="s">
        <v>49</v>
      </c>
      <c r="G1154" s="210">
        <v>27.272700000000004</v>
      </c>
      <c r="H1154" s="211">
        <f t="shared" si="41"/>
        <v>1.86</v>
      </c>
    </row>
    <row r="1155" spans="1:8" s="124" customFormat="1" ht="30">
      <c r="A1155" s="721">
        <v>88274</v>
      </c>
      <c r="B1155" s="721"/>
      <c r="C1155" s="200" t="s">
        <v>5256</v>
      </c>
      <c r="D1155" s="139" t="s">
        <v>5106</v>
      </c>
      <c r="E1155" s="209">
        <v>5.0928380000000004</v>
      </c>
      <c r="F1155" s="577" t="s">
        <v>67</v>
      </c>
      <c r="G1155" s="210">
        <v>13.097700000000001</v>
      </c>
      <c r="H1155" s="211">
        <f t="shared" si="41"/>
        <v>66.7</v>
      </c>
    </row>
    <row r="1156" spans="1:8" s="124" customFormat="1" ht="30">
      <c r="A1156" s="721">
        <v>88316</v>
      </c>
      <c r="B1156" s="721"/>
      <c r="C1156" s="200" t="s">
        <v>5256</v>
      </c>
      <c r="D1156" s="139" t="s">
        <v>66</v>
      </c>
      <c r="E1156" s="209">
        <v>2.6</v>
      </c>
      <c r="F1156" s="577" t="s">
        <v>67</v>
      </c>
      <c r="G1156" s="210">
        <v>11.631600000000001</v>
      </c>
      <c r="H1156" s="211">
        <f t="shared" si="41"/>
        <v>30.24</v>
      </c>
    </row>
    <row r="1157" spans="1:8" s="201" customFormat="1">
      <c r="A1157" s="582"/>
      <c r="B1157" s="582"/>
      <c r="C1157" s="212"/>
      <c r="D1157" s="719" t="s">
        <v>127</v>
      </c>
      <c r="E1157" s="719"/>
      <c r="F1157" s="719"/>
      <c r="G1157" s="719"/>
      <c r="H1157" s="638">
        <f>SUMIF(F1151:F1156,("h"),H1151:H1156)</f>
        <v>96.94</v>
      </c>
    </row>
    <row r="1158" spans="1:8" s="201" customFormat="1">
      <c r="A1158" s="582"/>
      <c r="B1158" s="582"/>
      <c r="C1158" s="212"/>
      <c r="D1158" s="719" t="s">
        <v>128</v>
      </c>
      <c r="E1158" s="719"/>
      <c r="F1158" s="719"/>
      <c r="G1158" s="719"/>
      <c r="H1158" s="638">
        <f>SUMIF(F1151:F1156,"&lt;&gt;h",H1151:H1156)</f>
        <v>437.79</v>
      </c>
    </row>
    <row r="1159" spans="1:8" s="201" customFormat="1">
      <c r="A1159" s="582"/>
      <c r="B1159" s="582"/>
      <c r="C1159" s="212"/>
      <c r="D1159" s="718" t="s">
        <v>129</v>
      </c>
      <c r="E1159" s="718"/>
      <c r="F1159" s="718"/>
      <c r="G1159" s="718"/>
      <c r="H1159" s="213">
        <f>SUM(H1157:H1158)</f>
        <v>534.73</v>
      </c>
    </row>
    <row r="1160" spans="1:8" s="201" customFormat="1">
      <c r="A1160" s="582"/>
      <c r="B1160" s="582"/>
      <c r="C1160" s="212"/>
      <c r="D1160" s="719" t="s">
        <v>28</v>
      </c>
      <c r="E1160" s="719"/>
      <c r="F1160" s="719"/>
      <c r="G1160" s="719"/>
      <c r="H1160" s="639">
        <f>E1150</f>
        <v>3.81</v>
      </c>
    </row>
    <row r="1161" spans="1:8" s="201" customFormat="1">
      <c r="A1161" s="582"/>
      <c r="B1161" s="582"/>
      <c r="C1161" s="212"/>
      <c r="D1161" s="718" t="s">
        <v>130</v>
      </c>
      <c r="E1161" s="718"/>
      <c r="F1161" s="718"/>
      <c r="G1161" s="718"/>
      <c r="H1161" s="213">
        <f>ROUND(H1159*H1160,2)</f>
        <v>2037.32</v>
      </c>
    </row>
    <row r="1162" spans="1:8" s="201" customFormat="1">
      <c r="A1162" s="582"/>
      <c r="B1162" s="582"/>
      <c r="C1162" s="212"/>
      <c r="D1162" s="719" t="s">
        <v>15559</v>
      </c>
      <c r="E1162" s="719"/>
      <c r="F1162" s="719"/>
      <c r="G1162" s="719"/>
      <c r="H1162" s="638">
        <f>ROUND(H1159*$B$13,2)</f>
        <v>144</v>
      </c>
    </row>
    <row r="1163" spans="1:8">
      <c r="A1163" s="582"/>
      <c r="B1163" s="582"/>
      <c r="C1163" s="212"/>
      <c r="D1163" s="718" t="s">
        <v>9661</v>
      </c>
      <c r="E1163" s="718"/>
      <c r="F1163" s="718"/>
      <c r="G1163" s="718"/>
      <c r="H1163" s="213">
        <f>H1162+H1159</f>
        <v>678.73</v>
      </c>
    </row>
    <row r="1165" spans="1:8" s="201" customFormat="1">
      <c r="A1165" s="123" t="s">
        <v>6</v>
      </c>
      <c r="B1165" s="720" t="s">
        <v>7</v>
      </c>
      <c r="C1165" s="720"/>
      <c r="D1165" s="202" t="s">
        <v>124</v>
      </c>
      <c r="E1165" s="167" t="s">
        <v>6334</v>
      </c>
      <c r="F1165" s="202" t="s">
        <v>31</v>
      </c>
      <c r="G1165" s="203" t="s">
        <v>125</v>
      </c>
      <c r="H1165" s="204" t="s">
        <v>126</v>
      </c>
    </row>
    <row r="1166" spans="1:8" s="208" customFormat="1" ht="30">
      <c r="A1166" s="581" t="str">
        <f>'Orç - Prédio'!A205</f>
        <v>04.01.811</v>
      </c>
      <c r="B1166" s="216" t="str">
        <f>'Orç - Prédio'!B205</f>
        <v>ORSE</v>
      </c>
      <c r="C1166" s="216">
        <f>'Orç - Prédio'!C205</f>
        <v>2031</v>
      </c>
      <c r="D1166" s="217" t="s">
        <v>7004</v>
      </c>
      <c r="E1166" s="206">
        <v>4</v>
      </c>
      <c r="F1166" s="216" t="s">
        <v>6337</v>
      </c>
      <c r="G1166" s="207">
        <f>VLOOKUP("CUSTO TOTAL UNIT.:",D1167:$H$30004,5,FALSE)</f>
        <v>25.160000000000004</v>
      </c>
      <c r="H1166" s="637">
        <f>VLOOKUP("CUSTO TOTAL:",D1167:$H$30004,5,FALSE)</f>
        <v>100.64</v>
      </c>
    </row>
    <row r="1167" spans="1:8" s="124" customFormat="1" ht="30">
      <c r="A1167" s="721">
        <v>1998</v>
      </c>
      <c r="B1167" s="721"/>
      <c r="C1167" s="200" t="s">
        <v>6333</v>
      </c>
      <c r="D1167" s="139" t="s">
        <v>7013</v>
      </c>
      <c r="E1167" s="209">
        <v>1</v>
      </c>
      <c r="F1167" s="577" t="s">
        <v>31</v>
      </c>
      <c r="G1167" s="174">
        <v>8.5130999999999997</v>
      </c>
      <c r="H1167" s="211">
        <f>ROUND(G1167*E1167,2)</f>
        <v>8.51</v>
      </c>
    </row>
    <row r="1168" spans="1:8" s="124" customFormat="1" ht="30">
      <c r="A1168" s="721">
        <v>88309</v>
      </c>
      <c r="B1168" s="721"/>
      <c r="C1168" s="200" t="s">
        <v>5256</v>
      </c>
      <c r="D1168" s="139" t="s">
        <v>90</v>
      </c>
      <c r="E1168" s="209">
        <v>0.6</v>
      </c>
      <c r="F1168" s="577" t="s">
        <v>67</v>
      </c>
      <c r="G1168" s="210">
        <v>15.608700000000001</v>
      </c>
      <c r="H1168" s="211">
        <f>ROUND(G1168*E1168,2)</f>
        <v>9.3699999999999992</v>
      </c>
    </row>
    <row r="1169" spans="1:8" s="124" customFormat="1" ht="30">
      <c r="A1169" s="721">
        <v>88316</v>
      </c>
      <c r="B1169" s="721"/>
      <c r="C1169" s="200" t="s">
        <v>5256</v>
      </c>
      <c r="D1169" s="139" t="s">
        <v>66</v>
      </c>
      <c r="E1169" s="209">
        <v>0.6</v>
      </c>
      <c r="F1169" s="577" t="s">
        <v>67</v>
      </c>
      <c r="G1169" s="210">
        <v>11.631600000000001</v>
      </c>
      <c r="H1169" s="211">
        <f>ROUND(G1169*E1169,2)</f>
        <v>6.98</v>
      </c>
    </row>
    <row r="1170" spans="1:8" s="124" customFormat="1" ht="60">
      <c r="A1170" s="721">
        <v>87304</v>
      </c>
      <c r="B1170" s="721"/>
      <c r="C1170" s="200" t="s">
        <v>5256</v>
      </c>
      <c r="D1170" s="139" t="s">
        <v>4896</v>
      </c>
      <c r="E1170" s="209">
        <v>1E-3</v>
      </c>
      <c r="F1170" s="577" t="s">
        <v>1261</v>
      </c>
      <c r="G1170" s="210">
        <v>301.87890000000004</v>
      </c>
      <c r="H1170" s="211">
        <f>ROUND(G1170*E1170,2)</f>
        <v>0.3</v>
      </c>
    </row>
    <row r="1171" spans="1:8" s="201" customFormat="1">
      <c r="A1171" s="582"/>
      <c r="B1171" s="582"/>
      <c r="C1171" s="212"/>
      <c r="D1171" s="719" t="s">
        <v>127</v>
      </c>
      <c r="E1171" s="719"/>
      <c r="F1171" s="719"/>
      <c r="G1171" s="719"/>
      <c r="H1171" s="638">
        <f>SUMIF(F1167:F1170,("h"),H1167:H1170)</f>
        <v>16.350000000000001</v>
      </c>
    </row>
    <row r="1172" spans="1:8" s="201" customFormat="1">
      <c r="A1172" s="582"/>
      <c r="B1172" s="582"/>
      <c r="C1172" s="212"/>
      <c r="D1172" s="719" t="s">
        <v>128</v>
      </c>
      <c r="E1172" s="719"/>
      <c r="F1172" s="719"/>
      <c r="G1172" s="719"/>
      <c r="H1172" s="638">
        <f>SUMIF(F1167:F1170,"&lt;&gt;h",H1167:H1170)</f>
        <v>8.81</v>
      </c>
    </row>
    <row r="1173" spans="1:8" s="201" customFormat="1">
      <c r="A1173" s="582"/>
      <c r="B1173" s="582"/>
      <c r="C1173" s="212"/>
      <c r="D1173" s="718" t="s">
        <v>129</v>
      </c>
      <c r="E1173" s="718"/>
      <c r="F1173" s="718"/>
      <c r="G1173" s="718"/>
      <c r="H1173" s="213">
        <f>SUM(H1171:H1172)</f>
        <v>25.160000000000004</v>
      </c>
    </row>
    <row r="1174" spans="1:8" s="201" customFormat="1">
      <c r="A1174" s="582"/>
      <c r="B1174" s="582"/>
      <c r="C1174" s="212"/>
      <c r="D1174" s="719" t="s">
        <v>28</v>
      </c>
      <c r="E1174" s="719"/>
      <c r="F1174" s="719"/>
      <c r="G1174" s="719"/>
      <c r="H1174" s="639">
        <f>E1166</f>
        <v>4</v>
      </c>
    </row>
    <row r="1175" spans="1:8" s="201" customFormat="1">
      <c r="A1175" s="582"/>
      <c r="B1175" s="582"/>
      <c r="C1175" s="212"/>
      <c r="D1175" s="718" t="s">
        <v>130</v>
      </c>
      <c r="E1175" s="718"/>
      <c r="F1175" s="718"/>
      <c r="G1175" s="718"/>
      <c r="H1175" s="213">
        <f>ROUND(H1173*H1174,2)</f>
        <v>100.64</v>
      </c>
    </row>
    <row r="1176" spans="1:8" s="201" customFormat="1">
      <c r="A1176" s="582"/>
      <c r="B1176" s="582"/>
      <c r="C1176" s="212"/>
      <c r="D1176" s="719" t="s">
        <v>15559</v>
      </c>
      <c r="E1176" s="719"/>
      <c r="F1176" s="719"/>
      <c r="G1176" s="719"/>
      <c r="H1176" s="638">
        <f>ROUND(H1173*$B$13,2)</f>
        <v>6.78</v>
      </c>
    </row>
    <row r="1177" spans="1:8">
      <c r="A1177" s="582"/>
      <c r="B1177" s="582"/>
      <c r="C1177" s="212"/>
      <c r="D1177" s="718" t="s">
        <v>9661</v>
      </c>
      <c r="E1177" s="718"/>
      <c r="F1177" s="718"/>
      <c r="G1177" s="718"/>
      <c r="H1177" s="213">
        <f>H1176+H1173</f>
        <v>31.940000000000005</v>
      </c>
    </row>
    <row r="1179" spans="1:8" s="201" customFormat="1">
      <c r="A1179" s="123" t="s">
        <v>6</v>
      </c>
      <c r="B1179" s="720" t="s">
        <v>7</v>
      </c>
      <c r="C1179" s="720"/>
      <c r="D1179" s="202" t="s">
        <v>124</v>
      </c>
      <c r="E1179" s="167" t="s">
        <v>6334</v>
      </c>
      <c r="F1179" s="202" t="s">
        <v>31</v>
      </c>
      <c r="G1179" s="203" t="s">
        <v>125</v>
      </c>
      <c r="H1179" s="204" t="s">
        <v>126</v>
      </c>
    </row>
    <row r="1180" spans="1:8" s="208" customFormat="1">
      <c r="A1180" s="581" t="str">
        <f>'Orç - Prédio'!A206</f>
        <v>04.01.812</v>
      </c>
      <c r="B1180" s="216" t="str">
        <f>'Orç - Prédio'!B206</f>
        <v>ORSE</v>
      </c>
      <c r="C1180" s="216">
        <f>'Orç - Prédio'!C206</f>
        <v>2037</v>
      </c>
      <c r="D1180" s="217" t="s">
        <v>7005</v>
      </c>
      <c r="E1180" s="206">
        <v>32</v>
      </c>
      <c r="F1180" s="216" t="s">
        <v>6337</v>
      </c>
      <c r="G1180" s="207">
        <f>VLOOKUP("CUSTO TOTAL UNIT.:",D1181:$H$30004,5,FALSE)</f>
        <v>15.6</v>
      </c>
      <c r="H1180" s="637">
        <f>VLOOKUP("CUSTO TOTAL:",D1181:$H$30004,5,FALSE)</f>
        <v>499.2</v>
      </c>
    </row>
    <row r="1181" spans="1:8" s="124" customFormat="1" ht="30">
      <c r="A1181" s="721">
        <v>389</v>
      </c>
      <c r="B1181" s="721"/>
      <c r="C1181" s="200" t="s">
        <v>6333</v>
      </c>
      <c r="D1181" s="139" t="s">
        <v>7014</v>
      </c>
      <c r="E1181" s="209">
        <v>1</v>
      </c>
      <c r="F1181" s="577" t="s">
        <v>31</v>
      </c>
      <c r="G1181" s="174">
        <v>4.3658999999999999</v>
      </c>
      <c r="H1181" s="211">
        <f>ROUND(G1181*E1181,2)</f>
        <v>4.37</v>
      </c>
    </row>
    <row r="1182" spans="1:8" s="124" customFormat="1" ht="30">
      <c r="A1182" s="721">
        <v>88309</v>
      </c>
      <c r="B1182" s="721"/>
      <c r="C1182" s="200" t="s">
        <v>5256</v>
      </c>
      <c r="D1182" s="139" t="s">
        <v>90</v>
      </c>
      <c r="E1182" s="209">
        <v>0.7</v>
      </c>
      <c r="F1182" s="577" t="s">
        <v>67</v>
      </c>
      <c r="G1182" s="210">
        <v>15.608700000000001</v>
      </c>
      <c r="H1182" s="211">
        <f>ROUND(G1182*E1182,2)</f>
        <v>10.93</v>
      </c>
    </row>
    <row r="1183" spans="1:8" s="124" customFormat="1" ht="60">
      <c r="A1183" s="721">
        <v>87304</v>
      </c>
      <c r="B1183" s="721"/>
      <c r="C1183" s="200" t="s">
        <v>5256</v>
      </c>
      <c r="D1183" s="139" t="s">
        <v>4896</v>
      </c>
      <c r="E1183" s="209">
        <v>1E-3</v>
      </c>
      <c r="F1183" s="577" t="s">
        <v>1261</v>
      </c>
      <c r="G1183" s="210">
        <v>301.87890000000004</v>
      </c>
      <c r="H1183" s="211">
        <f>ROUND(G1183*E1183,2)</f>
        <v>0.3</v>
      </c>
    </row>
    <row r="1184" spans="1:8" s="201" customFormat="1">
      <c r="A1184" s="582"/>
      <c r="B1184" s="582"/>
      <c r="C1184" s="212"/>
      <c r="D1184" s="719" t="s">
        <v>127</v>
      </c>
      <c r="E1184" s="719"/>
      <c r="F1184" s="719"/>
      <c r="G1184" s="719"/>
      <c r="H1184" s="638">
        <f>SUMIF(F1181:F1183,("h"),H1181:H1183)</f>
        <v>10.93</v>
      </c>
    </row>
    <row r="1185" spans="1:8" s="201" customFormat="1">
      <c r="A1185" s="582"/>
      <c r="B1185" s="582"/>
      <c r="C1185" s="212"/>
      <c r="D1185" s="719" t="s">
        <v>128</v>
      </c>
      <c r="E1185" s="719"/>
      <c r="F1185" s="719"/>
      <c r="G1185" s="719"/>
      <c r="H1185" s="638">
        <f>SUMIF(F1181:F1183,"&lt;&gt;h",H1181:H1183)</f>
        <v>4.67</v>
      </c>
    </row>
    <row r="1186" spans="1:8" s="201" customFormat="1">
      <c r="A1186" s="582"/>
      <c r="B1186" s="582"/>
      <c r="C1186" s="212"/>
      <c r="D1186" s="718" t="s">
        <v>129</v>
      </c>
      <c r="E1186" s="718"/>
      <c r="F1186" s="718"/>
      <c r="G1186" s="718"/>
      <c r="H1186" s="213">
        <f>SUM(H1184:H1185)</f>
        <v>15.6</v>
      </c>
    </row>
    <row r="1187" spans="1:8" s="201" customFormat="1">
      <c r="A1187" s="582"/>
      <c r="B1187" s="582"/>
      <c r="C1187" s="212"/>
      <c r="D1187" s="719" t="s">
        <v>28</v>
      </c>
      <c r="E1187" s="719"/>
      <c r="F1187" s="719"/>
      <c r="G1187" s="719"/>
      <c r="H1187" s="639">
        <f>E1180</f>
        <v>32</v>
      </c>
    </row>
    <row r="1188" spans="1:8" s="201" customFormat="1">
      <c r="A1188" s="582"/>
      <c r="B1188" s="582"/>
      <c r="C1188" s="212"/>
      <c r="D1188" s="718" t="s">
        <v>130</v>
      </c>
      <c r="E1188" s="718"/>
      <c r="F1188" s="718"/>
      <c r="G1188" s="718"/>
      <c r="H1188" s="213">
        <f>ROUND(H1186*H1187,2)</f>
        <v>499.2</v>
      </c>
    </row>
    <row r="1189" spans="1:8" s="201" customFormat="1">
      <c r="A1189" s="582"/>
      <c r="B1189" s="582"/>
      <c r="C1189" s="212"/>
      <c r="D1189" s="719" t="s">
        <v>15559</v>
      </c>
      <c r="E1189" s="719"/>
      <c r="F1189" s="719"/>
      <c r="G1189" s="719"/>
      <c r="H1189" s="638">
        <f>ROUND(H1186*$B$13,2)</f>
        <v>4.2</v>
      </c>
    </row>
    <row r="1190" spans="1:8">
      <c r="A1190" s="582"/>
      <c r="B1190" s="582"/>
      <c r="C1190" s="212"/>
      <c r="D1190" s="718" t="s">
        <v>9661</v>
      </c>
      <c r="E1190" s="718"/>
      <c r="F1190" s="718"/>
      <c r="G1190" s="718"/>
      <c r="H1190" s="213">
        <f>H1189+H1186</f>
        <v>19.8</v>
      </c>
    </row>
    <row r="1192" spans="1:8" s="201" customFormat="1">
      <c r="A1192" s="123" t="s">
        <v>6</v>
      </c>
      <c r="B1192" s="720" t="s">
        <v>7</v>
      </c>
      <c r="C1192" s="720"/>
      <c r="D1192" s="202" t="s">
        <v>124</v>
      </c>
      <c r="E1192" s="167" t="s">
        <v>6334</v>
      </c>
      <c r="F1192" s="202" t="s">
        <v>31</v>
      </c>
      <c r="G1192" s="203" t="s">
        <v>125</v>
      </c>
      <c r="H1192" s="204" t="s">
        <v>126</v>
      </c>
    </row>
    <row r="1193" spans="1:8" s="208" customFormat="1" ht="30">
      <c r="A1193" s="581" t="str">
        <f>'Orç - Prédio'!A207</f>
        <v>04.01.813</v>
      </c>
      <c r="B1193" s="216" t="str">
        <f>'Orç - Prédio'!B207</f>
        <v>ORSE</v>
      </c>
      <c r="C1193" s="216">
        <f>'Orç - Prédio'!C207</f>
        <v>7611</v>
      </c>
      <c r="D1193" s="217" t="s">
        <v>7006</v>
      </c>
      <c r="E1193" s="206">
        <v>18</v>
      </c>
      <c r="F1193" s="216" t="s">
        <v>6337</v>
      </c>
      <c r="G1193" s="207">
        <f>VLOOKUP("CUSTO TOTAL UNIT.:",D1194:$H$30004,5,FALSE)</f>
        <v>42.96</v>
      </c>
      <c r="H1193" s="637">
        <f>VLOOKUP("CUSTO TOTAL:",D1194:$H$30004,5,FALSE)</f>
        <v>773.28</v>
      </c>
    </row>
    <row r="1194" spans="1:8" s="124" customFormat="1" ht="30">
      <c r="A1194" s="721">
        <v>37400</v>
      </c>
      <c r="B1194" s="721"/>
      <c r="C1194" s="200" t="s">
        <v>5256</v>
      </c>
      <c r="D1194" s="139" t="s">
        <v>13163</v>
      </c>
      <c r="E1194" s="209">
        <v>1</v>
      </c>
      <c r="F1194" s="577" t="s">
        <v>40</v>
      </c>
      <c r="G1194" s="210">
        <v>38.2806</v>
      </c>
      <c r="H1194" s="211">
        <f>ROUND(G1194*E1194,2)</f>
        <v>38.28</v>
      </c>
    </row>
    <row r="1195" spans="1:8" s="124" customFormat="1" ht="30">
      <c r="A1195" s="721">
        <v>88309</v>
      </c>
      <c r="B1195" s="721"/>
      <c r="C1195" s="200" t="s">
        <v>5256</v>
      </c>
      <c r="D1195" s="139" t="s">
        <v>90</v>
      </c>
      <c r="E1195" s="209">
        <v>0.3</v>
      </c>
      <c r="F1195" s="577" t="s">
        <v>67</v>
      </c>
      <c r="G1195" s="210">
        <v>15.608700000000001</v>
      </c>
      <c r="H1195" s="211">
        <f>ROUND(G1195*E1195,2)</f>
        <v>4.68</v>
      </c>
    </row>
    <row r="1196" spans="1:8" s="201" customFormat="1">
      <c r="A1196" s="582"/>
      <c r="B1196" s="582"/>
      <c r="C1196" s="212"/>
      <c r="D1196" s="719" t="s">
        <v>127</v>
      </c>
      <c r="E1196" s="719"/>
      <c r="F1196" s="719"/>
      <c r="G1196" s="719"/>
      <c r="H1196" s="638">
        <f>SUMIF(F1194:F1195,("h"),H1194:H1195)</f>
        <v>4.68</v>
      </c>
    </row>
    <row r="1197" spans="1:8" s="201" customFormat="1">
      <c r="A1197" s="582"/>
      <c r="B1197" s="582"/>
      <c r="C1197" s="212"/>
      <c r="D1197" s="719" t="s">
        <v>128</v>
      </c>
      <c r="E1197" s="719"/>
      <c r="F1197" s="719"/>
      <c r="G1197" s="719"/>
      <c r="H1197" s="638">
        <f>SUMIF(F1194:F1195,"&lt;&gt;h",H1194:H1195)</f>
        <v>38.28</v>
      </c>
    </row>
    <row r="1198" spans="1:8" s="201" customFormat="1">
      <c r="A1198" s="582"/>
      <c r="B1198" s="582"/>
      <c r="C1198" s="212"/>
      <c r="D1198" s="718" t="s">
        <v>129</v>
      </c>
      <c r="E1198" s="718"/>
      <c r="F1198" s="718"/>
      <c r="G1198" s="718"/>
      <c r="H1198" s="213">
        <f>SUM(H1196:H1197)</f>
        <v>42.96</v>
      </c>
    </row>
    <row r="1199" spans="1:8" s="201" customFormat="1">
      <c r="A1199" s="582"/>
      <c r="B1199" s="582"/>
      <c r="C1199" s="212"/>
      <c r="D1199" s="719" t="s">
        <v>28</v>
      </c>
      <c r="E1199" s="719"/>
      <c r="F1199" s="719"/>
      <c r="G1199" s="719"/>
      <c r="H1199" s="639">
        <f>E1193</f>
        <v>18</v>
      </c>
    </row>
    <row r="1200" spans="1:8" s="201" customFormat="1">
      <c r="A1200" s="582"/>
      <c r="B1200" s="582"/>
      <c r="C1200" s="212"/>
      <c r="D1200" s="718" t="s">
        <v>130</v>
      </c>
      <c r="E1200" s="718"/>
      <c r="F1200" s="718"/>
      <c r="G1200" s="718"/>
      <c r="H1200" s="213">
        <f>ROUND(H1198*H1199,2)</f>
        <v>773.28</v>
      </c>
    </row>
    <row r="1201" spans="1:8" s="201" customFormat="1">
      <c r="A1201" s="582"/>
      <c r="B1201" s="582"/>
      <c r="C1201" s="212"/>
      <c r="D1201" s="719" t="s">
        <v>15559</v>
      </c>
      <c r="E1201" s="719"/>
      <c r="F1201" s="719"/>
      <c r="G1201" s="719"/>
      <c r="H1201" s="638">
        <f>ROUND(H1198*$B$13,2)</f>
        <v>11.57</v>
      </c>
    </row>
    <row r="1202" spans="1:8">
      <c r="A1202" s="582"/>
      <c r="B1202" s="582"/>
      <c r="C1202" s="212"/>
      <c r="D1202" s="718" t="s">
        <v>9661</v>
      </c>
      <c r="E1202" s="718"/>
      <c r="F1202" s="718"/>
      <c r="G1202" s="718"/>
      <c r="H1202" s="213">
        <f>H1201+H1198</f>
        <v>54.53</v>
      </c>
    </row>
    <row r="1204" spans="1:8" s="201" customFormat="1">
      <c r="A1204" s="123" t="s">
        <v>6</v>
      </c>
      <c r="B1204" s="720" t="s">
        <v>7</v>
      </c>
      <c r="C1204" s="720"/>
      <c r="D1204" s="202" t="s">
        <v>124</v>
      </c>
      <c r="E1204" s="167" t="s">
        <v>6334</v>
      </c>
      <c r="F1204" s="202" t="s">
        <v>31</v>
      </c>
      <c r="G1204" s="203" t="s">
        <v>125</v>
      </c>
      <c r="H1204" s="204" t="s">
        <v>126</v>
      </c>
    </row>
    <row r="1205" spans="1:8" s="208" customFormat="1" ht="30">
      <c r="A1205" s="581" t="str">
        <f>'Orç - Prédio'!A208</f>
        <v>04.01.814</v>
      </c>
      <c r="B1205" s="216" t="str">
        <f>'Orç - Prédio'!B208</f>
        <v>ORSE</v>
      </c>
      <c r="C1205" s="216">
        <f>'Orç - Prédio'!C208</f>
        <v>4287</v>
      </c>
      <c r="D1205" s="217" t="s">
        <v>7007</v>
      </c>
      <c r="E1205" s="206">
        <v>8</v>
      </c>
      <c r="F1205" s="216" t="s">
        <v>6337</v>
      </c>
      <c r="G1205" s="207">
        <f>VLOOKUP("CUSTO TOTAL UNIT.:",D1206:$H$30004,5,FALSE)</f>
        <v>40.620000000000005</v>
      </c>
      <c r="H1205" s="637">
        <f>VLOOKUP("CUSTO TOTAL:",D1206:$H$30004,5,FALSE)</f>
        <v>324.95999999999998</v>
      </c>
    </row>
    <row r="1206" spans="1:8" s="124" customFormat="1" ht="30">
      <c r="A1206" s="721">
        <v>37401</v>
      </c>
      <c r="B1206" s="721"/>
      <c r="C1206" s="200" t="s">
        <v>5256</v>
      </c>
      <c r="D1206" s="139" t="s">
        <v>14385</v>
      </c>
      <c r="E1206" s="209">
        <v>1</v>
      </c>
      <c r="F1206" s="577" t="s">
        <v>40</v>
      </c>
      <c r="G1206" s="210">
        <v>38.2806</v>
      </c>
      <c r="H1206" s="211">
        <f>ROUND(G1206*E1206,2)</f>
        <v>38.28</v>
      </c>
    </row>
    <row r="1207" spans="1:8" s="124" customFormat="1" ht="30">
      <c r="A1207" s="721">
        <v>88309</v>
      </c>
      <c r="B1207" s="721"/>
      <c r="C1207" s="200" t="s">
        <v>5256</v>
      </c>
      <c r="D1207" s="139" t="s">
        <v>90</v>
      </c>
      <c r="E1207" s="209">
        <v>0.15</v>
      </c>
      <c r="F1207" s="577" t="s">
        <v>67</v>
      </c>
      <c r="G1207" s="210">
        <v>15.608700000000001</v>
      </c>
      <c r="H1207" s="211">
        <f>ROUND(G1207*E1207,2)</f>
        <v>2.34</v>
      </c>
    </row>
    <row r="1208" spans="1:8" s="201" customFormat="1">
      <c r="A1208" s="582"/>
      <c r="B1208" s="582"/>
      <c r="C1208" s="212"/>
      <c r="D1208" s="719" t="s">
        <v>127</v>
      </c>
      <c r="E1208" s="719"/>
      <c r="F1208" s="719"/>
      <c r="G1208" s="719"/>
      <c r="H1208" s="638">
        <f>SUMIF(F1206:F1207,("h"),H1206:H1207)</f>
        <v>2.34</v>
      </c>
    </row>
    <row r="1209" spans="1:8" s="201" customFormat="1">
      <c r="A1209" s="582"/>
      <c r="B1209" s="582"/>
      <c r="C1209" s="212"/>
      <c r="D1209" s="719" t="s">
        <v>128</v>
      </c>
      <c r="E1209" s="719"/>
      <c r="F1209" s="719"/>
      <c r="G1209" s="719"/>
      <c r="H1209" s="638">
        <f>SUMIF(F1206:F1207,"&lt;&gt;h",H1206:H1207)</f>
        <v>38.28</v>
      </c>
    </row>
    <row r="1210" spans="1:8" s="201" customFormat="1">
      <c r="A1210" s="582"/>
      <c r="B1210" s="582"/>
      <c r="C1210" s="212"/>
      <c r="D1210" s="718" t="s">
        <v>129</v>
      </c>
      <c r="E1210" s="718"/>
      <c r="F1210" s="718"/>
      <c r="G1210" s="718"/>
      <c r="H1210" s="213">
        <f>SUM(H1208:H1209)</f>
        <v>40.620000000000005</v>
      </c>
    </row>
    <row r="1211" spans="1:8" s="201" customFormat="1">
      <c r="A1211" s="582"/>
      <c r="B1211" s="582"/>
      <c r="C1211" s="212"/>
      <c r="D1211" s="719" t="s">
        <v>28</v>
      </c>
      <c r="E1211" s="719"/>
      <c r="F1211" s="719"/>
      <c r="G1211" s="719"/>
      <c r="H1211" s="639">
        <f>E1205</f>
        <v>8</v>
      </c>
    </row>
    <row r="1212" spans="1:8" s="201" customFormat="1">
      <c r="A1212" s="582"/>
      <c r="B1212" s="582"/>
      <c r="C1212" s="212"/>
      <c r="D1212" s="718" t="s">
        <v>130</v>
      </c>
      <c r="E1212" s="718"/>
      <c r="F1212" s="718"/>
      <c r="G1212" s="718"/>
      <c r="H1212" s="213">
        <f>ROUND(H1210*H1211,2)</f>
        <v>324.95999999999998</v>
      </c>
    </row>
    <row r="1213" spans="1:8" s="201" customFormat="1">
      <c r="A1213" s="582"/>
      <c r="B1213" s="582"/>
      <c r="C1213" s="212"/>
      <c r="D1213" s="719" t="s">
        <v>15559</v>
      </c>
      <c r="E1213" s="719"/>
      <c r="F1213" s="719"/>
      <c r="G1213" s="719"/>
      <c r="H1213" s="638">
        <f>ROUND(H1210*$B$13,2)</f>
        <v>10.94</v>
      </c>
    </row>
    <row r="1214" spans="1:8">
      <c r="A1214" s="582"/>
      <c r="B1214" s="582"/>
      <c r="C1214" s="212"/>
      <c r="D1214" s="718" t="s">
        <v>9661</v>
      </c>
      <c r="E1214" s="718"/>
      <c r="F1214" s="718"/>
      <c r="G1214" s="718"/>
      <c r="H1214" s="213">
        <f>H1213+H1210</f>
        <v>51.56</v>
      </c>
    </row>
    <row r="1216" spans="1:8" s="201" customFormat="1">
      <c r="A1216" s="123" t="s">
        <v>6</v>
      </c>
      <c r="B1216" s="720" t="s">
        <v>7</v>
      </c>
      <c r="C1216" s="720"/>
      <c r="D1216" s="202" t="s">
        <v>124</v>
      </c>
      <c r="E1216" s="167" t="s">
        <v>6334</v>
      </c>
      <c r="F1216" s="202" t="s">
        <v>31</v>
      </c>
      <c r="G1216" s="203" t="s">
        <v>125</v>
      </c>
      <c r="H1216" s="204" t="s">
        <v>126</v>
      </c>
    </row>
    <row r="1217" spans="1:8" s="208" customFormat="1">
      <c r="A1217" s="581" t="str">
        <f>'Orç - Prédio'!A210</f>
        <v>04.01.816.01</v>
      </c>
      <c r="B1217" s="216" t="str">
        <f>'Orç - Prédio'!B210</f>
        <v>ORSE</v>
      </c>
      <c r="C1217" s="216">
        <f>'Orç - Prédio'!C210</f>
        <v>2066</v>
      </c>
      <c r="D1217" s="217" t="s">
        <v>7009</v>
      </c>
      <c r="E1217" s="206">
        <v>14</v>
      </c>
      <c r="F1217" s="216" t="s">
        <v>6337</v>
      </c>
      <c r="G1217" s="207">
        <f>VLOOKUP("CUSTO TOTAL UNIT.:",D1218:$H$30004,5,FALSE)</f>
        <v>31.68</v>
      </c>
      <c r="H1217" s="637">
        <f>VLOOKUP("CUSTO TOTAL:",D1218:$H$30004,5,FALSE)</f>
        <v>443.52</v>
      </c>
    </row>
    <row r="1218" spans="1:8" s="124" customFormat="1" ht="30">
      <c r="A1218" s="721">
        <v>377</v>
      </c>
      <c r="B1218" s="721"/>
      <c r="C1218" s="200" t="s">
        <v>5256</v>
      </c>
      <c r="D1218" s="139" t="s">
        <v>10078</v>
      </c>
      <c r="E1218" s="209">
        <v>1</v>
      </c>
      <c r="F1218" s="577" t="s">
        <v>40</v>
      </c>
      <c r="G1218" s="210">
        <v>20.047500000000003</v>
      </c>
      <c r="H1218" s="211">
        <f>ROUND(G1218*E1218,2)</f>
        <v>20.05</v>
      </c>
    </row>
    <row r="1219" spans="1:8" s="124" customFormat="1" ht="30">
      <c r="A1219" s="721">
        <v>88316</v>
      </c>
      <c r="B1219" s="721"/>
      <c r="C1219" s="200" t="s">
        <v>5256</v>
      </c>
      <c r="D1219" s="139" t="s">
        <v>66</v>
      </c>
      <c r="E1219" s="209">
        <v>1</v>
      </c>
      <c r="F1219" s="577" t="s">
        <v>67</v>
      </c>
      <c r="G1219" s="210">
        <v>11.631600000000001</v>
      </c>
      <c r="H1219" s="211">
        <f>ROUND(G1219*E1219,2)</f>
        <v>11.63</v>
      </c>
    </row>
    <row r="1220" spans="1:8" s="201" customFormat="1">
      <c r="A1220" s="582"/>
      <c r="B1220" s="582"/>
      <c r="C1220" s="212"/>
      <c r="D1220" s="719" t="s">
        <v>127</v>
      </c>
      <c r="E1220" s="719"/>
      <c r="F1220" s="719"/>
      <c r="G1220" s="719"/>
      <c r="H1220" s="638">
        <f>SUMIF(F1218:F1219,("h"),H1218:H1219)</f>
        <v>11.63</v>
      </c>
    </row>
    <row r="1221" spans="1:8" s="201" customFormat="1">
      <c r="A1221" s="582"/>
      <c r="B1221" s="582"/>
      <c r="C1221" s="212"/>
      <c r="D1221" s="719" t="s">
        <v>128</v>
      </c>
      <c r="E1221" s="719"/>
      <c r="F1221" s="719"/>
      <c r="G1221" s="719"/>
      <c r="H1221" s="638">
        <f>SUMIF(F1218:F1219,"&lt;&gt;h",H1218:H1219)</f>
        <v>20.05</v>
      </c>
    </row>
    <row r="1222" spans="1:8" s="201" customFormat="1">
      <c r="A1222" s="582"/>
      <c r="B1222" s="582"/>
      <c r="C1222" s="212"/>
      <c r="D1222" s="718" t="s">
        <v>129</v>
      </c>
      <c r="E1222" s="718"/>
      <c r="F1222" s="718"/>
      <c r="G1222" s="718"/>
      <c r="H1222" s="213">
        <f>SUM(H1220:H1221)</f>
        <v>31.68</v>
      </c>
    </row>
    <row r="1223" spans="1:8" s="201" customFormat="1">
      <c r="A1223" s="582"/>
      <c r="B1223" s="582"/>
      <c r="C1223" s="212"/>
      <c r="D1223" s="719" t="s">
        <v>28</v>
      </c>
      <c r="E1223" s="719"/>
      <c r="F1223" s="719"/>
      <c r="G1223" s="719"/>
      <c r="H1223" s="639">
        <f>E1217</f>
        <v>14</v>
      </c>
    </row>
    <row r="1224" spans="1:8" s="201" customFormat="1">
      <c r="A1224" s="582"/>
      <c r="B1224" s="582"/>
      <c r="C1224" s="212"/>
      <c r="D1224" s="718" t="s">
        <v>130</v>
      </c>
      <c r="E1224" s="718"/>
      <c r="F1224" s="718"/>
      <c r="G1224" s="718"/>
      <c r="H1224" s="213">
        <f>ROUND(H1222*H1223,2)</f>
        <v>443.52</v>
      </c>
    </row>
    <row r="1225" spans="1:8" s="201" customFormat="1">
      <c r="A1225" s="582"/>
      <c r="B1225" s="582"/>
      <c r="C1225" s="212"/>
      <c r="D1225" s="719" t="s">
        <v>15559</v>
      </c>
      <c r="E1225" s="719"/>
      <c r="F1225" s="719"/>
      <c r="G1225" s="719"/>
      <c r="H1225" s="638">
        <f>ROUND(H1222*$B$13,2)</f>
        <v>8.5299999999999994</v>
      </c>
    </row>
    <row r="1226" spans="1:8">
      <c r="A1226" s="582"/>
      <c r="B1226" s="582"/>
      <c r="C1226" s="212"/>
      <c r="D1226" s="718" t="s">
        <v>9661</v>
      </c>
      <c r="E1226" s="718"/>
      <c r="F1226" s="718"/>
      <c r="G1226" s="718"/>
      <c r="H1226" s="213">
        <f>H1225+H1222</f>
        <v>40.21</v>
      </c>
    </row>
    <row r="1228" spans="1:8" s="201" customFormat="1">
      <c r="A1228" s="123" t="s">
        <v>6</v>
      </c>
      <c r="B1228" s="720" t="s">
        <v>7</v>
      </c>
      <c r="C1228" s="720"/>
      <c r="D1228" s="202" t="s">
        <v>124</v>
      </c>
      <c r="E1228" s="167" t="s">
        <v>6334</v>
      </c>
      <c r="F1228" s="202" t="s">
        <v>31</v>
      </c>
      <c r="G1228" s="203" t="s">
        <v>125</v>
      </c>
      <c r="H1228" s="204" t="s">
        <v>126</v>
      </c>
    </row>
    <row r="1229" spans="1:8" s="208" customFormat="1" ht="30">
      <c r="A1229" s="581" t="str">
        <f>'Orç - Prédio'!A211</f>
        <v>04.01.816.02</v>
      </c>
      <c r="B1229" s="216" t="str">
        <f>'Orç - Prédio'!B211</f>
        <v>SBC</v>
      </c>
      <c r="C1229" s="216">
        <f>'Orç - Prédio'!C211</f>
        <v>190977</v>
      </c>
      <c r="D1229" s="217" t="s">
        <v>7010</v>
      </c>
      <c r="E1229" s="206">
        <v>4</v>
      </c>
      <c r="F1229" s="216" t="s">
        <v>6337</v>
      </c>
      <c r="G1229" s="207">
        <f>VLOOKUP("CUSTO TOTAL UNIT.:",D1230:$H$30004,5,FALSE)</f>
        <v>446.31</v>
      </c>
      <c r="H1229" s="637">
        <f>VLOOKUP("CUSTO TOTAL:",D1230:$H$30004,5,FALSE)</f>
        <v>1785.24</v>
      </c>
    </row>
    <row r="1230" spans="1:8" s="124" customFormat="1" ht="30">
      <c r="A1230" s="721">
        <v>65245</v>
      </c>
      <c r="B1230" s="721"/>
      <c r="C1230" s="200" t="s">
        <v>6799</v>
      </c>
      <c r="D1230" s="139" t="s">
        <v>7015</v>
      </c>
      <c r="E1230" s="209">
        <v>1</v>
      </c>
      <c r="F1230" s="577" t="s">
        <v>31</v>
      </c>
      <c r="G1230" s="174">
        <v>445.15170000000006</v>
      </c>
      <c r="H1230" s="211">
        <f>ROUND(G1230*E1230,2)</f>
        <v>445.15</v>
      </c>
    </row>
    <row r="1231" spans="1:8" s="124" customFormat="1" ht="30">
      <c r="A1231" s="721">
        <v>88316</v>
      </c>
      <c r="B1231" s="721"/>
      <c r="C1231" s="200" t="s">
        <v>5256</v>
      </c>
      <c r="D1231" s="139" t="s">
        <v>66</v>
      </c>
      <c r="E1231" s="209">
        <v>0.1</v>
      </c>
      <c r="F1231" s="577" t="s">
        <v>67</v>
      </c>
      <c r="G1231" s="210">
        <v>11.631600000000001</v>
      </c>
      <c r="H1231" s="211">
        <f>ROUND(G1231*E1231,2)</f>
        <v>1.1599999999999999</v>
      </c>
    </row>
    <row r="1232" spans="1:8" s="201" customFormat="1">
      <c r="A1232" s="582"/>
      <c r="B1232" s="582"/>
      <c r="C1232" s="212"/>
      <c r="D1232" s="719" t="s">
        <v>127</v>
      </c>
      <c r="E1232" s="719"/>
      <c r="F1232" s="719"/>
      <c r="G1232" s="719"/>
      <c r="H1232" s="638">
        <f>SUMIF(F1230:F1231,("h"),H1230:H1231)</f>
        <v>1.1599999999999999</v>
      </c>
    </row>
    <row r="1233" spans="1:8" s="201" customFormat="1">
      <c r="A1233" s="582"/>
      <c r="B1233" s="582"/>
      <c r="C1233" s="212"/>
      <c r="D1233" s="719" t="s">
        <v>128</v>
      </c>
      <c r="E1233" s="719"/>
      <c r="F1233" s="719"/>
      <c r="G1233" s="719"/>
      <c r="H1233" s="638">
        <f>SUMIF(F1230:F1231,"&lt;&gt;h",H1230:H1231)</f>
        <v>445.15</v>
      </c>
    </row>
    <row r="1234" spans="1:8" s="201" customFormat="1">
      <c r="A1234" s="582"/>
      <c r="B1234" s="582"/>
      <c r="C1234" s="212"/>
      <c r="D1234" s="718" t="s">
        <v>129</v>
      </c>
      <c r="E1234" s="718"/>
      <c r="F1234" s="718"/>
      <c r="G1234" s="718"/>
      <c r="H1234" s="213">
        <f>SUM(H1232:H1233)</f>
        <v>446.31</v>
      </c>
    </row>
    <row r="1235" spans="1:8" s="201" customFormat="1">
      <c r="A1235" s="582"/>
      <c r="B1235" s="582"/>
      <c r="C1235" s="212"/>
      <c r="D1235" s="719" t="s">
        <v>28</v>
      </c>
      <c r="E1235" s="719"/>
      <c r="F1235" s="719"/>
      <c r="G1235" s="719"/>
      <c r="H1235" s="639">
        <f>E1229</f>
        <v>4</v>
      </c>
    </row>
    <row r="1236" spans="1:8" s="201" customFormat="1">
      <c r="A1236" s="582"/>
      <c r="B1236" s="582"/>
      <c r="C1236" s="212"/>
      <c r="D1236" s="718" t="s">
        <v>130</v>
      </c>
      <c r="E1236" s="718"/>
      <c r="F1236" s="718"/>
      <c r="G1236" s="718"/>
      <c r="H1236" s="213">
        <f>ROUND(H1234*H1235,2)</f>
        <v>1785.24</v>
      </c>
    </row>
    <row r="1237" spans="1:8" s="201" customFormat="1">
      <c r="A1237" s="582"/>
      <c r="B1237" s="582"/>
      <c r="C1237" s="212"/>
      <c r="D1237" s="719" t="s">
        <v>15559</v>
      </c>
      <c r="E1237" s="719"/>
      <c r="F1237" s="719"/>
      <c r="G1237" s="719"/>
      <c r="H1237" s="638">
        <f>ROUND(H1234*$B$13,2)</f>
        <v>120.19</v>
      </c>
    </row>
    <row r="1238" spans="1:8">
      <c r="A1238" s="582"/>
      <c r="B1238" s="582"/>
      <c r="C1238" s="212"/>
      <c r="D1238" s="718" t="s">
        <v>9661</v>
      </c>
      <c r="E1238" s="718"/>
      <c r="F1238" s="718"/>
      <c r="G1238" s="718"/>
      <c r="H1238" s="213">
        <f>H1237+H1234</f>
        <v>566.5</v>
      </c>
    </row>
    <row r="1240" spans="1:8" s="201" customFormat="1">
      <c r="A1240" s="123" t="s">
        <v>6</v>
      </c>
      <c r="B1240" s="720" t="s">
        <v>7</v>
      </c>
      <c r="C1240" s="720"/>
      <c r="D1240" s="202" t="s">
        <v>124</v>
      </c>
      <c r="E1240" s="167" t="s">
        <v>6334</v>
      </c>
      <c r="F1240" s="202" t="s">
        <v>31</v>
      </c>
      <c r="G1240" s="203" t="s">
        <v>125</v>
      </c>
      <c r="H1240" s="204" t="s">
        <v>126</v>
      </c>
    </row>
    <row r="1241" spans="1:8" s="208" customFormat="1" ht="30">
      <c r="A1241" s="581" t="str">
        <f>'Orç - Prédio'!A212</f>
        <v>04.01.817.01</v>
      </c>
      <c r="B1241" s="216" t="str">
        <f>'Orç - Prédio'!B212</f>
        <v>ORSE</v>
      </c>
      <c r="C1241" s="216">
        <f>'Orç - Prédio'!C212</f>
        <v>8492</v>
      </c>
      <c r="D1241" s="217" t="s">
        <v>7011</v>
      </c>
      <c r="E1241" s="206">
        <v>16</v>
      </c>
      <c r="F1241" s="216" t="s">
        <v>6337</v>
      </c>
      <c r="G1241" s="207">
        <f>VLOOKUP("CUSTO TOTAL UNIT.:",D1242:$H$30004,5,FALSE)</f>
        <v>134.43</v>
      </c>
      <c r="H1241" s="637">
        <f>VLOOKUP("CUSTO TOTAL:",D1242:$H$30004,5,FALSE)</f>
        <v>2150.88</v>
      </c>
    </row>
    <row r="1242" spans="1:8" s="124" customFormat="1" ht="45">
      <c r="A1242" s="721">
        <v>36081</v>
      </c>
      <c r="B1242" s="721"/>
      <c r="C1242" s="200" t="s">
        <v>5256</v>
      </c>
      <c r="D1242" s="139" t="s">
        <v>10137</v>
      </c>
      <c r="E1242" s="209">
        <v>1</v>
      </c>
      <c r="F1242" s="577" t="s">
        <v>40</v>
      </c>
      <c r="G1242" s="210">
        <v>129.75390000000002</v>
      </c>
      <c r="H1242" s="211">
        <f>ROUND(G1242*E1242,2)</f>
        <v>129.75</v>
      </c>
    </row>
    <row r="1243" spans="1:8" s="124" customFormat="1" ht="30">
      <c r="A1243" s="721">
        <v>88309</v>
      </c>
      <c r="B1243" s="721"/>
      <c r="C1243" s="200" t="s">
        <v>5256</v>
      </c>
      <c r="D1243" s="139" t="s">
        <v>90</v>
      </c>
      <c r="E1243" s="209">
        <v>0.3</v>
      </c>
      <c r="F1243" s="577" t="s">
        <v>67</v>
      </c>
      <c r="G1243" s="210">
        <v>15.608700000000001</v>
      </c>
      <c r="H1243" s="211">
        <f>ROUND(G1243*E1243,2)</f>
        <v>4.68</v>
      </c>
    </row>
    <row r="1244" spans="1:8" s="201" customFormat="1">
      <c r="A1244" s="582"/>
      <c r="B1244" s="582"/>
      <c r="C1244" s="212"/>
      <c r="D1244" s="719" t="s">
        <v>127</v>
      </c>
      <c r="E1244" s="719"/>
      <c r="F1244" s="719"/>
      <c r="G1244" s="719"/>
      <c r="H1244" s="638">
        <f>SUMIF(F1242:F1243,("h"),H1242:H1243)</f>
        <v>4.68</v>
      </c>
    </row>
    <row r="1245" spans="1:8" s="201" customFormat="1">
      <c r="A1245" s="582"/>
      <c r="B1245" s="582"/>
      <c r="C1245" s="212"/>
      <c r="D1245" s="719" t="s">
        <v>128</v>
      </c>
      <c r="E1245" s="719"/>
      <c r="F1245" s="719"/>
      <c r="G1245" s="719"/>
      <c r="H1245" s="638">
        <f>SUMIF(F1242:F1243,"&lt;&gt;h",H1242:H1243)</f>
        <v>129.75</v>
      </c>
    </row>
    <row r="1246" spans="1:8" s="201" customFormat="1">
      <c r="A1246" s="582"/>
      <c r="B1246" s="582"/>
      <c r="C1246" s="212"/>
      <c r="D1246" s="718" t="s">
        <v>129</v>
      </c>
      <c r="E1246" s="718"/>
      <c r="F1246" s="718"/>
      <c r="G1246" s="718"/>
      <c r="H1246" s="213">
        <f>SUM(H1244:H1245)</f>
        <v>134.43</v>
      </c>
    </row>
    <row r="1247" spans="1:8" s="201" customFormat="1">
      <c r="A1247" s="582"/>
      <c r="B1247" s="582"/>
      <c r="C1247" s="212"/>
      <c r="D1247" s="719" t="s">
        <v>28</v>
      </c>
      <c r="E1247" s="719"/>
      <c r="F1247" s="719"/>
      <c r="G1247" s="719"/>
      <c r="H1247" s="639">
        <f>E1241</f>
        <v>16</v>
      </c>
    </row>
    <row r="1248" spans="1:8" s="201" customFormat="1">
      <c r="A1248" s="582"/>
      <c r="B1248" s="582"/>
      <c r="C1248" s="212"/>
      <c r="D1248" s="718" t="s">
        <v>130</v>
      </c>
      <c r="E1248" s="718"/>
      <c r="F1248" s="718"/>
      <c r="G1248" s="718"/>
      <c r="H1248" s="213">
        <f>ROUND(H1246*H1247,2)</f>
        <v>2150.88</v>
      </c>
    </row>
    <row r="1249" spans="1:8" s="201" customFormat="1">
      <c r="A1249" s="582"/>
      <c r="B1249" s="582"/>
      <c r="C1249" s="212"/>
      <c r="D1249" s="719" t="s">
        <v>15559</v>
      </c>
      <c r="E1249" s="719"/>
      <c r="F1249" s="719"/>
      <c r="G1249" s="719"/>
      <c r="H1249" s="638">
        <f>ROUND(H1246*$B$13,2)</f>
        <v>36.200000000000003</v>
      </c>
    </row>
    <row r="1250" spans="1:8">
      <c r="A1250" s="582"/>
      <c r="B1250" s="582"/>
      <c r="C1250" s="212"/>
      <c r="D1250" s="718" t="s">
        <v>9661</v>
      </c>
      <c r="E1250" s="718"/>
      <c r="F1250" s="718"/>
      <c r="G1250" s="718"/>
      <c r="H1250" s="213">
        <f>H1249+H1246</f>
        <v>170.63</v>
      </c>
    </row>
    <row r="1252" spans="1:8" s="201" customFormat="1">
      <c r="A1252" s="123" t="s">
        <v>6</v>
      </c>
      <c r="B1252" s="720" t="s">
        <v>7</v>
      </c>
      <c r="C1252" s="720"/>
      <c r="D1252" s="202" t="s">
        <v>124</v>
      </c>
      <c r="E1252" s="167" t="s">
        <v>6334</v>
      </c>
      <c r="F1252" s="202" t="s">
        <v>31</v>
      </c>
      <c r="G1252" s="203" t="s">
        <v>125</v>
      </c>
      <c r="H1252" s="204" t="s">
        <v>126</v>
      </c>
    </row>
    <row r="1253" spans="1:8" s="208" customFormat="1" ht="30">
      <c r="A1253" s="581" t="str">
        <f>'Orç - Prédio'!A213</f>
        <v>04.01.817.02</v>
      </c>
      <c r="B1253" s="216" t="str">
        <f>'Orç - Prédio'!B213</f>
        <v>ORSE</v>
      </c>
      <c r="C1253" s="216">
        <f>'Orç - Prédio'!C213</f>
        <v>12127</v>
      </c>
      <c r="D1253" s="217" t="s">
        <v>7012</v>
      </c>
      <c r="E1253" s="206">
        <v>4</v>
      </c>
      <c r="F1253" s="216" t="s">
        <v>6337</v>
      </c>
      <c r="G1253" s="207">
        <f>VLOOKUP("CUSTO TOTAL UNIT.:",D1254:$H$30004,5,FALSE)</f>
        <v>269.44</v>
      </c>
      <c r="H1253" s="637">
        <f>VLOOKUP("CUSTO TOTAL:",D1254:$H$30004,5,FALSE)</f>
        <v>1077.76</v>
      </c>
    </row>
    <row r="1254" spans="1:8" s="124" customFormat="1" ht="45">
      <c r="A1254" s="721">
        <v>9408</v>
      </c>
      <c r="B1254" s="721"/>
      <c r="C1254" s="200" t="s">
        <v>6333</v>
      </c>
      <c r="D1254" s="139" t="s">
        <v>7833</v>
      </c>
      <c r="E1254" s="209">
        <v>1</v>
      </c>
      <c r="F1254" s="577" t="s">
        <v>31</v>
      </c>
      <c r="G1254" s="210">
        <v>264.7647</v>
      </c>
      <c r="H1254" s="211">
        <f>ROUND(G1254*E1254,2)</f>
        <v>264.76</v>
      </c>
    </row>
    <row r="1255" spans="1:8" s="124" customFormat="1" ht="30">
      <c r="A1255" s="721">
        <v>88309</v>
      </c>
      <c r="B1255" s="721"/>
      <c r="C1255" s="200" t="s">
        <v>5256</v>
      </c>
      <c r="D1255" s="139" t="s">
        <v>90</v>
      </c>
      <c r="E1255" s="209">
        <v>0.3</v>
      </c>
      <c r="F1255" s="577" t="s">
        <v>67</v>
      </c>
      <c r="G1255" s="210">
        <v>15.608700000000001</v>
      </c>
      <c r="H1255" s="211">
        <f>ROUND(G1255*E1255,2)</f>
        <v>4.68</v>
      </c>
    </row>
    <row r="1256" spans="1:8" s="201" customFormat="1">
      <c r="A1256" s="582"/>
      <c r="B1256" s="582"/>
      <c r="C1256" s="212"/>
      <c r="D1256" s="719" t="s">
        <v>127</v>
      </c>
      <c r="E1256" s="719"/>
      <c r="F1256" s="719"/>
      <c r="G1256" s="719"/>
      <c r="H1256" s="638">
        <f>SUMIF(F1254:F1255,("h"),H1254:H1255)</f>
        <v>4.68</v>
      </c>
    </row>
    <row r="1257" spans="1:8" s="201" customFormat="1">
      <c r="A1257" s="582"/>
      <c r="B1257" s="582"/>
      <c r="C1257" s="212"/>
      <c r="D1257" s="719" t="s">
        <v>128</v>
      </c>
      <c r="E1257" s="719"/>
      <c r="F1257" s="719"/>
      <c r="G1257" s="719"/>
      <c r="H1257" s="638">
        <f>SUMIF(F1254:F1255,"&lt;&gt;h",H1254:H1255)</f>
        <v>264.76</v>
      </c>
    </row>
    <row r="1258" spans="1:8" s="201" customFormat="1">
      <c r="A1258" s="582"/>
      <c r="B1258" s="582"/>
      <c r="C1258" s="212"/>
      <c r="D1258" s="718" t="s">
        <v>129</v>
      </c>
      <c r="E1258" s="718"/>
      <c r="F1258" s="718"/>
      <c r="G1258" s="718"/>
      <c r="H1258" s="213">
        <f>SUM(H1256:H1257)</f>
        <v>269.44</v>
      </c>
    </row>
    <row r="1259" spans="1:8" s="201" customFormat="1">
      <c r="A1259" s="582"/>
      <c r="B1259" s="582"/>
      <c r="C1259" s="212"/>
      <c r="D1259" s="719" t="s">
        <v>28</v>
      </c>
      <c r="E1259" s="719"/>
      <c r="F1259" s="719"/>
      <c r="G1259" s="719"/>
      <c r="H1259" s="639">
        <f>E1253</f>
        <v>4</v>
      </c>
    </row>
    <row r="1260" spans="1:8" s="201" customFormat="1">
      <c r="A1260" s="582"/>
      <c r="B1260" s="582"/>
      <c r="C1260" s="212"/>
      <c r="D1260" s="718" t="s">
        <v>130</v>
      </c>
      <c r="E1260" s="718"/>
      <c r="F1260" s="718"/>
      <c r="G1260" s="718"/>
      <c r="H1260" s="213">
        <f>ROUND(H1258*H1259,2)</f>
        <v>1077.76</v>
      </c>
    </row>
    <row r="1261" spans="1:8" s="201" customFormat="1">
      <c r="A1261" s="582"/>
      <c r="B1261" s="582"/>
      <c r="C1261" s="212"/>
      <c r="D1261" s="719" t="s">
        <v>15559</v>
      </c>
      <c r="E1261" s="719"/>
      <c r="F1261" s="719"/>
      <c r="G1261" s="719"/>
      <c r="H1261" s="638">
        <f>ROUND(H1258*$B$13,2)</f>
        <v>72.56</v>
      </c>
    </row>
    <row r="1262" spans="1:8">
      <c r="A1262" s="582"/>
      <c r="B1262" s="582"/>
      <c r="C1262" s="212"/>
      <c r="D1262" s="718" t="s">
        <v>9661</v>
      </c>
      <c r="E1262" s="718"/>
      <c r="F1262" s="718"/>
      <c r="G1262" s="718"/>
      <c r="H1262" s="213">
        <f>H1261+H1258</f>
        <v>342</v>
      </c>
    </row>
    <row r="1264" spans="1:8" s="201" customFormat="1">
      <c r="A1264" s="123" t="s">
        <v>6</v>
      </c>
      <c r="B1264" s="720" t="s">
        <v>7</v>
      </c>
      <c r="C1264" s="720"/>
      <c r="D1264" s="202" t="s">
        <v>124</v>
      </c>
      <c r="E1264" s="167" t="s">
        <v>6334</v>
      </c>
      <c r="F1264" s="202" t="s">
        <v>31</v>
      </c>
      <c r="G1264" s="203" t="s">
        <v>125</v>
      </c>
      <c r="H1264" s="204" t="s">
        <v>126</v>
      </c>
    </row>
    <row r="1265" spans="1:8" s="208" customFormat="1" ht="60">
      <c r="A1265" s="581" t="str">
        <f>'Orç - Urbanização'!A36</f>
        <v>04.02.102.01</v>
      </c>
      <c r="B1265" s="581" t="str">
        <f>'Orç - Urbanização'!B36</f>
        <v>ORSE</v>
      </c>
      <c r="C1265" s="581">
        <f>'Orç - Urbanização'!C36</f>
        <v>11345</v>
      </c>
      <c r="D1265" s="205" t="s">
        <v>9181</v>
      </c>
      <c r="E1265" s="206">
        <v>8</v>
      </c>
      <c r="F1265" s="581" t="s">
        <v>6337</v>
      </c>
      <c r="G1265" s="207">
        <f>VLOOKUP("CUSTO TOTAL UNIT.:",D1266:$H$30004,5,FALSE)</f>
        <v>355.4</v>
      </c>
      <c r="H1265" s="637">
        <f>VLOOKUP("CUSTO TOTAL:",D1266:$H$30004,5,FALSE)</f>
        <v>2843.2</v>
      </c>
    </row>
    <row r="1266" spans="1:8" s="124" customFormat="1">
      <c r="A1266" s="721">
        <v>12206</v>
      </c>
      <c r="B1266" s="721"/>
      <c r="C1266" s="200" t="s">
        <v>6333</v>
      </c>
      <c r="D1266" s="139" t="s">
        <v>7836</v>
      </c>
      <c r="E1266" s="209">
        <v>1</v>
      </c>
      <c r="F1266" s="577" t="s">
        <v>31</v>
      </c>
      <c r="G1266" s="210">
        <v>355.40370000000001</v>
      </c>
      <c r="H1266" s="211">
        <f>ROUND(G1266*E1266,2)</f>
        <v>355.4</v>
      </c>
    </row>
    <row r="1267" spans="1:8" s="201" customFormat="1">
      <c r="A1267" s="582"/>
      <c r="B1267" s="582"/>
      <c r="C1267" s="212"/>
      <c r="D1267" s="719" t="s">
        <v>127</v>
      </c>
      <c r="E1267" s="719"/>
      <c r="F1267" s="719"/>
      <c r="G1267" s="719"/>
      <c r="H1267" s="638">
        <f>SUMIF(F1266:F1266,("h"),H1266:H1266)</f>
        <v>0</v>
      </c>
    </row>
    <row r="1268" spans="1:8" s="201" customFormat="1">
      <c r="A1268" s="582"/>
      <c r="B1268" s="582"/>
      <c r="C1268" s="212"/>
      <c r="D1268" s="719" t="s">
        <v>128</v>
      </c>
      <c r="E1268" s="719"/>
      <c r="F1268" s="719"/>
      <c r="G1268" s="719"/>
      <c r="H1268" s="638">
        <f>SUMIF(F1266:F1266,"&lt;&gt;h",H1266:H1266)</f>
        <v>355.4</v>
      </c>
    </row>
    <row r="1269" spans="1:8" s="201" customFormat="1">
      <c r="A1269" s="582"/>
      <c r="B1269" s="582"/>
      <c r="C1269" s="212"/>
      <c r="D1269" s="718" t="s">
        <v>129</v>
      </c>
      <c r="E1269" s="718"/>
      <c r="F1269" s="718"/>
      <c r="G1269" s="718"/>
      <c r="H1269" s="213">
        <f>SUM(H1267:H1268)</f>
        <v>355.4</v>
      </c>
    </row>
    <row r="1270" spans="1:8" s="201" customFormat="1">
      <c r="A1270" s="582"/>
      <c r="B1270" s="582"/>
      <c r="C1270" s="212"/>
      <c r="D1270" s="719" t="s">
        <v>28</v>
      </c>
      <c r="E1270" s="719"/>
      <c r="F1270" s="719"/>
      <c r="G1270" s="719"/>
      <c r="H1270" s="639">
        <f>E1265</f>
        <v>8</v>
      </c>
    </row>
    <row r="1271" spans="1:8" s="201" customFormat="1">
      <c r="A1271" s="582"/>
      <c r="B1271" s="582"/>
      <c r="C1271" s="212"/>
      <c r="D1271" s="718" t="s">
        <v>130</v>
      </c>
      <c r="E1271" s="718"/>
      <c r="F1271" s="718"/>
      <c r="G1271" s="718"/>
      <c r="H1271" s="213">
        <f>ROUND(H1269*H1270,2)</f>
        <v>2843.2</v>
      </c>
    </row>
    <row r="1272" spans="1:8" s="201" customFormat="1">
      <c r="A1272" s="582"/>
      <c r="B1272" s="582"/>
      <c r="C1272" s="212"/>
      <c r="D1272" s="719" t="s">
        <v>15559</v>
      </c>
      <c r="E1272" s="719"/>
      <c r="F1272" s="719"/>
      <c r="G1272" s="719"/>
      <c r="H1272" s="638">
        <f>ROUND(H1269*$B$13,2)</f>
        <v>95.71</v>
      </c>
    </row>
    <row r="1273" spans="1:8">
      <c r="A1273" s="582"/>
      <c r="B1273" s="582"/>
      <c r="C1273" s="212"/>
      <c r="D1273" s="718" t="s">
        <v>9661</v>
      </c>
      <c r="E1273" s="718"/>
      <c r="F1273" s="718"/>
      <c r="G1273" s="718"/>
      <c r="H1273" s="213">
        <f>H1272+H1269</f>
        <v>451.10999999999996</v>
      </c>
    </row>
    <row r="1275" spans="1:8" s="201" customFormat="1">
      <c r="A1275" s="123" t="s">
        <v>6</v>
      </c>
      <c r="B1275" s="720" t="s">
        <v>7</v>
      </c>
      <c r="C1275" s="720"/>
      <c r="D1275" s="202" t="s">
        <v>124</v>
      </c>
      <c r="E1275" s="167" t="s">
        <v>6334</v>
      </c>
      <c r="F1275" s="202" t="s">
        <v>31</v>
      </c>
      <c r="G1275" s="203" t="s">
        <v>125</v>
      </c>
      <c r="H1275" s="204" t="s">
        <v>126</v>
      </c>
    </row>
    <row r="1276" spans="1:8" s="208" customFormat="1" ht="45">
      <c r="A1276" s="581" t="str">
        <f>'Orç - Urbanização'!A37</f>
        <v>04.02.102.02</v>
      </c>
      <c r="B1276" s="581" t="str">
        <f>'Orç - Urbanização'!B37</f>
        <v>SICRO</v>
      </c>
      <c r="C1276" s="581">
        <f>'Orç - Urbanização'!C37</f>
        <v>5213440</v>
      </c>
      <c r="D1276" s="205" t="s">
        <v>9182</v>
      </c>
      <c r="E1276" s="206">
        <v>16</v>
      </c>
      <c r="F1276" s="581" t="s">
        <v>6337</v>
      </c>
      <c r="G1276" s="207">
        <f>VLOOKUP("CUSTO TOTAL UNIT.:",D1277:$H$30004,5,FALSE)</f>
        <v>134.97000000000003</v>
      </c>
      <c r="H1276" s="637">
        <f>VLOOKUP("CUSTO TOTAL:",D1277:$H$30004,5,FALSE)</f>
        <v>2159.52</v>
      </c>
    </row>
    <row r="1277" spans="1:8" s="124" customFormat="1" ht="30">
      <c r="A1277" s="721">
        <v>11027</v>
      </c>
      <c r="B1277" s="721"/>
      <c r="C1277" s="200" t="s">
        <v>5256</v>
      </c>
      <c r="D1277" s="139" t="s">
        <v>10838</v>
      </c>
      <c r="E1277" s="209">
        <v>3.3292635000000002</v>
      </c>
      <c r="F1277" s="577" t="s">
        <v>49</v>
      </c>
      <c r="G1277" s="210">
        <v>5.8968000000000007</v>
      </c>
      <c r="H1277" s="211">
        <f t="shared" ref="H1277:H1285" si="42">ROUND(G1277*E1277,2)</f>
        <v>19.63</v>
      </c>
    </row>
    <row r="1278" spans="1:8" s="124" customFormat="1" ht="30">
      <c r="A1278" s="721">
        <v>34744</v>
      </c>
      <c r="B1278" s="721"/>
      <c r="C1278" s="200" t="s">
        <v>5256</v>
      </c>
      <c r="D1278" s="139" t="s">
        <v>13289</v>
      </c>
      <c r="E1278" s="209">
        <v>0.28273999999999999</v>
      </c>
      <c r="F1278" s="577" t="s">
        <v>46</v>
      </c>
      <c r="G1278" s="210">
        <v>19.958400000000001</v>
      </c>
      <c r="H1278" s="211">
        <f t="shared" si="42"/>
        <v>5.64</v>
      </c>
    </row>
    <row r="1279" spans="1:8" s="124" customFormat="1" ht="30">
      <c r="A1279" s="721" t="s">
        <v>4475</v>
      </c>
      <c r="B1279" s="721"/>
      <c r="C1279" s="200" t="s">
        <v>5256</v>
      </c>
      <c r="D1279" s="139" t="s">
        <v>4476</v>
      </c>
      <c r="E1279" s="209">
        <v>0.28273999999999999</v>
      </c>
      <c r="F1279" s="577" t="s">
        <v>101</v>
      </c>
      <c r="G1279" s="210">
        <v>19.723500000000001</v>
      </c>
      <c r="H1279" s="211">
        <f t="shared" si="42"/>
        <v>5.58</v>
      </c>
    </row>
    <row r="1280" spans="1:8" s="124" customFormat="1" ht="105">
      <c r="A1280" s="721">
        <v>73467</v>
      </c>
      <c r="B1280" s="721"/>
      <c r="C1280" s="200" t="s">
        <v>5256</v>
      </c>
      <c r="D1280" s="139" t="s">
        <v>377</v>
      </c>
      <c r="E1280" s="209">
        <v>0.3</v>
      </c>
      <c r="F1280" s="577" t="s">
        <v>100</v>
      </c>
      <c r="G1280" s="210">
        <v>110.23290000000001</v>
      </c>
      <c r="H1280" s="211">
        <f t="shared" si="42"/>
        <v>33.07</v>
      </c>
    </row>
    <row r="1281" spans="1:8" s="124" customFormat="1" ht="105">
      <c r="A1281" s="721">
        <v>91395</v>
      </c>
      <c r="B1281" s="721"/>
      <c r="C1281" s="200" t="s">
        <v>5256</v>
      </c>
      <c r="D1281" s="139" t="s">
        <v>564</v>
      </c>
      <c r="E1281" s="209">
        <v>0.7</v>
      </c>
      <c r="F1281" s="577" t="s">
        <v>101</v>
      </c>
      <c r="G1281" s="210">
        <v>23.587200000000003</v>
      </c>
      <c r="H1281" s="211">
        <f t="shared" si="42"/>
        <v>16.510000000000002</v>
      </c>
    </row>
    <row r="1282" spans="1:8" s="124" customFormat="1" ht="30">
      <c r="A1282" s="721">
        <v>88315</v>
      </c>
      <c r="B1282" s="721"/>
      <c r="C1282" s="200" t="s">
        <v>5256</v>
      </c>
      <c r="D1282" s="139" t="s">
        <v>112</v>
      </c>
      <c r="E1282" s="209">
        <v>0.28273999999999999</v>
      </c>
      <c r="F1282" s="577" t="s">
        <v>67</v>
      </c>
      <c r="G1282" s="210">
        <v>15.519600000000001</v>
      </c>
      <c r="H1282" s="211">
        <f t="shared" si="42"/>
        <v>4.3899999999999997</v>
      </c>
    </row>
    <row r="1283" spans="1:8" s="124" customFormat="1" ht="30">
      <c r="A1283" s="721">
        <v>88243</v>
      </c>
      <c r="B1283" s="721"/>
      <c r="C1283" s="200" t="s">
        <v>5256</v>
      </c>
      <c r="D1283" s="139" t="s">
        <v>102</v>
      </c>
      <c r="E1283" s="209">
        <v>0.56547999999999998</v>
      </c>
      <c r="F1283" s="577" t="s">
        <v>67</v>
      </c>
      <c r="G1283" s="210">
        <v>13.7133</v>
      </c>
      <c r="H1283" s="211">
        <f t="shared" si="42"/>
        <v>7.75</v>
      </c>
    </row>
    <row r="1284" spans="1:8" s="124" customFormat="1" ht="30">
      <c r="A1284" s="721">
        <v>88277</v>
      </c>
      <c r="B1284" s="721"/>
      <c r="C1284" s="200" t="s">
        <v>5256</v>
      </c>
      <c r="D1284" s="139" t="s">
        <v>5108</v>
      </c>
      <c r="E1284" s="209">
        <v>1.28274</v>
      </c>
      <c r="F1284" s="577" t="s">
        <v>67</v>
      </c>
      <c r="G1284" s="210">
        <v>12.352500000000001</v>
      </c>
      <c r="H1284" s="211">
        <f t="shared" si="42"/>
        <v>15.85</v>
      </c>
    </row>
    <row r="1285" spans="1:8" s="124" customFormat="1" ht="30">
      <c r="A1285" s="721">
        <v>88316</v>
      </c>
      <c r="B1285" s="721"/>
      <c r="C1285" s="200" t="s">
        <v>5256</v>
      </c>
      <c r="D1285" s="139" t="s">
        <v>66</v>
      </c>
      <c r="E1285" s="209">
        <v>2.28274</v>
      </c>
      <c r="F1285" s="577" t="s">
        <v>67</v>
      </c>
      <c r="G1285" s="210">
        <v>11.631600000000001</v>
      </c>
      <c r="H1285" s="211">
        <f t="shared" si="42"/>
        <v>26.55</v>
      </c>
    </row>
    <row r="1286" spans="1:8" s="201" customFormat="1">
      <c r="A1286" s="582"/>
      <c r="B1286" s="582"/>
      <c r="C1286" s="212"/>
      <c r="D1286" s="719" t="s">
        <v>127</v>
      </c>
      <c r="E1286" s="719"/>
      <c r="F1286" s="719"/>
      <c r="G1286" s="719"/>
      <c r="H1286" s="638">
        <f>SUMIF(F1277:F1285,("h"),H1277:H1285)</f>
        <v>54.540000000000006</v>
      </c>
    </row>
    <row r="1287" spans="1:8" s="201" customFormat="1">
      <c r="A1287" s="582"/>
      <c r="B1287" s="582"/>
      <c r="C1287" s="212"/>
      <c r="D1287" s="719" t="s">
        <v>128</v>
      </c>
      <c r="E1287" s="719"/>
      <c r="F1287" s="719"/>
      <c r="G1287" s="719"/>
      <c r="H1287" s="638">
        <f>SUMIF(F1277:F1285,"&lt;&gt;h",H1277:H1285)</f>
        <v>80.430000000000007</v>
      </c>
    </row>
    <row r="1288" spans="1:8" s="201" customFormat="1">
      <c r="A1288" s="582"/>
      <c r="B1288" s="582"/>
      <c r="C1288" s="212"/>
      <c r="D1288" s="718" t="s">
        <v>129</v>
      </c>
      <c r="E1288" s="718"/>
      <c r="F1288" s="718"/>
      <c r="G1288" s="718"/>
      <c r="H1288" s="213">
        <f>SUM(H1286:H1287)</f>
        <v>134.97000000000003</v>
      </c>
    </row>
    <row r="1289" spans="1:8" s="201" customFormat="1">
      <c r="A1289" s="582"/>
      <c r="B1289" s="582"/>
      <c r="C1289" s="212"/>
      <c r="D1289" s="719" t="s">
        <v>28</v>
      </c>
      <c r="E1289" s="719"/>
      <c r="F1289" s="719"/>
      <c r="G1289" s="719"/>
      <c r="H1289" s="639">
        <f>E1276</f>
        <v>16</v>
      </c>
    </row>
    <row r="1290" spans="1:8" s="201" customFormat="1">
      <c r="A1290" s="582"/>
      <c r="B1290" s="582"/>
      <c r="C1290" s="212"/>
      <c r="D1290" s="718" t="s">
        <v>130</v>
      </c>
      <c r="E1290" s="718"/>
      <c r="F1290" s="718"/>
      <c r="G1290" s="718"/>
      <c r="H1290" s="213">
        <f>ROUND(H1288*H1289,2)</f>
        <v>2159.52</v>
      </c>
    </row>
    <row r="1291" spans="1:8" s="201" customFormat="1">
      <c r="A1291" s="582"/>
      <c r="B1291" s="582"/>
      <c r="C1291" s="212"/>
      <c r="D1291" s="719" t="s">
        <v>15559</v>
      </c>
      <c r="E1291" s="719"/>
      <c r="F1291" s="719"/>
      <c r="G1291" s="719"/>
      <c r="H1291" s="638">
        <f>ROUND(H1288*$B$13,2)</f>
        <v>36.35</v>
      </c>
    </row>
    <row r="1292" spans="1:8">
      <c r="A1292" s="582"/>
      <c r="B1292" s="582"/>
      <c r="C1292" s="212"/>
      <c r="D1292" s="718" t="s">
        <v>9661</v>
      </c>
      <c r="E1292" s="718"/>
      <c r="F1292" s="718"/>
      <c r="G1292" s="718"/>
      <c r="H1292" s="213">
        <f>H1291+H1288</f>
        <v>171.32000000000002</v>
      </c>
    </row>
    <row r="1294" spans="1:8" s="201" customFormat="1">
      <c r="A1294" s="123" t="s">
        <v>6</v>
      </c>
      <c r="B1294" s="720" t="s">
        <v>7</v>
      </c>
      <c r="C1294" s="720"/>
      <c r="D1294" s="202" t="s">
        <v>124</v>
      </c>
      <c r="E1294" s="167" t="s">
        <v>6334</v>
      </c>
      <c r="F1294" s="202" t="s">
        <v>31</v>
      </c>
      <c r="G1294" s="203" t="s">
        <v>125</v>
      </c>
      <c r="H1294" s="204" t="s">
        <v>126</v>
      </c>
    </row>
    <row r="1295" spans="1:8" s="208" customFormat="1" ht="45">
      <c r="A1295" s="581" t="str">
        <f>'Orç - Urbanização'!A38</f>
        <v>04.02.102.03</v>
      </c>
      <c r="B1295" s="581" t="str">
        <f>'Orç - Urbanização'!B38</f>
        <v>SICRO</v>
      </c>
      <c r="C1295" s="581">
        <f>'Orç - Urbanização'!C38</f>
        <v>5213448</v>
      </c>
      <c r="D1295" s="205" t="s">
        <v>9183</v>
      </c>
      <c r="E1295" s="206">
        <v>5</v>
      </c>
      <c r="F1295" s="581" t="s">
        <v>6337</v>
      </c>
      <c r="G1295" s="207">
        <f>VLOOKUP("CUSTO TOTAL UNIT.:",D1296:$H$30004,5,FALSE)</f>
        <v>112.64</v>
      </c>
      <c r="H1295" s="637">
        <f>VLOOKUP("CUSTO TOTAL:",D1296:$H$30004,5,FALSE)</f>
        <v>563.20000000000005</v>
      </c>
    </row>
    <row r="1296" spans="1:8" s="124" customFormat="1" ht="30">
      <c r="A1296" s="721">
        <v>11027</v>
      </c>
      <c r="B1296" s="721"/>
      <c r="C1296" s="200" t="s">
        <v>5256</v>
      </c>
      <c r="D1296" s="139" t="s">
        <v>10838</v>
      </c>
      <c r="E1296" s="209">
        <v>1.8354869999999999</v>
      </c>
      <c r="F1296" s="577" t="s">
        <v>49</v>
      </c>
      <c r="G1296" s="210">
        <v>5.8968000000000007</v>
      </c>
      <c r="H1296" s="211">
        <f t="shared" ref="H1296:H1304" si="43">ROUND(G1296*E1296,2)</f>
        <v>10.82</v>
      </c>
    </row>
    <row r="1297" spans="1:8" s="124" customFormat="1" ht="30">
      <c r="A1297" s="721">
        <v>34744</v>
      </c>
      <c r="B1297" s="721"/>
      <c r="C1297" s="200" t="s">
        <v>5256</v>
      </c>
      <c r="D1297" s="139" t="s">
        <v>13289</v>
      </c>
      <c r="E1297" s="209">
        <v>0.15587999999999999</v>
      </c>
      <c r="F1297" s="577" t="s">
        <v>46</v>
      </c>
      <c r="G1297" s="210">
        <v>19.958400000000001</v>
      </c>
      <c r="H1297" s="211">
        <f t="shared" si="43"/>
        <v>3.11</v>
      </c>
    </row>
    <row r="1298" spans="1:8" s="124" customFormat="1" ht="30">
      <c r="A1298" s="721" t="s">
        <v>4475</v>
      </c>
      <c r="B1298" s="721"/>
      <c r="C1298" s="200" t="s">
        <v>5256</v>
      </c>
      <c r="D1298" s="139" t="s">
        <v>4476</v>
      </c>
      <c r="E1298" s="209">
        <v>0.15587999999999999</v>
      </c>
      <c r="F1298" s="577" t="s">
        <v>101</v>
      </c>
      <c r="G1298" s="210">
        <v>19.723500000000001</v>
      </c>
      <c r="H1298" s="211">
        <f t="shared" si="43"/>
        <v>3.07</v>
      </c>
    </row>
    <row r="1299" spans="1:8" s="124" customFormat="1" ht="105">
      <c r="A1299" s="721">
        <v>73467</v>
      </c>
      <c r="B1299" s="721"/>
      <c r="C1299" s="200" t="s">
        <v>5256</v>
      </c>
      <c r="D1299" s="139" t="s">
        <v>377</v>
      </c>
      <c r="E1299" s="209">
        <v>0.3</v>
      </c>
      <c r="F1299" s="577" t="s">
        <v>100</v>
      </c>
      <c r="G1299" s="210">
        <v>110.23290000000001</v>
      </c>
      <c r="H1299" s="211">
        <f t="shared" si="43"/>
        <v>33.07</v>
      </c>
    </row>
    <row r="1300" spans="1:8" s="124" customFormat="1" ht="105">
      <c r="A1300" s="721">
        <v>91395</v>
      </c>
      <c r="B1300" s="721"/>
      <c r="C1300" s="200" t="s">
        <v>5256</v>
      </c>
      <c r="D1300" s="139" t="s">
        <v>564</v>
      </c>
      <c r="E1300" s="209">
        <v>0.7</v>
      </c>
      <c r="F1300" s="577" t="s">
        <v>101</v>
      </c>
      <c r="G1300" s="210">
        <v>23.587200000000003</v>
      </c>
      <c r="H1300" s="211">
        <f t="shared" si="43"/>
        <v>16.510000000000002</v>
      </c>
    </row>
    <row r="1301" spans="1:8" s="124" customFormat="1" ht="30">
      <c r="A1301" s="721">
        <v>88315</v>
      </c>
      <c r="B1301" s="721"/>
      <c r="C1301" s="200" t="s">
        <v>5256</v>
      </c>
      <c r="D1301" s="139" t="s">
        <v>112</v>
      </c>
      <c r="E1301" s="209">
        <v>0.15587999999999999</v>
      </c>
      <c r="F1301" s="577" t="s">
        <v>67</v>
      </c>
      <c r="G1301" s="210">
        <v>15.519600000000001</v>
      </c>
      <c r="H1301" s="211">
        <f t="shared" si="43"/>
        <v>2.42</v>
      </c>
    </row>
    <row r="1302" spans="1:8" s="124" customFormat="1" ht="30">
      <c r="A1302" s="721">
        <v>88243</v>
      </c>
      <c r="B1302" s="721"/>
      <c r="C1302" s="200" t="s">
        <v>5256</v>
      </c>
      <c r="D1302" s="139" t="s">
        <v>102</v>
      </c>
      <c r="E1302" s="209">
        <v>0.31175999999999998</v>
      </c>
      <c r="F1302" s="577" t="s">
        <v>67</v>
      </c>
      <c r="G1302" s="210">
        <v>13.7133</v>
      </c>
      <c r="H1302" s="211">
        <f t="shared" si="43"/>
        <v>4.28</v>
      </c>
    </row>
    <row r="1303" spans="1:8" s="124" customFormat="1" ht="30">
      <c r="A1303" s="721">
        <v>88277</v>
      </c>
      <c r="B1303" s="721"/>
      <c r="C1303" s="200" t="s">
        <v>5256</v>
      </c>
      <c r="D1303" s="139" t="s">
        <v>5108</v>
      </c>
      <c r="E1303" s="209">
        <v>1.15588</v>
      </c>
      <c r="F1303" s="577" t="s">
        <v>67</v>
      </c>
      <c r="G1303" s="210">
        <v>12.352500000000001</v>
      </c>
      <c r="H1303" s="211">
        <f t="shared" si="43"/>
        <v>14.28</v>
      </c>
    </row>
    <row r="1304" spans="1:8" s="124" customFormat="1" ht="30">
      <c r="A1304" s="721">
        <v>88316</v>
      </c>
      <c r="B1304" s="721"/>
      <c r="C1304" s="200" t="s">
        <v>5256</v>
      </c>
      <c r="D1304" s="139" t="s">
        <v>66</v>
      </c>
      <c r="E1304" s="209">
        <v>2.1558799999999998</v>
      </c>
      <c r="F1304" s="577" t="s">
        <v>67</v>
      </c>
      <c r="G1304" s="210">
        <v>11.631600000000001</v>
      </c>
      <c r="H1304" s="211">
        <f t="shared" si="43"/>
        <v>25.08</v>
      </c>
    </row>
    <row r="1305" spans="1:8" s="201" customFormat="1">
      <c r="A1305" s="582"/>
      <c r="B1305" s="582"/>
      <c r="C1305" s="212"/>
      <c r="D1305" s="719" t="s">
        <v>127</v>
      </c>
      <c r="E1305" s="719"/>
      <c r="F1305" s="719"/>
      <c r="G1305" s="719"/>
      <c r="H1305" s="638">
        <f>SUMIF(F1296:F1304,("h"),H1296:H1304)</f>
        <v>46.06</v>
      </c>
    </row>
    <row r="1306" spans="1:8" s="201" customFormat="1">
      <c r="A1306" s="582"/>
      <c r="B1306" s="582"/>
      <c r="C1306" s="212"/>
      <c r="D1306" s="719" t="s">
        <v>128</v>
      </c>
      <c r="E1306" s="719"/>
      <c r="F1306" s="719"/>
      <c r="G1306" s="719"/>
      <c r="H1306" s="638">
        <f>SUMIF(F1296:F1304,"&lt;&gt;h",H1296:H1304)</f>
        <v>66.58</v>
      </c>
    </row>
    <row r="1307" spans="1:8" s="201" customFormat="1">
      <c r="A1307" s="582"/>
      <c r="B1307" s="582"/>
      <c r="C1307" s="212"/>
      <c r="D1307" s="718" t="s">
        <v>129</v>
      </c>
      <c r="E1307" s="718"/>
      <c r="F1307" s="718"/>
      <c r="G1307" s="718"/>
      <c r="H1307" s="213">
        <f>SUM(H1305:H1306)</f>
        <v>112.64</v>
      </c>
    </row>
    <row r="1308" spans="1:8" s="201" customFormat="1">
      <c r="A1308" s="582"/>
      <c r="B1308" s="582"/>
      <c r="C1308" s="212"/>
      <c r="D1308" s="719" t="s">
        <v>28</v>
      </c>
      <c r="E1308" s="719"/>
      <c r="F1308" s="719"/>
      <c r="G1308" s="719"/>
      <c r="H1308" s="639">
        <f>E1295</f>
        <v>5</v>
      </c>
    </row>
    <row r="1309" spans="1:8" s="201" customFormat="1">
      <c r="A1309" s="582"/>
      <c r="B1309" s="582"/>
      <c r="C1309" s="212"/>
      <c r="D1309" s="718" t="s">
        <v>130</v>
      </c>
      <c r="E1309" s="718"/>
      <c r="F1309" s="718"/>
      <c r="G1309" s="718"/>
      <c r="H1309" s="213">
        <f>ROUND(H1307*H1308,2)</f>
        <v>563.20000000000005</v>
      </c>
    </row>
    <row r="1310" spans="1:8" s="201" customFormat="1">
      <c r="A1310" s="582"/>
      <c r="B1310" s="582"/>
      <c r="C1310" s="212"/>
      <c r="D1310" s="719" t="s">
        <v>15559</v>
      </c>
      <c r="E1310" s="719"/>
      <c r="F1310" s="719"/>
      <c r="G1310" s="719"/>
      <c r="H1310" s="638">
        <f>ROUND(H1307*$B$13,2)</f>
        <v>30.33</v>
      </c>
    </row>
    <row r="1311" spans="1:8">
      <c r="A1311" s="582"/>
      <c r="B1311" s="582"/>
      <c r="C1311" s="212"/>
      <c r="D1311" s="718" t="s">
        <v>9661</v>
      </c>
      <c r="E1311" s="718"/>
      <c r="F1311" s="718"/>
      <c r="G1311" s="718"/>
      <c r="H1311" s="213">
        <f>H1310+H1307</f>
        <v>142.97</v>
      </c>
    </row>
    <row r="1313" spans="1:8" s="201" customFormat="1">
      <c r="A1313" s="123" t="s">
        <v>6</v>
      </c>
      <c r="B1313" s="720" t="s">
        <v>7</v>
      </c>
      <c r="C1313" s="720"/>
      <c r="D1313" s="202" t="s">
        <v>124</v>
      </c>
      <c r="E1313" s="167" t="s">
        <v>6334</v>
      </c>
      <c r="F1313" s="202" t="s">
        <v>31</v>
      </c>
      <c r="G1313" s="203" t="s">
        <v>125</v>
      </c>
      <c r="H1313" s="204" t="s">
        <v>126</v>
      </c>
    </row>
    <row r="1314" spans="1:8" s="208" customFormat="1" ht="45">
      <c r="A1314" s="581" t="str">
        <f>'Orç - Urbanização'!A39</f>
        <v>04.02.102.04</v>
      </c>
      <c r="B1314" s="581" t="str">
        <f>'Orç - Urbanização'!B39</f>
        <v>SICRO</v>
      </c>
      <c r="C1314" s="581">
        <f>'Orç - Urbanização'!C39</f>
        <v>5213859</v>
      </c>
      <c r="D1314" s="205" t="s">
        <v>9184</v>
      </c>
      <c r="E1314" s="206">
        <v>21</v>
      </c>
      <c r="F1314" s="581" t="s">
        <v>6337</v>
      </c>
      <c r="G1314" s="207">
        <f>VLOOKUP("CUSTO TOTAL UNIT.:",D1315:$H$30004,5,FALSE)</f>
        <v>222.35999999999999</v>
      </c>
      <c r="H1314" s="637">
        <f>VLOOKUP("CUSTO TOTAL:",D1315:$H$30004,5,FALSE)</f>
        <v>4669.5600000000004</v>
      </c>
    </row>
    <row r="1315" spans="1:8" s="124" customFormat="1" ht="30">
      <c r="A1315" s="721" t="s">
        <v>9196</v>
      </c>
      <c r="B1315" s="721"/>
      <c r="C1315" s="200" t="s">
        <v>9193</v>
      </c>
      <c r="D1315" s="139" t="s">
        <v>9195</v>
      </c>
      <c r="E1315" s="209">
        <v>12.529</v>
      </c>
      <c r="F1315" s="577" t="s">
        <v>315</v>
      </c>
      <c r="G1315" s="210">
        <v>11.067111000000001</v>
      </c>
      <c r="H1315" s="211">
        <f t="shared" ref="H1315:H1322" si="44">ROUND(G1315*E1315,2)</f>
        <v>138.66</v>
      </c>
    </row>
    <row r="1316" spans="1:8" s="124" customFormat="1" ht="30">
      <c r="A1316" s="721" t="s">
        <v>9197</v>
      </c>
      <c r="B1316" s="721"/>
      <c r="C1316" s="200" t="s">
        <v>9193</v>
      </c>
      <c r="D1316" s="139" t="s">
        <v>9194</v>
      </c>
      <c r="E1316" s="209">
        <v>1.0581199999999999</v>
      </c>
      <c r="F1316" s="577" t="s">
        <v>315</v>
      </c>
      <c r="G1316" s="210">
        <v>4.4017020000000002</v>
      </c>
      <c r="H1316" s="211">
        <f t="shared" si="44"/>
        <v>4.66</v>
      </c>
    </row>
    <row r="1317" spans="1:8" s="124" customFormat="1" ht="60">
      <c r="A1317" s="721">
        <v>94970</v>
      </c>
      <c r="B1317" s="721"/>
      <c r="C1317" s="200" t="s">
        <v>5256</v>
      </c>
      <c r="D1317" s="139" t="s">
        <v>2026</v>
      </c>
      <c r="E1317" s="209">
        <v>8.0000000000000002E-3</v>
      </c>
      <c r="F1317" s="577" t="s">
        <v>1261</v>
      </c>
      <c r="G1317" s="210">
        <v>243.0729</v>
      </c>
      <c r="H1317" s="211">
        <f t="shared" si="44"/>
        <v>1.94</v>
      </c>
    </row>
    <row r="1318" spans="1:8" s="124" customFormat="1" ht="45">
      <c r="A1318" s="721">
        <v>93358</v>
      </c>
      <c r="B1318" s="721"/>
      <c r="C1318" s="200" t="s">
        <v>5256</v>
      </c>
      <c r="D1318" s="139" t="s">
        <v>6325</v>
      </c>
      <c r="E1318" s="209">
        <v>8.0000000000000002E-3</v>
      </c>
      <c r="F1318" s="577" t="s">
        <v>1261</v>
      </c>
      <c r="G1318" s="210">
        <v>46.008000000000003</v>
      </c>
      <c r="H1318" s="211">
        <f t="shared" si="44"/>
        <v>0.37</v>
      </c>
    </row>
    <row r="1319" spans="1:8" s="124" customFormat="1" ht="105">
      <c r="A1319" s="721">
        <v>73467</v>
      </c>
      <c r="B1319" s="721"/>
      <c r="C1319" s="200" t="s">
        <v>5256</v>
      </c>
      <c r="D1319" s="139" t="s">
        <v>377</v>
      </c>
      <c r="E1319" s="209">
        <v>0.3</v>
      </c>
      <c r="F1319" s="577" t="s">
        <v>100</v>
      </c>
      <c r="G1319" s="210">
        <v>110.23290000000001</v>
      </c>
      <c r="H1319" s="211">
        <f t="shared" si="44"/>
        <v>33.07</v>
      </c>
    </row>
    <row r="1320" spans="1:8" s="124" customFormat="1" ht="105">
      <c r="A1320" s="721">
        <v>91395</v>
      </c>
      <c r="B1320" s="721"/>
      <c r="C1320" s="200" t="s">
        <v>5256</v>
      </c>
      <c r="D1320" s="139" t="s">
        <v>564</v>
      </c>
      <c r="E1320" s="209">
        <v>0.7</v>
      </c>
      <c r="F1320" s="577" t="s">
        <v>101</v>
      </c>
      <c r="G1320" s="210">
        <v>23.587200000000003</v>
      </c>
      <c r="H1320" s="211">
        <f t="shared" si="44"/>
        <v>16.510000000000002</v>
      </c>
    </row>
    <row r="1321" spans="1:8" s="124" customFormat="1" ht="30">
      <c r="A1321" s="721">
        <v>88315</v>
      </c>
      <c r="B1321" s="721"/>
      <c r="C1321" s="200" t="s">
        <v>5256</v>
      </c>
      <c r="D1321" s="139" t="s">
        <v>112</v>
      </c>
      <c r="E1321" s="209">
        <v>1</v>
      </c>
      <c r="F1321" s="577" t="s">
        <v>67</v>
      </c>
      <c r="G1321" s="210">
        <v>15.519600000000001</v>
      </c>
      <c r="H1321" s="211">
        <f t="shared" si="44"/>
        <v>15.52</v>
      </c>
    </row>
    <row r="1322" spans="1:8" s="124" customFormat="1" ht="30">
      <c r="A1322" s="721">
        <v>88316</v>
      </c>
      <c r="B1322" s="721"/>
      <c r="C1322" s="200" t="s">
        <v>5256</v>
      </c>
      <c r="D1322" s="139" t="s">
        <v>66</v>
      </c>
      <c r="E1322" s="209">
        <v>1</v>
      </c>
      <c r="F1322" s="577" t="s">
        <v>67</v>
      </c>
      <c r="G1322" s="210">
        <v>11.631600000000001</v>
      </c>
      <c r="H1322" s="211">
        <f t="shared" si="44"/>
        <v>11.63</v>
      </c>
    </row>
    <row r="1323" spans="1:8" s="201" customFormat="1">
      <c r="A1323" s="582"/>
      <c r="B1323" s="582"/>
      <c r="C1323" s="212"/>
      <c r="D1323" s="719" t="s">
        <v>127</v>
      </c>
      <c r="E1323" s="719"/>
      <c r="F1323" s="719"/>
      <c r="G1323" s="719"/>
      <c r="H1323" s="638">
        <f>SUMIF(F1315:F1322,("h"),H1315:H1322)</f>
        <v>27.15</v>
      </c>
    </row>
    <row r="1324" spans="1:8" s="201" customFormat="1">
      <c r="A1324" s="582"/>
      <c r="B1324" s="582"/>
      <c r="C1324" s="212"/>
      <c r="D1324" s="719" t="s">
        <v>128</v>
      </c>
      <c r="E1324" s="719"/>
      <c r="F1324" s="719"/>
      <c r="G1324" s="719"/>
      <c r="H1324" s="638">
        <f>SUMIF(F1315:F1322,"&lt;&gt;h",H1315:H1322)</f>
        <v>195.20999999999998</v>
      </c>
    </row>
    <row r="1325" spans="1:8" s="201" customFormat="1">
      <c r="A1325" s="582"/>
      <c r="B1325" s="582"/>
      <c r="C1325" s="212"/>
      <c r="D1325" s="718" t="s">
        <v>129</v>
      </c>
      <c r="E1325" s="718"/>
      <c r="F1325" s="718"/>
      <c r="G1325" s="718"/>
      <c r="H1325" s="213">
        <f>SUM(H1323:H1324)</f>
        <v>222.35999999999999</v>
      </c>
    </row>
    <row r="1326" spans="1:8" s="201" customFormat="1">
      <c r="A1326" s="582"/>
      <c r="B1326" s="582"/>
      <c r="C1326" s="212"/>
      <c r="D1326" s="719" t="s">
        <v>28</v>
      </c>
      <c r="E1326" s="719"/>
      <c r="F1326" s="719"/>
      <c r="G1326" s="719"/>
      <c r="H1326" s="639">
        <f>E1314</f>
        <v>21</v>
      </c>
    </row>
    <row r="1327" spans="1:8" s="201" customFormat="1">
      <c r="A1327" s="582"/>
      <c r="B1327" s="582"/>
      <c r="C1327" s="212"/>
      <c r="D1327" s="718" t="s">
        <v>130</v>
      </c>
      <c r="E1327" s="718"/>
      <c r="F1327" s="718"/>
      <c r="G1327" s="718"/>
      <c r="H1327" s="213">
        <f>ROUND(H1325*H1326,2)</f>
        <v>4669.5600000000004</v>
      </c>
    </row>
    <row r="1328" spans="1:8" s="201" customFormat="1">
      <c r="A1328" s="582"/>
      <c r="B1328" s="582"/>
      <c r="C1328" s="212"/>
      <c r="D1328" s="719" t="s">
        <v>15559</v>
      </c>
      <c r="E1328" s="719"/>
      <c r="F1328" s="719"/>
      <c r="G1328" s="719"/>
      <c r="H1328" s="638">
        <f>ROUND(H1325*$B$13,2)</f>
        <v>59.88</v>
      </c>
    </row>
    <row r="1329" spans="1:8">
      <c r="A1329" s="582"/>
      <c r="B1329" s="582"/>
      <c r="C1329" s="212"/>
      <c r="D1329" s="718" t="s">
        <v>9661</v>
      </c>
      <c r="E1329" s="718"/>
      <c r="F1329" s="718"/>
      <c r="G1329" s="718"/>
      <c r="H1329" s="213">
        <f>H1328+H1325</f>
        <v>282.24</v>
      </c>
    </row>
    <row r="1331" spans="1:8" s="201" customFormat="1">
      <c r="A1331" s="123" t="s">
        <v>6</v>
      </c>
      <c r="B1331" s="720" t="s">
        <v>7</v>
      </c>
      <c r="C1331" s="720"/>
      <c r="D1331" s="202" t="s">
        <v>124</v>
      </c>
      <c r="E1331" s="167" t="s">
        <v>6334</v>
      </c>
      <c r="F1331" s="202" t="s">
        <v>31</v>
      </c>
      <c r="G1331" s="203" t="s">
        <v>125</v>
      </c>
      <c r="H1331" s="204" t="s">
        <v>126</v>
      </c>
    </row>
    <row r="1332" spans="1:8" s="208" customFormat="1" ht="60">
      <c r="A1332" s="581" t="str">
        <f>'Orç - Urbanização'!A41</f>
        <v>04.02.106</v>
      </c>
      <c r="B1332" s="581" t="str">
        <f>'Orç - Urbanização'!B41</f>
        <v>ORSE</v>
      </c>
      <c r="C1332" s="581">
        <f>'Orç - Urbanização'!C41</f>
        <v>7324</v>
      </c>
      <c r="D1332" s="205" t="s">
        <v>9186</v>
      </c>
      <c r="E1332" s="581">
        <v>1.17</v>
      </c>
      <c r="F1332" s="581" t="s">
        <v>6339</v>
      </c>
      <c r="G1332" s="207">
        <f>VLOOKUP("CUSTO TOTAL UNIT.:",D1333:$H$30004,5,FALSE)</f>
        <v>63.370000000000005</v>
      </c>
      <c r="H1332" s="637">
        <f>VLOOKUP("CUSTO TOTAL:",D1333:$H$30004,5,FALSE)</f>
        <v>74.14</v>
      </c>
    </row>
    <row r="1333" spans="1:8" s="124" customFormat="1">
      <c r="A1333" s="721">
        <v>34357</v>
      </c>
      <c r="B1333" s="721"/>
      <c r="C1333" s="200" t="s">
        <v>5256</v>
      </c>
      <c r="D1333" s="139" t="s">
        <v>13742</v>
      </c>
      <c r="E1333" s="209">
        <v>0.52</v>
      </c>
      <c r="F1333" s="577" t="s">
        <v>49</v>
      </c>
      <c r="G1333" s="210">
        <v>1.9521000000000002</v>
      </c>
      <c r="H1333" s="211">
        <f>ROUND(G1333*E1333,2)</f>
        <v>1.02</v>
      </c>
    </row>
    <row r="1334" spans="1:8" s="124" customFormat="1" ht="45">
      <c r="A1334" s="721">
        <v>6897</v>
      </c>
      <c r="B1334" s="721"/>
      <c r="C1334" s="200" t="s">
        <v>6333</v>
      </c>
      <c r="D1334" s="139" t="s">
        <v>7853</v>
      </c>
      <c r="E1334" s="209">
        <v>1.05</v>
      </c>
      <c r="F1334" s="577" t="s">
        <v>322</v>
      </c>
      <c r="G1334" s="210">
        <v>37.503</v>
      </c>
      <c r="H1334" s="211">
        <f>ROUND(G1334*E1334,2)</f>
        <v>39.380000000000003</v>
      </c>
    </row>
    <row r="1335" spans="1:8" s="124" customFormat="1" ht="30">
      <c r="A1335" s="721">
        <v>88309</v>
      </c>
      <c r="B1335" s="721"/>
      <c r="C1335" s="200" t="s">
        <v>5256</v>
      </c>
      <c r="D1335" s="139" t="s">
        <v>90</v>
      </c>
      <c r="E1335" s="209">
        <v>0.5</v>
      </c>
      <c r="F1335" s="577" t="s">
        <v>67</v>
      </c>
      <c r="G1335" s="210">
        <v>15.608700000000001</v>
      </c>
      <c r="H1335" s="211">
        <f>ROUND(G1335*E1335,2)</f>
        <v>7.8</v>
      </c>
    </row>
    <row r="1336" spans="1:8" s="124" customFormat="1" ht="30">
      <c r="A1336" s="721">
        <v>88316</v>
      </c>
      <c r="B1336" s="721"/>
      <c r="C1336" s="200" t="s">
        <v>5256</v>
      </c>
      <c r="D1336" s="139" t="s">
        <v>66</v>
      </c>
      <c r="E1336" s="209">
        <v>1.2</v>
      </c>
      <c r="F1336" s="577" t="s">
        <v>67</v>
      </c>
      <c r="G1336" s="210">
        <v>11.631600000000001</v>
      </c>
      <c r="H1336" s="211">
        <f>ROUND(G1336*E1336,2)</f>
        <v>13.96</v>
      </c>
    </row>
    <row r="1337" spans="1:8" s="124" customFormat="1" ht="60">
      <c r="A1337" s="721">
        <v>87383</v>
      </c>
      <c r="B1337" s="721"/>
      <c r="C1337" s="200" t="s">
        <v>5256</v>
      </c>
      <c r="D1337" s="139" t="s">
        <v>4968</v>
      </c>
      <c r="E1337" s="209">
        <v>2.1440000000000001E-3</v>
      </c>
      <c r="F1337" s="577" t="s">
        <v>1261</v>
      </c>
      <c r="G1337" s="210">
        <v>563.89769999999999</v>
      </c>
      <c r="H1337" s="211">
        <f>ROUND(G1337*E1337,2)</f>
        <v>1.21</v>
      </c>
    </row>
    <row r="1338" spans="1:8" s="201" customFormat="1">
      <c r="A1338" s="582"/>
      <c r="B1338" s="582"/>
      <c r="C1338" s="212"/>
      <c r="D1338" s="719" t="s">
        <v>127</v>
      </c>
      <c r="E1338" s="719"/>
      <c r="F1338" s="719"/>
      <c r="G1338" s="719"/>
      <c r="H1338" s="638">
        <f>SUMIF(F1333:F1337,("h"),H1333:H1337)</f>
        <v>21.76</v>
      </c>
    </row>
    <row r="1339" spans="1:8" s="201" customFormat="1">
      <c r="A1339" s="582"/>
      <c r="B1339" s="582"/>
      <c r="C1339" s="212"/>
      <c r="D1339" s="719" t="s">
        <v>128</v>
      </c>
      <c r="E1339" s="719"/>
      <c r="F1339" s="719"/>
      <c r="G1339" s="719"/>
      <c r="H1339" s="638">
        <f>SUMIF(F1333:F1337,"&lt;&gt;h",H1333:H1337)</f>
        <v>41.610000000000007</v>
      </c>
    </row>
    <row r="1340" spans="1:8" s="201" customFormat="1">
      <c r="A1340" s="582"/>
      <c r="B1340" s="582"/>
      <c r="C1340" s="212"/>
      <c r="D1340" s="718" t="s">
        <v>129</v>
      </c>
      <c r="E1340" s="718"/>
      <c r="F1340" s="718"/>
      <c r="G1340" s="718"/>
      <c r="H1340" s="213">
        <f>SUM(H1338:H1339)</f>
        <v>63.370000000000005</v>
      </c>
    </row>
    <row r="1341" spans="1:8" s="201" customFormat="1">
      <c r="A1341" s="582"/>
      <c r="B1341" s="582"/>
      <c r="C1341" s="212"/>
      <c r="D1341" s="719" t="s">
        <v>28</v>
      </c>
      <c r="E1341" s="719"/>
      <c r="F1341" s="719"/>
      <c r="G1341" s="719"/>
      <c r="H1341" s="639">
        <f>E1332</f>
        <v>1.17</v>
      </c>
    </row>
    <row r="1342" spans="1:8" s="201" customFormat="1">
      <c r="A1342" s="582"/>
      <c r="B1342" s="582"/>
      <c r="C1342" s="212"/>
      <c r="D1342" s="718" t="s">
        <v>130</v>
      </c>
      <c r="E1342" s="718"/>
      <c r="F1342" s="718"/>
      <c r="G1342" s="718"/>
      <c r="H1342" s="213">
        <f>ROUND(H1340*H1341,2)</f>
        <v>74.14</v>
      </c>
    </row>
    <row r="1343" spans="1:8" s="201" customFormat="1">
      <c r="A1343" s="582"/>
      <c r="B1343" s="582"/>
      <c r="C1343" s="212"/>
      <c r="D1343" s="719" t="s">
        <v>15559</v>
      </c>
      <c r="E1343" s="719"/>
      <c r="F1343" s="719"/>
      <c r="G1343" s="719"/>
      <c r="H1343" s="638">
        <f>ROUND(H1340*$B$13,2)</f>
        <v>17.07</v>
      </c>
    </row>
    <row r="1344" spans="1:8">
      <c r="A1344" s="582"/>
      <c r="B1344" s="582"/>
      <c r="C1344" s="212"/>
      <c r="D1344" s="718" t="s">
        <v>9661</v>
      </c>
      <c r="E1344" s="718"/>
      <c r="F1344" s="718"/>
      <c r="G1344" s="718"/>
      <c r="H1344" s="213">
        <f>H1343+H1340</f>
        <v>80.44</v>
      </c>
    </row>
    <row r="1346" spans="1:8" s="201" customFormat="1">
      <c r="A1346" s="123" t="s">
        <v>6</v>
      </c>
      <c r="B1346" s="720" t="s">
        <v>7</v>
      </c>
      <c r="C1346" s="720"/>
      <c r="D1346" s="202" t="s">
        <v>124</v>
      </c>
      <c r="E1346" s="167" t="s">
        <v>6334</v>
      </c>
      <c r="F1346" s="202" t="s">
        <v>31</v>
      </c>
      <c r="G1346" s="203" t="s">
        <v>125</v>
      </c>
      <c r="H1346" s="204" t="s">
        <v>126</v>
      </c>
    </row>
    <row r="1347" spans="1:8" s="208" customFormat="1" ht="30">
      <c r="A1347" s="581" t="str">
        <f>'Orç - Urbanização'!A45</f>
        <v>04.04.301</v>
      </c>
      <c r="B1347" s="581" t="str">
        <f>'Orç - Urbanização'!B45</f>
        <v>ORSE</v>
      </c>
      <c r="C1347" s="581">
        <f>'Orç - Urbanização'!C45</f>
        <v>8851</v>
      </c>
      <c r="D1347" s="205" t="s">
        <v>9202</v>
      </c>
      <c r="E1347" s="206">
        <v>10</v>
      </c>
      <c r="F1347" s="581" t="s">
        <v>6337</v>
      </c>
      <c r="G1347" s="207">
        <f>VLOOKUP("CUSTO TOTAL UNIT.:",D1348:$H$30004,5,FALSE)</f>
        <v>119.25</v>
      </c>
      <c r="H1347" s="637">
        <f>VLOOKUP("CUSTO TOTAL:",D1348:$H$30004,5,FALSE)</f>
        <v>1192.5</v>
      </c>
    </row>
    <row r="1348" spans="1:8" s="124" customFormat="1" ht="30">
      <c r="A1348" s="721">
        <v>38125</v>
      </c>
      <c r="B1348" s="721"/>
      <c r="C1348" s="200" t="s">
        <v>5256</v>
      </c>
      <c r="D1348" s="139" t="s">
        <v>11925</v>
      </c>
      <c r="E1348" s="209">
        <v>0.05</v>
      </c>
      <c r="F1348" s="577" t="s">
        <v>49</v>
      </c>
      <c r="G1348" s="210">
        <v>0.6885</v>
      </c>
      <c r="H1348" s="211">
        <f t="shared" ref="H1348:H1353" si="45">ROUND(G1348*E1348,2)</f>
        <v>0.03</v>
      </c>
    </row>
    <row r="1349" spans="1:8" s="400" customFormat="1">
      <c r="A1349" s="725" t="s">
        <v>9397</v>
      </c>
      <c r="B1349" s="725"/>
      <c r="C1349" s="725"/>
      <c r="D1349" s="725"/>
      <c r="E1349" s="397">
        <v>0.20499999999999999</v>
      </c>
      <c r="F1349" s="580" t="s">
        <v>1261</v>
      </c>
      <c r="G1349" s="398"/>
      <c r="H1349" s="399">
        <f t="shared" si="45"/>
        <v>0</v>
      </c>
    </row>
    <row r="1350" spans="1:8" s="124" customFormat="1">
      <c r="A1350" s="721">
        <v>25951</v>
      </c>
      <c r="B1350" s="721"/>
      <c r="C1350" s="200" t="s">
        <v>5256</v>
      </c>
      <c r="D1350" s="139" t="s">
        <v>11923</v>
      </c>
      <c r="E1350" s="209">
        <v>0.8</v>
      </c>
      <c r="F1350" s="577" t="s">
        <v>49</v>
      </c>
      <c r="G1350" s="210">
        <v>2.0493000000000001</v>
      </c>
      <c r="H1350" s="211">
        <f t="shared" si="45"/>
        <v>1.64</v>
      </c>
    </row>
    <row r="1351" spans="1:8" s="124" customFormat="1" ht="30">
      <c r="A1351" s="721">
        <v>9131</v>
      </c>
      <c r="B1351" s="721"/>
      <c r="C1351" s="200" t="s">
        <v>6333</v>
      </c>
      <c r="D1351" s="139" t="s">
        <v>9201</v>
      </c>
      <c r="E1351" s="209">
        <v>1</v>
      </c>
      <c r="F1351" s="577" t="s">
        <v>31</v>
      </c>
      <c r="G1351" s="210">
        <v>97.070400000000006</v>
      </c>
      <c r="H1351" s="211">
        <f t="shared" si="45"/>
        <v>97.07</v>
      </c>
    </row>
    <row r="1352" spans="1:8" s="124" customFormat="1" ht="30">
      <c r="A1352" s="721">
        <v>88316</v>
      </c>
      <c r="B1352" s="721"/>
      <c r="C1352" s="200" t="s">
        <v>5256</v>
      </c>
      <c r="D1352" s="139" t="s">
        <v>66</v>
      </c>
      <c r="E1352" s="209">
        <v>0.23</v>
      </c>
      <c r="F1352" s="577" t="s">
        <v>67</v>
      </c>
      <c r="G1352" s="210">
        <v>11.631600000000001</v>
      </c>
      <c r="H1352" s="211">
        <f t="shared" si="45"/>
        <v>2.68</v>
      </c>
    </row>
    <row r="1353" spans="1:8" s="124" customFormat="1" ht="30">
      <c r="A1353" s="721">
        <v>88441</v>
      </c>
      <c r="B1353" s="721"/>
      <c r="C1353" s="200" t="s">
        <v>5256</v>
      </c>
      <c r="D1353" s="139" t="s">
        <v>5138</v>
      </c>
      <c r="E1353" s="209">
        <v>1.18</v>
      </c>
      <c r="F1353" s="577" t="s">
        <v>67</v>
      </c>
      <c r="G1353" s="210">
        <v>15.1065</v>
      </c>
      <c r="H1353" s="211">
        <f t="shared" si="45"/>
        <v>17.829999999999998</v>
      </c>
    </row>
    <row r="1354" spans="1:8" s="201" customFormat="1">
      <c r="A1354" s="582"/>
      <c r="B1354" s="582"/>
      <c r="C1354" s="212"/>
      <c r="D1354" s="719" t="s">
        <v>127</v>
      </c>
      <c r="E1354" s="719"/>
      <c r="F1354" s="719"/>
      <c r="G1354" s="719"/>
      <c r="H1354" s="638">
        <f>SUMIF(F1348:F1353,("h"),H1348:H1353)</f>
        <v>20.509999999999998</v>
      </c>
    </row>
    <row r="1355" spans="1:8" s="201" customFormat="1">
      <c r="A1355" s="582"/>
      <c r="B1355" s="582"/>
      <c r="C1355" s="212"/>
      <c r="D1355" s="719" t="s">
        <v>128</v>
      </c>
      <c r="E1355" s="719"/>
      <c r="F1355" s="719"/>
      <c r="G1355" s="719"/>
      <c r="H1355" s="638">
        <f>SUMIF(F1348:F1353,"&lt;&gt;h",H1348:H1353)</f>
        <v>98.74</v>
      </c>
    </row>
    <row r="1356" spans="1:8" s="201" customFormat="1">
      <c r="A1356" s="582"/>
      <c r="B1356" s="582"/>
      <c r="C1356" s="212"/>
      <c r="D1356" s="718" t="s">
        <v>129</v>
      </c>
      <c r="E1356" s="718"/>
      <c r="F1356" s="718"/>
      <c r="G1356" s="718"/>
      <c r="H1356" s="213">
        <f>SUM(H1354:H1355)</f>
        <v>119.25</v>
      </c>
    </row>
    <row r="1357" spans="1:8" s="201" customFormat="1">
      <c r="A1357" s="582"/>
      <c r="B1357" s="582"/>
      <c r="C1357" s="212"/>
      <c r="D1357" s="719" t="s">
        <v>28</v>
      </c>
      <c r="E1357" s="719"/>
      <c r="F1357" s="719"/>
      <c r="G1357" s="719"/>
      <c r="H1357" s="639">
        <f>E1347</f>
        <v>10</v>
      </c>
    </row>
    <row r="1358" spans="1:8" s="201" customFormat="1">
      <c r="A1358" s="582"/>
      <c r="B1358" s="582"/>
      <c r="C1358" s="212"/>
      <c r="D1358" s="718" t="s">
        <v>130</v>
      </c>
      <c r="E1358" s="718"/>
      <c r="F1358" s="718"/>
      <c r="G1358" s="718"/>
      <c r="H1358" s="213">
        <f>ROUND(H1356*H1357,2)</f>
        <v>1192.5</v>
      </c>
    </row>
    <row r="1359" spans="1:8" s="201" customFormat="1">
      <c r="A1359" s="582"/>
      <c r="B1359" s="582"/>
      <c r="C1359" s="212"/>
      <c r="D1359" s="719" t="s">
        <v>15559</v>
      </c>
      <c r="E1359" s="719"/>
      <c r="F1359" s="719"/>
      <c r="G1359" s="719"/>
      <c r="H1359" s="638">
        <f>ROUND(H1356*$B$13,2)</f>
        <v>32.11</v>
      </c>
    </row>
    <row r="1360" spans="1:8">
      <c r="A1360" s="582"/>
      <c r="B1360" s="582"/>
      <c r="C1360" s="212"/>
      <c r="D1360" s="718" t="s">
        <v>9661</v>
      </c>
      <c r="E1360" s="718"/>
      <c r="F1360" s="718"/>
      <c r="G1360" s="718"/>
      <c r="H1360" s="213">
        <f>H1359+H1356</f>
        <v>151.36000000000001</v>
      </c>
    </row>
    <row r="1362" spans="1:8" s="201" customFormat="1">
      <c r="A1362" s="123" t="s">
        <v>6</v>
      </c>
      <c r="B1362" s="720" t="s">
        <v>7</v>
      </c>
      <c r="C1362" s="720"/>
      <c r="D1362" s="202" t="s">
        <v>124</v>
      </c>
      <c r="E1362" s="167" t="s">
        <v>6334</v>
      </c>
      <c r="F1362" s="202" t="s">
        <v>31</v>
      </c>
      <c r="G1362" s="203" t="s">
        <v>125</v>
      </c>
      <c r="H1362" s="204" t="s">
        <v>126</v>
      </c>
    </row>
    <row r="1363" spans="1:8" s="208" customFormat="1" ht="60">
      <c r="A1363" s="581" t="str">
        <f>'Orç - Urbanização'!A46</f>
        <v>04.04.304.01</v>
      </c>
      <c r="B1363" s="581" t="str">
        <f>'Orç - Urbanização'!B46</f>
        <v>SINAPI</v>
      </c>
      <c r="C1363" s="581" t="str">
        <f>'Orç - Urbanização'!C46</f>
        <v>98504 MOD</v>
      </c>
      <c r="D1363" s="205" t="s">
        <v>15418</v>
      </c>
      <c r="E1363" s="206">
        <v>1918.11</v>
      </c>
      <c r="F1363" s="581" t="s">
        <v>6339</v>
      </c>
      <c r="G1363" s="207">
        <f>VLOOKUP("CUSTO TOTAL UNIT.:",D1364:$H$30004,5,FALSE)</f>
        <v>5.8800000000000008</v>
      </c>
      <c r="H1363" s="637">
        <f>VLOOKUP("CUSTO TOTAL:",D1364:$H$30004,5,FALSE)</f>
        <v>11278.49</v>
      </c>
    </row>
    <row r="1364" spans="1:8" s="124" customFormat="1">
      <c r="A1364" s="721">
        <v>3324</v>
      </c>
      <c r="B1364" s="721"/>
      <c r="C1364" s="200" t="s">
        <v>5256</v>
      </c>
      <c r="D1364" s="139" t="s">
        <v>12069</v>
      </c>
      <c r="E1364" s="209">
        <v>1</v>
      </c>
      <c r="F1364" s="577" t="s">
        <v>46</v>
      </c>
      <c r="G1364" s="210">
        <v>3.4668000000000005</v>
      </c>
      <c r="H1364" s="211">
        <f>ROUND(G1364*E1364,2)</f>
        <v>3.47</v>
      </c>
    </row>
    <row r="1365" spans="1:8" s="124" customFormat="1" ht="30">
      <c r="A1365" s="721">
        <v>88316</v>
      </c>
      <c r="B1365" s="721"/>
      <c r="C1365" s="200" t="s">
        <v>5256</v>
      </c>
      <c r="D1365" s="139" t="s">
        <v>66</v>
      </c>
      <c r="E1365" s="209">
        <v>0.15640000000000001</v>
      </c>
      <c r="F1365" s="577" t="s">
        <v>67</v>
      </c>
      <c r="G1365" s="210">
        <v>11.631600000000001</v>
      </c>
      <c r="H1365" s="211">
        <f>ROUND(G1365*E1365,2)</f>
        <v>1.82</v>
      </c>
    </row>
    <row r="1366" spans="1:8" s="124" customFormat="1" ht="30">
      <c r="A1366" s="721">
        <v>88441</v>
      </c>
      <c r="B1366" s="721"/>
      <c r="C1366" s="200" t="s">
        <v>5256</v>
      </c>
      <c r="D1366" s="139" t="s">
        <v>5138</v>
      </c>
      <c r="E1366" s="209">
        <v>3.9100000000000003E-2</v>
      </c>
      <c r="F1366" s="577" t="s">
        <v>67</v>
      </c>
      <c r="G1366" s="210">
        <v>15.1065</v>
      </c>
      <c r="H1366" s="211">
        <f>ROUND(G1366*E1366,2)</f>
        <v>0.59</v>
      </c>
    </row>
    <row r="1367" spans="1:8" s="201" customFormat="1">
      <c r="A1367" s="582"/>
      <c r="B1367" s="582"/>
      <c r="C1367" s="212"/>
      <c r="D1367" s="719" t="s">
        <v>127</v>
      </c>
      <c r="E1367" s="719"/>
      <c r="F1367" s="719"/>
      <c r="G1367" s="719"/>
      <c r="H1367" s="638">
        <f>SUMIF(F1364:F1366,("h"),H1364:H1366)</f>
        <v>2.41</v>
      </c>
    </row>
    <row r="1368" spans="1:8" s="201" customFormat="1">
      <c r="A1368" s="582"/>
      <c r="B1368" s="582"/>
      <c r="C1368" s="212"/>
      <c r="D1368" s="719" t="s">
        <v>128</v>
      </c>
      <c r="E1368" s="719"/>
      <c r="F1368" s="719"/>
      <c r="G1368" s="719"/>
      <c r="H1368" s="638">
        <f>SUMIF(F1364:F1366,"&lt;&gt;h",H1364:H1366)</f>
        <v>3.47</v>
      </c>
    </row>
    <row r="1369" spans="1:8" s="201" customFormat="1">
      <c r="A1369" s="582"/>
      <c r="B1369" s="582"/>
      <c r="C1369" s="212"/>
      <c r="D1369" s="718" t="s">
        <v>129</v>
      </c>
      <c r="E1369" s="718"/>
      <c r="F1369" s="718"/>
      <c r="G1369" s="718"/>
      <c r="H1369" s="213">
        <f>SUM(H1367:H1368)</f>
        <v>5.8800000000000008</v>
      </c>
    </row>
    <row r="1370" spans="1:8" s="201" customFormat="1">
      <c r="A1370" s="582"/>
      <c r="B1370" s="582"/>
      <c r="C1370" s="212"/>
      <c r="D1370" s="719" t="s">
        <v>28</v>
      </c>
      <c r="E1370" s="719"/>
      <c r="F1370" s="719"/>
      <c r="G1370" s="719"/>
      <c r="H1370" s="639">
        <f>E1363</f>
        <v>1918.11</v>
      </c>
    </row>
    <row r="1371" spans="1:8" s="201" customFormat="1">
      <c r="A1371" s="582"/>
      <c r="B1371" s="582"/>
      <c r="C1371" s="212"/>
      <c r="D1371" s="718" t="s">
        <v>130</v>
      </c>
      <c r="E1371" s="718"/>
      <c r="F1371" s="718"/>
      <c r="G1371" s="718"/>
      <c r="H1371" s="213">
        <f>ROUND(H1369*H1370,2)</f>
        <v>11278.49</v>
      </c>
    </row>
    <row r="1372" spans="1:8" s="201" customFormat="1">
      <c r="A1372" s="582"/>
      <c r="B1372" s="582"/>
      <c r="C1372" s="212"/>
      <c r="D1372" s="719" t="s">
        <v>15559</v>
      </c>
      <c r="E1372" s="719"/>
      <c r="F1372" s="719"/>
      <c r="G1372" s="719"/>
      <c r="H1372" s="638">
        <f>ROUND(H1369*$B$13,2)</f>
        <v>1.58</v>
      </c>
    </row>
    <row r="1373" spans="1:8">
      <c r="A1373" s="582"/>
      <c r="B1373" s="582"/>
      <c r="C1373" s="212"/>
      <c r="D1373" s="718" t="s">
        <v>9661</v>
      </c>
      <c r="E1373" s="718"/>
      <c r="F1373" s="718"/>
      <c r="G1373" s="718"/>
      <c r="H1373" s="213">
        <f>H1372+H1369</f>
        <v>7.4600000000000009</v>
      </c>
    </row>
    <row r="1375" spans="1:8" s="201" customFormat="1">
      <c r="A1375" s="123" t="s">
        <v>6</v>
      </c>
      <c r="B1375" s="720" t="s">
        <v>7</v>
      </c>
      <c r="C1375" s="720"/>
      <c r="D1375" s="202" t="s">
        <v>124</v>
      </c>
      <c r="E1375" s="167" t="s">
        <v>6334</v>
      </c>
      <c r="F1375" s="202" t="s">
        <v>31</v>
      </c>
      <c r="G1375" s="203" t="s">
        <v>125</v>
      </c>
      <c r="H1375" s="204" t="s">
        <v>126</v>
      </c>
    </row>
    <row r="1376" spans="1:8" s="208" customFormat="1" ht="30">
      <c r="A1376" s="581" t="str">
        <f>'Orç - Urbanização'!A47</f>
        <v>04.04.304.02</v>
      </c>
      <c r="B1376" s="581" t="str">
        <f>'Orç - Urbanização'!B47</f>
        <v>SINAPI</v>
      </c>
      <c r="C1376" s="581" t="str">
        <f>'Orç - Urbanização'!C47</f>
        <v>98503 MOD</v>
      </c>
      <c r="D1376" s="205" t="s">
        <v>15419</v>
      </c>
      <c r="E1376" s="206">
        <v>669.4</v>
      </c>
      <c r="F1376" s="581" t="s">
        <v>6339</v>
      </c>
      <c r="G1376" s="207">
        <f>VLOOKUP("CUSTO TOTAL UNIT.:",D1377:$H$30004,5,FALSE)</f>
        <v>5.18</v>
      </c>
      <c r="H1376" s="637">
        <f>VLOOKUP("CUSTO TOTAL:",D1377:$H$30004,5,FALSE)</f>
        <v>3467.49</v>
      </c>
    </row>
    <row r="1377" spans="1:8" s="124" customFormat="1">
      <c r="A1377" s="721">
        <v>3324</v>
      </c>
      <c r="B1377" s="721"/>
      <c r="C1377" s="200" t="s">
        <v>5256</v>
      </c>
      <c r="D1377" s="139" t="s">
        <v>12069</v>
      </c>
      <c r="E1377" s="209">
        <v>0.63719999999999999</v>
      </c>
      <c r="F1377" s="577" t="s">
        <v>46</v>
      </c>
      <c r="G1377" s="210">
        <v>3.4668000000000005</v>
      </c>
      <c r="H1377" s="211">
        <f>ROUND(G1377*E1377,2)</f>
        <v>2.21</v>
      </c>
    </row>
    <row r="1378" spans="1:8" s="400" customFormat="1">
      <c r="A1378" s="725" t="s">
        <v>9397</v>
      </c>
      <c r="B1378" s="725"/>
      <c r="C1378" s="725"/>
      <c r="D1378" s="725"/>
      <c r="E1378" s="397">
        <v>4.4600000000000001E-2</v>
      </c>
      <c r="F1378" s="580" t="s">
        <v>1261</v>
      </c>
      <c r="G1378" s="398"/>
      <c r="H1378" s="399">
        <f>ROUND(G1378*E1378,2)</f>
        <v>0</v>
      </c>
    </row>
    <row r="1379" spans="1:8" s="124" customFormat="1" ht="30">
      <c r="A1379" s="721">
        <v>88316</v>
      </c>
      <c r="B1379" s="721"/>
      <c r="C1379" s="200" t="s">
        <v>5256</v>
      </c>
      <c r="D1379" s="139" t="s">
        <v>66</v>
      </c>
      <c r="E1379" s="209">
        <v>0.1923</v>
      </c>
      <c r="F1379" s="577" t="s">
        <v>67</v>
      </c>
      <c r="G1379" s="210">
        <v>11.631600000000001</v>
      </c>
      <c r="H1379" s="211">
        <f>ROUND(G1379*E1379,2)</f>
        <v>2.2400000000000002</v>
      </c>
    </row>
    <row r="1380" spans="1:8" s="124" customFormat="1" ht="30">
      <c r="A1380" s="721">
        <v>88441</v>
      </c>
      <c r="B1380" s="721"/>
      <c r="C1380" s="200" t="s">
        <v>5256</v>
      </c>
      <c r="D1380" s="139" t="s">
        <v>5138</v>
      </c>
      <c r="E1380" s="209">
        <v>4.8099999999999997E-2</v>
      </c>
      <c r="F1380" s="577" t="s">
        <v>67</v>
      </c>
      <c r="G1380" s="210">
        <v>15.1065</v>
      </c>
      <c r="H1380" s="211">
        <f>ROUND(G1380*E1380,2)</f>
        <v>0.73</v>
      </c>
    </row>
    <row r="1381" spans="1:8" s="201" customFormat="1">
      <c r="A1381" s="582"/>
      <c r="B1381" s="582"/>
      <c r="C1381" s="212"/>
      <c r="D1381" s="719" t="s">
        <v>127</v>
      </c>
      <c r="E1381" s="719"/>
      <c r="F1381" s="719"/>
      <c r="G1381" s="719"/>
      <c r="H1381" s="638">
        <f>SUMIF(F1377:F1380,("h"),H1377:H1380)</f>
        <v>2.97</v>
      </c>
    </row>
    <row r="1382" spans="1:8" s="201" customFormat="1">
      <c r="A1382" s="582"/>
      <c r="B1382" s="582"/>
      <c r="C1382" s="212"/>
      <c r="D1382" s="719" t="s">
        <v>128</v>
      </c>
      <c r="E1382" s="719"/>
      <c r="F1382" s="719"/>
      <c r="G1382" s="719"/>
      <c r="H1382" s="638">
        <f>SUMIF(F1377:F1380,"&lt;&gt;h",H1377:H1380)</f>
        <v>2.21</v>
      </c>
    </row>
    <row r="1383" spans="1:8" s="201" customFormat="1">
      <c r="A1383" s="582"/>
      <c r="B1383" s="582"/>
      <c r="C1383" s="212"/>
      <c r="D1383" s="718" t="s">
        <v>129</v>
      </c>
      <c r="E1383" s="718"/>
      <c r="F1383" s="718"/>
      <c r="G1383" s="718"/>
      <c r="H1383" s="213">
        <f>SUM(H1381:H1382)</f>
        <v>5.18</v>
      </c>
    </row>
    <row r="1384" spans="1:8" s="201" customFormat="1">
      <c r="A1384" s="582"/>
      <c r="B1384" s="582"/>
      <c r="C1384" s="212"/>
      <c r="D1384" s="719" t="s">
        <v>28</v>
      </c>
      <c r="E1384" s="719"/>
      <c r="F1384" s="719"/>
      <c r="G1384" s="719"/>
      <c r="H1384" s="639">
        <f>E1376</f>
        <v>669.4</v>
      </c>
    </row>
    <row r="1385" spans="1:8" s="201" customFormat="1">
      <c r="A1385" s="582"/>
      <c r="B1385" s="582"/>
      <c r="C1385" s="212"/>
      <c r="D1385" s="718" t="s">
        <v>130</v>
      </c>
      <c r="E1385" s="718"/>
      <c r="F1385" s="718"/>
      <c r="G1385" s="718"/>
      <c r="H1385" s="213">
        <f>ROUND(H1383*H1384,2)</f>
        <v>3467.49</v>
      </c>
    </row>
    <row r="1386" spans="1:8" s="201" customFormat="1">
      <c r="A1386" s="582"/>
      <c r="B1386" s="582"/>
      <c r="C1386" s="212"/>
      <c r="D1386" s="719" t="s">
        <v>15559</v>
      </c>
      <c r="E1386" s="719"/>
      <c r="F1386" s="719"/>
      <c r="G1386" s="719"/>
      <c r="H1386" s="638">
        <f>ROUND(H1383*$B$13,2)</f>
        <v>1.39</v>
      </c>
    </row>
    <row r="1387" spans="1:8">
      <c r="A1387" s="582"/>
      <c r="B1387" s="582"/>
      <c r="C1387" s="212"/>
      <c r="D1387" s="718" t="s">
        <v>9661</v>
      </c>
      <c r="E1387" s="718"/>
      <c r="F1387" s="718"/>
      <c r="G1387" s="718"/>
      <c r="H1387" s="213">
        <f>H1386+H1383</f>
        <v>6.5699999999999994</v>
      </c>
    </row>
    <row r="1389" spans="1:8" s="201" customFormat="1">
      <c r="A1389" s="123" t="s">
        <v>6</v>
      </c>
      <c r="B1389" s="720" t="s">
        <v>7</v>
      </c>
      <c r="C1389" s="720"/>
      <c r="D1389" s="202" t="s">
        <v>124</v>
      </c>
      <c r="E1389" s="167" t="s">
        <v>6334</v>
      </c>
      <c r="F1389" s="202" t="s">
        <v>31</v>
      </c>
      <c r="G1389" s="203" t="s">
        <v>125</v>
      </c>
      <c r="H1389" s="204" t="s">
        <v>126</v>
      </c>
    </row>
    <row r="1390" spans="1:8" s="208" customFormat="1" ht="60">
      <c r="A1390" s="581" t="str">
        <f>'Orç - Urbanização'!A67</f>
        <v>04.06.103</v>
      </c>
      <c r="B1390" s="581" t="str">
        <f>'Orç - Urbanização'!B67</f>
        <v>Comp. Montada</v>
      </c>
      <c r="C1390" s="581">
        <f>'Orç - Urbanização'!C67</f>
        <v>11</v>
      </c>
      <c r="D1390" s="205" t="s">
        <v>9220</v>
      </c>
      <c r="E1390" s="206">
        <v>53</v>
      </c>
      <c r="F1390" s="581" t="s">
        <v>9222</v>
      </c>
      <c r="G1390" s="207">
        <f>VLOOKUP("CUSTO TOTAL UNIT.:",D1391:$H$30004,5,FALSE)</f>
        <v>362.01000000000005</v>
      </c>
      <c r="H1390" s="637">
        <f>VLOOKUP("CUSTO TOTAL:",D1391:$H$30004,5,FALSE)</f>
        <v>19186.53</v>
      </c>
    </row>
    <row r="1391" spans="1:8" s="124" customFormat="1" ht="45">
      <c r="A1391" s="721">
        <v>21016</v>
      </c>
      <c r="B1391" s="721"/>
      <c r="C1391" s="200" t="s">
        <v>5256</v>
      </c>
      <c r="D1391" s="139" t="s">
        <v>14496</v>
      </c>
      <c r="E1391" s="209">
        <v>3.5999999999999996</v>
      </c>
      <c r="F1391" s="577" t="s">
        <v>48</v>
      </c>
      <c r="G1391" s="210">
        <v>81.226800000000011</v>
      </c>
      <c r="H1391" s="211">
        <f t="shared" ref="H1391:H1396" si="46">ROUND(G1391*E1391,2)</f>
        <v>292.42</v>
      </c>
    </row>
    <row r="1392" spans="1:8" s="124" customFormat="1" ht="45">
      <c r="A1392" s="721">
        <v>95468</v>
      </c>
      <c r="B1392" s="721"/>
      <c r="C1392" s="200" t="s">
        <v>5256</v>
      </c>
      <c r="D1392" s="139" t="s">
        <v>4492</v>
      </c>
      <c r="E1392" s="209">
        <v>1.1309400000000001</v>
      </c>
      <c r="F1392" s="577" t="s">
        <v>322</v>
      </c>
      <c r="G1392" s="210">
        <v>28.892700000000005</v>
      </c>
      <c r="H1392" s="211">
        <f t="shared" si="46"/>
        <v>32.68</v>
      </c>
    </row>
    <row r="1393" spans="1:8" s="124" customFormat="1" ht="45">
      <c r="A1393" s="721">
        <v>98746</v>
      </c>
      <c r="B1393" s="721"/>
      <c r="C1393" s="200" t="s">
        <v>5256</v>
      </c>
      <c r="D1393" s="139" t="s">
        <v>7542</v>
      </c>
      <c r="E1393" s="209">
        <v>0.62830000000000008</v>
      </c>
      <c r="F1393" s="577" t="s">
        <v>139</v>
      </c>
      <c r="G1393" s="210">
        <v>34.133400000000002</v>
      </c>
      <c r="H1393" s="211">
        <f t="shared" si="46"/>
        <v>21.45</v>
      </c>
    </row>
    <row r="1394" spans="1:8" s="124" customFormat="1" ht="45">
      <c r="A1394" s="721">
        <v>94975</v>
      </c>
      <c r="B1394" s="721"/>
      <c r="C1394" s="200" t="s">
        <v>5256</v>
      </c>
      <c r="D1394" s="139" t="s">
        <v>2031</v>
      </c>
      <c r="E1394" s="209">
        <v>2.8273500000000007E-2</v>
      </c>
      <c r="F1394" s="577" t="s">
        <v>1261</v>
      </c>
      <c r="G1394" s="210">
        <v>306.81180000000001</v>
      </c>
      <c r="H1394" s="211">
        <f t="shared" si="46"/>
        <v>8.67</v>
      </c>
    </row>
    <row r="1395" spans="1:8" s="124" customFormat="1" ht="30">
      <c r="A1395" s="721">
        <v>88316</v>
      </c>
      <c r="B1395" s="721"/>
      <c r="C1395" s="200" t="s">
        <v>5256</v>
      </c>
      <c r="D1395" s="139" t="s">
        <v>66</v>
      </c>
      <c r="E1395" s="209">
        <v>0.25</v>
      </c>
      <c r="F1395" s="577" t="s">
        <v>67</v>
      </c>
      <c r="G1395" s="210">
        <v>11.631600000000001</v>
      </c>
      <c r="H1395" s="211">
        <f t="shared" si="46"/>
        <v>2.91</v>
      </c>
    </row>
    <row r="1396" spans="1:8" s="124" customFormat="1" ht="30">
      <c r="A1396" s="721">
        <v>88315</v>
      </c>
      <c r="B1396" s="721"/>
      <c r="C1396" s="200" t="s">
        <v>5256</v>
      </c>
      <c r="D1396" s="139" t="s">
        <v>112</v>
      </c>
      <c r="E1396" s="209">
        <v>0.25</v>
      </c>
      <c r="F1396" s="577" t="s">
        <v>67</v>
      </c>
      <c r="G1396" s="210">
        <v>15.519600000000001</v>
      </c>
      <c r="H1396" s="211">
        <f t="shared" si="46"/>
        <v>3.88</v>
      </c>
    </row>
    <row r="1397" spans="1:8" s="201" customFormat="1">
      <c r="A1397" s="582"/>
      <c r="B1397" s="582"/>
      <c r="C1397" s="212"/>
      <c r="D1397" s="719" t="s">
        <v>127</v>
      </c>
      <c r="E1397" s="719"/>
      <c r="F1397" s="719"/>
      <c r="G1397" s="719"/>
      <c r="H1397" s="638">
        <f>SUMIF(F1391:F1396,("h"),H1391:H1396)</f>
        <v>6.79</v>
      </c>
    </row>
    <row r="1398" spans="1:8" s="201" customFormat="1">
      <c r="A1398" s="582"/>
      <c r="B1398" s="582"/>
      <c r="C1398" s="212"/>
      <c r="D1398" s="719" t="s">
        <v>128</v>
      </c>
      <c r="E1398" s="719"/>
      <c r="F1398" s="719"/>
      <c r="G1398" s="719"/>
      <c r="H1398" s="638">
        <f>SUMIF(F1391:F1396,"&lt;&gt;h",H1391:H1396)</f>
        <v>355.22</v>
      </c>
    </row>
    <row r="1399" spans="1:8" s="201" customFormat="1">
      <c r="A1399" s="582"/>
      <c r="B1399" s="582"/>
      <c r="C1399" s="212"/>
      <c r="D1399" s="718" t="s">
        <v>129</v>
      </c>
      <c r="E1399" s="718"/>
      <c r="F1399" s="718"/>
      <c r="G1399" s="718"/>
      <c r="H1399" s="213">
        <f>SUM(H1397:H1398)</f>
        <v>362.01000000000005</v>
      </c>
    </row>
    <row r="1400" spans="1:8" s="201" customFormat="1">
      <c r="A1400" s="582"/>
      <c r="B1400" s="582"/>
      <c r="C1400" s="212"/>
      <c r="D1400" s="719" t="s">
        <v>28</v>
      </c>
      <c r="E1400" s="719"/>
      <c r="F1400" s="719"/>
      <c r="G1400" s="719"/>
      <c r="H1400" s="639">
        <f>E1390</f>
        <v>53</v>
      </c>
    </row>
    <row r="1401" spans="1:8" s="201" customFormat="1">
      <c r="A1401" s="582"/>
      <c r="B1401" s="582"/>
      <c r="C1401" s="212"/>
      <c r="D1401" s="718" t="s">
        <v>130</v>
      </c>
      <c r="E1401" s="718"/>
      <c r="F1401" s="718"/>
      <c r="G1401" s="718"/>
      <c r="H1401" s="213">
        <f>ROUND(H1399*H1400,2)</f>
        <v>19186.53</v>
      </c>
    </row>
    <row r="1402" spans="1:8" s="201" customFormat="1">
      <c r="A1402" s="582"/>
      <c r="B1402" s="582"/>
      <c r="C1402" s="212"/>
      <c r="D1402" s="719" t="s">
        <v>15559</v>
      </c>
      <c r="E1402" s="719"/>
      <c r="F1402" s="719"/>
      <c r="G1402" s="719"/>
      <c r="H1402" s="638">
        <f>ROUND(H1399*$B$13,2)</f>
        <v>97.49</v>
      </c>
    </row>
    <row r="1403" spans="1:8">
      <c r="A1403" s="582"/>
      <c r="B1403" s="582"/>
      <c r="C1403" s="212"/>
      <c r="D1403" s="718" t="s">
        <v>9661</v>
      </c>
      <c r="E1403" s="718"/>
      <c r="F1403" s="718"/>
      <c r="G1403" s="718"/>
      <c r="H1403" s="213">
        <f>H1402+H1399</f>
        <v>459.50000000000006</v>
      </c>
    </row>
    <row r="1405" spans="1:8" s="201" customFormat="1">
      <c r="A1405" s="123" t="s">
        <v>6</v>
      </c>
      <c r="B1405" s="720" t="s">
        <v>7</v>
      </c>
      <c r="C1405" s="720"/>
      <c r="D1405" s="202" t="s">
        <v>124</v>
      </c>
      <c r="E1405" s="167" t="s">
        <v>6334</v>
      </c>
      <c r="F1405" s="202" t="s">
        <v>31</v>
      </c>
      <c r="G1405" s="203" t="s">
        <v>125</v>
      </c>
      <c r="H1405" s="204" t="s">
        <v>126</v>
      </c>
    </row>
    <row r="1406" spans="1:8" s="208" customFormat="1" ht="30">
      <c r="A1406" s="581" t="str">
        <f>'Orç - Prédio'!A240</f>
        <v>05.01.203.01</v>
      </c>
      <c r="B1406" s="216" t="str">
        <f>'Orç - Prédio'!B240</f>
        <v>SINAPI</v>
      </c>
      <c r="C1406" s="216" t="str">
        <f>'Orç - Prédio'!C240</f>
        <v>90375 MOD 1</v>
      </c>
      <c r="D1406" s="217" t="s">
        <v>7031</v>
      </c>
      <c r="E1406" s="206">
        <v>3</v>
      </c>
      <c r="F1406" s="216" t="s">
        <v>6337</v>
      </c>
      <c r="G1406" s="207">
        <f>VLOOKUP("CUSTO TOTAL UNIT.:",D1407:$H$30004,5,FALSE)</f>
        <v>4.67</v>
      </c>
      <c r="H1406" s="637">
        <f>VLOOKUP("CUSTO TOTAL:",D1407:$H$30004,5,FALSE)</f>
        <v>14.01</v>
      </c>
    </row>
    <row r="1407" spans="1:8" s="124" customFormat="1" ht="30">
      <c r="A1407" s="721">
        <v>122</v>
      </c>
      <c r="B1407" s="721"/>
      <c r="C1407" s="200" t="s">
        <v>5256</v>
      </c>
      <c r="D1407" s="139" t="s">
        <v>9842</v>
      </c>
      <c r="E1407" s="209">
        <v>8.9999999999999993E-3</v>
      </c>
      <c r="F1407" s="577" t="s">
        <v>40</v>
      </c>
      <c r="G1407" s="210">
        <v>45.214200000000005</v>
      </c>
      <c r="H1407" s="211">
        <f t="shared" ref="H1407:H1412" si="47">ROUND(G1407*E1407,2)</f>
        <v>0.41</v>
      </c>
    </row>
    <row r="1408" spans="1:8" s="124" customFormat="1" ht="45">
      <c r="A1408" s="721">
        <v>829</v>
      </c>
      <c r="B1408" s="721"/>
      <c r="C1408" s="200" t="s">
        <v>5256</v>
      </c>
      <c r="D1408" s="139" t="s">
        <v>10336</v>
      </c>
      <c r="E1408" s="209">
        <v>1</v>
      </c>
      <c r="F1408" s="577" t="s">
        <v>40</v>
      </c>
      <c r="G1408" s="210">
        <v>0.50219999999999998</v>
      </c>
      <c r="H1408" s="211">
        <f t="shared" si="47"/>
        <v>0.5</v>
      </c>
    </row>
    <row r="1409" spans="1:8" s="124" customFormat="1" ht="30">
      <c r="A1409" s="721">
        <v>20083</v>
      </c>
      <c r="B1409" s="721"/>
      <c r="C1409" s="200" t="s">
        <v>5256</v>
      </c>
      <c r="D1409" s="139" t="s">
        <v>13883</v>
      </c>
      <c r="E1409" s="209">
        <v>1.0999999999999999E-2</v>
      </c>
      <c r="F1409" s="577" t="s">
        <v>40</v>
      </c>
      <c r="G1409" s="210">
        <v>39.268799999999999</v>
      </c>
      <c r="H1409" s="211">
        <f t="shared" si="47"/>
        <v>0.43</v>
      </c>
    </row>
    <row r="1410" spans="1:8" s="124" customFormat="1">
      <c r="A1410" s="721">
        <v>38383</v>
      </c>
      <c r="B1410" s="721"/>
      <c r="C1410" s="200" t="s">
        <v>5256</v>
      </c>
      <c r="D1410" s="139" t="s">
        <v>12544</v>
      </c>
      <c r="E1410" s="209">
        <v>0.06</v>
      </c>
      <c r="F1410" s="577" t="s">
        <v>40</v>
      </c>
      <c r="G1410" s="210">
        <v>1.3689</v>
      </c>
      <c r="H1410" s="211">
        <f t="shared" si="47"/>
        <v>0.08</v>
      </c>
    </row>
    <row r="1411" spans="1:8" s="124" customFormat="1" ht="45">
      <c r="A1411" s="721">
        <v>88248</v>
      </c>
      <c r="B1411" s="721"/>
      <c r="C1411" s="200" t="s">
        <v>5256</v>
      </c>
      <c r="D1411" s="139" t="s">
        <v>76</v>
      </c>
      <c r="E1411" s="209">
        <v>0.11899999999999999</v>
      </c>
      <c r="F1411" s="577" t="s">
        <v>67</v>
      </c>
      <c r="G1411" s="210">
        <v>12.028500000000001</v>
      </c>
      <c r="H1411" s="211">
        <f t="shared" si="47"/>
        <v>1.43</v>
      </c>
    </row>
    <row r="1412" spans="1:8" s="124" customFormat="1" ht="30">
      <c r="A1412" s="721">
        <v>88267</v>
      </c>
      <c r="B1412" s="721"/>
      <c r="C1412" s="200" t="s">
        <v>5256</v>
      </c>
      <c r="D1412" s="139" t="s">
        <v>86</v>
      </c>
      <c r="E1412" s="209">
        <v>0.11899999999999999</v>
      </c>
      <c r="F1412" s="577" t="s">
        <v>67</v>
      </c>
      <c r="G1412" s="210">
        <v>15.2766</v>
      </c>
      <c r="H1412" s="211">
        <f t="shared" si="47"/>
        <v>1.82</v>
      </c>
    </row>
    <row r="1413" spans="1:8" s="201" customFormat="1">
      <c r="A1413" s="582"/>
      <c r="B1413" s="582"/>
      <c r="C1413" s="212"/>
      <c r="D1413" s="719" t="s">
        <v>127</v>
      </c>
      <c r="E1413" s="719"/>
      <c r="F1413" s="719"/>
      <c r="G1413" s="719"/>
      <c r="H1413" s="638">
        <f>SUMIF(F1407:F1412,("h"),H1407:H1412)</f>
        <v>3.25</v>
      </c>
    </row>
    <row r="1414" spans="1:8" s="201" customFormat="1">
      <c r="A1414" s="582"/>
      <c r="B1414" s="582"/>
      <c r="C1414" s="212"/>
      <c r="D1414" s="719" t="s">
        <v>128</v>
      </c>
      <c r="E1414" s="719"/>
      <c r="F1414" s="719"/>
      <c r="G1414" s="719"/>
      <c r="H1414" s="638">
        <f>SUMIF(F1407:F1412,"&lt;&gt;h",H1407:H1412)</f>
        <v>1.42</v>
      </c>
    </row>
    <row r="1415" spans="1:8" s="201" customFormat="1">
      <c r="A1415" s="582"/>
      <c r="B1415" s="582"/>
      <c r="C1415" s="212"/>
      <c r="D1415" s="718" t="s">
        <v>129</v>
      </c>
      <c r="E1415" s="718"/>
      <c r="F1415" s="718"/>
      <c r="G1415" s="718"/>
      <c r="H1415" s="213">
        <f>SUM(H1413:H1414)</f>
        <v>4.67</v>
      </c>
    </row>
    <row r="1416" spans="1:8" s="201" customFormat="1">
      <c r="A1416" s="582"/>
      <c r="B1416" s="582"/>
      <c r="C1416" s="212"/>
      <c r="D1416" s="719" t="s">
        <v>28</v>
      </c>
      <c r="E1416" s="719"/>
      <c r="F1416" s="719"/>
      <c r="G1416" s="719"/>
      <c r="H1416" s="639">
        <f>E1406</f>
        <v>3</v>
      </c>
    </row>
    <row r="1417" spans="1:8" s="201" customFormat="1">
      <c r="A1417" s="582"/>
      <c r="B1417" s="582"/>
      <c r="C1417" s="212"/>
      <c r="D1417" s="718" t="s">
        <v>130</v>
      </c>
      <c r="E1417" s="718"/>
      <c r="F1417" s="718"/>
      <c r="G1417" s="718"/>
      <c r="H1417" s="213">
        <f>ROUND(H1415*H1416,2)</f>
        <v>14.01</v>
      </c>
    </row>
    <row r="1418" spans="1:8" s="201" customFormat="1">
      <c r="A1418" s="582"/>
      <c r="B1418" s="582"/>
      <c r="C1418" s="212"/>
      <c r="D1418" s="719" t="s">
        <v>15559</v>
      </c>
      <c r="E1418" s="719"/>
      <c r="F1418" s="719"/>
      <c r="G1418" s="719"/>
      <c r="H1418" s="638">
        <f>ROUND(H1415*$B$13,2)</f>
        <v>1.26</v>
      </c>
    </row>
    <row r="1419" spans="1:8">
      <c r="A1419" s="582"/>
      <c r="B1419" s="582"/>
      <c r="C1419" s="212"/>
      <c r="D1419" s="718" t="s">
        <v>9661</v>
      </c>
      <c r="E1419" s="718"/>
      <c r="F1419" s="718"/>
      <c r="G1419" s="718"/>
      <c r="H1419" s="213">
        <f>H1418+H1415</f>
        <v>5.93</v>
      </c>
    </row>
    <row r="1421" spans="1:8" s="201" customFormat="1">
      <c r="A1421" s="123" t="s">
        <v>6</v>
      </c>
      <c r="B1421" s="720" t="s">
        <v>7</v>
      </c>
      <c r="C1421" s="720"/>
      <c r="D1421" s="202" t="s">
        <v>124</v>
      </c>
      <c r="E1421" s="167" t="s">
        <v>6334</v>
      </c>
      <c r="F1421" s="202" t="s">
        <v>31</v>
      </c>
      <c r="G1421" s="203" t="s">
        <v>125</v>
      </c>
      <c r="H1421" s="204" t="s">
        <v>126</v>
      </c>
    </row>
    <row r="1422" spans="1:8" s="208" customFormat="1" ht="30">
      <c r="A1422" s="581" t="str">
        <f>'Orç - Prédio'!A242</f>
        <v>05.01.203.03</v>
      </c>
      <c r="B1422" s="216" t="str">
        <f>'Orç - Prédio'!B242</f>
        <v>SINAPI</v>
      </c>
      <c r="C1422" s="216" t="str">
        <f>'Orç - Prédio'!C242</f>
        <v>90375 MOD 2</v>
      </c>
      <c r="D1422" s="217" t="s">
        <v>7033</v>
      </c>
      <c r="E1422" s="206">
        <v>2</v>
      </c>
      <c r="F1422" s="216" t="s">
        <v>6337</v>
      </c>
      <c r="G1422" s="207">
        <f>VLOOKUP("CUSTO TOTAL UNIT.:",D1423:$H$30004,5,FALSE)</f>
        <v>5.98</v>
      </c>
      <c r="H1422" s="637">
        <f>VLOOKUP("CUSTO TOTAL:",D1423:$H$30004,5,FALSE)</f>
        <v>11.96</v>
      </c>
    </row>
    <row r="1423" spans="1:8" s="124" customFormat="1" ht="30">
      <c r="A1423" s="721">
        <v>122</v>
      </c>
      <c r="B1423" s="721"/>
      <c r="C1423" s="200" t="s">
        <v>5256</v>
      </c>
      <c r="D1423" s="139" t="s">
        <v>9842</v>
      </c>
      <c r="E1423" s="209">
        <v>8.9999999999999993E-3</v>
      </c>
      <c r="F1423" s="577" t="s">
        <v>40</v>
      </c>
      <c r="G1423" s="210">
        <v>45.214200000000005</v>
      </c>
      <c r="H1423" s="211">
        <f t="shared" ref="H1423:H1428" si="48">ROUND(G1423*E1423,2)</f>
        <v>0.41</v>
      </c>
    </row>
    <row r="1424" spans="1:8" s="124" customFormat="1" ht="45">
      <c r="A1424" s="721">
        <v>819</v>
      </c>
      <c r="B1424" s="721"/>
      <c r="C1424" s="200" t="s">
        <v>5256</v>
      </c>
      <c r="D1424" s="139" t="s">
        <v>10338</v>
      </c>
      <c r="E1424" s="209">
        <v>1</v>
      </c>
      <c r="F1424" s="577" t="s">
        <v>40</v>
      </c>
      <c r="G1424" s="210">
        <v>1.8144000000000002</v>
      </c>
      <c r="H1424" s="211">
        <f t="shared" si="48"/>
        <v>1.81</v>
      </c>
    </row>
    <row r="1425" spans="1:8" s="124" customFormat="1" ht="30">
      <c r="A1425" s="721">
        <v>20083</v>
      </c>
      <c r="B1425" s="721"/>
      <c r="C1425" s="200" t="s">
        <v>5256</v>
      </c>
      <c r="D1425" s="139" t="s">
        <v>13883</v>
      </c>
      <c r="E1425" s="209">
        <v>1.0999999999999999E-2</v>
      </c>
      <c r="F1425" s="577" t="s">
        <v>40</v>
      </c>
      <c r="G1425" s="210">
        <v>39.268799999999999</v>
      </c>
      <c r="H1425" s="211">
        <f t="shared" si="48"/>
        <v>0.43</v>
      </c>
    </row>
    <row r="1426" spans="1:8" s="124" customFormat="1">
      <c r="A1426" s="721">
        <v>38383</v>
      </c>
      <c r="B1426" s="721"/>
      <c r="C1426" s="200" t="s">
        <v>5256</v>
      </c>
      <c r="D1426" s="139" t="s">
        <v>12544</v>
      </c>
      <c r="E1426" s="209">
        <v>0.06</v>
      </c>
      <c r="F1426" s="577" t="s">
        <v>40</v>
      </c>
      <c r="G1426" s="210">
        <v>1.3689</v>
      </c>
      <c r="H1426" s="211">
        <f t="shared" si="48"/>
        <v>0.08</v>
      </c>
    </row>
    <row r="1427" spans="1:8" s="124" customFormat="1" ht="45">
      <c r="A1427" s="721">
        <v>88248</v>
      </c>
      <c r="B1427" s="721"/>
      <c r="C1427" s="200" t="s">
        <v>5256</v>
      </c>
      <c r="D1427" s="139" t="s">
        <v>76</v>
      </c>
      <c r="E1427" s="209">
        <v>0.11899999999999999</v>
      </c>
      <c r="F1427" s="577" t="s">
        <v>67</v>
      </c>
      <c r="G1427" s="210">
        <v>12.028500000000001</v>
      </c>
      <c r="H1427" s="211">
        <f t="shared" si="48"/>
        <v>1.43</v>
      </c>
    </row>
    <row r="1428" spans="1:8" s="124" customFormat="1" ht="30">
      <c r="A1428" s="721">
        <v>88267</v>
      </c>
      <c r="B1428" s="721"/>
      <c r="C1428" s="200" t="s">
        <v>5256</v>
      </c>
      <c r="D1428" s="139" t="s">
        <v>86</v>
      </c>
      <c r="E1428" s="209">
        <v>0.11899999999999999</v>
      </c>
      <c r="F1428" s="577" t="s">
        <v>67</v>
      </c>
      <c r="G1428" s="210">
        <v>15.2766</v>
      </c>
      <c r="H1428" s="211">
        <f t="shared" si="48"/>
        <v>1.82</v>
      </c>
    </row>
    <row r="1429" spans="1:8" s="201" customFormat="1">
      <c r="A1429" s="582"/>
      <c r="B1429" s="582"/>
      <c r="C1429" s="212"/>
      <c r="D1429" s="719" t="s">
        <v>127</v>
      </c>
      <c r="E1429" s="719"/>
      <c r="F1429" s="719"/>
      <c r="G1429" s="719"/>
      <c r="H1429" s="638">
        <f>SUMIF(F1423:F1428,("h"),H1423:H1428)</f>
        <v>3.25</v>
      </c>
    </row>
    <row r="1430" spans="1:8" s="201" customFormat="1">
      <c r="A1430" s="582"/>
      <c r="B1430" s="582"/>
      <c r="C1430" s="212"/>
      <c r="D1430" s="719" t="s">
        <v>128</v>
      </c>
      <c r="E1430" s="719"/>
      <c r="F1430" s="719"/>
      <c r="G1430" s="719"/>
      <c r="H1430" s="638">
        <f>SUMIF(F1423:F1428,"&lt;&gt;h",H1423:H1428)</f>
        <v>2.7300000000000004</v>
      </c>
    </row>
    <row r="1431" spans="1:8" s="201" customFormat="1">
      <c r="A1431" s="582"/>
      <c r="B1431" s="582"/>
      <c r="C1431" s="212"/>
      <c r="D1431" s="718" t="s">
        <v>129</v>
      </c>
      <c r="E1431" s="718"/>
      <c r="F1431" s="718"/>
      <c r="G1431" s="718"/>
      <c r="H1431" s="213">
        <f>SUM(H1429:H1430)</f>
        <v>5.98</v>
      </c>
    </row>
    <row r="1432" spans="1:8" s="201" customFormat="1">
      <c r="A1432" s="582"/>
      <c r="B1432" s="582"/>
      <c r="C1432" s="212"/>
      <c r="D1432" s="719" t="s">
        <v>28</v>
      </c>
      <c r="E1432" s="719"/>
      <c r="F1432" s="719"/>
      <c r="G1432" s="719"/>
      <c r="H1432" s="639">
        <f>E1422</f>
        <v>2</v>
      </c>
    </row>
    <row r="1433" spans="1:8" s="201" customFormat="1">
      <c r="A1433" s="582"/>
      <c r="B1433" s="582"/>
      <c r="C1433" s="212"/>
      <c r="D1433" s="718" t="s">
        <v>130</v>
      </c>
      <c r="E1433" s="718"/>
      <c r="F1433" s="718"/>
      <c r="G1433" s="718"/>
      <c r="H1433" s="213">
        <f>ROUND(H1431*H1432,2)</f>
        <v>11.96</v>
      </c>
    </row>
    <row r="1434" spans="1:8" s="201" customFormat="1">
      <c r="A1434" s="582"/>
      <c r="B1434" s="582"/>
      <c r="C1434" s="212"/>
      <c r="D1434" s="719" t="s">
        <v>15559</v>
      </c>
      <c r="E1434" s="719"/>
      <c r="F1434" s="719"/>
      <c r="G1434" s="719"/>
      <c r="H1434" s="638">
        <f>ROUND(H1431*$B$13,2)</f>
        <v>1.61</v>
      </c>
    </row>
    <row r="1435" spans="1:8">
      <c r="A1435" s="582"/>
      <c r="B1435" s="582"/>
      <c r="C1435" s="212"/>
      <c r="D1435" s="718" t="s">
        <v>9661</v>
      </c>
      <c r="E1435" s="718"/>
      <c r="F1435" s="718"/>
      <c r="G1435" s="718"/>
      <c r="H1435" s="213">
        <f>H1434+H1431</f>
        <v>7.5900000000000007</v>
      </c>
    </row>
    <row r="1437" spans="1:8" s="201" customFormat="1">
      <c r="A1437" s="123" t="s">
        <v>6</v>
      </c>
      <c r="B1437" s="720" t="s">
        <v>7</v>
      </c>
      <c r="C1437" s="720"/>
      <c r="D1437" s="202" t="s">
        <v>124</v>
      </c>
      <c r="E1437" s="167" t="s">
        <v>6334</v>
      </c>
      <c r="F1437" s="202" t="s">
        <v>31</v>
      </c>
      <c r="G1437" s="203" t="s">
        <v>125</v>
      </c>
      <c r="H1437" s="204" t="s">
        <v>126</v>
      </c>
    </row>
    <row r="1438" spans="1:8" s="208" customFormat="1" ht="30">
      <c r="A1438" s="581" t="str">
        <f>'Orç - Prédio'!A243</f>
        <v>05.01.203.04</v>
      </c>
      <c r="B1438" s="216" t="str">
        <f>'Orç - Prédio'!B243</f>
        <v>SINAPI</v>
      </c>
      <c r="C1438" s="216" t="str">
        <f>'Orç - Prédio'!C243</f>
        <v>90375 MOD 3</v>
      </c>
      <c r="D1438" s="217" t="s">
        <v>7034</v>
      </c>
      <c r="E1438" s="206">
        <v>20</v>
      </c>
      <c r="F1438" s="216" t="s">
        <v>6337</v>
      </c>
      <c r="G1438" s="207">
        <f>VLOOKUP("CUSTO TOTAL UNIT.:",D1439:$H$30004,5,FALSE)</f>
        <v>7.2200000000000006</v>
      </c>
      <c r="H1438" s="637">
        <f>VLOOKUP("CUSTO TOTAL:",D1439:$H$30004,5,FALSE)</f>
        <v>144.4</v>
      </c>
    </row>
    <row r="1439" spans="1:8" s="124" customFormat="1" ht="30">
      <c r="A1439" s="721">
        <v>122</v>
      </c>
      <c r="B1439" s="721"/>
      <c r="C1439" s="200" t="s">
        <v>5256</v>
      </c>
      <c r="D1439" s="139" t="s">
        <v>9842</v>
      </c>
      <c r="E1439" s="209">
        <v>8.9999999999999993E-3</v>
      </c>
      <c r="F1439" s="577" t="s">
        <v>40</v>
      </c>
      <c r="G1439" s="210">
        <v>45.214200000000005</v>
      </c>
      <c r="H1439" s="211">
        <f t="shared" ref="H1439:H1444" si="49">ROUND(G1439*E1439,2)</f>
        <v>0.41</v>
      </c>
    </row>
    <row r="1440" spans="1:8" s="124" customFormat="1" ht="45">
      <c r="A1440" s="721">
        <v>818</v>
      </c>
      <c r="B1440" s="721"/>
      <c r="C1440" s="200" t="s">
        <v>5256</v>
      </c>
      <c r="D1440" s="139" t="s">
        <v>10339</v>
      </c>
      <c r="E1440" s="209">
        <v>1</v>
      </c>
      <c r="F1440" s="577" t="s">
        <v>40</v>
      </c>
      <c r="G1440" s="210">
        <v>3.0455999999999999</v>
      </c>
      <c r="H1440" s="211">
        <f t="shared" si="49"/>
        <v>3.05</v>
      </c>
    </row>
    <row r="1441" spans="1:8" s="124" customFormat="1" ht="30">
      <c r="A1441" s="721">
        <v>20083</v>
      </c>
      <c r="B1441" s="721"/>
      <c r="C1441" s="200" t="s">
        <v>5256</v>
      </c>
      <c r="D1441" s="139" t="s">
        <v>13883</v>
      </c>
      <c r="E1441" s="209">
        <v>1.0999999999999999E-2</v>
      </c>
      <c r="F1441" s="577" t="s">
        <v>40</v>
      </c>
      <c r="G1441" s="210">
        <v>39.268799999999999</v>
      </c>
      <c r="H1441" s="211">
        <f t="shared" si="49"/>
        <v>0.43</v>
      </c>
    </row>
    <row r="1442" spans="1:8" s="124" customFormat="1">
      <c r="A1442" s="721">
        <v>38383</v>
      </c>
      <c r="B1442" s="721"/>
      <c r="C1442" s="200" t="s">
        <v>5256</v>
      </c>
      <c r="D1442" s="139" t="s">
        <v>12544</v>
      </c>
      <c r="E1442" s="209">
        <v>0.06</v>
      </c>
      <c r="F1442" s="577" t="s">
        <v>40</v>
      </c>
      <c r="G1442" s="210">
        <v>1.3689</v>
      </c>
      <c r="H1442" s="211">
        <f t="shared" si="49"/>
        <v>0.08</v>
      </c>
    </row>
    <row r="1443" spans="1:8" s="124" customFormat="1" ht="45">
      <c r="A1443" s="721">
        <v>88248</v>
      </c>
      <c r="B1443" s="721"/>
      <c r="C1443" s="200" t="s">
        <v>5256</v>
      </c>
      <c r="D1443" s="139" t="s">
        <v>76</v>
      </c>
      <c r="E1443" s="209">
        <v>0.11899999999999999</v>
      </c>
      <c r="F1443" s="577" t="s">
        <v>67</v>
      </c>
      <c r="G1443" s="210">
        <v>12.028500000000001</v>
      </c>
      <c r="H1443" s="211">
        <f t="shared" si="49"/>
        <v>1.43</v>
      </c>
    </row>
    <row r="1444" spans="1:8" s="124" customFormat="1" ht="30">
      <c r="A1444" s="721">
        <v>88267</v>
      </c>
      <c r="B1444" s="721"/>
      <c r="C1444" s="200" t="s">
        <v>5256</v>
      </c>
      <c r="D1444" s="139" t="s">
        <v>86</v>
      </c>
      <c r="E1444" s="209">
        <v>0.11899999999999999</v>
      </c>
      <c r="F1444" s="577" t="s">
        <v>67</v>
      </c>
      <c r="G1444" s="210">
        <v>15.2766</v>
      </c>
      <c r="H1444" s="211">
        <f t="shared" si="49"/>
        <v>1.82</v>
      </c>
    </row>
    <row r="1445" spans="1:8" s="201" customFormat="1">
      <c r="A1445" s="582"/>
      <c r="B1445" s="582"/>
      <c r="C1445" s="212"/>
      <c r="D1445" s="719" t="s">
        <v>127</v>
      </c>
      <c r="E1445" s="719"/>
      <c r="F1445" s="719"/>
      <c r="G1445" s="719"/>
      <c r="H1445" s="638">
        <f>SUMIF(F1439:F1444,("h"),H1439:H1444)</f>
        <v>3.25</v>
      </c>
    </row>
    <row r="1446" spans="1:8" s="201" customFormat="1">
      <c r="A1446" s="582"/>
      <c r="B1446" s="582"/>
      <c r="C1446" s="212"/>
      <c r="D1446" s="719" t="s">
        <v>128</v>
      </c>
      <c r="E1446" s="719"/>
      <c r="F1446" s="719"/>
      <c r="G1446" s="719"/>
      <c r="H1446" s="638">
        <f>SUMIF(F1439:F1444,"&lt;&gt;h",H1439:H1444)</f>
        <v>3.97</v>
      </c>
    </row>
    <row r="1447" spans="1:8" s="201" customFormat="1">
      <c r="A1447" s="582"/>
      <c r="B1447" s="582"/>
      <c r="C1447" s="212"/>
      <c r="D1447" s="718" t="s">
        <v>129</v>
      </c>
      <c r="E1447" s="718"/>
      <c r="F1447" s="718"/>
      <c r="G1447" s="718"/>
      <c r="H1447" s="213">
        <f>SUM(H1445:H1446)</f>
        <v>7.2200000000000006</v>
      </c>
    </row>
    <row r="1448" spans="1:8" s="201" customFormat="1">
      <c r="A1448" s="582"/>
      <c r="B1448" s="582"/>
      <c r="C1448" s="212"/>
      <c r="D1448" s="719" t="s">
        <v>28</v>
      </c>
      <c r="E1448" s="719"/>
      <c r="F1448" s="719"/>
      <c r="G1448" s="719"/>
      <c r="H1448" s="639">
        <f>E1438</f>
        <v>20</v>
      </c>
    </row>
    <row r="1449" spans="1:8" s="201" customFormat="1">
      <c r="A1449" s="582"/>
      <c r="B1449" s="582"/>
      <c r="C1449" s="212"/>
      <c r="D1449" s="718" t="s">
        <v>130</v>
      </c>
      <c r="E1449" s="718"/>
      <c r="F1449" s="718"/>
      <c r="G1449" s="718"/>
      <c r="H1449" s="213">
        <f>ROUND(H1447*H1448,2)</f>
        <v>144.4</v>
      </c>
    </row>
    <row r="1450" spans="1:8" s="201" customFormat="1">
      <c r="A1450" s="582"/>
      <c r="B1450" s="582"/>
      <c r="C1450" s="212"/>
      <c r="D1450" s="719" t="s">
        <v>15559</v>
      </c>
      <c r="E1450" s="719"/>
      <c r="F1450" s="719"/>
      <c r="G1450" s="719"/>
      <c r="H1450" s="638">
        <f>ROUND(H1447*$B$13,2)</f>
        <v>1.94</v>
      </c>
    </row>
    <row r="1451" spans="1:8">
      <c r="A1451" s="582"/>
      <c r="B1451" s="582"/>
      <c r="C1451" s="212"/>
      <c r="D1451" s="718" t="s">
        <v>9661</v>
      </c>
      <c r="E1451" s="718"/>
      <c r="F1451" s="718"/>
      <c r="G1451" s="718"/>
      <c r="H1451" s="213">
        <f>H1450+H1447</f>
        <v>9.16</v>
      </c>
    </row>
    <row r="1453" spans="1:8" s="201" customFormat="1">
      <c r="A1453" s="123" t="s">
        <v>6</v>
      </c>
      <c r="B1453" s="720" t="s">
        <v>7</v>
      </c>
      <c r="C1453" s="720"/>
      <c r="D1453" s="202" t="s">
        <v>124</v>
      </c>
      <c r="E1453" s="167" t="s">
        <v>6334</v>
      </c>
      <c r="F1453" s="202" t="s">
        <v>31</v>
      </c>
      <c r="G1453" s="203" t="s">
        <v>125</v>
      </c>
      <c r="H1453" s="204" t="s">
        <v>126</v>
      </c>
    </row>
    <row r="1454" spans="1:8" s="208" customFormat="1" ht="30">
      <c r="A1454" s="581" t="str">
        <f>'Orç - Prédio'!A244</f>
        <v>05.01.203.05</v>
      </c>
      <c r="B1454" s="216" t="str">
        <f>'Orç - Prédio'!B244</f>
        <v>SINAPI</v>
      </c>
      <c r="C1454" s="216" t="str">
        <f>'Orç - Prédio'!C244</f>
        <v>90375 MOD 4</v>
      </c>
      <c r="D1454" s="217" t="s">
        <v>7035</v>
      </c>
      <c r="E1454" s="206">
        <v>2</v>
      </c>
      <c r="F1454" s="216" t="s">
        <v>6337</v>
      </c>
      <c r="G1454" s="207">
        <f>VLOOKUP("CUSTO TOTAL UNIT.:",D1455:$H$30004,5,FALSE)</f>
        <v>13.36</v>
      </c>
      <c r="H1454" s="637">
        <f>VLOOKUP("CUSTO TOTAL:",D1455:$H$30004,5,FALSE)</f>
        <v>26.72</v>
      </c>
    </row>
    <row r="1455" spans="1:8" s="124" customFormat="1" ht="30">
      <c r="A1455" s="721">
        <v>122</v>
      </c>
      <c r="B1455" s="721"/>
      <c r="C1455" s="200" t="s">
        <v>5256</v>
      </c>
      <c r="D1455" s="139" t="s">
        <v>9842</v>
      </c>
      <c r="E1455" s="209">
        <v>8.9999999999999993E-3</v>
      </c>
      <c r="F1455" s="577" t="s">
        <v>40</v>
      </c>
      <c r="G1455" s="210">
        <v>45.214200000000005</v>
      </c>
      <c r="H1455" s="211">
        <f t="shared" ref="H1455:H1460" si="50">ROUND(G1455*E1455,2)</f>
        <v>0.41</v>
      </c>
    </row>
    <row r="1456" spans="1:8" s="124" customFormat="1" ht="45">
      <c r="A1456" s="721">
        <v>823</v>
      </c>
      <c r="B1456" s="721"/>
      <c r="C1456" s="200" t="s">
        <v>5256</v>
      </c>
      <c r="D1456" s="139" t="s">
        <v>10340</v>
      </c>
      <c r="E1456" s="209">
        <v>1</v>
      </c>
      <c r="F1456" s="577" t="s">
        <v>40</v>
      </c>
      <c r="G1456" s="210">
        <v>9.1854000000000013</v>
      </c>
      <c r="H1456" s="211">
        <f t="shared" si="50"/>
        <v>9.19</v>
      </c>
    </row>
    <row r="1457" spans="1:8" s="124" customFormat="1" ht="30">
      <c r="A1457" s="721">
        <v>20083</v>
      </c>
      <c r="B1457" s="721"/>
      <c r="C1457" s="200" t="s">
        <v>5256</v>
      </c>
      <c r="D1457" s="139" t="s">
        <v>13883</v>
      </c>
      <c r="E1457" s="209">
        <v>1.0999999999999999E-2</v>
      </c>
      <c r="F1457" s="577" t="s">
        <v>40</v>
      </c>
      <c r="G1457" s="210">
        <v>39.268799999999999</v>
      </c>
      <c r="H1457" s="211">
        <f t="shared" si="50"/>
        <v>0.43</v>
      </c>
    </row>
    <row r="1458" spans="1:8" s="124" customFormat="1">
      <c r="A1458" s="721">
        <v>38383</v>
      </c>
      <c r="B1458" s="721"/>
      <c r="C1458" s="200" t="s">
        <v>5256</v>
      </c>
      <c r="D1458" s="139" t="s">
        <v>12544</v>
      </c>
      <c r="E1458" s="209">
        <v>0.06</v>
      </c>
      <c r="F1458" s="577" t="s">
        <v>40</v>
      </c>
      <c r="G1458" s="210">
        <v>1.3689</v>
      </c>
      <c r="H1458" s="211">
        <f t="shared" si="50"/>
        <v>0.08</v>
      </c>
    </row>
    <row r="1459" spans="1:8" s="124" customFormat="1" ht="45">
      <c r="A1459" s="721">
        <v>88248</v>
      </c>
      <c r="B1459" s="721"/>
      <c r="C1459" s="200" t="s">
        <v>5256</v>
      </c>
      <c r="D1459" s="139" t="s">
        <v>76</v>
      </c>
      <c r="E1459" s="209">
        <v>0.11899999999999999</v>
      </c>
      <c r="F1459" s="577" t="s">
        <v>67</v>
      </c>
      <c r="G1459" s="210">
        <v>12.028500000000001</v>
      </c>
      <c r="H1459" s="211">
        <f t="shared" si="50"/>
        <v>1.43</v>
      </c>
    </row>
    <row r="1460" spans="1:8" s="124" customFormat="1" ht="30">
      <c r="A1460" s="721">
        <v>88267</v>
      </c>
      <c r="B1460" s="721"/>
      <c r="C1460" s="200" t="s">
        <v>5256</v>
      </c>
      <c r="D1460" s="139" t="s">
        <v>86</v>
      </c>
      <c r="E1460" s="209">
        <v>0.11899999999999999</v>
      </c>
      <c r="F1460" s="577" t="s">
        <v>67</v>
      </c>
      <c r="G1460" s="210">
        <v>15.2766</v>
      </c>
      <c r="H1460" s="211">
        <f t="shared" si="50"/>
        <v>1.82</v>
      </c>
    </row>
    <row r="1461" spans="1:8" s="201" customFormat="1">
      <c r="A1461" s="582"/>
      <c r="B1461" s="582"/>
      <c r="C1461" s="212"/>
      <c r="D1461" s="719" t="s">
        <v>127</v>
      </c>
      <c r="E1461" s="719"/>
      <c r="F1461" s="719"/>
      <c r="G1461" s="719"/>
      <c r="H1461" s="638">
        <f>SUMIF(F1455:F1460,("h"),H1455:H1460)</f>
        <v>3.25</v>
      </c>
    </row>
    <row r="1462" spans="1:8" s="201" customFormat="1">
      <c r="A1462" s="582"/>
      <c r="B1462" s="582"/>
      <c r="C1462" s="212"/>
      <c r="D1462" s="719" t="s">
        <v>128</v>
      </c>
      <c r="E1462" s="719"/>
      <c r="F1462" s="719"/>
      <c r="G1462" s="719"/>
      <c r="H1462" s="638">
        <f>SUMIF(F1455:F1460,"&lt;&gt;h",H1455:H1460)</f>
        <v>10.11</v>
      </c>
    </row>
    <row r="1463" spans="1:8" s="201" customFormat="1">
      <c r="A1463" s="582"/>
      <c r="B1463" s="582"/>
      <c r="C1463" s="212"/>
      <c r="D1463" s="718" t="s">
        <v>129</v>
      </c>
      <c r="E1463" s="718"/>
      <c r="F1463" s="718"/>
      <c r="G1463" s="718"/>
      <c r="H1463" s="213">
        <f>SUM(H1461:H1462)</f>
        <v>13.36</v>
      </c>
    </row>
    <row r="1464" spans="1:8" s="201" customFormat="1">
      <c r="A1464" s="582"/>
      <c r="B1464" s="582"/>
      <c r="C1464" s="212"/>
      <c r="D1464" s="719" t="s">
        <v>28</v>
      </c>
      <c r="E1464" s="719"/>
      <c r="F1464" s="719"/>
      <c r="G1464" s="719"/>
      <c r="H1464" s="639">
        <f>E1454</f>
        <v>2</v>
      </c>
    </row>
    <row r="1465" spans="1:8" s="201" customFormat="1">
      <c r="A1465" s="582"/>
      <c r="B1465" s="582"/>
      <c r="C1465" s="212"/>
      <c r="D1465" s="718" t="s">
        <v>130</v>
      </c>
      <c r="E1465" s="718"/>
      <c r="F1465" s="718"/>
      <c r="G1465" s="718"/>
      <c r="H1465" s="213">
        <f>ROUND(H1463*H1464,2)</f>
        <v>26.72</v>
      </c>
    </row>
    <row r="1466" spans="1:8" s="201" customFormat="1">
      <c r="A1466" s="582"/>
      <c r="B1466" s="582"/>
      <c r="C1466" s="212"/>
      <c r="D1466" s="719" t="s">
        <v>15559</v>
      </c>
      <c r="E1466" s="719"/>
      <c r="F1466" s="719"/>
      <c r="G1466" s="719"/>
      <c r="H1466" s="638">
        <f>ROUND(H1463*$B$13,2)</f>
        <v>3.6</v>
      </c>
    </row>
    <row r="1467" spans="1:8">
      <c r="A1467" s="582"/>
      <c r="B1467" s="582"/>
      <c r="C1467" s="212"/>
      <c r="D1467" s="718" t="s">
        <v>9661</v>
      </c>
      <c r="E1467" s="718"/>
      <c r="F1467" s="718"/>
      <c r="G1467" s="718"/>
      <c r="H1467" s="213">
        <f>H1466+H1463</f>
        <v>16.96</v>
      </c>
    </row>
    <row r="1469" spans="1:8" s="201" customFormat="1">
      <c r="A1469" s="123" t="s">
        <v>6</v>
      </c>
      <c r="B1469" s="720" t="s">
        <v>7</v>
      </c>
      <c r="C1469" s="720"/>
      <c r="D1469" s="202" t="s">
        <v>124</v>
      </c>
      <c r="E1469" s="167" t="s">
        <v>6334</v>
      </c>
      <c r="F1469" s="202" t="s">
        <v>31</v>
      </c>
      <c r="G1469" s="203" t="s">
        <v>125</v>
      </c>
      <c r="H1469" s="204" t="s">
        <v>126</v>
      </c>
    </row>
    <row r="1470" spans="1:8" s="208" customFormat="1" ht="30">
      <c r="A1470" s="581" t="str">
        <f>'Orç - Prédio'!A245</f>
        <v>05.01.203.06</v>
      </c>
      <c r="B1470" s="216" t="str">
        <f>'Orç - Prédio'!B245</f>
        <v>SINAPI</v>
      </c>
      <c r="C1470" s="216" t="str">
        <f>'Orç - Prédio'!C245</f>
        <v>90375 MOD 5</v>
      </c>
      <c r="D1470" s="217" t="s">
        <v>7036</v>
      </c>
      <c r="E1470" s="206">
        <v>2</v>
      </c>
      <c r="F1470" s="216" t="s">
        <v>6337</v>
      </c>
      <c r="G1470" s="207">
        <f>VLOOKUP("CUSTO TOTAL UNIT.:",D1471:$H$30004,5,FALSE)</f>
        <v>6.3100000000000005</v>
      </c>
      <c r="H1470" s="637">
        <f>VLOOKUP("CUSTO TOTAL:",D1471:$H$30004,5,FALSE)</f>
        <v>12.62</v>
      </c>
    </row>
    <row r="1471" spans="1:8" s="124" customFormat="1" ht="30">
      <c r="A1471" s="721">
        <v>122</v>
      </c>
      <c r="B1471" s="721"/>
      <c r="C1471" s="200" t="s">
        <v>5256</v>
      </c>
      <c r="D1471" s="139" t="s">
        <v>9842</v>
      </c>
      <c r="E1471" s="209">
        <v>8.9999999999999993E-3</v>
      </c>
      <c r="F1471" s="577" t="s">
        <v>40</v>
      </c>
      <c r="G1471" s="210">
        <v>45.214200000000005</v>
      </c>
      <c r="H1471" s="211">
        <f t="shared" ref="H1471:H1476" si="51">ROUND(G1471*E1471,2)</f>
        <v>0.41</v>
      </c>
    </row>
    <row r="1472" spans="1:8" s="124" customFormat="1" ht="45">
      <c r="A1472" s="721">
        <v>834</v>
      </c>
      <c r="B1472" s="721"/>
      <c r="C1472" s="200" t="s">
        <v>5256</v>
      </c>
      <c r="D1472" s="139" t="s">
        <v>10346</v>
      </c>
      <c r="E1472" s="209">
        <v>1</v>
      </c>
      <c r="F1472" s="577" t="s">
        <v>40</v>
      </c>
      <c r="G1472" s="210">
        <v>2.1384000000000003</v>
      </c>
      <c r="H1472" s="211">
        <f t="shared" si="51"/>
        <v>2.14</v>
      </c>
    </row>
    <row r="1473" spans="1:8" s="124" customFormat="1" ht="30">
      <c r="A1473" s="721">
        <v>20083</v>
      </c>
      <c r="B1473" s="721"/>
      <c r="C1473" s="200" t="s">
        <v>5256</v>
      </c>
      <c r="D1473" s="139" t="s">
        <v>13883</v>
      </c>
      <c r="E1473" s="209">
        <v>1.0999999999999999E-2</v>
      </c>
      <c r="F1473" s="577" t="s">
        <v>40</v>
      </c>
      <c r="G1473" s="210">
        <v>39.268799999999999</v>
      </c>
      <c r="H1473" s="211">
        <f t="shared" si="51"/>
        <v>0.43</v>
      </c>
    </row>
    <row r="1474" spans="1:8" s="124" customFormat="1">
      <c r="A1474" s="721">
        <v>38383</v>
      </c>
      <c r="B1474" s="721"/>
      <c r="C1474" s="200" t="s">
        <v>5256</v>
      </c>
      <c r="D1474" s="139" t="s">
        <v>12544</v>
      </c>
      <c r="E1474" s="209">
        <v>0.06</v>
      </c>
      <c r="F1474" s="577" t="s">
        <v>40</v>
      </c>
      <c r="G1474" s="210">
        <v>1.3689</v>
      </c>
      <c r="H1474" s="211">
        <f t="shared" si="51"/>
        <v>0.08</v>
      </c>
    </row>
    <row r="1475" spans="1:8" s="124" customFormat="1" ht="45">
      <c r="A1475" s="721">
        <v>88248</v>
      </c>
      <c r="B1475" s="721"/>
      <c r="C1475" s="200" t="s">
        <v>5256</v>
      </c>
      <c r="D1475" s="139" t="s">
        <v>76</v>
      </c>
      <c r="E1475" s="209">
        <v>0.11899999999999999</v>
      </c>
      <c r="F1475" s="577" t="s">
        <v>67</v>
      </c>
      <c r="G1475" s="210">
        <v>12.028500000000001</v>
      </c>
      <c r="H1475" s="211">
        <f t="shared" si="51"/>
        <v>1.43</v>
      </c>
    </row>
    <row r="1476" spans="1:8" s="124" customFormat="1" ht="30">
      <c r="A1476" s="721">
        <v>88267</v>
      </c>
      <c r="B1476" s="721"/>
      <c r="C1476" s="200" t="s">
        <v>5256</v>
      </c>
      <c r="D1476" s="139" t="s">
        <v>86</v>
      </c>
      <c r="E1476" s="209">
        <v>0.11899999999999999</v>
      </c>
      <c r="F1476" s="577" t="s">
        <v>67</v>
      </c>
      <c r="G1476" s="210">
        <v>15.2766</v>
      </c>
      <c r="H1476" s="211">
        <f t="shared" si="51"/>
        <v>1.82</v>
      </c>
    </row>
    <row r="1477" spans="1:8" s="201" customFormat="1">
      <c r="A1477" s="582"/>
      <c r="B1477" s="582"/>
      <c r="C1477" s="212"/>
      <c r="D1477" s="719" t="s">
        <v>127</v>
      </c>
      <c r="E1477" s="719"/>
      <c r="F1477" s="719"/>
      <c r="G1477" s="719"/>
      <c r="H1477" s="638">
        <f>SUMIF(F1471:F1476,("h"),H1471:H1476)</f>
        <v>3.25</v>
      </c>
    </row>
    <row r="1478" spans="1:8" s="201" customFormat="1">
      <c r="A1478" s="582"/>
      <c r="B1478" s="582"/>
      <c r="C1478" s="212"/>
      <c r="D1478" s="719" t="s">
        <v>128</v>
      </c>
      <c r="E1478" s="719"/>
      <c r="F1478" s="719"/>
      <c r="G1478" s="719"/>
      <c r="H1478" s="638">
        <f>SUMIF(F1471:F1476,"&lt;&gt;h",H1471:H1476)</f>
        <v>3.0600000000000005</v>
      </c>
    </row>
    <row r="1479" spans="1:8" s="201" customFormat="1">
      <c r="A1479" s="582"/>
      <c r="B1479" s="582"/>
      <c r="C1479" s="212"/>
      <c r="D1479" s="718" t="s">
        <v>129</v>
      </c>
      <c r="E1479" s="718"/>
      <c r="F1479" s="718"/>
      <c r="G1479" s="718"/>
      <c r="H1479" s="213">
        <f>SUM(H1477:H1478)</f>
        <v>6.3100000000000005</v>
      </c>
    </row>
    <row r="1480" spans="1:8" s="201" customFormat="1">
      <c r="A1480" s="582"/>
      <c r="B1480" s="582"/>
      <c r="C1480" s="212"/>
      <c r="D1480" s="719" t="s">
        <v>28</v>
      </c>
      <c r="E1480" s="719"/>
      <c r="F1480" s="719"/>
      <c r="G1480" s="719"/>
      <c r="H1480" s="639">
        <f>E1470</f>
        <v>2</v>
      </c>
    </row>
    <row r="1481" spans="1:8" s="201" customFormat="1">
      <c r="A1481" s="582"/>
      <c r="B1481" s="582"/>
      <c r="C1481" s="212"/>
      <c r="D1481" s="718" t="s">
        <v>130</v>
      </c>
      <c r="E1481" s="718"/>
      <c r="F1481" s="718"/>
      <c r="G1481" s="718"/>
      <c r="H1481" s="213">
        <f>ROUND(H1479*H1480,2)</f>
        <v>12.62</v>
      </c>
    </row>
    <row r="1482" spans="1:8" s="201" customFormat="1">
      <c r="A1482" s="582"/>
      <c r="B1482" s="582"/>
      <c r="C1482" s="212"/>
      <c r="D1482" s="719" t="s">
        <v>15559</v>
      </c>
      <c r="E1482" s="719"/>
      <c r="F1482" s="719"/>
      <c r="G1482" s="719"/>
      <c r="H1482" s="638">
        <f>ROUND(H1479*$B$13,2)</f>
        <v>1.7</v>
      </c>
    </row>
    <row r="1483" spans="1:8">
      <c r="A1483" s="582"/>
      <c r="B1483" s="582"/>
      <c r="C1483" s="212"/>
      <c r="D1483" s="718" t="s">
        <v>9661</v>
      </c>
      <c r="E1483" s="718"/>
      <c r="F1483" s="718"/>
      <c r="G1483" s="718"/>
      <c r="H1483" s="213">
        <f>H1482+H1479</f>
        <v>8.01</v>
      </c>
    </row>
    <row r="1485" spans="1:8" s="201" customFormat="1">
      <c r="A1485" s="123" t="s">
        <v>6</v>
      </c>
      <c r="B1485" s="720" t="s">
        <v>7</v>
      </c>
      <c r="C1485" s="720"/>
      <c r="D1485" s="202" t="s">
        <v>124</v>
      </c>
      <c r="E1485" s="167" t="s">
        <v>6334</v>
      </c>
      <c r="F1485" s="202" t="s">
        <v>31</v>
      </c>
      <c r="G1485" s="203" t="s">
        <v>125</v>
      </c>
      <c r="H1485" s="204" t="s">
        <v>126</v>
      </c>
    </row>
    <row r="1486" spans="1:8" s="208" customFormat="1" ht="30">
      <c r="A1486" s="581" t="str">
        <f>'Orç - Prédio'!A246</f>
        <v>05.01.203.07</v>
      </c>
      <c r="B1486" s="216" t="str">
        <f>'Orç - Prédio'!B246</f>
        <v>SINAPI</v>
      </c>
      <c r="C1486" s="216" t="str">
        <f>'Orç - Prédio'!C246</f>
        <v>90375 MOD 6</v>
      </c>
      <c r="D1486" s="217" t="s">
        <v>7037</v>
      </c>
      <c r="E1486" s="206">
        <v>1</v>
      </c>
      <c r="F1486" s="216" t="s">
        <v>6337</v>
      </c>
      <c r="G1486" s="207">
        <f>VLOOKUP("CUSTO TOTAL UNIT.:",D1487:$H$30004,5,FALSE)</f>
        <v>6.51</v>
      </c>
      <c r="H1486" s="637">
        <f>VLOOKUP("CUSTO TOTAL:",D1487:$H$30004,5,FALSE)</f>
        <v>6.51</v>
      </c>
    </row>
    <row r="1487" spans="1:8" s="124" customFormat="1" ht="30">
      <c r="A1487" s="721">
        <v>122</v>
      </c>
      <c r="B1487" s="721"/>
      <c r="C1487" s="200" t="s">
        <v>5256</v>
      </c>
      <c r="D1487" s="139" t="s">
        <v>9842</v>
      </c>
      <c r="E1487" s="209">
        <v>8.9999999999999993E-3</v>
      </c>
      <c r="F1487" s="577" t="s">
        <v>40</v>
      </c>
      <c r="G1487" s="210">
        <v>45.214200000000005</v>
      </c>
      <c r="H1487" s="211">
        <f t="shared" ref="H1487:H1492" si="52">ROUND(G1487*E1487,2)</f>
        <v>0.41</v>
      </c>
    </row>
    <row r="1488" spans="1:8" s="124" customFormat="1" ht="45">
      <c r="A1488" s="721">
        <v>813</v>
      </c>
      <c r="B1488" s="721"/>
      <c r="C1488" s="200" t="s">
        <v>5256</v>
      </c>
      <c r="D1488" s="139" t="s">
        <v>10348</v>
      </c>
      <c r="E1488" s="209">
        <v>1</v>
      </c>
      <c r="F1488" s="577" t="s">
        <v>40</v>
      </c>
      <c r="G1488" s="210">
        <v>2.3409000000000004</v>
      </c>
      <c r="H1488" s="211">
        <f t="shared" si="52"/>
        <v>2.34</v>
      </c>
    </row>
    <row r="1489" spans="1:8" s="124" customFormat="1" ht="30">
      <c r="A1489" s="721">
        <v>20083</v>
      </c>
      <c r="B1489" s="721"/>
      <c r="C1489" s="200" t="s">
        <v>5256</v>
      </c>
      <c r="D1489" s="139" t="s">
        <v>13883</v>
      </c>
      <c r="E1489" s="209">
        <v>1.0999999999999999E-2</v>
      </c>
      <c r="F1489" s="577" t="s">
        <v>40</v>
      </c>
      <c r="G1489" s="210">
        <v>39.268799999999999</v>
      </c>
      <c r="H1489" s="211">
        <f t="shared" si="52"/>
        <v>0.43</v>
      </c>
    </row>
    <row r="1490" spans="1:8" s="124" customFormat="1">
      <c r="A1490" s="721">
        <v>38383</v>
      </c>
      <c r="B1490" s="721"/>
      <c r="C1490" s="200" t="s">
        <v>5256</v>
      </c>
      <c r="D1490" s="139" t="s">
        <v>12544</v>
      </c>
      <c r="E1490" s="209">
        <v>0.06</v>
      </c>
      <c r="F1490" s="577" t="s">
        <v>40</v>
      </c>
      <c r="G1490" s="210">
        <v>1.3689</v>
      </c>
      <c r="H1490" s="211">
        <f t="shared" si="52"/>
        <v>0.08</v>
      </c>
    </row>
    <row r="1491" spans="1:8" s="124" customFormat="1" ht="45">
      <c r="A1491" s="721">
        <v>88248</v>
      </c>
      <c r="B1491" s="721"/>
      <c r="C1491" s="200" t="s">
        <v>5256</v>
      </c>
      <c r="D1491" s="139" t="s">
        <v>76</v>
      </c>
      <c r="E1491" s="209">
        <v>0.11899999999999999</v>
      </c>
      <c r="F1491" s="577" t="s">
        <v>67</v>
      </c>
      <c r="G1491" s="210">
        <v>12.028500000000001</v>
      </c>
      <c r="H1491" s="211">
        <f t="shared" si="52"/>
        <v>1.43</v>
      </c>
    </row>
    <row r="1492" spans="1:8" s="124" customFormat="1" ht="30">
      <c r="A1492" s="721">
        <v>88267</v>
      </c>
      <c r="B1492" s="721"/>
      <c r="C1492" s="200" t="s">
        <v>5256</v>
      </c>
      <c r="D1492" s="139" t="s">
        <v>86</v>
      </c>
      <c r="E1492" s="209">
        <v>0.11899999999999999</v>
      </c>
      <c r="F1492" s="577" t="s">
        <v>67</v>
      </c>
      <c r="G1492" s="210">
        <v>15.2766</v>
      </c>
      <c r="H1492" s="211">
        <f t="shared" si="52"/>
        <v>1.82</v>
      </c>
    </row>
    <row r="1493" spans="1:8" s="201" customFormat="1">
      <c r="A1493" s="582"/>
      <c r="B1493" s="582"/>
      <c r="C1493" s="212"/>
      <c r="D1493" s="719" t="s">
        <v>127</v>
      </c>
      <c r="E1493" s="719"/>
      <c r="F1493" s="719"/>
      <c r="G1493" s="719"/>
      <c r="H1493" s="638">
        <f>SUMIF(F1487:F1492,("h"),H1487:H1492)</f>
        <v>3.25</v>
      </c>
    </row>
    <row r="1494" spans="1:8" s="201" customFormat="1">
      <c r="A1494" s="582"/>
      <c r="B1494" s="582"/>
      <c r="C1494" s="212"/>
      <c r="D1494" s="719" t="s">
        <v>128</v>
      </c>
      <c r="E1494" s="719"/>
      <c r="F1494" s="719"/>
      <c r="G1494" s="719"/>
      <c r="H1494" s="638">
        <f>SUMIF(F1487:F1492,"&lt;&gt;h",H1487:H1492)</f>
        <v>3.2600000000000002</v>
      </c>
    </row>
    <row r="1495" spans="1:8" s="201" customFormat="1">
      <c r="A1495" s="582"/>
      <c r="B1495" s="582"/>
      <c r="C1495" s="212"/>
      <c r="D1495" s="718" t="s">
        <v>129</v>
      </c>
      <c r="E1495" s="718"/>
      <c r="F1495" s="718"/>
      <c r="G1495" s="718"/>
      <c r="H1495" s="213">
        <f>SUM(H1493:H1494)</f>
        <v>6.51</v>
      </c>
    </row>
    <row r="1496" spans="1:8" s="201" customFormat="1">
      <c r="A1496" s="582"/>
      <c r="B1496" s="582"/>
      <c r="C1496" s="212"/>
      <c r="D1496" s="719" t="s">
        <v>28</v>
      </c>
      <c r="E1496" s="719"/>
      <c r="F1496" s="719"/>
      <c r="G1496" s="719"/>
      <c r="H1496" s="639">
        <f>E1486</f>
        <v>1</v>
      </c>
    </row>
    <row r="1497" spans="1:8" s="201" customFormat="1">
      <c r="A1497" s="582"/>
      <c r="B1497" s="582"/>
      <c r="C1497" s="212"/>
      <c r="D1497" s="718" t="s">
        <v>130</v>
      </c>
      <c r="E1497" s="718"/>
      <c r="F1497" s="718"/>
      <c r="G1497" s="718"/>
      <c r="H1497" s="213">
        <f>ROUND(H1495*H1496,2)</f>
        <v>6.51</v>
      </c>
    </row>
    <row r="1498" spans="1:8" s="201" customFormat="1">
      <c r="A1498" s="582"/>
      <c r="B1498" s="582"/>
      <c r="C1498" s="212"/>
      <c r="D1498" s="719" t="s">
        <v>15559</v>
      </c>
      <c r="E1498" s="719"/>
      <c r="F1498" s="719"/>
      <c r="G1498" s="719"/>
      <c r="H1498" s="638">
        <f>ROUND(H1495*$B$13,2)</f>
        <v>1.75</v>
      </c>
    </row>
    <row r="1499" spans="1:8">
      <c r="A1499" s="582"/>
      <c r="B1499" s="582"/>
      <c r="C1499" s="212"/>
      <c r="D1499" s="718" t="s">
        <v>9661</v>
      </c>
      <c r="E1499" s="718"/>
      <c r="F1499" s="718"/>
      <c r="G1499" s="718"/>
      <c r="H1499" s="213">
        <f>H1498+H1495</f>
        <v>8.26</v>
      </c>
    </row>
    <row r="1501" spans="1:8" s="201" customFormat="1">
      <c r="A1501" s="123" t="s">
        <v>6</v>
      </c>
      <c r="B1501" s="720" t="s">
        <v>7</v>
      </c>
      <c r="C1501" s="720"/>
      <c r="D1501" s="202" t="s">
        <v>124</v>
      </c>
      <c r="E1501" s="167" t="s">
        <v>6334</v>
      </c>
      <c r="F1501" s="202" t="s">
        <v>31</v>
      </c>
      <c r="G1501" s="203" t="s">
        <v>125</v>
      </c>
      <c r="H1501" s="204" t="s">
        <v>126</v>
      </c>
    </row>
    <row r="1502" spans="1:8" s="208" customFormat="1" ht="30">
      <c r="A1502" s="581" t="str">
        <f>'Orç - Prédio'!A247</f>
        <v>05.01.203.08</v>
      </c>
      <c r="B1502" s="216" t="str">
        <f>'Orç - Prédio'!B247</f>
        <v>SINAPI</v>
      </c>
      <c r="C1502" s="216" t="str">
        <f>'Orç - Prédio'!C247</f>
        <v>90375 MOD 7</v>
      </c>
      <c r="D1502" s="217" t="s">
        <v>7038</v>
      </c>
      <c r="E1502" s="206">
        <v>3</v>
      </c>
      <c r="F1502" s="216" t="s">
        <v>6337</v>
      </c>
      <c r="G1502" s="207">
        <f>VLOOKUP("CUSTO TOTAL UNIT.:",D1503:$H$30004,5,FALSE)</f>
        <v>7.1400000000000006</v>
      </c>
      <c r="H1502" s="637">
        <f>VLOOKUP("CUSTO TOTAL:",D1503:$H$30004,5,FALSE)</f>
        <v>21.42</v>
      </c>
    </row>
    <row r="1503" spans="1:8" s="124" customFormat="1" ht="30">
      <c r="A1503" s="721">
        <v>122</v>
      </c>
      <c r="B1503" s="721"/>
      <c r="C1503" s="200" t="s">
        <v>5256</v>
      </c>
      <c r="D1503" s="139" t="s">
        <v>9842</v>
      </c>
      <c r="E1503" s="209">
        <v>8.9999999999999993E-3</v>
      </c>
      <c r="F1503" s="577" t="s">
        <v>40</v>
      </c>
      <c r="G1503" s="210">
        <v>45.214200000000005</v>
      </c>
      <c r="H1503" s="211">
        <f t="shared" ref="H1503:H1508" si="53">ROUND(G1503*E1503,2)</f>
        <v>0.41</v>
      </c>
    </row>
    <row r="1504" spans="1:8" s="124" customFormat="1" ht="45">
      <c r="A1504" s="721">
        <v>820</v>
      </c>
      <c r="B1504" s="721"/>
      <c r="C1504" s="200" t="s">
        <v>5256</v>
      </c>
      <c r="D1504" s="139" t="s">
        <v>10349</v>
      </c>
      <c r="E1504" s="209">
        <v>1</v>
      </c>
      <c r="F1504" s="577" t="s">
        <v>40</v>
      </c>
      <c r="G1504" s="210">
        <v>2.9727000000000001</v>
      </c>
      <c r="H1504" s="211">
        <f t="shared" si="53"/>
        <v>2.97</v>
      </c>
    </row>
    <row r="1505" spans="1:8" s="124" customFormat="1" ht="30">
      <c r="A1505" s="721">
        <v>20083</v>
      </c>
      <c r="B1505" s="721"/>
      <c r="C1505" s="200" t="s">
        <v>5256</v>
      </c>
      <c r="D1505" s="139" t="s">
        <v>13883</v>
      </c>
      <c r="E1505" s="209">
        <v>1.0999999999999999E-2</v>
      </c>
      <c r="F1505" s="577" t="s">
        <v>40</v>
      </c>
      <c r="G1505" s="210">
        <v>39.268799999999999</v>
      </c>
      <c r="H1505" s="211">
        <f t="shared" si="53"/>
        <v>0.43</v>
      </c>
    </row>
    <row r="1506" spans="1:8" s="124" customFormat="1">
      <c r="A1506" s="721">
        <v>38383</v>
      </c>
      <c r="B1506" s="721"/>
      <c r="C1506" s="200" t="s">
        <v>5256</v>
      </c>
      <c r="D1506" s="139" t="s">
        <v>12544</v>
      </c>
      <c r="E1506" s="209">
        <v>0.06</v>
      </c>
      <c r="F1506" s="577" t="s">
        <v>40</v>
      </c>
      <c r="G1506" s="210">
        <v>1.3689</v>
      </c>
      <c r="H1506" s="211">
        <f t="shared" si="53"/>
        <v>0.08</v>
      </c>
    </row>
    <row r="1507" spans="1:8" s="124" customFormat="1" ht="45">
      <c r="A1507" s="721">
        <v>88248</v>
      </c>
      <c r="B1507" s="721"/>
      <c r="C1507" s="200" t="s">
        <v>5256</v>
      </c>
      <c r="D1507" s="139" t="s">
        <v>76</v>
      </c>
      <c r="E1507" s="209">
        <v>0.11899999999999999</v>
      </c>
      <c r="F1507" s="577" t="s">
        <v>67</v>
      </c>
      <c r="G1507" s="210">
        <v>12.028500000000001</v>
      </c>
      <c r="H1507" s="211">
        <f t="shared" si="53"/>
        <v>1.43</v>
      </c>
    </row>
    <row r="1508" spans="1:8" s="124" customFormat="1" ht="30">
      <c r="A1508" s="721">
        <v>88267</v>
      </c>
      <c r="B1508" s="721"/>
      <c r="C1508" s="200" t="s">
        <v>5256</v>
      </c>
      <c r="D1508" s="139" t="s">
        <v>86</v>
      </c>
      <c r="E1508" s="209">
        <v>0.11899999999999999</v>
      </c>
      <c r="F1508" s="577" t="s">
        <v>67</v>
      </c>
      <c r="G1508" s="210">
        <v>15.2766</v>
      </c>
      <c r="H1508" s="211">
        <f t="shared" si="53"/>
        <v>1.82</v>
      </c>
    </row>
    <row r="1509" spans="1:8" s="201" customFormat="1">
      <c r="A1509" s="582"/>
      <c r="B1509" s="582"/>
      <c r="C1509" s="212"/>
      <c r="D1509" s="719" t="s">
        <v>127</v>
      </c>
      <c r="E1509" s="719"/>
      <c r="F1509" s="719"/>
      <c r="G1509" s="719"/>
      <c r="H1509" s="638">
        <f>SUMIF(F1503:F1508,("h"),H1503:H1508)</f>
        <v>3.25</v>
      </c>
    </row>
    <row r="1510" spans="1:8" s="201" customFormat="1">
      <c r="A1510" s="582"/>
      <c r="B1510" s="582"/>
      <c r="C1510" s="212"/>
      <c r="D1510" s="719" t="s">
        <v>128</v>
      </c>
      <c r="E1510" s="719"/>
      <c r="F1510" s="719"/>
      <c r="G1510" s="719"/>
      <c r="H1510" s="638">
        <f>SUMIF(F1503:F1508,"&lt;&gt;h",H1503:H1508)</f>
        <v>3.8900000000000006</v>
      </c>
    </row>
    <row r="1511" spans="1:8" s="201" customFormat="1">
      <c r="A1511" s="582"/>
      <c r="B1511" s="582"/>
      <c r="C1511" s="212"/>
      <c r="D1511" s="718" t="s">
        <v>129</v>
      </c>
      <c r="E1511" s="718"/>
      <c r="F1511" s="718"/>
      <c r="G1511" s="718"/>
      <c r="H1511" s="213">
        <f>SUM(H1509:H1510)</f>
        <v>7.1400000000000006</v>
      </c>
    </row>
    <row r="1512" spans="1:8" s="201" customFormat="1">
      <c r="A1512" s="582"/>
      <c r="B1512" s="582"/>
      <c r="C1512" s="212"/>
      <c r="D1512" s="719" t="s">
        <v>28</v>
      </c>
      <c r="E1512" s="719"/>
      <c r="F1512" s="719"/>
      <c r="G1512" s="719"/>
      <c r="H1512" s="639">
        <f>E1502</f>
        <v>3</v>
      </c>
    </row>
    <row r="1513" spans="1:8" s="201" customFormat="1">
      <c r="A1513" s="582"/>
      <c r="B1513" s="582"/>
      <c r="C1513" s="212"/>
      <c r="D1513" s="718" t="s">
        <v>130</v>
      </c>
      <c r="E1513" s="718"/>
      <c r="F1513" s="718"/>
      <c r="G1513" s="718"/>
      <c r="H1513" s="213">
        <f>ROUND(H1511*H1512,2)</f>
        <v>21.42</v>
      </c>
    </row>
    <row r="1514" spans="1:8" s="201" customFormat="1">
      <c r="A1514" s="582"/>
      <c r="B1514" s="582"/>
      <c r="C1514" s="212"/>
      <c r="D1514" s="719" t="s">
        <v>15559</v>
      </c>
      <c r="E1514" s="719"/>
      <c r="F1514" s="719"/>
      <c r="G1514" s="719"/>
      <c r="H1514" s="638">
        <f>ROUND(H1511*$B$13,2)</f>
        <v>1.92</v>
      </c>
    </row>
    <row r="1515" spans="1:8">
      <c r="A1515" s="582"/>
      <c r="B1515" s="582"/>
      <c r="C1515" s="212"/>
      <c r="D1515" s="718" t="s">
        <v>9661</v>
      </c>
      <c r="E1515" s="718"/>
      <c r="F1515" s="718"/>
      <c r="G1515" s="718"/>
      <c r="H1515" s="213">
        <f>H1514+H1511</f>
        <v>9.06</v>
      </c>
    </row>
    <row r="1517" spans="1:8" s="201" customFormat="1">
      <c r="A1517" s="123" t="s">
        <v>6</v>
      </c>
      <c r="B1517" s="720" t="s">
        <v>7</v>
      </c>
      <c r="C1517" s="720"/>
      <c r="D1517" s="202" t="s">
        <v>124</v>
      </c>
      <c r="E1517" s="167" t="s">
        <v>6334</v>
      </c>
      <c r="F1517" s="202" t="s">
        <v>31</v>
      </c>
      <c r="G1517" s="203" t="s">
        <v>125</v>
      </c>
      <c r="H1517" s="204" t="s">
        <v>126</v>
      </c>
    </row>
    <row r="1518" spans="1:8" s="208" customFormat="1" ht="30">
      <c r="A1518" s="581" t="str">
        <f>'Orç - Prédio'!A248</f>
        <v>05.01.204</v>
      </c>
      <c r="B1518" s="581" t="str">
        <f>'Orç - Prédio'!B248</f>
        <v>SINAPI</v>
      </c>
      <c r="C1518" s="581" t="str">
        <f>'Orç - Prédio'!C248</f>
        <v>72293 MOD</v>
      </c>
      <c r="D1518" s="205" t="s">
        <v>7046</v>
      </c>
      <c r="E1518" s="206">
        <v>44</v>
      </c>
      <c r="F1518" s="581" t="s">
        <v>6337</v>
      </c>
      <c r="G1518" s="207">
        <f>VLOOKUP("CUSTO TOTAL UNIT.:",D1519:$H$30004,5,FALSE)</f>
        <v>2.9699999999999998</v>
      </c>
      <c r="H1518" s="637">
        <f>VLOOKUP("CUSTO TOTAL:",D1519:$H$30004,5,FALSE)</f>
        <v>130.68</v>
      </c>
    </row>
    <row r="1519" spans="1:8" s="124" customFormat="1" ht="30">
      <c r="A1519" s="721">
        <v>122</v>
      </c>
      <c r="B1519" s="721"/>
      <c r="C1519" s="200" t="s">
        <v>5256</v>
      </c>
      <c r="D1519" s="139" t="s">
        <v>9842</v>
      </c>
      <c r="E1519" s="209">
        <v>7.0000000000000001E-3</v>
      </c>
      <c r="F1519" s="577" t="s">
        <v>40</v>
      </c>
      <c r="G1519" s="210">
        <v>45.214200000000005</v>
      </c>
      <c r="H1519" s="211">
        <f>ROUND(G1519*E1519,2)</f>
        <v>0.32</v>
      </c>
    </row>
    <row r="1520" spans="1:8" s="124" customFormat="1" ht="30">
      <c r="A1520" s="721">
        <v>1185</v>
      </c>
      <c r="B1520" s="721"/>
      <c r="C1520" s="200" t="s">
        <v>5256</v>
      </c>
      <c r="D1520" s="139" t="s">
        <v>10772</v>
      </c>
      <c r="E1520" s="209">
        <v>1</v>
      </c>
      <c r="F1520" s="577" t="s">
        <v>40</v>
      </c>
      <c r="G1520" s="210">
        <v>0.6966</v>
      </c>
      <c r="H1520" s="211">
        <f>ROUND(G1520*E1520,2)</f>
        <v>0.7</v>
      </c>
    </row>
    <row r="1521" spans="1:8" s="124" customFormat="1" ht="30">
      <c r="A1521" s="721">
        <v>20083</v>
      </c>
      <c r="B1521" s="721"/>
      <c r="C1521" s="200" t="s">
        <v>5256</v>
      </c>
      <c r="D1521" s="139" t="s">
        <v>13883</v>
      </c>
      <c r="E1521" s="209">
        <v>5.0000000000000001E-3</v>
      </c>
      <c r="F1521" s="577" t="s">
        <v>40</v>
      </c>
      <c r="G1521" s="210">
        <v>39.268799999999999</v>
      </c>
      <c r="H1521" s="211">
        <f>ROUND(G1521*E1521,2)</f>
        <v>0.2</v>
      </c>
    </row>
    <row r="1522" spans="1:8" s="124" customFormat="1" ht="30">
      <c r="A1522" s="721">
        <v>88267</v>
      </c>
      <c r="B1522" s="721"/>
      <c r="C1522" s="200" t="s">
        <v>5256</v>
      </c>
      <c r="D1522" s="139" t="s">
        <v>86</v>
      </c>
      <c r="E1522" s="209">
        <v>6.5000000000000002E-2</v>
      </c>
      <c r="F1522" s="577" t="s">
        <v>67</v>
      </c>
      <c r="G1522" s="210">
        <v>15.2766</v>
      </c>
      <c r="H1522" s="211">
        <f>ROUND(G1522*E1522,2)</f>
        <v>0.99</v>
      </c>
    </row>
    <row r="1523" spans="1:8" s="124" customFormat="1" ht="30">
      <c r="A1523" s="721">
        <v>88316</v>
      </c>
      <c r="B1523" s="721"/>
      <c r="C1523" s="200" t="s">
        <v>5256</v>
      </c>
      <c r="D1523" s="139" t="s">
        <v>66</v>
      </c>
      <c r="E1523" s="209">
        <v>6.5000000000000002E-2</v>
      </c>
      <c r="F1523" s="577" t="s">
        <v>67</v>
      </c>
      <c r="G1523" s="210">
        <v>11.631600000000001</v>
      </c>
      <c r="H1523" s="211">
        <f>ROUND(G1523*E1523,2)</f>
        <v>0.76</v>
      </c>
    </row>
    <row r="1524" spans="1:8" s="201" customFormat="1">
      <c r="A1524" s="582"/>
      <c r="B1524" s="582"/>
      <c r="C1524" s="212"/>
      <c r="D1524" s="719" t="s">
        <v>127</v>
      </c>
      <c r="E1524" s="719"/>
      <c r="F1524" s="719"/>
      <c r="G1524" s="719"/>
      <c r="H1524" s="638">
        <f>SUMIF(F1519:F1523,("h"),H1519:H1523)</f>
        <v>1.75</v>
      </c>
    </row>
    <row r="1525" spans="1:8" s="201" customFormat="1">
      <c r="A1525" s="582"/>
      <c r="B1525" s="582"/>
      <c r="C1525" s="212"/>
      <c r="D1525" s="719" t="s">
        <v>128</v>
      </c>
      <c r="E1525" s="719"/>
      <c r="F1525" s="719"/>
      <c r="G1525" s="719"/>
      <c r="H1525" s="638">
        <f>SUMIF(F1519:F1523,"&lt;&gt;h",H1519:H1523)</f>
        <v>1.22</v>
      </c>
    </row>
    <row r="1526" spans="1:8" s="201" customFormat="1">
      <c r="A1526" s="582"/>
      <c r="B1526" s="582"/>
      <c r="C1526" s="212"/>
      <c r="D1526" s="718" t="s">
        <v>129</v>
      </c>
      <c r="E1526" s="718"/>
      <c r="F1526" s="718"/>
      <c r="G1526" s="718"/>
      <c r="H1526" s="213">
        <f>SUM(H1524:H1525)</f>
        <v>2.9699999999999998</v>
      </c>
    </row>
    <row r="1527" spans="1:8" s="201" customFormat="1">
      <c r="A1527" s="582"/>
      <c r="B1527" s="582"/>
      <c r="C1527" s="212"/>
      <c r="D1527" s="719" t="s">
        <v>28</v>
      </c>
      <c r="E1527" s="719"/>
      <c r="F1527" s="719"/>
      <c r="G1527" s="719"/>
      <c r="H1527" s="639">
        <f>E1518</f>
        <v>44</v>
      </c>
    </row>
    <row r="1528" spans="1:8" s="201" customFormat="1">
      <c r="A1528" s="582"/>
      <c r="B1528" s="582"/>
      <c r="C1528" s="212"/>
      <c r="D1528" s="718" t="s">
        <v>130</v>
      </c>
      <c r="E1528" s="718"/>
      <c r="F1528" s="718"/>
      <c r="G1528" s="718"/>
      <c r="H1528" s="213">
        <f>ROUND(H1526*H1527,2)</f>
        <v>130.68</v>
      </c>
    </row>
    <row r="1529" spans="1:8" s="201" customFormat="1">
      <c r="A1529" s="582"/>
      <c r="B1529" s="582"/>
      <c r="C1529" s="212"/>
      <c r="D1529" s="719" t="s">
        <v>15559</v>
      </c>
      <c r="E1529" s="719"/>
      <c r="F1529" s="719"/>
      <c r="G1529" s="719"/>
      <c r="H1529" s="638">
        <f>ROUND(H1526*$B$13,2)</f>
        <v>0.8</v>
      </c>
    </row>
    <row r="1530" spans="1:8">
      <c r="A1530" s="582"/>
      <c r="B1530" s="582"/>
      <c r="C1530" s="212"/>
      <c r="D1530" s="718" t="s">
        <v>9661</v>
      </c>
      <c r="E1530" s="718"/>
      <c r="F1530" s="718"/>
      <c r="G1530" s="718"/>
      <c r="H1530" s="213">
        <f>H1529+H1526</f>
        <v>3.7699999999999996</v>
      </c>
    </row>
    <row r="1532" spans="1:8" s="201" customFormat="1">
      <c r="A1532" s="123" t="s">
        <v>6</v>
      </c>
      <c r="B1532" s="720" t="s">
        <v>7</v>
      </c>
      <c r="C1532" s="720"/>
      <c r="D1532" s="202" t="s">
        <v>124</v>
      </c>
      <c r="E1532" s="167" t="s">
        <v>6334</v>
      </c>
      <c r="F1532" s="202" t="s">
        <v>31</v>
      </c>
      <c r="G1532" s="203" t="s">
        <v>125</v>
      </c>
      <c r="H1532" s="204" t="s">
        <v>126</v>
      </c>
    </row>
    <row r="1533" spans="1:8" s="208" customFormat="1" ht="30">
      <c r="A1533" s="581" t="str">
        <f>'Orç - Reservatório'!A121</f>
        <v>05.01.206.01</v>
      </c>
      <c r="B1533" s="581" t="str">
        <f>'Orç - Reservatório'!B121</f>
        <v>ORSE</v>
      </c>
      <c r="C1533" s="581">
        <f>'Orç - Reservatório'!C121</f>
        <v>1257</v>
      </c>
      <c r="D1533" s="205" t="s">
        <v>7842</v>
      </c>
      <c r="E1533" s="206">
        <v>1</v>
      </c>
      <c r="F1533" s="581" t="s">
        <v>6337</v>
      </c>
      <c r="G1533" s="207">
        <f>VLOOKUP("CUSTO TOTAL UNIT.:",D1534:$H$30004,5,FALSE)</f>
        <v>10.8</v>
      </c>
      <c r="H1533" s="637">
        <f>VLOOKUP("CUSTO TOTAL:",D1534:$H$30004,5,FALSE)</f>
        <v>10.8</v>
      </c>
    </row>
    <row r="1534" spans="1:8" s="124" customFormat="1" ht="30">
      <c r="A1534" s="721">
        <v>1939</v>
      </c>
      <c r="B1534" s="721"/>
      <c r="C1534" s="200" t="s">
        <v>5256</v>
      </c>
      <c r="D1534" s="139" t="s">
        <v>11364</v>
      </c>
      <c r="E1534" s="209">
        <v>1</v>
      </c>
      <c r="F1534" s="577" t="s">
        <v>40</v>
      </c>
      <c r="G1534" s="210">
        <v>4.6575000000000006</v>
      </c>
      <c r="H1534" s="211">
        <f>ROUND(G1534*E1534,2)</f>
        <v>4.66</v>
      </c>
    </row>
    <row r="1535" spans="1:8" s="124" customFormat="1" ht="30">
      <c r="A1535" s="721">
        <v>3148</v>
      </c>
      <c r="B1535" s="721"/>
      <c r="C1535" s="200" t="s">
        <v>5256</v>
      </c>
      <c r="D1535" s="139" t="s">
        <v>11961</v>
      </c>
      <c r="E1535" s="209">
        <v>0.02</v>
      </c>
      <c r="F1535" s="577" t="s">
        <v>40</v>
      </c>
      <c r="G1535" s="210">
        <v>11.137500000000001</v>
      </c>
      <c r="H1535" s="211">
        <f>ROUND(G1535*E1535,2)</f>
        <v>0.22</v>
      </c>
    </row>
    <row r="1536" spans="1:8" s="124" customFormat="1" ht="30">
      <c r="A1536" s="721">
        <v>88267</v>
      </c>
      <c r="B1536" s="721"/>
      <c r="C1536" s="200" t="s">
        <v>5256</v>
      </c>
      <c r="D1536" s="139" t="s">
        <v>86</v>
      </c>
      <c r="E1536" s="209">
        <v>0.22</v>
      </c>
      <c r="F1536" s="577" t="s">
        <v>67</v>
      </c>
      <c r="G1536" s="210">
        <v>15.2766</v>
      </c>
      <c r="H1536" s="211">
        <f>ROUND(G1536*E1536,2)</f>
        <v>3.36</v>
      </c>
    </row>
    <row r="1537" spans="1:8" s="124" customFormat="1" ht="30">
      <c r="A1537" s="721">
        <v>88316</v>
      </c>
      <c r="B1537" s="721"/>
      <c r="C1537" s="200" t="s">
        <v>5256</v>
      </c>
      <c r="D1537" s="139" t="s">
        <v>66</v>
      </c>
      <c r="E1537" s="209">
        <v>0.22</v>
      </c>
      <c r="F1537" s="577" t="s">
        <v>67</v>
      </c>
      <c r="G1537" s="210">
        <v>11.631600000000001</v>
      </c>
      <c r="H1537" s="211">
        <f>ROUND(G1537*E1537,2)</f>
        <v>2.56</v>
      </c>
    </row>
    <row r="1538" spans="1:8" s="201" customFormat="1">
      <c r="A1538" s="582"/>
      <c r="B1538" s="582"/>
      <c r="C1538" s="212"/>
      <c r="D1538" s="719" t="s">
        <v>127</v>
      </c>
      <c r="E1538" s="719"/>
      <c r="F1538" s="719"/>
      <c r="G1538" s="719"/>
      <c r="H1538" s="638">
        <f>SUMIF(F1534:F1537,("h"),H1534:H1537)</f>
        <v>5.92</v>
      </c>
    </row>
    <row r="1539" spans="1:8" s="201" customFormat="1">
      <c r="A1539" s="582"/>
      <c r="B1539" s="582"/>
      <c r="C1539" s="212"/>
      <c r="D1539" s="719" t="s">
        <v>128</v>
      </c>
      <c r="E1539" s="719"/>
      <c r="F1539" s="719"/>
      <c r="G1539" s="719"/>
      <c r="H1539" s="638">
        <f>SUMIF(F1534:F1537,"&lt;&gt;h",H1534:H1537)</f>
        <v>4.88</v>
      </c>
    </row>
    <row r="1540" spans="1:8" s="201" customFormat="1">
      <c r="A1540" s="582"/>
      <c r="B1540" s="582"/>
      <c r="C1540" s="212"/>
      <c r="D1540" s="718" t="s">
        <v>129</v>
      </c>
      <c r="E1540" s="718"/>
      <c r="F1540" s="718"/>
      <c r="G1540" s="718"/>
      <c r="H1540" s="213">
        <f>SUM(H1538:H1539)</f>
        <v>10.8</v>
      </c>
    </row>
    <row r="1541" spans="1:8" s="201" customFormat="1">
      <c r="A1541" s="582"/>
      <c r="B1541" s="582"/>
      <c r="C1541" s="212"/>
      <c r="D1541" s="719" t="s">
        <v>28</v>
      </c>
      <c r="E1541" s="719"/>
      <c r="F1541" s="719"/>
      <c r="G1541" s="719"/>
      <c r="H1541" s="639">
        <f>E1533</f>
        <v>1</v>
      </c>
    </row>
    <row r="1542" spans="1:8" s="201" customFormat="1">
      <c r="A1542" s="582"/>
      <c r="B1542" s="582"/>
      <c r="C1542" s="212"/>
      <c r="D1542" s="718" t="s">
        <v>130</v>
      </c>
      <c r="E1542" s="718"/>
      <c r="F1542" s="718"/>
      <c r="G1542" s="718"/>
      <c r="H1542" s="213">
        <f>ROUND(H1540*H1541,2)</f>
        <v>10.8</v>
      </c>
    </row>
    <row r="1543" spans="1:8" s="201" customFormat="1">
      <c r="A1543" s="582"/>
      <c r="B1543" s="582"/>
      <c r="C1543" s="212"/>
      <c r="D1543" s="719" t="s">
        <v>15559</v>
      </c>
      <c r="E1543" s="719"/>
      <c r="F1543" s="719"/>
      <c r="G1543" s="719"/>
      <c r="H1543" s="638">
        <f>ROUND(H1540*$B$13,2)</f>
        <v>2.91</v>
      </c>
    </row>
    <row r="1544" spans="1:8">
      <c r="A1544" s="582"/>
      <c r="B1544" s="582"/>
      <c r="C1544" s="212"/>
      <c r="D1544" s="718" t="s">
        <v>9661</v>
      </c>
      <c r="E1544" s="718"/>
      <c r="F1544" s="718"/>
      <c r="G1544" s="718"/>
      <c r="H1544" s="213">
        <f>H1543+H1540</f>
        <v>13.71</v>
      </c>
    </row>
    <row r="1546" spans="1:8" s="201" customFormat="1">
      <c r="A1546" s="123" t="s">
        <v>6</v>
      </c>
      <c r="B1546" s="720" t="s">
        <v>7</v>
      </c>
      <c r="C1546" s="720"/>
      <c r="D1546" s="202" t="s">
        <v>124</v>
      </c>
      <c r="E1546" s="167" t="s">
        <v>6334</v>
      </c>
      <c r="F1546" s="202" t="s">
        <v>31</v>
      </c>
      <c r="G1546" s="203" t="s">
        <v>125</v>
      </c>
      <c r="H1546" s="204" t="s">
        <v>126</v>
      </c>
    </row>
    <row r="1547" spans="1:8" s="208" customFormat="1" ht="45">
      <c r="A1547" s="581" t="str">
        <f>'Orç - Prédio'!A257</f>
        <v>05.01.207.01</v>
      </c>
      <c r="B1547" s="216" t="str">
        <f>'Orç - Prédio'!B259</f>
        <v>SINAPI</v>
      </c>
      <c r="C1547" s="216" t="str">
        <f>'Orç - Prédio'!C259</f>
        <v>89366 MOD 1</v>
      </c>
      <c r="D1547" s="217" t="s">
        <v>7059</v>
      </c>
      <c r="E1547" s="206">
        <v>55</v>
      </c>
      <c r="F1547" s="216" t="s">
        <v>6337</v>
      </c>
      <c r="G1547" s="207">
        <f>VLOOKUP("CUSTO TOTAL UNIT.:",D1548:$H$30004,5,FALSE)</f>
        <v>6.8999999999999995</v>
      </c>
      <c r="H1547" s="637">
        <f>VLOOKUP("CUSTO TOTAL:",D1548:$H$30004,5,FALSE)</f>
        <v>379.5</v>
      </c>
    </row>
    <row r="1548" spans="1:8" s="124" customFormat="1" ht="30">
      <c r="A1548" s="721">
        <v>122</v>
      </c>
      <c r="B1548" s="721"/>
      <c r="C1548" s="200" t="s">
        <v>5256</v>
      </c>
      <c r="D1548" s="139" t="s">
        <v>9842</v>
      </c>
      <c r="E1548" s="209">
        <v>7.0000000000000001E-3</v>
      </c>
      <c r="F1548" s="577" t="s">
        <v>40</v>
      </c>
      <c r="G1548" s="210">
        <v>45.214200000000005</v>
      </c>
      <c r="H1548" s="211">
        <f t="shared" ref="H1548:H1553" si="54">ROUND(G1548*E1548,2)</f>
        <v>0.32</v>
      </c>
    </row>
    <row r="1549" spans="1:8" s="124" customFormat="1" ht="45">
      <c r="A1549" s="721">
        <v>3496</v>
      </c>
      <c r="B1549" s="721"/>
      <c r="C1549" s="200" t="s">
        <v>5256</v>
      </c>
      <c r="D1549" s="139" t="s">
        <v>12271</v>
      </c>
      <c r="E1549" s="209">
        <v>1</v>
      </c>
      <c r="F1549" s="577" t="s">
        <v>40</v>
      </c>
      <c r="G1549" s="210">
        <v>2.1141000000000001</v>
      </c>
      <c r="H1549" s="211">
        <f t="shared" si="54"/>
        <v>2.11</v>
      </c>
    </row>
    <row r="1550" spans="1:8" s="124" customFormat="1" ht="30">
      <c r="A1550" s="721">
        <v>20083</v>
      </c>
      <c r="B1550" s="721"/>
      <c r="C1550" s="200" t="s">
        <v>5256</v>
      </c>
      <c r="D1550" s="139" t="s">
        <v>13883</v>
      </c>
      <c r="E1550" s="209">
        <v>8.0000000000000002E-3</v>
      </c>
      <c r="F1550" s="577" t="s">
        <v>40</v>
      </c>
      <c r="G1550" s="210">
        <v>39.268799999999999</v>
      </c>
      <c r="H1550" s="211">
        <f t="shared" si="54"/>
        <v>0.31</v>
      </c>
    </row>
    <row r="1551" spans="1:8" s="124" customFormat="1">
      <c r="A1551" s="721">
        <v>38383</v>
      </c>
      <c r="B1551" s="721"/>
      <c r="C1551" s="200" t="s">
        <v>5256</v>
      </c>
      <c r="D1551" s="139" t="s">
        <v>12544</v>
      </c>
      <c r="E1551" s="209">
        <v>0.05</v>
      </c>
      <c r="F1551" s="577" t="s">
        <v>40</v>
      </c>
      <c r="G1551" s="210">
        <v>1.3689</v>
      </c>
      <c r="H1551" s="211">
        <f t="shared" si="54"/>
        <v>7.0000000000000007E-2</v>
      </c>
    </row>
    <row r="1552" spans="1:8" s="124" customFormat="1" ht="45">
      <c r="A1552" s="721">
        <v>88248</v>
      </c>
      <c r="B1552" s="721"/>
      <c r="C1552" s="200" t="s">
        <v>5256</v>
      </c>
      <c r="D1552" s="139" t="s">
        <v>76</v>
      </c>
      <c r="E1552" s="209">
        <v>0.15</v>
      </c>
      <c r="F1552" s="577" t="s">
        <v>67</v>
      </c>
      <c r="G1552" s="210">
        <v>12.028500000000001</v>
      </c>
      <c r="H1552" s="211">
        <f t="shared" si="54"/>
        <v>1.8</v>
      </c>
    </row>
    <row r="1553" spans="1:8" s="124" customFormat="1" ht="30">
      <c r="A1553" s="721">
        <v>88267</v>
      </c>
      <c r="B1553" s="721"/>
      <c r="C1553" s="200" t="s">
        <v>5256</v>
      </c>
      <c r="D1553" s="139" t="s">
        <v>86</v>
      </c>
      <c r="E1553" s="209">
        <v>0.15</v>
      </c>
      <c r="F1553" s="577" t="s">
        <v>67</v>
      </c>
      <c r="G1553" s="210">
        <v>15.2766</v>
      </c>
      <c r="H1553" s="211">
        <f t="shared" si="54"/>
        <v>2.29</v>
      </c>
    </row>
    <row r="1554" spans="1:8" s="201" customFormat="1">
      <c r="A1554" s="582"/>
      <c r="B1554" s="582"/>
      <c r="C1554" s="212"/>
      <c r="D1554" s="719" t="s">
        <v>127</v>
      </c>
      <c r="E1554" s="719"/>
      <c r="F1554" s="719"/>
      <c r="G1554" s="719"/>
      <c r="H1554" s="638">
        <f>SUMIF(F1548:F1553,("h"),H1548:H1553)</f>
        <v>4.09</v>
      </c>
    </row>
    <row r="1555" spans="1:8" s="201" customFormat="1">
      <c r="A1555" s="582"/>
      <c r="B1555" s="582"/>
      <c r="C1555" s="212"/>
      <c r="D1555" s="719" t="s">
        <v>128</v>
      </c>
      <c r="E1555" s="719"/>
      <c r="F1555" s="719"/>
      <c r="G1555" s="719"/>
      <c r="H1555" s="638">
        <f>SUMIF(F1548:F1553,"&lt;&gt;h",H1548:H1553)</f>
        <v>2.8099999999999996</v>
      </c>
    </row>
    <row r="1556" spans="1:8" s="201" customFormat="1">
      <c r="A1556" s="582"/>
      <c r="B1556" s="582"/>
      <c r="C1556" s="212"/>
      <c r="D1556" s="718" t="s">
        <v>129</v>
      </c>
      <c r="E1556" s="718"/>
      <c r="F1556" s="718"/>
      <c r="G1556" s="718"/>
      <c r="H1556" s="213">
        <f>SUM(H1554:H1555)</f>
        <v>6.8999999999999995</v>
      </c>
    </row>
    <row r="1557" spans="1:8" s="201" customFormat="1">
      <c r="A1557" s="582"/>
      <c r="B1557" s="582"/>
      <c r="C1557" s="212"/>
      <c r="D1557" s="719" t="s">
        <v>28</v>
      </c>
      <c r="E1557" s="719"/>
      <c r="F1557" s="719"/>
      <c r="G1557" s="719"/>
      <c r="H1557" s="639">
        <f>E1547</f>
        <v>55</v>
      </c>
    </row>
    <row r="1558" spans="1:8" s="201" customFormat="1">
      <c r="A1558" s="582"/>
      <c r="B1558" s="582"/>
      <c r="C1558" s="212"/>
      <c r="D1558" s="718" t="s">
        <v>130</v>
      </c>
      <c r="E1558" s="718"/>
      <c r="F1558" s="718"/>
      <c r="G1558" s="718"/>
      <c r="H1558" s="213">
        <f>ROUND(H1556*H1557,2)</f>
        <v>379.5</v>
      </c>
    </row>
    <row r="1559" spans="1:8" s="201" customFormat="1">
      <c r="A1559" s="582"/>
      <c r="B1559" s="582"/>
      <c r="C1559" s="212"/>
      <c r="D1559" s="719" t="s">
        <v>15559</v>
      </c>
      <c r="E1559" s="719"/>
      <c r="F1559" s="719"/>
      <c r="G1559" s="719"/>
      <c r="H1559" s="638">
        <f>ROUND(H1556*$B$13,2)</f>
        <v>1.86</v>
      </c>
    </row>
    <row r="1560" spans="1:8">
      <c r="A1560" s="582"/>
      <c r="B1560" s="582"/>
      <c r="C1560" s="212"/>
      <c r="D1560" s="718" t="s">
        <v>9661</v>
      </c>
      <c r="E1560" s="718"/>
      <c r="F1560" s="718"/>
      <c r="G1560" s="718"/>
      <c r="H1560" s="213">
        <f>H1559+H1556</f>
        <v>8.76</v>
      </c>
    </row>
    <row r="1562" spans="1:8" s="201" customFormat="1">
      <c r="A1562" s="123" t="s">
        <v>6</v>
      </c>
      <c r="B1562" s="720" t="s">
        <v>7</v>
      </c>
      <c r="C1562" s="720"/>
      <c r="D1562" s="202" t="s">
        <v>124</v>
      </c>
      <c r="E1562" s="167" t="s">
        <v>6334</v>
      </c>
      <c r="F1562" s="202" t="s">
        <v>31</v>
      </c>
      <c r="G1562" s="203" t="s">
        <v>125</v>
      </c>
      <c r="H1562" s="204" t="s">
        <v>126</v>
      </c>
    </row>
    <row r="1563" spans="1:8" s="208" customFormat="1" ht="45">
      <c r="A1563" s="581" t="str">
        <f>'Orç - Prédio'!A260</f>
        <v>05.01.207.04</v>
      </c>
      <c r="B1563" s="216" t="str">
        <f>'Orç - Prédio'!B260</f>
        <v>SINAPI</v>
      </c>
      <c r="C1563" s="216" t="str">
        <f>'Orç - Prédio'!C260</f>
        <v>89366 MOD 2</v>
      </c>
      <c r="D1563" s="217" t="s">
        <v>7060</v>
      </c>
      <c r="E1563" s="206">
        <v>10</v>
      </c>
      <c r="F1563" s="216" t="s">
        <v>6337</v>
      </c>
      <c r="G1563" s="207">
        <f>VLOOKUP("CUSTO TOTAL UNIT.:",D1564:$H$30004,5,FALSE)</f>
        <v>12.25</v>
      </c>
      <c r="H1563" s="637">
        <f>VLOOKUP("CUSTO TOTAL:",D1564:$H$30004,5,FALSE)</f>
        <v>122.5</v>
      </c>
    </row>
    <row r="1564" spans="1:8" s="124" customFormat="1" ht="30">
      <c r="A1564" s="721">
        <v>122</v>
      </c>
      <c r="B1564" s="721"/>
      <c r="C1564" s="200" t="s">
        <v>5256</v>
      </c>
      <c r="D1564" s="139" t="s">
        <v>9842</v>
      </c>
      <c r="E1564" s="209">
        <v>7.0000000000000001E-3</v>
      </c>
      <c r="F1564" s="577" t="s">
        <v>40</v>
      </c>
      <c r="G1564" s="210">
        <v>45.214200000000005</v>
      </c>
      <c r="H1564" s="211">
        <f t="shared" ref="H1564:H1569" si="55">ROUND(G1564*E1564,2)</f>
        <v>0.32</v>
      </c>
    </row>
    <row r="1565" spans="1:8" s="124" customFormat="1" ht="45">
      <c r="A1565" s="721">
        <v>3532</v>
      </c>
      <c r="B1565" s="721"/>
      <c r="C1565" s="200" t="s">
        <v>5256</v>
      </c>
      <c r="D1565" s="139" t="s">
        <v>12306</v>
      </c>
      <c r="E1565" s="209">
        <v>1</v>
      </c>
      <c r="F1565" s="577" t="s">
        <v>40</v>
      </c>
      <c r="G1565" s="210">
        <v>7.4601000000000015</v>
      </c>
      <c r="H1565" s="211">
        <f t="shared" si="55"/>
        <v>7.46</v>
      </c>
    </row>
    <row r="1566" spans="1:8" s="124" customFormat="1" ht="30">
      <c r="A1566" s="721">
        <v>20083</v>
      </c>
      <c r="B1566" s="721"/>
      <c r="C1566" s="200" t="s">
        <v>5256</v>
      </c>
      <c r="D1566" s="139" t="s">
        <v>13883</v>
      </c>
      <c r="E1566" s="209">
        <v>8.0000000000000002E-3</v>
      </c>
      <c r="F1566" s="577" t="s">
        <v>40</v>
      </c>
      <c r="G1566" s="210">
        <v>39.268799999999999</v>
      </c>
      <c r="H1566" s="211">
        <f t="shared" si="55"/>
        <v>0.31</v>
      </c>
    </row>
    <row r="1567" spans="1:8" s="124" customFormat="1">
      <c r="A1567" s="721">
        <v>38383</v>
      </c>
      <c r="B1567" s="721"/>
      <c r="C1567" s="200" t="s">
        <v>5256</v>
      </c>
      <c r="D1567" s="139" t="s">
        <v>12544</v>
      </c>
      <c r="E1567" s="209">
        <v>0.05</v>
      </c>
      <c r="F1567" s="577" t="s">
        <v>40</v>
      </c>
      <c r="G1567" s="210">
        <v>1.3689</v>
      </c>
      <c r="H1567" s="211">
        <f t="shared" si="55"/>
        <v>7.0000000000000007E-2</v>
      </c>
    </row>
    <row r="1568" spans="1:8" s="124" customFormat="1" ht="45">
      <c r="A1568" s="721">
        <v>88248</v>
      </c>
      <c r="B1568" s="721"/>
      <c r="C1568" s="200" t="s">
        <v>5256</v>
      </c>
      <c r="D1568" s="139" t="s">
        <v>76</v>
      </c>
      <c r="E1568" s="209">
        <v>0.15</v>
      </c>
      <c r="F1568" s="577" t="s">
        <v>67</v>
      </c>
      <c r="G1568" s="210">
        <v>12.028500000000001</v>
      </c>
      <c r="H1568" s="211">
        <f t="shared" si="55"/>
        <v>1.8</v>
      </c>
    </row>
    <row r="1569" spans="1:8" s="124" customFormat="1" ht="30">
      <c r="A1569" s="721">
        <v>88267</v>
      </c>
      <c r="B1569" s="721"/>
      <c r="C1569" s="200" t="s">
        <v>5256</v>
      </c>
      <c r="D1569" s="139" t="s">
        <v>86</v>
      </c>
      <c r="E1569" s="209">
        <v>0.15</v>
      </c>
      <c r="F1569" s="577" t="s">
        <v>67</v>
      </c>
      <c r="G1569" s="210">
        <v>15.2766</v>
      </c>
      <c r="H1569" s="211">
        <f t="shared" si="55"/>
        <v>2.29</v>
      </c>
    </row>
    <row r="1570" spans="1:8" s="201" customFormat="1">
      <c r="A1570" s="582"/>
      <c r="B1570" s="582"/>
      <c r="C1570" s="212"/>
      <c r="D1570" s="719" t="s">
        <v>127</v>
      </c>
      <c r="E1570" s="719"/>
      <c r="F1570" s="719"/>
      <c r="G1570" s="719"/>
      <c r="H1570" s="638">
        <f>SUMIF(F1564:F1569,("h"),H1564:H1569)</f>
        <v>4.09</v>
      </c>
    </row>
    <row r="1571" spans="1:8" s="201" customFormat="1">
      <c r="A1571" s="582"/>
      <c r="B1571" s="582"/>
      <c r="C1571" s="212"/>
      <c r="D1571" s="719" t="s">
        <v>128</v>
      </c>
      <c r="E1571" s="719"/>
      <c r="F1571" s="719"/>
      <c r="G1571" s="719"/>
      <c r="H1571" s="638">
        <f>SUMIF(F1564:F1569,"&lt;&gt;h",H1564:H1569)</f>
        <v>8.16</v>
      </c>
    </row>
    <row r="1572" spans="1:8" s="201" customFormat="1">
      <c r="A1572" s="582"/>
      <c r="B1572" s="582"/>
      <c r="C1572" s="212"/>
      <c r="D1572" s="718" t="s">
        <v>129</v>
      </c>
      <c r="E1572" s="718"/>
      <c r="F1572" s="718"/>
      <c r="G1572" s="718"/>
      <c r="H1572" s="213">
        <f>SUM(H1570:H1571)</f>
        <v>12.25</v>
      </c>
    </row>
    <row r="1573" spans="1:8" s="201" customFormat="1">
      <c r="A1573" s="582"/>
      <c r="B1573" s="582"/>
      <c r="C1573" s="212"/>
      <c r="D1573" s="719" t="s">
        <v>28</v>
      </c>
      <c r="E1573" s="719"/>
      <c r="F1573" s="719"/>
      <c r="G1573" s="719"/>
      <c r="H1573" s="639">
        <f>E1563</f>
        <v>10</v>
      </c>
    </row>
    <row r="1574" spans="1:8" s="201" customFormat="1">
      <c r="A1574" s="582"/>
      <c r="B1574" s="582"/>
      <c r="C1574" s="212"/>
      <c r="D1574" s="718" t="s">
        <v>130</v>
      </c>
      <c r="E1574" s="718"/>
      <c r="F1574" s="718"/>
      <c r="G1574" s="718"/>
      <c r="H1574" s="213">
        <f>ROUND(H1572*H1573,2)</f>
        <v>122.5</v>
      </c>
    </row>
    <row r="1575" spans="1:8" s="201" customFormat="1">
      <c r="A1575" s="582"/>
      <c r="B1575" s="582"/>
      <c r="C1575" s="212"/>
      <c r="D1575" s="719" t="s">
        <v>15559</v>
      </c>
      <c r="E1575" s="719"/>
      <c r="F1575" s="719"/>
      <c r="G1575" s="719"/>
      <c r="H1575" s="638">
        <f>ROUND(H1572*$B$13,2)</f>
        <v>3.3</v>
      </c>
    </row>
    <row r="1576" spans="1:8">
      <c r="A1576" s="582"/>
      <c r="B1576" s="582"/>
      <c r="C1576" s="212"/>
      <c r="D1576" s="718" t="s">
        <v>9661</v>
      </c>
      <c r="E1576" s="718"/>
      <c r="F1576" s="718"/>
      <c r="G1576" s="718"/>
      <c r="H1576" s="213">
        <f>H1575+H1572</f>
        <v>15.55</v>
      </c>
    </row>
    <row r="1578" spans="1:8" s="201" customFormat="1">
      <c r="A1578" s="123" t="s">
        <v>6</v>
      </c>
      <c r="B1578" s="720" t="s">
        <v>7</v>
      </c>
      <c r="C1578" s="720"/>
      <c r="D1578" s="202" t="s">
        <v>124</v>
      </c>
      <c r="E1578" s="167" t="s">
        <v>6334</v>
      </c>
      <c r="F1578" s="202" t="s">
        <v>31</v>
      </c>
      <c r="G1578" s="203" t="s">
        <v>125</v>
      </c>
      <c r="H1578" s="204" t="s">
        <v>126</v>
      </c>
    </row>
    <row r="1579" spans="1:8" s="208" customFormat="1" ht="45">
      <c r="A1579" s="581" t="str">
        <f>'Orç - Prédio'!A261</f>
        <v>05.01.207.05</v>
      </c>
      <c r="B1579" s="216" t="str">
        <f>'Orç - Prédio'!B261</f>
        <v>SINAPI</v>
      </c>
      <c r="C1579" s="216" t="str">
        <f>'Orç - Prédio'!C261</f>
        <v>89366 MOD 3</v>
      </c>
      <c r="D1579" s="217" t="s">
        <v>7061</v>
      </c>
      <c r="E1579" s="206">
        <v>52</v>
      </c>
      <c r="F1579" s="216" t="s">
        <v>6337</v>
      </c>
      <c r="G1579" s="207">
        <f>VLOOKUP("CUSTO TOTAL UNIT.:",D1580:$H$30004,5,FALSE)</f>
        <v>12.290000000000001</v>
      </c>
      <c r="H1579" s="637">
        <f>VLOOKUP("CUSTO TOTAL:",D1580:$H$30004,5,FALSE)</f>
        <v>639.08000000000004</v>
      </c>
    </row>
    <row r="1580" spans="1:8" s="124" customFormat="1" ht="30">
      <c r="A1580" s="721">
        <v>122</v>
      </c>
      <c r="B1580" s="721"/>
      <c r="C1580" s="200" t="s">
        <v>5256</v>
      </c>
      <c r="D1580" s="139" t="s">
        <v>9842</v>
      </c>
      <c r="E1580" s="209">
        <v>7.0000000000000001E-3</v>
      </c>
      <c r="F1580" s="577" t="s">
        <v>40</v>
      </c>
      <c r="G1580" s="210">
        <v>45.214200000000005</v>
      </c>
      <c r="H1580" s="211">
        <f t="shared" ref="H1580:H1585" si="56">ROUND(G1580*E1580,2)</f>
        <v>0.32</v>
      </c>
    </row>
    <row r="1581" spans="1:8" s="124" customFormat="1" ht="30">
      <c r="A1581" s="721">
        <v>3489</v>
      </c>
      <c r="B1581" s="721"/>
      <c r="C1581" s="200" t="s">
        <v>5256</v>
      </c>
      <c r="D1581" s="139" t="s">
        <v>12369</v>
      </c>
      <c r="E1581" s="209">
        <v>1</v>
      </c>
      <c r="F1581" s="577" t="s">
        <v>40</v>
      </c>
      <c r="G1581" s="210">
        <v>7.5006000000000004</v>
      </c>
      <c r="H1581" s="211">
        <f t="shared" si="56"/>
        <v>7.5</v>
      </c>
    </row>
    <row r="1582" spans="1:8" s="124" customFormat="1" ht="30">
      <c r="A1582" s="721">
        <v>20083</v>
      </c>
      <c r="B1582" s="721"/>
      <c r="C1582" s="200" t="s">
        <v>5256</v>
      </c>
      <c r="D1582" s="139" t="s">
        <v>13883</v>
      </c>
      <c r="E1582" s="209">
        <v>8.0000000000000002E-3</v>
      </c>
      <c r="F1582" s="577" t="s">
        <v>40</v>
      </c>
      <c r="G1582" s="210">
        <v>39.268799999999999</v>
      </c>
      <c r="H1582" s="211">
        <f t="shared" si="56"/>
        <v>0.31</v>
      </c>
    </row>
    <row r="1583" spans="1:8" s="124" customFormat="1">
      <c r="A1583" s="721">
        <v>38383</v>
      </c>
      <c r="B1583" s="721"/>
      <c r="C1583" s="200" t="s">
        <v>5256</v>
      </c>
      <c r="D1583" s="139" t="s">
        <v>12544</v>
      </c>
      <c r="E1583" s="209">
        <v>0.05</v>
      </c>
      <c r="F1583" s="577" t="s">
        <v>40</v>
      </c>
      <c r="G1583" s="210">
        <v>1.3689</v>
      </c>
      <c r="H1583" s="211">
        <f t="shared" si="56"/>
        <v>7.0000000000000007E-2</v>
      </c>
    </row>
    <row r="1584" spans="1:8" s="124" customFormat="1" ht="45">
      <c r="A1584" s="721">
        <v>88248</v>
      </c>
      <c r="B1584" s="721"/>
      <c r="C1584" s="200" t="s">
        <v>5256</v>
      </c>
      <c r="D1584" s="139" t="s">
        <v>76</v>
      </c>
      <c r="E1584" s="209">
        <v>0.15</v>
      </c>
      <c r="F1584" s="577" t="s">
        <v>67</v>
      </c>
      <c r="G1584" s="210">
        <v>12.028500000000001</v>
      </c>
      <c r="H1584" s="211">
        <f t="shared" si="56"/>
        <v>1.8</v>
      </c>
    </row>
    <row r="1585" spans="1:8" s="124" customFormat="1" ht="30">
      <c r="A1585" s="721">
        <v>88267</v>
      </c>
      <c r="B1585" s="721"/>
      <c r="C1585" s="200" t="s">
        <v>5256</v>
      </c>
      <c r="D1585" s="139" t="s">
        <v>86</v>
      </c>
      <c r="E1585" s="209">
        <v>0.15</v>
      </c>
      <c r="F1585" s="577" t="s">
        <v>67</v>
      </c>
      <c r="G1585" s="210">
        <v>15.2766</v>
      </c>
      <c r="H1585" s="211">
        <f t="shared" si="56"/>
        <v>2.29</v>
      </c>
    </row>
    <row r="1586" spans="1:8" s="201" customFormat="1">
      <c r="A1586" s="582"/>
      <c r="B1586" s="582"/>
      <c r="C1586" s="212"/>
      <c r="D1586" s="719" t="s">
        <v>127</v>
      </c>
      <c r="E1586" s="719"/>
      <c r="F1586" s="719"/>
      <c r="G1586" s="719"/>
      <c r="H1586" s="638">
        <f>SUMIF(F1580:F1585,("h"),H1580:H1585)</f>
        <v>4.09</v>
      </c>
    </row>
    <row r="1587" spans="1:8" s="201" customFormat="1">
      <c r="A1587" s="582"/>
      <c r="B1587" s="582"/>
      <c r="C1587" s="212"/>
      <c r="D1587" s="719" t="s">
        <v>128</v>
      </c>
      <c r="E1587" s="719"/>
      <c r="F1587" s="719"/>
      <c r="G1587" s="719"/>
      <c r="H1587" s="638">
        <f>SUMIF(F1580:F1585,"&lt;&gt;h",H1580:H1585)</f>
        <v>8.2000000000000011</v>
      </c>
    </row>
    <row r="1588" spans="1:8" s="201" customFormat="1">
      <c r="A1588" s="582"/>
      <c r="B1588" s="582"/>
      <c r="C1588" s="212"/>
      <c r="D1588" s="718" t="s">
        <v>129</v>
      </c>
      <c r="E1588" s="718"/>
      <c r="F1588" s="718"/>
      <c r="G1588" s="718"/>
      <c r="H1588" s="213">
        <f>SUM(H1586:H1587)</f>
        <v>12.290000000000001</v>
      </c>
    </row>
    <row r="1589" spans="1:8" s="201" customFormat="1">
      <c r="A1589" s="582"/>
      <c r="B1589" s="582"/>
      <c r="C1589" s="212"/>
      <c r="D1589" s="719" t="s">
        <v>28</v>
      </c>
      <c r="E1589" s="719"/>
      <c r="F1589" s="719"/>
      <c r="G1589" s="719"/>
      <c r="H1589" s="639">
        <f>E1579</f>
        <v>52</v>
      </c>
    </row>
    <row r="1590" spans="1:8" s="201" customFormat="1">
      <c r="A1590" s="582"/>
      <c r="B1590" s="582"/>
      <c r="C1590" s="212"/>
      <c r="D1590" s="718" t="s">
        <v>130</v>
      </c>
      <c r="E1590" s="718"/>
      <c r="F1590" s="718"/>
      <c r="G1590" s="718"/>
      <c r="H1590" s="213">
        <f>ROUND(H1588*H1589,2)</f>
        <v>639.08000000000004</v>
      </c>
    </row>
    <row r="1591" spans="1:8" s="201" customFormat="1">
      <c r="A1591" s="582"/>
      <c r="B1591" s="582"/>
      <c r="C1591" s="212"/>
      <c r="D1591" s="719" t="s">
        <v>15559</v>
      </c>
      <c r="E1591" s="719"/>
      <c r="F1591" s="719"/>
      <c r="G1591" s="719"/>
      <c r="H1591" s="638">
        <f>ROUND(H1588*$B$13,2)</f>
        <v>3.31</v>
      </c>
    </row>
    <row r="1592" spans="1:8">
      <c r="A1592" s="582"/>
      <c r="B1592" s="582"/>
      <c r="C1592" s="212"/>
      <c r="D1592" s="718" t="s">
        <v>9661</v>
      </c>
      <c r="E1592" s="718"/>
      <c r="F1592" s="718"/>
      <c r="G1592" s="718"/>
      <c r="H1592" s="213">
        <f>H1591+H1588</f>
        <v>15.600000000000001</v>
      </c>
    </row>
    <row r="1594" spans="1:8" s="201" customFormat="1">
      <c r="A1594" s="123" t="s">
        <v>6</v>
      </c>
      <c r="B1594" s="720" t="s">
        <v>7</v>
      </c>
      <c r="C1594" s="720"/>
      <c r="D1594" s="202" t="s">
        <v>124</v>
      </c>
      <c r="E1594" s="167" t="s">
        <v>6334</v>
      </c>
      <c r="F1594" s="202" t="s">
        <v>31</v>
      </c>
      <c r="G1594" s="203" t="s">
        <v>125</v>
      </c>
      <c r="H1594" s="204" t="s">
        <v>126</v>
      </c>
    </row>
    <row r="1595" spans="1:8" s="208" customFormat="1" ht="45">
      <c r="A1595" s="581" t="str">
        <f>'Orç - Prédio'!A262</f>
        <v>05.01.207.06</v>
      </c>
      <c r="B1595" s="216" t="str">
        <f>'Orç - Prédio'!B262</f>
        <v>SINAPI</v>
      </c>
      <c r="C1595" s="216" t="str">
        <f>'Orç - Prédio'!C262</f>
        <v>89367 MOD</v>
      </c>
      <c r="D1595" s="217" t="s">
        <v>7062</v>
      </c>
      <c r="E1595" s="206">
        <v>16</v>
      </c>
      <c r="F1595" s="216" t="s">
        <v>6337</v>
      </c>
      <c r="G1595" s="207">
        <f>VLOOKUP("CUSTO TOTAL UNIT.:",D1596:$H$30004,5,FALSE)</f>
        <v>8.01</v>
      </c>
      <c r="H1595" s="637">
        <f>VLOOKUP("CUSTO TOTAL:",D1596:$H$30004,5,FALSE)</f>
        <v>128.16</v>
      </c>
    </row>
    <row r="1596" spans="1:8" s="124" customFormat="1" ht="30">
      <c r="A1596" s="721">
        <v>122</v>
      </c>
      <c r="B1596" s="721"/>
      <c r="C1596" s="200" t="s">
        <v>5256</v>
      </c>
      <c r="D1596" s="139" t="s">
        <v>9842</v>
      </c>
      <c r="E1596" s="209">
        <v>8.9999999999999993E-3</v>
      </c>
      <c r="F1596" s="577" t="s">
        <v>40</v>
      </c>
      <c r="G1596" s="210">
        <v>45.214200000000005</v>
      </c>
      <c r="H1596" s="211">
        <f t="shared" ref="H1596:H1601" si="57">ROUND(G1596*E1596,2)</f>
        <v>0.41</v>
      </c>
    </row>
    <row r="1597" spans="1:8" s="124" customFormat="1" ht="45">
      <c r="A1597" s="721">
        <v>3538</v>
      </c>
      <c r="B1597" s="721"/>
      <c r="C1597" s="200" t="s">
        <v>5256</v>
      </c>
      <c r="D1597" s="139" t="s">
        <v>12268</v>
      </c>
      <c r="E1597" s="209">
        <v>1</v>
      </c>
      <c r="F1597" s="577" t="s">
        <v>40</v>
      </c>
      <c r="G1597" s="210">
        <v>2.2113</v>
      </c>
      <c r="H1597" s="211">
        <f t="shared" si="57"/>
        <v>2.21</v>
      </c>
    </row>
    <row r="1598" spans="1:8" s="124" customFormat="1" ht="30">
      <c r="A1598" s="721">
        <v>20083</v>
      </c>
      <c r="B1598" s="721"/>
      <c r="C1598" s="200" t="s">
        <v>5256</v>
      </c>
      <c r="D1598" s="139" t="s">
        <v>13883</v>
      </c>
      <c r="E1598" s="209">
        <v>1.0999999999999999E-2</v>
      </c>
      <c r="F1598" s="577" t="s">
        <v>40</v>
      </c>
      <c r="G1598" s="210">
        <v>39.268799999999999</v>
      </c>
      <c r="H1598" s="211">
        <f t="shared" si="57"/>
        <v>0.43</v>
      </c>
    </row>
    <row r="1599" spans="1:8" s="124" customFormat="1">
      <c r="A1599" s="721">
        <v>38383</v>
      </c>
      <c r="B1599" s="721"/>
      <c r="C1599" s="200" t="s">
        <v>5256</v>
      </c>
      <c r="D1599" s="139" t="s">
        <v>12544</v>
      </c>
      <c r="E1599" s="209">
        <v>0.06</v>
      </c>
      <c r="F1599" s="577" t="s">
        <v>40</v>
      </c>
      <c r="G1599" s="210">
        <v>1.3689</v>
      </c>
      <c r="H1599" s="211">
        <f t="shared" si="57"/>
        <v>0.08</v>
      </c>
    </row>
    <row r="1600" spans="1:8" s="124" customFormat="1" ht="45">
      <c r="A1600" s="721">
        <v>88248</v>
      </c>
      <c r="B1600" s="721"/>
      <c r="C1600" s="200" t="s">
        <v>5256</v>
      </c>
      <c r="D1600" s="139" t="s">
        <v>76</v>
      </c>
      <c r="E1600" s="209">
        <v>0.17899999999999999</v>
      </c>
      <c r="F1600" s="577" t="s">
        <v>67</v>
      </c>
      <c r="G1600" s="210">
        <v>12.028500000000001</v>
      </c>
      <c r="H1600" s="211">
        <f t="shared" si="57"/>
        <v>2.15</v>
      </c>
    </row>
    <row r="1601" spans="1:8" s="124" customFormat="1" ht="30">
      <c r="A1601" s="721">
        <v>88267</v>
      </c>
      <c r="B1601" s="721"/>
      <c r="C1601" s="200" t="s">
        <v>5256</v>
      </c>
      <c r="D1601" s="139" t="s">
        <v>86</v>
      </c>
      <c r="E1601" s="209">
        <v>0.17899999999999999</v>
      </c>
      <c r="F1601" s="577" t="s">
        <v>67</v>
      </c>
      <c r="G1601" s="210">
        <v>15.2766</v>
      </c>
      <c r="H1601" s="211">
        <f t="shared" si="57"/>
        <v>2.73</v>
      </c>
    </row>
    <row r="1602" spans="1:8" s="201" customFormat="1">
      <c r="A1602" s="582"/>
      <c r="B1602" s="582"/>
      <c r="C1602" s="212"/>
      <c r="D1602" s="719" t="s">
        <v>127</v>
      </c>
      <c r="E1602" s="719"/>
      <c r="F1602" s="719"/>
      <c r="G1602" s="719"/>
      <c r="H1602" s="638">
        <f>SUMIF(F1596:F1601,("h"),H1596:H1601)</f>
        <v>4.88</v>
      </c>
    </row>
    <row r="1603" spans="1:8" s="201" customFormat="1">
      <c r="A1603" s="582"/>
      <c r="B1603" s="582"/>
      <c r="C1603" s="212"/>
      <c r="D1603" s="719" t="s">
        <v>128</v>
      </c>
      <c r="E1603" s="719"/>
      <c r="F1603" s="719"/>
      <c r="G1603" s="719"/>
      <c r="H1603" s="638">
        <f>SUMIF(F1596:F1601,"&lt;&gt;h",H1596:H1601)</f>
        <v>3.1300000000000003</v>
      </c>
    </row>
    <row r="1604" spans="1:8" s="201" customFormat="1">
      <c r="A1604" s="582"/>
      <c r="B1604" s="582"/>
      <c r="C1604" s="212"/>
      <c r="D1604" s="718" t="s">
        <v>129</v>
      </c>
      <c r="E1604" s="718"/>
      <c r="F1604" s="718"/>
      <c r="G1604" s="718"/>
      <c r="H1604" s="213">
        <f>SUM(H1602:H1603)</f>
        <v>8.01</v>
      </c>
    </row>
    <row r="1605" spans="1:8" s="201" customFormat="1">
      <c r="A1605" s="582"/>
      <c r="B1605" s="582"/>
      <c r="C1605" s="212"/>
      <c r="D1605" s="719" t="s">
        <v>28</v>
      </c>
      <c r="E1605" s="719"/>
      <c r="F1605" s="719"/>
      <c r="G1605" s="719"/>
      <c r="H1605" s="639">
        <f>E1595</f>
        <v>16</v>
      </c>
    </row>
    <row r="1606" spans="1:8" s="201" customFormat="1">
      <c r="A1606" s="582"/>
      <c r="B1606" s="582"/>
      <c r="C1606" s="212"/>
      <c r="D1606" s="718" t="s">
        <v>130</v>
      </c>
      <c r="E1606" s="718"/>
      <c r="F1606" s="718"/>
      <c r="G1606" s="718"/>
      <c r="H1606" s="213">
        <f>ROUND(H1604*H1605,2)</f>
        <v>128.16</v>
      </c>
    </row>
    <row r="1607" spans="1:8" s="201" customFormat="1">
      <c r="A1607" s="582"/>
      <c r="B1607" s="582"/>
      <c r="C1607" s="212"/>
      <c r="D1607" s="719" t="s">
        <v>15559</v>
      </c>
      <c r="E1607" s="719"/>
      <c r="F1607" s="719"/>
      <c r="G1607" s="719"/>
      <c r="H1607" s="638">
        <f>ROUND(H1604*$B$13,2)</f>
        <v>2.16</v>
      </c>
    </row>
    <row r="1608" spans="1:8">
      <c r="A1608" s="582"/>
      <c r="B1608" s="582"/>
      <c r="C1608" s="212"/>
      <c r="D1608" s="718" t="s">
        <v>9661</v>
      </c>
      <c r="E1608" s="718"/>
      <c r="F1608" s="718"/>
      <c r="G1608" s="718"/>
      <c r="H1608" s="213">
        <f>H1607+H1604</f>
        <v>10.17</v>
      </c>
    </row>
    <row r="1610" spans="1:8" s="201" customFormat="1">
      <c r="A1610" s="123" t="s">
        <v>6</v>
      </c>
      <c r="B1610" s="720" t="s">
        <v>7</v>
      </c>
      <c r="C1610" s="720"/>
      <c r="D1610" s="202" t="s">
        <v>124</v>
      </c>
      <c r="E1610" s="167" t="s">
        <v>6334</v>
      </c>
      <c r="F1610" s="202" t="s">
        <v>31</v>
      </c>
      <c r="G1610" s="203" t="s">
        <v>125</v>
      </c>
      <c r="H1610" s="204" t="s">
        <v>126</v>
      </c>
    </row>
    <row r="1611" spans="1:8" s="208" customFormat="1" ht="30">
      <c r="A1611" s="581" t="str">
        <f>'Orç - Prédio'!A266</f>
        <v>05.01.208.04</v>
      </c>
      <c r="B1611" s="216" t="str">
        <f>'Orç - Prédio'!B266</f>
        <v>SINAPI</v>
      </c>
      <c r="C1611" s="216" t="str">
        <f>'Orç - Prédio'!C266</f>
        <v>89381 MOD</v>
      </c>
      <c r="D1611" s="217" t="s">
        <v>7069</v>
      </c>
      <c r="E1611" s="206">
        <v>3</v>
      </c>
      <c r="F1611" s="216" t="s">
        <v>6337</v>
      </c>
      <c r="G1611" s="207">
        <f>VLOOKUP("CUSTO TOTAL UNIT.:",D1612:$H$30004,5,FALSE)</f>
        <v>6.4799999999999995</v>
      </c>
      <c r="H1611" s="637">
        <f>VLOOKUP("CUSTO TOTAL:",D1612:$H$30004,5,FALSE)</f>
        <v>19.440000000000001</v>
      </c>
    </row>
    <row r="1612" spans="1:8" s="124" customFormat="1" ht="30">
      <c r="A1612" s="721">
        <v>122</v>
      </c>
      <c r="B1612" s="721"/>
      <c r="C1612" s="200" t="s">
        <v>5256</v>
      </c>
      <c r="D1612" s="139" t="s">
        <v>9842</v>
      </c>
      <c r="E1612" s="209">
        <v>7.0000000000000001E-3</v>
      </c>
      <c r="F1612" s="577" t="s">
        <v>40</v>
      </c>
      <c r="G1612" s="210">
        <v>45.214200000000005</v>
      </c>
      <c r="H1612" s="211">
        <f t="shared" ref="H1612:H1617" si="58">ROUND(G1612*E1612,2)</f>
        <v>0.32</v>
      </c>
    </row>
    <row r="1613" spans="1:8" s="124" customFormat="1" ht="30">
      <c r="A1613" s="721">
        <v>3874</v>
      </c>
      <c r="B1613" s="721"/>
      <c r="C1613" s="200" t="s">
        <v>5256</v>
      </c>
      <c r="D1613" s="139" t="s">
        <v>12821</v>
      </c>
      <c r="E1613" s="209">
        <v>1</v>
      </c>
      <c r="F1613" s="577" t="s">
        <v>40</v>
      </c>
      <c r="G1613" s="210">
        <v>3.0537000000000001</v>
      </c>
      <c r="H1613" s="211">
        <f t="shared" si="58"/>
        <v>3.05</v>
      </c>
    </row>
    <row r="1614" spans="1:8" s="124" customFormat="1" ht="30">
      <c r="A1614" s="721">
        <v>20083</v>
      </c>
      <c r="B1614" s="721"/>
      <c r="C1614" s="200" t="s">
        <v>5256</v>
      </c>
      <c r="D1614" s="139" t="s">
        <v>13883</v>
      </c>
      <c r="E1614" s="209">
        <v>8.0000000000000002E-3</v>
      </c>
      <c r="F1614" s="577" t="s">
        <v>40</v>
      </c>
      <c r="G1614" s="210">
        <v>39.268799999999999</v>
      </c>
      <c r="H1614" s="211">
        <f t="shared" si="58"/>
        <v>0.31</v>
      </c>
    </row>
    <row r="1615" spans="1:8" s="124" customFormat="1">
      <c r="A1615" s="721">
        <v>38383</v>
      </c>
      <c r="B1615" s="721"/>
      <c r="C1615" s="200" t="s">
        <v>5256</v>
      </c>
      <c r="D1615" s="139" t="s">
        <v>12544</v>
      </c>
      <c r="E1615" s="209">
        <v>0.05</v>
      </c>
      <c r="F1615" s="577" t="s">
        <v>40</v>
      </c>
      <c r="G1615" s="210">
        <v>1.3689</v>
      </c>
      <c r="H1615" s="211">
        <f t="shared" si="58"/>
        <v>7.0000000000000007E-2</v>
      </c>
    </row>
    <row r="1616" spans="1:8" s="124" customFormat="1" ht="45">
      <c r="A1616" s="721">
        <v>88248</v>
      </c>
      <c r="B1616" s="721"/>
      <c r="C1616" s="200" t="s">
        <v>5256</v>
      </c>
      <c r="D1616" s="139" t="s">
        <v>76</v>
      </c>
      <c r="E1616" s="209">
        <v>0.1</v>
      </c>
      <c r="F1616" s="577" t="s">
        <v>67</v>
      </c>
      <c r="G1616" s="210">
        <v>12.028500000000001</v>
      </c>
      <c r="H1616" s="211">
        <f t="shared" si="58"/>
        <v>1.2</v>
      </c>
    </row>
    <row r="1617" spans="1:8" s="124" customFormat="1" ht="30">
      <c r="A1617" s="721">
        <v>88267</v>
      </c>
      <c r="B1617" s="721"/>
      <c r="C1617" s="200" t="s">
        <v>5256</v>
      </c>
      <c r="D1617" s="139" t="s">
        <v>86</v>
      </c>
      <c r="E1617" s="209">
        <v>0.1</v>
      </c>
      <c r="F1617" s="577" t="s">
        <v>67</v>
      </c>
      <c r="G1617" s="210">
        <v>15.2766</v>
      </c>
      <c r="H1617" s="211">
        <f t="shared" si="58"/>
        <v>1.53</v>
      </c>
    </row>
    <row r="1618" spans="1:8" s="201" customFormat="1">
      <c r="A1618" s="582"/>
      <c r="B1618" s="582"/>
      <c r="C1618" s="212"/>
      <c r="D1618" s="719" t="s">
        <v>127</v>
      </c>
      <c r="E1618" s="719"/>
      <c r="F1618" s="719"/>
      <c r="G1618" s="719"/>
      <c r="H1618" s="638">
        <f>SUMIF(F1612:F1617,("h"),H1612:H1617)</f>
        <v>2.73</v>
      </c>
    </row>
    <row r="1619" spans="1:8" s="201" customFormat="1">
      <c r="A1619" s="582"/>
      <c r="B1619" s="582"/>
      <c r="C1619" s="212"/>
      <c r="D1619" s="719" t="s">
        <v>128</v>
      </c>
      <c r="E1619" s="719"/>
      <c r="F1619" s="719"/>
      <c r="G1619" s="719"/>
      <c r="H1619" s="638">
        <f>SUMIF(F1612:F1617,"&lt;&gt;h",H1612:H1617)</f>
        <v>3.7499999999999996</v>
      </c>
    </row>
    <row r="1620" spans="1:8" s="201" customFormat="1">
      <c r="A1620" s="582"/>
      <c r="B1620" s="582"/>
      <c r="C1620" s="212"/>
      <c r="D1620" s="718" t="s">
        <v>129</v>
      </c>
      <c r="E1620" s="718"/>
      <c r="F1620" s="718"/>
      <c r="G1620" s="718"/>
      <c r="H1620" s="213">
        <f>SUM(H1618:H1619)</f>
        <v>6.4799999999999995</v>
      </c>
    </row>
    <row r="1621" spans="1:8" s="201" customFormat="1">
      <c r="A1621" s="582"/>
      <c r="B1621" s="582"/>
      <c r="C1621" s="212"/>
      <c r="D1621" s="719" t="s">
        <v>28</v>
      </c>
      <c r="E1621" s="719"/>
      <c r="F1621" s="719"/>
      <c r="G1621" s="719"/>
      <c r="H1621" s="639">
        <f>E1611</f>
        <v>3</v>
      </c>
    </row>
    <row r="1622" spans="1:8" s="201" customFormat="1">
      <c r="A1622" s="582"/>
      <c r="B1622" s="582"/>
      <c r="C1622" s="212"/>
      <c r="D1622" s="718" t="s">
        <v>130</v>
      </c>
      <c r="E1622" s="718"/>
      <c r="F1622" s="718"/>
      <c r="G1622" s="718"/>
      <c r="H1622" s="213">
        <f>ROUND(H1620*H1621,2)</f>
        <v>19.440000000000001</v>
      </c>
    </row>
    <row r="1623" spans="1:8" s="201" customFormat="1">
      <c r="A1623" s="582"/>
      <c r="B1623" s="582"/>
      <c r="C1623" s="212"/>
      <c r="D1623" s="719" t="s">
        <v>15559</v>
      </c>
      <c r="E1623" s="719"/>
      <c r="F1623" s="719"/>
      <c r="G1623" s="719"/>
      <c r="H1623" s="638">
        <f>ROUND(H1620*$B$13,2)</f>
        <v>1.75</v>
      </c>
    </row>
    <row r="1624" spans="1:8">
      <c r="A1624" s="582"/>
      <c r="B1624" s="582"/>
      <c r="C1624" s="212"/>
      <c r="D1624" s="718" t="s">
        <v>9661</v>
      </c>
      <c r="E1624" s="718"/>
      <c r="F1624" s="718"/>
      <c r="G1624" s="718"/>
      <c r="H1624" s="213">
        <f>H1623+H1620</f>
        <v>8.23</v>
      </c>
    </row>
    <row r="1626" spans="1:8" s="201" customFormat="1">
      <c r="A1626" s="123" t="s">
        <v>6</v>
      </c>
      <c r="B1626" s="720" t="s">
        <v>7</v>
      </c>
      <c r="C1626" s="720"/>
      <c r="D1626" s="202" t="s">
        <v>124</v>
      </c>
      <c r="E1626" s="167" t="s">
        <v>6334</v>
      </c>
      <c r="F1626" s="202" t="s">
        <v>31</v>
      </c>
      <c r="G1626" s="203" t="s">
        <v>125</v>
      </c>
      <c r="H1626" s="204" t="s">
        <v>126</v>
      </c>
    </row>
    <row r="1627" spans="1:8" s="208" customFormat="1" ht="45">
      <c r="A1627" s="581" t="str">
        <f>'Orç - Prédio'!A284</f>
        <v>05.01.501.01</v>
      </c>
      <c r="B1627" s="216" t="str">
        <f>'Orç - Prédio'!B284</f>
        <v>SINAPI</v>
      </c>
      <c r="C1627" s="216" t="str">
        <f>'Orç - Prédio'!C284</f>
        <v>86901 MOD</v>
      </c>
      <c r="D1627" s="217" t="s">
        <v>7279</v>
      </c>
      <c r="E1627" s="206">
        <v>16</v>
      </c>
      <c r="F1627" s="216" t="s">
        <v>6337</v>
      </c>
      <c r="G1627" s="207">
        <f>VLOOKUP("CUSTO TOTAL UNIT.:",D1628:$H$30004,5,FALSE)</f>
        <v>203.53</v>
      </c>
      <c r="H1627" s="637">
        <f>VLOOKUP("CUSTO TOTAL:",D1628:$H$30004,5,FALSE)</f>
        <v>3256.48</v>
      </c>
    </row>
    <row r="1628" spans="1:8" s="124" customFormat="1">
      <c r="A1628" s="721">
        <v>4823</v>
      </c>
      <c r="B1628" s="721"/>
      <c r="C1628" s="200" t="s">
        <v>5256</v>
      </c>
      <c r="D1628" s="139" t="s">
        <v>12944</v>
      </c>
      <c r="E1628" s="209">
        <v>0.52710000000000001</v>
      </c>
      <c r="F1628" s="577" t="s">
        <v>49</v>
      </c>
      <c r="G1628" s="210">
        <v>24.121800000000004</v>
      </c>
      <c r="H1628" s="211">
        <f t="shared" ref="H1628:H1633" si="59">ROUND(G1628*E1628,2)</f>
        <v>12.71</v>
      </c>
    </row>
    <row r="1629" spans="1:8" s="124" customFormat="1" ht="30">
      <c r="A1629" s="721">
        <v>20269</v>
      </c>
      <c r="B1629" s="721"/>
      <c r="C1629" s="200" t="s">
        <v>5256</v>
      </c>
      <c r="D1629" s="139" t="s">
        <v>12529</v>
      </c>
      <c r="E1629" s="209">
        <v>1</v>
      </c>
      <c r="F1629" s="577" t="s">
        <v>40</v>
      </c>
      <c r="G1629" s="210">
        <v>60.045299999999997</v>
      </c>
      <c r="H1629" s="211">
        <f t="shared" si="59"/>
        <v>60.05</v>
      </c>
    </row>
    <row r="1630" spans="1:8" s="124" customFormat="1" ht="45">
      <c r="A1630" s="721">
        <v>86881</v>
      </c>
      <c r="B1630" s="721"/>
      <c r="C1630" s="200" t="s">
        <v>5256</v>
      </c>
      <c r="D1630" s="139" t="s">
        <v>3656</v>
      </c>
      <c r="E1630" s="209">
        <v>1</v>
      </c>
      <c r="F1630" s="577" t="s">
        <v>171</v>
      </c>
      <c r="G1630" s="210">
        <v>85.746600000000001</v>
      </c>
      <c r="H1630" s="211">
        <f t="shared" si="59"/>
        <v>85.75</v>
      </c>
    </row>
    <row r="1631" spans="1:8" s="124" customFormat="1" ht="45">
      <c r="A1631" s="721">
        <v>86878</v>
      </c>
      <c r="B1631" s="721"/>
      <c r="C1631" s="200" t="s">
        <v>5256</v>
      </c>
      <c r="D1631" s="139" t="s">
        <v>3653</v>
      </c>
      <c r="E1631" s="209">
        <v>1</v>
      </c>
      <c r="F1631" s="577" t="s">
        <v>171</v>
      </c>
      <c r="G1631" s="210">
        <v>30.747600000000002</v>
      </c>
      <c r="H1631" s="211">
        <f t="shared" si="59"/>
        <v>30.75</v>
      </c>
    </row>
    <row r="1632" spans="1:8" s="124" customFormat="1" ht="30">
      <c r="A1632" s="721">
        <v>88274</v>
      </c>
      <c r="B1632" s="721"/>
      <c r="C1632" s="200" t="s">
        <v>5256</v>
      </c>
      <c r="D1632" s="139" t="s">
        <v>5106</v>
      </c>
      <c r="E1632" s="209">
        <v>0.85</v>
      </c>
      <c r="F1632" s="577" t="s">
        <v>67</v>
      </c>
      <c r="G1632" s="210">
        <v>13.097700000000001</v>
      </c>
      <c r="H1632" s="211">
        <f t="shared" si="59"/>
        <v>11.13</v>
      </c>
    </row>
    <row r="1633" spans="1:8" s="124" customFormat="1" ht="30">
      <c r="A1633" s="721">
        <v>88316</v>
      </c>
      <c r="B1633" s="721"/>
      <c r="C1633" s="200" t="s">
        <v>5256</v>
      </c>
      <c r="D1633" s="139" t="s">
        <v>66</v>
      </c>
      <c r="E1633" s="209">
        <v>0.27</v>
      </c>
      <c r="F1633" s="577" t="s">
        <v>67</v>
      </c>
      <c r="G1633" s="210">
        <v>11.631600000000001</v>
      </c>
      <c r="H1633" s="211">
        <f t="shared" si="59"/>
        <v>3.14</v>
      </c>
    </row>
    <row r="1634" spans="1:8" s="201" customFormat="1">
      <c r="A1634" s="582"/>
      <c r="B1634" s="582"/>
      <c r="C1634" s="212"/>
      <c r="D1634" s="719" t="s">
        <v>127</v>
      </c>
      <c r="E1634" s="719"/>
      <c r="F1634" s="719"/>
      <c r="G1634" s="719"/>
      <c r="H1634" s="638">
        <f>SUMIF(F1628:F1633,("h"),H1628:H1633)</f>
        <v>14.270000000000001</v>
      </c>
    </row>
    <row r="1635" spans="1:8" s="201" customFormat="1">
      <c r="A1635" s="582"/>
      <c r="B1635" s="582"/>
      <c r="C1635" s="212"/>
      <c r="D1635" s="719" t="s">
        <v>128</v>
      </c>
      <c r="E1635" s="719"/>
      <c r="F1635" s="719"/>
      <c r="G1635" s="719"/>
      <c r="H1635" s="638">
        <f>SUMIF(F1628:F1633,"&lt;&gt;h",H1628:H1633)</f>
        <v>189.26</v>
      </c>
    </row>
    <row r="1636" spans="1:8" s="201" customFormat="1">
      <c r="A1636" s="582"/>
      <c r="B1636" s="582"/>
      <c r="C1636" s="212"/>
      <c r="D1636" s="718" t="s">
        <v>129</v>
      </c>
      <c r="E1636" s="718"/>
      <c r="F1636" s="718"/>
      <c r="G1636" s="718"/>
      <c r="H1636" s="213">
        <f>SUM(H1634:H1635)</f>
        <v>203.53</v>
      </c>
    </row>
    <row r="1637" spans="1:8" s="201" customFormat="1">
      <c r="A1637" s="582"/>
      <c r="B1637" s="582"/>
      <c r="C1637" s="212"/>
      <c r="D1637" s="719" t="s">
        <v>28</v>
      </c>
      <c r="E1637" s="719"/>
      <c r="F1637" s="719"/>
      <c r="G1637" s="719"/>
      <c r="H1637" s="639">
        <f>E1627</f>
        <v>16</v>
      </c>
    </row>
    <row r="1638" spans="1:8" s="201" customFormat="1">
      <c r="A1638" s="582"/>
      <c r="B1638" s="582"/>
      <c r="C1638" s="212"/>
      <c r="D1638" s="718" t="s">
        <v>130</v>
      </c>
      <c r="E1638" s="718"/>
      <c r="F1638" s="718"/>
      <c r="G1638" s="718"/>
      <c r="H1638" s="213">
        <f>ROUND(H1636*H1637,2)</f>
        <v>3256.48</v>
      </c>
    </row>
    <row r="1639" spans="1:8" s="201" customFormat="1">
      <c r="A1639" s="582"/>
      <c r="B1639" s="582"/>
      <c r="C1639" s="212"/>
      <c r="D1639" s="719" t="s">
        <v>15559</v>
      </c>
      <c r="E1639" s="719"/>
      <c r="F1639" s="719"/>
      <c r="G1639" s="719"/>
      <c r="H1639" s="638">
        <f>ROUND(H1636*$B$13,2)</f>
        <v>54.81</v>
      </c>
    </row>
    <row r="1640" spans="1:8">
      <c r="A1640" s="582"/>
      <c r="B1640" s="582"/>
      <c r="C1640" s="212"/>
      <c r="D1640" s="718" t="s">
        <v>9661</v>
      </c>
      <c r="E1640" s="718"/>
      <c r="F1640" s="718"/>
      <c r="G1640" s="718"/>
      <c r="H1640" s="213">
        <f>H1639+H1636</f>
        <v>258.34000000000003</v>
      </c>
    </row>
    <row r="1642" spans="1:8" s="201" customFormat="1">
      <c r="A1642" s="123" t="s">
        <v>6</v>
      </c>
      <c r="B1642" s="720" t="s">
        <v>7</v>
      </c>
      <c r="C1642" s="720"/>
      <c r="D1642" s="202" t="s">
        <v>124</v>
      </c>
      <c r="E1642" s="167" t="s">
        <v>6334</v>
      </c>
      <c r="F1642" s="202" t="s">
        <v>31</v>
      </c>
      <c r="G1642" s="203" t="s">
        <v>125</v>
      </c>
      <c r="H1642" s="204" t="s">
        <v>126</v>
      </c>
    </row>
    <row r="1643" spans="1:8" s="208" customFormat="1" ht="90">
      <c r="A1643" s="581" t="str">
        <f>'Orç - Prédio'!A285</f>
        <v>05.01.501.02</v>
      </c>
      <c r="B1643" s="216" t="str">
        <f>'Orç - Prédio'!B285</f>
        <v>ORSE</v>
      </c>
      <c r="C1643" s="216">
        <f>'Orç - Prédio'!C285</f>
        <v>7759</v>
      </c>
      <c r="D1643" s="217" t="s">
        <v>7090</v>
      </c>
      <c r="E1643" s="206">
        <v>4</v>
      </c>
      <c r="F1643" s="216" t="s">
        <v>6337</v>
      </c>
      <c r="G1643" s="207">
        <f>VLOOKUP("CUSTO TOTAL UNIT.:",D1644:$H$30004,5,FALSE)</f>
        <v>388.35</v>
      </c>
      <c r="H1643" s="637">
        <f>VLOOKUP("CUSTO TOTAL:",D1644:$H$30004,5,FALSE)</f>
        <v>1553.4</v>
      </c>
    </row>
    <row r="1644" spans="1:8" s="124" customFormat="1" ht="60">
      <c r="A1644" s="721">
        <v>4351</v>
      </c>
      <c r="B1644" s="721"/>
      <c r="C1644" s="200" t="s">
        <v>5256</v>
      </c>
      <c r="D1644" s="139" t="s">
        <v>13209</v>
      </c>
      <c r="E1644" s="209">
        <v>2</v>
      </c>
      <c r="F1644" s="577" t="s">
        <v>40</v>
      </c>
      <c r="G1644" s="210">
        <v>9.7929000000000013</v>
      </c>
      <c r="H1644" s="211">
        <f t="shared" ref="H1644:H1651" si="60">ROUND(G1644*E1644,2)</f>
        <v>19.59</v>
      </c>
    </row>
    <row r="1645" spans="1:8" s="124" customFormat="1" ht="30">
      <c r="A1645" s="721">
        <v>38643</v>
      </c>
      <c r="B1645" s="721"/>
      <c r="C1645" s="200" t="s">
        <v>5256</v>
      </c>
      <c r="D1645" s="139" t="s">
        <v>14896</v>
      </c>
      <c r="E1645" s="209">
        <v>1</v>
      </c>
      <c r="F1645" s="577" t="s">
        <v>40</v>
      </c>
      <c r="G1645" s="210">
        <v>20.104200000000002</v>
      </c>
      <c r="H1645" s="211">
        <f t="shared" si="60"/>
        <v>20.100000000000001</v>
      </c>
    </row>
    <row r="1646" spans="1:8" s="124" customFormat="1" ht="30">
      <c r="A1646" s="721">
        <v>3590</v>
      </c>
      <c r="B1646" s="721"/>
      <c r="C1646" s="200" t="s">
        <v>6333</v>
      </c>
      <c r="D1646" s="185" t="s">
        <v>7119</v>
      </c>
      <c r="E1646" s="209">
        <v>1</v>
      </c>
      <c r="F1646" s="577" t="s">
        <v>31</v>
      </c>
      <c r="G1646" s="174">
        <v>118.17900000000002</v>
      </c>
      <c r="H1646" s="211">
        <f t="shared" si="60"/>
        <v>118.18</v>
      </c>
    </row>
    <row r="1647" spans="1:8" s="124" customFormat="1" ht="45">
      <c r="A1647" s="721">
        <v>7388</v>
      </c>
      <c r="B1647" s="721"/>
      <c r="C1647" s="200" t="s">
        <v>6333</v>
      </c>
      <c r="D1647" s="185" t="s">
        <v>7120</v>
      </c>
      <c r="E1647" s="209">
        <v>1</v>
      </c>
      <c r="F1647" s="577" t="s">
        <v>31</v>
      </c>
      <c r="G1647" s="174">
        <v>79.201800000000006</v>
      </c>
      <c r="H1647" s="211">
        <f t="shared" si="60"/>
        <v>79.2</v>
      </c>
    </row>
    <row r="1648" spans="1:8" s="124" customFormat="1" ht="30">
      <c r="A1648" s="721">
        <v>11683</v>
      </c>
      <c r="B1648" s="721"/>
      <c r="C1648" s="200" t="s">
        <v>5256</v>
      </c>
      <c r="D1648" s="139" t="s">
        <v>11726</v>
      </c>
      <c r="E1648" s="209">
        <v>1</v>
      </c>
      <c r="F1648" s="577" t="s">
        <v>40</v>
      </c>
      <c r="G1648" s="210">
        <v>18.4437</v>
      </c>
      <c r="H1648" s="211">
        <f t="shared" si="60"/>
        <v>18.440000000000001</v>
      </c>
    </row>
    <row r="1649" spans="1:8" s="124" customFormat="1" ht="45">
      <c r="A1649" s="721">
        <v>86881</v>
      </c>
      <c r="B1649" s="721"/>
      <c r="C1649" s="200" t="s">
        <v>5256</v>
      </c>
      <c r="D1649" s="139" t="s">
        <v>3656</v>
      </c>
      <c r="E1649" s="209">
        <v>1</v>
      </c>
      <c r="F1649" s="577" t="s">
        <v>171</v>
      </c>
      <c r="G1649" s="210">
        <v>85.746600000000001</v>
      </c>
      <c r="H1649" s="211">
        <f t="shared" si="60"/>
        <v>85.75</v>
      </c>
    </row>
    <row r="1650" spans="1:8" s="124" customFormat="1" ht="30">
      <c r="A1650" s="721">
        <v>88267</v>
      </c>
      <c r="B1650" s="721"/>
      <c r="C1650" s="200" t="s">
        <v>5256</v>
      </c>
      <c r="D1650" s="139" t="s">
        <v>86</v>
      </c>
      <c r="E1650" s="209">
        <v>1.75</v>
      </c>
      <c r="F1650" s="577" t="s">
        <v>67</v>
      </c>
      <c r="G1650" s="210">
        <v>15.2766</v>
      </c>
      <c r="H1650" s="211">
        <f t="shared" si="60"/>
        <v>26.73</v>
      </c>
    </row>
    <row r="1651" spans="1:8" s="124" customFormat="1" ht="30">
      <c r="A1651" s="721">
        <v>88316</v>
      </c>
      <c r="B1651" s="721"/>
      <c r="C1651" s="200" t="s">
        <v>5256</v>
      </c>
      <c r="D1651" s="139" t="s">
        <v>66</v>
      </c>
      <c r="E1651" s="209">
        <v>1.75</v>
      </c>
      <c r="F1651" s="577" t="s">
        <v>67</v>
      </c>
      <c r="G1651" s="210">
        <v>11.631600000000001</v>
      </c>
      <c r="H1651" s="211">
        <f t="shared" si="60"/>
        <v>20.36</v>
      </c>
    </row>
    <row r="1652" spans="1:8" s="201" customFormat="1">
      <c r="A1652" s="582"/>
      <c r="B1652" s="582"/>
      <c r="C1652" s="212"/>
      <c r="D1652" s="719" t="s">
        <v>127</v>
      </c>
      <c r="E1652" s="719"/>
      <c r="F1652" s="719"/>
      <c r="G1652" s="719"/>
      <c r="H1652" s="638">
        <f>SUMIF(F1644:F1651,("h"),H1644:H1651)</f>
        <v>47.09</v>
      </c>
    </row>
    <row r="1653" spans="1:8" s="201" customFormat="1">
      <c r="A1653" s="582"/>
      <c r="B1653" s="582"/>
      <c r="C1653" s="212"/>
      <c r="D1653" s="719" t="s">
        <v>128</v>
      </c>
      <c r="E1653" s="719"/>
      <c r="F1653" s="719"/>
      <c r="G1653" s="719"/>
      <c r="H1653" s="638">
        <f>SUMIF(F1644:F1651,"&lt;&gt;h",H1644:H1651)</f>
        <v>341.26</v>
      </c>
    </row>
    <row r="1654" spans="1:8" s="201" customFormat="1">
      <c r="A1654" s="582"/>
      <c r="B1654" s="582"/>
      <c r="C1654" s="212"/>
      <c r="D1654" s="718" t="s">
        <v>129</v>
      </c>
      <c r="E1654" s="718"/>
      <c r="F1654" s="718"/>
      <c r="G1654" s="718"/>
      <c r="H1654" s="213">
        <f>SUM(H1652:H1653)</f>
        <v>388.35</v>
      </c>
    </row>
    <row r="1655" spans="1:8" s="201" customFormat="1">
      <c r="A1655" s="582"/>
      <c r="B1655" s="582"/>
      <c r="C1655" s="212"/>
      <c r="D1655" s="719" t="s">
        <v>28</v>
      </c>
      <c r="E1655" s="719"/>
      <c r="F1655" s="719"/>
      <c r="G1655" s="719"/>
      <c r="H1655" s="639">
        <f>E1643</f>
        <v>4</v>
      </c>
    </row>
    <row r="1656" spans="1:8" s="201" customFormat="1">
      <c r="A1656" s="582"/>
      <c r="B1656" s="582"/>
      <c r="C1656" s="212"/>
      <c r="D1656" s="718" t="s">
        <v>130</v>
      </c>
      <c r="E1656" s="718"/>
      <c r="F1656" s="718"/>
      <c r="G1656" s="718"/>
      <c r="H1656" s="213">
        <f>ROUND(H1654*H1655,2)</f>
        <v>1553.4</v>
      </c>
    </row>
    <row r="1657" spans="1:8" s="201" customFormat="1">
      <c r="A1657" s="582"/>
      <c r="B1657" s="582"/>
      <c r="C1657" s="212"/>
      <c r="D1657" s="719" t="s">
        <v>15559</v>
      </c>
      <c r="E1657" s="719"/>
      <c r="F1657" s="719"/>
      <c r="G1657" s="719"/>
      <c r="H1657" s="638">
        <f>ROUND(H1654*$B$13,2)</f>
        <v>104.58</v>
      </c>
    </row>
    <row r="1658" spans="1:8">
      <c r="A1658" s="582"/>
      <c r="B1658" s="582"/>
      <c r="C1658" s="212"/>
      <c r="D1658" s="718" t="s">
        <v>9661</v>
      </c>
      <c r="E1658" s="718"/>
      <c r="F1658" s="718"/>
      <c r="G1658" s="718"/>
      <c r="H1658" s="213">
        <f>H1657+H1654</f>
        <v>492.93</v>
      </c>
    </row>
    <row r="1660" spans="1:8" s="201" customFormat="1">
      <c r="A1660" s="123" t="s">
        <v>6</v>
      </c>
      <c r="B1660" s="720" t="s">
        <v>7</v>
      </c>
      <c r="C1660" s="720"/>
      <c r="D1660" s="202" t="s">
        <v>124</v>
      </c>
      <c r="E1660" s="167" t="s">
        <v>6334</v>
      </c>
      <c r="F1660" s="202" t="s">
        <v>31</v>
      </c>
      <c r="G1660" s="203" t="s">
        <v>125</v>
      </c>
      <c r="H1660" s="204" t="s">
        <v>126</v>
      </c>
    </row>
    <row r="1661" spans="1:8" s="208" customFormat="1" ht="30">
      <c r="A1661" s="581" t="str">
        <f>'Orç - Prédio'!A288</f>
        <v>05.01.503.03</v>
      </c>
      <c r="B1661" s="581" t="str">
        <f>'Orç - Prédio'!B288</f>
        <v>ORSE</v>
      </c>
      <c r="C1661" s="581">
        <f>'Orç - Prédio'!C288</f>
        <v>3707</v>
      </c>
      <c r="D1661" s="205" t="s">
        <v>8217</v>
      </c>
      <c r="E1661" s="206">
        <v>18</v>
      </c>
      <c r="F1661" s="581" t="s">
        <v>6337</v>
      </c>
      <c r="G1661" s="207">
        <f>VLOOKUP("CUSTO TOTAL UNIT.:",D1662:$H$30004,5,FALSE)</f>
        <v>58.29</v>
      </c>
      <c r="H1661" s="637">
        <f>VLOOKUP("CUSTO TOTAL:",D1662:$H$30004,5,FALSE)</f>
        <v>1049.22</v>
      </c>
    </row>
    <row r="1662" spans="1:8" s="124" customFormat="1" ht="60">
      <c r="A1662" s="721">
        <v>2898</v>
      </c>
      <c r="B1662" s="721"/>
      <c r="C1662" s="200" t="s">
        <v>6333</v>
      </c>
      <c r="D1662" s="185" t="s">
        <v>8220</v>
      </c>
      <c r="E1662" s="209">
        <v>1</v>
      </c>
      <c r="F1662" s="577" t="s">
        <v>31</v>
      </c>
      <c r="G1662" s="174">
        <v>52.901100000000007</v>
      </c>
      <c r="H1662" s="211">
        <f>ROUND(G1662*E1662,2)</f>
        <v>52.9</v>
      </c>
    </row>
    <row r="1663" spans="1:8" s="124" customFormat="1" ht="30">
      <c r="A1663" s="721">
        <v>88267</v>
      </c>
      <c r="B1663" s="721"/>
      <c r="C1663" s="200" t="s">
        <v>5256</v>
      </c>
      <c r="D1663" s="139" t="s">
        <v>86</v>
      </c>
      <c r="E1663" s="209">
        <v>0.2</v>
      </c>
      <c r="F1663" s="577" t="s">
        <v>67</v>
      </c>
      <c r="G1663" s="210">
        <v>15.2766</v>
      </c>
      <c r="H1663" s="211">
        <f>ROUND(G1663*E1663,2)</f>
        <v>3.06</v>
      </c>
    </row>
    <row r="1664" spans="1:8" s="124" customFormat="1" ht="30">
      <c r="A1664" s="721">
        <v>88316</v>
      </c>
      <c r="B1664" s="721"/>
      <c r="C1664" s="200" t="s">
        <v>5256</v>
      </c>
      <c r="D1664" s="139" t="s">
        <v>66</v>
      </c>
      <c r="E1664" s="209">
        <v>0.2</v>
      </c>
      <c r="F1664" s="577" t="s">
        <v>67</v>
      </c>
      <c r="G1664" s="210">
        <v>11.631600000000001</v>
      </c>
      <c r="H1664" s="211">
        <f>ROUND(G1664*E1664,2)</f>
        <v>2.33</v>
      </c>
    </row>
    <row r="1665" spans="1:8" s="201" customFormat="1">
      <c r="A1665" s="582"/>
      <c r="B1665" s="582"/>
      <c r="C1665" s="212"/>
      <c r="D1665" s="719" t="s">
        <v>127</v>
      </c>
      <c r="E1665" s="719"/>
      <c r="F1665" s="719"/>
      <c r="G1665" s="719"/>
      <c r="H1665" s="638">
        <f>SUMIF(F1662:F1664,("h"),H1662:H1664)</f>
        <v>5.3900000000000006</v>
      </c>
    </row>
    <row r="1666" spans="1:8" s="201" customFormat="1">
      <c r="A1666" s="582"/>
      <c r="B1666" s="582"/>
      <c r="C1666" s="212"/>
      <c r="D1666" s="719" t="s">
        <v>128</v>
      </c>
      <c r="E1666" s="719"/>
      <c r="F1666" s="719"/>
      <c r="G1666" s="719"/>
      <c r="H1666" s="638">
        <f>SUMIF(F1662:F1664,"&lt;&gt;h",H1662:H1664)</f>
        <v>52.9</v>
      </c>
    </row>
    <row r="1667" spans="1:8" s="201" customFormat="1">
      <c r="A1667" s="582"/>
      <c r="B1667" s="582"/>
      <c r="C1667" s="212"/>
      <c r="D1667" s="718" t="s">
        <v>129</v>
      </c>
      <c r="E1667" s="718"/>
      <c r="F1667" s="718"/>
      <c r="G1667" s="718"/>
      <c r="H1667" s="213">
        <f>SUM(H1665:H1666)</f>
        <v>58.29</v>
      </c>
    </row>
    <row r="1668" spans="1:8" s="201" customFormat="1">
      <c r="A1668" s="582"/>
      <c r="B1668" s="582"/>
      <c r="C1668" s="212"/>
      <c r="D1668" s="719" t="s">
        <v>28</v>
      </c>
      <c r="E1668" s="719"/>
      <c r="F1668" s="719"/>
      <c r="G1668" s="719"/>
      <c r="H1668" s="639">
        <f>E1661</f>
        <v>18</v>
      </c>
    </row>
    <row r="1669" spans="1:8" s="201" customFormat="1">
      <c r="A1669" s="582"/>
      <c r="B1669" s="582"/>
      <c r="C1669" s="212"/>
      <c r="D1669" s="718" t="s">
        <v>130</v>
      </c>
      <c r="E1669" s="718"/>
      <c r="F1669" s="718"/>
      <c r="G1669" s="718"/>
      <c r="H1669" s="213">
        <f>ROUND(H1667*H1668,2)</f>
        <v>1049.22</v>
      </c>
    </row>
    <row r="1670" spans="1:8" s="201" customFormat="1">
      <c r="A1670" s="582"/>
      <c r="B1670" s="582"/>
      <c r="C1670" s="212"/>
      <c r="D1670" s="719" t="s">
        <v>15559</v>
      </c>
      <c r="E1670" s="719"/>
      <c r="F1670" s="719"/>
      <c r="G1670" s="719"/>
      <c r="H1670" s="638">
        <f>ROUND(H1667*$B$13,2)</f>
        <v>15.7</v>
      </c>
    </row>
    <row r="1671" spans="1:8">
      <c r="A1671" s="582"/>
      <c r="B1671" s="582"/>
      <c r="C1671" s="212"/>
      <c r="D1671" s="718" t="s">
        <v>9661</v>
      </c>
      <c r="E1671" s="718"/>
      <c r="F1671" s="718"/>
      <c r="G1671" s="718"/>
      <c r="H1671" s="213">
        <f>H1670+H1667</f>
        <v>73.989999999999995</v>
      </c>
    </row>
    <row r="1673" spans="1:8" s="201" customFormat="1">
      <c r="A1673" s="123" t="s">
        <v>6</v>
      </c>
      <c r="B1673" s="720" t="s">
        <v>7</v>
      </c>
      <c r="C1673" s="720"/>
      <c r="D1673" s="202" t="s">
        <v>124</v>
      </c>
      <c r="E1673" s="167" t="s">
        <v>6334</v>
      </c>
      <c r="F1673" s="202" t="s">
        <v>31</v>
      </c>
      <c r="G1673" s="203" t="s">
        <v>125</v>
      </c>
      <c r="H1673" s="204" t="s">
        <v>126</v>
      </c>
    </row>
    <row r="1674" spans="1:8" s="208" customFormat="1">
      <c r="A1674" s="581" t="str">
        <f>'Orç - Prédio'!A289</f>
        <v>05.01.506</v>
      </c>
      <c r="B1674" s="581" t="str">
        <f>'Orç - Prédio'!B289</f>
        <v>ORSE</v>
      </c>
      <c r="C1674" s="581">
        <f>'Orç - Prédio'!C289</f>
        <v>802</v>
      </c>
      <c r="D1674" s="205" t="s">
        <v>8238</v>
      </c>
      <c r="E1674" s="206">
        <v>4</v>
      </c>
      <c r="F1674" s="581" t="s">
        <v>6337</v>
      </c>
      <c r="G1674" s="207">
        <f>VLOOKUP("CUSTO TOTAL UNIT.:",D1675:$H$30004,5,FALSE)</f>
        <v>552.29999999999995</v>
      </c>
      <c r="H1674" s="637">
        <f>VLOOKUP("CUSTO TOTAL:",D1675:$H$30004,5,FALSE)</f>
        <v>2209.1999999999998</v>
      </c>
    </row>
    <row r="1675" spans="1:8" s="124" customFormat="1">
      <c r="A1675" s="721">
        <v>277</v>
      </c>
      <c r="B1675" s="721"/>
      <c r="C1675" s="200" t="s">
        <v>6333</v>
      </c>
      <c r="D1675" s="185" t="s">
        <v>8239</v>
      </c>
      <c r="E1675" s="209">
        <v>1</v>
      </c>
      <c r="F1675" s="577" t="s">
        <v>31</v>
      </c>
      <c r="G1675" s="174">
        <v>509.49</v>
      </c>
      <c r="H1675" s="211">
        <f>ROUND(G1675*E1675,2)</f>
        <v>509.49</v>
      </c>
    </row>
    <row r="1676" spans="1:8" s="124" customFormat="1" ht="30">
      <c r="A1676" s="721">
        <v>3148</v>
      </c>
      <c r="B1676" s="721"/>
      <c r="C1676" s="200" t="s">
        <v>5256</v>
      </c>
      <c r="D1676" s="139" t="s">
        <v>11961</v>
      </c>
      <c r="E1676" s="209">
        <v>1.1200000000000002E-2</v>
      </c>
      <c r="F1676" s="577" t="s">
        <v>40</v>
      </c>
      <c r="G1676" s="210">
        <v>11.137500000000001</v>
      </c>
      <c r="H1676" s="211">
        <f>ROUND(G1676*E1676,2)</f>
        <v>0.12</v>
      </c>
    </row>
    <row r="1677" spans="1:8" s="124" customFormat="1" ht="30">
      <c r="A1677" s="721">
        <v>88264</v>
      </c>
      <c r="B1677" s="721"/>
      <c r="C1677" s="200" t="s">
        <v>5256</v>
      </c>
      <c r="D1677" s="139" t="s">
        <v>84</v>
      </c>
      <c r="E1677" s="209">
        <v>1</v>
      </c>
      <c r="F1677" s="577" t="s">
        <v>67</v>
      </c>
      <c r="G1677" s="210">
        <v>15.778800000000002</v>
      </c>
      <c r="H1677" s="211">
        <f>ROUND(G1677*E1677,2)</f>
        <v>15.78</v>
      </c>
    </row>
    <row r="1678" spans="1:8" s="124" customFormat="1" ht="30">
      <c r="A1678" s="721">
        <v>88267</v>
      </c>
      <c r="B1678" s="721"/>
      <c r="C1678" s="200" t="s">
        <v>5256</v>
      </c>
      <c r="D1678" s="139" t="s">
        <v>86</v>
      </c>
      <c r="E1678" s="209">
        <v>1</v>
      </c>
      <c r="F1678" s="577" t="s">
        <v>67</v>
      </c>
      <c r="G1678" s="210">
        <v>15.2766</v>
      </c>
      <c r="H1678" s="211">
        <f>ROUND(G1678*E1678,2)</f>
        <v>15.28</v>
      </c>
    </row>
    <row r="1679" spans="1:8" s="124" customFormat="1" ht="30">
      <c r="A1679" s="721">
        <v>88316</v>
      </c>
      <c r="B1679" s="721"/>
      <c r="C1679" s="200" t="s">
        <v>5256</v>
      </c>
      <c r="D1679" s="139" t="s">
        <v>66</v>
      </c>
      <c r="E1679" s="209">
        <v>1</v>
      </c>
      <c r="F1679" s="577" t="s">
        <v>67</v>
      </c>
      <c r="G1679" s="210">
        <v>11.631600000000001</v>
      </c>
      <c r="H1679" s="211">
        <f>ROUND(G1679*E1679,2)</f>
        <v>11.63</v>
      </c>
    </row>
    <row r="1680" spans="1:8" s="201" customFormat="1">
      <c r="A1680" s="582"/>
      <c r="B1680" s="582"/>
      <c r="C1680" s="212"/>
      <c r="D1680" s="719" t="s">
        <v>127</v>
      </c>
      <c r="E1680" s="719"/>
      <c r="F1680" s="719"/>
      <c r="G1680" s="719"/>
      <c r="H1680" s="638">
        <f>SUMIF(F1675:F1679,("h"),H1675:H1679)</f>
        <v>42.69</v>
      </c>
    </row>
    <row r="1681" spans="1:8" s="201" customFormat="1">
      <c r="A1681" s="582"/>
      <c r="B1681" s="582"/>
      <c r="C1681" s="212"/>
      <c r="D1681" s="719" t="s">
        <v>128</v>
      </c>
      <c r="E1681" s="719"/>
      <c r="F1681" s="719"/>
      <c r="G1681" s="719"/>
      <c r="H1681" s="638">
        <f>SUMIF(F1675:F1679,"&lt;&gt;h",H1675:H1679)</f>
        <v>509.61</v>
      </c>
    </row>
    <row r="1682" spans="1:8" s="201" customFormat="1">
      <c r="A1682" s="582"/>
      <c r="B1682" s="582"/>
      <c r="C1682" s="212"/>
      <c r="D1682" s="718" t="s">
        <v>129</v>
      </c>
      <c r="E1682" s="718"/>
      <c r="F1682" s="718"/>
      <c r="G1682" s="718"/>
      <c r="H1682" s="213">
        <f>SUM(H1680:H1681)</f>
        <v>552.29999999999995</v>
      </c>
    </row>
    <row r="1683" spans="1:8" s="201" customFormat="1">
      <c r="A1683" s="582"/>
      <c r="B1683" s="582"/>
      <c r="C1683" s="212"/>
      <c r="D1683" s="719" t="s">
        <v>28</v>
      </c>
      <c r="E1683" s="719"/>
      <c r="F1683" s="719"/>
      <c r="G1683" s="719"/>
      <c r="H1683" s="639">
        <f>E1674</f>
        <v>4</v>
      </c>
    </row>
    <row r="1684" spans="1:8" s="201" customFormat="1">
      <c r="A1684" s="582"/>
      <c r="B1684" s="582"/>
      <c r="C1684" s="212"/>
      <c r="D1684" s="718" t="s">
        <v>130</v>
      </c>
      <c r="E1684" s="718"/>
      <c r="F1684" s="718"/>
      <c r="G1684" s="718"/>
      <c r="H1684" s="213">
        <f>ROUND(H1682*H1683,2)</f>
        <v>2209.1999999999998</v>
      </c>
    </row>
    <row r="1685" spans="1:8" s="201" customFormat="1">
      <c r="A1685" s="582"/>
      <c r="B1685" s="582"/>
      <c r="C1685" s="212"/>
      <c r="D1685" s="719" t="s">
        <v>15559</v>
      </c>
      <c r="E1685" s="719"/>
      <c r="F1685" s="719"/>
      <c r="G1685" s="719"/>
      <c r="H1685" s="638">
        <f>ROUND(H1682*$B$13,2)</f>
        <v>148.72999999999999</v>
      </c>
    </row>
    <row r="1686" spans="1:8">
      <c r="A1686" s="582"/>
      <c r="B1686" s="582"/>
      <c r="C1686" s="212"/>
      <c r="D1686" s="718" t="s">
        <v>9661</v>
      </c>
      <c r="E1686" s="718"/>
      <c r="F1686" s="718"/>
      <c r="G1686" s="718"/>
      <c r="H1686" s="213">
        <f>H1685+H1682</f>
        <v>701.03</v>
      </c>
    </row>
    <row r="1688" spans="1:8" s="201" customFormat="1">
      <c r="A1688" s="123" t="s">
        <v>6</v>
      </c>
      <c r="B1688" s="720" t="s">
        <v>7</v>
      </c>
      <c r="C1688" s="720"/>
      <c r="D1688" s="202" t="s">
        <v>124</v>
      </c>
      <c r="E1688" s="167" t="s">
        <v>6334</v>
      </c>
      <c r="F1688" s="202" t="s">
        <v>31</v>
      </c>
      <c r="G1688" s="203" t="s">
        <v>125</v>
      </c>
      <c r="H1688" s="204" t="s">
        <v>126</v>
      </c>
    </row>
    <row r="1689" spans="1:8" s="208" customFormat="1" ht="60">
      <c r="A1689" s="581" t="str">
        <f>'Orç - Prédio'!A292</f>
        <v>05.01.510.02</v>
      </c>
      <c r="B1689" s="216" t="str">
        <f>'Orç - Prédio'!B292</f>
        <v>SINAPI</v>
      </c>
      <c r="C1689" s="216" t="str">
        <f>'Orç - Prédio'!C292</f>
        <v>86936 MOD 1</v>
      </c>
      <c r="D1689" s="217" t="s">
        <v>7093</v>
      </c>
      <c r="E1689" s="206">
        <v>28</v>
      </c>
      <c r="F1689" s="216" t="s">
        <v>6337</v>
      </c>
      <c r="G1689" s="207">
        <f>VLOOKUP("CUSTO TOTAL UNIT.:",D1690:$H$30004,5,FALSE)</f>
        <v>457.27</v>
      </c>
      <c r="H1689" s="637">
        <f>VLOOKUP("CUSTO TOTAL:",D1690:$H$30004,5,FALSE)</f>
        <v>12803.56</v>
      </c>
    </row>
    <row r="1690" spans="1:8" s="124" customFormat="1" ht="30">
      <c r="A1690" s="721">
        <v>6755</v>
      </c>
      <c r="B1690" s="721"/>
      <c r="C1690" s="200" t="s">
        <v>6333</v>
      </c>
      <c r="D1690" s="185" t="s">
        <v>7121</v>
      </c>
      <c r="E1690" s="209">
        <v>0.53625</v>
      </c>
      <c r="F1690" s="577" t="s">
        <v>31</v>
      </c>
      <c r="G1690" s="174">
        <v>607.11930000000007</v>
      </c>
      <c r="H1690" s="211">
        <f t="shared" ref="H1690:H1695" si="61">ROUND(G1690*E1690,2)</f>
        <v>325.57</v>
      </c>
    </row>
    <row r="1691" spans="1:8" s="124" customFormat="1">
      <c r="A1691" s="721">
        <v>4823</v>
      </c>
      <c r="B1691" s="721"/>
      <c r="C1691" s="200" t="s">
        <v>5256</v>
      </c>
      <c r="D1691" s="139" t="s">
        <v>12944</v>
      </c>
      <c r="E1691" s="209">
        <v>0.2974</v>
      </c>
      <c r="F1691" s="577" t="s">
        <v>49</v>
      </c>
      <c r="G1691" s="210">
        <v>24.121800000000004</v>
      </c>
      <c r="H1691" s="211">
        <f t="shared" si="61"/>
        <v>7.17</v>
      </c>
    </row>
    <row r="1692" spans="1:8" s="124" customFormat="1" ht="30">
      <c r="A1692" s="721">
        <v>88274</v>
      </c>
      <c r="B1692" s="721"/>
      <c r="C1692" s="200" t="s">
        <v>5256</v>
      </c>
      <c r="D1692" s="139" t="s">
        <v>5106</v>
      </c>
      <c r="E1692" s="209">
        <v>0.48</v>
      </c>
      <c r="F1692" s="577" t="s">
        <v>67</v>
      </c>
      <c r="G1692" s="210">
        <v>13.097700000000001</v>
      </c>
      <c r="H1692" s="211">
        <f t="shared" si="61"/>
        <v>6.29</v>
      </c>
    </row>
    <row r="1693" spans="1:8" s="124" customFormat="1" ht="30">
      <c r="A1693" s="721">
        <v>88316</v>
      </c>
      <c r="B1693" s="721"/>
      <c r="C1693" s="200" t="s">
        <v>5256</v>
      </c>
      <c r="D1693" s="139" t="s">
        <v>66</v>
      </c>
      <c r="E1693" s="209">
        <v>0.15</v>
      </c>
      <c r="F1693" s="577" t="s">
        <v>67</v>
      </c>
      <c r="G1693" s="210">
        <v>11.631600000000001</v>
      </c>
      <c r="H1693" s="211">
        <f t="shared" si="61"/>
        <v>1.74</v>
      </c>
    </row>
    <row r="1694" spans="1:8" s="124" customFormat="1" ht="45">
      <c r="A1694" s="721">
        <v>86881</v>
      </c>
      <c r="B1694" s="721"/>
      <c r="C1694" s="200" t="s">
        <v>5256</v>
      </c>
      <c r="D1694" s="139" t="s">
        <v>3656</v>
      </c>
      <c r="E1694" s="209">
        <v>1</v>
      </c>
      <c r="F1694" s="577" t="s">
        <v>171</v>
      </c>
      <c r="G1694" s="210">
        <v>85.746600000000001</v>
      </c>
      <c r="H1694" s="211">
        <f t="shared" si="61"/>
        <v>85.75</v>
      </c>
    </row>
    <row r="1695" spans="1:8" s="124" customFormat="1" ht="45">
      <c r="A1695" s="721">
        <v>86878</v>
      </c>
      <c r="B1695" s="721"/>
      <c r="C1695" s="200" t="s">
        <v>5256</v>
      </c>
      <c r="D1695" s="139" t="s">
        <v>3653</v>
      </c>
      <c r="E1695" s="209">
        <v>1</v>
      </c>
      <c r="F1695" s="577" t="s">
        <v>171</v>
      </c>
      <c r="G1695" s="210">
        <v>30.747600000000002</v>
      </c>
      <c r="H1695" s="211">
        <f t="shared" si="61"/>
        <v>30.75</v>
      </c>
    </row>
    <row r="1696" spans="1:8" s="201" customFormat="1">
      <c r="A1696" s="582"/>
      <c r="B1696" s="582"/>
      <c r="C1696" s="212"/>
      <c r="D1696" s="719" t="s">
        <v>127</v>
      </c>
      <c r="E1696" s="719"/>
      <c r="F1696" s="719"/>
      <c r="G1696" s="719"/>
      <c r="H1696" s="638">
        <f>SUMIF(F1690:F1695,("h"),H1690:H1695)</f>
        <v>8.0299999999999994</v>
      </c>
    </row>
    <row r="1697" spans="1:8" s="201" customFormat="1">
      <c r="A1697" s="582"/>
      <c r="B1697" s="582"/>
      <c r="C1697" s="212"/>
      <c r="D1697" s="719" t="s">
        <v>128</v>
      </c>
      <c r="E1697" s="719"/>
      <c r="F1697" s="719"/>
      <c r="G1697" s="719"/>
      <c r="H1697" s="638">
        <f>SUMIF(F1690:F1695,"&lt;&gt;h",H1690:H1695)</f>
        <v>449.24</v>
      </c>
    </row>
    <row r="1698" spans="1:8" s="201" customFormat="1">
      <c r="A1698" s="582"/>
      <c r="B1698" s="582"/>
      <c r="C1698" s="212"/>
      <c r="D1698" s="718" t="s">
        <v>129</v>
      </c>
      <c r="E1698" s="718"/>
      <c r="F1698" s="718"/>
      <c r="G1698" s="718"/>
      <c r="H1698" s="213">
        <f>SUM(H1696:H1697)</f>
        <v>457.27</v>
      </c>
    </row>
    <row r="1699" spans="1:8" s="201" customFormat="1">
      <c r="A1699" s="582"/>
      <c r="B1699" s="582"/>
      <c r="C1699" s="212"/>
      <c r="D1699" s="719" t="s">
        <v>28</v>
      </c>
      <c r="E1699" s="719"/>
      <c r="F1699" s="719"/>
      <c r="G1699" s="719"/>
      <c r="H1699" s="639">
        <f>E1689</f>
        <v>28</v>
      </c>
    </row>
    <row r="1700" spans="1:8" s="201" customFormat="1">
      <c r="A1700" s="582"/>
      <c r="B1700" s="582"/>
      <c r="C1700" s="212"/>
      <c r="D1700" s="718" t="s">
        <v>130</v>
      </c>
      <c r="E1700" s="718"/>
      <c r="F1700" s="718"/>
      <c r="G1700" s="718"/>
      <c r="H1700" s="213">
        <f>ROUND(H1698*H1699,2)</f>
        <v>12803.56</v>
      </c>
    </row>
    <row r="1701" spans="1:8" s="201" customFormat="1">
      <c r="A1701" s="582"/>
      <c r="B1701" s="582"/>
      <c r="C1701" s="212"/>
      <c r="D1701" s="719" t="s">
        <v>15559</v>
      </c>
      <c r="E1701" s="719"/>
      <c r="F1701" s="719"/>
      <c r="G1701" s="719"/>
      <c r="H1701" s="638">
        <f>ROUND(H1698*$B$13,2)</f>
        <v>123.14</v>
      </c>
    </row>
    <row r="1702" spans="1:8">
      <c r="A1702" s="582"/>
      <c r="B1702" s="582"/>
      <c r="C1702" s="212"/>
      <c r="D1702" s="718" t="s">
        <v>9661</v>
      </c>
      <c r="E1702" s="718"/>
      <c r="F1702" s="718"/>
      <c r="G1702" s="718"/>
      <c r="H1702" s="213">
        <f>H1701+H1698</f>
        <v>580.41</v>
      </c>
    </row>
    <row r="1704" spans="1:8" s="201" customFormat="1">
      <c r="A1704" s="123" t="s">
        <v>6</v>
      </c>
      <c r="B1704" s="720" t="s">
        <v>7</v>
      </c>
      <c r="C1704" s="720"/>
      <c r="D1704" s="202" t="s">
        <v>124</v>
      </c>
      <c r="E1704" s="167" t="s">
        <v>6334</v>
      </c>
      <c r="F1704" s="202" t="s">
        <v>31</v>
      </c>
      <c r="G1704" s="203" t="s">
        <v>125</v>
      </c>
      <c r="H1704" s="204" t="s">
        <v>126</v>
      </c>
    </row>
    <row r="1705" spans="1:8" s="208" customFormat="1" ht="60">
      <c r="A1705" s="581" t="str">
        <f>'Orç - Prédio'!A293</f>
        <v>05.01.510.03</v>
      </c>
      <c r="B1705" s="216" t="str">
        <f>'Orç - Prédio'!B293</f>
        <v>SINAPI</v>
      </c>
      <c r="C1705" s="216" t="str">
        <f>'Orç - Prédio'!C293</f>
        <v>86936 MOD 2</v>
      </c>
      <c r="D1705" s="181" t="s">
        <v>7094</v>
      </c>
      <c r="E1705" s="206">
        <v>5</v>
      </c>
      <c r="F1705" s="216" t="s">
        <v>6337</v>
      </c>
      <c r="G1705" s="207">
        <f>VLOOKUP("CUSTO TOTAL UNIT.:",D1706:$H$30004,5,FALSE)</f>
        <v>738.81999999999994</v>
      </c>
      <c r="H1705" s="637">
        <f>VLOOKUP("CUSTO TOTAL:",D1706:$H$30004,5,FALSE)</f>
        <v>3694.1</v>
      </c>
    </row>
    <row r="1706" spans="1:8" s="124" customFormat="1" ht="30">
      <c r="A1706" s="721">
        <v>6755</v>
      </c>
      <c r="B1706" s="721"/>
      <c r="C1706" s="200" t="s">
        <v>6333</v>
      </c>
      <c r="D1706" s="185" t="s">
        <v>7121</v>
      </c>
      <c r="E1706" s="209">
        <v>1</v>
      </c>
      <c r="F1706" s="577" t="s">
        <v>31</v>
      </c>
      <c r="G1706" s="174">
        <v>607.11930000000007</v>
      </c>
      <c r="H1706" s="211">
        <f t="shared" ref="H1706:H1711" si="62">ROUND(G1706*E1706,2)</f>
        <v>607.12</v>
      </c>
    </row>
    <row r="1707" spans="1:8" s="124" customFormat="1">
      <c r="A1707" s="721">
        <v>4823</v>
      </c>
      <c r="B1707" s="721"/>
      <c r="C1707" s="200" t="s">
        <v>5256</v>
      </c>
      <c r="D1707" s="139" t="s">
        <v>12944</v>
      </c>
      <c r="E1707" s="209">
        <v>0.2974</v>
      </c>
      <c r="F1707" s="577" t="s">
        <v>49</v>
      </c>
      <c r="G1707" s="210">
        <v>24.121800000000004</v>
      </c>
      <c r="H1707" s="211">
        <f t="shared" si="62"/>
        <v>7.17</v>
      </c>
    </row>
    <row r="1708" spans="1:8" s="124" customFormat="1" ht="30">
      <c r="A1708" s="721">
        <v>88274</v>
      </c>
      <c r="B1708" s="721"/>
      <c r="C1708" s="200" t="s">
        <v>5256</v>
      </c>
      <c r="D1708" s="139" t="s">
        <v>5106</v>
      </c>
      <c r="E1708" s="209">
        <v>0.48</v>
      </c>
      <c r="F1708" s="577" t="s">
        <v>67</v>
      </c>
      <c r="G1708" s="210">
        <v>13.097700000000001</v>
      </c>
      <c r="H1708" s="211">
        <f t="shared" si="62"/>
        <v>6.29</v>
      </c>
    </row>
    <row r="1709" spans="1:8" s="124" customFormat="1" ht="30">
      <c r="A1709" s="721">
        <v>88316</v>
      </c>
      <c r="B1709" s="721"/>
      <c r="C1709" s="200" t="s">
        <v>5256</v>
      </c>
      <c r="D1709" s="139" t="s">
        <v>66</v>
      </c>
      <c r="E1709" s="209">
        <v>0.15</v>
      </c>
      <c r="F1709" s="577" t="s">
        <v>67</v>
      </c>
      <c r="G1709" s="210">
        <v>11.631600000000001</v>
      </c>
      <c r="H1709" s="211">
        <f t="shared" si="62"/>
        <v>1.74</v>
      </c>
    </row>
    <row r="1710" spans="1:8" s="124" customFormat="1" ht="45">
      <c r="A1710" s="721">
        <v>86881</v>
      </c>
      <c r="B1710" s="721"/>
      <c r="C1710" s="200" t="s">
        <v>5256</v>
      </c>
      <c r="D1710" s="139" t="s">
        <v>3656</v>
      </c>
      <c r="E1710" s="209">
        <v>1</v>
      </c>
      <c r="F1710" s="577" t="s">
        <v>171</v>
      </c>
      <c r="G1710" s="210">
        <v>85.746600000000001</v>
      </c>
      <c r="H1710" s="211">
        <f t="shared" si="62"/>
        <v>85.75</v>
      </c>
    </row>
    <row r="1711" spans="1:8" s="124" customFormat="1" ht="45">
      <c r="A1711" s="721">
        <v>86878</v>
      </c>
      <c r="B1711" s="721"/>
      <c r="C1711" s="200" t="s">
        <v>5256</v>
      </c>
      <c r="D1711" s="139" t="s">
        <v>3653</v>
      </c>
      <c r="E1711" s="209">
        <v>1</v>
      </c>
      <c r="F1711" s="577" t="s">
        <v>171</v>
      </c>
      <c r="G1711" s="210">
        <v>30.747600000000002</v>
      </c>
      <c r="H1711" s="211">
        <f t="shared" si="62"/>
        <v>30.75</v>
      </c>
    </row>
    <row r="1712" spans="1:8" s="201" customFormat="1">
      <c r="A1712" s="582"/>
      <c r="B1712" s="582"/>
      <c r="C1712" s="212"/>
      <c r="D1712" s="719" t="s">
        <v>127</v>
      </c>
      <c r="E1712" s="719"/>
      <c r="F1712" s="719"/>
      <c r="G1712" s="719"/>
      <c r="H1712" s="638">
        <f>SUMIF(F1706:F1711,("h"),H1706:H1711)</f>
        <v>8.0299999999999994</v>
      </c>
    </row>
    <row r="1713" spans="1:8" s="201" customFormat="1">
      <c r="A1713" s="582"/>
      <c r="B1713" s="582"/>
      <c r="C1713" s="212"/>
      <c r="D1713" s="719" t="s">
        <v>128</v>
      </c>
      <c r="E1713" s="719"/>
      <c r="F1713" s="719"/>
      <c r="G1713" s="719"/>
      <c r="H1713" s="638">
        <f>SUMIF(F1706:F1711,"&lt;&gt;h",H1706:H1711)</f>
        <v>730.79</v>
      </c>
    </row>
    <row r="1714" spans="1:8" s="201" customFormat="1">
      <c r="A1714" s="582"/>
      <c r="B1714" s="582"/>
      <c r="C1714" s="212"/>
      <c r="D1714" s="718" t="s">
        <v>129</v>
      </c>
      <c r="E1714" s="718"/>
      <c r="F1714" s="718"/>
      <c r="G1714" s="718"/>
      <c r="H1714" s="213">
        <f>SUM(H1712:H1713)</f>
        <v>738.81999999999994</v>
      </c>
    </row>
    <row r="1715" spans="1:8" s="201" customFormat="1">
      <c r="A1715" s="582"/>
      <c r="B1715" s="582"/>
      <c r="C1715" s="212"/>
      <c r="D1715" s="719" t="s">
        <v>28</v>
      </c>
      <c r="E1715" s="719"/>
      <c r="F1715" s="719"/>
      <c r="G1715" s="719"/>
      <c r="H1715" s="639">
        <f>E1705</f>
        <v>5</v>
      </c>
    </row>
    <row r="1716" spans="1:8" s="201" customFormat="1">
      <c r="A1716" s="582"/>
      <c r="B1716" s="582"/>
      <c r="C1716" s="212"/>
      <c r="D1716" s="718" t="s">
        <v>130</v>
      </c>
      <c r="E1716" s="718"/>
      <c r="F1716" s="718"/>
      <c r="G1716" s="718"/>
      <c r="H1716" s="213">
        <f>ROUND(H1714*H1715,2)</f>
        <v>3694.1</v>
      </c>
    </row>
    <row r="1717" spans="1:8" s="201" customFormat="1">
      <c r="A1717" s="582"/>
      <c r="B1717" s="582"/>
      <c r="C1717" s="212"/>
      <c r="D1717" s="719" t="s">
        <v>15559</v>
      </c>
      <c r="E1717" s="719"/>
      <c r="F1717" s="719"/>
      <c r="G1717" s="719"/>
      <c r="H1717" s="638">
        <f>ROUND(H1714*$B$13,2)</f>
        <v>198.96</v>
      </c>
    </row>
    <row r="1718" spans="1:8">
      <c r="A1718" s="582"/>
      <c r="B1718" s="582"/>
      <c r="C1718" s="212"/>
      <c r="D1718" s="718" t="s">
        <v>9661</v>
      </c>
      <c r="E1718" s="718"/>
      <c r="F1718" s="718"/>
      <c r="G1718" s="718"/>
      <c r="H1718" s="213">
        <f>H1717+H1714</f>
        <v>937.78</v>
      </c>
    </row>
    <row r="1720" spans="1:8" s="201" customFormat="1">
      <c r="A1720" s="123" t="s">
        <v>6</v>
      </c>
      <c r="B1720" s="720" t="s">
        <v>7</v>
      </c>
      <c r="C1720" s="720"/>
      <c r="D1720" s="202" t="s">
        <v>124</v>
      </c>
      <c r="E1720" s="167" t="s">
        <v>6334</v>
      </c>
      <c r="F1720" s="202" t="s">
        <v>31</v>
      </c>
      <c r="G1720" s="203" t="s">
        <v>125</v>
      </c>
      <c r="H1720" s="204" t="s">
        <v>126</v>
      </c>
    </row>
    <row r="1721" spans="1:8" s="208" customFormat="1" ht="60">
      <c r="A1721" s="581" t="str">
        <f>'Orç - Prédio'!A294</f>
        <v>05.01.510.04</v>
      </c>
      <c r="B1721" s="216" t="str">
        <f>'Orç - Prédio'!B294</f>
        <v>SINAPI</v>
      </c>
      <c r="C1721" s="216" t="str">
        <f>'Orç - Prédio'!C294</f>
        <v>86936 MOD 3</v>
      </c>
      <c r="D1721" s="217" t="s">
        <v>7095</v>
      </c>
      <c r="E1721" s="206">
        <v>10</v>
      </c>
      <c r="F1721" s="216" t="s">
        <v>6337</v>
      </c>
      <c r="G1721" s="207">
        <f>VLOOKUP("CUSTO TOTAL UNIT.:",D1722:$H$30004,5,FALSE)</f>
        <v>900.37999999999988</v>
      </c>
      <c r="H1721" s="637">
        <f>VLOOKUP("CUSTO TOTAL:",D1722:$H$30004,5,FALSE)</f>
        <v>9003.7999999999993</v>
      </c>
    </row>
    <row r="1722" spans="1:8" s="124" customFormat="1" ht="30">
      <c r="A1722" s="721">
        <v>6755</v>
      </c>
      <c r="B1722" s="721"/>
      <c r="C1722" s="200" t="s">
        <v>6333</v>
      </c>
      <c r="D1722" s="185" t="s">
        <v>7121</v>
      </c>
      <c r="E1722" s="209">
        <v>1.266111</v>
      </c>
      <c r="F1722" s="577" t="s">
        <v>31</v>
      </c>
      <c r="G1722" s="174">
        <v>607.11930000000007</v>
      </c>
      <c r="H1722" s="211">
        <f t="shared" ref="H1722:H1727" si="63">ROUND(G1722*E1722,2)</f>
        <v>768.68</v>
      </c>
    </row>
    <row r="1723" spans="1:8" s="124" customFormat="1">
      <c r="A1723" s="721">
        <v>4823</v>
      </c>
      <c r="B1723" s="721"/>
      <c r="C1723" s="200" t="s">
        <v>5256</v>
      </c>
      <c r="D1723" s="139" t="s">
        <v>12944</v>
      </c>
      <c r="E1723" s="209">
        <v>0.2974</v>
      </c>
      <c r="F1723" s="577" t="s">
        <v>49</v>
      </c>
      <c r="G1723" s="210">
        <v>24.121800000000004</v>
      </c>
      <c r="H1723" s="211">
        <f t="shared" si="63"/>
        <v>7.17</v>
      </c>
    </row>
    <row r="1724" spans="1:8" s="124" customFormat="1" ht="30">
      <c r="A1724" s="721">
        <v>88274</v>
      </c>
      <c r="B1724" s="721"/>
      <c r="C1724" s="200" t="s">
        <v>5256</v>
      </c>
      <c r="D1724" s="139" t="s">
        <v>5106</v>
      </c>
      <c r="E1724" s="209">
        <v>0.48</v>
      </c>
      <c r="F1724" s="577" t="s">
        <v>67</v>
      </c>
      <c r="G1724" s="210">
        <v>13.097700000000001</v>
      </c>
      <c r="H1724" s="211">
        <f t="shared" si="63"/>
        <v>6.29</v>
      </c>
    </row>
    <row r="1725" spans="1:8" s="124" customFormat="1" ht="30">
      <c r="A1725" s="721">
        <v>88316</v>
      </c>
      <c r="B1725" s="721"/>
      <c r="C1725" s="200" t="s">
        <v>5256</v>
      </c>
      <c r="D1725" s="139" t="s">
        <v>66</v>
      </c>
      <c r="E1725" s="209">
        <v>0.15</v>
      </c>
      <c r="F1725" s="577" t="s">
        <v>67</v>
      </c>
      <c r="G1725" s="210">
        <v>11.631600000000001</v>
      </c>
      <c r="H1725" s="211">
        <f t="shared" si="63"/>
        <v>1.74</v>
      </c>
    </row>
    <row r="1726" spans="1:8" s="124" customFormat="1" ht="45">
      <c r="A1726" s="721">
        <v>86881</v>
      </c>
      <c r="B1726" s="721"/>
      <c r="C1726" s="200" t="s">
        <v>5256</v>
      </c>
      <c r="D1726" s="139" t="s">
        <v>3656</v>
      </c>
      <c r="E1726" s="209">
        <v>1</v>
      </c>
      <c r="F1726" s="577" t="s">
        <v>171</v>
      </c>
      <c r="G1726" s="210">
        <v>85.746600000000001</v>
      </c>
      <c r="H1726" s="211">
        <f t="shared" si="63"/>
        <v>85.75</v>
      </c>
    </row>
    <row r="1727" spans="1:8" s="124" customFormat="1" ht="45">
      <c r="A1727" s="721">
        <v>86878</v>
      </c>
      <c r="B1727" s="721"/>
      <c r="C1727" s="200" t="s">
        <v>5256</v>
      </c>
      <c r="D1727" s="139" t="s">
        <v>3653</v>
      </c>
      <c r="E1727" s="209">
        <v>1</v>
      </c>
      <c r="F1727" s="577" t="s">
        <v>171</v>
      </c>
      <c r="G1727" s="210">
        <v>30.747600000000002</v>
      </c>
      <c r="H1727" s="211">
        <f t="shared" si="63"/>
        <v>30.75</v>
      </c>
    </row>
    <row r="1728" spans="1:8" s="201" customFormat="1">
      <c r="A1728" s="582"/>
      <c r="B1728" s="582"/>
      <c r="C1728" s="212"/>
      <c r="D1728" s="719" t="s">
        <v>127</v>
      </c>
      <c r="E1728" s="719"/>
      <c r="F1728" s="719"/>
      <c r="G1728" s="719"/>
      <c r="H1728" s="638">
        <f>SUMIF(F1722:F1727,("h"),H1722:H1727)</f>
        <v>8.0299999999999994</v>
      </c>
    </row>
    <row r="1729" spans="1:8" s="201" customFormat="1">
      <c r="A1729" s="582"/>
      <c r="B1729" s="582"/>
      <c r="C1729" s="212"/>
      <c r="D1729" s="719" t="s">
        <v>128</v>
      </c>
      <c r="E1729" s="719"/>
      <c r="F1729" s="719"/>
      <c r="G1729" s="719"/>
      <c r="H1729" s="638">
        <f>SUMIF(F1722:F1727,"&lt;&gt;h",H1722:H1727)</f>
        <v>892.34999999999991</v>
      </c>
    </row>
    <row r="1730" spans="1:8" s="201" customFormat="1">
      <c r="A1730" s="582"/>
      <c r="B1730" s="582"/>
      <c r="C1730" s="212"/>
      <c r="D1730" s="718" t="s">
        <v>129</v>
      </c>
      <c r="E1730" s="718"/>
      <c r="F1730" s="718"/>
      <c r="G1730" s="718"/>
      <c r="H1730" s="213">
        <f>SUM(H1728:H1729)</f>
        <v>900.37999999999988</v>
      </c>
    </row>
    <row r="1731" spans="1:8" s="201" customFormat="1">
      <c r="A1731" s="582"/>
      <c r="B1731" s="582"/>
      <c r="C1731" s="212"/>
      <c r="D1731" s="719" t="s">
        <v>28</v>
      </c>
      <c r="E1731" s="719"/>
      <c r="F1731" s="719"/>
      <c r="G1731" s="719"/>
      <c r="H1731" s="639">
        <f>E1721</f>
        <v>10</v>
      </c>
    </row>
    <row r="1732" spans="1:8" s="201" customFormat="1">
      <c r="A1732" s="582"/>
      <c r="B1732" s="582"/>
      <c r="C1732" s="212"/>
      <c r="D1732" s="718" t="s">
        <v>130</v>
      </c>
      <c r="E1732" s="718"/>
      <c r="F1732" s="718"/>
      <c r="G1732" s="718"/>
      <c r="H1732" s="213">
        <f>ROUND(H1730*H1731,2)</f>
        <v>9003.7999999999993</v>
      </c>
    </row>
    <row r="1733" spans="1:8" s="201" customFormat="1">
      <c r="A1733" s="582"/>
      <c r="B1733" s="582"/>
      <c r="C1733" s="212"/>
      <c r="D1733" s="719" t="s">
        <v>15559</v>
      </c>
      <c r="E1733" s="719"/>
      <c r="F1733" s="719"/>
      <c r="G1733" s="719"/>
      <c r="H1733" s="638">
        <f>ROUND(H1730*$B$13,2)</f>
        <v>242.47</v>
      </c>
    </row>
    <row r="1734" spans="1:8">
      <c r="A1734" s="582"/>
      <c r="B1734" s="582"/>
      <c r="C1734" s="212"/>
      <c r="D1734" s="718" t="s">
        <v>9661</v>
      </c>
      <c r="E1734" s="718"/>
      <c r="F1734" s="718"/>
      <c r="G1734" s="718"/>
      <c r="H1734" s="213">
        <f>H1733+H1730</f>
        <v>1142.8499999999999</v>
      </c>
    </row>
    <row r="1736" spans="1:8" s="201" customFormat="1">
      <c r="A1736" s="123" t="s">
        <v>6</v>
      </c>
      <c r="B1736" s="720" t="s">
        <v>7</v>
      </c>
      <c r="C1736" s="720"/>
      <c r="D1736" s="202" t="s">
        <v>124</v>
      </c>
      <c r="E1736" s="167" t="s">
        <v>6334</v>
      </c>
      <c r="F1736" s="202" t="s">
        <v>31</v>
      </c>
      <c r="G1736" s="203" t="s">
        <v>125</v>
      </c>
      <c r="H1736" s="204" t="s">
        <v>126</v>
      </c>
    </row>
    <row r="1737" spans="1:8" s="208" customFormat="1" ht="30">
      <c r="A1737" s="581" t="str">
        <f>'Orç - Prédio'!A296</f>
        <v>05.01.512.01</v>
      </c>
      <c r="B1737" s="216" t="str">
        <f>'Orç - Prédio'!B296</f>
        <v>SINAPI</v>
      </c>
      <c r="C1737" s="216" t="str">
        <f>'Orç - Prédio'!C296</f>
        <v>86915 MOD</v>
      </c>
      <c r="D1737" s="217" t="s">
        <v>7097</v>
      </c>
      <c r="E1737" s="206">
        <v>20</v>
      </c>
      <c r="F1737" s="216" t="s">
        <v>6337</v>
      </c>
      <c r="G1737" s="207">
        <f>VLOOKUP("CUSTO TOTAL UNIT.:",D1738:$H$30004,5,FALSE)</f>
        <v>118.12</v>
      </c>
      <c r="H1737" s="637">
        <f>VLOOKUP("CUSTO TOTAL:",D1738:$H$30004,5,FALSE)</f>
        <v>2362.4</v>
      </c>
    </row>
    <row r="1738" spans="1:8" s="124" customFormat="1" ht="30">
      <c r="A1738" s="721">
        <v>3146</v>
      </c>
      <c r="B1738" s="721"/>
      <c r="C1738" s="200" t="s">
        <v>5256</v>
      </c>
      <c r="D1738" s="139" t="s">
        <v>11959</v>
      </c>
      <c r="E1738" s="209">
        <v>3.04E-2</v>
      </c>
      <c r="F1738" s="577" t="s">
        <v>40</v>
      </c>
      <c r="G1738" s="210">
        <v>3.0213000000000001</v>
      </c>
      <c r="H1738" s="211">
        <f>ROUND(G1738*E1738,2)</f>
        <v>0.09</v>
      </c>
    </row>
    <row r="1739" spans="1:8" s="124" customFormat="1" ht="45">
      <c r="A1739" s="721">
        <v>36796</v>
      </c>
      <c r="B1739" s="721"/>
      <c r="C1739" s="200" t="s">
        <v>5256</v>
      </c>
      <c r="D1739" s="139" t="s">
        <v>14407</v>
      </c>
      <c r="E1739" s="209">
        <v>1</v>
      </c>
      <c r="F1739" s="577" t="s">
        <v>40</v>
      </c>
      <c r="G1739" s="210">
        <v>115.15769999999999</v>
      </c>
      <c r="H1739" s="211">
        <f>ROUND(G1739*E1739,2)</f>
        <v>115.16</v>
      </c>
    </row>
    <row r="1740" spans="1:8" s="124" customFormat="1" ht="30">
      <c r="A1740" s="721">
        <v>88267</v>
      </c>
      <c r="B1740" s="721"/>
      <c r="C1740" s="200" t="s">
        <v>5256</v>
      </c>
      <c r="D1740" s="139" t="s">
        <v>86</v>
      </c>
      <c r="E1740" s="209">
        <v>0.15</v>
      </c>
      <c r="F1740" s="577" t="s">
        <v>67</v>
      </c>
      <c r="G1740" s="210">
        <v>15.2766</v>
      </c>
      <c r="H1740" s="211">
        <f>ROUND(G1740*E1740,2)</f>
        <v>2.29</v>
      </c>
    </row>
    <row r="1741" spans="1:8" s="124" customFormat="1" ht="30">
      <c r="A1741" s="721">
        <v>88316</v>
      </c>
      <c r="B1741" s="721"/>
      <c r="C1741" s="200" t="s">
        <v>5256</v>
      </c>
      <c r="D1741" s="139" t="s">
        <v>66</v>
      </c>
      <c r="E1741" s="209">
        <v>0.05</v>
      </c>
      <c r="F1741" s="577" t="s">
        <v>67</v>
      </c>
      <c r="G1741" s="210">
        <v>11.631600000000001</v>
      </c>
      <c r="H1741" s="211">
        <f>ROUND(G1741*E1741,2)</f>
        <v>0.57999999999999996</v>
      </c>
    </row>
    <row r="1742" spans="1:8" s="201" customFormat="1">
      <c r="A1742" s="582"/>
      <c r="B1742" s="582"/>
      <c r="C1742" s="212"/>
      <c r="D1742" s="719" t="s">
        <v>127</v>
      </c>
      <c r="E1742" s="719"/>
      <c r="F1742" s="719"/>
      <c r="G1742" s="719"/>
      <c r="H1742" s="638">
        <f>SUMIF(F1738:F1741,("h"),H1738:H1741)</f>
        <v>2.87</v>
      </c>
    </row>
    <row r="1743" spans="1:8" s="201" customFormat="1">
      <c r="A1743" s="582"/>
      <c r="B1743" s="582"/>
      <c r="C1743" s="212"/>
      <c r="D1743" s="719" t="s">
        <v>128</v>
      </c>
      <c r="E1743" s="719"/>
      <c r="F1743" s="719"/>
      <c r="G1743" s="719"/>
      <c r="H1743" s="638">
        <f>SUMIF(F1738:F1741,"&lt;&gt;h",H1738:H1741)</f>
        <v>115.25</v>
      </c>
    </row>
    <row r="1744" spans="1:8" s="201" customFormat="1">
      <c r="A1744" s="582"/>
      <c r="B1744" s="582"/>
      <c r="C1744" s="212"/>
      <c r="D1744" s="718" t="s">
        <v>129</v>
      </c>
      <c r="E1744" s="718"/>
      <c r="F1744" s="718"/>
      <c r="G1744" s="718"/>
      <c r="H1744" s="213">
        <f>SUM(H1742:H1743)</f>
        <v>118.12</v>
      </c>
    </row>
    <row r="1745" spans="1:8" s="201" customFormat="1">
      <c r="A1745" s="582"/>
      <c r="B1745" s="582"/>
      <c r="C1745" s="212"/>
      <c r="D1745" s="719" t="s">
        <v>28</v>
      </c>
      <c r="E1745" s="719"/>
      <c r="F1745" s="719"/>
      <c r="G1745" s="719"/>
      <c r="H1745" s="639">
        <f>E1737</f>
        <v>20</v>
      </c>
    </row>
    <row r="1746" spans="1:8" s="201" customFormat="1">
      <c r="A1746" s="582"/>
      <c r="B1746" s="582"/>
      <c r="C1746" s="212"/>
      <c r="D1746" s="718" t="s">
        <v>130</v>
      </c>
      <c r="E1746" s="718"/>
      <c r="F1746" s="718"/>
      <c r="G1746" s="718"/>
      <c r="H1746" s="213">
        <f>ROUND(H1744*H1745,2)</f>
        <v>2362.4</v>
      </c>
    </row>
    <row r="1747" spans="1:8" s="201" customFormat="1">
      <c r="A1747" s="582"/>
      <c r="B1747" s="582"/>
      <c r="C1747" s="212"/>
      <c r="D1747" s="719" t="s">
        <v>15559</v>
      </c>
      <c r="E1747" s="719"/>
      <c r="F1747" s="719"/>
      <c r="G1747" s="719"/>
      <c r="H1747" s="638">
        <f>ROUND(H1744*$B$13,2)</f>
        <v>31.81</v>
      </c>
    </row>
    <row r="1748" spans="1:8">
      <c r="A1748" s="582"/>
      <c r="B1748" s="582"/>
      <c r="C1748" s="212"/>
      <c r="D1748" s="718" t="s">
        <v>9661</v>
      </c>
      <c r="E1748" s="718"/>
      <c r="F1748" s="718"/>
      <c r="G1748" s="718"/>
      <c r="H1748" s="213">
        <f>H1747+H1744</f>
        <v>149.93</v>
      </c>
    </row>
    <row r="1750" spans="1:8" s="201" customFormat="1">
      <c r="A1750" s="123" t="s">
        <v>6</v>
      </c>
      <c r="B1750" s="720" t="s">
        <v>7</v>
      </c>
      <c r="C1750" s="720"/>
      <c r="D1750" s="202" t="s">
        <v>124</v>
      </c>
      <c r="E1750" s="167" t="s">
        <v>6334</v>
      </c>
      <c r="F1750" s="202" t="s">
        <v>31</v>
      </c>
      <c r="G1750" s="203" t="s">
        <v>125</v>
      </c>
      <c r="H1750" s="204" t="s">
        <v>126</v>
      </c>
    </row>
    <row r="1751" spans="1:8" s="208" customFormat="1" ht="30">
      <c r="A1751" s="581" t="str">
        <f>'Orç - Prédio'!A298</f>
        <v>05.01.512.03</v>
      </c>
      <c r="B1751" s="216" t="str">
        <f>'Orç - Prédio'!B298</f>
        <v>ORSE</v>
      </c>
      <c r="C1751" s="216">
        <f>'Orç - Prédio'!C298</f>
        <v>4392</v>
      </c>
      <c r="D1751" s="217" t="s">
        <v>7099</v>
      </c>
      <c r="E1751" s="206">
        <v>2</v>
      </c>
      <c r="F1751" s="216" t="s">
        <v>6337</v>
      </c>
      <c r="G1751" s="207">
        <f>VLOOKUP("CUSTO TOTAL UNIT.:",D1752:$H$30004,5,FALSE)</f>
        <v>358.00999999999993</v>
      </c>
      <c r="H1751" s="637">
        <f>VLOOKUP("CUSTO TOTAL:",D1752:$H$30004,5,FALSE)</f>
        <v>716.02</v>
      </c>
    </row>
    <row r="1752" spans="1:8" s="124" customFormat="1" ht="30">
      <c r="A1752" s="721">
        <v>3146</v>
      </c>
      <c r="B1752" s="721"/>
      <c r="C1752" s="200" t="s">
        <v>5256</v>
      </c>
      <c r="D1752" s="139" t="s">
        <v>11959</v>
      </c>
      <c r="E1752" s="209">
        <v>0.05</v>
      </c>
      <c r="F1752" s="577" t="s">
        <v>40</v>
      </c>
      <c r="G1752" s="210">
        <v>3.0213000000000001</v>
      </c>
      <c r="H1752" s="211">
        <f>ROUND(G1752*E1752,2)</f>
        <v>0.15</v>
      </c>
    </row>
    <row r="1753" spans="1:8" s="124" customFormat="1" ht="30">
      <c r="A1753" s="721">
        <v>3762</v>
      </c>
      <c r="B1753" s="721"/>
      <c r="C1753" s="200" t="s">
        <v>6333</v>
      </c>
      <c r="D1753" s="139" t="s">
        <v>7122</v>
      </c>
      <c r="E1753" s="209">
        <v>1</v>
      </c>
      <c r="F1753" s="577" t="s">
        <v>31</v>
      </c>
      <c r="G1753" s="174">
        <v>344.40390000000002</v>
      </c>
      <c r="H1753" s="211">
        <f>ROUND(G1753*E1753,2)</f>
        <v>344.4</v>
      </c>
    </row>
    <row r="1754" spans="1:8" s="124" customFormat="1" ht="30">
      <c r="A1754" s="721">
        <v>88267</v>
      </c>
      <c r="B1754" s="721"/>
      <c r="C1754" s="200" t="s">
        <v>5256</v>
      </c>
      <c r="D1754" s="139" t="s">
        <v>86</v>
      </c>
      <c r="E1754" s="209">
        <v>0.5</v>
      </c>
      <c r="F1754" s="577" t="s">
        <v>67</v>
      </c>
      <c r="G1754" s="210">
        <v>15.2766</v>
      </c>
      <c r="H1754" s="211">
        <f>ROUND(G1754*E1754,2)</f>
        <v>7.64</v>
      </c>
    </row>
    <row r="1755" spans="1:8" s="124" customFormat="1" ht="30">
      <c r="A1755" s="721">
        <v>88316</v>
      </c>
      <c r="B1755" s="721"/>
      <c r="C1755" s="200" t="s">
        <v>5256</v>
      </c>
      <c r="D1755" s="139" t="s">
        <v>66</v>
      </c>
      <c r="E1755" s="209">
        <v>0.5</v>
      </c>
      <c r="F1755" s="577" t="s">
        <v>67</v>
      </c>
      <c r="G1755" s="210">
        <v>11.631600000000001</v>
      </c>
      <c r="H1755" s="211">
        <f>ROUND(G1755*E1755,2)</f>
        <v>5.82</v>
      </c>
    </row>
    <row r="1756" spans="1:8" s="201" customFormat="1">
      <c r="A1756" s="582"/>
      <c r="B1756" s="582"/>
      <c r="C1756" s="212"/>
      <c r="D1756" s="719" t="s">
        <v>127</v>
      </c>
      <c r="E1756" s="719"/>
      <c r="F1756" s="719"/>
      <c r="G1756" s="719"/>
      <c r="H1756" s="638">
        <f>SUMIF(F1752:F1755,("h"),H1752:H1755)</f>
        <v>13.46</v>
      </c>
    </row>
    <row r="1757" spans="1:8" s="201" customFormat="1">
      <c r="A1757" s="582"/>
      <c r="B1757" s="582"/>
      <c r="C1757" s="212"/>
      <c r="D1757" s="719" t="s">
        <v>128</v>
      </c>
      <c r="E1757" s="719"/>
      <c r="F1757" s="719"/>
      <c r="G1757" s="719"/>
      <c r="H1757" s="638">
        <f>SUMIF(F1752:F1755,"&lt;&gt;h",H1752:H1755)</f>
        <v>344.54999999999995</v>
      </c>
    </row>
    <row r="1758" spans="1:8" s="201" customFormat="1">
      <c r="A1758" s="582"/>
      <c r="B1758" s="582"/>
      <c r="C1758" s="212"/>
      <c r="D1758" s="718" t="s">
        <v>129</v>
      </c>
      <c r="E1758" s="718"/>
      <c r="F1758" s="718"/>
      <c r="G1758" s="718"/>
      <c r="H1758" s="213">
        <f>SUM(H1756:H1757)</f>
        <v>358.00999999999993</v>
      </c>
    </row>
    <row r="1759" spans="1:8" s="201" customFormat="1">
      <c r="A1759" s="582"/>
      <c r="B1759" s="582"/>
      <c r="C1759" s="212"/>
      <c r="D1759" s="719" t="s">
        <v>28</v>
      </c>
      <c r="E1759" s="719"/>
      <c r="F1759" s="719"/>
      <c r="G1759" s="719"/>
      <c r="H1759" s="639">
        <f>E1751</f>
        <v>2</v>
      </c>
    </row>
    <row r="1760" spans="1:8" s="201" customFormat="1">
      <c r="A1760" s="582"/>
      <c r="B1760" s="582"/>
      <c r="C1760" s="212"/>
      <c r="D1760" s="718" t="s">
        <v>130</v>
      </c>
      <c r="E1760" s="718"/>
      <c r="F1760" s="718"/>
      <c r="G1760" s="718"/>
      <c r="H1760" s="213">
        <f>ROUND(H1758*H1759,2)</f>
        <v>716.02</v>
      </c>
    </row>
    <row r="1761" spans="1:8" s="201" customFormat="1">
      <c r="A1761" s="582"/>
      <c r="B1761" s="582"/>
      <c r="C1761" s="212"/>
      <c r="D1761" s="719" t="s">
        <v>15559</v>
      </c>
      <c r="E1761" s="719"/>
      <c r="F1761" s="719"/>
      <c r="G1761" s="719"/>
      <c r="H1761" s="638">
        <f>ROUND(H1758*$B$13,2)</f>
        <v>96.41</v>
      </c>
    </row>
    <row r="1762" spans="1:8">
      <c r="A1762" s="582"/>
      <c r="B1762" s="582"/>
      <c r="C1762" s="212"/>
      <c r="D1762" s="718" t="s">
        <v>9661</v>
      </c>
      <c r="E1762" s="718"/>
      <c r="F1762" s="718"/>
      <c r="G1762" s="718"/>
      <c r="H1762" s="213">
        <f>H1761+H1758</f>
        <v>454.41999999999996</v>
      </c>
    </row>
    <row r="1764" spans="1:8" s="201" customFormat="1">
      <c r="A1764" s="123" t="s">
        <v>6</v>
      </c>
      <c r="B1764" s="720" t="s">
        <v>7</v>
      </c>
      <c r="C1764" s="720"/>
      <c r="D1764" s="202" t="s">
        <v>124</v>
      </c>
      <c r="E1764" s="167" t="s">
        <v>6334</v>
      </c>
      <c r="F1764" s="202" t="s">
        <v>31</v>
      </c>
      <c r="G1764" s="203" t="s">
        <v>125</v>
      </c>
      <c r="H1764" s="204" t="s">
        <v>126</v>
      </c>
    </row>
    <row r="1765" spans="1:8" s="208" customFormat="1" ht="30">
      <c r="A1765" s="581" t="str">
        <f>'Orç - Prédio'!A300</f>
        <v>05.01.512.05</v>
      </c>
      <c r="B1765" s="216" t="str">
        <f>'Orç - Prédio'!B300</f>
        <v>SINAPI</v>
      </c>
      <c r="C1765" s="216" t="str">
        <f>'Orç - Prédio'!C300</f>
        <v>86914 MOD</v>
      </c>
      <c r="D1765" s="217" t="s">
        <v>7101</v>
      </c>
      <c r="E1765" s="206">
        <v>9</v>
      </c>
      <c r="F1765" s="216" t="s">
        <v>6337</v>
      </c>
      <c r="G1765" s="207">
        <f>VLOOKUP("CUSTO TOTAL UNIT.:",D1766:$H$30004,5,FALSE)</f>
        <v>43.94</v>
      </c>
      <c r="H1765" s="637">
        <f>VLOOKUP("CUSTO TOTAL:",D1766:$H$30004,5,FALSE)</f>
        <v>395.46</v>
      </c>
    </row>
    <row r="1766" spans="1:8" s="124" customFormat="1" ht="30">
      <c r="A1766" s="721">
        <v>3146</v>
      </c>
      <c r="B1766" s="721"/>
      <c r="C1766" s="200" t="s">
        <v>5256</v>
      </c>
      <c r="D1766" s="139" t="s">
        <v>11959</v>
      </c>
      <c r="E1766" s="209">
        <v>3.04E-2</v>
      </c>
      <c r="F1766" s="577" t="s">
        <v>40</v>
      </c>
      <c r="G1766" s="210">
        <v>3.0213000000000001</v>
      </c>
      <c r="H1766" s="211">
        <f>ROUND(G1766*E1766,2)</f>
        <v>0.09</v>
      </c>
    </row>
    <row r="1767" spans="1:8" s="124" customFormat="1" ht="30">
      <c r="A1767" s="721">
        <v>11762</v>
      </c>
      <c r="B1767" s="721"/>
      <c r="C1767" s="200" t="s">
        <v>5256</v>
      </c>
      <c r="D1767" s="139" t="s">
        <v>14402</v>
      </c>
      <c r="E1767" s="209">
        <v>1</v>
      </c>
      <c r="F1767" s="577" t="s">
        <v>40</v>
      </c>
      <c r="G1767" s="210">
        <v>40.977900000000005</v>
      </c>
      <c r="H1767" s="211">
        <f>ROUND(G1767*E1767,2)</f>
        <v>40.98</v>
      </c>
    </row>
    <row r="1768" spans="1:8" s="124" customFormat="1" ht="30">
      <c r="A1768" s="721">
        <v>88267</v>
      </c>
      <c r="B1768" s="721"/>
      <c r="C1768" s="200" t="s">
        <v>5256</v>
      </c>
      <c r="D1768" s="139" t="s">
        <v>86</v>
      </c>
      <c r="E1768" s="209">
        <v>0.15</v>
      </c>
      <c r="F1768" s="577" t="s">
        <v>67</v>
      </c>
      <c r="G1768" s="210">
        <v>15.2766</v>
      </c>
      <c r="H1768" s="211">
        <f>ROUND(G1768*E1768,2)</f>
        <v>2.29</v>
      </c>
    </row>
    <row r="1769" spans="1:8" s="124" customFormat="1" ht="30">
      <c r="A1769" s="721">
        <v>88316</v>
      </c>
      <c r="B1769" s="721"/>
      <c r="C1769" s="200" t="s">
        <v>5256</v>
      </c>
      <c r="D1769" s="139" t="s">
        <v>66</v>
      </c>
      <c r="E1769" s="209">
        <v>0.05</v>
      </c>
      <c r="F1769" s="577" t="s">
        <v>67</v>
      </c>
      <c r="G1769" s="210">
        <v>11.631600000000001</v>
      </c>
      <c r="H1769" s="211">
        <f>ROUND(G1769*E1769,2)</f>
        <v>0.57999999999999996</v>
      </c>
    </row>
    <row r="1770" spans="1:8" s="201" customFormat="1">
      <c r="A1770" s="582"/>
      <c r="B1770" s="582"/>
      <c r="C1770" s="212"/>
      <c r="D1770" s="719" t="s">
        <v>127</v>
      </c>
      <c r="E1770" s="719"/>
      <c r="F1770" s="719"/>
      <c r="G1770" s="719"/>
      <c r="H1770" s="638">
        <f>SUMIF(F1766:F1769,("h"),H1766:H1769)</f>
        <v>2.87</v>
      </c>
    </row>
    <row r="1771" spans="1:8" s="201" customFormat="1">
      <c r="A1771" s="582"/>
      <c r="B1771" s="582"/>
      <c r="C1771" s="212"/>
      <c r="D1771" s="719" t="s">
        <v>128</v>
      </c>
      <c r="E1771" s="719"/>
      <c r="F1771" s="719"/>
      <c r="G1771" s="719"/>
      <c r="H1771" s="638">
        <f>SUMIF(F1766:F1769,"&lt;&gt;h",H1766:H1769)</f>
        <v>41.07</v>
      </c>
    </row>
    <row r="1772" spans="1:8" s="201" customFormat="1">
      <c r="A1772" s="582"/>
      <c r="B1772" s="582"/>
      <c r="C1772" s="212"/>
      <c r="D1772" s="718" t="s">
        <v>129</v>
      </c>
      <c r="E1772" s="718"/>
      <c r="F1772" s="718"/>
      <c r="G1772" s="718"/>
      <c r="H1772" s="213">
        <f>SUM(H1770:H1771)</f>
        <v>43.94</v>
      </c>
    </row>
    <row r="1773" spans="1:8" s="201" customFormat="1">
      <c r="A1773" s="582"/>
      <c r="B1773" s="582"/>
      <c r="C1773" s="212"/>
      <c r="D1773" s="719" t="s">
        <v>28</v>
      </c>
      <c r="E1773" s="719"/>
      <c r="F1773" s="719"/>
      <c r="G1773" s="719"/>
      <c r="H1773" s="639">
        <f>E1765</f>
        <v>9</v>
      </c>
    </row>
    <row r="1774" spans="1:8" s="201" customFormat="1">
      <c r="A1774" s="582"/>
      <c r="B1774" s="582"/>
      <c r="C1774" s="212"/>
      <c r="D1774" s="718" t="s">
        <v>130</v>
      </c>
      <c r="E1774" s="718"/>
      <c r="F1774" s="718"/>
      <c r="G1774" s="718"/>
      <c r="H1774" s="213">
        <f>ROUND(H1772*H1773,2)</f>
        <v>395.46</v>
      </c>
    </row>
    <row r="1775" spans="1:8" s="201" customFormat="1">
      <c r="A1775" s="582"/>
      <c r="B1775" s="582"/>
      <c r="C1775" s="212"/>
      <c r="D1775" s="719" t="s">
        <v>15559</v>
      </c>
      <c r="E1775" s="719"/>
      <c r="F1775" s="719"/>
      <c r="G1775" s="719"/>
      <c r="H1775" s="638">
        <f>ROUND(H1772*$B$13,2)</f>
        <v>11.83</v>
      </c>
    </row>
    <row r="1776" spans="1:8">
      <c r="A1776" s="582"/>
      <c r="B1776" s="582"/>
      <c r="C1776" s="212"/>
      <c r="D1776" s="718" t="s">
        <v>9661</v>
      </c>
      <c r="E1776" s="718"/>
      <c r="F1776" s="718"/>
      <c r="G1776" s="718"/>
      <c r="H1776" s="213">
        <f>H1775+H1772</f>
        <v>55.769999999999996</v>
      </c>
    </row>
    <row r="1778" spans="1:8" s="201" customFormat="1">
      <c r="A1778" s="123" t="s">
        <v>6</v>
      </c>
      <c r="B1778" s="720" t="s">
        <v>7</v>
      </c>
      <c r="C1778" s="720"/>
      <c r="D1778" s="202" t="s">
        <v>124</v>
      </c>
      <c r="E1778" s="167" t="s">
        <v>6334</v>
      </c>
      <c r="F1778" s="202" t="s">
        <v>31</v>
      </c>
      <c r="G1778" s="203" t="s">
        <v>125</v>
      </c>
      <c r="H1778" s="204" t="s">
        <v>126</v>
      </c>
    </row>
    <row r="1779" spans="1:8" s="208" customFormat="1" ht="30">
      <c r="A1779" s="581" t="str">
        <f>'Orç - Prédio'!A308</f>
        <v>05.01.518.02</v>
      </c>
      <c r="B1779" s="216" t="str">
        <f>'Orç - Prédio'!B308</f>
        <v>ORSE</v>
      </c>
      <c r="C1779" s="216">
        <f>'Orç - Prédio'!C308</f>
        <v>10041</v>
      </c>
      <c r="D1779" s="217" t="s">
        <v>7108</v>
      </c>
      <c r="E1779" s="206">
        <v>10</v>
      </c>
      <c r="F1779" s="216" t="s">
        <v>6337</v>
      </c>
      <c r="G1779" s="207">
        <f>VLOOKUP("CUSTO TOTAL UNIT.:",D1780:$H$30004,5,FALSE)</f>
        <v>1208.3799999999999</v>
      </c>
      <c r="H1779" s="637">
        <f>VLOOKUP("CUSTO TOTAL:",D1780:$H$30004,5,FALSE)</f>
        <v>12083.8</v>
      </c>
    </row>
    <row r="1780" spans="1:8" s="124" customFormat="1" ht="30">
      <c r="A1780" s="721">
        <v>10504</v>
      </c>
      <c r="B1780" s="721"/>
      <c r="C1780" s="200" t="s">
        <v>6333</v>
      </c>
      <c r="D1780" s="185" t="s">
        <v>7123</v>
      </c>
      <c r="E1780" s="209">
        <v>1</v>
      </c>
      <c r="F1780" s="577" t="s">
        <v>31</v>
      </c>
      <c r="G1780" s="174">
        <v>1192.8546000000001</v>
      </c>
      <c r="H1780" s="211">
        <f>ROUND(G1780*E1780,2)</f>
        <v>1192.8499999999999</v>
      </c>
    </row>
    <row r="1781" spans="1:8" s="124" customFormat="1" ht="30">
      <c r="A1781" s="721">
        <v>3146</v>
      </c>
      <c r="B1781" s="721"/>
      <c r="C1781" s="200" t="s">
        <v>5256</v>
      </c>
      <c r="D1781" s="139" t="s">
        <v>11959</v>
      </c>
      <c r="E1781" s="209">
        <v>8.4000000000000005E-2</v>
      </c>
      <c r="F1781" s="577" t="s">
        <v>40</v>
      </c>
      <c r="G1781" s="210">
        <v>3.0213000000000001</v>
      </c>
      <c r="H1781" s="211">
        <f>ROUND(G1781*E1781,2)</f>
        <v>0.25</v>
      </c>
    </row>
    <row r="1782" spans="1:8" s="124" customFormat="1" ht="30">
      <c r="A1782" s="721">
        <v>88267</v>
      </c>
      <c r="B1782" s="721"/>
      <c r="C1782" s="200" t="s">
        <v>5256</v>
      </c>
      <c r="D1782" s="139" t="s">
        <v>86</v>
      </c>
      <c r="E1782" s="209">
        <v>1</v>
      </c>
      <c r="F1782" s="577" t="s">
        <v>67</v>
      </c>
      <c r="G1782" s="210">
        <v>15.2766</v>
      </c>
      <c r="H1782" s="211">
        <f>ROUND(G1782*E1782,2)</f>
        <v>15.28</v>
      </c>
    </row>
    <row r="1783" spans="1:8" s="201" customFormat="1">
      <c r="A1783" s="582"/>
      <c r="B1783" s="582"/>
      <c r="C1783" s="212"/>
      <c r="D1783" s="719" t="s">
        <v>127</v>
      </c>
      <c r="E1783" s="719"/>
      <c r="F1783" s="719"/>
      <c r="G1783" s="719"/>
      <c r="H1783" s="638">
        <f>SUMIF(F1780:F1782,("h"),H1780:H1782)</f>
        <v>15.28</v>
      </c>
    </row>
    <row r="1784" spans="1:8" s="201" customFormat="1">
      <c r="A1784" s="582"/>
      <c r="B1784" s="582"/>
      <c r="C1784" s="212"/>
      <c r="D1784" s="719" t="s">
        <v>128</v>
      </c>
      <c r="E1784" s="719"/>
      <c r="F1784" s="719"/>
      <c r="G1784" s="719"/>
      <c r="H1784" s="638">
        <f>SUMIF(F1780:F1782,"&lt;&gt;h",H1780:H1782)</f>
        <v>1193.0999999999999</v>
      </c>
    </row>
    <row r="1785" spans="1:8" s="201" customFormat="1">
      <c r="A1785" s="582"/>
      <c r="B1785" s="582"/>
      <c r="C1785" s="212"/>
      <c r="D1785" s="718" t="s">
        <v>129</v>
      </c>
      <c r="E1785" s="718"/>
      <c r="F1785" s="718"/>
      <c r="G1785" s="718"/>
      <c r="H1785" s="213">
        <f>SUM(H1783:H1784)</f>
        <v>1208.3799999999999</v>
      </c>
    </row>
    <row r="1786" spans="1:8" s="201" customFormat="1">
      <c r="A1786" s="582"/>
      <c r="B1786" s="582"/>
      <c r="C1786" s="212"/>
      <c r="D1786" s="719" t="s">
        <v>28</v>
      </c>
      <c r="E1786" s="719"/>
      <c r="F1786" s="719"/>
      <c r="G1786" s="719"/>
      <c r="H1786" s="639">
        <f>E1779</f>
        <v>10</v>
      </c>
    </row>
    <row r="1787" spans="1:8" s="201" customFormat="1">
      <c r="A1787" s="582"/>
      <c r="B1787" s="582"/>
      <c r="C1787" s="212"/>
      <c r="D1787" s="718" t="s">
        <v>130</v>
      </c>
      <c r="E1787" s="718"/>
      <c r="F1787" s="718"/>
      <c r="G1787" s="718"/>
      <c r="H1787" s="213">
        <f>ROUND(H1785*H1786,2)</f>
        <v>12083.8</v>
      </c>
    </row>
    <row r="1788" spans="1:8" s="201" customFormat="1">
      <c r="A1788" s="582"/>
      <c r="B1788" s="582"/>
      <c r="C1788" s="212"/>
      <c r="D1788" s="719" t="s">
        <v>15559</v>
      </c>
      <c r="E1788" s="719"/>
      <c r="F1788" s="719"/>
      <c r="G1788" s="719"/>
      <c r="H1788" s="638">
        <f>ROUND(H1785*$B$13,2)</f>
        <v>325.42</v>
      </c>
    </row>
    <row r="1789" spans="1:8">
      <c r="A1789" s="582"/>
      <c r="B1789" s="582"/>
      <c r="C1789" s="212"/>
      <c r="D1789" s="718" t="s">
        <v>9661</v>
      </c>
      <c r="E1789" s="718"/>
      <c r="F1789" s="718"/>
      <c r="G1789" s="718"/>
      <c r="H1789" s="213">
        <f>H1788+H1785</f>
        <v>1533.8</v>
      </c>
    </row>
    <row r="1791" spans="1:8" s="201" customFormat="1">
      <c r="A1791" s="123" t="s">
        <v>6</v>
      </c>
      <c r="B1791" s="720" t="s">
        <v>7</v>
      </c>
      <c r="C1791" s="720"/>
      <c r="D1791" s="202" t="s">
        <v>124</v>
      </c>
      <c r="E1791" s="167" t="s">
        <v>6334</v>
      </c>
      <c r="F1791" s="202" t="s">
        <v>31</v>
      </c>
      <c r="G1791" s="203" t="s">
        <v>125</v>
      </c>
      <c r="H1791" s="204" t="s">
        <v>126</v>
      </c>
    </row>
    <row r="1792" spans="1:8" s="208" customFormat="1">
      <c r="A1792" s="581" t="str">
        <f>'Orç - Reservatório'!A132</f>
        <v>05.01.601.02</v>
      </c>
      <c r="B1792" s="581" t="str">
        <f>'Orç - Reservatório'!B132</f>
        <v>ORSE</v>
      </c>
      <c r="C1792" s="581" t="str">
        <f>'Orç - Reservatório'!C132</f>
        <v>9812 MOD</v>
      </c>
      <c r="D1792" s="205" t="s">
        <v>7127</v>
      </c>
      <c r="E1792" s="206">
        <v>1</v>
      </c>
      <c r="F1792" s="581" t="s">
        <v>6337</v>
      </c>
      <c r="G1792" s="207">
        <f>VLOOKUP("CUSTO TOTAL UNIT.:",D1793:$H$30004,5,FALSE)</f>
        <v>1669.99</v>
      </c>
      <c r="H1792" s="637">
        <f>VLOOKUP("CUSTO TOTAL:",D1793:$H$30004,5,FALSE)</f>
        <v>1669.99</v>
      </c>
    </row>
    <row r="1793" spans="1:8" s="124" customFormat="1" ht="75">
      <c r="A1793" s="721">
        <v>7538</v>
      </c>
      <c r="B1793" s="721"/>
      <c r="C1793" s="200" t="s">
        <v>6333</v>
      </c>
      <c r="D1793" s="185" t="s">
        <v>8986</v>
      </c>
      <c r="E1793" s="209">
        <v>1</v>
      </c>
      <c r="F1793" s="577" t="s">
        <v>31</v>
      </c>
      <c r="G1793" s="174">
        <v>1603.5408000000002</v>
      </c>
      <c r="H1793" s="211">
        <f>ROUND(G1793*E1793,2)</f>
        <v>1603.54</v>
      </c>
    </row>
    <row r="1794" spans="1:8" s="124" customFormat="1" ht="30">
      <c r="A1794" s="721">
        <v>88264</v>
      </c>
      <c r="B1794" s="721"/>
      <c r="C1794" s="200" t="s">
        <v>5256</v>
      </c>
      <c r="D1794" s="139" t="s">
        <v>84</v>
      </c>
      <c r="E1794" s="209">
        <v>2</v>
      </c>
      <c r="F1794" s="577" t="s">
        <v>67</v>
      </c>
      <c r="G1794" s="210">
        <v>15.778800000000002</v>
      </c>
      <c r="H1794" s="211">
        <f>ROUND(G1794*E1794,2)</f>
        <v>31.56</v>
      </c>
    </row>
    <row r="1795" spans="1:8" s="124" customFormat="1" ht="30">
      <c r="A1795" s="721">
        <v>88316</v>
      </c>
      <c r="B1795" s="721"/>
      <c r="C1795" s="200" t="s">
        <v>5256</v>
      </c>
      <c r="D1795" s="139" t="s">
        <v>66</v>
      </c>
      <c r="E1795" s="209">
        <v>3</v>
      </c>
      <c r="F1795" s="577" t="s">
        <v>67</v>
      </c>
      <c r="G1795" s="210">
        <v>11.631600000000001</v>
      </c>
      <c r="H1795" s="211">
        <f>ROUND(G1795*E1795,2)</f>
        <v>34.89</v>
      </c>
    </row>
    <row r="1796" spans="1:8" s="201" customFormat="1">
      <c r="A1796" s="582"/>
      <c r="B1796" s="582"/>
      <c r="C1796" s="212"/>
      <c r="D1796" s="719" t="s">
        <v>127</v>
      </c>
      <c r="E1796" s="719"/>
      <c r="F1796" s="719"/>
      <c r="G1796" s="719"/>
      <c r="H1796" s="638">
        <f>SUMIF(F1793:F1795,("h"),H1793:H1795)</f>
        <v>66.45</v>
      </c>
    </row>
    <row r="1797" spans="1:8" s="201" customFormat="1">
      <c r="A1797" s="582"/>
      <c r="B1797" s="582"/>
      <c r="C1797" s="212"/>
      <c r="D1797" s="719" t="s">
        <v>128</v>
      </c>
      <c r="E1797" s="719"/>
      <c r="F1797" s="719"/>
      <c r="G1797" s="719"/>
      <c r="H1797" s="638">
        <f>SUMIF(F1793:F1795,"&lt;&gt;h",H1793:H1795)</f>
        <v>1603.54</v>
      </c>
    </row>
    <row r="1798" spans="1:8" s="201" customFormat="1">
      <c r="A1798" s="582"/>
      <c r="B1798" s="582"/>
      <c r="C1798" s="212"/>
      <c r="D1798" s="718" t="s">
        <v>129</v>
      </c>
      <c r="E1798" s="718"/>
      <c r="F1798" s="718"/>
      <c r="G1798" s="718"/>
      <c r="H1798" s="213">
        <f>SUM(H1796:H1797)</f>
        <v>1669.99</v>
      </c>
    </row>
    <row r="1799" spans="1:8" s="201" customFormat="1">
      <c r="A1799" s="582"/>
      <c r="B1799" s="582"/>
      <c r="C1799" s="212"/>
      <c r="D1799" s="719" t="s">
        <v>28</v>
      </c>
      <c r="E1799" s="719"/>
      <c r="F1799" s="719"/>
      <c r="G1799" s="719"/>
      <c r="H1799" s="639">
        <f>E1792</f>
        <v>1</v>
      </c>
    </row>
    <row r="1800" spans="1:8" s="201" customFormat="1">
      <c r="A1800" s="582"/>
      <c r="B1800" s="582"/>
      <c r="C1800" s="212"/>
      <c r="D1800" s="718" t="s">
        <v>130</v>
      </c>
      <c r="E1800" s="718"/>
      <c r="F1800" s="718"/>
      <c r="G1800" s="718"/>
      <c r="H1800" s="213">
        <f>ROUND(H1798*H1799,2)</f>
        <v>1669.99</v>
      </c>
    </row>
    <row r="1801" spans="1:8" s="201" customFormat="1">
      <c r="A1801" s="582"/>
      <c r="B1801" s="582"/>
      <c r="C1801" s="212"/>
      <c r="D1801" s="719" t="s">
        <v>15559</v>
      </c>
      <c r="E1801" s="719"/>
      <c r="F1801" s="719"/>
      <c r="G1801" s="719"/>
      <c r="H1801" s="638">
        <f>ROUND(H1798*$B$13,2)</f>
        <v>449.73</v>
      </c>
    </row>
    <row r="1802" spans="1:8">
      <c r="A1802" s="582"/>
      <c r="B1802" s="582"/>
      <c r="C1802" s="212"/>
      <c r="D1802" s="718" t="s">
        <v>9661</v>
      </c>
      <c r="E1802" s="718"/>
      <c r="F1802" s="718"/>
      <c r="G1802" s="718"/>
      <c r="H1802" s="213">
        <f>H1801+H1798</f>
        <v>2119.7200000000003</v>
      </c>
    </row>
    <row r="1804" spans="1:8" s="201" customFormat="1">
      <c r="A1804" s="123" t="s">
        <v>6</v>
      </c>
      <c r="B1804" s="720" t="s">
        <v>7</v>
      </c>
      <c r="C1804" s="720"/>
      <c r="D1804" s="202" t="s">
        <v>124</v>
      </c>
      <c r="E1804" s="167" t="s">
        <v>6334</v>
      </c>
      <c r="F1804" s="202" t="s">
        <v>31</v>
      </c>
      <c r="G1804" s="203" t="s">
        <v>125</v>
      </c>
      <c r="H1804" s="204" t="s">
        <v>126</v>
      </c>
    </row>
    <row r="1805" spans="1:8" s="208" customFormat="1" ht="30">
      <c r="A1805" s="581" t="str">
        <f>'Orç - Prédio'!A312</f>
        <v>05.01.608</v>
      </c>
      <c r="B1805" s="581" t="str">
        <f>'Orç - Prédio'!B312</f>
        <v>CPOS</v>
      </c>
      <c r="C1805" s="581" t="str">
        <f>'Orç - Prédio'!C312</f>
        <v>48.03.138</v>
      </c>
      <c r="D1805" s="205" t="s">
        <v>7130</v>
      </c>
      <c r="E1805" s="206">
        <v>2</v>
      </c>
      <c r="F1805" s="581" t="s">
        <v>6337</v>
      </c>
      <c r="G1805" s="207">
        <f>VLOOKUP("CUSTO TOTAL UNIT.:",D1806:$H$30004,5,FALSE)</f>
        <v>22106.5</v>
      </c>
      <c r="H1805" s="637">
        <f>VLOOKUP("CUSTO TOTAL:",D1806:$H$30004,5,FALSE)</f>
        <v>44213</v>
      </c>
    </row>
    <row r="1806" spans="1:8" s="124" customFormat="1" ht="30">
      <c r="A1806" s="721">
        <v>55259</v>
      </c>
      <c r="B1806" s="721"/>
      <c r="C1806" s="200" t="s">
        <v>6799</v>
      </c>
      <c r="D1806" s="185" t="s">
        <v>7440</v>
      </c>
      <c r="E1806" s="209">
        <v>1</v>
      </c>
      <c r="F1806" s="577" t="s">
        <v>31</v>
      </c>
      <c r="G1806" s="174">
        <v>21060</v>
      </c>
      <c r="H1806" s="211">
        <f>ROUND(G1806*E1806,2)</f>
        <v>21060</v>
      </c>
    </row>
    <row r="1807" spans="1:8" s="124" customFormat="1" ht="60">
      <c r="A1807" s="721">
        <v>89272</v>
      </c>
      <c r="B1807" s="721"/>
      <c r="C1807" s="200" t="s">
        <v>5256</v>
      </c>
      <c r="D1807" s="139" t="s">
        <v>399</v>
      </c>
      <c r="E1807" s="209">
        <v>8</v>
      </c>
      <c r="F1807" s="577" t="s">
        <v>100</v>
      </c>
      <c r="G1807" s="210">
        <v>125.99550000000002</v>
      </c>
      <c r="H1807" s="211">
        <f>ROUND(G1807*E1807,2)</f>
        <v>1007.96</v>
      </c>
    </row>
    <row r="1808" spans="1:8" s="124" customFormat="1" ht="30">
      <c r="A1808" s="721">
        <v>88267</v>
      </c>
      <c r="B1808" s="721"/>
      <c r="C1808" s="200" t="s">
        <v>5256</v>
      </c>
      <c r="D1808" s="139" t="s">
        <v>86</v>
      </c>
      <c r="E1808" s="209">
        <v>1</v>
      </c>
      <c r="F1808" s="577" t="s">
        <v>67</v>
      </c>
      <c r="G1808" s="210">
        <v>15.2766</v>
      </c>
      <c r="H1808" s="211">
        <f>ROUND(G1808*E1808,2)</f>
        <v>15.28</v>
      </c>
    </row>
    <row r="1809" spans="1:8" s="124" customFormat="1" ht="30">
      <c r="A1809" s="721">
        <v>88316</v>
      </c>
      <c r="B1809" s="721"/>
      <c r="C1809" s="200" t="s">
        <v>5256</v>
      </c>
      <c r="D1809" s="139" t="s">
        <v>66</v>
      </c>
      <c r="E1809" s="209">
        <v>2</v>
      </c>
      <c r="F1809" s="577" t="s">
        <v>67</v>
      </c>
      <c r="G1809" s="210">
        <v>11.631600000000001</v>
      </c>
      <c r="H1809" s="211">
        <f>ROUND(G1809*E1809,2)</f>
        <v>23.26</v>
      </c>
    </row>
    <row r="1810" spans="1:8" s="201" customFormat="1">
      <c r="A1810" s="582"/>
      <c r="B1810" s="582"/>
      <c r="C1810" s="212"/>
      <c r="D1810" s="719" t="s">
        <v>127</v>
      </c>
      <c r="E1810" s="719"/>
      <c r="F1810" s="719"/>
      <c r="G1810" s="719"/>
      <c r="H1810" s="638">
        <f>SUMIF(F1806:F1809,("h"),H1806:H1809)</f>
        <v>38.54</v>
      </c>
    </row>
    <row r="1811" spans="1:8" s="201" customFormat="1">
      <c r="A1811" s="582"/>
      <c r="B1811" s="582"/>
      <c r="C1811" s="212"/>
      <c r="D1811" s="719" t="s">
        <v>128</v>
      </c>
      <c r="E1811" s="719"/>
      <c r="F1811" s="719"/>
      <c r="G1811" s="719"/>
      <c r="H1811" s="638">
        <f>SUMIF(F1806:F1809,"&lt;&gt;h",H1806:H1809)</f>
        <v>22067.96</v>
      </c>
    </row>
    <row r="1812" spans="1:8" s="201" customFormat="1">
      <c r="A1812" s="582"/>
      <c r="B1812" s="582"/>
      <c r="C1812" s="212"/>
      <c r="D1812" s="718" t="s">
        <v>129</v>
      </c>
      <c r="E1812" s="718"/>
      <c r="F1812" s="718"/>
      <c r="G1812" s="718"/>
      <c r="H1812" s="213">
        <f>SUM(H1810:H1811)</f>
        <v>22106.5</v>
      </c>
    </row>
    <row r="1813" spans="1:8" s="201" customFormat="1">
      <c r="A1813" s="582"/>
      <c r="B1813" s="582"/>
      <c r="C1813" s="212"/>
      <c r="D1813" s="719" t="s">
        <v>28</v>
      </c>
      <c r="E1813" s="719"/>
      <c r="F1813" s="719"/>
      <c r="G1813" s="719"/>
      <c r="H1813" s="639">
        <f>E1805</f>
        <v>2</v>
      </c>
    </row>
    <row r="1814" spans="1:8" s="201" customFormat="1">
      <c r="A1814" s="582"/>
      <c r="B1814" s="582"/>
      <c r="C1814" s="212"/>
      <c r="D1814" s="718" t="s">
        <v>130</v>
      </c>
      <c r="E1814" s="718"/>
      <c r="F1814" s="718"/>
      <c r="G1814" s="718"/>
      <c r="H1814" s="213">
        <f>ROUND(H1812*H1813,2)</f>
        <v>44213</v>
      </c>
    </row>
    <row r="1815" spans="1:8" s="201" customFormat="1">
      <c r="A1815" s="582"/>
      <c r="B1815" s="582"/>
      <c r="C1815" s="212"/>
      <c r="D1815" s="719" t="s">
        <v>15559</v>
      </c>
      <c r="E1815" s="719"/>
      <c r="F1815" s="719"/>
      <c r="G1815" s="719"/>
      <c r="H1815" s="638">
        <f>ROUND(H1812*$B$13,2)</f>
        <v>5953.28</v>
      </c>
    </row>
    <row r="1816" spans="1:8">
      <c r="A1816" s="582"/>
      <c r="B1816" s="582"/>
      <c r="C1816" s="212"/>
      <c r="D1816" s="718" t="s">
        <v>9661</v>
      </c>
      <c r="E1816" s="718"/>
      <c r="F1816" s="718"/>
      <c r="G1816" s="718"/>
      <c r="H1816" s="213">
        <f>H1815+H1812</f>
        <v>28059.78</v>
      </c>
    </row>
    <row r="1818" spans="1:8" s="201" customFormat="1">
      <c r="A1818" s="123" t="s">
        <v>6</v>
      </c>
      <c r="B1818" s="720" t="s">
        <v>7</v>
      </c>
      <c r="C1818" s="720"/>
      <c r="D1818" s="202" t="s">
        <v>124</v>
      </c>
      <c r="E1818" s="167" t="s">
        <v>6334</v>
      </c>
      <c r="F1818" s="202" t="s">
        <v>31</v>
      </c>
      <c r="G1818" s="203" t="s">
        <v>125</v>
      </c>
      <c r="H1818" s="204" t="s">
        <v>126</v>
      </c>
    </row>
    <row r="1819" spans="1:8" s="208" customFormat="1" ht="30">
      <c r="A1819" s="581" t="str">
        <f>'Orç - Prédio'!A313</f>
        <v>05.01.609.01</v>
      </c>
      <c r="B1819" s="216" t="str">
        <f>'Orç - Prédio'!B313</f>
        <v>SINAPI</v>
      </c>
      <c r="C1819" s="216" t="str">
        <f>'Orç - Prédio'!C313</f>
        <v>95675 MOD</v>
      </c>
      <c r="D1819" s="217" t="s">
        <v>7131</v>
      </c>
      <c r="E1819" s="206">
        <v>1</v>
      </c>
      <c r="F1819" s="216" t="s">
        <v>6337</v>
      </c>
      <c r="G1819" s="207">
        <f>VLOOKUP("CUSTO TOTAL UNIT.:",D1820:$H$30004,5,FALSE)</f>
        <v>282.78999999999996</v>
      </c>
      <c r="H1819" s="637">
        <f>VLOOKUP("CUSTO TOTAL:",D1820:$H$30004,5,FALSE)</f>
        <v>282.79000000000002</v>
      </c>
    </row>
    <row r="1820" spans="1:8" s="124" customFormat="1" ht="30">
      <c r="A1820" s="721">
        <v>3146</v>
      </c>
      <c r="B1820" s="721"/>
      <c r="C1820" s="200" t="s">
        <v>5256</v>
      </c>
      <c r="D1820" s="139" t="s">
        <v>11959</v>
      </c>
      <c r="E1820" s="209">
        <v>1.9800000000000002E-2</v>
      </c>
      <c r="F1820" s="577" t="s">
        <v>40</v>
      </c>
      <c r="G1820" s="210">
        <v>3.0213000000000001</v>
      </c>
      <c r="H1820" s="211">
        <f>ROUND(G1820*E1820,2)</f>
        <v>0.06</v>
      </c>
    </row>
    <row r="1821" spans="1:8" s="124" customFormat="1" ht="30">
      <c r="A1821" s="721">
        <v>12775</v>
      </c>
      <c r="B1821" s="721"/>
      <c r="C1821" s="200" t="s">
        <v>5256</v>
      </c>
      <c r="D1821" s="139" t="s">
        <v>12155</v>
      </c>
      <c r="E1821" s="209">
        <v>1</v>
      </c>
      <c r="F1821" s="577" t="s">
        <v>40</v>
      </c>
      <c r="G1821" s="210">
        <v>266.3442</v>
      </c>
      <c r="H1821" s="211">
        <f>ROUND(G1821*E1821,2)</f>
        <v>266.33999999999997</v>
      </c>
    </row>
    <row r="1822" spans="1:8" s="124" customFormat="1" ht="45">
      <c r="A1822" s="721">
        <v>88248</v>
      </c>
      <c r="B1822" s="721"/>
      <c r="C1822" s="200" t="s">
        <v>5256</v>
      </c>
      <c r="D1822" s="139" t="s">
        <v>76</v>
      </c>
      <c r="E1822" s="209">
        <v>0.6</v>
      </c>
      <c r="F1822" s="577" t="s">
        <v>67</v>
      </c>
      <c r="G1822" s="210">
        <v>12.028500000000001</v>
      </c>
      <c r="H1822" s="211">
        <f>ROUND(G1822*E1822,2)</f>
        <v>7.22</v>
      </c>
    </row>
    <row r="1823" spans="1:8" s="124" customFormat="1" ht="30">
      <c r="A1823" s="721">
        <v>88267</v>
      </c>
      <c r="B1823" s="721"/>
      <c r="C1823" s="200" t="s">
        <v>5256</v>
      </c>
      <c r="D1823" s="139" t="s">
        <v>86</v>
      </c>
      <c r="E1823" s="209">
        <v>0.6</v>
      </c>
      <c r="F1823" s="577" t="s">
        <v>67</v>
      </c>
      <c r="G1823" s="210">
        <v>15.2766</v>
      </c>
      <c r="H1823" s="211">
        <f>ROUND(G1823*E1823,2)</f>
        <v>9.17</v>
      </c>
    </row>
    <row r="1824" spans="1:8" s="201" customFormat="1">
      <c r="A1824" s="582"/>
      <c r="B1824" s="582"/>
      <c r="C1824" s="212"/>
      <c r="D1824" s="719" t="s">
        <v>127</v>
      </c>
      <c r="E1824" s="719"/>
      <c r="F1824" s="719"/>
      <c r="G1824" s="719"/>
      <c r="H1824" s="638">
        <f>SUMIF(F1820:F1823,("h"),H1820:H1823)</f>
        <v>16.39</v>
      </c>
    </row>
    <row r="1825" spans="1:8" s="201" customFormat="1">
      <c r="A1825" s="582"/>
      <c r="B1825" s="582"/>
      <c r="C1825" s="212"/>
      <c r="D1825" s="719" t="s">
        <v>128</v>
      </c>
      <c r="E1825" s="719"/>
      <c r="F1825" s="719"/>
      <c r="G1825" s="719"/>
      <c r="H1825" s="638">
        <f>SUMIF(F1820:F1823,"&lt;&gt;h",H1820:H1823)</f>
        <v>266.39999999999998</v>
      </c>
    </row>
    <row r="1826" spans="1:8" s="201" customFormat="1">
      <c r="A1826" s="582"/>
      <c r="B1826" s="582"/>
      <c r="C1826" s="212"/>
      <c r="D1826" s="718" t="s">
        <v>129</v>
      </c>
      <c r="E1826" s="718"/>
      <c r="F1826" s="718"/>
      <c r="G1826" s="718"/>
      <c r="H1826" s="213">
        <f>SUM(H1824:H1825)</f>
        <v>282.78999999999996</v>
      </c>
    </row>
    <row r="1827" spans="1:8" s="201" customFormat="1">
      <c r="A1827" s="582"/>
      <c r="B1827" s="582"/>
      <c r="C1827" s="212"/>
      <c r="D1827" s="719" t="s">
        <v>28</v>
      </c>
      <c r="E1827" s="719"/>
      <c r="F1827" s="719"/>
      <c r="G1827" s="719"/>
      <c r="H1827" s="639">
        <f>E1819</f>
        <v>1</v>
      </c>
    </row>
    <row r="1828" spans="1:8" s="201" customFormat="1">
      <c r="A1828" s="582"/>
      <c r="B1828" s="582"/>
      <c r="C1828" s="212"/>
      <c r="D1828" s="718" t="s">
        <v>130</v>
      </c>
      <c r="E1828" s="718"/>
      <c r="F1828" s="718"/>
      <c r="G1828" s="718"/>
      <c r="H1828" s="213">
        <f>ROUND(H1826*H1827,2)</f>
        <v>282.79000000000002</v>
      </c>
    </row>
    <row r="1829" spans="1:8" s="201" customFormat="1">
      <c r="A1829" s="582"/>
      <c r="B1829" s="582"/>
      <c r="C1829" s="212"/>
      <c r="D1829" s="719" t="s">
        <v>15559</v>
      </c>
      <c r="E1829" s="719"/>
      <c r="F1829" s="719"/>
      <c r="G1829" s="719"/>
      <c r="H1829" s="638">
        <f>ROUND(H1826*$B$13,2)</f>
        <v>76.16</v>
      </c>
    </row>
    <row r="1830" spans="1:8">
      <c r="A1830" s="582"/>
      <c r="B1830" s="582"/>
      <c r="C1830" s="212"/>
      <c r="D1830" s="718" t="s">
        <v>9661</v>
      </c>
      <c r="E1830" s="718"/>
      <c r="F1830" s="718"/>
      <c r="G1830" s="718"/>
      <c r="H1830" s="213">
        <f>H1829+H1826</f>
        <v>358.94999999999993</v>
      </c>
    </row>
    <row r="1832" spans="1:8" s="201" customFormat="1">
      <c r="A1832" s="123" t="s">
        <v>6</v>
      </c>
      <c r="B1832" s="720" t="s">
        <v>7</v>
      </c>
      <c r="C1832" s="720"/>
      <c r="D1832" s="202" t="s">
        <v>124</v>
      </c>
      <c r="E1832" s="167" t="s">
        <v>6334</v>
      </c>
      <c r="F1832" s="202" t="s">
        <v>31</v>
      </c>
      <c r="G1832" s="203" t="s">
        <v>125</v>
      </c>
      <c r="H1832" s="204" t="s">
        <v>126</v>
      </c>
    </row>
    <row r="1833" spans="1:8" s="208" customFormat="1" ht="45">
      <c r="A1833" s="581" t="str">
        <f>'Orç - Urbanização'!A77</f>
        <v>05.03.101.02</v>
      </c>
      <c r="B1833" s="581" t="str">
        <f>'Orç - Urbanização'!B77</f>
        <v>SEINFRA</v>
      </c>
      <c r="C1833" s="581" t="str">
        <f>'Orç - Urbanização'!C77</f>
        <v>C4613 MOD</v>
      </c>
      <c r="D1833" s="205" t="s">
        <v>9498</v>
      </c>
      <c r="E1833" s="581">
        <v>12.66</v>
      </c>
      <c r="F1833" s="581" t="s">
        <v>6774</v>
      </c>
      <c r="G1833" s="207">
        <f>VLOOKUP("CUSTO TOTAL UNIT.:",D1834:$H$30004,5,FALSE)</f>
        <v>1726.3799999999999</v>
      </c>
      <c r="H1833" s="637">
        <f>VLOOKUP("CUSTO TOTAL:",D1834:$H$30004,5,FALSE)</f>
        <v>21855.97</v>
      </c>
    </row>
    <row r="1834" spans="1:8" s="124" customFormat="1" ht="30">
      <c r="A1834" s="721">
        <v>10997</v>
      </c>
      <c r="B1834" s="721"/>
      <c r="C1834" s="200" t="s">
        <v>5256</v>
      </c>
      <c r="D1834" s="139" t="s">
        <v>11652</v>
      </c>
      <c r="E1834" s="209">
        <v>1.1133</v>
      </c>
      <c r="F1834" s="577" t="s">
        <v>49</v>
      </c>
      <c r="G1834" s="210">
        <v>14.482800000000001</v>
      </c>
      <c r="H1834" s="211">
        <f t="shared" ref="H1834:H1841" si="64">ROUND(G1834*E1834,2)</f>
        <v>16.12</v>
      </c>
    </row>
    <row r="1835" spans="1:8" s="124" customFormat="1" ht="30">
      <c r="A1835" s="721" t="s">
        <v>9500</v>
      </c>
      <c r="B1835" s="721"/>
      <c r="C1835" s="200" t="s">
        <v>9496</v>
      </c>
      <c r="D1835" s="139" t="s">
        <v>9501</v>
      </c>
      <c r="E1835" s="209">
        <v>5.7091000000000003</v>
      </c>
      <c r="F1835" s="577" t="s">
        <v>100</v>
      </c>
      <c r="G1835" s="210">
        <v>173.34</v>
      </c>
      <c r="H1835" s="211">
        <f t="shared" si="64"/>
        <v>989.62</v>
      </c>
    </row>
    <row r="1836" spans="1:8" s="124" customFormat="1" ht="45">
      <c r="A1836" s="721">
        <v>93358</v>
      </c>
      <c r="B1836" s="721"/>
      <c r="C1836" s="200" t="s">
        <v>5256</v>
      </c>
      <c r="D1836" s="139" t="s">
        <v>6325</v>
      </c>
      <c r="E1836" s="209">
        <v>8.73</v>
      </c>
      <c r="F1836" s="577" t="s">
        <v>1261</v>
      </c>
      <c r="G1836" s="210">
        <v>46.008000000000003</v>
      </c>
      <c r="H1836" s="211">
        <f t="shared" si="64"/>
        <v>401.65</v>
      </c>
    </row>
    <row r="1837" spans="1:8" s="124" customFormat="1" ht="30">
      <c r="A1837" s="721">
        <v>93382</v>
      </c>
      <c r="B1837" s="721"/>
      <c r="C1837" s="200" t="s">
        <v>5256</v>
      </c>
      <c r="D1837" s="139" t="s">
        <v>4047</v>
      </c>
      <c r="E1837" s="209">
        <v>7.95</v>
      </c>
      <c r="F1837" s="577" t="s">
        <v>1261</v>
      </c>
      <c r="G1837" s="210">
        <v>16.127100000000002</v>
      </c>
      <c r="H1837" s="211">
        <f t="shared" si="64"/>
        <v>128.21</v>
      </c>
    </row>
    <row r="1838" spans="1:8" s="124" customFormat="1" ht="30">
      <c r="A1838" s="721">
        <v>88297</v>
      </c>
      <c r="B1838" s="721"/>
      <c r="C1838" s="200" t="s">
        <v>5256</v>
      </c>
      <c r="D1838" s="139" t="s">
        <v>107</v>
      </c>
      <c r="E1838" s="209">
        <v>6.4226999999999999</v>
      </c>
      <c r="F1838" s="577" t="s">
        <v>67</v>
      </c>
      <c r="G1838" s="210">
        <v>12.222900000000001</v>
      </c>
      <c r="H1838" s="211">
        <f t="shared" si="64"/>
        <v>78.5</v>
      </c>
    </row>
    <row r="1839" spans="1:8" s="124" customFormat="1" ht="30">
      <c r="A1839" s="721">
        <v>88317</v>
      </c>
      <c r="B1839" s="721"/>
      <c r="C1839" s="200" t="s">
        <v>5256</v>
      </c>
      <c r="D1839" s="139" t="s">
        <v>5132</v>
      </c>
      <c r="E1839" s="209">
        <v>0.51380000000000003</v>
      </c>
      <c r="F1839" s="577" t="s">
        <v>67</v>
      </c>
      <c r="G1839" s="210">
        <v>16.1433</v>
      </c>
      <c r="H1839" s="211">
        <f t="shared" si="64"/>
        <v>8.2899999999999991</v>
      </c>
    </row>
    <row r="1840" spans="1:8" s="124" customFormat="1" ht="30">
      <c r="A1840" s="721">
        <v>90776</v>
      </c>
      <c r="B1840" s="721"/>
      <c r="C1840" s="200" t="s">
        <v>5256</v>
      </c>
      <c r="D1840" s="139" t="s">
        <v>5149</v>
      </c>
      <c r="E1840" s="209">
        <v>6.4226999999999999</v>
      </c>
      <c r="F1840" s="577" t="s">
        <v>67</v>
      </c>
      <c r="G1840" s="210">
        <v>15.260400000000001</v>
      </c>
      <c r="H1840" s="211">
        <f t="shared" si="64"/>
        <v>98.01</v>
      </c>
    </row>
    <row r="1841" spans="1:8" s="124" customFormat="1" ht="30">
      <c r="A1841" s="721">
        <v>88316</v>
      </c>
      <c r="B1841" s="721"/>
      <c r="C1841" s="200" t="s">
        <v>5256</v>
      </c>
      <c r="D1841" s="139" t="s">
        <v>66</v>
      </c>
      <c r="E1841" s="209">
        <v>0.51380000000000003</v>
      </c>
      <c r="F1841" s="577" t="s">
        <v>67</v>
      </c>
      <c r="G1841" s="210">
        <v>11.631600000000001</v>
      </c>
      <c r="H1841" s="211">
        <f t="shared" si="64"/>
        <v>5.98</v>
      </c>
    </row>
    <row r="1842" spans="1:8" s="201" customFormat="1">
      <c r="A1842" s="582"/>
      <c r="B1842" s="582"/>
      <c r="C1842" s="212"/>
      <c r="D1842" s="719" t="s">
        <v>127</v>
      </c>
      <c r="E1842" s="719"/>
      <c r="F1842" s="719"/>
      <c r="G1842" s="719"/>
      <c r="H1842" s="638">
        <f>SUMIF(F1834:F1841,("h"),H1834:H1841)</f>
        <v>190.78</v>
      </c>
    </row>
    <row r="1843" spans="1:8" s="201" customFormat="1">
      <c r="A1843" s="582"/>
      <c r="B1843" s="582"/>
      <c r="C1843" s="212"/>
      <c r="D1843" s="719" t="s">
        <v>128</v>
      </c>
      <c r="E1843" s="719"/>
      <c r="F1843" s="719"/>
      <c r="G1843" s="719"/>
      <c r="H1843" s="638">
        <f>SUMIF(F1834:F1841,"&lt;&gt;h",H1834:H1841)</f>
        <v>1535.6</v>
      </c>
    </row>
    <row r="1844" spans="1:8" s="201" customFormat="1">
      <c r="A1844" s="582"/>
      <c r="B1844" s="582"/>
      <c r="C1844" s="212"/>
      <c r="D1844" s="718" t="s">
        <v>129</v>
      </c>
      <c r="E1844" s="718"/>
      <c r="F1844" s="718"/>
      <c r="G1844" s="718"/>
      <c r="H1844" s="213">
        <f>SUM(H1842:H1843)</f>
        <v>1726.3799999999999</v>
      </c>
    </row>
    <row r="1845" spans="1:8" s="201" customFormat="1">
      <c r="A1845" s="582"/>
      <c r="B1845" s="582"/>
      <c r="C1845" s="212"/>
      <c r="D1845" s="719" t="s">
        <v>28</v>
      </c>
      <c r="E1845" s="719"/>
      <c r="F1845" s="719"/>
      <c r="G1845" s="719"/>
      <c r="H1845" s="639">
        <f>E1833</f>
        <v>12.66</v>
      </c>
    </row>
    <row r="1846" spans="1:8" s="201" customFormat="1">
      <c r="A1846" s="582"/>
      <c r="B1846" s="582"/>
      <c r="C1846" s="212"/>
      <c r="D1846" s="718" t="s">
        <v>130</v>
      </c>
      <c r="E1846" s="718"/>
      <c r="F1846" s="718"/>
      <c r="G1846" s="718"/>
      <c r="H1846" s="213">
        <f>ROUND(H1844*H1845,2)</f>
        <v>21855.97</v>
      </c>
    </row>
    <row r="1847" spans="1:8" s="201" customFormat="1">
      <c r="A1847" s="582"/>
      <c r="B1847" s="582"/>
      <c r="C1847" s="212"/>
      <c r="D1847" s="719" t="s">
        <v>15559</v>
      </c>
      <c r="E1847" s="719"/>
      <c r="F1847" s="719"/>
      <c r="G1847" s="719"/>
      <c r="H1847" s="638">
        <f>ROUND(H1844*$B$13,2)</f>
        <v>464.91</v>
      </c>
    </row>
    <row r="1848" spans="1:8">
      <c r="A1848" s="582"/>
      <c r="B1848" s="582"/>
      <c r="C1848" s="212"/>
      <c r="D1848" s="718" t="s">
        <v>9661</v>
      </c>
      <c r="E1848" s="718"/>
      <c r="F1848" s="718"/>
      <c r="G1848" s="718"/>
      <c r="H1848" s="213">
        <f>H1847+H1844</f>
        <v>2191.29</v>
      </c>
    </row>
    <row r="1850" spans="1:8" s="201" customFormat="1">
      <c r="A1850" s="123" t="s">
        <v>6</v>
      </c>
      <c r="B1850" s="720" t="s">
        <v>7</v>
      </c>
      <c r="C1850" s="720"/>
      <c r="D1850" s="202" t="s">
        <v>124</v>
      </c>
      <c r="E1850" s="167" t="s">
        <v>6334</v>
      </c>
      <c r="F1850" s="202" t="s">
        <v>31</v>
      </c>
      <c r="G1850" s="203" t="s">
        <v>125</v>
      </c>
      <c r="H1850" s="204" t="s">
        <v>126</v>
      </c>
    </row>
    <row r="1851" spans="1:8" s="208" customFormat="1" ht="30">
      <c r="A1851" s="581" t="str">
        <f>'Orç - Urbanização'!A78</f>
        <v>05.03.101.03</v>
      </c>
      <c r="B1851" s="581" t="str">
        <f>'Orç - Urbanização'!B78</f>
        <v>SEINFRA INSUMO</v>
      </c>
      <c r="C1851" s="581" t="str">
        <f>'Orç - Urbanização'!C78</f>
        <v>I9157</v>
      </c>
      <c r="D1851" s="205" t="s">
        <v>9505</v>
      </c>
      <c r="E1851" s="206">
        <v>45.3</v>
      </c>
      <c r="F1851" s="581" t="s">
        <v>6774</v>
      </c>
      <c r="G1851" s="207">
        <f>VLOOKUP("CUSTO TOTAL UNIT.:",D1852:$H$30004,5,FALSE)</f>
        <v>1507.94</v>
      </c>
      <c r="H1851" s="637">
        <f>VLOOKUP("CUSTO TOTAL:",D1852:$H$30004,5,FALSE)</f>
        <v>68309.679999999993</v>
      </c>
    </row>
    <row r="1852" spans="1:8" s="124" customFormat="1" ht="30">
      <c r="A1852" s="721" t="s">
        <v>9504</v>
      </c>
      <c r="B1852" s="721"/>
      <c r="C1852" s="200" t="s">
        <v>9496</v>
      </c>
      <c r="D1852" s="139" t="s">
        <v>9506</v>
      </c>
      <c r="E1852" s="209">
        <v>1</v>
      </c>
      <c r="F1852" s="577" t="s">
        <v>139</v>
      </c>
      <c r="G1852" s="210">
        <v>1507.9365000000003</v>
      </c>
      <c r="H1852" s="211">
        <f>ROUND(G1852*E1852,2)</f>
        <v>1507.94</v>
      </c>
    </row>
    <row r="1853" spans="1:8" s="201" customFormat="1">
      <c r="A1853" s="582"/>
      <c r="B1853" s="582"/>
      <c r="C1853" s="212"/>
      <c r="D1853" s="719" t="s">
        <v>127</v>
      </c>
      <c r="E1853" s="719"/>
      <c r="F1853" s="719"/>
      <c r="G1853" s="719"/>
      <c r="H1853" s="638">
        <f>SUMIF(F1852:F1852,("h"),H1852:H1852)</f>
        <v>0</v>
      </c>
    </row>
    <row r="1854" spans="1:8" s="201" customFormat="1">
      <c r="A1854" s="582"/>
      <c r="B1854" s="582"/>
      <c r="C1854" s="212"/>
      <c r="D1854" s="719" t="s">
        <v>128</v>
      </c>
      <c r="E1854" s="719"/>
      <c r="F1854" s="719"/>
      <c r="G1854" s="719"/>
      <c r="H1854" s="638">
        <f>SUMIF(F1852:F1852,"&lt;&gt;h",H1852:H1852)</f>
        <v>1507.94</v>
      </c>
    </row>
    <row r="1855" spans="1:8" s="201" customFormat="1">
      <c r="A1855" s="582"/>
      <c r="B1855" s="582"/>
      <c r="C1855" s="212"/>
      <c r="D1855" s="718" t="s">
        <v>129</v>
      </c>
      <c r="E1855" s="718"/>
      <c r="F1855" s="718"/>
      <c r="G1855" s="718"/>
      <c r="H1855" s="213">
        <f>SUM(H1853:H1854)</f>
        <v>1507.94</v>
      </c>
    </row>
    <row r="1856" spans="1:8" s="201" customFormat="1">
      <c r="A1856" s="582"/>
      <c r="B1856" s="582"/>
      <c r="C1856" s="212"/>
      <c r="D1856" s="719" t="s">
        <v>28</v>
      </c>
      <c r="E1856" s="719"/>
      <c r="F1856" s="719"/>
      <c r="G1856" s="719"/>
      <c r="H1856" s="639">
        <f>E1851</f>
        <v>45.3</v>
      </c>
    </row>
    <row r="1857" spans="1:8" s="201" customFormat="1">
      <c r="A1857" s="582"/>
      <c r="B1857" s="582"/>
      <c r="C1857" s="212"/>
      <c r="D1857" s="718" t="s">
        <v>130</v>
      </c>
      <c r="E1857" s="718"/>
      <c r="F1857" s="718"/>
      <c r="G1857" s="718"/>
      <c r="H1857" s="213">
        <f>ROUND(H1855*H1856,2)</f>
        <v>68309.679999999993</v>
      </c>
    </row>
    <row r="1858" spans="1:8" s="201" customFormat="1">
      <c r="A1858" s="582"/>
      <c r="B1858" s="582"/>
      <c r="C1858" s="212"/>
      <c r="D1858" s="719" t="s">
        <v>15559</v>
      </c>
      <c r="E1858" s="719"/>
      <c r="F1858" s="719"/>
      <c r="G1858" s="719"/>
      <c r="H1858" s="638">
        <f>ROUND(H1855*$B$13,2)</f>
        <v>406.09</v>
      </c>
    </row>
    <row r="1859" spans="1:8">
      <c r="A1859" s="582"/>
      <c r="B1859" s="582"/>
      <c r="C1859" s="212"/>
      <c r="D1859" s="718" t="s">
        <v>9661</v>
      </c>
      <c r="E1859" s="718"/>
      <c r="F1859" s="718"/>
      <c r="G1859" s="718"/>
      <c r="H1859" s="213">
        <f>H1858+H1855</f>
        <v>1914.03</v>
      </c>
    </row>
    <row r="1861" spans="1:8" s="201" customFormat="1">
      <c r="A1861" s="123" t="s">
        <v>6</v>
      </c>
      <c r="B1861" s="720" t="s">
        <v>7</v>
      </c>
      <c r="C1861" s="720"/>
      <c r="D1861" s="202" t="s">
        <v>124</v>
      </c>
      <c r="E1861" s="167" t="s">
        <v>6334</v>
      </c>
      <c r="F1861" s="202" t="s">
        <v>31</v>
      </c>
      <c r="G1861" s="203" t="s">
        <v>125</v>
      </c>
      <c r="H1861" s="204" t="s">
        <v>126</v>
      </c>
    </row>
    <row r="1862" spans="1:8" s="208" customFormat="1" ht="30">
      <c r="A1862" s="581" t="str">
        <f>'Orç - Prédio'!A320</f>
        <v>05.03.114</v>
      </c>
      <c r="B1862" s="581" t="str">
        <f>'Orç - Prédio'!B320</f>
        <v>ORSE</v>
      </c>
      <c r="C1862" s="581">
        <f>'Orç - Prédio'!C320</f>
        <v>4283</v>
      </c>
      <c r="D1862" s="205" t="s">
        <v>7140</v>
      </c>
      <c r="E1862" s="206">
        <v>18</v>
      </c>
      <c r="F1862" s="581" t="s">
        <v>6337</v>
      </c>
      <c r="G1862" s="207">
        <f>VLOOKUP("CUSTO TOTAL UNIT.:",D1863:$H$30004,5,FALSE)</f>
        <v>23.47</v>
      </c>
      <c r="H1862" s="637">
        <f>VLOOKUP("CUSTO TOTAL:",D1863:$H$30004,5,FALSE)</f>
        <v>422.46</v>
      </c>
    </row>
    <row r="1863" spans="1:8" s="124" customFormat="1" ht="30">
      <c r="A1863" s="721">
        <v>11708</v>
      </c>
      <c r="B1863" s="721"/>
      <c r="C1863" s="200" t="s">
        <v>5256</v>
      </c>
      <c r="D1863" s="139" t="s">
        <v>13654</v>
      </c>
      <c r="E1863" s="209">
        <v>1</v>
      </c>
      <c r="F1863" s="577" t="s">
        <v>40</v>
      </c>
      <c r="G1863" s="210">
        <v>10.0116</v>
      </c>
      <c r="H1863" s="211">
        <f>ROUND(G1863*E1863,2)</f>
        <v>10.01</v>
      </c>
    </row>
    <row r="1864" spans="1:8" s="124" customFormat="1" ht="30">
      <c r="A1864" s="721">
        <v>88267</v>
      </c>
      <c r="B1864" s="721"/>
      <c r="C1864" s="200" t="s">
        <v>5256</v>
      </c>
      <c r="D1864" s="139" t="s">
        <v>86</v>
      </c>
      <c r="E1864" s="209">
        <v>0.5</v>
      </c>
      <c r="F1864" s="577" t="s">
        <v>67</v>
      </c>
      <c r="G1864" s="210">
        <v>15.2766</v>
      </c>
      <c r="H1864" s="211">
        <f>ROUND(G1864*E1864,2)</f>
        <v>7.64</v>
      </c>
    </row>
    <row r="1865" spans="1:8" s="124" customFormat="1" ht="30">
      <c r="A1865" s="721">
        <v>88316</v>
      </c>
      <c r="B1865" s="721"/>
      <c r="C1865" s="200" t="s">
        <v>5256</v>
      </c>
      <c r="D1865" s="139" t="s">
        <v>66</v>
      </c>
      <c r="E1865" s="209">
        <v>0.5</v>
      </c>
      <c r="F1865" s="577" t="s">
        <v>67</v>
      </c>
      <c r="G1865" s="210">
        <v>11.631600000000001</v>
      </c>
      <c r="H1865" s="211">
        <f>ROUND(G1865*E1865,2)</f>
        <v>5.82</v>
      </c>
    </row>
    <row r="1866" spans="1:8" s="201" customFormat="1">
      <c r="A1866" s="582"/>
      <c r="B1866" s="582"/>
      <c r="C1866" s="212"/>
      <c r="D1866" s="719" t="s">
        <v>127</v>
      </c>
      <c r="E1866" s="719"/>
      <c r="F1866" s="719"/>
      <c r="G1866" s="719"/>
      <c r="H1866" s="638">
        <f>SUMIF(F1863:F1865,("h"),H1863:H1865)</f>
        <v>13.46</v>
      </c>
    </row>
    <row r="1867" spans="1:8" s="201" customFormat="1">
      <c r="A1867" s="582"/>
      <c r="B1867" s="582"/>
      <c r="C1867" s="212"/>
      <c r="D1867" s="719" t="s">
        <v>128</v>
      </c>
      <c r="E1867" s="719"/>
      <c r="F1867" s="719"/>
      <c r="G1867" s="719"/>
      <c r="H1867" s="638">
        <f>SUMIF(F1863:F1865,"&lt;&gt;h",H1863:H1865)</f>
        <v>10.01</v>
      </c>
    </row>
    <row r="1868" spans="1:8" s="201" customFormat="1">
      <c r="A1868" s="582"/>
      <c r="B1868" s="582"/>
      <c r="C1868" s="212"/>
      <c r="D1868" s="718" t="s">
        <v>129</v>
      </c>
      <c r="E1868" s="718"/>
      <c r="F1868" s="718"/>
      <c r="G1868" s="718"/>
      <c r="H1868" s="213">
        <f>SUM(H1866:H1867)</f>
        <v>23.47</v>
      </c>
    </row>
    <row r="1869" spans="1:8" s="201" customFormat="1">
      <c r="A1869" s="582"/>
      <c r="B1869" s="582"/>
      <c r="C1869" s="212"/>
      <c r="D1869" s="719" t="s">
        <v>28</v>
      </c>
      <c r="E1869" s="719"/>
      <c r="F1869" s="719"/>
      <c r="G1869" s="719"/>
      <c r="H1869" s="639">
        <f>E1862</f>
        <v>18</v>
      </c>
    </row>
    <row r="1870" spans="1:8" s="201" customFormat="1">
      <c r="A1870" s="582"/>
      <c r="B1870" s="582"/>
      <c r="C1870" s="212"/>
      <c r="D1870" s="718" t="s">
        <v>130</v>
      </c>
      <c r="E1870" s="718"/>
      <c r="F1870" s="718"/>
      <c r="G1870" s="718"/>
      <c r="H1870" s="213">
        <f>ROUND(H1868*H1869,2)</f>
        <v>422.46</v>
      </c>
    </row>
    <row r="1871" spans="1:8" s="201" customFormat="1">
      <c r="A1871" s="582"/>
      <c r="B1871" s="582"/>
      <c r="C1871" s="212"/>
      <c r="D1871" s="719" t="s">
        <v>15559</v>
      </c>
      <c r="E1871" s="719"/>
      <c r="F1871" s="719"/>
      <c r="G1871" s="719"/>
      <c r="H1871" s="638">
        <f>ROUND(H1868*$B$13,2)</f>
        <v>6.32</v>
      </c>
    </row>
    <row r="1872" spans="1:8">
      <c r="A1872" s="582"/>
      <c r="B1872" s="582"/>
      <c r="C1872" s="212"/>
      <c r="D1872" s="718" t="s">
        <v>9661</v>
      </c>
      <c r="E1872" s="718"/>
      <c r="F1872" s="718"/>
      <c r="G1872" s="718"/>
      <c r="H1872" s="213">
        <f>H1871+H1868</f>
        <v>29.79</v>
      </c>
    </row>
    <row r="1874" spans="1:8" s="201" customFormat="1">
      <c r="A1874" s="123" t="s">
        <v>6</v>
      </c>
      <c r="B1874" s="720" t="s">
        <v>7</v>
      </c>
      <c r="C1874" s="720"/>
      <c r="D1874" s="202" t="s">
        <v>124</v>
      </c>
      <c r="E1874" s="167" t="s">
        <v>6334</v>
      </c>
      <c r="F1874" s="202" t="s">
        <v>31</v>
      </c>
      <c r="G1874" s="203" t="s">
        <v>125</v>
      </c>
      <c r="H1874" s="204" t="s">
        <v>126</v>
      </c>
    </row>
    <row r="1875" spans="1:8" s="208" customFormat="1" ht="30">
      <c r="A1875" s="581" t="str">
        <f>'Orç - Prédio'!A324</f>
        <v>05.03.304.01</v>
      </c>
      <c r="B1875" s="216" t="str">
        <f>'Orç - Prédio'!B324</f>
        <v>SINAPI</v>
      </c>
      <c r="C1875" s="216" t="str">
        <f>'Orç - Prédio'!C324</f>
        <v>95695 MOD</v>
      </c>
      <c r="D1875" s="217" t="s">
        <v>15561</v>
      </c>
      <c r="E1875" s="206">
        <v>12</v>
      </c>
      <c r="F1875" s="216" t="s">
        <v>6337</v>
      </c>
      <c r="G1875" s="207">
        <f>VLOOKUP("CUSTO TOTAL UNIT.:",D1876:$H$30004,5,FALSE)</f>
        <v>26.54</v>
      </c>
      <c r="H1875" s="637">
        <f>VLOOKUP("CUSTO TOTAL:",D1876:$H$30004,5,FALSE)</f>
        <v>318.48</v>
      </c>
    </row>
    <row r="1876" spans="1:8" s="124" customFormat="1" ht="30">
      <c r="A1876" s="721">
        <v>301</v>
      </c>
      <c r="B1876" s="721"/>
      <c r="C1876" s="200" t="s">
        <v>5256</v>
      </c>
      <c r="D1876" s="139" t="s">
        <v>9899</v>
      </c>
      <c r="E1876" s="209">
        <v>1</v>
      </c>
      <c r="F1876" s="577" t="s">
        <v>40</v>
      </c>
      <c r="G1876" s="210">
        <v>1.9359000000000002</v>
      </c>
      <c r="H1876" s="211">
        <f>ROUND(G1876*E1876,2)</f>
        <v>1.94</v>
      </c>
    </row>
    <row r="1877" spans="1:8" s="124" customFormat="1" ht="60">
      <c r="A1877" s="721">
        <v>20078</v>
      </c>
      <c r="B1877" s="721"/>
      <c r="C1877" s="200" t="s">
        <v>5256</v>
      </c>
      <c r="D1877" s="139" t="s">
        <v>13241</v>
      </c>
      <c r="E1877" s="209">
        <v>4.5999999999999999E-2</v>
      </c>
      <c r="F1877" s="577" t="s">
        <v>40</v>
      </c>
      <c r="G1877" s="210">
        <v>16.556400000000004</v>
      </c>
      <c r="H1877" s="211">
        <f>ROUND(G1877*E1877,2)</f>
        <v>0.76</v>
      </c>
    </row>
    <row r="1878" spans="1:8" s="124" customFormat="1" ht="30">
      <c r="A1878" s="721">
        <v>1965</v>
      </c>
      <c r="B1878" s="721"/>
      <c r="C1878" s="200" t="s">
        <v>5256</v>
      </c>
      <c r="D1878" s="139" t="s">
        <v>11345</v>
      </c>
      <c r="E1878" s="209">
        <v>1</v>
      </c>
      <c r="F1878" s="577" t="s">
        <v>40</v>
      </c>
      <c r="G1878" s="210">
        <v>21.108599999999999</v>
      </c>
      <c r="H1878" s="211">
        <f>ROUND(G1878*E1878,2)</f>
        <v>21.11</v>
      </c>
    </row>
    <row r="1879" spans="1:8" s="124" customFormat="1" ht="45">
      <c r="A1879" s="721">
        <v>88248</v>
      </c>
      <c r="B1879" s="721"/>
      <c r="C1879" s="200" t="s">
        <v>5256</v>
      </c>
      <c r="D1879" s="139" t="s">
        <v>76</v>
      </c>
      <c r="E1879" s="209">
        <v>0.1</v>
      </c>
      <c r="F1879" s="577" t="s">
        <v>67</v>
      </c>
      <c r="G1879" s="210">
        <v>12.028500000000001</v>
      </c>
      <c r="H1879" s="211">
        <f>ROUND(G1879*E1879,2)</f>
        <v>1.2</v>
      </c>
    </row>
    <row r="1880" spans="1:8" s="124" customFormat="1" ht="30">
      <c r="A1880" s="721">
        <v>88267</v>
      </c>
      <c r="B1880" s="721"/>
      <c r="C1880" s="200" t="s">
        <v>5256</v>
      </c>
      <c r="D1880" s="139" t="s">
        <v>86</v>
      </c>
      <c r="E1880" s="209">
        <v>0.1</v>
      </c>
      <c r="F1880" s="577" t="s">
        <v>67</v>
      </c>
      <c r="G1880" s="210">
        <v>15.2766</v>
      </c>
      <c r="H1880" s="211">
        <f>ROUND(G1880*E1880,2)</f>
        <v>1.53</v>
      </c>
    </row>
    <row r="1881" spans="1:8" s="201" customFormat="1">
      <c r="A1881" s="582"/>
      <c r="B1881" s="582"/>
      <c r="C1881" s="212"/>
      <c r="D1881" s="719" t="s">
        <v>127</v>
      </c>
      <c r="E1881" s="719"/>
      <c r="F1881" s="719"/>
      <c r="G1881" s="719"/>
      <c r="H1881" s="638">
        <f>SUMIF(F1876:F1880,("h"),H1876:H1880)</f>
        <v>2.73</v>
      </c>
    </row>
    <row r="1882" spans="1:8" s="201" customFormat="1">
      <c r="A1882" s="582"/>
      <c r="B1882" s="582"/>
      <c r="C1882" s="212"/>
      <c r="D1882" s="719" t="s">
        <v>128</v>
      </c>
      <c r="E1882" s="719"/>
      <c r="F1882" s="719"/>
      <c r="G1882" s="719"/>
      <c r="H1882" s="638">
        <f>SUMIF(F1876:F1880,"&lt;&gt;h",H1876:H1880)</f>
        <v>23.81</v>
      </c>
    </row>
    <row r="1883" spans="1:8" s="201" customFormat="1">
      <c r="A1883" s="582"/>
      <c r="B1883" s="582"/>
      <c r="C1883" s="212"/>
      <c r="D1883" s="718" t="s">
        <v>129</v>
      </c>
      <c r="E1883" s="718"/>
      <c r="F1883" s="718"/>
      <c r="G1883" s="718"/>
      <c r="H1883" s="213">
        <f>SUM(H1881:H1882)</f>
        <v>26.54</v>
      </c>
    </row>
    <row r="1884" spans="1:8" s="201" customFormat="1">
      <c r="A1884" s="582"/>
      <c r="B1884" s="582"/>
      <c r="C1884" s="212"/>
      <c r="D1884" s="719" t="s">
        <v>28</v>
      </c>
      <c r="E1884" s="719"/>
      <c r="F1884" s="719"/>
      <c r="G1884" s="719"/>
      <c r="H1884" s="639">
        <f>E1875</f>
        <v>12</v>
      </c>
    </row>
    <row r="1885" spans="1:8" s="201" customFormat="1">
      <c r="A1885" s="582"/>
      <c r="B1885" s="582"/>
      <c r="C1885" s="212"/>
      <c r="D1885" s="718" t="s">
        <v>130</v>
      </c>
      <c r="E1885" s="718"/>
      <c r="F1885" s="718"/>
      <c r="G1885" s="718"/>
      <c r="H1885" s="213">
        <f>ROUND(H1883*H1884,2)</f>
        <v>318.48</v>
      </c>
    </row>
    <row r="1886" spans="1:8" s="201" customFormat="1">
      <c r="A1886" s="582"/>
      <c r="B1886" s="582"/>
      <c r="C1886" s="212"/>
      <c r="D1886" s="719" t="s">
        <v>15559</v>
      </c>
      <c r="E1886" s="719"/>
      <c r="F1886" s="719"/>
      <c r="G1886" s="719"/>
      <c r="H1886" s="638">
        <f>ROUND(H1883*$B$13,2)</f>
        <v>7.15</v>
      </c>
    </row>
    <row r="1887" spans="1:8">
      <c r="A1887" s="582"/>
      <c r="B1887" s="582"/>
      <c r="C1887" s="212"/>
      <c r="D1887" s="718" t="s">
        <v>9661</v>
      </c>
      <c r="E1887" s="718"/>
      <c r="F1887" s="718"/>
      <c r="G1887" s="718"/>
      <c r="H1887" s="213">
        <f>H1886+H1883</f>
        <v>33.69</v>
      </c>
    </row>
    <row r="1889" spans="1:8" s="201" customFormat="1">
      <c r="A1889" s="123" t="s">
        <v>6</v>
      </c>
      <c r="B1889" s="720" t="s">
        <v>7</v>
      </c>
      <c r="C1889" s="720"/>
      <c r="D1889" s="202" t="s">
        <v>124</v>
      </c>
      <c r="E1889" s="167" t="s">
        <v>6334</v>
      </c>
      <c r="F1889" s="202" t="s">
        <v>31</v>
      </c>
      <c r="G1889" s="203" t="s">
        <v>125</v>
      </c>
      <c r="H1889" s="204" t="s">
        <v>126</v>
      </c>
    </row>
    <row r="1890" spans="1:8" s="208" customFormat="1" ht="30">
      <c r="A1890" s="581" t="str">
        <f>'Orç - Urbanização'!A102</f>
        <v>05.06.501.03</v>
      </c>
      <c r="B1890" s="581" t="str">
        <f>'Orç - Urbanização'!B102</f>
        <v>SBC</v>
      </c>
      <c r="C1890" s="581" t="str">
        <f>'Orç - Urbanização'!C102</f>
        <v>VEG 57202 MOD</v>
      </c>
      <c r="D1890" s="205" t="s">
        <v>9428</v>
      </c>
      <c r="E1890" s="206">
        <v>18</v>
      </c>
      <c r="F1890" s="581" t="s">
        <v>6337</v>
      </c>
      <c r="G1890" s="207">
        <f>VLOOKUP("CUSTO TOTAL UNIT.:",D1891:$H$30004,5,FALSE)</f>
        <v>240.14000000000001</v>
      </c>
      <c r="H1890" s="637">
        <f>VLOOKUP("CUSTO TOTAL:",D1891:$H$30004,5,FALSE)</f>
        <v>4322.5200000000004</v>
      </c>
    </row>
    <row r="1891" spans="1:8" s="124" customFormat="1">
      <c r="A1891" s="721">
        <v>7258</v>
      </c>
      <c r="B1891" s="721"/>
      <c r="C1891" s="200" t="s">
        <v>5256</v>
      </c>
      <c r="D1891" s="139" t="s">
        <v>14350</v>
      </c>
      <c r="E1891" s="209">
        <v>552</v>
      </c>
      <c r="F1891" s="577" t="s">
        <v>40</v>
      </c>
      <c r="G1891" s="210">
        <v>0.25109999999999999</v>
      </c>
      <c r="H1891" s="211">
        <f>ROUND(G1891*E1891,2)</f>
        <v>138.61000000000001</v>
      </c>
    </row>
    <row r="1892" spans="1:8" s="124" customFormat="1" ht="60">
      <c r="A1892" s="721">
        <v>94963</v>
      </c>
      <c r="B1892" s="721"/>
      <c r="C1892" s="200" t="s">
        <v>5256</v>
      </c>
      <c r="D1892" s="139" t="s">
        <v>2019</v>
      </c>
      <c r="E1892" s="209">
        <v>2.52E-2</v>
      </c>
      <c r="F1892" s="577" t="s">
        <v>1261</v>
      </c>
      <c r="G1892" s="210">
        <v>232.35660000000001</v>
      </c>
      <c r="H1892" s="211">
        <f>ROUND(G1892*E1892,2)</f>
        <v>5.86</v>
      </c>
    </row>
    <row r="1893" spans="1:8" s="124" customFormat="1" ht="45">
      <c r="A1893" s="721">
        <v>93358</v>
      </c>
      <c r="B1893" s="721"/>
      <c r="C1893" s="200" t="s">
        <v>5256</v>
      </c>
      <c r="D1893" s="139" t="s">
        <v>6325</v>
      </c>
      <c r="E1893" s="209">
        <v>0.70399999999999996</v>
      </c>
      <c r="F1893" s="577" t="s">
        <v>1261</v>
      </c>
      <c r="G1893" s="210">
        <v>46.008000000000003</v>
      </c>
      <c r="H1893" s="211">
        <f>ROUND(G1893*E1893,2)</f>
        <v>32.39</v>
      </c>
    </row>
    <row r="1894" spans="1:8" s="124" customFormat="1" ht="75">
      <c r="A1894" s="721">
        <v>87879</v>
      </c>
      <c r="B1894" s="721"/>
      <c r="C1894" s="200" t="s">
        <v>5256</v>
      </c>
      <c r="D1894" s="139" t="s">
        <v>4657</v>
      </c>
      <c r="E1894" s="209">
        <v>2.4</v>
      </c>
      <c r="F1894" s="577" t="s">
        <v>322</v>
      </c>
      <c r="G1894" s="210">
        <v>2.3652000000000002</v>
      </c>
      <c r="H1894" s="211">
        <f>ROUND(G1894*E1894,2)</f>
        <v>5.68</v>
      </c>
    </row>
    <row r="1895" spans="1:8" s="124" customFormat="1" ht="75">
      <c r="A1895" s="721">
        <v>87794</v>
      </c>
      <c r="B1895" s="721"/>
      <c r="C1895" s="200" t="s">
        <v>5256</v>
      </c>
      <c r="D1895" s="139" t="s">
        <v>4757</v>
      </c>
      <c r="E1895" s="209">
        <v>2.4</v>
      </c>
      <c r="F1895" s="577" t="s">
        <v>322</v>
      </c>
      <c r="G1895" s="210">
        <v>24.000299999999999</v>
      </c>
      <c r="H1895" s="211">
        <f>ROUND(G1895*E1895,2)</f>
        <v>57.6</v>
      </c>
    </row>
    <row r="1896" spans="1:8" s="201" customFormat="1">
      <c r="A1896" s="582"/>
      <c r="B1896" s="582"/>
      <c r="C1896" s="212"/>
      <c r="D1896" s="719" t="s">
        <v>127</v>
      </c>
      <c r="E1896" s="719"/>
      <c r="F1896" s="719"/>
      <c r="G1896" s="719"/>
      <c r="H1896" s="638">
        <f>SUMIF(F1891:F1895,("h"),H1891:H1895)</f>
        <v>0</v>
      </c>
    </row>
    <row r="1897" spans="1:8" s="201" customFormat="1">
      <c r="A1897" s="582"/>
      <c r="B1897" s="582"/>
      <c r="C1897" s="212"/>
      <c r="D1897" s="719" t="s">
        <v>128</v>
      </c>
      <c r="E1897" s="719"/>
      <c r="F1897" s="719"/>
      <c r="G1897" s="719"/>
      <c r="H1897" s="638">
        <f>SUMIF(F1891:F1895,"&lt;&gt;h",H1891:H1895)</f>
        <v>240.14000000000001</v>
      </c>
    </row>
    <row r="1898" spans="1:8" s="201" customFormat="1">
      <c r="A1898" s="582"/>
      <c r="B1898" s="582"/>
      <c r="C1898" s="212"/>
      <c r="D1898" s="718" t="s">
        <v>129</v>
      </c>
      <c r="E1898" s="718"/>
      <c r="F1898" s="718"/>
      <c r="G1898" s="718"/>
      <c r="H1898" s="213">
        <f>SUM(H1896:H1897)</f>
        <v>240.14000000000001</v>
      </c>
    </row>
    <row r="1899" spans="1:8" s="201" customFormat="1">
      <c r="A1899" s="582"/>
      <c r="B1899" s="582"/>
      <c r="C1899" s="212"/>
      <c r="D1899" s="719" t="s">
        <v>28</v>
      </c>
      <c r="E1899" s="719"/>
      <c r="F1899" s="719"/>
      <c r="G1899" s="719"/>
      <c r="H1899" s="639">
        <f>E1890</f>
        <v>18</v>
      </c>
    </row>
    <row r="1900" spans="1:8" s="201" customFormat="1">
      <c r="A1900" s="582"/>
      <c r="B1900" s="582"/>
      <c r="C1900" s="212"/>
      <c r="D1900" s="718" t="s">
        <v>130</v>
      </c>
      <c r="E1900" s="718"/>
      <c r="F1900" s="718"/>
      <c r="G1900" s="718"/>
      <c r="H1900" s="213">
        <f>ROUND(H1898*H1899,2)</f>
        <v>4322.5200000000004</v>
      </c>
    </row>
    <row r="1901" spans="1:8" s="201" customFormat="1">
      <c r="A1901" s="582"/>
      <c r="B1901" s="582"/>
      <c r="C1901" s="212"/>
      <c r="D1901" s="719" t="s">
        <v>15559</v>
      </c>
      <c r="E1901" s="719"/>
      <c r="F1901" s="719"/>
      <c r="G1901" s="719"/>
      <c r="H1901" s="638">
        <f>ROUND(H1898*$B$13,2)</f>
        <v>64.67</v>
      </c>
    </row>
    <row r="1902" spans="1:8">
      <c r="A1902" s="582"/>
      <c r="B1902" s="582"/>
      <c r="C1902" s="212"/>
      <c r="D1902" s="718" t="s">
        <v>9661</v>
      </c>
      <c r="E1902" s="718"/>
      <c r="F1902" s="718"/>
      <c r="G1902" s="718"/>
      <c r="H1902" s="213">
        <f>H1901+H1898</f>
        <v>304.81</v>
      </c>
    </row>
    <row r="1904" spans="1:8" s="201" customFormat="1">
      <c r="A1904" s="123" t="s">
        <v>6</v>
      </c>
      <c r="B1904" s="720" t="s">
        <v>7</v>
      </c>
      <c r="C1904" s="720"/>
      <c r="D1904" s="202" t="s">
        <v>124</v>
      </c>
      <c r="E1904" s="167" t="s">
        <v>6334</v>
      </c>
      <c r="F1904" s="202" t="s">
        <v>31</v>
      </c>
      <c r="G1904" s="203" t="s">
        <v>125</v>
      </c>
      <c r="H1904" s="204" t="s">
        <v>126</v>
      </c>
    </row>
    <row r="1905" spans="1:8" s="208" customFormat="1" ht="30">
      <c r="A1905" s="581" t="str">
        <f>'Orç - Prédio'!A332</f>
        <v>05.03.901</v>
      </c>
      <c r="B1905" s="581" t="str">
        <f>'Orç - Prédio'!B332</f>
        <v>SINAPI</v>
      </c>
      <c r="C1905" s="581" t="str">
        <f>'Orç - Prédio'!C332</f>
        <v>72285 MOD</v>
      </c>
      <c r="D1905" s="205" t="s">
        <v>7157</v>
      </c>
      <c r="E1905" s="206">
        <v>16</v>
      </c>
      <c r="F1905" s="581" t="s">
        <v>6337</v>
      </c>
      <c r="G1905" s="207">
        <f>VLOOKUP("CUSTO TOTAL UNIT.:",D1906:$H$30004,5,FALSE)</f>
        <v>125.99</v>
      </c>
      <c r="H1905" s="637">
        <f>VLOOKUP("CUSTO TOTAL:",D1906:$H$30004,5,FALSE)</f>
        <v>2015.84</v>
      </c>
    </row>
    <row r="1906" spans="1:8" s="124" customFormat="1" ht="30">
      <c r="A1906" s="721">
        <v>370</v>
      </c>
      <c r="B1906" s="721"/>
      <c r="C1906" s="200" t="s">
        <v>5256</v>
      </c>
      <c r="D1906" s="139" t="s">
        <v>10018</v>
      </c>
      <c r="E1906" s="209">
        <v>0.16</v>
      </c>
      <c r="F1906" s="577" t="s">
        <v>45</v>
      </c>
      <c r="G1906" s="210">
        <v>72.227700000000013</v>
      </c>
      <c r="H1906" s="211">
        <f t="shared" ref="H1906:H1911" si="65">ROUND(G1906*E1906,2)</f>
        <v>11.56</v>
      </c>
    </row>
    <row r="1907" spans="1:8" s="124" customFormat="1">
      <c r="A1907" s="721">
        <v>1382</v>
      </c>
      <c r="B1907" s="721"/>
      <c r="C1907" s="200" t="s">
        <v>5256</v>
      </c>
      <c r="D1907" s="139" t="s">
        <v>10944</v>
      </c>
      <c r="E1907" s="209">
        <v>0.75</v>
      </c>
      <c r="F1907" s="577" t="s">
        <v>58</v>
      </c>
      <c r="G1907" s="210">
        <v>16.313400000000001</v>
      </c>
      <c r="H1907" s="211">
        <f t="shared" si="65"/>
        <v>12.24</v>
      </c>
    </row>
    <row r="1908" spans="1:8" s="124" customFormat="1" ht="30">
      <c r="A1908" s="721">
        <v>4721</v>
      </c>
      <c r="B1908" s="721"/>
      <c r="C1908" s="200" t="s">
        <v>5256</v>
      </c>
      <c r="D1908" s="139" t="s">
        <v>13269</v>
      </c>
      <c r="E1908" s="209">
        <v>5.6000000000000001E-2</v>
      </c>
      <c r="F1908" s="577" t="s">
        <v>45</v>
      </c>
      <c r="G1908" s="210">
        <v>66.15270000000001</v>
      </c>
      <c r="H1908" s="211">
        <f t="shared" si="65"/>
        <v>3.7</v>
      </c>
    </row>
    <row r="1909" spans="1:8" s="124" customFormat="1" ht="30">
      <c r="A1909" s="721">
        <v>7271</v>
      </c>
      <c r="B1909" s="721"/>
      <c r="C1909" s="200" t="s">
        <v>5256</v>
      </c>
      <c r="D1909" s="139" t="s">
        <v>10180</v>
      </c>
      <c r="E1909" s="209">
        <v>42</v>
      </c>
      <c r="F1909" s="577" t="s">
        <v>40</v>
      </c>
      <c r="G1909" s="210">
        <v>0.39690000000000003</v>
      </c>
      <c r="H1909" s="211">
        <f t="shared" si="65"/>
        <v>16.670000000000002</v>
      </c>
    </row>
    <row r="1910" spans="1:8" s="124" customFormat="1" ht="30">
      <c r="A1910" s="721">
        <v>88309</v>
      </c>
      <c r="B1910" s="721"/>
      <c r="C1910" s="200" t="s">
        <v>5256</v>
      </c>
      <c r="D1910" s="139" t="s">
        <v>90</v>
      </c>
      <c r="E1910" s="209">
        <v>2</v>
      </c>
      <c r="F1910" s="577" t="s">
        <v>67</v>
      </c>
      <c r="G1910" s="210">
        <v>15.608700000000001</v>
      </c>
      <c r="H1910" s="211">
        <f t="shared" si="65"/>
        <v>31.22</v>
      </c>
    </row>
    <row r="1911" spans="1:8" s="124" customFormat="1" ht="30">
      <c r="A1911" s="721">
        <v>88316</v>
      </c>
      <c r="B1911" s="721"/>
      <c r="C1911" s="200" t="s">
        <v>5256</v>
      </c>
      <c r="D1911" s="139" t="s">
        <v>66</v>
      </c>
      <c r="E1911" s="209">
        <v>4.3499999999999996</v>
      </c>
      <c r="F1911" s="577" t="s">
        <v>67</v>
      </c>
      <c r="G1911" s="210">
        <v>11.631600000000001</v>
      </c>
      <c r="H1911" s="211">
        <f t="shared" si="65"/>
        <v>50.6</v>
      </c>
    </row>
    <row r="1912" spans="1:8" s="201" customFormat="1">
      <c r="A1912" s="582"/>
      <c r="B1912" s="582"/>
      <c r="C1912" s="212"/>
      <c r="D1912" s="719" t="s">
        <v>127</v>
      </c>
      <c r="E1912" s="719"/>
      <c r="F1912" s="719"/>
      <c r="G1912" s="719"/>
      <c r="H1912" s="638">
        <f>SUMIF(F1906:F1911,("h"),H1906:H1911)</f>
        <v>81.819999999999993</v>
      </c>
    </row>
    <row r="1913" spans="1:8" s="201" customFormat="1">
      <c r="A1913" s="582"/>
      <c r="B1913" s="582"/>
      <c r="C1913" s="212"/>
      <c r="D1913" s="719" t="s">
        <v>128</v>
      </c>
      <c r="E1913" s="719"/>
      <c r="F1913" s="719"/>
      <c r="G1913" s="719"/>
      <c r="H1913" s="638">
        <f>SUMIF(F1906:F1911,"&lt;&gt;h",H1906:H1911)</f>
        <v>44.17</v>
      </c>
    </row>
    <row r="1914" spans="1:8" s="201" customFormat="1">
      <c r="A1914" s="582"/>
      <c r="B1914" s="582"/>
      <c r="C1914" s="212"/>
      <c r="D1914" s="718" t="s">
        <v>129</v>
      </c>
      <c r="E1914" s="718"/>
      <c r="F1914" s="718"/>
      <c r="G1914" s="718"/>
      <c r="H1914" s="213">
        <f>SUM(H1912:H1913)</f>
        <v>125.99</v>
      </c>
    </row>
    <row r="1915" spans="1:8" s="201" customFormat="1">
      <c r="A1915" s="582"/>
      <c r="B1915" s="582"/>
      <c r="C1915" s="212"/>
      <c r="D1915" s="719" t="s">
        <v>28</v>
      </c>
      <c r="E1915" s="719"/>
      <c r="F1915" s="719"/>
      <c r="G1915" s="719"/>
      <c r="H1915" s="639">
        <f>E1905</f>
        <v>16</v>
      </c>
    </row>
    <row r="1916" spans="1:8" s="201" customFormat="1">
      <c r="A1916" s="582"/>
      <c r="B1916" s="582"/>
      <c r="C1916" s="212"/>
      <c r="D1916" s="718" t="s">
        <v>130</v>
      </c>
      <c r="E1916" s="718"/>
      <c r="F1916" s="718"/>
      <c r="G1916" s="718"/>
      <c r="H1916" s="213">
        <f>ROUND(H1914*H1915,2)</f>
        <v>2015.84</v>
      </c>
    </row>
    <row r="1917" spans="1:8" s="201" customFormat="1">
      <c r="A1917" s="582"/>
      <c r="B1917" s="582"/>
      <c r="C1917" s="212"/>
      <c r="D1917" s="719" t="s">
        <v>15559</v>
      </c>
      <c r="E1917" s="719"/>
      <c r="F1917" s="719"/>
      <c r="G1917" s="719"/>
      <c r="H1917" s="638">
        <f>ROUND(H1914*$B$13,2)</f>
        <v>33.93</v>
      </c>
    </row>
    <row r="1918" spans="1:8">
      <c r="A1918" s="582"/>
      <c r="B1918" s="582"/>
      <c r="C1918" s="212"/>
      <c r="D1918" s="718" t="s">
        <v>9661</v>
      </c>
      <c r="E1918" s="718"/>
      <c r="F1918" s="718"/>
      <c r="G1918" s="718"/>
      <c r="H1918" s="213">
        <f>H1917+H1914</f>
        <v>159.91999999999999</v>
      </c>
    </row>
    <row r="1920" spans="1:8" s="201" customFormat="1">
      <c r="A1920" s="123" t="s">
        <v>6</v>
      </c>
      <c r="B1920" s="720" t="s">
        <v>7</v>
      </c>
      <c r="C1920" s="720"/>
      <c r="D1920" s="202" t="s">
        <v>124</v>
      </c>
      <c r="E1920" s="167" t="s">
        <v>6334</v>
      </c>
      <c r="F1920" s="202" t="s">
        <v>31</v>
      </c>
      <c r="G1920" s="203" t="s">
        <v>125</v>
      </c>
      <c r="H1920" s="204" t="s">
        <v>126</v>
      </c>
    </row>
    <row r="1921" spans="1:8" s="208" customFormat="1" ht="30">
      <c r="A1921" s="581" t="str">
        <f>'Orç - Prédio'!A348</f>
        <v>05.04.304.01</v>
      </c>
      <c r="B1921" s="216" t="str">
        <f>'Orç - Prédio'!B348</f>
        <v>SINAPI</v>
      </c>
      <c r="C1921" s="216" t="str">
        <f>'Orç - Prédio'!C348</f>
        <v>89524 MOD</v>
      </c>
      <c r="D1921" s="217" t="s">
        <v>7176</v>
      </c>
      <c r="E1921" s="206">
        <v>1</v>
      </c>
      <c r="F1921" s="216" t="s">
        <v>6337</v>
      </c>
      <c r="G1921" s="207">
        <f>VLOOKUP("CUSTO TOTAL UNIT.:",D1922:$H$30004,5,FALSE)</f>
        <v>22.48</v>
      </c>
      <c r="H1921" s="637">
        <f>VLOOKUP("CUSTO TOTAL:",D1922:$H$30004,5,FALSE)</f>
        <v>22.48</v>
      </c>
    </row>
    <row r="1922" spans="1:8" s="124" customFormat="1" ht="30">
      <c r="A1922" s="721">
        <v>298</v>
      </c>
      <c r="B1922" s="721"/>
      <c r="C1922" s="200" t="s">
        <v>5256</v>
      </c>
      <c r="D1922" s="139" t="s">
        <v>9895</v>
      </c>
      <c r="E1922" s="209">
        <v>1</v>
      </c>
      <c r="F1922" s="577" t="s">
        <v>40</v>
      </c>
      <c r="G1922" s="210">
        <v>1.7658000000000003</v>
      </c>
      <c r="H1922" s="211">
        <f>ROUND(G1922*E1922,2)</f>
        <v>1.77</v>
      </c>
    </row>
    <row r="1923" spans="1:8" s="124" customFormat="1" ht="60">
      <c r="A1923" s="721">
        <v>20078</v>
      </c>
      <c r="B1923" s="721"/>
      <c r="C1923" s="200" t="s">
        <v>5256</v>
      </c>
      <c r="D1923" s="139" t="s">
        <v>13241</v>
      </c>
      <c r="E1923" s="209">
        <v>0.03</v>
      </c>
      <c r="F1923" s="577" t="s">
        <v>40</v>
      </c>
      <c r="G1923" s="210">
        <v>16.556400000000004</v>
      </c>
      <c r="H1923" s="211">
        <f>ROUND(G1923*E1923,2)</f>
        <v>0.5</v>
      </c>
    </row>
    <row r="1924" spans="1:8" s="124" customFormat="1" ht="30">
      <c r="A1924" s="721">
        <v>10767</v>
      </c>
      <c r="B1924" s="721"/>
      <c r="C1924" s="200" t="s">
        <v>5256</v>
      </c>
      <c r="D1924" s="139" t="s">
        <v>11347</v>
      </c>
      <c r="E1924" s="209">
        <v>1</v>
      </c>
      <c r="F1924" s="577" t="s">
        <v>40</v>
      </c>
      <c r="G1924" s="210">
        <v>17.479800000000001</v>
      </c>
      <c r="H1924" s="211">
        <f>ROUND(G1924*E1924,2)</f>
        <v>17.48</v>
      </c>
    </row>
    <row r="1925" spans="1:8" s="124" customFormat="1" ht="45">
      <c r="A1925" s="721">
        <v>88248</v>
      </c>
      <c r="B1925" s="721"/>
      <c r="C1925" s="200" t="s">
        <v>5256</v>
      </c>
      <c r="D1925" s="139" t="s">
        <v>76</v>
      </c>
      <c r="E1925" s="209">
        <v>0.1</v>
      </c>
      <c r="F1925" s="577" t="s">
        <v>67</v>
      </c>
      <c r="G1925" s="210">
        <v>12.028500000000001</v>
      </c>
      <c r="H1925" s="211">
        <f>ROUND(G1925*E1925,2)</f>
        <v>1.2</v>
      </c>
    </row>
    <row r="1926" spans="1:8" s="124" customFormat="1" ht="30">
      <c r="A1926" s="721">
        <v>88267</v>
      </c>
      <c r="B1926" s="721"/>
      <c r="C1926" s="200" t="s">
        <v>5256</v>
      </c>
      <c r="D1926" s="139" t="s">
        <v>86</v>
      </c>
      <c r="E1926" s="209">
        <v>0.1</v>
      </c>
      <c r="F1926" s="577" t="s">
        <v>67</v>
      </c>
      <c r="G1926" s="210">
        <v>15.2766</v>
      </c>
      <c r="H1926" s="211">
        <f>ROUND(G1926*E1926,2)</f>
        <v>1.53</v>
      </c>
    </row>
    <row r="1927" spans="1:8" s="201" customFormat="1">
      <c r="A1927" s="582"/>
      <c r="B1927" s="582"/>
      <c r="C1927" s="212"/>
      <c r="D1927" s="719" t="s">
        <v>127</v>
      </c>
      <c r="E1927" s="719"/>
      <c r="F1927" s="719"/>
      <c r="G1927" s="719"/>
      <c r="H1927" s="638">
        <f>SUMIF(F1922:F1926,("h"),H1922:H1926)</f>
        <v>2.73</v>
      </c>
    </row>
    <row r="1928" spans="1:8" s="201" customFormat="1">
      <c r="A1928" s="582"/>
      <c r="B1928" s="582"/>
      <c r="C1928" s="212"/>
      <c r="D1928" s="719" t="s">
        <v>128</v>
      </c>
      <c r="E1928" s="719"/>
      <c r="F1928" s="719"/>
      <c r="G1928" s="719"/>
      <c r="H1928" s="638">
        <f>SUMIF(F1922:F1926,"&lt;&gt;h",H1922:H1926)</f>
        <v>19.75</v>
      </c>
    </row>
    <row r="1929" spans="1:8" s="201" customFormat="1">
      <c r="A1929" s="582"/>
      <c r="B1929" s="582"/>
      <c r="C1929" s="212"/>
      <c r="D1929" s="718" t="s">
        <v>129</v>
      </c>
      <c r="E1929" s="718"/>
      <c r="F1929" s="718"/>
      <c r="G1929" s="718"/>
      <c r="H1929" s="213">
        <f>SUM(H1927:H1928)</f>
        <v>22.48</v>
      </c>
    </row>
    <row r="1930" spans="1:8" s="201" customFormat="1">
      <c r="A1930" s="582"/>
      <c r="B1930" s="582"/>
      <c r="C1930" s="212"/>
      <c r="D1930" s="719" t="s">
        <v>28</v>
      </c>
      <c r="E1930" s="719"/>
      <c r="F1930" s="719"/>
      <c r="G1930" s="719"/>
      <c r="H1930" s="639">
        <f>E1921</f>
        <v>1</v>
      </c>
    </row>
    <row r="1931" spans="1:8" s="201" customFormat="1">
      <c r="A1931" s="582"/>
      <c r="B1931" s="582"/>
      <c r="C1931" s="212"/>
      <c r="D1931" s="718" t="s">
        <v>130</v>
      </c>
      <c r="E1931" s="718"/>
      <c r="F1931" s="718"/>
      <c r="G1931" s="718"/>
      <c r="H1931" s="213">
        <f>ROUND(H1929*H1930,2)</f>
        <v>22.48</v>
      </c>
    </row>
    <row r="1932" spans="1:8" s="201" customFormat="1">
      <c r="A1932" s="582"/>
      <c r="B1932" s="582"/>
      <c r="C1932" s="212"/>
      <c r="D1932" s="719" t="s">
        <v>15559</v>
      </c>
      <c r="E1932" s="719"/>
      <c r="F1932" s="719"/>
      <c r="G1932" s="719"/>
      <c r="H1932" s="638">
        <f>ROUND(H1929*$B$13,2)</f>
        <v>6.05</v>
      </c>
    </row>
    <row r="1933" spans="1:8">
      <c r="A1933" s="582"/>
      <c r="B1933" s="582"/>
      <c r="C1933" s="212"/>
      <c r="D1933" s="718" t="s">
        <v>9661</v>
      </c>
      <c r="E1933" s="718"/>
      <c r="F1933" s="718"/>
      <c r="G1933" s="718"/>
      <c r="H1933" s="213">
        <f>H1932+H1929</f>
        <v>28.53</v>
      </c>
    </row>
    <row r="1935" spans="1:8" s="201" customFormat="1">
      <c r="A1935" s="123" t="s">
        <v>6</v>
      </c>
      <c r="B1935" s="720" t="s">
        <v>7</v>
      </c>
      <c r="C1935" s="720"/>
      <c r="D1935" s="202" t="s">
        <v>124</v>
      </c>
      <c r="E1935" s="167" t="s">
        <v>6334</v>
      </c>
      <c r="F1935" s="202" t="s">
        <v>31</v>
      </c>
      <c r="G1935" s="203" t="s">
        <v>125</v>
      </c>
      <c r="H1935" s="204" t="s">
        <v>126</v>
      </c>
    </row>
    <row r="1936" spans="1:8" s="208" customFormat="1" ht="30">
      <c r="A1936" s="581" t="str">
        <f>'Orç - Prédio'!A349</f>
        <v>05.04.304.02</v>
      </c>
      <c r="B1936" s="216" t="str">
        <f>'Orç - Prédio'!B349</f>
        <v>SINAPI</v>
      </c>
      <c r="C1936" s="216" t="str">
        <f>'Orç - Prédio'!C349</f>
        <v>89730 MOD</v>
      </c>
      <c r="D1936" s="217" t="s">
        <v>7177</v>
      </c>
      <c r="E1936" s="206">
        <v>55</v>
      </c>
      <c r="F1936" s="216" t="s">
        <v>6337</v>
      </c>
      <c r="G1936" s="207">
        <f>VLOOKUP("CUSTO TOTAL UNIT.:",D1937:$H$30004,5,FALSE)</f>
        <v>26.54</v>
      </c>
      <c r="H1936" s="637">
        <f>VLOOKUP("CUSTO TOTAL:",D1937:$H$30004,5,FALSE)</f>
        <v>1459.7</v>
      </c>
    </row>
    <row r="1937" spans="1:8" s="124" customFormat="1" ht="30">
      <c r="A1937" s="721">
        <v>301</v>
      </c>
      <c r="B1937" s="721"/>
      <c r="C1937" s="200" t="s">
        <v>5256</v>
      </c>
      <c r="D1937" s="139" t="s">
        <v>9899</v>
      </c>
      <c r="E1937" s="209">
        <v>1</v>
      </c>
      <c r="F1937" s="577" t="s">
        <v>40</v>
      </c>
      <c r="G1937" s="210">
        <v>1.9359000000000002</v>
      </c>
      <c r="H1937" s="211">
        <f>ROUND(G1937*E1937,2)</f>
        <v>1.94</v>
      </c>
    </row>
    <row r="1938" spans="1:8" s="124" customFormat="1" ht="60">
      <c r="A1938" s="721">
        <v>20078</v>
      </c>
      <c r="B1938" s="721"/>
      <c r="C1938" s="200" t="s">
        <v>5256</v>
      </c>
      <c r="D1938" s="139" t="s">
        <v>13241</v>
      </c>
      <c r="E1938" s="209">
        <v>4.5999999999999999E-2</v>
      </c>
      <c r="F1938" s="577" t="s">
        <v>40</v>
      </c>
      <c r="G1938" s="210">
        <v>16.556400000000004</v>
      </c>
      <c r="H1938" s="211">
        <f>ROUND(G1938*E1938,2)</f>
        <v>0.76</v>
      </c>
    </row>
    <row r="1939" spans="1:8" s="124" customFormat="1" ht="30">
      <c r="A1939" s="721">
        <v>1965</v>
      </c>
      <c r="B1939" s="721"/>
      <c r="C1939" s="200" t="s">
        <v>5256</v>
      </c>
      <c r="D1939" s="139" t="s">
        <v>11345</v>
      </c>
      <c r="E1939" s="209">
        <v>1</v>
      </c>
      <c r="F1939" s="577" t="s">
        <v>40</v>
      </c>
      <c r="G1939" s="210">
        <v>21.108599999999999</v>
      </c>
      <c r="H1939" s="211">
        <f>ROUND(G1939*E1939,2)</f>
        <v>21.11</v>
      </c>
    </row>
    <row r="1940" spans="1:8" s="124" customFormat="1" ht="45">
      <c r="A1940" s="721">
        <v>88248</v>
      </c>
      <c r="B1940" s="721"/>
      <c r="C1940" s="200" t="s">
        <v>5256</v>
      </c>
      <c r="D1940" s="139" t="s">
        <v>76</v>
      </c>
      <c r="E1940" s="209">
        <v>0.1</v>
      </c>
      <c r="F1940" s="577" t="s">
        <v>67</v>
      </c>
      <c r="G1940" s="210">
        <v>12.028500000000001</v>
      </c>
      <c r="H1940" s="211">
        <f>ROUND(G1940*E1940,2)</f>
        <v>1.2</v>
      </c>
    </row>
    <row r="1941" spans="1:8" s="124" customFormat="1" ht="30">
      <c r="A1941" s="721">
        <v>88267</v>
      </c>
      <c r="B1941" s="721"/>
      <c r="C1941" s="200" t="s">
        <v>5256</v>
      </c>
      <c r="D1941" s="139" t="s">
        <v>86</v>
      </c>
      <c r="E1941" s="209">
        <v>0.1</v>
      </c>
      <c r="F1941" s="577" t="s">
        <v>67</v>
      </c>
      <c r="G1941" s="210">
        <v>15.2766</v>
      </c>
      <c r="H1941" s="211">
        <f>ROUND(G1941*E1941,2)</f>
        <v>1.53</v>
      </c>
    </row>
    <row r="1942" spans="1:8" s="201" customFormat="1">
      <c r="A1942" s="582"/>
      <c r="B1942" s="582"/>
      <c r="C1942" s="212"/>
      <c r="D1942" s="719" t="s">
        <v>127</v>
      </c>
      <c r="E1942" s="719"/>
      <c r="F1942" s="719"/>
      <c r="G1942" s="719"/>
      <c r="H1942" s="638">
        <f>SUMIF(F1937:F1941,("h"),H1937:H1941)</f>
        <v>2.73</v>
      </c>
    </row>
    <row r="1943" spans="1:8" s="201" customFormat="1">
      <c r="A1943" s="582"/>
      <c r="B1943" s="582"/>
      <c r="C1943" s="212"/>
      <c r="D1943" s="719" t="s">
        <v>128</v>
      </c>
      <c r="E1943" s="719"/>
      <c r="F1943" s="719"/>
      <c r="G1943" s="719"/>
      <c r="H1943" s="638">
        <f>SUMIF(F1937:F1941,"&lt;&gt;h",H1937:H1941)</f>
        <v>23.81</v>
      </c>
    </row>
    <row r="1944" spans="1:8" s="201" customFormat="1">
      <c r="A1944" s="582"/>
      <c r="B1944" s="582"/>
      <c r="C1944" s="212"/>
      <c r="D1944" s="718" t="s">
        <v>129</v>
      </c>
      <c r="E1944" s="718"/>
      <c r="F1944" s="718"/>
      <c r="G1944" s="718"/>
      <c r="H1944" s="213">
        <f>SUM(H1942:H1943)</f>
        <v>26.54</v>
      </c>
    </row>
    <row r="1945" spans="1:8" s="201" customFormat="1">
      <c r="A1945" s="582"/>
      <c r="B1945" s="582"/>
      <c r="C1945" s="212"/>
      <c r="D1945" s="719" t="s">
        <v>28</v>
      </c>
      <c r="E1945" s="719"/>
      <c r="F1945" s="719"/>
      <c r="G1945" s="719"/>
      <c r="H1945" s="639">
        <f>E1936</f>
        <v>55</v>
      </c>
    </row>
    <row r="1946" spans="1:8" s="201" customFormat="1">
      <c r="A1946" s="582"/>
      <c r="B1946" s="582"/>
      <c r="C1946" s="212"/>
      <c r="D1946" s="718" t="s">
        <v>130</v>
      </c>
      <c r="E1946" s="718"/>
      <c r="F1946" s="718"/>
      <c r="G1946" s="718"/>
      <c r="H1946" s="213">
        <f>ROUND(H1944*H1945,2)</f>
        <v>1459.7</v>
      </c>
    </row>
    <row r="1947" spans="1:8" s="201" customFormat="1">
      <c r="A1947" s="582"/>
      <c r="B1947" s="582"/>
      <c r="C1947" s="212"/>
      <c r="D1947" s="719" t="s">
        <v>15559</v>
      </c>
      <c r="E1947" s="719"/>
      <c r="F1947" s="719"/>
      <c r="G1947" s="719"/>
      <c r="H1947" s="638">
        <f>ROUND(H1944*$B$13,2)</f>
        <v>7.15</v>
      </c>
    </row>
    <row r="1948" spans="1:8">
      <c r="A1948" s="582"/>
      <c r="B1948" s="582"/>
      <c r="C1948" s="212"/>
      <c r="D1948" s="718" t="s">
        <v>9661</v>
      </c>
      <c r="E1948" s="718"/>
      <c r="F1948" s="718"/>
      <c r="G1948" s="718"/>
      <c r="H1948" s="213">
        <f>H1947+H1944</f>
        <v>33.69</v>
      </c>
    </row>
    <row r="1950" spans="1:8" s="201" customFormat="1">
      <c r="A1950" s="123" t="s">
        <v>6</v>
      </c>
      <c r="B1950" s="720" t="s">
        <v>7</v>
      </c>
      <c r="C1950" s="720"/>
      <c r="D1950" s="202" t="s">
        <v>124</v>
      </c>
      <c r="E1950" s="167" t="s">
        <v>6334</v>
      </c>
      <c r="F1950" s="202" t="s">
        <v>31</v>
      </c>
      <c r="G1950" s="203" t="s">
        <v>125</v>
      </c>
      <c r="H1950" s="204" t="s">
        <v>126</v>
      </c>
    </row>
    <row r="1951" spans="1:8" s="208" customFormat="1" ht="30">
      <c r="A1951" s="581" t="str">
        <f>'Orç - Prédio'!A350</f>
        <v>05.04.304.03</v>
      </c>
      <c r="B1951" s="216" t="str">
        <f>'Orç - Prédio'!B350</f>
        <v>SINAPI</v>
      </c>
      <c r="C1951" s="216" t="str">
        <f>'Orç - Prédio'!C350</f>
        <v>89735 MOD</v>
      </c>
      <c r="D1951" s="217" t="s">
        <v>7178</v>
      </c>
      <c r="E1951" s="206">
        <v>58</v>
      </c>
      <c r="F1951" s="216" t="s">
        <v>6337</v>
      </c>
      <c r="G1951" s="207">
        <f>VLOOKUP("CUSTO TOTAL UNIT.:",D1952:$H$30004,5,FALSE)</f>
        <v>10.3</v>
      </c>
      <c r="H1951" s="637">
        <f>VLOOKUP("CUSTO TOTAL:",D1952:$H$30004,5,FALSE)</f>
        <v>597.4</v>
      </c>
    </row>
    <row r="1952" spans="1:8" s="124" customFormat="1" ht="30">
      <c r="A1952" s="721">
        <v>296</v>
      </c>
      <c r="B1952" s="721"/>
      <c r="C1952" s="200" t="s">
        <v>5256</v>
      </c>
      <c r="D1952" s="139" t="s">
        <v>9897</v>
      </c>
      <c r="E1952" s="209">
        <v>1</v>
      </c>
      <c r="F1952" s="577" t="s">
        <v>40</v>
      </c>
      <c r="G1952" s="210">
        <v>1.0935000000000001</v>
      </c>
      <c r="H1952" s="211">
        <f>ROUND(G1952*E1952,2)</f>
        <v>1.0900000000000001</v>
      </c>
    </row>
    <row r="1953" spans="1:8" s="124" customFormat="1" ht="30">
      <c r="A1953" s="721">
        <v>10765</v>
      </c>
      <c r="B1953" s="721"/>
      <c r="C1953" s="200" t="s">
        <v>5256</v>
      </c>
      <c r="D1953" s="139" t="s">
        <v>11346</v>
      </c>
      <c r="E1953" s="209">
        <v>1</v>
      </c>
      <c r="F1953" s="577" t="s">
        <v>40</v>
      </c>
      <c r="G1953" s="210">
        <v>5.3298000000000005</v>
      </c>
      <c r="H1953" s="211">
        <f>ROUND(G1953*E1953,2)</f>
        <v>5.33</v>
      </c>
    </row>
    <row r="1954" spans="1:8" s="124" customFormat="1" ht="60">
      <c r="A1954" s="721">
        <v>20078</v>
      </c>
      <c r="B1954" s="721"/>
      <c r="C1954" s="200" t="s">
        <v>5256</v>
      </c>
      <c r="D1954" s="139" t="s">
        <v>13241</v>
      </c>
      <c r="E1954" s="209">
        <v>0.02</v>
      </c>
      <c r="F1954" s="577" t="s">
        <v>40</v>
      </c>
      <c r="G1954" s="210">
        <v>16.556400000000004</v>
      </c>
      <c r="H1954" s="211">
        <f>ROUND(G1954*E1954,2)</f>
        <v>0.33</v>
      </c>
    </row>
    <row r="1955" spans="1:8" s="124" customFormat="1" ht="45">
      <c r="A1955" s="721">
        <v>88248</v>
      </c>
      <c r="B1955" s="721"/>
      <c r="C1955" s="200" t="s">
        <v>5256</v>
      </c>
      <c r="D1955" s="139" t="s">
        <v>76</v>
      </c>
      <c r="E1955" s="209">
        <v>0.13</v>
      </c>
      <c r="F1955" s="577" t="s">
        <v>67</v>
      </c>
      <c r="G1955" s="210">
        <v>12.028500000000001</v>
      </c>
      <c r="H1955" s="211">
        <f>ROUND(G1955*E1955,2)</f>
        <v>1.56</v>
      </c>
    </row>
    <row r="1956" spans="1:8" s="124" customFormat="1" ht="30">
      <c r="A1956" s="721">
        <v>88267</v>
      </c>
      <c r="B1956" s="721"/>
      <c r="C1956" s="200" t="s">
        <v>5256</v>
      </c>
      <c r="D1956" s="139" t="s">
        <v>86</v>
      </c>
      <c r="E1956" s="209">
        <v>0.13</v>
      </c>
      <c r="F1956" s="577" t="s">
        <v>67</v>
      </c>
      <c r="G1956" s="210">
        <v>15.2766</v>
      </c>
      <c r="H1956" s="211">
        <f>ROUND(G1956*E1956,2)</f>
        <v>1.99</v>
      </c>
    </row>
    <row r="1957" spans="1:8" s="201" customFormat="1">
      <c r="A1957" s="582"/>
      <c r="B1957" s="582"/>
      <c r="C1957" s="212"/>
      <c r="D1957" s="719" t="s">
        <v>127</v>
      </c>
      <c r="E1957" s="719"/>
      <c r="F1957" s="719"/>
      <c r="G1957" s="719"/>
      <c r="H1957" s="638">
        <f>SUMIF(F1952:F1956,("h"),H1952:H1956)</f>
        <v>3.55</v>
      </c>
    </row>
    <row r="1958" spans="1:8" s="201" customFormat="1">
      <c r="A1958" s="582"/>
      <c r="B1958" s="582"/>
      <c r="C1958" s="212"/>
      <c r="D1958" s="719" t="s">
        <v>128</v>
      </c>
      <c r="E1958" s="719"/>
      <c r="F1958" s="719"/>
      <c r="G1958" s="719"/>
      <c r="H1958" s="638">
        <f>SUMIF(F1952:F1956,"&lt;&gt;h",H1952:H1956)</f>
        <v>6.75</v>
      </c>
    </row>
    <row r="1959" spans="1:8" s="201" customFormat="1">
      <c r="A1959" s="582"/>
      <c r="B1959" s="582"/>
      <c r="C1959" s="212"/>
      <c r="D1959" s="718" t="s">
        <v>129</v>
      </c>
      <c r="E1959" s="718"/>
      <c r="F1959" s="718"/>
      <c r="G1959" s="718"/>
      <c r="H1959" s="213">
        <f>SUM(H1957:H1958)</f>
        <v>10.3</v>
      </c>
    </row>
    <row r="1960" spans="1:8" s="201" customFormat="1">
      <c r="A1960" s="582"/>
      <c r="B1960" s="582"/>
      <c r="C1960" s="212"/>
      <c r="D1960" s="719" t="s">
        <v>28</v>
      </c>
      <c r="E1960" s="719"/>
      <c r="F1960" s="719"/>
      <c r="G1960" s="719"/>
      <c r="H1960" s="639">
        <f>E1951</f>
        <v>58</v>
      </c>
    </row>
    <row r="1961" spans="1:8" s="201" customFormat="1">
      <c r="A1961" s="582"/>
      <c r="B1961" s="582"/>
      <c r="C1961" s="212"/>
      <c r="D1961" s="718" t="s">
        <v>130</v>
      </c>
      <c r="E1961" s="718"/>
      <c r="F1961" s="718"/>
      <c r="G1961" s="718"/>
      <c r="H1961" s="213">
        <f>ROUND(H1959*H1960,2)</f>
        <v>597.4</v>
      </c>
    </row>
    <row r="1962" spans="1:8" s="201" customFormat="1">
      <c r="A1962" s="582"/>
      <c r="B1962" s="582"/>
      <c r="C1962" s="212"/>
      <c r="D1962" s="719" t="s">
        <v>15559</v>
      </c>
      <c r="E1962" s="719"/>
      <c r="F1962" s="719"/>
      <c r="G1962" s="719"/>
      <c r="H1962" s="638">
        <f>ROUND(H1959*$B$13,2)</f>
        <v>2.77</v>
      </c>
    </row>
    <row r="1963" spans="1:8">
      <c r="A1963" s="582"/>
      <c r="B1963" s="582"/>
      <c r="C1963" s="212"/>
      <c r="D1963" s="718" t="s">
        <v>9661</v>
      </c>
      <c r="E1963" s="718"/>
      <c r="F1963" s="718"/>
      <c r="G1963" s="718"/>
      <c r="H1963" s="213">
        <f>H1962+H1959</f>
        <v>13.07</v>
      </c>
    </row>
    <row r="1965" spans="1:8" s="201" customFormat="1">
      <c r="A1965" s="123" t="s">
        <v>6</v>
      </c>
      <c r="B1965" s="720" t="s">
        <v>7</v>
      </c>
      <c r="C1965" s="720"/>
      <c r="D1965" s="202" t="s">
        <v>124</v>
      </c>
      <c r="E1965" s="167" t="s">
        <v>6334</v>
      </c>
      <c r="F1965" s="202" t="s">
        <v>31</v>
      </c>
      <c r="G1965" s="203" t="s">
        <v>125</v>
      </c>
      <c r="H1965" s="204" t="s">
        <v>126</v>
      </c>
    </row>
    <row r="1966" spans="1:8" s="208" customFormat="1" ht="30">
      <c r="A1966" s="581" t="str">
        <f>'Orç - Prédio'!A351</f>
        <v>05.04.304.04</v>
      </c>
      <c r="B1966" s="216" t="str">
        <f>'Orç - Prédio'!B351</f>
        <v>SINAPI</v>
      </c>
      <c r="C1966" s="216" t="str">
        <f>'Orç - Prédio'!C351</f>
        <v>89743 MOD</v>
      </c>
      <c r="D1966" s="217" t="s">
        <v>7179</v>
      </c>
      <c r="E1966" s="206">
        <v>59</v>
      </c>
      <c r="F1966" s="216" t="s">
        <v>6337</v>
      </c>
      <c r="G1966" s="207">
        <f>VLOOKUP("CUSTO TOTAL UNIT.:",D1967:$H$30004,5,FALSE)</f>
        <v>24.71</v>
      </c>
      <c r="H1966" s="637">
        <f>VLOOKUP("CUSTO TOTAL:",D1967:$H$30004,5,FALSE)</f>
        <v>1457.89</v>
      </c>
    </row>
    <row r="1967" spans="1:8" s="124" customFormat="1" ht="30">
      <c r="A1967" s="721">
        <v>297</v>
      </c>
      <c r="B1967" s="721"/>
      <c r="C1967" s="200" t="s">
        <v>5256</v>
      </c>
      <c r="D1967" s="139" t="s">
        <v>9898</v>
      </c>
      <c r="E1967" s="209">
        <v>1</v>
      </c>
      <c r="F1967" s="577" t="s">
        <v>40</v>
      </c>
      <c r="G1967" s="210">
        <v>1.5389999999999999</v>
      </c>
      <c r="H1967" s="211">
        <f>ROUND(G1967*E1967,2)</f>
        <v>1.54</v>
      </c>
    </row>
    <row r="1968" spans="1:8" s="124" customFormat="1" ht="30">
      <c r="A1968" s="721">
        <v>10767</v>
      </c>
      <c r="B1968" s="721"/>
      <c r="C1968" s="200" t="s">
        <v>5256</v>
      </c>
      <c r="D1968" s="139" t="s">
        <v>11347</v>
      </c>
      <c r="E1968" s="209">
        <v>1</v>
      </c>
      <c r="F1968" s="577" t="s">
        <v>40</v>
      </c>
      <c r="G1968" s="210">
        <v>17.479800000000001</v>
      </c>
      <c r="H1968" s="211">
        <f>ROUND(G1968*E1968,2)</f>
        <v>17.48</v>
      </c>
    </row>
    <row r="1969" spans="1:8" s="124" customFormat="1" ht="60">
      <c r="A1969" s="721">
        <v>20078</v>
      </c>
      <c r="B1969" s="721"/>
      <c r="C1969" s="200" t="s">
        <v>5256</v>
      </c>
      <c r="D1969" s="139" t="s">
        <v>13241</v>
      </c>
      <c r="E1969" s="209">
        <v>0.03</v>
      </c>
      <c r="F1969" s="577" t="s">
        <v>40</v>
      </c>
      <c r="G1969" s="210">
        <v>16.556400000000004</v>
      </c>
      <c r="H1969" s="211">
        <f>ROUND(G1969*E1969,2)</f>
        <v>0.5</v>
      </c>
    </row>
    <row r="1970" spans="1:8" s="124" customFormat="1" ht="45">
      <c r="A1970" s="721">
        <v>88248</v>
      </c>
      <c r="B1970" s="721"/>
      <c r="C1970" s="200" t="s">
        <v>5256</v>
      </c>
      <c r="D1970" s="139" t="s">
        <v>76</v>
      </c>
      <c r="E1970" s="209">
        <v>0.19</v>
      </c>
      <c r="F1970" s="577" t="s">
        <v>67</v>
      </c>
      <c r="G1970" s="210">
        <v>12.028500000000001</v>
      </c>
      <c r="H1970" s="211">
        <f>ROUND(G1970*E1970,2)</f>
        <v>2.29</v>
      </c>
    </row>
    <row r="1971" spans="1:8" s="124" customFormat="1" ht="30">
      <c r="A1971" s="721">
        <v>88267</v>
      </c>
      <c r="B1971" s="721"/>
      <c r="C1971" s="200" t="s">
        <v>5256</v>
      </c>
      <c r="D1971" s="139" t="s">
        <v>86</v>
      </c>
      <c r="E1971" s="209">
        <v>0.19</v>
      </c>
      <c r="F1971" s="577" t="s">
        <v>67</v>
      </c>
      <c r="G1971" s="210">
        <v>15.2766</v>
      </c>
      <c r="H1971" s="211">
        <f>ROUND(G1971*E1971,2)</f>
        <v>2.9</v>
      </c>
    </row>
    <row r="1972" spans="1:8" s="201" customFormat="1">
      <c r="A1972" s="582"/>
      <c r="B1972" s="582"/>
      <c r="C1972" s="212"/>
      <c r="D1972" s="719" t="s">
        <v>127</v>
      </c>
      <c r="E1972" s="719"/>
      <c r="F1972" s="719"/>
      <c r="G1972" s="719"/>
      <c r="H1972" s="638">
        <f>SUMIF(F1967:F1971,("h"),H1967:H1971)</f>
        <v>5.1899999999999995</v>
      </c>
    </row>
    <row r="1973" spans="1:8" s="201" customFormat="1">
      <c r="A1973" s="582"/>
      <c r="B1973" s="582"/>
      <c r="C1973" s="212"/>
      <c r="D1973" s="719" t="s">
        <v>128</v>
      </c>
      <c r="E1973" s="719"/>
      <c r="F1973" s="719"/>
      <c r="G1973" s="719"/>
      <c r="H1973" s="638">
        <f>SUMIF(F1967:F1971,"&lt;&gt;h",H1967:H1971)</f>
        <v>19.52</v>
      </c>
    </row>
    <row r="1974" spans="1:8" s="201" customFormat="1">
      <c r="A1974" s="582"/>
      <c r="B1974" s="582"/>
      <c r="C1974" s="212"/>
      <c r="D1974" s="718" t="s">
        <v>129</v>
      </c>
      <c r="E1974" s="718"/>
      <c r="F1974" s="718"/>
      <c r="G1974" s="718"/>
      <c r="H1974" s="213">
        <f>SUM(H1972:H1973)</f>
        <v>24.71</v>
      </c>
    </row>
    <row r="1975" spans="1:8" s="201" customFormat="1">
      <c r="A1975" s="582"/>
      <c r="B1975" s="582"/>
      <c r="C1975" s="212"/>
      <c r="D1975" s="719" t="s">
        <v>28</v>
      </c>
      <c r="E1975" s="719"/>
      <c r="F1975" s="719"/>
      <c r="G1975" s="719"/>
      <c r="H1975" s="639">
        <f>E1966</f>
        <v>59</v>
      </c>
    </row>
    <row r="1976" spans="1:8" s="201" customFormat="1">
      <c r="A1976" s="582"/>
      <c r="B1976" s="582"/>
      <c r="C1976" s="212"/>
      <c r="D1976" s="718" t="s">
        <v>130</v>
      </c>
      <c r="E1976" s="718"/>
      <c r="F1976" s="718"/>
      <c r="G1976" s="718"/>
      <c r="H1976" s="213">
        <f>ROUND(H1974*H1975,2)</f>
        <v>1457.89</v>
      </c>
    </row>
    <row r="1977" spans="1:8" s="201" customFormat="1">
      <c r="A1977" s="582"/>
      <c r="B1977" s="582"/>
      <c r="C1977" s="212"/>
      <c r="D1977" s="719" t="s">
        <v>15559</v>
      </c>
      <c r="E1977" s="719"/>
      <c r="F1977" s="719"/>
      <c r="G1977" s="719"/>
      <c r="H1977" s="638">
        <f>ROUND(H1974*$B$13,2)</f>
        <v>6.65</v>
      </c>
    </row>
    <row r="1978" spans="1:8">
      <c r="A1978" s="582"/>
      <c r="B1978" s="582"/>
      <c r="C1978" s="212"/>
      <c r="D1978" s="718" t="s">
        <v>9661</v>
      </c>
      <c r="E1978" s="718"/>
      <c r="F1978" s="718"/>
      <c r="G1978" s="718"/>
      <c r="H1978" s="213">
        <f>H1977+H1974</f>
        <v>31.36</v>
      </c>
    </row>
    <row r="1980" spans="1:8" s="201" customFormat="1">
      <c r="A1980" s="123" t="s">
        <v>6</v>
      </c>
      <c r="B1980" s="720" t="s">
        <v>7</v>
      </c>
      <c r="C1980" s="720"/>
      <c r="D1980" s="202" t="s">
        <v>124</v>
      </c>
      <c r="E1980" s="167" t="s">
        <v>6334</v>
      </c>
      <c r="F1980" s="202" t="s">
        <v>31</v>
      </c>
      <c r="G1980" s="203" t="s">
        <v>125</v>
      </c>
      <c r="H1980" s="204" t="s">
        <v>126</v>
      </c>
    </row>
    <row r="1981" spans="1:8" s="208" customFormat="1" ht="30">
      <c r="A1981" s="581" t="str">
        <f>'Orç - Prédio'!A352</f>
        <v>05.04.304.05</v>
      </c>
      <c r="B1981" s="216" t="str">
        <f>'Orç - Prédio'!B352</f>
        <v>SINAPI</v>
      </c>
      <c r="C1981" s="216" t="str">
        <f>'Orç - Prédio'!C352</f>
        <v>89750 MOD</v>
      </c>
      <c r="D1981" s="217" t="s">
        <v>7180</v>
      </c>
      <c r="E1981" s="206">
        <v>35</v>
      </c>
      <c r="F1981" s="216" t="s">
        <v>6337</v>
      </c>
      <c r="G1981" s="207">
        <f>VLOOKUP("CUSTO TOTAL UNIT.:",D1982:$H$30004,5,FALSE)</f>
        <v>30.64</v>
      </c>
      <c r="H1981" s="637">
        <f>VLOOKUP("CUSTO TOTAL:",D1982:$H$30004,5,FALSE)</f>
        <v>1072.4000000000001</v>
      </c>
    </row>
    <row r="1982" spans="1:8" s="124" customFormat="1" ht="30">
      <c r="A1982" s="721">
        <v>301</v>
      </c>
      <c r="B1982" s="721"/>
      <c r="C1982" s="200" t="s">
        <v>5256</v>
      </c>
      <c r="D1982" s="139" t="s">
        <v>9899</v>
      </c>
      <c r="E1982" s="209">
        <v>1</v>
      </c>
      <c r="F1982" s="577" t="s">
        <v>40</v>
      </c>
      <c r="G1982" s="210">
        <v>1.9359000000000002</v>
      </c>
      <c r="H1982" s="211">
        <f>ROUND(G1982*E1982,2)</f>
        <v>1.94</v>
      </c>
    </row>
    <row r="1983" spans="1:8" s="124" customFormat="1" ht="30">
      <c r="A1983" s="721">
        <v>1965</v>
      </c>
      <c r="B1983" s="721"/>
      <c r="C1983" s="200" t="s">
        <v>5256</v>
      </c>
      <c r="D1983" s="139" t="s">
        <v>11345</v>
      </c>
      <c r="E1983" s="209">
        <v>1</v>
      </c>
      <c r="F1983" s="577" t="s">
        <v>40</v>
      </c>
      <c r="G1983" s="210">
        <v>21.108599999999999</v>
      </c>
      <c r="H1983" s="211">
        <f>ROUND(G1983*E1983,2)</f>
        <v>21.11</v>
      </c>
    </row>
    <row r="1984" spans="1:8" s="124" customFormat="1" ht="60">
      <c r="A1984" s="721">
        <v>20078</v>
      </c>
      <c r="B1984" s="721"/>
      <c r="C1984" s="200" t="s">
        <v>5256</v>
      </c>
      <c r="D1984" s="139" t="s">
        <v>13241</v>
      </c>
      <c r="E1984" s="209">
        <v>4.5999999999999999E-2</v>
      </c>
      <c r="F1984" s="577" t="s">
        <v>40</v>
      </c>
      <c r="G1984" s="210">
        <v>16.556400000000004</v>
      </c>
      <c r="H1984" s="211">
        <f>ROUND(G1984*E1984,2)</f>
        <v>0.76</v>
      </c>
    </row>
    <row r="1985" spans="1:8" s="124" customFormat="1" ht="45">
      <c r="A1985" s="721">
        <v>88248</v>
      </c>
      <c r="B1985" s="721"/>
      <c r="C1985" s="200" t="s">
        <v>5256</v>
      </c>
      <c r="D1985" s="139" t="s">
        <v>76</v>
      </c>
      <c r="E1985" s="209">
        <v>0.25</v>
      </c>
      <c r="F1985" s="577" t="s">
        <v>67</v>
      </c>
      <c r="G1985" s="210">
        <v>12.028500000000001</v>
      </c>
      <c r="H1985" s="211">
        <f>ROUND(G1985*E1985,2)</f>
        <v>3.01</v>
      </c>
    </row>
    <row r="1986" spans="1:8" s="124" customFormat="1" ht="30">
      <c r="A1986" s="721">
        <v>88267</v>
      </c>
      <c r="B1986" s="721"/>
      <c r="C1986" s="200" t="s">
        <v>5256</v>
      </c>
      <c r="D1986" s="139" t="s">
        <v>86</v>
      </c>
      <c r="E1986" s="209">
        <v>0.25</v>
      </c>
      <c r="F1986" s="577" t="s">
        <v>67</v>
      </c>
      <c r="G1986" s="210">
        <v>15.2766</v>
      </c>
      <c r="H1986" s="211">
        <f>ROUND(G1986*E1986,2)</f>
        <v>3.82</v>
      </c>
    </row>
    <row r="1987" spans="1:8" s="201" customFormat="1">
      <c r="A1987" s="582"/>
      <c r="B1987" s="582"/>
      <c r="C1987" s="212"/>
      <c r="D1987" s="719" t="s">
        <v>127</v>
      </c>
      <c r="E1987" s="719"/>
      <c r="F1987" s="719"/>
      <c r="G1987" s="719"/>
      <c r="H1987" s="638">
        <f>SUMIF(F1982:F1986,("h"),H1982:H1986)</f>
        <v>6.83</v>
      </c>
    </row>
    <row r="1988" spans="1:8" s="201" customFormat="1">
      <c r="A1988" s="582"/>
      <c r="B1988" s="582"/>
      <c r="C1988" s="212"/>
      <c r="D1988" s="719" t="s">
        <v>128</v>
      </c>
      <c r="E1988" s="719"/>
      <c r="F1988" s="719"/>
      <c r="G1988" s="719"/>
      <c r="H1988" s="638">
        <f>SUMIF(F1982:F1986,"&lt;&gt;h",H1982:H1986)</f>
        <v>23.810000000000002</v>
      </c>
    </row>
    <row r="1989" spans="1:8" s="201" customFormat="1">
      <c r="A1989" s="582"/>
      <c r="B1989" s="582"/>
      <c r="C1989" s="212"/>
      <c r="D1989" s="718" t="s">
        <v>129</v>
      </c>
      <c r="E1989" s="718"/>
      <c r="F1989" s="718"/>
      <c r="G1989" s="718"/>
      <c r="H1989" s="213">
        <f>SUM(H1987:H1988)</f>
        <v>30.64</v>
      </c>
    </row>
    <row r="1990" spans="1:8" s="201" customFormat="1">
      <c r="A1990" s="582"/>
      <c r="B1990" s="582"/>
      <c r="C1990" s="212"/>
      <c r="D1990" s="719" t="s">
        <v>28</v>
      </c>
      <c r="E1990" s="719"/>
      <c r="F1990" s="719"/>
      <c r="G1990" s="719"/>
      <c r="H1990" s="639">
        <f>E1981</f>
        <v>35</v>
      </c>
    </row>
    <row r="1991" spans="1:8" s="201" customFormat="1">
      <c r="A1991" s="582"/>
      <c r="B1991" s="582"/>
      <c r="C1991" s="212"/>
      <c r="D1991" s="718" t="s">
        <v>130</v>
      </c>
      <c r="E1991" s="718"/>
      <c r="F1991" s="718"/>
      <c r="G1991" s="718"/>
      <c r="H1991" s="213">
        <f>ROUND(H1989*H1990,2)</f>
        <v>1072.4000000000001</v>
      </c>
    </row>
    <row r="1992" spans="1:8" s="201" customFormat="1">
      <c r="A1992" s="582"/>
      <c r="B1992" s="582"/>
      <c r="C1992" s="212"/>
      <c r="D1992" s="719" t="s">
        <v>15559</v>
      </c>
      <c r="E1992" s="719"/>
      <c r="F1992" s="719"/>
      <c r="G1992" s="719"/>
      <c r="H1992" s="638">
        <f>ROUND(H1989*$B$13,2)</f>
        <v>8.25</v>
      </c>
    </row>
    <row r="1993" spans="1:8">
      <c r="A1993" s="582"/>
      <c r="B1993" s="582"/>
      <c r="C1993" s="212"/>
      <c r="D1993" s="718" t="s">
        <v>9661</v>
      </c>
      <c r="E1993" s="718"/>
      <c r="F1993" s="718"/>
      <c r="G1993" s="718"/>
      <c r="H1993" s="213">
        <f>H1992+H1989</f>
        <v>38.89</v>
      </c>
    </row>
    <row r="1995" spans="1:8" s="201" customFormat="1">
      <c r="A1995" s="123" t="s">
        <v>6</v>
      </c>
      <c r="B1995" s="720" t="s">
        <v>7</v>
      </c>
      <c r="C1995" s="720"/>
      <c r="D1995" s="202" t="s">
        <v>124</v>
      </c>
      <c r="E1995" s="167" t="s">
        <v>6334</v>
      </c>
      <c r="F1995" s="202" t="s">
        <v>31</v>
      </c>
      <c r="G1995" s="203" t="s">
        <v>125</v>
      </c>
      <c r="H1995" s="204" t="s">
        <v>126</v>
      </c>
    </row>
    <row r="1996" spans="1:8" s="208" customFormat="1" ht="45">
      <c r="A1996" s="581" t="str">
        <f>'Orç - Prédio'!A368</f>
        <v>05.04.305.09</v>
      </c>
      <c r="B1996" s="216" t="str">
        <f>'Orç - Prédio'!B368</f>
        <v>SINAPI</v>
      </c>
      <c r="C1996" s="216" t="str">
        <f>'Orç - Prédio'!C368</f>
        <v>89809 MOD</v>
      </c>
      <c r="D1996" s="217" t="s">
        <v>7196</v>
      </c>
      <c r="E1996" s="206">
        <v>9</v>
      </c>
      <c r="F1996" s="216" t="s">
        <v>6337</v>
      </c>
      <c r="G1996" s="207">
        <f>VLOOKUP("CUSTO TOTAL UNIT.:",D1997:$H$30004,5,FALSE)</f>
        <v>16.12</v>
      </c>
      <c r="H1996" s="637">
        <f>VLOOKUP("CUSTO TOTAL:",D1997:$H$30004,5,FALSE)</f>
        <v>145.08000000000001</v>
      </c>
    </row>
    <row r="1997" spans="1:8" s="124" customFormat="1" ht="30">
      <c r="A1997" s="721">
        <v>301</v>
      </c>
      <c r="B1997" s="721"/>
      <c r="C1997" s="200" t="s">
        <v>5256</v>
      </c>
      <c r="D1997" s="139" t="s">
        <v>9899</v>
      </c>
      <c r="E1997" s="209">
        <v>1</v>
      </c>
      <c r="F1997" s="577" t="s">
        <v>40</v>
      </c>
      <c r="G1997" s="210">
        <v>1.9359000000000002</v>
      </c>
      <c r="H1997" s="211">
        <f t="shared" ref="H1997:H2002" si="66">ROUND(G1997*E1997,2)</f>
        <v>1.94</v>
      </c>
    </row>
    <row r="1998" spans="1:8" s="124" customFormat="1" ht="30">
      <c r="A1998" s="721">
        <v>296</v>
      </c>
      <c r="B1998" s="721"/>
      <c r="C1998" s="200" t="s">
        <v>5256</v>
      </c>
      <c r="D1998" s="139" t="s">
        <v>9897</v>
      </c>
      <c r="E1998" s="209">
        <v>1</v>
      </c>
      <c r="F1998" s="577" t="s">
        <v>40</v>
      </c>
      <c r="G1998" s="210">
        <v>1.0935000000000001</v>
      </c>
      <c r="H1998" s="211">
        <f t="shared" si="66"/>
        <v>1.0900000000000001</v>
      </c>
    </row>
    <row r="1999" spans="1:8" s="124" customFormat="1" ht="45">
      <c r="A1999" s="721">
        <v>10836</v>
      </c>
      <c r="B1999" s="721"/>
      <c r="C1999" s="200" t="s">
        <v>5256</v>
      </c>
      <c r="D1999" s="139" t="s">
        <v>12287</v>
      </c>
      <c r="E1999" s="209">
        <v>1</v>
      </c>
      <c r="F1999" s="577" t="s">
        <v>40</v>
      </c>
      <c r="G1999" s="210">
        <v>9.0557999999999996</v>
      </c>
      <c r="H1999" s="211">
        <f t="shared" si="66"/>
        <v>9.06</v>
      </c>
    </row>
    <row r="2000" spans="1:8" s="124" customFormat="1" ht="60">
      <c r="A2000" s="721">
        <v>20078</v>
      </c>
      <c r="B2000" s="721"/>
      <c r="C2000" s="200" t="s">
        <v>5256</v>
      </c>
      <c r="D2000" s="139" t="s">
        <v>13241</v>
      </c>
      <c r="E2000" s="209">
        <v>4.5999999999999999E-2</v>
      </c>
      <c r="F2000" s="577" t="s">
        <v>40</v>
      </c>
      <c r="G2000" s="210">
        <v>16.556400000000004</v>
      </c>
      <c r="H2000" s="211">
        <f t="shared" si="66"/>
        <v>0.76</v>
      </c>
    </row>
    <row r="2001" spans="1:8" s="124" customFormat="1" ht="45">
      <c r="A2001" s="721">
        <v>88248</v>
      </c>
      <c r="B2001" s="721"/>
      <c r="C2001" s="200" t="s">
        <v>5256</v>
      </c>
      <c r="D2001" s="139" t="s">
        <v>76</v>
      </c>
      <c r="E2001" s="209">
        <v>0.12</v>
      </c>
      <c r="F2001" s="577" t="s">
        <v>67</v>
      </c>
      <c r="G2001" s="210">
        <v>12.028500000000001</v>
      </c>
      <c r="H2001" s="211">
        <f t="shared" si="66"/>
        <v>1.44</v>
      </c>
    </row>
    <row r="2002" spans="1:8" s="124" customFormat="1" ht="30">
      <c r="A2002" s="721">
        <v>88267</v>
      </c>
      <c r="B2002" s="721"/>
      <c r="C2002" s="200" t="s">
        <v>5256</v>
      </c>
      <c r="D2002" s="139" t="s">
        <v>86</v>
      </c>
      <c r="E2002" s="209">
        <v>0.12</v>
      </c>
      <c r="F2002" s="577" t="s">
        <v>67</v>
      </c>
      <c r="G2002" s="210">
        <v>15.2766</v>
      </c>
      <c r="H2002" s="211">
        <f t="shared" si="66"/>
        <v>1.83</v>
      </c>
    </row>
    <row r="2003" spans="1:8" s="201" customFormat="1">
      <c r="A2003" s="582"/>
      <c r="B2003" s="582"/>
      <c r="C2003" s="212"/>
      <c r="D2003" s="719" t="s">
        <v>127</v>
      </c>
      <c r="E2003" s="719"/>
      <c r="F2003" s="719"/>
      <c r="G2003" s="719"/>
      <c r="H2003" s="638">
        <f>SUMIF(F1997:F2002,("h"),H1997:H2002)</f>
        <v>3.27</v>
      </c>
    </row>
    <row r="2004" spans="1:8" s="201" customFormat="1">
      <c r="A2004" s="582"/>
      <c r="B2004" s="582"/>
      <c r="C2004" s="212"/>
      <c r="D2004" s="719" t="s">
        <v>128</v>
      </c>
      <c r="E2004" s="719"/>
      <c r="F2004" s="719"/>
      <c r="G2004" s="719"/>
      <c r="H2004" s="638">
        <f>SUMIF(F1997:F2002,"&lt;&gt;h",H1997:H2002)</f>
        <v>12.85</v>
      </c>
    </row>
    <row r="2005" spans="1:8" s="201" customFormat="1">
      <c r="A2005" s="582"/>
      <c r="B2005" s="582"/>
      <c r="C2005" s="212"/>
      <c r="D2005" s="718" t="s">
        <v>129</v>
      </c>
      <c r="E2005" s="718"/>
      <c r="F2005" s="718"/>
      <c r="G2005" s="718"/>
      <c r="H2005" s="213">
        <f>SUM(H2003:H2004)</f>
        <v>16.12</v>
      </c>
    </row>
    <row r="2006" spans="1:8" s="201" customFormat="1">
      <c r="A2006" s="582"/>
      <c r="B2006" s="582"/>
      <c r="C2006" s="212"/>
      <c r="D2006" s="719" t="s">
        <v>28</v>
      </c>
      <c r="E2006" s="719"/>
      <c r="F2006" s="719"/>
      <c r="G2006" s="719"/>
      <c r="H2006" s="639">
        <f>E1996</f>
        <v>9</v>
      </c>
    </row>
    <row r="2007" spans="1:8" s="201" customFormat="1">
      <c r="A2007" s="582"/>
      <c r="B2007" s="582"/>
      <c r="C2007" s="212"/>
      <c r="D2007" s="718" t="s">
        <v>130</v>
      </c>
      <c r="E2007" s="718"/>
      <c r="F2007" s="718"/>
      <c r="G2007" s="718"/>
      <c r="H2007" s="213">
        <f>ROUND(H2005*H2006,2)</f>
        <v>145.08000000000001</v>
      </c>
    </row>
    <row r="2008" spans="1:8" s="201" customFormat="1">
      <c r="A2008" s="582"/>
      <c r="B2008" s="582"/>
      <c r="C2008" s="212"/>
      <c r="D2008" s="719" t="s">
        <v>15559</v>
      </c>
      <c r="E2008" s="719"/>
      <c r="F2008" s="719"/>
      <c r="G2008" s="719"/>
      <c r="H2008" s="638">
        <f>ROUND(H2005*$B$13,2)</f>
        <v>4.34</v>
      </c>
    </row>
    <row r="2009" spans="1:8">
      <c r="A2009" s="582"/>
      <c r="B2009" s="582"/>
      <c r="C2009" s="212"/>
      <c r="D2009" s="718" t="s">
        <v>9661</v>
      </c>
      <c r="E2009" s="718"/>
      <c r="F2009" s="718"/>
      <c r="G2009" s="718"/>
      <c r="H2009" s="213">
        <f>H2008+H2005</f>
        <v>20.46</v>
      </c>
    </row>
    <row r="2011" spans="1:8" s="201" customFormat="1">
      <c r="A2011" s="123" t="s">
        <v>6</v>
      </c>
      <c r="B2011" s="720" t="s">
        <v>7</v>
      </c>
      <c r="C2011" s="720"/>
      <c r="D2011" s="202" t="s">
        <v>124</v>
      </c>
      <c r="E2011" s="167" t="s">
        <v>6334</v>
      </c>
      <c r="F2011" s="202" t="s">
        <v>31</v>
      </c>
      <c r="G2011" s="203" t="s">
        <v>125</v>
      </c>
      <c r="H2011" s="204" t="s">
        <v>126</v>
      </c>
    </row>
    <row r="2012" spans="1:8" s="208" customFormat="1" ht="30">
      <c r="A2012" s="581" t="str">
        <f>'Orç - Prédio'!A369</f>
        <v>05.04.306.01</v>
      </c>
      <c r="B2012" s="216" t="str">
        <f>'Orç - Prédio'!B369</f>
        <v>SINAPI</v>
      </c>
      <c r="C2012" s="216" t="str">
        <f>'Orç - Prédio'!C369</f>
        <v>89795 MOD</v>
      </c>
      <c r="D2012" s="217" t="s">
        <v>7197</v>
      </c>
      <c r="E2012" s="206">
        <v>10</v>
      </c>
      <c r="F2012" s="216" t="s">
        <v>6337</v>
      </c>
      <c r="G2012" s="207">
        <f>VLOOKUP("CUSTO TOTAL UNIT.:",D2013:$H$30004,5,FALSE)</f>
        <v>16.079999999999998</v>
      </c>
      <c r="H2012" s="637">
        <f>VLOOKUP("CUSTO TOTAL:",D2013:$H$30004,5,FALSE)</f>
        <v>160.80000000000001</v>
      </c>
    </row>
    <row r="2013" spans="1:8" s="124" customFormat="1" ht="30">
      <c r="A2013" s="721">
        <v>297</v>
      </c>
      <c r="B2013" s="721"/>
      <c r="C2013" s="200" t="s">
        <v>5256</v>
      </c>
      <c r="D2013" s="139" t="s">
        <v>9898</v>
      </c>
      <c r="E2013" s="209">
        <v>1</v>
      </c>
      <c r="F2013" s="577" t="s">
        <v>40</v>
      </c>
      <c r="G2013" s="210">
        <v>1.5389999999999999</v>
      </c>
      <c r="H2013" s="211">
        <f t="shared" ref="H2013:H2018" si="67">ROUND(G2013*E2013,2)</f>
        <v>1.54</v>
      </c>
    </row>
    <row r="2014" spans="1:8" s="124" customFormat="1" ht="30">
      <c r="A2014" s="721">
        <v>296</v>
      </c>
      <c r="B2014" s="721"/>
      <c r="C2014" s="200" t="s">
        <v>5256</v>
      </c>
      <c r="D2014" s="139" t="s">
        <v>9897</v>
      </c>
      <c r="E2014" s="209">
        <v>1</v>
      </c>
      <c r="F2014" s="577" t="s">
        <v>40</v>
      </c>
      <c r="G2014" s="210">
        <v>1.0935000000000001</v>
      </c>
      <c r="H2014" s="211">
        <f t="shared" si="67"/>
        <v>1.0900000000000001</v>
      </c>
    </row>
    <row r="2015" spans="1:8" s="124" customFormat="1" ht="45">
      <c r="A2015" s="721">
        <v>3669</v>
      </c>
      <c r="B2015" s="721"/>
      <c r="C2015" s="200" t="s">
        <v>5256</v>
      </c>
      <c r="D2015" s="139" t="s">
        <v>12401</v>
      </c>
      <c r="E2015" s="209">
        <v>1</v>
      </c>
      <c r="F2015" s="577" t="s">
        <v>40</v>
      </c>
      <c r="G2015" s="210">
        <v>5.6295000000000002</v>
      </c>
      <c r="H2015" s="211">
        <f t="shared" si="67"/>
        <v>5.63</v>
      </c>
    </row>
    <row r="2016" spans="1:8" s="124" customFormat="1" ht="60">
      <c r="A2016" s="721">
        <v>20078</v>
      </c>
      <c r="B2016" s="721"/>
      <c r="C2016" s="200" t="s">
        <v>5256</v>
      </c>
      <c r="D2016" s="139" t="s">
        <v>13241</v>
      </c>
      <c r="E2016" s="209">
        <v>0.06</v>
      </c>
      <c r="F2016" s="577" t="s">
        <v>40</v>
      </c>
      <c r="G2016" s="210">
        <v>16.556400000000004</v>
      </c>
      <c r="H2016" s="211">
        <f t="shared" si="67"/>
        <v>0.99</v>
      </c>
    </row>
    <row r="2017" spans="1:8" s="124" customFormat="1" ht="45">
      <c r="A2017" s="721">
        <v>88248</v>
      </c>
      <c r="B2017" s="721"/>
      <c r="C2017" s="200" t="s">
        <v>5256</v>
      </c>
      <c r="D2017" s="139" t="s">
        <v>76</v>
      </c>
      <c r="E2017" s="209">
        <v>0.25</v>
      </c>
      <c r="F2017" s="577" t="s">
        <v>67</v>
      </c>
      <c r="G2017" s="210">
        <v>12.028500000000001</v>
      </c>
      <c r="H2017" s="211">
        <f t="shared" si="67"/>
        <v>3.01</v>
      </c>
    </row>
    <row r="2018" spans="1:8" s="124" customFormat="1" ht="30">
      <c r="A2018" s="721">
        <v>88267</v>
      </c>
      <c r="B2018" s="721"/>
      <c r="C2018" s="200" t="s">
        <v>5256</v>
      </c>
      <c r="D2018" s="139" t="s">
        <v>86</v>
      </c>
      <c r="E2018" s="209">
        <v>0.25</v>
      </c>
      <c r="F2018" s="577" t="s">
        <v>67</v>
      </c>
      <c r="G2018" s="210">
        <v>15.2766</v>
      </c>
      <c r="H2018" s="211">
        <f t="shared" si="67"/>
        <v>3.82</v>
      </c>
    </row>
    <row r="2019" spans="1:8" s="201" customFormat="1">
      <c r="A2019" s="582"/>
      <c r="B2019" s="582"/>
      <c r="C2019" s="212"/>
      <c r="D2019" s="719" t="s">
        <v>127</v>
      </c>
      <c r="E2019" s="719"/>
      <c r="F2019" s="719"/>
      <c r="G2019" s="719"/>
      <c r="H2019" s="638">
        <f>SUMIF(F2013:F2018,("h"),H2013:H2018)</f>
        <v>6.83</v>
      </c>
    </row>
    <row r="2020" spans="1:8" s="201" customFormat="1">
      <c r="A2020" s="582"/>
      <c r="B2020" s="582"/>
      <c r="C2020" s="212"/>
      <c r="D2020" s="719" t="s">
        <v>128</v>
      </c>
      <c r="E2020" s="719"/>
      <c r="F2020" s="719"/>
      <c r="G2020" s="719"/>
      <c r="H2020" s="638">
        <f>SUMIF(F2013:F2018,"&lt;&gt;h",H2013:H2018)</f>
        <v>9.25</v>
      </c>
    </row>
    <row r="2021" spans="1:8" s="201" customFormat="1">
      <c r="A2021" s="582"/>
      <c r="B2021" s="582"/>
      <c r="C2021" s="212"/>
      <c r="D2021" s="718" t="s">
        <v>129</v>
      </c>
      <c r="E2021" s="718"/>
      <c r="F2021" s="718"/>
      <c r="G2021" s="718"/>
      <c r="H2021" s="213">
        <f>SUM(H2019:H2020)</f>
        <v>16.079999999999998</v>
      </c>
    </row>
    <row r="2022" spans="1:8" s="201" customFormat="1">
      <c r="A2022" s="582"/>
      <c r="B2022" s="582"/>
      <c r="C2022" s="212"/>
      <c r="D2022" s="719" t="s">
        <v>28</v>
      </c>
      <c r="E2022" s="719"/>
      <c r="F2022" s="719"/>
      <c r="G2022" s="719"/>
      <c r="H2022" s="639">
        <f>E2012</f>
        <v>10</v>
      </c>
    </row>
    <row r="2023" spans="1:8" s="201" customFormat="1">
      <c r="A2023" s="582"/>
      <c r="B2023" s="582"/>
      <c r="C2023" s="212"/>
      <c r="D2023" s="718" t="s">
        <v>130</v>
      </c>
      <c r="E2023" s="718"/>
      <c r="F2023" s="718"/>
      <c r="G2023" s="718"/>
      <c r="H2023" s="213">
        <f>ROUND(H2021*H2022,2)</f>
        <v>160.80000000000001</v>
      </c>
    </row>
    <row r="2024" spans="1:8" s="201" customFormat="1">
      <c r="A2024" s="582"/>
      <c r="B2024" s="582"/>
      <c r="C2024" s="212"/>
      <c r="D2024" s="719" t="s">
        <v>15559</v>
      </c>
      <c r="E2024" s="719"/>
      <c r="F2024" s="719"/>
      <c r="G2024" s="719"/>
      <c r="H2024" s="638">
        <f>ROUND(H2021*$B$13,2)</f>
        <v>4.33</v>
      </c>
    </row>
    <row r="2025" spans="1:8">
      <c r="A2025" s="582"/>
      <c r="B2025" s="582"/>
      <c r="C2025" s="212"/>
      <c r="D2025" s="718" t="s">
        <v>9661</v>
      </c>
      <c r="E2025" s="718"/>
      <c r="F2025" s="718"/>
      <c r="G2025" s="718"/>
      <c r="H2025" s="213">
        <f>H2024+H2021</f>
        <v>20.409999999999997</v>
      </c>
    </row>
    <row r="2027" spans="1:8" s="201" customFormat="1">
      <c r="A2027" s="123" t="s">
        <v>6</v>
      </c>
      <c r="B2027" s="720" t="s">
        <v>7</v>
      </c>
      <c r="C2027" s="720"/>
      <c r="D2027" s="202" t="s">
        <v>124</v>
      </c>
      <c r="E2027" s="167" t="s">
        <v>6334</v>
      </c>
      <c r="F2027" s="202" t="s">
        <v>31</v>
      </c>
      <c r="G2027" s="203" t="s">
        <v>125</v>
      </c>
      <c r="H2027" s="204" t="s">
        <v>126</v>
      </c>
    </row>
    <row r="2028" spans="1:8" s="208" customFormat="1" ht="30">
      <c r="A2028" s="581" t="str">
        <f>'Orç - Prédio'!A370</f>
        <v>05.04.306.02</v>
      </c>
      <c r="B2028" s="216" t="str">
        <f>'Orç - Prédio'!B370</f>
        <v>SINAPI</v>
      </c>
      <c r="C2028" s="216" t="str">
        <f>'Orç - Prédio'!C370</f>
        <v>89797 MOD</v>
      </c>
      <c r="D2028" s="217" t="s">
        <v>7198</v>
      </c>
      <c r="E2028" s="206">
        <v>6</v>
      </c>
      <c r="F2028" s="216" t="s">
        <v>6337</v>
      </c>
      <c r="G2028" s="207">
        <f>VLOOKUP("CUSTO TOTAL UNIT.:",D2029:$H$30004,5,FALSE)</f>
        <v>21.799999999999997</v>
      </c>
      <c r="H2028" s="637">
        <f>VLOOKUP("CUSTO TOTAL:",D2029:$H$30004,5,FALSE)</f>
        <v>130.80000000000001</v>
      </c>
    </row>
    <row r="2029" spans="1:8" s="124" customFormat="1" ht="30">
      <c r="A2029" s="721">
        <v>301</v>
      </c>
      <c r="B2029" s="721"/>
      <c r="C2029" s="200" t="s">
        <v>5256</v>
      </c>
      <c r="D2029" s="139" t="s">
        <v>9899</v>
      </c>
      <c r="E2029" s="209">
        <v>1</v>
      </c>
      <c r="F2029" s="577" t="s">
        <v>40</v>
      </c>
      <c r="G2029" s="210">
        <v>1.9359000000000002</v>
      </c>
      <c r="H2029" s="211">
        <f t="shared" ref="H2029:H2034" si="68">ROUND(G2029*E2029,2)</f>
        <v>1.94</v>
      </c>
    </row>
    <row r="2030" spans="1:8" s="124" customFormat="1" ht="30">
      <c r="A2030" s="721">
        <v>296</v>
      </c>
      <c r="B2030" s="721"/>
      <c r="C2030" s="200" t="s">
        <v>5256</v>
      </c>
      <c r="D2030" s="139" t="s">
        <v>9897</v>
      </c>
      <c r="E2030" s="209">
        <v>1</v>
      </c>
      <c r="F2030" s="577" t="s">
        <v>40</v>
      </c>
      <c r="G2030" s="210">
        <v>1.0935000000000001</v>
      </c>
      <c r="H2030" s="211">
        <f t="shared" si="68"/>
        <v>1.0900000000000001</v>
      </c>
    </row>
    <row r="2031" spans="1:8" s="124" customFormat="1" ht="45">
      <c r="A2031" s="721">
        <v>10908</v>
      </c>
      <c r="B2031" s="721"/>
      <c r="C2031" s="200" t="s">
        <v>5256</v>
      </c>
      <c r="D2031" s="139" t="s">
        <v>12399</v>
      </c>
      <c r="E2031" s="209">
        <v>1</v>
      </c>
      <c r="F2031" s="577" t="s">
        <v>40</v>
      </c>
      <c r="G2031" s="210">
        <v>8.2377000000000002</v>
      </c>
      <c r="H2031" s="211">
        <f t="shared" si="68"/>
        <v>8.24</v>
      </c>
    </row>
    <row r="2032" spans="1:8" s="124" customFormat="1" ht="60">
      <c r="A2032" s="721">
        <v>20078</v>
      </c>
      <c r="B2032" s="721"/>
      <c r="C2032" s="200" t="s">
        <v>5256</v>
      </c>
      <c r="D2032" s="139" t="s">
        <v>13241</v>
      </c>
      <c r="E2032" s="209">
        <v>9.1999999999999998E-2</v>
      </c>
      <c r="F2032" s="577" t="s">
        <v>40</v>
      </c>
      <c r="G2032" s="210">
        <v>16.556400000000004</v>
      </c>
      <c r="H2032" s="211">
        <f t="shared" si="68"/>
        <v>1.52</v>
      </c>
    </row>
    <row r="2033" spans="1:8" s="124" customFormat="1" ht="45">
      <c r="A2033" s="721">
        <v>88248</v>
      </c>
      <c r="B2033" s="721"/>
      <c r="C2033" s="200" t="s">
        <v>5256</v>
      </c>
      <c r="D2033" s="139" t="s">
        <v>76</v>
      </c>
      <c r="E2033" s="209">
        <v>0.33</v>
      </c>
      <c r="F2033" s="577" t="s">
        <v>67</v>
      </c>
      <c r="G2033" s="210">
        <v>12.028500000000001</v>
      </c>
      <c r="H2033" s="211">
        <f t="shared" si="68"/>
        <v>3.97</v>
      </c>
    </row>
    <row r="2034" spans="1:8" s="124" customFormat="1" ht="30">
      <c r="A2034" s="721">
        <v>88267</v>
      </c>
      <c r="B2034" s="721"/>
      <c r="C2034" s="200" t="s">
        <v>5256</v>
      </c>
      <c r="D2034" s="139" t="s">
        <v>86</v>
      </c>
      <c r="E2034" s="209">
        <v>0.33</v>
      </c>
      <c r="F2034" s="577" t="s">
        <v>67</v>
      </c>
      <c r="G2034" s="210">
        <v>15.2766</v>
      </c>
      <c r="H2034" s="211">
        <f t="shared" si="68"/>
        <v>5.04</v>
      </c>
    </row>
    <row r="2035" spans="1:8" s="201" customFormat="1">
      <c r="A2035" s="582"/>
      <c r="B2035" s="582"/>
      <c r="C2035" s="212"/>
      <c r="D2035" s="719" t="s">
        <v>127</v>
      </c>
      <c r="E2035" s="719"/>
      <c r="F2035" s="719"/>
      <c r="G2035" s="719"/>
      <c r="H2035" s="638">
        <f>SUMIF(F2029:F2034,("h"),H2029:H2034)</f>
        <v>9.01</v>
      </c>
    </row>
    <row r="2036" spans="1:8" s="201" customFormat="1">
      <c r="A2036" s="582"/>
      <c r="B2036" s="582"/>
      <c r="C2036" s="212"/>
      <c r="D2036" s="719" t="s">
        <v>128</v>
      </c>
      <c r="E2036" s="719"/>
      <c r="F2036" s="719"/>
      <c r="G2036" s="719"/>
      <c r="H2036" s="638">
        <f>SUMIF(F2029:F2034,"&lt;&gt;h",H2029:H2034)</f>
        <v>12.79</v>
      </c>
    </row>
    <row r="2037" spans="1:8" s="201" customFormat="1">
      <c r="A2037" s="582"/>
      <c r="B2037" s="582"/>
      <c r="C2037" s="212"/>
      <c r="D2037" s="718" t="s">
        <v>129</v>
      </c>
      <c r="E2037" s="718"/>
      <c r="F2037" s="718"/>
      <c r="G2037" s="718"/>
      <c r="H2037" s="213">
        <f>SUM(H2035:H2036)</f>
        <v>21.799999999999997</v>
      </c>
    </row>
    <row r="2038" spans="1:8" s="201" customFormat="1">
      <c r="A2038" s="582"/>
      <c r="B2038" s="582"/>
      <c r="C2038" s="212"/>
      <c r="D2038" s="719" t="s">
        <v>28</v>
      </c>
      <c r="E2038" s="719"/>
      <c r="F2038" s="719"/>
      <c r="G2038" s="719"/>
      <c r="H2038" s="639">
        <f>E2028</f>
        <v>6</v>
      </c>
    </row>
    <row r="2039" spans="1:8" s="201" customFormat="1">
      <c r="A2039" s="582"/>
      <c r="B2039" s="582"/>
      <c r="C2039" s="212"/>
      <c r="D2039" s="718" t="s">
        <v>130</v>
      </c>
      <c r="E2039" s="718"/>
      <c r="F2039" s="718"/>
      <c r="G2039" s="718"/>
      <c r="H2039" s="213">
        <f>ROUND(H2037*H2038,2)</f>
        <v>130.80000000000001</v>
      </c>
    </row>
    <row r="2040" spans="1:8" s="201" customFormat="1">
      <c r="A2040" s="582"/>
      <c r="B2040" s="582"/>
      <c r="C2040" s="212"/>
      <c r="D2040" s="719" t="s">
        <v>15559</v>
      </c>
      <c r="E2040" s="719"/>
      <c r="F2040" s="719"/>
      <c r="G2040" s="719"/>
      <c r="H2040" s="638">
        <f>ROUND(H2037*$B$13,2)</f>
        <v>5.87</v>
      </c>
    </row>
    <row r="2041" spans="1:8">
      <c r="A2041" s="582"/>
      <c r="B2041" s="582"/>
      <c r="C2041" s="212"/>
      <c r="D2041" s="718" t="s">
        <v>9661</v>
      </c>
      <c r="E2041" s="718"/>
      <c r="F2041" s="718"/>
      <c r="G2041" s="718"/>
      <c r="H2041" s="213">
        <f>H2040+H2037</f>
        <v>27.669999999999998</v>
      </c>
    </row>
    <row r="2043" spans="1:8" s="201" customFormat="1">
      <c r="A2043" s="123" t="s">
        <v>6</v>
      </c>
      <c r="B2043" s="720" t="s">
        <v>7</v>
      </c>
      <c r="C2043" s="720"/>
      <c r="D2043" s="202" t="s">
        <v>124</v>
      </c>
      <c r="E2043" s="167" t="s">
        <v>6334</v>
      </c>
      <c r="F2043" s="202" t="s">
        <v>31</v>
      </c>
      <c r="G2043" s="203" t="s">
        <v>125</v>
      </c>
      <c r="H2043" s="204" t="s">
        <v>126</v>
      </c>
    </row>
    <row r="2044" spans="1:8" s="208" customFormat="1" ht="30">
      <c r="A2044" s="581" t="str">
        <f>'Orç - Prédio'!A385</f>
        <v>05.04.316.04</v>
      </c>
      <c r="B2044" s="216" t="str">
        <f>'Orç - Prédio'!B385</f>
        <v>SINAPI</v>
      </c>
      <c r="C2044" s="216" t="str">
        <f>'Orç - Prédio'!C385</f>
        <v>89833 MOD 1</v>
      </c>
      <c r="D2044" s="217" t="s">
        <v>7280</v>
      </c>
      <c r="E2044" s="206">
        <v>2</v>
      </c>
      <c r="F2044" s="216" t="s">
        <v>6337</v>
      </c>
      <c r="G2044" s="207">
        <f>VLOOKUP("CUSTO TOTAL UNIT.:",D2045:$H$30004,5,FALSE)</f>
        <v>18.5</v>
      </c>
      <c r="H2044" s="637">
        <f>VLOOKUP("CUSTO TOTAL:",D2045:$H$30004,5,FALSE)</f>
        <v>37</v>
      </c>
    </row>
    <row r="2045" spans="1:8" s="124" customFormat="1" ht="30">
      <c r="A2045" s="721">
        <v>301</v>
      </c>
      <c r="B2045" s="721"/>
      <c r="C2045" s="200" t="s">
        <v>5256</v>
      </c>
      <c r="D2045" s="139" t="s">
        <v>9899</v>
      </c>
      <c r="E2045" s="209">
        <v>2</v>
      </c>
      <c r="F2045" s="577" t="s">
        <v>40</v>
      </c>
      <c r="G2045" s="210">
        <v>1.9359000000000002</v>
      </c>
      <c r="H2045" s="211">
        <f t="shared" ref="H2045:H2050" si="69">ROUND(G2045*E2045,2)</f>
        <v>3.87</v>
      </c>
    </row>
    <row r="2046" spans="1:8" s="124" customFormat="1" ht="30">
      <c r="A2046" s="721">
        <v>297</v>
      </c>
      <c r="B2046" s="721"/>
      <c r="C2046" s="200" t="s">
        <v>5256</v>
      </c>
      <c r="D2046" s="139" t="s">
        <v>9898</v>
      </c>
      <c r="E2046" s="209">
        <v>1</v>
      </c>
      <c r="F2046" s="577" t="s">
        <v>40</v>
      </c>
      <c r="G2046" s="210">
        <v>1.5389999999999999</v>
      </c>
      <c r="H2046" s="211">
        <f t="shared" si="69"/>
        <v>1.54</v>
      </c>
    </row>
    <row r="2047" spans="1:8" s="124" customFormat="1" ht="30">
      <c r="A2047" s="721">
        <v>11655</v>
      </c>
      <c r="B2047" s="721"/>
      <c r="C2047" s="200" t="s">
        <v>5256</v>
      </c>
      <c r="D2047" s="139" t="s">
        <v>14153</v>
      </c>
      <c r="E2047" s="209">
        <v>1</v>
      </c>
      <c r="F2047" s="577" t="s">
        <v>40</v>
      </c>
      <c r="G2047" s="210">
        <v>7.2090000000000005</v>
      </c>
      <c r="H2047" s="211">
        <f t="shared" si="69"/>
        <v>7.21</v>
      </c>
    </row>
    <row r="2048" spans="1:8" s="124" customFormat="1" ht="60">
      <c r="A2048" s="721">
        <v>20078</v>
      </c>
      <c r="B2048" s="721"/>
      <c r="C2048" s="200" t="s">
        <v>5256</v>
      </c>
      <c r="D2048" s="139" t="s">
        <v>13241</v>
      </c>
      <c r="E2048" s="209">
        <v>9.1999999999999998E-2</v>
      </c>
      <c r="F2048" s="577" t="s">
        <v>40</v>
      </c>
      <c r="G2048" s="210">
        <v>16.556400000000004</v>
      </c>
      <c r="H2048" s="211">
        <f t="shared" si="69"/>
        <v>1.52</v>
      </c>
    </row>
    <row r="2049" spans="1:8" s="124" customFormat="1" ht="45">
      <c r="A2049" s="721">
        <v>88248</v>
      </c>
      <c r="B2049" s="721"/>
      <c r="C2049" s="200" t="s">
        <v>5256</v>
      </c>
      <c r="D2049" s="139" t="s">
        <v>76</v>
      </c>
      <c r="E2049" s="209">
        <v>0.16</v>
      </c>
      <c r="F2049" s="577" t="s">
        <v>67</v>
      </c>
      <c r="G2049" s="210">
        <v>12.028500000000001</v>
      </c>
      <c r="H2049" s="211">
        <f t="shared" si="69"/>
        <v>1.92</v>
      </c>
    </row>
    <row r="2050" spans="1:8" s="124" customFormat="1" ht="30">
      <c r="A2050" s="721">
        <v>88267</v>
      </c>
      <c r="B2050" s="721"/>
      <c r="C2050" s="200" t="s">
        <v>5256</v>
      </c>
      <c r="D2050" s="139" t="s">
        <v>86</v>
      </c>
      <c r="E2050" s="209">
        <v>0.16</v>
      </c>
      <c r="F2050" s="577" t="s">
        <v>67</v>
      </c>
      <c r="G2050" s="210">
        <v>15.2766</v>
      </c>
      <c r="H2050" s="211">
        <f t="shared" si="69"/>
        <v>2.44</v>
      </c>
    </row>
    <row r="2051" spans="1:8" s="201" customFormat="1">
      <c r="A2051" s="582"/>
      <c r="B2051" s="582"/>
      <c r="C2051" s="212"/>
      <c r="D2051" s="719" t="s">
        <v>127</v>
      </c>
      <c r="E2051" s="719"/>
      <c r="F2051" s="719"/>
      <c r="G2051" s="719"/>
      <c r="H2051" s="638">
        <f>SUMIF(F2045:F2050,("h"),H2045:H2050)</f>
        <v>4.3599999999999994</v>
      </c>
    </row>
    <row r="2052" spans="1:8" s="201" customFormat="1">
      <c r="A2052" s="582"/>
      <c r="B2052" s="582"/>
      <c r="C2052" s="212"/>
      <c r="D2052" s="719" t="s">
        <v>128</v>
      </c>
      <c r="E2052" s="719"/>
      <c r="F2052" s="719"/>
      <c r="G2052" s="719"/>
      <c r="H2052" s="638">
        <f>SUMIF(F2045:F2050,"&lt;&gt;h",H2045:H2050)</f>
        <v>14.14</v>
      </c>
    </row>
    <row r="2053" spans="1:8" s="201" customFormat="1">
      <c r="A2053" s="582"/>
      <c r="B2053" s="582"/>
      <c r="C2053" s="212"/>
      <c r="D2053" s="718" t="s">
        <v>129</v>
      </c>
      <c r="E2053" s="718"/>
      <c r="F2053" s="718"/>
      <c r="G2053" s="718"/>
      <c r="H2053" s="213">
        <f>SUM(H2051:H2052)</f>
        <v>18.5</v>
      </c>
    </row>
    <row r="2054" spans="1:8" s="201" customFormat="1">
      <c r="A2054" s="582"/>
      <c r="B2054" s="582"/>
      <c r="C2054" s="212"/>
      <c r="D2054" s="719" t="s">
        <v>28</v>
      </c>
      <c r="E2054" s="719"/>
      <c r="F2054" s="719"/>
      <c r="G2054" s="719"/>
      <c r="H2054" s="639">
        <f>E2044</f>
        <v>2</v>
      </c>
    </row>
    <row r="2055" spans="1:8" s="201" customFormat="1">
      <c r="A2055" s="582"/>
      <c r="B2055" s="582"/>
      <c r="C2055" s="212"/>
      <c r="D2055" s="718" t="s">
        <v>130</v>
      </c>
      <c r="E2055" s="718"/>
      <c r="F2055" s="718"/>
      <c r="G2055" s="718"/>
      <c r="H2055" s="213">
        <f>ROUND(H2053*H2054,2)</f>
        <v>37</v>
      </c>
    </row>
    <row r="2056" spans="1:8" s="201" customFormat="1">
      <c r="A2056" s="582"/>
      <c r="B2056" s="582"/>
      <c r="C2056" s="212"/>
      <c r="D2056" s="719" t="s">
        <v>15559</v>
      </c>
      <c r="E2056" s="719"/>
      <c r="F2056" s="719"/>
      <c r="G2056" s="719"/>
      <c r="H2056" s="638">
        <f>ROUND(H2053*$B$13,2)</f>
        <v>4.9800000000000004</v>
      </c>
    </row>
    <row r="2057" spans="1:8">
      <c r="A2057" s="582"/>
      <c r="B2057" s="582"/>
      <c r="C2057" s="212"/>
      <c r="D2057" s="718" t="s">
        <v>9661</v>
      </c>
      <c r="E2057" s="718"/>
      <c r="F2057" s="718"/>
      <c r="G2057" s="718"/>
      <c r="H2057" s="213">
        <f>H2056+H2053</f>
        <v>23.48</v>
      </c>
    </row>
    <row r="2059" spans="1:8" s="201" customFormat="1">
      <c r="A2059" s="123" t="s">
        <v>6</v>
      </c>
      <c r="B2059" s="720" t="s">
        <v>7</v>
      </c>
      <c r="C2059" s="720"/>
      <c r="D2059" s="202" t="s">
        <v>124</v>
      </c>
      <c r="E2059" s="167" t="s">
        <v>6334</v>
      </c>
      <c r="F2059" s="202" t="s">
        <v>31</v>
      </c>
      <c r="G2059" s="203" t="s">
        <v>125</v>
      </c>
      <c r="H2059" s="204" t="s">
        <v>126</v>
      </c>
    </row>
    <row r="2060" spans="1:8" s="208" customFormat="1" ht="30">
      <c r="A2060" s="581" t="str">
        <f>'Orç - Prédio'!A386</f>
        <v>05.04.316.05</v>
      </c>
      <c r="B2060" s="216" t="str">
        <f>'Orç - Prédio'!B386</f>
        <v>SINAPI</v>
      </c>
      <c r="C2060" s="216" t="str">
        <f>'Orç - Prédio'!C386</f>
        <v>89833 MOD 2</v>
      </c>
      <c r="D2060" s="217" t="s">
        <v>7213</v>
      </c>
      <c r="E2060" s="206">
        <v>25</v>
      </c>
      <c r="F2060" s="216" t="s">
        <v>6337</v>
      </c>
      <c r="G2060" s="207">
        <f>VLOOKUP("CUSTO TOTAL UNIT.:",D2061:$H$30004,5,FALSE)</f>
        <v>18.829999999999998</v>
      </c>
      <c r="H2060" s="637">
        <f>VLOOKUP("CUSTO TOTAL:",D2061:$H$30004,5,FALSE)</f>
        <v>470.75</v>
      </c>
    </row>
    <row r="2061" spans="1:8" s="124" customFormat="1" ht="30">
      <c r="A2061" s="721">
        <v>301</v>
      </c>
      <c r="B2061" s="721"/>
      <c r="C2061" s="200" t="s">
        <v>5256</v>
      </c>
      <c r="D2061" s="139" t="s">
        <v>9899</v>
      </c>
      <c r="E2061" s="209">
        <v>2</v>
      </c>
      <c r="F2061" s="577" t="s">
        <v>40</v>
      </c>
      <c r="G2061" s="210">
        <v>1.9359000000000002</v>
      </c>
      <c r="H2061" s="211">
        <f t="shared" ref="H2061:H2066" si="70">ROUND(G2061*E2061,2)</f>
        <v>3.87</v>
      </c>
    </row>
    <row r="2062" spans="1:8" s="124" customFormat="1" ht="30">
      <c r="A2062" s="721">
        <v>297</v>
      </c>
      <c r="B2062" s="721"/>
      <c r="C2062" s="200" t="s">
        <v>5256</v>
      </c>
      <c r="D2062" s="139" t="s">
        <v>9898</v>
      </c>
      <c r="E2062" s="209">
        <v>1</v>
      </c>
      <c r="F2062" s="577" t="s">
        <v>40</v>
      </c>
      <c r="G2062" s="210">
        <v>1.5389999999999999</v>
      </c>
      <c r="H2062" s="211">
        <f t="shared" si="70"/>
        <v>1.54</v>
      </c>
    </row>
    <row r="2063" spans="1:8" s="124" customFormat="1" ht="30">
      <c r="A2063" s="721">
        <v>11656</v>
      </c>
      <c r="B2063" s="721"/>
      <c r="C2063" s="200" t="s">
        <v>5256</v>
      </c>
      <c r="D2063" s="139" t="s">
        <v>14154</v>
      </c>
      <c r="E2063" s="209">
        <v>1</v>
      </c>
      <c r="F2063" s="577" t="s">
        <v>40</v>
      </c>
      <c r="G2063" s="210">
        <v>7.541100000000001</v>
      </c>
      <c r="H2063" s="211">
        <f t="shared" si="70"/>
        <v>7.54</v>
      </c>
    </row>
    <row r="2064" spans="1:8" s="124" customFormat="1" ht="60">
      <c r="A2064" s="721">
        <v>20078</v>
      </c>
      <c r="B2064" s="721"/>
      <c r="C2064" s="200" t="s">
        <v>5256</v>
      </c>
      <c r="D2064" s="139" t="s">
        <v>13241</v>
      </c>
      <c r="E2064" s="209">
        <v>9.1999999999999998E-2</v>
      </c>
      <c r="F2064" s="577" t="s">
        <v>40</v>
      </c>
      <c r="G2064" s="210">
        <v>16.556400000000004</v>
      </c>
      <c r="H2064" s="211">
        <f t="shared" si="70"/>
        <v>1.52</v>
      </c>
    </row>
    <row r="2065" spans="1:8" s="124" customFormat="1" ht="45">
      <c r="A2065" s="721">
        <v>88248</v>
      </c>
      <c r="B2065" s="721"/>
      <c r="C2065" s="200" t="s">
        <v>5256</v>
      </c>
      <c r="D2065" s="139" t="s">
        <v>76</v>
      </c>
      <c r="E2065" s="209">
        <v>0.16</v>
      </c>
      <c r="F2065" s="577" t="s">
        <v>67</v>
      </c>
      <c r="G2065" s="210">
        <v>12.028500000000001</v>
      </c>
      <c r="H2065" s="211">
        <f t="shared" si="70"/>
        <v>1.92</v>
      </c>
    </row>
    <row r="2066" spans="1:8" s="124" customFormat="1" ht="30">
      <c r="A2066" s="721">
        <v>88267</v>
      </c>
      <c r="B2066" s="721"/>
      <c r="C2066" s="200" t="s">
        <v>5256</v>
      </c>
      <c r="D2066" s="139" t="s">
        <v>86</v>
      </c>
      <c r="E2066" s="209">
        <v>0.16</v>
      </c>
      <c r="F2066" s="577" t="s">
        <v>67</v>
      </c>
      <c r="G2066" s="210">
        <v>15.2766</v>
      </c>
      <c r="H2066" s="211">
        <f t="shared" si="70"/>
        <v>2.44</v>
      </c>
    </row>
    <row r="2067" spans="1:8" s="201" customFormat="1">
      <c r="A2067" s="582"/>
      <c r="B2067" s="582"/>
      <c r="C2067" s="212"/>
      <c r="D2067" s="719" t="s">
        <v>127</v>
      </c>
      <c r="E2067" s="719"/>
      <c r="F2067" s="719"/>
      <c r="G2067" s="719"/>
      <c r="H2067" s="638">
        <f>SUMIF(F2061:F2066,("h"),H2061:H2066)</f>
        <v>4.3599999999999994</v>
      </c>
    </row>
    <row r="2068" spans="1:8" s="201" customFormat="1">
      <c r="A2068" s="582"/>
      <c r="B2068" s="582"/>
      <c r="C2068" s="212"/>
      <c r="D2068" s="719" t="s">
        <v>128</v>
      </c>
      <c r="E2068" s="719"/>
      <c r="F2068" s="719"/>
      <c r="G2068" s="719"/>
      <c r="H2068" s="638">
        <f>SUMIF(F2061:F2066,"&lt;&gt;h",H2061:H2066)</f>
        <v>14.469999999999999</v>
      </c>
    </row>
    <row r="2069" spans="1:8" s="201" customFormat="1">
      <c r="A2069" s="582"/>
      <c r="B2069" s="582"/>
      <c r="C2069" s="212"/>
      <c r="D2069" s="718" t="s">
        <v>129</v>
      </c>
      <c r="E2069" s="718"/>
      <c r="F2069" s="718"/>
      <c r="G2069" s="718"/>
      <c r="H2069" s="213">
        <f>SUM(H2067:H2068)</f>
        <v>18.829999999999998</v>
      </c>
    </row>
    <row r="2070" spans="1:8" s="201" customFormat="1">
      <c r="A2070" s="582"/>
      <c r="B2070" s="582"/>
      <c r="C2070" s="212"/>
      <c r="D2070" s="719" t="s">
        <v>28</v>
      </c>
      <c r="E2070" s="719"/>
      <c r="F2070" s="719"/>
      <c r="G2070" s="719"/>
      <c r="H2070" s="639">
        <f>E2060</f>
        <v>25</v>
      </c>
    </row>
    <row r="2071" spans="1:8" s="201" customFormat="1">
      <c r="A2071" s="582"/>
      <c r="B2071" s="582"/>
      <c r="C2071" s="212"/>
      <c r="D2071" s="718" t="s">
        <v>130</v>
      </c>
      <c r="E2071" s="718"/>
      <c r="F2071" s="718"/>
      <c r="G2071" s="718"/>
      <c r="H2071" s="213">
        <f>ROUND(H2069*H2070,2)</f>
        <v>470.75</v>
      </c>
    </row>
    <row r="2072" spans="1:8" s="201" customFormat="1">
      <c r="A2072" s="582"/>
      <c r="B2072" s="582"/>
      <c r="C2072" s="212"/>
      <c r="D2072" s="719" t="s">
        <v>15559</v>
      </c>
      <c r="E2072" s="719"/>
      <c r="F2072" s="719"/>
      <c r="G2072" s="719"/>
      <c r="H2072" s="638">
        <f>ROUND(H2069*$B$13,2)</f>
        <v>5.07</v>
      </c>
    </row>
    <row r="2073" spans="1:8">
      <c r="A2073" s="582"/>
      <c r="B2073" s="582"/>
      <c r="C2073" s="212"/>
      <c r="D2073" s="718" t="s">
        <v>9661</v>
      </c>
      <c r="E2073" s="718"/>
      <c r="F2073" s="718"/>
      <c r="G2073" s="718"/>
      <c r="H2073" s="213">
        <f>H2072+H2069</f>
        <v>23.9</v>
      </c>
    </row>
    <row r="2075" spans="1:8" s="201" customFormat="1">
      <c r="A2075" s="123" t="s">
        <v>6</v>
      </c>
      <c r="B2075" s="720" t="s">
        <v>7</v>
      </c>
      <c r="C2075" s="720"/>
      <c r="D2075" s="202" t="s">
        <v>124</v>
      </c>
      <c r="E2075" s="167" t="s">
        <v>6334</v>
      </c>
      <c r="F2075" s="202" t="s">
        <v>31</v>
      </c>
      <c r="G2075" s="203" t="s">
        <v>125</v>
      </c>
      <c r="H2075" s="204" t="s">
        <v>126</v>
      </c>
    </row>
    <row r="2076" spans="1:8" s="208" customFormat="1" ht="30">
      <c r="A2076" s="581" t="str">
        <f>'Orç - Prédio'!A387</f>
        <v>05.04.316.06</v>
      </c>
      <c r="B2076" s="216" t="str">
        <f>'Orç - Prédio'!B387</f>
        <v>SINAPI</v>
      </c>
      <c r="C2076" s="216" t="str">
        <f>'Orç - Prédio'!C387</f>
        <v>89829 MOD</v>
      </c>
      <c r="D2076" s="217" t="s">
        <v>7214</v>
      </c>
      <c r="E2076" s="206">
        <v>6</v>
      </c>
      <c r="F2076" s="216" t="s">
        <v>6337</v>
      </c>
      <c r="G2076" s="207">
        <f>VLOOKUP("CUSTO TOTAL UNIT.:",D2077:$H$30004,5,FALSE)</f>
        <v>14.74</v>
      </c>
      <c r="H2076" s="637">
        <f>VLOOKUP("CUSTO TOTAL:",D2077:$H$30004,5,FALSE)</f>
        <v>88.44</v>
      </c>
    </row>
    <row r="2077" spans="1:8" s="124" customFormat="1" ht="30">
      <c r="A2077" s="721">
        <v>297</v>
      </c>
      <c r="B2077" s="721"/>
      <c r="C2077" s="200" t="s">
        <v>5256</v>
      </c>
      <c r="D2077" s="139" t="s">
        <v>9898</v>
      </c>
      <c r="E2077" s="209">
        <v>2</v>
      </c>
      <c r="F2077" s="577" t="s">
        <v>40</v>
      </c>
      <c r="G2077" s="210">
        <v>1.5389999999999999</v>
      </c>
      <c r="H2077" s="211">
        <f t="shared" ref="H2077:H2082" si="71">ROUND(G2077*E2077,2)</f>
        <v>3.08</v>
      </c>
    </row>
    <row r="2078" spans="1:8" s="124" customFormat="1" ht="30">
      <c r="A2078" s="721">
        <v>296</v>
      </c>
      <c r="B2078" s="721"/>
      <c r="C2078" s="200" t="s">
        <v>5256</v>
      </c>
      <c r="D2078" s="139" t="s">
        <v>9897</v>
      </c>
      <c r="E2078" s="209">
        <v>1</v>
      </c>
      <c r="F2078" s="577" t="s">
        <v>40</v>
      </c>
      <c r="G2078" s="210">
        <v>1.0935000000000001</v>
      </c>
      <c r="H2078" s="211">
        <f t="shared" si="71"/>
        <v>1.0900000000000001</v>
      </c>
    </row>
    <row r="2079" spans="1:8" s="124" customFormat="1" ht="30">
      <c r="A2079" s="721">
        <v>11657</v>
      </c>
      <c r="B2079" s="721"/>
      <c r="C2079" s="200" t="s">
        <v>5256</v>
      </c>
      <c r="D2079" s="139" t="s">
        <v>14157</v>
      </c>
      <c r="E2079" s="209">
        <v>1</v>
      </c>
      <c r="F2079" s="577" t="s">
        <v>40</v>
      </c>
      <c r="G2079" s="210">
        <v>6.5771999999999995</v>
      </c>
      <c r="H2079" s="211">
        <f t="shared" si="71"/>
        <v>6.58</v>
      </c>
    </row>
    <row r="2080" spans="1:8" s="124" customFormat="1" ht="60">
      <c r="A2080" s="721">
        <v>20078</v>
      </c>
      <c r="B2080" s="721"/>
      <c r="C2080" s="200" t="s">
        <v>5256</v>
      </c>
      <c r="D2080" s="139" t="s">
        <v>13241</v>
      </c>
      <c r="E2080" s="209">
        <v>0.06</v>
      </c>
      <c r="F2080" s="577" t="s">
        <v>40</v>
      </c>
      <c r="G2080" s="210">
        <v>16.556400000000004</v>
      </c>
      <c r="H2080" s="211">
        <f t="shared" si="71"/>
        <v>0.99</v>
      </c>
    </row>
    <row r="2081" spans="1:8" s="124" customFormat="1" ht="45">
      <c r="A2081" s="721">
        <v>88248</v>
      </c>
      <c r="B2081" s="721"/>
      <c r="C2081" s="200" t="s">
        <v>5256</v>
      </c>
      <c r="D2081" s="139" t="s">
        <v>76</v>
      </c>
      <c r="E2081" s="209">
        <v>0.11</v>
      </c>
      <c r="F2081" s="577" t="s">
        <v>67</v>
      </c>
      <c r="G2081" s="210">
        <v>12.028500000000001</v>
      </c>
      <c r="H2081" s="211">
        <f t="shared" si="71"/>
        <v>1.32</v>
      </c>
    </row>
    <row r="2082" spans="1:8" s="124" customFormat="1" ht="30">
      <c r="A2082" s="721">
        <v>88267</v>
      </c>
      <c r="B2082" s="721"/>
      <c r="C2082" s="200" t="s">
        <v>5256</v>
      </c>
      <c r="D2082" s="139" t="s">
        <v>86</v>
      </c>
      <c r="E2082" s="209">
        <v>0.11</v>
      </c>
      <c r="F2082" s="577" t="s">
        <v>67</v>
      </c>
      <c r="G2082" s="210">
        <v>15.2766</v>
      </c>
      <c r="H2082" s="211">
        <f t="shared" si="71"/>
        <v>1.68</v>
      </c>
    </row>
    <row r="2083" spans="1:8" s="201" customFormat="1">
      <c r="A2083" s="582"/>
      <c r="B2083" s="582"/>
      <c r="C2083" s="212"/>
      <c r="D2083" s="719" t="s">
        <v>127</v>
      </c>
      <c r="E2083" s="719"/>
      <c r="F2083" s="719"/>
      <c r="G2083" s="719"/>
      <c r="H2083" s="638">
        <f>SUMIF(F2077:F2082,("h"),H2077:H2082)</f>
        <v>3</v>
      </c>
    </row>
    <row r="2084" spans="1:8" s="201" customFormat="1">
      <c r="A2084" s="582"/>
      <c r="B2084" s="582"/>
      <c r="C2084" s="212"/>
      <c r="D2084" s="719" t="s">
        <v>128</v>
      </c>
      <c r="E2084" s="719"/>
      <c r="F2084" s="719"/>
      <c r="G2084" s="719"/>
      <c r="H2084" s="638">
        <f>SUMIF(F2077:F2082,"&lt;&gt;h",H2077:H2082)</f>
        <v>11.74</v>
      </c>
    </row>
    <row r="2085" spans="1:8" s="201" customFormat="1">
      <c r="A2085" s="582"/>
      <c r="B2085" s="582"/>
      <c r="C2085" s="212"/>
      <c r="D2085" s="718" t="s">
        <v>129</v>
      </c>
      <c r="E2085" s="718"/>
      <c r="F2085" s="718"/>
      <c r="G2085" s="718"/>
      <c r="H2085" s="213">
        <f>SUM(H2083:H2084)</f>
        <v>14.74</v>
      </c>
    </row>
    <row r="2086" spans="1:8" s="201" customFormat="1">
      <c r="A2086" s="582"/>
      <c r="B2086" s="582"/>
      <c r="C2086" s="212"/>
      <c r="D2086" s="719" t="s">
        <v>28</v>
      </c>
      <c r="E2086" s="719"/>
      <c r="F2086" s="719"/>
      <c r="G2086" s="719"/>
      <c r="H2086" s="639">
        <f>E2076</f>
        <v>6</v>
      </c>
    </row>
    <row r="2087" spans="1:8" s="201" customFormat="1">
      <c r="A2087" s="582"/>
      <c r="B2087" s="582"/>
      <c r="C2087" s="212"/>
      <c r="D2087" s="718" t="s">
        <v>130</v>
      </c>
      <c r="E2087" s="718"/>
      <c r="F2087" s="718"/>
      <c r="G2087" s="718"/>
      <c r="H2087" s="213">
        <f>ROUND(H2085*H2086,2)</f>
        <v>88.44</v>
      </c>
    </row>
    <row r="2088" spans="1:8" s="201" customFormat="1">
      <c r="A2088" s="582"/>
      <c r="B2088" s="582"/>
      <c r="C2088" s="212"/>
      <c r="D2088" s="719" t="s">
        <v>15559</v>
      </c>
      <c r="E2088" s="719"/>
      <c r="F2088" s="719"/>
      <c r="G2088" s="719"/>
      <c r="H2088" s="638">
        <f>ROUND(H2085*$B$13,2)</f>
        <v>3.97</v>
      </c>
    </row>
    <row r="2089" spans="1:8">
      <c r="A2089" s="582"/>
      <c r="B2089" s="582"/>
      <c r="C2089" s="212"/>
      <c r="D2089" s="718" t="s">
        <v>9661</v>
      </c>
      <c r="E2089" s="718"/>
      <c r="F2089" s="718"/>
      <c r="G2089" s="718"/>
      <c r="H2089" s="213">
        <f>H2088+H2085</f>
        <v>18.71</v>
      </c>
    </row>
    <row r="2091" spans="1:8" s="201" customFormat="1">
      <c r="A2091" s="123" t="s">
        <v>6</v>
      </c>
      <c r="B2091" s="720" t="s">
        <v>7</v>
      </c>
      <c r="C2091" s="720"/>
      <c r="D2091" s="202" t="s">
        <v>124</v>
      </c>
      <c r="E2091" s="167" t="s">
        <v>6334</v>
      </c>
      <c r="F2091" s="202" t="s">
        <v>31</v>
      </c>
      <c r="G2091" s="203" t="s">
        <v>125</v>
      </c>
      <c r="H2091" s="204" t="s">
        <v>126</v>
      </c>
    </row>
    <row r="2092" spans="1:8" s="208" customFormat="1" ht="30">
      <c r="A2092" s="581" t="str">
        <f>'Orç - Prédio'!A388</f>
        <v>05.04.317.01</v>
      </c>
      <c r="B2092" s="216" t="str">
        <f>'Orç - Prédio'!B388</f>
        <v>ORSE</v>
      </c>
      <c r="C2092" s="216">
        <f>'Orç - Prédio'!C388</f>
        <v>10266</v>
      </c>
      <c r="D2092" s="217" t="s">
        <v>7215</v>
      </c>
      <c r="E2092" s="206">
        <v>4</v>
      </c>
      <c r="F2092" s="216" t="s">
        <v>6337</v>
      </c>
      <c r="G2092" s="207">
        <f>VLOOKUP("CUSTO TOTAL UNIT.:",D2093:$H$30004,5,FALSE)</f>
        <v>11.08</v>
      </c>
      <c r="H2092" s="637">
        <f>VLOOKUP("CUSTO TOTAL:",D2093:$H$30004,5,FALSE)</f>
        <v>44.32</v>
      </c>
    </row>
    <row r="2093" spans="1:8" s="124" customFormat="1" ht="30">
      <c r="A2093" s="721">
        <v>122</v>
      </c>
      <c r="B2093" s="721"/>
      <c r="C2093" s="200" t="s">
        <v>5256</v>
      </c>
      <c r="D2093" s="139" t="s">
        <v>9842</v>
      </c>
      <c r="E2093" s="209">
        <v>9.4120000000000002E-3</v>
      </c>
      <c r="F2093" s="577" t="s">
        <v>40</v>
      </c>
      <c r="G2093" s="210">
        <v>45.214200000000005</v>
      </c>
      <c r="H2093" s="211">
        <f>ROUND(G2093*E2093,2)</f>
        <v>0.43</v>
      </c>
    </row>
    <row r="2094" spans="1:8" s="124" customFormat="1" ht="30">
      <c r="A2094" s="721">
        <v>20083</v>
      </c>
      <c r="B2094" s="721"/>
      <c r="C2094" s="200" t="s">
        <v>5256</v>
      </c>
      <c r="D2094" s="139" t="s">
        <v>13883</v>
      </c>
      <c r="E2094" s="209">
        <v>1.0999999999999999E-2</v>
      </c>
      <c r="F2094" s="577" t="s">
        <v>40</v>
      </c>
      <c r="G2094" s="210">
        <v>39.268799999999999</v>
      </c>
      <c r="H2094" s="211">
        <f>ROUND(G2094*E2094,2)</f>
        <v>0.43</v>
      </c>
    </row>
    <row r="2095" spans="1:8" s="124" customFormat="1" ht="30">
      <c r="A2095" s="721">
        <v>39321</v>
      </c>
      <c r="B2095" s="721"/>
      <c r="C2095" s="200" t="s">
        <v>5256</v>
      </c>
      <c r="D2095" s="139" t="s">
        <v>14323</v>
      </c>
      <c r="E2095" s="209">
        <v>1</v>
      </c>
      <c r="F2095" s="577" t="s">
        <v>40</v>
      </c>
      <c r="G2095" s="210">
        <v>8.3106000000000009</v>
      </c>
      <c r="H2095" s="211">
        <f>ROUND(G2095*E2095,2)</f>
        <v>8.31</v>
      </c>
    </row>
    <row r="2096" spans="1:8" s="124" customFormat="1" ht="45">
      <c r="A2096" s="721">
        <v>88248</v>
      </c>
      <c r="B2096" s="721"/>
      <c r="C2096" s="200" t="s">
        <v>5256</v>
      </c>
      <c r="D2096" s="139" t="s">
        <v>76</v>
      </c>
      <c r="E2096" s="209">
        <v>7.0000000000000007E-2</v>
      </c>
      <c r="F2096" s="577" t="s">
        <v>67</v>
      </c>
      <c r="G2096" s="210">
        <v>12.028500000000001</v>
      </c>
      <c r="H2096" s="211">
        <f>ROUND(G2096*E2096,2)</f>
        <v>0.84</v>
      </c>
    </row>
    <row r="2097" spans="1:8" s="124" customFormat="1" ht="30">
      <c r="A2097" s="721">
        <v>88267</v>
      </c>
      <c r="B2097" s="721"/>
      <c r="C2097" s="200" t="s">
        <v>5256</v>
      </c>
      <c r="D2097" s="139" t="s">
        <v>86</v>
      </c>
      <c r="E2097" s="209">
        <v>7.0000000000000007E-2</v>
      </c>
      <c r="F2097" s="577" t="s">
        <v>67</v>
      </c>
      <c r="G2097" s="210">
        <v>15.2766</v>
      </c>
      <c r="H2097" s="211">
        <f>ROUND(G2097*E2097,2)</f>
        <v>1.07</v>
      </c>
    </row>
    <row r="2098" spans="1:8" s="201" customFormat="1">
      <c r="A2098" s="582"/>
      <c r="B2098" s="582"/>
      <c r="C2098" s="212"/>
      <c r="D2098" s="719" t="s">
        <v>127</v>
      </c>
      <c r="E2098" s="719"/>
      <c r="F2098" s="719"/>
      <c r="G2098" s="719"/>
      <c r="H2098" s="638">
        <f>SUMIF(F2093:F2097,("h"),H2093:H2097)</f>
        <v>1.9100000000000001</v>
      </c>
    </row>
    <row r="2099" spans="1:8" s="201" customFormat="1">
      <c r="A2099" s="582"/>
      <c r="B2099" s="582"/>
      <c r="C2099" s="212"/>
      <c r="D2099" s="719" t="s">
        <v>128</v>
      </c>
      <c r="E2099" s="719"/>
      <c r="F2099" s="719"/>
      <c r="G2099" s="719"/>
      <c r="H2099" s="638">
        <f>SUMIF(F2093:F2097,"&lt;&gt;h",H2093:H2097)</f>
        <v>9.17</v>
      </c>
    </row>
    <row r="2100" spans="1:8" s="201" customFormat="1">
      <c r="A2100" s="582"/>
      <c r="B2100" s="582"/>
      <c r="C2100" s="212"/>
      <c r="D2100" s="718" t="s">
        <v>129</v>
      </c>
      <c r="E2100" s="718"/>
      <c r="F2100" s="718"/>
      <c r="G2100" s="718"/>
      <c r="H2100" s="213">
        <f>SUM(H2098:H2099)</f>
        <v>11.08</v>
      </c>
    </row>
    <row r="2101" spans="1:8" s="201" customFormat="1">
      <c r="A2101" s="582"/>
      <c r="B2101" s="582"/>
      <c r="C2101" s="212"/>
      <c r="D2101" s="719" t="s">
        <v>28</v>
      </c>
      <c r="E2101" s="719"/>
      <c r="F2101" s="719"/>
      <c r="G2101" s="719"/>
      <c r="H2101" s="639">
        <f>E2092</f>
        <v>4</v>
      </c>
    </row>
    <row r="2102" spans="1:8" s="201" customFormat="1">
      <c r="A2102" s="582"/>
      <c r="B2102" s="582"/>
      <c r="C2102" s="212"/>
      <c r="D2102" s="718" t="s">
        <v>130</v>
      </c>
      <c r="E2102" s="718"/>
      <c r="F2102" s="718"/>
      <c r="G2102" s="718"/>
      <c r="H2102" s="213">
        <f>ROUND(H2100*H2101,2)</f>
        <v>44.32</v>
      </c>
    </row>
    <row r="2103" spans="1:8" s="201" customFormat="1">
      <c r="A2103" s="582"/>
      <c r="B2103" s="582"/>
      <c r="C2103" s="212"/>
      <c r="D2103" s="719" t="s">
        <v>15559</v>
      </c>
      <c r="E2103" s="719"/>
      <c r="F2103" s="719"/>
      <c r="G2103" s="719"/>
      <c r="H2103" s="638">
        <f>ROUND(H2100*$B$13,2)</f>
        <v>2.98</v>
      </c>
    </row>
    <row r="2104" spans="1:8">
      <c r="A2104" s="582"/>
      <c r="B2104" s="582"/>
      <c r="C2104" s="212"/>
      <c r="D2104" s="718" t="s">
        <v>9661</v>
      </c>
      <c r="E2104" s="718"/>
      <c r="F2104" s="718"/>
      <c r="G2104" s="718"/>
      <c r="H2104" s="213">
        <f>H2103+H2100</f>
        <v>14.06</v>
      </c>
    </row>
    <row r="2106" spans="1:8" s="201" customFormat="1">
      <c r="A2106" s="123" t="s">
        <v>6</v>
      </c>
      <c r="B2106" s="720" t="s">
        <v>7</v>
      </c>
      <c r="C2106" s="720"/>
      <c r="D2106" s="202" t="s">
        <v>124</v>
      </c>
      <c r="E2106" s="167" t="s">
        <v>6334</v>
      </c>
      <c r="F2106" s="202" t="s">
        <v>31</v>
      </c>
      <c r="G2106" s="203" t="s">
        <v>125</v>
      </c>
      <c r="H2106" s="204" t="s">
        <v>126</v>
      </c>
    </row>
    <row r="2107" spans="1:8" s="208" customFormat="1" ht="30">
      <c r="A2107" s="581" t="str">
        <f>'Orç - Prédio'!A389</f>
        <v>05.04.317.02</v>
      </c>
      <c r="B2107" s="216" t="str">
        <f>'Orç - Prédio'!B389</f>
        <v>ORSE</v>
      </c>
      <c r="C2107" s="216">
        <f>'Orç - Prédio'!C389</f>
        <v>7594</v>
      </c>
      <c r="D2107" s="217" t="s">
        <v>7283</v>
      </c>
      <c r="E2107" s="206">
        <v>11</v>
      </c>
      <c r="F2107" s="216" t="s">
        <v>6337</v>
      </c>
      <c r="G2107" s="207">
        <f>VLOOKUP("CUSTO TOTAL UNIT.:",D2108:$H$30004,5,FALSE)</f>
        <v>6.0200000000000005</v>
      </c>
      <c r="H2107" s="637">
        <f>VLOOKUP("CUSTO TOTAL:",D2108:$H$30004,5,FALSE)</f>
        <v>66.22</v>
      </c>
    </row>
    <row r="2108" spans="1:8" s="124" customFormat="1" ht="30">
      <c r="A2108" s="721">
        <v>122</v>
      </c>
      <c r="B2108" s="721"/>
      <c r="C2108" s="200" t="s">
        <v>5256</v>
      </c>
      <c r="D2108" s="139" t="s">
        <v>9842</v>
      </c>
      <c r="E2108" s="209">
        <v>9.4120000000000002E-3</v>
      </c>
      <c r="F2108" s="577" t="s">
        <v>40</v>
      </c>
      <c r="G2108" s="210">
        <v>45.214200000000005</v>
      </c>
      <c r="H2108" s="211">
        <f>ROUND(G2108*E2108,2)</f>
        <v>0.43</v>
      </c>
    </row>
    <row r="2109" spans="1:8" s="124" customFormat="1" ht="30">
      <c r="A2109" s="721">
        <v>20083</v>
      </c>
      <c r="B2109" s="721"/>
      <c r="C2109" s="200" t="s">
        <v>5256</v>
      </c>
      <c r="D2109" s="139" t="s">
        <v>13883</v>
      </c>
      <c r="E2109" s="209">
        <v>1.0999999999999999E-2</v>
      </c>
      <c r="F2109" s="577" t="s">
        <v>40</v>
      </c>
      <c r="G2109" s="210">
        <v>39.268799999999999</v>
      </c>
      <c r="H2109" s="211">
        <f>ROUND(G2109*E2109,2)</f>
        <v>0.43</v>
      </c>
    </row>
    <row r="2110" spans="1:8" s="124" customFormat="1" ht="30">
      <c r="A2110" s="721">
        <v>39319</v>
      </c>
      <c r="B2110" s="721"/>
      <c r="C2110" s="200" t="s">
        <v>5256</v>
      </c>
      <c r="D2110" s="139" t="s">
        <v>14324</v>
      </c>
      <c r="E2110" s="209">
        <v>1</v>
      </c>
      <c r="F2110" s="577" t="s">
        <v>40</v>
      </c>
      <c r="G2110" s="210">
        <v>3.2481</v>
      </c>
      <c r="H2110" s="211">
        <f>ROUND(G2110*E2110,2)</f>
        <v>3.25</v>
      </c>
    </row>
    <row r="2111" spans="1:8" s="124" customFormat="1" ht="45">
      <c r="A2111" s="721">
        <v>88248</v>
      </c>
      <c r="B2111" s="721"/>
      <c r="C2111" s="200" t="s">
        <v>5256</v>
      </c>
      <c r="D2111" s="139" t="s">
        <v>76</v>
      </c>
      <c r="E2111" s="209">
        <v>7.0000000000000007E-2</v>
      </c>
      <c r="F2111" s="577" t="s">
        <v>67</v>
      </c>
      <c r="G2111" s="210">
        <v>12.028500000000001</v>
      </c>
      <c r="H2111" s="211">
        <f>ROUND(G2111*E2111,2)</f>
        <v>0.84</v>
      </c>
    </row>
    <row r="2112" spans="1:8" s="124" customFormat="1" ht="30">
      <c r="A2112" s="721">
        <v>88267</v>
      </c>
      <c r="B2112" s="721"/>
      <c r="C2112" s="200" t="s">
        <v>5256</v>
      </c>
      <c r="D2112" s="139" t="s">
        <v>86</v>
      </c>
      <c r="E2112" s="209">
        <v>7.0000000000000007E-2</v>
      </c>
      <c r="F2112" s="577" t="s">
        <v>67</v>
      </c>
      <c r="G2112" s="210">
        <v>15.2766</v>
      </c>
      <c r="H2112" s="211">
        <f>ROUND(G2112*E2112,2)</f>
        <v>1.07</v>
      </c>
    </row>
    <row r="2113" spans="1:8" s="201" customFormat="1">
      <c r="A2113" s="582"/>
      <c r="B2113" s="582"/>
      <c r="C2113" s="212"/>
      <c r="D2113" s="719" t="s">
        <v>127</v>
      </c>
      <c r="E2113" s="719"/>
      <c r="F2113" s="719"/>
      <c r="G2113" s="719"/>
      <c r="H2113" s="638">
        <f>SUMIF(F2108:F2112,("h"),H2108:H2112)</f>
        <v>1.9100000000000001</v>
      </c>
    </row>
    <row r="2114" spans="1:8" s="201" customFormat="1">
      <c r="A2114" s="582"/>
      <c r="B2114" s="582"/>
      <c r="C2114" s="212"/>
      <c r="D2114" s="719" t="s">
        <v>128</v>
      </c>
      <c r="E2114" s="719"/>
      <c r="F2114" s="719"/>
      <c r="G2114" s="719"/>
      <c r="H2114" s="638">
        <f>SUMIF(F2108:F2112,"&lt;&gt;h",H2108:H2112)</f>
        <v>4.1100000000000003</v>
      </c>
    </row>
    <row r="2115" spans="1:8" s="201" customFormat="1">
      <c r="A2115" s="582"/>
      <c r="B2115" s="582"/>
      <c r="C2115" s="212"/>
      <c r="D2115" s="718" t="s">
        <v>129</v>
      </c>
      <c r="E2115" s="718"/>
      <c r="F2115" s="718"/>
      <c r="G2115" s="718"/>
      <c r="H2115" s="213">
        <f>SUM(H2113:H2114)</f>
        <v>6.0200000000000005</v>
      </c>
    </row>
    <row r="2116" spans="1:8" s="201" customFormat="1">
      <c r="A2116" s="582"/>
      <c r="B2116" s="582"/>
      <c r="C2116" s="212"/>
      <c r="D2116" s="719" t="s">
        <v>28</v>
      </c>
      <c r="E2116" s="719"/>
      <c r="F2116" s="719"/>
      <c r="G2116" s="719"/>
      <c r="H2116" s="639">
        <f>E2107</f>
        <v>11</v>
      </c>
    </row>
    <row r="2117" spans="1:8" s="201" customFormat="1">
      <c r="A2117" s="582"/>
      <c r="B2117" s="582"/>
      <c r="C2117" s="212"/>
      <c r="D2117" s="718" t="s">
        <v>130</v>
      </c>
      <c r="E2117" s="718"/>
      <c r="F2117" s="718"/>
      <c r="G2117" s="718"/>
      <c r="H2117" s="213">
        <f>ROUND(H2115*H2116,2)</f>
        <v>66.22</v>
      </c>
    </row>
    <row r="2118" spans="1:8" s="201" customFormat="1">
      <c r="A2118" s="582"/>
      <c r="B2118" s="582"/>
      <c r="C2118" s="212"/>
      <c r="D2118" s="719" t="s">
        <v>15559</v>
      </c>
      <c r="E2118" s="719"/>
      <c r="F2118" s="719"/>
      <c r="G2118" s="719"/>
      <c r="H2118" s="638">
        <f>ROUND(H2115*$B$13,2)</f>
        <v>1.62</v>
      </c>
    </row>
    <row r="2119" spans="1:8">
      <c r="A2119" s="582"/>
      <c r="B2119" s="582"/>
      <c r="C2119" s="212"/>
      <c r="D2119" s="718" t="s">
        <v>9661</v>
      </c>
      <c r="E2119" s="718"/>
      <c r="F2119" s="718"/>
      <c r="G2119" s="718"/>
      <c r="H2119" s="213">
        <f>H2118+H2115</f>
        <v>7.6400000000000006</v>
      </c>
    </row>
    <row r="2121" spans="1:8" s="201" customFormat="1">
      <c r="A2121" s="123" t="s">
        <v>6</v>
      </c>
      <c r="B2121" s="720" t="s">
        <v>7</v>
      </c>
      <c r="C2121" s="720"/>
      <c r="D2121" s="202" t="s">
        <v>124</v>
      </c>
      <c r="E2121" s="167" t="s">
        <v>6334</v>
      </c>
      <c r="F2121" s="202" t="s">
        <v>31</v>
      </c>
      <c r="G2121" s="203" t="s">
        <v>125</v>
      </c>
      <c r="H2121" s="204" t="s">
        <v>126</v>
      </c>
    </row>
    <row r="2122" spans="1:8" s="208" customFormat="1" ht="30">
      <c r="A2122" s="581" t="str">
        <f>'Orç - Prédio'!A391</f>
        <v>05.04.801.01</v>
      </c>
      <c r="B2122" s="216" t="str">
        <f>'Orç - Prédio'!B391</f>
        <v>SINAPI</v>
      </c>
      <c r="C2122" s="216" t="str">
        <f>'Orç - Prédio'!C391</f>
        <v>89708 MOD 1</v>
      </c>
      <c r="D2122" s="217" t="s">
        <v>7227</v>
      </c>
      <c r="E2122" s="206">
        <v>2</v>
      </c>
      <c r="F2122" s="216" t="s">
        <v>6337</v>
      </c>
      <c r="G2122" s="207">
        <f>VLOOKUP("CUSTO TOTAL UNIT.:",D2123:$H$30004,5,FALSE)</f>
        <v>23.66</v>
      </c>
      <c r="H2122" s="637">
        <f>VLOOKUP("CUSTO TOTAL:",D2123:$H$30004,5,FALSE)</f>
        <v>47.32</v>
      </c>
    </row>
    <row r="2123" spans="1:8" s="124" customFormat="1" ht="30">
      <c r="A2123" s="721">
        <v>122</v>
      </c>
      <c r="B2123" s="721"/>
      <c r="C2123" s="200" t="s">
        <v>5256</v>
      </c>
      <c r="D2123" s="139" t="s">
        <v>9842</v>
      </c>
      <c r="E2123" s="209">
        <v>1.4800000000000001E-2</v>
      </c>
      <c r="F2123" s="577" t="s">
        <v>40</v>
      </c>
      <c r="G2123" s="210">
        <v>45.214200000000005</v>
      </c>
      <c r="H2123" s="211">
        <f t="shared" ref="H2123:H2130" si="72">ROUND(G2123*E2123,2)</f>
        <v>0.67</v>
      </c>
    </row>
    <row r="2124" spans="1:8" s="124" customFormat="1" ht="30">
      <c r="A2124" s="721">
        <v>297</v>
      </c>
      <c r="B2124" s="721"/>
      <c r="C2124" s="200" t="s">
        <v>5256</v>
      </c>
      <c r="D2124" s="139" t="s">
        <v>9898</v>
      </c>
      <c r="E2124" s="209">
        <v>1</v>
      </c>
      <c r="F2124" s="577" t="s">
        <v>40</v>
      </c>
      <c r="G2124" s="210">
        <v>1.5389999999999999</v>
      </c>
      <c r="H2124" s="211">
        <f t="shared" si="72"/>
        <v>1.54</v>
      </c>
    </row>
    <row r="2125" spans="1:8" s="124" customFormat="1" ht="30">
      <c r="A2125" s="721">
        <v>5103</v>
      </c>
      <c r="B2125" s="721"/>
      <c r="C2125" s="200" t="s">
        <v>5256</v>
      </c>
      <c r="D2125" s="139" t="s">
        <v>10660</v>
      </c>
      <c r="E2125" s="209">
        <v>1</v>
      </c>
      <c r="F2125" s="577" t="s">
        <v>40</v>
      </c>
      <c r="G2125" s="210">
        <v>9.6146999999999991</v>
      </c>
      <c r="H2125" s="211">
        <f t="shared" si="72"/>
        <v>9.61</v>
      </c>
    </row>
    <row r="2126" spans="1:8" s="124" customFormat="1" ht="60">
      <c r="A2126" s="721">
        <v>20078</v>
      </c>
      <c r="B2126" s="721"/>
      <c r="C2126" s="200" t="s">
        <v>5256</v>
      </c>
      <c r="D2126" s="139" t="s">
        <v>13241</v>
      </c>
      <c r="E2126" s="209">
        <v>0.03</v>
      </c>
      <c r="F2126" s="577" t="s">
        <v>40</v>
      </c>
      <c r="G2126" s="210">
        <v>16.556400000000004</v>
      </c>
      <c r="H2126" s="211">
        <f t="shared" si="72"/>
        <v>0.5</v>
      </c>
    </row>
    <row r="2127" spans="1:8" s="124" customFormat="1" ht="30">
      <c r="A2127" s="721">
        <v>20083</v>
      </c>
      <c r="B2127" s="721"/>
      <c r="C2127" s="200" t="s">
        <v>5256</v>
      </c>
      <c r="D2127" s="139" t="s">
        <v>13883</v>
      </c>
      <c r="E2127" s="209">
        <v>2.2499999999999999E-2</v>
      </c>
      <c r="F2127" s="577" t="s">
        <v>40</v>
      </c>
      <c r="G2127" s="210">
        <v>39.268799999999999</v>
      </c>
      <c r="H2127" s="211">
        <f t="shared" si="72"/>
        <v>0.88</v>
      </c>
    </row>
    <row r="2128" spans="1:8" s="124" customFormat="1">
      <c r="A2128" s="721">
        <v>38383</v>
      </c>
      <c r="B2128" s="721"/>
      <c r="C2128" s="200" t="s">
        <v>5256</v>
      </c>
      <c r="D2128" s="139" t="s">
        <v>12544</v>
      </c>
      <c r="E2128" s="209">
        <v>5.7000000000000002E-2</v>
      </c>
      <c r="F2128" s="577" t="s">
        <v>40</v>
      </c>
      <c r="G2128" s="210">
        <v>1.3689</v>
      </c>
      <c r="H2128" s="211">
        <f t="shared" si="72"/>
        <v>0.08</v>
      </c>
    </row>
    <row r="2129" spans="1:8" s="124" customFormat="1" ht="45">
      <c r="A2129" s="721">
        <v>88248</v>
      </c>
      <c r="B2129" s="721"/>
      <c r="C2129" s="200" t="s">
        <v>5256</v>
      </c>
      <c r="D2129" s="139" t="s">
        <v>76</v>
      </c>
      <c r="E2129" s="209">
        <v>0.38</v>
      </c>
      <c r="F2129" s="577" t="s">
        <v>67</v>
      </c>
      <c r="G2129" s="210">
        <v>12.028500000000001</v>
      </c>
      <c r="H2129" s="211">
        <f t="shared" si="72"/>
        <v>4.57</v>
      </c>
    </row>
    <row r="2130" spans="1:8" s="124" customFormat="1" ht="30">
      <c r="A2130" s="721">
        <v>88267</v>
      </c>
      <c r="B2130" s="721"/>
      <c r="C2130" s="200" t="s">
        <v>5256</v>
      </c>
      <c r="D2130" s="139" t="s">
        <v>86</v>
      </c>
      <c r="E2130" s="209">
        <v>0.38</v>
      </c>
      <c r="F2130" s="577" t="s">
        <v>67</v>
      </c>
      <c r="G2130" s="210">
        <v>15.2766</v>
      </c>
      <c r="H2130" s="211">
        <f t="shared" si="72"/>
        <v>5.81</v>
      </c>
    </row>
    <row r="2131" spans="1:8" s="201" customFormat="1">
      <c r="A2131" s="582"/>
      <c r="B2131" s="582"/>
      <c r="C2131" s="212"/>
      <c r="D2131" s="719" t="s">
        <v>127</v>
      </c>
      <c r="E2131" s="719"/>
      <c r="F2131" s="719"/>
      <c r="G2131" s="719"/>
      <c r="H2131" s="638">
        <f>SUMIF(F2123:F2130,("h"),H2123:H2130)</f>
        <v>10.379999999999999</v>
      </c>
    </row>
    <row r="2132" spans="1:8" s="201" customFormat="1">
      <c r="A2132" s="582"/>
      <c r="B2132" s="582"/>
      <c r="C2132" s="212"/>
      <c r="D2132" s="719" t="s">
        <v>128</v>
      </c>
      <c r="E2132" s="719"/>
      <c r="F2132" s="719"/>
      <c r="G2132" s="719"/>
      <c r="H2132" s="638">
        <f>SUMIF(F2123:F2130,"&lt;&gt;h",H2123:H2130)</f>
        <v>13.280000000000001</v>
      </c>
    </row>
    <row r="2133" spans="1:8" s="201" customFormat="1">
      <c r="A2133" s="582"/>
      <c r="B2133" s="582"/>
      <c r="C2133" s="212"/>
      <c r="D2133" s="718" t="s">
        <v>129</v>
      </c>
      <c r="E2133" s="718"/>
      <c r="F2133" s="718"/>
      <c r="G2133" s="718"/>
      <c r="H2133" s="213">
        <f>SUM(H2131:H2132)</f>
        <v>23.66</v>
      </c>
    </row>
    <row r="2134" spans="1:8" s="201" customFormat="1">
      <c r="A2134" s="582"/>
      <c r="B2134" s="582"/>
      <c r="C2134" s="212"/>
      <c r="D2134" s="719" t="s">
        <v>28</v>
      </c>
      <c r="E2134" s="719"/>
      <c r="F2134" s="719"/>
      <c r="G2134" s="719"/>
      <c r="H2134" s="639">
        <f>E2122</f>
        <v>2</v>
      </c>
    </row>
    <row r="2135" spans="1:8" s="201" customFormat="1">
      <c r="A2135" s="582"/>
      <c r="B2135" s="582"/>
      <c r="C2135" s="212"/>
      <c r="D2135" s="718" t="s">
        <v>130</v>
      </c>
      <c r="E2135" s="718"/>
      <c r="F2135" s="718"/>
      <c r="G2135" s="718"/>
      <c r="H2135" s="213">
        <f>ROUND(H2133*H2134,2)</f>
        <v>47.32</v>
      </c>
    </row>
    <row r="2136" spans="1:8" s="201" customFormat="1">
      <c r="A2136" s="582"/>
      <c r="B2136" s="582"/>
      <c r="C2136" s="212"/>
      <c r="D2136" s="719" t="s">
        <v>15559</v>
      </c>
      <c r="E2136" s="719"/>
      <c r="F2136" s="719"/>
      <c r="G2136" s="719"/>
      <c r="H2136" s="638">
        <f>ROUND(H2133*$B$13,2)</f>
        <v>6.37</v>
      </c>
    </row>
    <row r="2137" spans="1:8">
      <c r="A2137" s="582"/>
      <c r="B2137" s="582"/>
      <c r="C2137" s="212"/>
      <c r="D2137" s="718" t="s">
        <v>9661</v>
      </c>
      <c r="E2137" s="718"/>
      <c r="F2137" s="718"/>
      <c r="G2137" s="718"/>
      <c r="H2137" s="213">
        <f>H2136+H2133</f>
        <v>30.03</v>
      </c>
    </row>
    <row r="2139" spans="1:8" s="201" customFormat="1">
      <c r="A2139" s="123" t="s">
        <v>6</v>
      </c>
      <c r="B2139" s="720" t="s">
        <v>7</v>
      </c>
      <c r="C2139" s="720"/>
      <c r="D2139" s="202" t="s">
        <v>124</v>
      </c>
      <c r="E2139" s="167" t="s">
        <v>6334</v>
      </c>
      <c r="F2139" s="202" t="s">
        <v>31</v>
      </c>
      <c r="G2139" s="203" t="s">
        <v>125</v>
      </c>
      <c r="H2139" s="204" t="s">
        <v>126</v>
      </c>
    </row>
    <row r="2140" spans="1:8" s="208" customFormat="1" ht="30">
      <c r="A2140" s="581" t="str">
        <f>'Orç - Prédio'!A392</f>
        <v>05.04.801.02</v>
      </c>
      <c r="B2140" s="216" t="str">
        <f>'Orç - Prédio'!B392</f>
        <v>SINAPI</v>
      </c>
      <c r="C2140" s="216" t="str">
        <f>'Orç - Prédio'!C392</f>
        <v>89708 MOD 2</v>
      </c>
      <c r="D2140" s="217" t="s">
        <v>7228</v>
      </c>
      <c r="E2140" s="206">
        <v>32</v>
      </c>
      <c r="F2140" s="216" t="s">
        <v>6337</v>
      </c>
      <c r="G2140" s="207">
        <f>VLOOKUP("CUSTO TOTAL UNIT.:",D2141:$H$30004,5,FALSE)</f>
        <v>36.449999999999996</v>
      </c>
      <c r="H2140" s="637">
        <f>VLOOKUP("CUSTO TOTAL:",D2141:$H$30004,5,FALSE)</f>
        <v>1166.4000000000001</v>
      </c>
    </row>
    <row r="2141" spans="1:8" s="124" customFormat="1" ht="30">
      <c r="A2141" s="721">
        <v>122</v>
      </c>
      <c r="B2141" s="721"/>
      <c r="C2141" s="200" t="s">
        <v>5256</v>
      </c>
      <c r="D2141" s="139" t="s">
        <v>9842</v>
      </c>
      <c r="E2141" s="209">
        <v>1.4800000000000001E-2</v>
      </c>
      <c r="F2141" s="577" t="s">
        <v>40</v>
      </c>
      <c r="G2141" s="210">
        <v>45.214200000000005</v>
      </c>
      <c r="H2141" s="211">
        <f t="shared" ref="H2141:H2148" si="73">ROUND(G2141*E2141,2)</f>
        <v>0.67</v>
      </c>
    </row>
    <row r="2142" spans="1:8" s="124" customFormat="1" ht="30">
      <c r="A2142" s="721">
        <v>297</v>
      </c>
      <c r="B2142" s="721"/>
      <c r="C2142" s="200" t="s">
        <v>5256</v>
      </c>
      <c r="D2142" s="139" t="s">
        <v>9898</v>
      </c>
      <c r="E2142" s="209">
        <v>1</v>
      </c>
      <c r="F2142" s="577" t="s">
        <v>40</v>
      </c>
      <c r="G2142" s="210">
        <v>1.5389999999999999</v>
      </c>
      <c r="H2142" s="211">
        <f t="shared" si="73"/>
        <v>1.54</v>
      </c>
    </row>
    <row r="2143" spans="1:8" s="124" customFormat="1" ht="45">
      <c r="A2143" s="721">
        <v>11712</v>
      </c>
      <c r="B2143" s="721"/>
      <c r="C2143" s="200" t="s">
        <v>5256</v>
      </c>
      <c r="D2143" s="139" t="s">
        <v>10661</v>
      </c>
      <c r="E2143" s="209">
        <v>1</v>
      </c>
      <c r="F2143" s="577" t="s">
        <v>40</v>
      </c>
      <c r="G2143" s="210">
        <v>22.3965</v>
      </c>
      <c r="H2143" s="211">
        <f t="shared" si="73"/>
        <v>22.4</v>
      </c>
    </row>
    <row r="2144" spans="1:8" s="124" customFormat="1" ht="60">
      <c r="A2144" s="721">
        <v>20078</v>
      </c>
      <c r="B2144" s="721"/>
      <c r="C2144" s="200" t="s">
        <v>5256</v>
      </c>
      <c r="D2144" s="139" t="s">
        <v>13241</v>
      </c>
      <c r="E2144" s="209">
        <v>0.03</v>
      </c>
      <c r="F2144" s="577" t="s">
        <v>40</v>
      </c>
      <c r="G2144" s="210">
        <v>16.556400000000004</v>
      </c>
      <c r="H2144" s="211">
        <f t="shared" si="73"/>
        <v>0.5</v>
      </c>
    </row>
    <row r="2145" spans="1:8" s="124" customFormat="1" ht="30">
      <c r="A2145" s="721">
        <v>20083</v>
      </c>
      <c r="B2145" s="721"/>
      <c r="C2145" s="200" t="s">
        <v>5256</v>
      </c>
      <c r="D2145" s="139" t="s">
        <v>13883</v>
      </c>
      <c r="E2145" s="209">
        <v>2.2499999999999999E-2</v>
      </c>
      <c r="F2145" s="577" t="s">
        <v>40</v>
      </c>
      <c r="G2145" s="210">
        <v>39.268799999999999</v>
      </c>
      <c r="H2145" s="211">
        <f t="shared" si="73"/>
        <v>0.88</v>
      </c>
    </row>
    <row r="2146" spans="1:8" s="124" customFormat="1">
      <c r="A2146" s="721">
        <v>38383</v>
      </c>
      <c r="B2146" s="721"/>
      <c r="C2146" s="200" t="s">
        <v>5256</v>
      </c>
      <c r="D2146" s="139" t="s">
        <v>12544</v>
      </c>
      <c r="E2146" s="209">
        <v>5.7000000000000002E-2</v>
      </c>
      <c r="F2146" s="577" t="s">
        <v>40</v>
      </c>
      <c r="G2146" s="210">
        <v>1.3689</v>
      </c>
      <c r="H2146" s="211">
        <f t="shared" si="73"/>
        <v>0.08</v>
      </c>
    </row>
    <row r="2147" spans="1:8" s="124" customFormat="1" ht="45">
      <c r="A2147" s="721">
        <v>88248</v>
      </c>
      <c r="B2147" s="721"/>
      <c r="C2147" s="200" t="s">
        <v>5256</v>
      </c>
      <c r="D2147" s="139" t="s">
        <v>76</v>
      </c>
      <c r="E2147" s="209">
        <v>0.38</v>
      </c>
      <c r="F2147" s="577" t="s">
        <v>67</v>
      </c>
      <c r="G2147" s="210">
        <v>12.028500000000001</v>
      </c>
      <c r="H2147" s="211">
        <f t="shared" si="73"/>
        <v>4.57</v>
      </c>
    </row>
    <row r="2148" spans="1:8" s="124" customFormat="1" ht="30">
      <c r="A2148" s="721">
        <v>88267</v>
      </c>
      <c r="B2148" s="721"/>
      <c r="C2148" s="200" t="s">
        <v>5256</v>
      </c>
      <c r="D2148" s="139" t="s">
        <v>86</v>
      </c>
      <c r="E2148" s="209">
        <v>0.38</v>
      </c>
      <c r="F2148" s="577" t="s">
        <v>67</v>
      </c>
      <c r="G2148" s="210">
        <v>15.2766</v>
      </c>
      <c r="H2148" s="211">
        <f t="shared" si="73"/>
        <v>5.81</v>
      </c>
    </row>
    <row r="2149" spans="1:8" s="201" customFormat="1">
      <c r="A2149" s="582"/>
      <c r="B2149" s="582"/>
      <c r="C2149" s="212"/>
      <c r="D2149" s="719" t="s">
        <v>127</v>
      </c>
      <c r="E2149" s="719"/>
      <c r="F2149" s="719"/>
      <c r="G2149" s="719"/>
      <c r="H2149" s="638">
        <f>SUMIF(F2141:F2148,("h"),H2141:H2148)</f>
        <v>10.379999999999999</v>
      </c>
    </row>
    <row r="2150" spans="1:8" s="201" customFormat="1">
      <c r="A2150" s="582"/>
      <c r="B2150" s="582"/>
      <c r="C2150" s="212"/>
      <c r="D2150" s="719" t="s">
        <v>128</v>
      </c>
      <c r="E2150" s="719"/>
      <c r="F2150" s="719"/>
      <c r="G2150" s="719"/>
      <c r="H2150" s="638">
        <f>SUMIF(F2141:F2148,"&lt;&gt;h",H2141:H2148)</f>
        <v>26.069999999999997</v>
      </c>
    </row>
    <row r="2151" spans="1:8" s="201" customFormat="1">
      <c r="A2151" s="582"/>
      <c r="B2151" s="582"/>
      <c r="C2151" s="212"/>
      <c r="D2151" s="718" t="s">
        <v>129</v>
      </c>
      <c r="E2151" s="718"/>
      <c r="F2151" s="718"/>
      <c r="G2151" s="718"/>
      <c r="H2151" s="213">
        <f>SUM(H2149:H2150)</f>
        <v>36.449999999999996</v>
      </c>
    </row>
    <row r="2152" spans="1:8" s="201" customFormat="1">
      <c r="A2152" s="582"/>
      <c r="B2152" s="582"/>
      <c r="C2152" s="212"/>
      <c r="D2152" s="719" t="s">
        <v>28</v>
      </c>
      <c r="E2152" s="719"/>
      <c r="F2152" s="719"/>
      <c r="G2152" s="719"/>
      <c r="H2152" s="639">
        <f>E2140</f>
        <v>32</v>
      </c>
    </row>
    <row r="2153" spans="1:8" s="201" customFormat="1">
      <c r="A2153" s="582"/>
      <c r="B2153" s="582"/>
      <c r="C2153" s="212"/>
      <c r="D2153" s="718" t="s">
        <v>130</v>
      </c>
      <c r="E2153" s="718"/>
      <c r="F2153" s="718"/>
      <c r="G2153" s="718"/>
      <c r="H2153" s="213">
        <f>ROUND(H2151*H2152,2)</f>
        <v>1166.4000000000001</v>
      </c>
    </row>
    <row r="2154" spans="1:8" s="201" customFormat="1">
      <c r="A2154" s="582"/>
      <c r="B2154" s="582"/>
      <c r="C2154" s="212"/>
      <c r="D2154" s="719" t="s">
        <v>15559</v>
      </c>
      <c r="E2154" s="719"/>
      <c r="F2154" s="719"/>
      <c r="G2154" s="719"/>
      <c r="H2154" s="638">
        <f>ROUND(H2151*$B$13,2)</f>
        <v>9.82</v>
      </c>
    </row>
    <row r="2155" spans="1:8">
      <c r="A2155" s="582"/>
      <c r="B2155" s="582"/>
      <c r="C2155" s="212"/>
      <c r="D2155" s="718" t="s">
        <v>9661</v>
      </c>
      <c r="E2155" s="718"/>
      <c r="F2155" s="718"/>
      <c r="G2155" s="718"/>
      <c r="H2155" s="213">
        <f>H2154+H2151</f>
        <v>46.269999999999996</v>
      </c>
    </row>
    <row r="2157" spans="1:8" s="201" customFormat="1">
      <c r="A2157" s="123" t="s">
        <v>6</v>
      </c>
      <c r="B2157" s="720" t="s">
        <v>7</v>
      </c>
      <c r="C2157" s="720"/>
      <c r="D2157" s="202" t="s">
        <v>124</v>
      </c>
      <c r="E2157" s="167" t="s">
        <v>6334</v>
      </c>
      <c r="F2157" s="202" t="s">
        <v>31</v>
      </c>
      <c r="G2157" s="203" t="s">
        <v>125</v>
      </c>
      <c r="H2157" s="204" t="s">
        <v>126</v>
      </c>
    </row>
    <row r="2158" spans="1:8" s="208" customFormat="1" ht="30">
      <c r="A2158" s="581" t="str">
        <f>'Orç - Prédio'!A397</f>
        <v>05.04.806</v>
      </c>
      <c r="B2158" s="581" t="str">
        <f>'Orç - Prédio'!B397</f>
        <v>SINAPI ANTIGO</v>
      </c>
      <c r="C2158" s="581">
        <f>'Orç - Prédio'!C397</f>
        <v>72289</v>
      </c>
      <c r="D2158" s="205" t="s">
        <v>7231</v>
      </c>
      <c r="E2158" s="206">
        <v>12</v>
      </c>
      <c r="F2158" s="581" t="s">
        <v>6337</v>
      </c>
      <c r="G2158" s="207">
        <f>VLOOKUP("CUSTO TOTAL UNIT.:",D2159:$H$30004,5,FALSE)</f>
        <v>278.08000000000004</v>
      </c>
      <c r="H2158" s="637">
        <f>VLOOKUP("CUSTO TOTAL:",D2159:$H$30004,5,FALSE)</f>
        <v>3336.96</v>
      </c>
    </row>
    <row r="2159" spans="1:8" s="124" customFormat="1">
      <c r="A2159" s="721">
        <v>31</v>
      </c>
      <c r="B2159" s="721"/>
      <c r="C2159" s="200" t="s">
        <v>5256</v>
      </c>
      <c r="D2159" s="139" t="s">
        <v>9750</v>
      </c>
      <c r="E2159" s="209">
        <v>2.5</v>
      </c>
      <c r="F2159" s="577" t="s">
        <v>49</v>
      </c>
      <c r="G2159" s="210">
        <v>3.6774000000000004</v>
      </c>
      <c r="H2159" s="211">
        <f t="shared" ref="H2159:H2165" si="74">ROUND(G2159*E2159,2)</f>
        <v>9.19</v>
      </c>
    </row>
    <row r="2160" spans="1:8" s="124" customFormat="1" ht="30">
      <c r="A2160" s="721">
        <v>370</v>
      </c>
      <c r="B2160" s="721"/>
      <c r="C2160" s="200" t="s">
        <v>5256</v>
      </c>
      <c r="D2160" s="139" t="s">
        <v>10018</v>
      </c>
      <c r="E2160" s="209">
        <v>0.25</v>
      </c>
      <c r="F2160" s="577" t="s">
        <v>45</v>
      </c>
      <c r="G2160" s="210">
        <v>72.227700000000013</v>
      </c>
      <c r="H2160" s="211">
        <f t="shared" si="74"/>
        <v>18.059999999999999</v>
      </c>
    </row>
    <row r="2161" spans="1:8" s="124" customFormat="1">
      <c r="A2161" s="721">
        <v>1382</v>
      </c>
      <c r="B2161" s="721"/>
      <c r="C2161" s="200" t="s">
        <v>5256</v>
      </c>
      <c r="D2161" s="139" t="s">
        <v>10944</v>
      </c>
      <c r="E2161" s="209">
        <v>1.78</v>
      </c>
      <c r="F2161" s="577" t="s">
        <v>58</v>
      </c>
      <c r="G2161" s="210">
        <v>16.313400000000001</v>
      </c>
      <c r="H2161" s="211">
        <f t="shared" si="74"/>
        <v>29.04</v>
      </c>
    </row>
    <row r="2162" spans="1:8" s="124" customFormat="1" ht="30">
      <c r="A2162" s="721">
        <v>4721</v>
      </c>
      <c r="B2162" s="721"/>
      <c r="C2162" s="200" t="s">
        <v>5256</v>
      </c>
      <c r="D2162" s="139" t="s">
        <v>13269</v>
      </c>
      <c r="E2162" s="209">
        <v>0.13</v>
      </c>
      <c r="F2162" s="577" t="s">
        <v>45</v>
      </c>
      <c r="G2162" s="210">
        <v>66.15270000000001</v>
      </c>
      <c r="H2162" s="211">
        <f t="shared" si="74"/>
        <v>8.6</v>
      </c>
    </row>
    <row r="2163" spans="1:8" s="124" customFormat="1" ht="30">
      <c r="A2163" s="721">
        <v>7271</v>
      </c>
      <c r="B2163" s="721"/>
      <c r="C2163" s="200" t="s">
        <v>5256</v>
      </c>
      <c r="D2163" s="139" t="s">
        <v>10180</v>
      </c>
      <c r="E2163" s="209">
        <v>72</v>
      </c>
      <c r="F2163" s="577" t="s">
        <v>40</v>
      </c>
      <c r="G2163" s="210">
        <v>0.39690000000000003</v>
      </c>
      <c r="H2163" s="211">
        <f t="shared" si="74"/>
        <v>28.58</v>
      </c>
    </row>
    <row r="2164" spans="1:8" s="124" customFormat="1" ht="30">
      <c r="A2164" s="721">
        <v>88309</v>
      </c>
      <c r="B2164" s="721"/>
      <c r="C2164" s="200" t="s">
        <v>5256</v>
      </c>
      <c r="D2164" s="139" t="s">
        <v>90</v>
      </c>
      <c r="E2164" s="209">
        <v>3.63</v>
      </c>
      <c r="F2164" s="577" t="s">
        <v>67</v>
      </c>
      <c r="G2164" s="210">
        <v>15.608700000000001</v>
      </c>
      <c r="H2164" s="211">
        <f t="shared" si="74"/>
        <v>56.66</v>
      </c>
    </row>
    <row r="2165" spans="1:8" s="124" customFormat="1" ht="30">
      <c r="A2165" s="721">
        <v>88316</v>
      </c>
      <c r="B2165" s="721"/>
      <c r="C2165" s="200" t="s">
        <v>5256</v>
      </c>
      <c r="D2165" s="139" t="s">
        <v>66</v>
      </c>
      <c r="E2165" s="209">
        <v>11</v>
      </c>
      <c r="F2165" s="577" t="s">
        <v>67</v>
      </c>
      <c r="G2165" s="210">
        <v>11.631600000000001</v>
      </c>
      <c r="H2165" s="211">
        <f t="shared" si="74"/>
        <v>127.95</v>
      </c>
    </row>
    <row r="2166" spans="1:8" s="201" customFormat="1">
      <c r="A2166" s="582"/>
      <c r="B2166" s="582"/>
      <c r="C2166" s="212"/>
      <c r="D2166" s="719" t="s">
        <v>127</v>
      </c>
      <c r="E2166" s="719"/>
      <c r="F2166" s="719"/>
      <c r="G2166" s="719"/>
      <c r="H2166" s="638">
        <f>SUMIF(F2159:F2165,("h"),H2159:H2165)</f>
        <v>184.61</v>
      </c>
    </row>
    <row r="2167" spans="1:8" s="201" customFormat="1">
      <c r="A2167" s="582"/>
      <c r="B2167" s="582"/>
      <c r="C2167" s="212"/>
      <c r="D2167" s="719" t="s">
        <v>128</v>
      </c>
      <c r="E2167" s="719"/>
      <c r="F2167" s="719"/>
      <c r="G2167" s="719"/>
      <c r="H2167" s="638">
        <f>SUMIF(F2159:F2165,"&lt;&gt;h",H2159:H2165)</f>
        <v>93.47</v>
      </c>
    </row>
    <row r="2168" spans="1:8" s="201" customFormat="1">
      <c r="A2168" s="582"/>
      <c r="B2168" s="582"/>
      <c r="C2168" s="212"/>
      <c r="D2168" s="718" t="s">
        <v>129</v>
      </c>
      <c r="E2168" s="718"/>
      <c r="F2168" s="718"/>
      <c r="G2168" s="718"/>
      <c r="H2168" s="213">
        <f>SUM(H2166:H2167)</f>
        <v>278.08000000000004</v>
      </c>
    </row>
    <row r="2169" spans="1:8" s="201" customFormat="1">
      <c r="A2169" s="582"/>
      <c r="B2169" s="582"/>
      <c r="C2169" s="212"/>
      <c r="D2169" s="719" t="s">
        <v>28</v>
      </c>
      <c r="E2169" s="719"/>
      <c r="F2169" s="719"/>
      <c r="G2169" s="719"/>
      <c r="H2169" s="639">
        <f>E2158</f>
        <v>12</v>
      </c>
    </row>
    <row r="2170" spans="1:8" s="201" customFormat="1">
      <c r="A2170" s="582"/>
      <c r="B2170" s="582"/>
      <c r="C2170" s="212"/>
      <c r="D2170" s="718" t="s">
        <v>130</v>
      </c>
      <c r="E2170" s="718"/>
      <c r="F2170" s="718"/>
      <c r="G2170" s="718"/>
      <c r="H2170" s="213">
        <f>ROUND(H2168*H2169,2)</f>
        <v>3336.96</v>
      </c>
    </row>
    <row r="2171" spans="1:8" s="201" customFormat="1">
      <c r="A2171" s="582"/>
      <c r="B2171" s="582"/>
      <c r="C2171" s="212"/>
      <c r="D2171" s="719" t="s">
        <v>15559</v>
      </c>
      <c r="E2171" s="719"/>
      <c r="F2171" s="719"/>
      <c r="G2171" s="719"/>
      <c r="H2171" s="638">
        <f>ROUND(H2168*$B$13,2)</f>
        <v>74.89</v>
      </c>
    </row>
    <row r="2172" spans="1:8">
      <c r="A2172" s="582"/>
      <c r="B2172" s="582"/>
      <c r="C2172" s="212"/>
      <c r="D2172" s="718" t="s">
        <v>9661</v>
      </c>
      <c r="E2172" s="718"/>
      <c r="F2172" s="718"/>
      <c r="G2172" s="718"/>
      <c r="H2172" s="213">
        <f>H2171+H2168</f>
        <v>352.97</v>
      </c>
    </row>
    <row r="2174" spans="1:8" s="201" customFormat="1">
      <c r="A2174" s="123" t="s">
        <v>6</v>
      </c>
      <c r="B2174" s="720" t="s">
        <v>7</v>
      </c>
      <c r="C2174" s="720"/>
      <c r="D2174" s="202" t="s">
        <v>124</v>
      </c>
      <c r="E2174" s="167" t="s">
        <v>6334</v>
      </c>
      <c r="F2174" s="202" t="s">
        <v>31</v>
      </c>
      <c r="G2174" s="203" t="s">
        <v>125</v>
      </c>
      <c r="H2174" s="204" t="s">
        <v>126</v>
      </c>
    </row>
    <row r="2175" spans="1:8" s="208" customFormat="1" ht="60">
      <c r="A2175" s="581" t="str">
        <f>'Orç - Urbanização'!A96</f>
        <v>05.06.401.01</v>
      </c>
      <c r="B2175" s="581" t="str">
        <f>'Orç - Urbanização'!B96</f>
        <v>SINAPI</v>
      </c>
      <c r="C2175" s="581" t="str">
        <f>'Orç - Urbanização'!C96</f>
        <v>98415 MOD</v>
      </c>
      <c r="D2175" s="205" t="s">
        <v>9425</v>
      </c>
      <c r="E2175" s="206">
        <v>4</v>
      </c>
      <c r="F2175" s="581" t="s">
        <v>6337</v>
      </c>
      <c r="G2175" s="207">
        <f>VLOOKUP("CUSTO TOTAL UNIT.:",D2176:$H$30004,5,FALSE)</f>
        <v>728.48</v>
      </c>
      <c r="H2175" s="637">
        <f>VLOOKUP("CUSTO TOTAL:",D2176:$H$30004,5,FALSE)</f>
        <v>2913.92</v>
      </c>
    </row>
    <row r="2176" spans="1:8" s="124" customFormat="1">
      <c r="A2176" s="721">
        <v>7258</v>
      </c>
      <c r="B2176" s="721"/>
      <c r="C2176" s="200" t="s">
        <v>5256</v>
      </c>
      <c r="D2176" s="139" t="s">
        <v>14350</v>
      </c>
      <c r="E2176" s="209">
        <v>63.844999999999999</v>
      </c>
      <c r="F2176" s="577" t="s">
        <v>40</v>
      </c>
      <c r="G2176" s="210">
        <v>0.25109999999999999</v>
      </c>
      <c r="H2176" s="211">
        <f t="shared" ref="H2176:H2186" si="75">ROUND(G2176*E2176,2)</f>
        <v>16.03</v>
      </c>
    </row>
    <row r="2177" spans="1:8" s="124" customFormat="1" ht="30">
      <c r="A2177" s="721">
        <v>12547</v>
      </c>
      <c r="B2177" s="721"/>
      <c r="C2177" s="200" t="s">
        <v>5256</v>
      </c>
      <c r="D2177" s="139" t="s">
        <v>9934</v>
      </c>
      <c r="E2177" s="209">
        <v>2</v>
      </c>
      <c r="F2177" s="577" t="s">
        <v>40</v>
      </c>
      <c r="G2177" s="210">
        <v>110.79180000000001</v>
      </c>
      <c r="H2177" s="211">
        <f t="shared" si="75"/>
        <v>221.58</v>
      </c>
    </row>
    <row r="2178" spans="1:8" s="124" customFormat="1" ht="105">
      <c r="A2178" s="721">
        <v>5678</v>
      </c>
      <c r="B2178" s="721"/>
      <c r="C2178" s="200" t="s">
        <v>5256</v>
      </c>
      <c r="D2178" s="139" t="s">
        <v>339</v>
      </c>
      <c r="E2178" s="209">
        <v>0.28179999999999999</v>
      </c>
      <c r="F2178" s="577" t="s">
        <v>100</v>
      </c>
      <c r="G2178" s="210">
        <v>79.38000000000001</v>
      </c>
      <c r="H2178" s="211">
        <f t="shared" si="75"/>
        <v>22.37</v>
      </c>
    </row>
    <row r="2179" spans="1:8" s="124" customFormat="1" ht="105">
      <c r="A2179" s="721">
        <v>5679</v>
      </c>
      <c r="B2179" s="721"/>
      <c r="C2179" s="200" t="s">
        <v>5256</v>
      </c>
      <c r="D2179" s="139" t="s">
        <v>481</v>
      </c>
      <c r="E2179" s="209">
        <v>0.94779999999999998</v>
      </c>
      <c r="F2179" s="577" t="s">
        <v>101</v>
      </c>
      <c r="G2179" s="210">
        <v>28.763100000000001</v>
      </c>
      <c r="H2179" s="211">
        <f t="shared" si="75"/>
        <v>27.26</v>
      </c>
    </row>
    <row r="2180" spans="1:8" s="124" customFormat="1" ht="30">
      <c r="A2180" s="721">
        <v>88309</v>
      </c>
      <c r="B2180" s="721"/>
      <c r="C2180" s="200" t="s">
        <v>5256</v>
      </c>
      <c r="D2180" s="139" t="s">
        <v>90</v>
      </c>
      <c r="E2180" s="209">
        <v>2.2591000000000001</v>
      </c>
      <c r="F2180" s="577" t="s">
        <v>67</v>
      </c>
      <c r="G2180" s="210">
        <v>15.608700000000001</v>
      </c>
      <c r="H2180" s="211">
        <f t="shared" si="75"/>
        <v>35.26</v>
      </c>
    </row>
    <row r="2181" spans="1:8" s="124" customFormat="1" ht="30">
      <c r="A2181" s="721">
        <v>88316</v>
      </c>
      <c r="B2181" s="721"/>
      <c r="C2181" s="200" t="s">
        <v>5256</v>
      </c>
      <c r="D2181" s="139" t="s">
        <v>66</v>
      </c>
      <c r="E2181" s="209">
        <v>2.2591000000000001</v>
      </c>
      <c r="F2181" s="577" t="s">
        <v>67</v>
      </c>
      <c r="G2181" s="210">
        <v>11.631600000000001</v>
      </c>
      <c r="H2181" s="211">
        <f t="shared" si="75"/>
        <v>26.28</v>
      </c>
    </row>
    <row r="2182" spans="1:8" s="124" customFormat="1" ht="75">
      <c r="A2182" s="721">
        <v>94116</v>
      </c>
      <c r="B2182" s="721"/>
      <c r="C2182" s="200" t="s">
        <v>5256</v>
      </c>
      <c r="D2182" s="139" t="s">
        <v>4093</v>
      </c>
      <c r="E2182" s="209">
        <v>0.4078</v>
      </c>
      <c r="F2182" s="577" t="s">
        <v>1261</v>
      </c>
      <c r="G2182" s="210">
        <v>131.17949999999999</v>
      </c>
      <c r="H2182" s="211">
        <f t="shared" si="75"/>
        <v>53.5</v>
      </c>
    </row>
    <row r="2183" spans="1:8" s="124" customFormat="1" ht="60">
      <c r="A2183" s="721">
        <v>94962</v>
      </c>
      <c r="B2183" s="721"/>
      <c r="C2183" s="200" t="s">
        <v>5256</v>
      </c>
      <c r="D2183" s="139" t="s">
        <v>2018</v>
      </c>
      <c r="E2183" s="209">
        <v>0.4078</v>
      </c>
      <c r="F2183" s="577" t="s">
        <v>1261</v>
      </c>
      <c r="G2183" s="210">
        <v>213.84810000000002</v>
      </c>
      <c r="H2183" s="211">
        <f t="shared" si="75"/>
        <v>87.21</v>
      </c>
    </row>
    <row r="2184" spans="1:8" s="124" customFormat="1" ht="45">
      <c r="A2184" s="721">
        <v>88628</v>
      </c>
      <c r="B2184" s="721"/>
      <c r="C2184" s="200" t="s">
        <v>5256</v>
      </c>
      <c r="D2184" s="139" t="s">
        <v>4993</v>
      </c>
      <c r="E2184" s="209">
        <v>0.1938</v>
      </c>
      <c r="F2184" s="577" t="s">
        <v>1261</v>
      </c>
      <c r="G2184" s="210">
        <v>270.97740000000005</v>
      </c>
      <c r="H2184" s="211">
        <f t="shared" si="75"/>
        <v>52.52</v>
      </c>
    </row>
    <row r="2185" spans="1:8" s="124" customFormat="1" ht="60">
      <c r="A2185" s="721">
        <v>97738</v>
      </c>
      <c r="B2185" s="721"/>
      <c r="C2185" s="200" t="s">
        <v>5256</v>
      </c>
      <c r="D2185" s="139" t="s">
        <v>6471</v>
      </c>
      <c r="E2185" s="209">
        <v>2.2100000000000002E-2</v>
      </c>
      <c r="F2185" s="577" t="s">
        <v>1261</v>
      </c>
      <c r="G2185" s="210">
        <v>2461.8411000000001</v>
      </c>
      <c r="H2185" s="211">
        <f t="shared" si="75"/>
        <v>54.41</v>
      </c>
    </row>
    <row r="2186" spans="1:8" s="124" customFormat="1" ht="45">
      <c r="A2186" s="721">
        <v>97740</v>
      </c>
      <c r="B2186" s="721"/>
      <c r="C2186" s="200" t="s">
        <v>5256</v>
      </c>
      <c r="D2186" s="139" t="s">
        <v>6473</v>
      </c>
      <c r="E2186" s="209">
        <v>0.1216</v>
      </c>
      <c r="F2186" s="577" t="s">
        <v>1261</v>
      </c>
      <c r="G2186" s="210">
        <v>1086.0318</v>
      </c>
      <c r="H2186" s="211">
        <f t="shared" si="75"/>
        <v>132.06</v>
      </c>
    </row>
    <row r="2187" spans="1:8" s="201" customFormat="1">
      <c r="A2187" s="582"/>
      <c r="B2187" s="582"/>
      <c r="C2187" s="212"/>
      <c r="D2187" s="719" t="s">
        <v>127</v>
      </c>
      <c r="E2187" s="719"/>
      <c r="F2187" s="719"/>
      <c r="G2187" s="719"/>
      <c r="H2187" s="638">
        <f>SUMIF(F2176:F2186,("h"),H2176:H2186)</f>
        <v>61.54</v>
      </c>
    </row>
    <row r="2188" spans="1:8" s="201" customFormat="1">
      <c r="A2188" s="582"/>
      <c r="B2188" s="582"/>
      <c r="C2188" s="212"/>
      <c r="D2188" s="719" t="s">
        <v>128</v>
      </c>
      <c r="E2188" s="719"/>
      <c r="F2188" s="719"/>
      <c r="G2188" s="719"/>
      <c r="H2188" s="638">
        <f>SUMIF(F2176:F2186,"&lt;&gt;h",H2176:H2186)</f>
        <v>666.94</v>
      </c>
    </row>
    <row r="2189" spans="1:8" s="201" customFormat="1">
      <c r="A2189" s="582"/>
      <c r="B2189" s="582"/>
      <c r="C2189" s="212"/>
      <c r="D2189" s="718" t="s">
        <v>129</v>
      </c>
      <c r="E2189" s="718"/>
      <c r="F2189" s="718"/>
      <c r="G2189" s="718"/>
      <c r="H2189" s="213">
        <f>SUM(H2187:H2188)</f>
        <v>728.48</v>
      </c>
    </row>
    <row r="2190" spans="1:8" s="201" customFormat="1">
      <c r="A2190" s="582"/>
      <c r="B2190" s="582"/>
      <c r="C2190" s="212"/>
      <c r="D2190" s="719" t="s">
        <v>28</v>
      </c>
      <c r="E2190" s="719"/>
      <c r="F2190" s="719"/>
      <c r="G2190" s="719"/>
      <c r="H2190" s="639">
        <f>E2175</f>
        <v>4</v>
      </c>
    </row>
    <row r="2191" spans="1:8" s="201" customFormat="1">
      <c r="A2191" s="582"/>
      <c r="B2191" s="582"/>
      <c r="C2191" s="212"/>
      <c r="D2191" s="718" t="s">
        <v>130</v>
      </c>
      <c r="E2191" s="718"/>
      <c r="F2191" s="718"/>
      <c r="G2191" s="718"/>
      <c r="H2191" s="213">
        <f>ROUND(H2189*H2190,2)</f>
        <v>2913.92</v>
      </c>
    </row>
    <row r="2192" spans="1:8" s="201" customFormat="1">
      <c r="A2192" s="582"/>
      <c r="B2192" s="582"/>
      <c r="C2192" s="212"/>
      <c r="D2192" s="719" t="s">
        <v>15559</v>
      </c>
      <c r="E2192" s="719"/>
      <c r="F2192" s="719"/>
      <c r="G2192" s="719"/>
      <c r="H2192" s="638">
        <f>ROUND(H2189*$B$13,2)</f>
        <v>196.18</v>
      </c>
    </row>
    <row r="2193" spans="1:8">
      <c r="A2193" s="582"/>
      <c r="B2193" s="582"/>
      <c r="C2193" s="212"/>
      <c r="D2193" s="718" t="s">
        <v>9661</v>
      </c>
      <c r="E2193" s="718"/>
      <c r="F2193" s="718"/>
      <c r="G2193" s="718"/>
      <c r="H2193" s="213">
        <f>H2192+H2189</f>
        <v>924.66000000000008</v>
      </c>
    </row>
    <row r="2194" spans="1:8" ht="15" customHeight="1">
      <c r="A2194" s="724" t="s">
        <v>9387</v>
      </c>
      <c r="B2194" s="724"/>
      <c r="C2194" s="724"/>
      <c r="D2194" s="724"/>
      <c r="E2194" s="724"/>
      <c r="F2194" s="724"/>
      <c r="G2194" s="724"/>
      <c r="H2194" s="724"/>
    </row>
    <row r="2196" spans="1:8" s="201" customFormat="1">
      <c r="A2196" s="123" t="s">
        <v>6</v>
      </c>
      <c r="B2196" s="720" t="s">
        <v>7</v>
      </c>
      <c r="C2196" s="720"/>
      <c r="D2196" s="202" t="s">
        <v>124</v>
      </c>
      <c r="E2196" s="167" t="s">
        <v>6334</v>
      </c>
      <c r="F2196" s="202" t="s">
        <v>31</v>
      </c>
      <c r="G2196" s="203" t="s">
        <v>125</v>
      </c>
      <c r="H2196" s="204" t="s">
        <v>126</v>
      </c>
    </row>
    <row r="2197" spans="1:8" s="208" customFormat="1" ht="60">
      <c r="A2197" s="581" t="str">
        <f>'Orç - Urbanização'!A97</f>
        <v>05.06.401.02</v>
      </c>
      <c r="B2197" s="581" t="str">
        <f>'Orç - Urbanização'!B97</f>
        <v>SINAPI</v>
      </c>
      <c r="C2197" s="581" t="str">
        <f>'Orç - Urbanização'!C97</f>
        <v>98416 MOD</v>
      </c>
      <c r="D2197" s="205" t="s">
        <v>9426</v>
      </c>
      <c r="E2197" s="206">
        <v>8</v>
      </c>
      <c r="F2197" s="581" t="s">
        <v>6337</v>
      </c>
      <c r="G2197" s="207">
        <f>VLOOKUP("CUSTO TOTAL UNIT.:",D2198:$H$30004,5,FALSE)</f>
        <v>876.0200000000001</v>
      </c>
      <c r="H2197" s="637">
        <f>VLOOKUP("CUSTO TOTAL:",D2198:$H$30004,5,FALSE)</f>
        <v>7008.16</v>
      </c>
    </row>
    <row r="2198" spans="1:8" s="124" customFormat="1">
      <c r="A2198" s="721">
        <v>7258</v>
      </c>
      <c r="B2198" s="721"/>
      <c r="C2198" s="200" t="s">
        <v>5256</v>
      </c>
      <c r="D2198" s="139" t="s">
        <v>14350</v>
      </c>
      <c r="E2198" s="209">
        <v>63.844999999999999</v>
      </c>
      <c r="F2198" s="577" t="s">
        <v>40</v>
      </c>
      <c r="G2198" s="210">
        <v>0.25109999999999999</v>
      </c>
      <c r="H2198" s="211">
        <f t="shared" ref="H2198:H2208" si="76">ROUND(G2198*E2198,2)</f>
        <v>16.03</v>
      </c>
    </row>
    <row r="2199" spans="1:8" s="124" customFormat="1" ht="30">
      <c r="A2199" s="721">
        <v>12547</v>
      </c>
      <c r="B2199" s="721"/>
      <c r="C2199" s="200" t="s">
        <v>5256</v>
      </c>
      <c r="D2199" s="139" t="s">
        <v>9934</v>
      </c>
      <c r="E2199" s="209">
        <v>3</v>
      </c>
      <c r="F2199" s="577" t="s">
        <v>40</v>
      </c>
      <c r="G2199" s="210">
        <v>110.79180000000001</v>
      </c>
      <c r="H2199" s="211">
        <f t="shared" si="76"/>
        <v>332.38</v>
      </c>
    </row>
    <row r="2200" spans="1:8" s="124" customFormat="1" ht="105">
      <c r="A2200" s="721">
        <v>5678</v>
      </c>
      <c r="B2200" s="721"/>
      <c r="C2200" s="200" t="s">
        <v>5256</v>
      </c>
      <c r="D2200" s="139" t="s">
        <v>339</v>
      </c>
      <c r="E2200" s="209">
        <v>0.35794999999999999</v>
      </c>
      <c r="F2200" s="577" t="s">
        <v>100</v>
      </c>
      <c r="G2200" s="210">
        <v>79.38000000000001</v>
      </c>
      <c r="H2200" s="211">
        <f t="shared" si="76"/>
        <v>28.41</v>
      </c>
    </row>
    <row r="2201" spans="1:8" s="124" customFormat="1" ht="105">
      <c r="A2201" s="721">
        <v>5679</v>
      </c>
      <c r="B2201" s="721"/>
      <c r="C2201" s="200" t="s">
        <v>5256</v>
      </c>
      <c r="D2201" s="139" t="s">
        <v>481</v>
      </c>
      <c r="E2201" s="209">
        <v>1.2039</v>
      </c>
      <c r="F2201" s="577" t="s">
        <v>101</v>
      </c>
      <c r="G2201" s="210">
        <v>28.763100000000001</v>
      </c>
      <c r="H2201" s="211">
        <f t="shared" si="76"/>
        <v>34.630000000000003</v>
      </c>
    </row>
    <row r="2202" spans="1:8" s="124" customFormat="1" ht="30">
      <c r="A2202" s="721">
        <v>88309</v>
      </c>
      <c r="B2202" s="721"/>
      <c r="C2202" s="200" t="s">
        <v>5256</v>
      </c>
      <c r="D2202" s="139" t="s">
        <v>90</v>
      </c>
      <c r="E2202" s="209">
        <v>2.7559</v>
      </c>
      <c r="F2202" s="577" t="s">
        <v>67</v>
      </c>
      <c r="G2202" s="210">
        <v>15.608700000000001</v>
      </c>
      <c r="H2202" s="211">
        <f t="shared" si="76"/>
        <v>43.02</v>
      </c>
    </row>
    <row r="2203" spans="1:8" s="124" customFormat="1" ht="30">
      <c r="A2203" s="721">
        <v>88316</v>
      </c>
      <c r="B2203" s="721"/>
      <c r="C2203" s="200" t="s">
        <v>5256</v>
      </c>
      <c r="D2203" s="139" t="s">
        <v>66</v>
      </c>
      <c r="E2203" s="209">
        <v>2.7559</v>
      </c>
      <c r="F2203" s="577" t="s">
        <v>67</v>
      </c>
      <c r="G2203" s="210">
        <v>11.631600000000001</v>
      </c>
      <c r="H2203" s="211">
        <f t="shared" si="76"/>
        <v>32.06</v>
      </c>
    </row>
    <row r="2204" spans="1:8" s="124" customFormat="1" ht="75">
      <c r="A2204" s="721">
        <v>94116</v>
      </c>
      <c r="B2204" s="721"/>
      <c r="C2204" s="200" t="s">
        <v>5256</v>
      </c>
      <c r="D2204" s="139" t="s">
        <v>4093</v>
      </c>
      <c r="E2204" s="209">
        <v>0.4078</v>
      </c>
      <c r="F2204" s="577" t="s">
        <v>1261</v>
      </c>
      <c r="G2204" s="210">
        <v>131.17949999999999</v>
      </c>
      <c r="H2204" s="211">
        <f t="shared" si="76"/>
        <v>53.5</v>
      </c>
    </row>
    <row r="2205" spans="1:8" s="124" customFormat="1" ht="60">
      <c r="A2205" s="721">
        <v>94962</v>
      </c>
      <c r="B2205" s="721"/>
      <c r="C2205" s="200" t="s">
        <v>5256</v>
      </c>
      <c r="D2205" s="139" t="s">
        <v>2018</v>
      </c>
      <c r="E2205" s="209">
        <v>0.4078</v>
      </c>
      <c r="F2205" s="577" t="s">
        <v>1261</v>
      </c>
      <c r="G2205" s="210">
        <v>213.84810000000002</v>
      </c>
      <c r="H2205" s="211">
        <f t="shared" si="76"/>
        <v>87.21</v>
      </c>
    </row>
    <row r="2206" spans="1:8" s="124" customFormat="1" ht="45">
      <c r="A2206" s="721">
        <v>88628</v>
      </c>
      <c r="B2206" s="721"/>
      <c r="C2206" s="200" t="s">
        <v>5256</v>
      </c>
      <c r="D2206" s="139" t="s">
        <v>4993</v>
      </c>
      <c r="E2206" s="209">
        <v>0.22994999999999999</v>
      </c>
      <c r="F2206" s="577" t="s">
        <v>1261</v>
      </c>
      <c r="G2206" s="210">
        <v>270.97740000000005</v>
      </c>
      <c r="H2206" s="211">
        <f t="shared" si="76"/>
        <v>62.31</v>
      </c>
    </row>
    <row r="2207" spans="1:8" s="124" customFormat="1" ht="60">
      <c r="A2207" s="721">
        <v>97738</v>
      </c>
      <c r="B2207" s="721"/>
      <c r="C2207" s="200" t="s">
        <v>5256</v>
      </c>
      <c r="D2207" s="139" t="s">
        <v>6471</v>
      </c>
      <c r="E2207" s="209">
        <v>2.2100000000000002E-2</v>
      </c>
      <c r="F2207" s="577" t="s">
        <v>1261</v>
      </c>
      <c r="G2207" s="210">
        <v>2461.8411000000001</v>
      </c>
      <c r="H2207" s="211">
        <f t="shared" si="76"/>
        <v>54.41</v>
      </c>
    </row>
    <row r="2208" spans="1:8" s="124" customFormat="1" ht="45">
      <c r="A2208" s="721">
        <v>97740</v>
      </c>
      <c r="B2208" s="721"/>
      <c r="C2208" s="200" t="s">
        <v>5256</v>
      </c>
      <c r="D2208" s="139" t="s">
        <v>6473</v>
      </c>
      <c r="E2208" s="209">
        <v>0.1216</v>
      </c>
      <c r="F2208" s="577" t="s">
        <v>1261</v>
      </c>
      <c r="G2208" s="210">
        <v>1086.0318</v>
      </c>
      <c r="H2208" s="211">
        <f t="shared" si="76"/>
        <v>132.06</v>
      </c>
    </row>
    <row r="2209" spans="1:8" s="201" customFormat="1">
      <c r="A2209" s="582"/>
      <c r="B2209" s="582"/>
      <c r="C2209" s="212"/>
      <c r="D2209" s="719" t="s">
        <v>127</v>
      </c>
      <c r="E2209" s="719"/>
      <c r="F2209" s="719"/>
      <c r="G2209" s="719"/>
      <c r="H2209" s="638">
        <f>SUMIF(F2198:F2208,("h"),H2198:H2208)</f>
        <v>75.080000000000013</v>
      </c>
    </row>
    <row r="2210" spans="1:8" s="201" customFormat="1">
      <c r="A2210" s="582"/>
      <c r="B2210" s="582"/>
      <c r="C2210" s="212"/>
      <c r="D2210" s="719" t="s">
        <v>128</v>
      </c>
      <c r="E2210" s="719"/>
      <c r="F2210" s="719"/>
      <c r="G2210" s="719"/>
      <c r="H2210" s="638">
        <f>SUMIF(F2198:F2208,"&lt;&gt;h",H2198:H2208)</f>
        <v>800.94</v>
      </c>
    </row>
    <row r="2211" spans="1:8" s="201" customFormat="1">
      <c r="A2211" s="582"/>
      <c r="B2211" s="582"/>
      <c r="C2211" s="212"/>
      <c r="D2211" s="718" t="s">
        <v>129</v>
      </c>
      <c r="E2211" s="718"/>
      <c r="F2211" s="718"/>
      <c r="G2211" s="718"/>
      <c r="H2211" s="213">
        <f>SUM(H2209:H2210)</f>
        <v>876.0200000000001</v>
      </c>
    </row>
    <row r="2212" spans="1:8" s="201" customFormat="1">
      <c r="A2212" s="582"/>
      <c r="B2212" s="582"/>
      <c r="C2212" s="212"/>
      <c r="D2212" s="719" t="s">
        <v>28</v>
      </c>
      <c r="E2212" s="719"/>
      <c r="F2212" s="719"/>
      <c r="G2212" s="719"/>
      <c r="H2212" s="639">
        <f>E2197</f>
        <v>8</v>
      </c>
    </row>
    <row r="2213" spans="1:8" s="201" customFormat="1">
      <c r="A2213" s="582"/>
      <c r="B2213" s="582"/>
      <c r="C2213" s="212"/>
      <c r="D2213" s="718" t="s">
        <v>130</v>
      </c>
      <c r="E2213" s="718"/>
      <c r="F2213" s="718"/>
      <c r="G2213" s="718"/>
      <c r="H2213" s="213">
        <f>ROUND(H2211*H2212,2)</f>
        <v>7008.16</v>
      </c>
    </row>
    <row r="2214" spans="1:8" s="201" customFormat="1">
      <c r="A2214" s="582"/>
      <c r="B2214" s="582"/>
      <c r="C2214" s="212"/>
      <c r="D2214" s="719" t="s">
        <v>15559</v>
      </c>
      <c r="E2214" s="719"/>
      <c r="F2214" s="719"/>
      <c r="G2214" s="719"/>
      <c r="H2214" s="638">
        <f>ROUND(H2211*$B$13,2)</f>
        <v>235.91</v>
      </c>
    </row>
    <row r="2215" spans="1:8">
      <c r="A2215" s="582"/>
      <c r="B2215" s="582"/>
      <c r="C2215" s="212"/>
      <c r="D2215" s="718" t="s">
        <v>9661</v>
      </c>
      <c r="E2215" s="718"/>
      <c r="F2215" s="718"/>
      <c r="G2215" s="718"/>
      <c r="H2215" s="213">
        <f>H2214+H2211</f>
        <v>1111.93</v>
      </c>
    </row>
    <row r="2216" spans="1:8" ht="15" customHeight="1">
      <c r="A2216" s="724" t="s">
        <v>9388</v>
      </c>
      <c r="B2216" s="724"/>
      <c r="C2216" s="724"/>
      <c r="D2216" s="724"/>
      <c r="E2216" s="724"/>
      <c r="F2216" s="724"/>
      <c r="G2216" s="724"/>
      <c r="H2216" s="724"/>
    </row>
    <row r="2218" spans="1:8" s="201" customFormat="1">
      <c r="A2218" s="123" t="s">
        <v>6</v>
      </c>
      <c r="B2218" s="720" t="s">
        <v>7</v>
      </c>
      <c r="C2218" s="720"/>
      <c r="D2218" s="202" t="s">
        <v>124</v>
      </c>
      <c r="E2218" s="167" t="s">
        <v>6334</v>
      </c>
      <c r="F2218" s="202" t="s">
        <v>31</v>
      </c>
      <c r="G2218" s="203" t="s">
        <v>125</v>
      </c>
      <c r="H2218" s="204" t="s">
        <v>126</v>
      </c>
    </row>
    <row r="2219" spans="1:8" s="208" customFormat="1" ht="30">
      <c r="A2219" s="581" t="str">
        <f>'Orç - Urbanização'!A102</f>
        <v>05.06.501.03</v>
      </c>
      <c r="B2219" s="581" t="str">
        <f>'Orç - Urbanização'!B102</f>
        <v>SBC</v>
      </c>
      <c r="C2219" s="581" t="str">
        <f>'Orç - Urbanização'!C102</f>
        <v>VEG 57202 MOD</v>
      </c>
      <c r="D2219" s="205" t="s">
        <v>9428</v>
      </c>
      <c r="E2219" s="206">
        <v>18</v>
      </c>
      <c r="F2219" s="581" t="s">
        <v>6337</v>
      </c>
      <c r="G2219" s="207">
        <f>VLOOKUP("CUSTO TOTAL UNIT.:",D2220:$H$30004,5,FALSE)</f>
        <v>746.03</v>
      </c>
      <c r="H2219" s="637">
        <f>VLOOKUP("CUSTO TOTAL:",D2220:$H$30004,5,FALSE)</f>
        <v>13428.54</v>
      </c>
    </row>
    <row r="2220" spans="1:8" s="124" customFormat="1">
      <c r="A2220" s="721">
        <v>1379</v>
      </c>
      <c r="B2220" s="721"/>
      <c r="C2220" s="200" t="s">
        <v>5256</v>
      </c>
      <c r="D2220" s="139" t="s">
        <v>10940</v>
      </c>
      <c r="E2220" s="209">
        <v>26.6</v>
      </c>
      <c r="F2220" s="577" t="s">
        <v>49</v>
      </c>
      <c r="G2220" s="210">
        <v>0.33210000000000001</v>
      </c>
      <c r="H2220" s="211">
        <f>ROUND(G2220*E2220,2)</f>
        <v>8.83</v>
      </c>
    </row>
    <row r="2221" spans="1:8" s="124" customFormat="1" ht="45">
      <c r="A2221" s="721">
        <v>367</v>
      </c>
      <c r="B2221" s="721"/>
      <c r="C2221" s="200" t="s">
        <v>5256</v>
      </c>
      <c r="D2221" s="139" t="s">
        <v>10017</v>
      </c>
      <c r="E2221" s="209">
        <v>0.01</v>
      </c>
      <c r="F2221" s="577" t="s">
        <v>45</v>
      </c>
      <c r="G2221" s="210">
        <v>94.243499999999997</v>
      </c>
      <c r="H2221" s="211">
        <f>ROUND(G2221*E2221,2)</f>
        <v>0.94</v>
      </c>
    </row>
    <row r="2222" spans="1:8" s="124" customFormat="1">
      <c r="A2222" s="721">
        <v>639</v>
      </c>
      <c r="B2222" s="721"/>
      <c r="C2222" s="200" t="s">
        <v>6799</v>
      </c>
      <c r="D2222" s="139" t="s">
        <v>9427</v>
      </c>
      <c r="E2222" s="209">
        <v>1</v>
      </c>
      <c r="F2222" s="577" t="s">
        <v>31</v>
      </c>
      <c r="G2222" s="210">
        <v>150.90300000000002</v>
      </c>
      <c r="H2222" s="211">
        <f>ROUND(G2222*E2222,2)</f>
        <v>150.9</v>
      </c>
    </row>
    <row r="2223" spans="1:8" s="124" customFormat="1" ht="30">
      <c r="A2223" s="721">
        <v>88309</v>
      </c>
      <c r="B2223" s="721"/>
      <c r="C2223" s="200" t="s">
        <v>5256</v>
      </c>
      <c r="D2223" s="139" t="s">
        <v>90</v>
      </c>
      <c r="E2223" s="209">
        <v>18.420000000000002</v>
      </c>
      <c r="F2223" s="577" t="s">
        <v>67</v>
      </c>
      <c r="G2223" s="210">
        <v>15.608700000000001</v>
      </c>
      <c r="H2223" s="211">
        <f>ROUND(G2223*E2223,2)</f>
        <v>287.51</v>
      </c>
    </row>
    <row r="2224" spans="1:8" s="124" customFormat="1" ht="30">
      <c r="A2224" s="721">
        <v>88316</v>
      </c>
      <c r="B2224" s="721"/>
      <c r="C2224" s="200" t="s">
        <v>5256</v>
      </c>
      <c r="D2224" s="139" t="s">
        <v>66</v>
      </c>
      <c r="E2224" s="209">
        <v>25.606999999999999</v>
      </c>
      <c r="F2224" s="577" t="s">
        <v>67</v>
      </c>
      <c r="G2224" s="210">
        <v>11.631600000000001</v>
      </c>
      <c r="H2224" s="211">
        <f>ROUND(G2224*E2224,2)</f>
        <v>297.85000000000002</v>
      </c>
    </row>
    <row r="2225" spans="1:8" s="201" customFormat="1">
      <c r="A2225" s="582"/>
      <c r="B2225" s="582"/>
      <c r="C2225" s="212"/>
      <c r="D2225" s="719" t="s">
        <v>127</v>
      </c>
      <c r="E2225" s="719"/>
      <c r="F2225" s="719"/>
      <c r="G2225" s="719"/>
      <c r="H2225" s="638">
        <f>SUMIF(F2220:F2224,("h"),H2220:H2224)</f>
        <v>585.36</v>
      </c>
    </row>
    <row r="2226" spans="1:8" s="201" customFormat="1">
      <c r="A2226" s="582"/>
      <c r="B2226" s="582"/>
      <c r="C2226" s="212"/>
      <c r="D2226" s="719" t="s">
        <v>128</v>
      </c>
      <c r="E2226" s="719"/>
      <c r="F2226" s="719"/>
      <c r="G2226" s="719"/>
      <c r="H2226" s="638">
        <f>SUMIF(F2220:F2224,"&lt;&gt;h",H2220:H2224)</f>
        <v>160.67000000000002</v>
      </c>
    </row>
    <row r="2227" spans="1:8" s="201" customFormat="1">
      <c r="A2227" s="582"/>
      <c r="B2227" s="582"/>
      <c r="C2227" s="212"/>
      <c r="D2227" s="718" t="s">
        <v>129</v>
      </c>
      <c r="E2227" s="718"/>
      <c r="F2227" s="718"/>
      <c r="G2227" s="718"/>
      <c r="H2227" s="213">
        <f>SUM(H2225:H2226)</f>
        <v>746.03</v>
      </c>
    </row>
    <row r="2228" spans="1:8" s="201" customFormat="1">
      <c r="A2228" s="582"/>
      <c r="B2228" s="582"/>
      <c r="C2228" s="212"/>
      <c r="D2228" s="719" t="s">
        <v>28</v>
      </c>
      <c r="E2228" s="719"/>
      <c r="F2228" s="719"/>
      <c r="G2228" s="719"/>
      <c r="H2228" s="639">
        <f>E2219</f>
        <v>18</v>
      </c>
    </row>
    <row r="2229" spans="1:8" s="201" customFormat="1">
      <c r="A2229" s="582"/>
      <c r="B2229" s="582"/>
      <c r="C2229" s="212"/>
      <c r="D2229" s="718" t="s">
        <v>130</v>
      </c>
      <c r="E2229" s="718"/>
      <c r="F2229" s="718"/>
      <c r="G2229" s="718"/>
      <c r="H2229" s="213">
        <f>ROUND(H2227*H2228,2)</f>
        <v>13428.54</v>
      </c>
    </row>
    <row r="2230" spans="1:8" s="201" customFormat="1">
      <c r="A2230" s="582"/>
      <c r="B2230" s="582"/>
      <c r="C2230" s="212"/>
      <c r="D2230" s="719" t="s">
        <v>15559</v>
      </c>
      <c r="E2230" s="719"/>
      <c r="F2230" s="719"/>
      <c r="G2230" s="719"/>
      <c r="H2230" s="638">
        <f>ROUND(H2227*$B$13,2)</f>
        <v>200.91</v>
      </c>
    </row>
    <row r="2231" spans="1:8">
      <c r="A2231" s="582"/>
      <c r="B2231" s="582"/>
      <c r="C2231" s="212"/>
      <c r="D2231" s="718" t="s">
        <v>9661</v>
      </c>
      <c r="E2231" s="718"/>
      <c r="F2231" s="718"/>
      <c r="G2231" s="718"/>
      <c r="H2231" s="213">
        <f>H2230+H2227</f>
        <v>946.93999999999994</v>
      </c>
    </row>
    <row r="2233" spans="1:8" s="201" customFormat="1">
      <c r="A2233" s="123" t="s">
        <v>6</v>
      </c>
      <c r="B2233" s="720" t="s">
        <v>7</v>
      </c>
      <c r="C2233" s="720"/>
      <c r="D2233" s="202" t="s">
        <v>124</v>
      </c>
      <c r="E2233" s="167" t="s">
        <v>6334</v>
      </c>
      <c r="F2233" s="202" t="s">
        <v>31</v>
      </c>
      <c r="G2233" s="203" t="s">
        <v>125</v>
      </c>
      <c r="H2233" s="204" t="s">
        <v>126</v>
      </c>
    </row>
    <row r="2234" spans="1:8" s="208" customFormat="1" ht="30">
      <c r="A2234" s="581" t="str">
        <f>'Orç - Urbanização'!A110</f>
        <v>05.06.907</v>
      </c>
      <c r="B2234" s="581" t="str">
        <f>'Orç - Urbanização'!B110</f>
        <v>SINAPI</v>
      </c>
      <c r="C2234" s="581" t="str">
        <f>'Orç - Urbanização'!C110</f>
        <v>6171 MOD</v>
      </c>
      <c r="D2234" s="205" t="s">
        <v>9515</v>
      </c>
      <c r="E2234" s="206">
        <v>6</v>
      </c>
      <c r="F2234" s="581" t="s">
        <v>6337</v>
      </c>
      <c r="G2234" s="207">
        <f>VLOOKUP("CUSTO TOTAL UNIT.:",D2235:$H$30004,5,FALSE)</f>
        <v>36.57</v>
      </c>
      <c r="H2234" s="637">
        <f>VLOOKUP("CUSTO TOTAL:",D2235:$H$30004,5,FALSE)</f>
        <v>219.42</v>
      </c>
    </row>
    <row r="2235" spans="1:8" s="124" customFormat="1">
      <c r="A2235" s="721">
        <v>39</v>
      </c>
      <c r="B2235" s="721"/>
      <c r="C2235" s="200" t="s">
        <v>5256</v>
      </c>
      <c r="D2235" s="139" t="s">
        <v>9763</v>
      </c>
      <c r="E2235" s="209">
        <v>2.88</v>
      </c>
      <c r="F2235" s="577" t="s">
        <v>49</v>
      </c>
      <c r="G2235" s="210">
        <v>3.8313000000000006</v>
      </c>
      <c r="H2235" s="211">
        <f t="shared" ref="H2235:H2245" si="77">ROUND(G2235*E2235,2)</f>
        <v>11.03</v>
      </c>
    </row>
    <row r="2236" spans="1:8" s="124" customFormat="1" ht="30">
      <c r="A2236" s="721">
        <v>345</v>
      </c>
      <c r="B2236" s="721"/>
      <c r="C2236" s="200" t="s">
        <v>5256</v>
      </c>
      <c r="D2236" s="139" t="s">
        <v>10010</v>
      </c>
      <c r="E2236" s="209">
        <v>5.8000000000000003E-2</v>
      </c>
      <c r="F2236" s="577" t="s">
        <v>49</v>
      </c>
      <c r="G2236" s="210">
        <v>14.831099999999999</v>
      </c>
      <c r="H2236" s="211">
        <f t="shared" si="77"/>
        <v>0.86</v>
      </c>
    </row>
    <row r="2237" spans="1:8" s="124" customFormat="1" ht="45">
      <c r="A2237" s="721">
        <v>367</v>
      </c>
      <c r="B2237" s="721"/>
      <c r="C2237" s="200" t="s">
        <v>5256</v>
      </c>
      <c r="D2237" s="139" t="s">
        <v>10017</v>
      </c>
      <c r="E2237" s="209">
        <v>3.2000000000000001E-2</v>
      </c>
      <c r="F2237" s="577" t="s">
        <v>45</v>
      </c>
      <c r="G2237" s="210">
        <v>94.243499999999997</v>
      </c>
      <c r="H2237" s="211">
        <f t="shared" si="77"/>
        <v>3.02</v>
      </c>
    </row>
    <row r="2238" spans="1:8" s="124" customFormat="1">
      <c r="A2238" s="721">
        <v>1379</v>
      </c>
      <c r="B2238" s="721"/>
      <c r="C2238" s="200" t="s">
        <v>5256</v>
      </c>
      <c r="D2238" s="139" t="s">
        <v>10940</v>
      </c>
      <c r="E2238" s="209">
        <v>11.08</v>
      </c>
      <c r="F2238" s="577" t="s">
        <v>49</v>
      </c>
      <c r="G2238" s="210">
        <v>0.33210000000000001</v>
      </c>
      <c r="H2238" s="211">
        <f t="shared" si="77"/>
        <v>3.68</v>
      </c>
    </row>
    <row r="2239" spans="1:8" s="124" customFormat="1" ht="45">
      <c r="A2239" s="721">
        <v>4512</v>
      </c>
      <c r="B2239" s="721"/>
      <c r="C2239" s="200" t="s">
        <v>5256</v>
      </c>
      <c r="D2239" s="139" t="s">
        <v>13819</v>
      </c>
      <c r="E2239" s="209">
        <v>5</v>
      </c>
      <c r="F2239" s="577" t="s">
        <v>48</v>
      </c>
      <c r="G2239" s="210">
        <v>0.76139999999999997</v>
      </c>
      <c r="H2239" s="211">
        <f t="shared" si="77"/>
        <v>3.81</v>
      </c>
    </row>
    <row r="2240" spans="1:8" s="124" customFormat="1" ht="30">
      <c r="A2240" s="721">
        <v>4718</v>
      </c>
      <c r="B2240" s="721"/>
      <c r="C2240" s="200" t="s">
        <v>5256</v>
      </c>
      <c r="D2240" s="139" t="s">
        <v>13270</v>
      </c>
      <c r="E2240" s="209">
        <v>0.03</v>
      </c>
      <c r="F2240" s="577" t="s">
        <v>45</v>
      </c>
      <c r="G2240" s="210">
        <v>66.15270000000001</v>
      </c>
      <c r="H2240" s="211">
        <f t="shared" si="77"/>
        <v>1.98</v>
      </c>
    </row>
    <row r="2241" spans="1:8" s="124" customFormat="1" ht="30">
      <c r="A2241" s="721">
        <v>5068</v>
      </c>
      <c r="B2241" s="721"/>
      <c r="C2241" s="200" t="s">
        <v>5256</v>
      </c>
      <c r="D2241" s="139" t="s">
        <v>13572</v>
      </c>
      <c r="E2241" s="209">
        <v>0.16</v>
      </c>
      <c r="F2241" s="577" t="s">
        <v>49</v>
      </c>
      <c r="G2241" s="210">
        <v>8.1972000000000005</v>
      </c>
      <c r="H2241" s="211">
        <f t="shared" si="77"/>
        <v>1.31</v>
      </c>
    </row>
    <row r="2242" spans="1:8" s="124" customFormat="1" ht="30">
      <c r="A2242" s="721">
        <v>88245</v>
      </c>
      <c r="B2242" s="721"/>
      <c r="C2242" s="200" t="s">
        <v>5256</v>
      </c>
      <c r="D2242" s="139" t="s">
        <v>70</v>
      </c>
      <c r="E2242" s="209">
        <v>0.2</v>
      </c>
      <c r="F2242" s="577" t="s">
        <v>67</v>
      </c>
      <c r="G2242" s="210">
        <v>15.519600000000001</v>
      </c>
      <c r="H2242" s="211">
        <f t="shared" si="77"/>
        <v>3.1</v>
      </c>
    </row>
    <row r="2243" spans="1:8" s="124" customFormat="1" ht="30">
      <c r="A2243" s="721">
        <v>88262</v>
      </c>
      <c r="B2243" s="721"/>
      <c r="C2243" s="200" t="s">
        <v>5256</v>
      </c>
      <c r="D2243" s="139" t="s">
        <v>83</v>
      </c>
      <c r="E2243" s="209">
        <v>0.2</v>
      </c>
      <c r="F2243" s="577" t="s">
        <v>67</v>
      </c>
      <c r="G2243" s="210">
        <v>15.487200000000001</v>
      </c>
      <c r="H2243" s="211">
        <f t="shared" si="77"/>
        <v>3.1</v>
      </c>
    </row>
    <row r="2244" spans="1:8" s="124" customFormat="1" ht="30">
      <c r="A2244" s="721">
        <v>88316</v>
      </c>
      <c r="B2244" s="721"/>
      <c r="C2244" s="200" t="s">
        <v>5256</v>
      </c>
      <c r="D2244" s="139" t="s">
        <v>66</v>
      </c>
      <c r="E2244" s="209">
        <v>0.4</v>
      </c>
      <c r="F2244" s="577" t="s">
        <v>67</v>
      </c>
      <c r="G2244" s="210">
        <v>11.631600000000001</v>
      </c>
      <c r="H2244" s="211">
        <f t="shared" si="77"/>
        <v>4.6500000000000004</v>
      </c>
    </row>
    <row r="2245" spans="1:8" s="124" customFormat="1" ht="60">
      <c r="A2245" s="721">
        <v>88830</v>
      </c>
      <c r="B2245" s="721"/>
      <c r="C2245" s="200" t="s">
        <v>5256</v>
      </c>
      <c r="D2245" s="139" t="s">
        <v>387</v>
      </c>
      <c r="E2245" s="209">
        <v>2.8000000000000001E-2</v>
      </c>
      <c r="F2245" s="577" t="s">
        <v>100</v>
      </c>
      <c r="G2245" s="210">
        <v>1.0368000000000002</v>
      </c>
      <c r="H2245" s="211">
        <f t="shared" si="77"/>
        <v>0.03</v>
      </c>
    </row>
    <row r="2246" spans="1:8" s="201" customFormat="1">
      <c r="A2246" s="582"/>
      <c r="B2246" s="582"/>
      <c r="C2246" s="212"/>
      <c r="D2246" s="719" t="s">
        <v>127</v>
      </c>
      <c r="E2246" s="719"/>
      <c r="F2246" s="719"/>
      <c r="G2246" s="719"/>
      <c r="H2246" s="638">
        <f>SUMIF(F2235:F2245,("h"),H2235:H2245)</f>
        <v>10.850000000000001</v>
      </c>
    </row>
    <row r="2247" spans="1:8" s="201" customFormat="1">
      <c r="A2247" s="582"/>
      <c r="B2247" s="582"/>
      <c r="C2247" s="212"/>
      <c r="D2247" s="719" t="s">
        <v>128</v>
      </c>
      <c r="E2247" s="719"/>
      <c r="F2247" s="719"/>
      <c r="G2247" s="719"/>
      <c r="H2247" s="638">
        <f>SUMIF(F2235:F2245,"&lt;&gt;h",H2235:H2245)</f>
        <v>25.72</v>
      </c>
    </row>
    <row r="2248" spans="1:8" s="201" customFormat="1">
      <c r="A2248" s="582"/>
      <c r="B2248" s="582"/>
      <c r="C2248" s="212"/>
      <c r="D2248" s="718" t="s">
        <v>129</v>
      </c>
      <c r="E2248" s="718"/>
      <c r="F2248" s="718"/>
      <c r="G2248" s="718"/>
      <c r="H2248" s="213">
        <f>SUM(H2246:H2247)</f>
        <v>36.57</v>
      </c>
    </row>
    <row r="2249" spans="1:8" s="201" customFormat="1">
      <c r="A2249" s="582"/>
      <c r="B2249" s="582"/>
      <c r="C2249" s="212"/>
      <c r="D2249" s="719" t="s">
        <v>28</v>
      </c>
      <c r="E2249" s="719"/>
      <c r="F2249" s="719"/>
      <c r="G2249" s="719"/>
      <c r="H2249" s="639">
        <f>E2234</f>
        <v>6</v>
      </c>
    </row>
    <row r="2250" spans="1:8" s="201" customFormat="1">
      <c r="A2250" s="582"/>
      <c r="B2250" s="582"/>
      <c r="C2250" s="212"/>
      <c r="D2250" s="718" t="s">
        <v>130</v>
      </c>
      <c r="E2250" s="718"/>
      <c r="F2250" s="718"/>
      <c r="G2250" s="718"/>
      <c r="H2250" s="213">
        <f>ROUND(H2248*H2249,2)</f>
        <v>219.42</v>
      </c>
    </row>
    <row r="2251" spans="1:8" s="201" customFormat="1">
      <c r="A2251" s="582"/>
      <c r="B2251" s="582"/>
      <c r="C2251" s="212"/>
      <c r="D2251" s="719" t="s">
        <v>15559</v>
      </c>
      <c r="E2251" s="719"/>
      <c r="F2251" s="719"/>
      <c r="G2251" s="719"/>
      <c r="H2251" s="638">
        <f>ROUND(H2248*$B$13,2)</f>
        <v>9.85</v>
      </c>
    </row>
    <row r="2252" spans="1:8">
      <c r="A2252" s="582"/>
      <c r="B2252" s="582"/>
      <c r="C2252" s="212"/>
      <c r="D2252" s="718" t="s">
        <v>9661</v>
      </c>
      <c r="E2252" s="718"/>
      <c r="F2252" s="718"/>
      <c r="G2252" s="718"/>
      <c r="H2252" s="213">
        <f>H2251+H2248</f>
        <v>46.42</v>
      </c>
    </row>
    <row r="2254" spans="1:8" s="201" customFormat="1">
      <c r="A2254" s="123" t="s">
        <v>6</v>
      </c>
      <c r="B2254" s="720" t="s">
        <v>7</v>
      </c>
      <c r="C2254" s="720"/>
      <c r="D2254" s="202" t="s">
        <v>124</v>
      </c>
      <c r="E2254" s="167" t="s">
        <v>6334</v>
      </c>
      <c r="F2254" s="202" t="s">
        <v>31</v>
      </c>
      <c r="G2254" s="203" t="s">
        <v>125</v>
      </c>
      <c r="H2254" s="204" t="s">
        <v>126</v>
      </c>
    </row>
    <row r="2255" spans="1:8" s="208" customFormat="1" ht="45">
      <c r="A2255" s="581" t="str">
        <f>'Orç - Urbanização'!A111</f>
        <v>05.06.908</v>
      </c>
      <c r="B2255" s="581" t="str">
        <f>'Orç - Urbanização'!B111</f>
        <v>ORSE</v>
      </c>
      <c r="C2255" s="581">
        <f>'Orç - Urbanização'!C111</f>
        <v>8181</v>
      </c>
      <c r="D2255" s="205" t="s">
        <v>9516</v>
      </c>
      <c r="E2255" s="206">
        <v>1.5</v>
      </c>
      <c r="F2255" s="581" t="s">
        <v>6339</v>
      </c>
      <c r="G2255" s="207">
        <f>VLOOKUP("CUSTO TOTAL UNIT.:",D2256:$H$30004,5,FALSE)</f>
        <v>97.960000000000008</v>
      </c>
      <c r="H2255" s="637">
        <f>VLOOKUP("CUSTO TOTAL:",D2256:$H$30004,5,FALSE)</f>
        <v>146.94</v>
      </c>
    </row>
    <row r="2256" spans="1:8" s="124" customFormat="1" ht="30">
      <c r="A2256" s="721">
        <v>552</v>
      </c>
      <c r="B2256" s="721"/>
      <c r="C2256" s="200" t="s">
        <v>5256</v>
      </c>
      <c r="D2256" s="139" t="s">
        <v>10145</v>
      </c>
      <c r="E2256" s="209">
        <v>0.4</v>
      </c>
      <c r="F2256" s="577" t="s">
        <v>48</v>
      </c>
      <c r="G2256" s="210">
        <v>8.2053000000000011</v>
      </c>
      <c r="H2256" s="211">
        <f>ROUND(G2256*E2256,2)</f>
        <v>3.28</v>
      </c>
    </row>
    <row r="2257" spans="1:8" s="124" customFormat="1" ht="30">
      <c r="A2257" s="721">
        <v>10997</v>
      </c>
      <c r="B2257" s="721"/>
      <c r="C2257" s="200" t="s">
        <v>5256</v>
      </c>
      <c r="D2257" s="139" t="s">
        <v>11652</v>
      </c>
      <c r="E2257" s="209">
        <v>0.04</v>
      </c>
      <c r="F2257" s="577" t="s">
        <v>49</v>
      </c>
      <c r="G2257" s="210">
        <v>14.482800000000001</v>
      </c>
      <c r="H2257" s="211">
        <f>ROUND(G2257*E2257,2)</f>
        <v>0.57999999999999996</v>
      </c>
    </row>
    <row r="2258" spans="1:8" s="124" customFormat="1" ht="45">
      <c r="A2258" s="721">
        <v>13068</v>
      </c>
      <c r="B2258" s="721"/>
      <c r="C2258" s="200" t="s">
        <v>6333</v>
      </c>
      <c r="D2258" s="139" t="s">
        <v>9517</v>
      </c>
      <c r="E2258" s="209">
        <v>1.1499999999999999</v>
      </c>
      <c r="F2258" s="577" t="s">
        <v>322</v>
      </c>
      <c r="G2258" s="210">
        <v>51.621299999999998</v>
      </c>
      <c r="H2258" s="211">
        <f>ROUND(G2258*E2258,2)</f>
        <v>59.36</v>
      </c>
    </row>
    <row r="2259" spans="1:8" s="124" customFormat="1" ht="30">
      <c r="A2259" s="721">
        <v>88315</v>
      </c>
      <c r="B2259" s="721"/>
      <c r="C2259" s="200" t="s">
        <v>5256</v>
      </c>
      <c r="D2259" s="139" t="s">
        <v>112</v>
      </c>
      <c r="E2259" s="209">
        <v>1.5</v>
      </c>
      <c r="F2259" s="577" t="s">
        <v>67</v>
      </c>
      <c r="G2259" s="210">
        <v>15.519600000000001</v>
      </c>
      <c r="H2259" s="211">
        <f>ROUND(G2259*E2259,2)</f>
        <v>23.28</v>
      </c>
    </row>
    <row r="2260" spans="1:8" s="124" customFormat="1" ht="30">
      <c r="A2260" s="721">
        <v>88251</v>
      </c>
      <c r="B2260" s="721"/>
      <c r="C2260" s="200" t="s">
        <v>5256</v>
      </c>
      <c r="D2260" s="139" t="s">
        <v>78</v>
      </c>
      <c r="E2260" s="209">
        <v>0.9</v>
      </c>
      <c r="F2260" s="577" t="s">
        <v>67</v>
      </c>
      <c r="G2260" s="210">
        <v>12.733200000000002</v>
      </c>
      <c r="H2260" s="211">
        <f>ROUND(G2260*E2260,2)</f>
        <v>11.46</v>
      </c>
    </row>
    <row r="2261" spans="1:8" s="201" customFormat="1">
      <c r="A2261" s="582"/>
      <c r="B2261" s="582"/>
      <c r="C2261" s="212"/>
      <c r="D2261" s="719" t="s">
        <v>127</v>
      </c>
      <c r="E2261" s="719"/>
      <c r="F2261" s="719"/>
      <c r="G2261" s="719"/>
      <c r="H2261" s="638">
        <f>SUMIF(F2256:F2260,("h"),H2256:H2260)</f>
        <v>34.74</v>
      </c>
    </row>
    <row r="2262" spans="1:8" s="201" customFormat="1">
      <c r="A2262" s="582"/>
      <c r="B2262" s="582"/>
      <c r="C2262" s="212"/>
      <c r="D2262" s="719" t="s">
        <v>128</v>
      </c>
      <c r="E2262" s="719"/>
      <c r="F2262" s="719"/>
      <c r="G2262" s="719"/>
      <c r="H2262" s="638">
        <f>SUMIF(F2256:F2260,"&lt;&gt;h",H2256:H2260)</f>
        <v>63.22</v>
      </c>
    </row>
    <row r="2263" spans="1:8" s="201" customFormat="1">
      <c r="A2263" s="582"/>
      <c r="B2263" s="582"/>
      <c r="C2263" s="212"/>
      <c r="D2263" s="718" t="s">
        <v>129</v>
      </c>
      <c r="E2263" s="718"/>
      <c r="F2263" s="718"/>
      <c r="G2263" s="718"/>
      <c r="H2263" s="213">
        <f>SUM(H2261:H2262)</f>
        <v>97.960000000000008</v>
      </c>
    </row>
    <row r="2264" spans="1:8" s="201" customFormat="1">
      <c r="A2264" s="582"/>
      <c r="B2264" s="582"/>
      <c r="C2264" s="212"/>
      <c r="D2264" s="719" t="s">
        <v>28</v>
      </c>
      <c r="E2264" s="719"/>
      <c r="F2264" s="719"/>
      <c r="G2264" s="719"/>
      <c r="H2264" s="639">
        <f>E2255</f>
        <v>1.5</v>
      </c>
    </row>
    <row r="2265" spans="1:8" s="201" customFormat="1">
      <c r="A2265" s="582"/>
      <c r="B2265" s="582"/>
      <c r="C2265" s="212"/>
      <c r="D2265" s="718" t="s">
        <v>130</v>
      </c>
      <c r="E2265" s="718"/>
      <c r="F2265" s="718"/>
      <c r="G2265" s="718"/>
      <c r="H2265" s="213">
        <f>ROUND(H2263*H2264,2)</f>
        <v>146.94</v>
      </c>
    </row>
    <row r="2266" spans="1:8" s="201" customFormat="1">
      <c r="A2266" s="582"/>
      <c r="B2266" s="582"/>
      <c r="C2266" s="212"/>
      <c r="D2266" s="719" t="s">
        <v>15559</v>
      </c>
      <c r="E2266" s="719"/>
      <c r="F2266" s="719"/>
      <c r="G2266" s="719"/>
      <c r="H2266" s="638">
        <f>ROUND(H2263*$B$13,2)</f>
        <v>26.38</v>
      </c>
    </row>
    <row r="2267" spans="1:8">
      <c r="A2267" s="582"/>
      <c r="B2267" s="582"/>
      <c r="C2267" s="212"/>
      <c r="D2267" s="718" t="s">
        <v>9661</v>
      </c>
      <c r="E2267" s="718"/>
      <c r="F2267" s="718"/>
      <c r="G2267" s="718"/>
      <c r="H2267" s="213">
        <f>H2266+H2263</f>
        <v>124.34</v>
      </c>
    </row>
    <row r="2269" spans="1:8" s="201" customFormat="1">
      <c r="A2269" s="123" t="s">
        <v>6</v>
      </c>
      <c r="B2269" s="720" t="s">
        <v>7</v>
      </c>
      <c r="C2269" s="720"/>
      <c r="D2269" s="202" t="s">
        <v>124</v>
      </c>
      <c r="E2269" s="167" t="s">
        <v>6334</v>
      </c>
      <c r="F2269" s="202" t="s">
        <v>31</v>
      </c>
      <c r="G2269" s="203" t="s">
        <v>125</v>
      </c>
      <c r="H2269" s="204" t="s">
        <v>126</v>
      </c>
    </row>
    <row r="2270" spans="1:8" s="208" customFormat="1" ht="30">
      <c r="A2270" s="581" t="str">
        <f>'Orç - Urbanização'!A113</f>
        <v>05.06.910</v>
      </c>
      <c r="B2270" s="581" t="str">
        <f>'Orç - Urbanização'!B113</f>
        <v>SINAPI</v>
      </c>
      <c r="C2270" s="581" t="str">
        <f>'Orç - Urbanização'!C113</f>
        <v>83682 MOD</v>
      </c>
      <c r="D2270" s="205" t="s">
        <v>9535</v>
      </c>
      <c r="E2270" s="581">
        <v>178.08</v>
      </c>
      <c r="F2270" s="581" t="s">
        <v>6741</v>
      </c>
      <c r="G2270" s="207">
        <f>VLOOKUP("CUSTO TOTAL UNIT.:",D2271:$H$30004,5,FALSE)</f>
        <v>101.85</v>
      </c>
      <c r="H2270" s="637">
        <f>VLOOKUP("CUSTO TOTAL:",D2271:$H$30004,5,FALSE)</f>
        <v>18137.45</v>
      </c>
    </row>
    <row r="2271" spans="1:8" s="124" customFormat="1" ht="30">
      <c r="A2271" s="721">
        <v>4722</v>
      </c>
      <c r="B2271" s="721"/>
      <c r="C2271" s="200" t="s">
        <v>5256</v>
      </c>
      <c r="D2271" s="139" t="s">
        <v>13271</v>
      </c>
      <c r="E2271" s="209">
        <v>1.1000000000000001</v>
      </c>
      <c r="F2271" s="577" t="s">
        <v>45</v>
      </c>
      <c r="G2271" s="210">
        <v>66.15270000000001</v>
      </c>
      <c r="H2271" s="211">
        <f>ROUND(G2271*E2271,2)</f>
        <v>72.77</v>
      </c>
    </row>
    <row r="2272" spans="1:8" s="124" customFormat="1" ht="30">
      <c r="A2272" s="721">
        <v>88316</v>
      </c>
      <c r="B2272" s="721"/>
      <c r="C2272" s="200" t="s">
        <v>5256</v>
      </c>
      <c r="D2272" s="139" t="s">
        <v>66</v>
      </c>
      <c r="E2272" s="209">
        <v>2.5</v>
      </c>
      <c r="F2272" s="577" t="s">
        <v>67</v>
      </c>
      <c r="G2272" s="210">
        <v>11.631600000000001</v>
      </c>
      <c r="H2272" s="211">
        <f>ROUND(G2272*E2272,2)</f>
        <v>29.08</v>
      </c>
    </row>
    <row r="2273" spans="1:8" s="201" customFormat="1">
      <c r="A2273" s="582"/>
      <c r="B2273" s="582"/>
      <c r="C2273" s="212"/>
      <c r="D2273" s="719" t="s">
        <v>127</v>
      </c>
      <c r="E2273" s="719"/>
      <c r="F2273" s="719"/>
      <c r="G2273" s="719"/>
      <c r="H2273" s="638">
        <f>SUMIF(F2271:F2272,("h"),H2271:H2272)</f>
        <v>29.08</v>
      </c>
    </row>
    <row r="2274" spans="1:8" s="201" customFormat="1">
      <c r="A2274" s="582"/>
      <c r="B2274" s="582"/>
      <c r="C2274" s="212"/>
      <c r="D2274" s="719" t="s">
        <v>128</v>
      </c>
      <c r="E2274" s="719"/>
      <c r="F2274" s="719"/>
      <c r="G2274" s="719"/>
      <c r="H2274" s="638">
        <f>SUMIF(F2271:F2272,"&lt;&gt;h",H2271:H2272)</f>
        <v>72.77</v>
      </c>
    </row>
    <row r="2275" spans="1:8" s="201" customFormat="1">
      <c r="A2275" s="582"/>
      <c r="B2275" s="582"/>
      <c r="C2275" s="212"/>
      <c r="D2275" s="718" t="s">
        <v>129</v>
      </c>
      <c r="E2275" s="718"/>
      <c r="F2275" s="718"/>
      <c r="G2275" s="718"/>
      <c r="H2275" s="213">
        <f>SUM(H2273:H2274)</f>
        <v>101.85</v>
      </c>
    </row>
    <row r="2276" spans="1:8" s="201" customFormat="1">
      <c r="A2276" s="582"/>
      <c r="B2276" s="582"/>
      <c r="C2276" s="212"/>
      <c r="D2276" s="719" t="s">
        <v>28</v>
      </c>
      <c r="E2276" s="719"/>
      <c r="F2276" s="719"/>
      <c r="G2276" s="719"/>
      <c r="H2276" s="639">
        <f>E2270</f>
        <v>178.08</v>
      </c>
    </row>
    <row r="2277" spans="1:8" s="201" customFormat="1">
      <c r="A2277" s="582"/>
      <c r="B2277" s="582"/>
      <c r="C2277" s="212"/>
      <c r="D2277" s="718" t="s">
        <v>130</v>
      </c>
      <c r="E2277" s="718"/>
      <c r="F2277" s="718"/>
      <c r="G2277" s="718"/>
      <c r="H2277" s="213">
        <f>ROUND(H2275*H2276,2)</f>
        <v>18137.45</v>
      </c>
    </row>
    <row r="2278" spans="1:8" s="201" customFormat="1">
      <c r="A2278" s="582"/>
      <c r="B2278" s="582"/>
      <c r="C2278" s="212"/>
      <c r="D2278" s="719" t="s">
        <v>15559</v>
      </c>
      <c r="E2278" s="719"/>
      <c r="F2278" s="719"/>
      <c r="G2278" s="719"/>
      <c r="H2278" s="638">
        <f>ROUND(H2275*$B$13,2)</f>
        <v>27.43</v>
      </c>
    </row>
    <row r="2279" spans="1:8">
      <c r="A2279" s="582"/>
      <c r="B2279" s="582"/>
      <c r="C2279" s="212"/>
      <c r="D2279" s="718" t="s">
        <v>9661</v>
      </c>
      <c r="E2279" s="718"/>
      <c r="F2279" s="718"/>
      <c r="G2279" s="718"/>
      <c r="H2279" s="213">
        <f>H2278+H2275</f>
        <v>129.28</v>
      </c>
    </row>
    <row r="2281" spans="1:8" s="201" customFormat="1">
      <c r="A2281" s="123" t="s">
        <v>6</v>
      </c>
      <c r="B2281" s="720" t="s">
        <v>7</v>
      </c>
      <c r="C2281" s="720"/>
      <c r="D2281" s="202" t="s">
        <v>124</v>
      </c>
      <c r="E2281" s="167" t="s">
        <v>6334</v>
      </c>
      <c r="F2281" s="202" t="s">
        <v>31</v>
      </c>
      <c r="G2281" s="203" t="s">
        <v>125</v>
      </c>
      <c r="H2281" s="204" t="s">
        <v>126</v>
      </c>
    </row>
    <row r="2282" spans="1:8" s="208" customFormat="1" ht="30">
      <c r="A2282" s="581" t="str">
        <f>'Orç - Urbanização'!A114</f>
        <v>05.06.911</v>
      </c>
      <c r="B2282" s="581" t="str">
        <f>'Orç - Urbanização'!B114</f>
        <v>SINAPI</v>
      </c>
      <c r="C2282" s="581" t="str">
        <f>'Orç - Urbanização'!C114</f>
        <v>90740 MOD</v>
      </c>
      <c r="D2282" s="205" t="s">
        <v>9533</v>
      </c>
      <c r="E2282" s="206">
        <v>23</v>
      </c>
      <c r="F2282" s="581" t="s">
        <v>6774</v>
      </c>
      <c r="G2282" s="207">
        <f>VLOOKUP("CUSTO TOTAL UNIT.:",D2283:$H$30004,5,FALSE)</f>
        <v>23.59</v>
      </c>
      <c r="H2282" s="637">
        <f>VLOOKUP("CUSTO TOTAL:",D2283:$H$30004,5,FALSE)</f>
        <v>542.57000000000005</v>
      </c>
    </row>
    <row r="2283" spans="1:8" s="124" customFormat="1" ht="75">
      <c r="A2283" s="721">
        <v>38054</v>
      </c>
      <c r="B2283" s="721"/>
      <c r="C2283" s="200" t="s">
        <v>5256</v>
      </c>
      <c r="D2283" s="139" t="s">
        <v>14694</v>
      </c>
      <c r="E2283" s="209">
        <v>1.05</v>
      </c>
      <c r="F2283" s="577" t="s">
        <v>48</v>
      </c>
      <c r="G2283" s="210">
        <v>15.2928</v>
      </c>
      <c r="H2283" s="211">
        <f>ROUND(G2283*E2283,2)</f>
        <v>16.059999999999999</v>
      </c>
    </row>
    <row r="2284" spans="1:8" s="124" customFormat="1" ht="45">
      <c r="A2284" s="721">
        <v>4012</v>
      </c>
      <c r="B2284" s="721"/>
      <c r="C2284" s="200" t="s">
        <v>5256</v>
      </c>
      <c r="D2284" s="139" t="s">
        <v>12056</v>
      </c>
      <c r="E2284" s="209">
        <v>0.50264000000000009</v>
      </c>
      <c r="F2284" s="577" t="s">
        <v>46</v>
      </c>
      <c r="G2284" s="210">
        <v>8.4159000000000006</v>
      </c>
      <c r="H2284" s="211">
        <f>ROUND(G2284*E2284,2)</f>
        <v>4.2300000000000004</v>
      </c>
    </row>
    <row r="2285" spans="1:8" s="124" customFormat="1" ht="30">
      <c r="A2285" s="721">
        <v>88246</v>
      </c>
      <c r="B2285" s="721"/>
      <c r="C2285" s="200" t="s">
        <v>5256</v>
      </c>
      <c r="D2285" s="139" t="s">
        <v>72</v>
      </c>
      <c r="E2285" s="209">
        <v>0.13350000000000001</v>
      </c>
      <c r="F2285" s="577" t="s">
        <v>67</v>
      </c>
      <c r="G2285" s="210">
        <v>12.239100000000001</v>
      </c>
      <c r="H2285" s="211">
        <f>ROUND(G2285*E2285,2)</f>
        <v>1.63</v>
      </c>
    </row>
    <row r="2286" spans="1:8" s="124" customFormat="1" ht="30">
      <c r="A2286" s="721">
        <v>88316</v>
      </c>
      <c r="B2286" s="721"/>
      <c r="C2286" s="200" t="s">
        <v>5256</v>
      </c>
      <c r="D2286" s="139" t="s">
        <v>66</v>
      </c>
      <c r="E2286" s="209">
        <v>0.14355280000000001</v>
      </c>
      <c r="F2286" s="577" t="s">
        <v>67</v>
      </c>
      <c r="G2286" s="210">
        <v>11.631600000000001</v>
      </c>
      <c r="H2286" s="211">
        <f>ROUND(G2286*E2286,2)</f>
        <v>1.67</v>
      </c>
    </row>
    <row r="2287" spans="1:8" s="201" customFormat="1">
      <c r="A2287" s="582"/>
      <c r="B2287" s="582"/>
      <c r="C2287" s="212"/>
      <c r="D2287" s="719" t="s">
        <v>127</v>
      </c>
      <c r="E2287" s="719"/>
      <c r="F2287" s="719"/>
      <c r="G2287" s="719"/>
      <c r="H2287" s="638">
        <f>SUMIF(F2283:F2286,("h"),H2283:H2286)</f>
        <v>3.3</v>
      </c>
    </row>
    <row r="2288" spans="1:8" s="201" customFormat="1">
      <c r="A2288" s="582"/>
      <c r="B2288" s="582"/>
      <c r="C2288" s="212"/>
      <c r="D2288" s="719" t="s">
        <v>128</v>
      </c>
      <c r="E2288" s="719"/>
      <c r="F2288" s="719"/>
      <c r="G2288" s="719"/>
      <c r="H2288" s="638">
        <f>SUMIF(F2283:F2286,"&lt;&gt;h",H2283:H2286)</f>
        <v>20.29</v>
      </c>
    </row>
    <row r="2289" spans="1:8" s="201" customFormat="1">
      <c r="A2289" s="582"/>
      <c r="B2289" s="582"/>
      <c r="C2289" s="212"/>
      <c r="D2289" s="718" t="s">
        <v>129</v>
      </c>
      <c r="E2289" s="718"/>
      <c r="F2289" s="718"/>
      <c r="G2289" s="718"/>
      <c r="H2289" s="213">
        <f>SUM(H2287:H2288)</f>
        <v>23.59</v>
      </c>
    </row>
    <row r="2290" spans="1:8" s="201" customFormat="1">
      <c r="A2290" s="582"/>
      <c r="B2290" s="582"/>
      <c r="C2290" s="212"/>
      <c r="D2290" s="719" t="s">
        <v>28</v>
      </c>
      <c r="E2290" s="719"/>
      <c r="F2290" s="719"/>
      <c r="G2290" s="719"/>
      <c r="H2290" s="639">
        <f>E2282</f>
        <v>23</v>
      </c>
    </row>
    <row r="2291" spans="1:8" s="201" customFormat="1">
      <c r="A2291" s="582"/>
      <c r="B2291" s="582"/>
      <c r="C2291" s="212"/>
      <c r="D2291" s="718" t="s">
        <v>130</v>
      </c>
      <c r="E2291" s="718"/>
      <c r="F2291" s="718"/>
      <c r="G2291" s="718"/>
      <c r="H2291" s="213">
        <f>ROUND(H2289*H2290,2)</f>
        <v>542.57000000000005</v>
      </c>
    </row>
    <row r="2292" spans="1:8" s="201" customFormat="1">
      <c r="A2292" s="582"/>
      <c r="B2292" s="582"/>
      <c r="C2292" s="212"/>
      <c r="D2292" s="719" t="s">
        <v>15559</v>
      </c>
      <c r="E2292" s="719"/>
      <c r="F2292" s="719"/>
      <c r="G2292" s="719"/>
      <c r="H2292" s="638">
        <f>ROUND(H2289*$B$13,2)</f>
        <v>6.35</v>
      </c>
    </row>
    <row r="2293" spans="1:8">
      <c r="A2293" s="582"/>
      <c r="B2293" s="582"/>
      <c r="C2293" s="212"/>
      <c r="D2293" s="718" t="s">
        <v>9661</v>
      </c>
      <c r="E2293" s="718"/>
      <c r="F2293" s="718"/>
      <c r="G2293" s="718"/>
      <c r="H2293" s="213">
        <f>H2292+H2289</f>
        <v>29.939999999999998</v>
      </c>
    </row>
    <row r="2295" spans="1:8" s="162" customFormat="1">
      <c r="A2295" s="158" t="str">
        <f>'Orç - Prédio'!A402</f>
        <v>06.00.000</v>
      </c>
      <c r="B2295" s="158"/>
      <c r="C2295" s="159"/>
      <c r="D2295" s="133" t="s">
        <v>5806</v>
      </c>
      <c r="E2295" s="171"/>
      <c r="F2295" s="158"/>
      <c r="G2295" s="160"/>
      <c r="H2295" s="161"/>
    </row>
    <row r="2296" spans="1:8" s="201" customFormat="1">
      <c r="A2296" s="577"/>
      <c r="B2296" s="577"/>
      <c r="C2296" s="200"/>
      <c r="D2296" s="125"/>
      <c r="E2296" s="165"/>
      <c r="F2296" s="577"/>
      <c r="G2296" s="136"/>
      <c r="H2296" s="211"/>
    </row>
    <row r="2297" spans="1:8" s="201" customFormat="1">
      <c r="A2297" s="123" t="s">
        <v>6</v>
      </c>
      <c r="B2297" s="720" t="s">
        <v>7</v>
      </c>
      <c r="C2297" s="720"/>
      <c r="D2297" s="202" t="s">
        <v>124</v>
      </c>
      <c r="E2297" s="167" t="s">
        <v>6334</v>
      </c>
      <c r="F2297" s="202" t="s">
        <v>31</v>
      </c>
      <c r="G2297" s="203" t="s">
        <v>125</v>
      </c>
      <c r="H2297" s="204" t="s">
        <v>126</v>
      </c>
    </row>
    <row r="2298" spans="1:8" s="208" customFormat="1" ht="60">
      <c r="A2298" s="581" t="str">
        <f>'Orç - Prédio'!A409</f>
        <v>06.01.104</v>
      </c>
      <c r="B2298" s="581" t="str">
        <f>'Orç - Prédio'!B409</f>
        <v>ORSE</v>
      </c>
      <c r="C2298" s="581">
        <f>'Orç - Prédio'!C409</f>
        <v>2813</v>
      </c>
      <c r="D2298" s="205" t="s">
        <v>15459</v>
      </c>
      <c r="E2298" s="206">
        <v>2</v>
      </c>
      <c r="F2298" s="581" t="s">
        <v>6337</v>
      </c>
      <c r="G2298" s="207">
        <f>VLOOKUP("CUSTO TOTAL UNIT.:",D2299:$H$30004,5,FALSE)</f>
        <v>936.68000000000006</v>
      </c>
      <c r="H2298" s="637">
        <f>VLOOKUP("CUSTO TOTAL:",D2299:$H$30004,5,FALSE)</f>
        <v>1873.36</v>
      </c>
    </row>
    <row r="2299" spans="1:8" s="124" customFormat="1" ht="45">
      <c r="A2299" s="721">
        <v>11293</v>
      </c>
      <c r="B2299" s="721"/>
      <c r="C2299" s="200" t="s">
        <v>5256</v>
      </c>
      <c r="D2299" s="139" t="s">
        <v>13967</v>
      </c>
      <c r="E2299" s="209">
        <v>1</v>
      </c>
      <c r="F2299" s="577" t="s">
        <v>40</v>
      </c>
      <c r="G2299" s="210">
        <v>160.23420000000002</v>
      </c>
      <c r="H2299" s="211">
        <f t="shared" ref="H2299:H2305" si="78">ROUND(G2299*E2299,2)</f>
        <v>160.22999999999999</v>
      </c>
    </row>
    <row r="2300" spans="1:8" s="124" customFormat="1" ht="75">
      <c r="A2300" s="721">
        <v>96540</v>
      </c>
      <c r="B2300" s="721"/>
      <c r="C2300" s="200" t="s">
        <v>5256</v>
      </c>
      <c r="D2300" s="139" t="s">
        <v>1869</v>
      </c>
      <c r="E2300" s="209">
        <v>1.1000000000000001</v>
      </c>
      <c r="F2300" s="577" t="s">
        <v>322</v>
      </c>
      <c r="G2300" s="210">
        <v>67.756500000000003</v>
      </c>
      <c r="H2300" s="211">
        <f t="shared" si="78"/>
        <v>74.53</v>
      </c>
    </row>
    <row r="2301" spans="1:8" s="124" customFormat="1" ht="60">
      <c r="A2301" s="721">
        <v>94969</v>
      </c>
      <c r="B2301" s="721"/>
      <c r="C2301" s="200" t="s">
        <v>5256</v>
      </c>
      <c r="D2301" s="139" t="s">
        <v>2025</v>
      </c>
      <c r="E2301" s="209">
        <v>0.39510000000000001</v>
      </c>
      <c r="F2301" s="577" t="s">
        <v>1261</v>
      </c>
      <c r="G2301" s="210">
        <v>228.84119999999999</v>
      </c>
      <c r="H2301" s="211">
        <f t="shared" si="78"/>
        <v>90.42</v>
      </c>
    </row>
    <row r="2302" spans="1:8" s="124" customFormat="1" ht="60">
      <c r="A2302" s="721">
        <v>92919</v>
      </c>
      <c r="B2302" s="721"/>
      <c r="C2302" s="200" t="s">
        <v>5256</v>
      </c>
      <c r="D2302" s="139" t="s">
        <v>1948</v>
      </c>
      <c r="E2302" s="209">
        <v>15.85</v>
      </c>
      <c r="F2302" s="577" t="s">
        <v>315</v>
      </c>
      <c r="G2302" s="210">
        <v>6.0831</v>
      </c>
      <c r="H2302" s="211">
        <f t="shared" si="78"/>
        <v>96.42</v>
      </c>
    </row>
    <row r="2303" spans="1:8" s="124" customFormat="1" ht="60">
      <c r="A2303" s="721">
        <v>72131</v>
      </c>
      <c r="B2303" s="721"/>
      <c r="C2303" s="200" t="s">
        <v>5256</v>
      </c>
      <c r="D2303" s="139" t="s">
        <v>4108</v>
      </c>
      <c r="E2303" s="209">
        <v>3.8</v>
      </c>
      <c r="F2303" s="577" t="s">
        <v>322</v>
      </c>
      <c r="G2303" s="210">
        <v>92.056500000000014</v>
      </c>
      <c r="H2303" s="211">
        <f t="shared" si="78"/>
        <v>349.81</v>
      </c>
    </row>
    <row r="2304" spans="1:8" s="124" customFormat="1" ht="75">
      <c r="A2304" s="721">
        <v>87879</v>
      </c>
      <c r="B2304" s="721"/>
      <c r="C2304" s="200" t="s">
        <v>5256</v>
      </c>
      <c r="D2304" s="139" t="s">
        <v>4657</v>
      </c>
      <c r="E2304" s="209">
        <v>3.77</v>
      </c>
      <c r="F2304" s="577" t="s">
        <v>322</v>
      </c>
      <c r="G2304" s="210">
        <v>2.3652000000000002</v>
      </c>
      <c r="H2304" s="211">
        <f t="shared" si="78"/>
        <v>8.92</v>
      </c>
    </row>
    <row r="2305" spans="1:8" s="124" customFormat="1" ht="105">
      <c r="A2305" s="721">
        <v>87825</v>
      </c>
      <c r="B2305" s="721"/>
      <c r="C2305" s="200" t="s">
        <v>5256</v>
      </c>
      <c r="D2305" s="139" t="s">
        <v>4780</v>
      </c>
      <c r="E2305" s="209">
        <v>3.77</v>
      </c>
      <c r="F2305" s="577" t="s">
        <v>322</v>
      </c>
      <c r="G2305" s="210">
        <v>41.472000000000008</v>
      </c>
      <c r="H2305" s="211">
        <f t="shared" si="78"/>
        <v>156.35</v>
      </c>
    </row>
    <row r="2306" spans="1:8" s="201" customFormat="1">
      <c r="A2306" s="582"/>
      <c r="B2306" s="582"/>
      <c r="C2306" s="212"/>
      <c r="D2306" s="719" t="s">
        <v>127</v>
      </c>
      <c r="E2306" s="719"/>
      <c r="F2306" s="719"/>
      <c r="G2306" s="719"/>
      <c r="H2306" s="638">
        <f>SUMIF(F2299:F2305,("h"),H2299:H2305)</f>
        <v>0</v>
      </c>
    </row>
    <row r="2307" spans="1:8" s="201" customFormat="1">
      <c r="A2307" s="582"/>
      <c r="B2307" s="582"/>
      <c r="C2307" s="212"/>
      <c r="D2307" s="719" t="s">
        <v>128</v>
      </c>
      <c r="E2307" s="719"/>
      <c r="F2307" s="719"/>
      <c r="G2307" s="719"/>
      <c r="H2307" s="638">
        <f>SUMIF(F2299:F2305,"&lt;&gt;h",H2299:H2305)</f>
        <v>936.68000000000006</v>
      </c>
    </row>
    <row r="2308" spans="1:8" s="201" customFormat="1">
      <c r="A2308" s="582"/>
      <c r="B2308" s="582"/>
      <c r="C2308" s="212"/>
      <c r="D2308" s="718" t="s">
        <v>129</v>
      </c>
      <c r="E2308" s="718"/>
      <c r="F2308" s="718"/>
      <c r="G2308" s="718"/>
      <c r="H2308" s="213">
        <f>SUM(H2306:H2307)</f>
        <v>936.68000000000006</v>
      </c>
    </row>
    <row r="2309" spans="1:8" s="201" customFormat="1">
      <c r="A2309" s="582"/>
      <c r="B2309" s="582"/>
      <c r="C2309" s="212"/>
      <c r="D2309" s="719" t="s">
        <v>28</v>
      </c>
      <c r="E2309" s="719"/>
      <c r="F2309" s="719"/>
      <c r="G2309" s="719"/>
      <c r="H2309" s="639">
        <f>E2298</f>
        <v>2</v>
      </c>
    </row>
    <row r="2310" spans="1:8" s="201" customFormat="1">
      <c r="A2310" s="582"/>
      <c r="B2310" s="582"/>
      <c r="C2310" s="212"/>
      <c r="D2310" s="718" t="s">
        <v>130</v>
      </c>
      <c r="E2310" s="718"/>
      <c r="F2310" s="718"/>
      <c r="G2310" s="718"/>
      <c r="H2310" s="213">
        <f>ROUND(H2308*H2309,2)</f>
        <v>1873.36</v>
      </c>
    </row>
    <row r="2311" spans="1:8" s="201" customFormat="1">
      <c r="A2311" s="582"/>
      <c r="B2311" s="582"/>
      <c r="C2311" s="212"/>
      <c r="D2311" s="719" t="s">
        <v>15559</v>
      </c>
      <c r="E2311" s="719"/>
      <c r="F2311" s="719"/>
      <c r="G2311" s="719"/>
      <c r="H2311" s="638">
        <f>ROUND(H2308*$B$13,2)</f>
        <v>252.25</v>
      </c>
    </row>
    <row r="2312" spans="1:8">
      <c r="A2312" s="582"/>
      <c r="B2312" s="582"/>
      <c r="C2312" s="212"/>
      <c r="D2312" s="718" t="s">
        <v>9661</v>
      </c>
      <c r="E2312" s="718"/>
      <c r="F2312" s="718"/>
      <c r="G2312" s="718"/>
      <c r="H2312" s="213">
        <f>H2311+H2308</f>
        <v>1188.93</v>
      </c>
    </row>
    <row r="2314" spans="1:8" s="201" customFormat="1">
      <c r="A2314" s="123" t="s">
        <v>6</v>
      </c>
      <c r="B2314" s="720" t="s">
        <v>7</v>
      </c>
      <c r="C2314" s="720"/>
      <c r="D2314" s="202" t="s">
        <v>124</v>
      </c>
      <c r="E2314" s="167" t="s">
        <v>6334</v>
      </c>
      <c r="F2314" s="202" t="s">
        <v>31</v>
      </c>
      <c r="G2314" s="203" t="s">
        <v>125</v>
      </c>
      <c r="H2314" s="204" t="s">
        <v>126</v>
      </c>
    </row>
    <row r="2315" spans="1:8" s="208" customFormat="1" ht="30">
      <c r="A2315" s="581" t="str">
        <f>'Orç - Prédio'!A411</f>
        <v>06.01.202</v>
      </c>
      <c r="B2315" s="581" t="str">
        <f>'Orç - Prédio'!B411</f>
        <v>CPOS</v>
      </c>
      <c r="C2315" s="581" t="str">
        <f>'Orç - Prédio'!C411</f>
        <v>39.06.074</v>
      </c>
      <c r="D2315" s="205" t="s">
        <v>15438</v>
      </c>
      <c r="E2315" s="206">
        <v>60</v>
      </c>
      <c r="F2315" s="581" t="s">
        <v>6774</v>
      </c>
      <c r="G2315" s="207">
        <f>VLOOKUP("CUSTO TOTAL UNIT.:",D2316:$H$30004,5,FALSE)</f>
        <v>66.710000000000008</v>
      </c>
      <c r="H2315" s="637">
        <f>VLOOKUP("CUSTO TOTAL:",D2316:$H$30004,5,FALSE)</f>
        <v>4002.6</v>
      </c>
    </row>
    <row r="2316" spans="1:8" s="124" customFormat="1" ht="30">
      <c r="A2316" s="721" t="s">
        <v>15462</v>
      </c>
      <c r="B2316" s="721"/>
      <c r="C2316" s="200" t="s">
        <v>6753</v>
      </c>
      <c r="D2316" s="139" t="s">
        <v>15463</v>
      </c>
      <c r="E2316" s="209">
        <v>1.02</v>
      </c>
      <c r="F2316" s="577" t="s">
        <v>139</v>
      </c>
      <c r="G2316" s="210">
        <v>34.182000000000002</v>
      </c>
      <c r="H2316" s="211">
        <f>ROUND(G2316*E2316,2)</f>
        <v>34.869999999999997</v>
      </c>
    </row>
    <row r="2317" spans="1:8" s="124" customFormat="1" ht="30">
      <c r="A2317" s="721">
        <v>88247</v>
      </c>
      <c r="B2317" s="721"/>
      <c r="C2317" s="200" t="s">
        <v>5256</v>
      </c>
      <c r="D2317" s="139" t="s">
        <v>74</v>
      </c>
      <c r="E2317" s="209">
        <v>1.8</v>
      </c>
      <c r="F2317" s="577" t="s">
        <v>67</v>
      </c>
      <c r="G2317" s="210">
        <v>12.425400000000002</v>
      </c>
      <c r="H2317" s="211">
        <f>ROUND(G2317*E2317,2)</f>
        <v>22.37</v>
      </c>
    </row>
    <row r="2318" spans="1:8" s="124" customFormat="1" ht="30">
      <c r="A2318" s="721">
        <v>88265</v>
      </c>
      <c r="B2318" s="721"/>
      <c r="C2318" s="200" t="s">
        <v>5256</v>
      </c>
      <c r="D2318" s="139" t="s">
        <v>5101</v>
      </c>
      <c r="E2318" s="209">
        <v>0.6</v>
      </c>
      <c r="F2318" s="577" t="s">
        <v>67</v>
      </c>
      <c r="G2318" s="210">
        <v>15.778800000000002</v>
      </c>
      <c r="H2318" s="211">
        <f>ROUND(G2318*E2318,2)</f>
        <v>9.4700000000000006</v>
      </c>
    </row>
    <row r="2319" spans="1:8" s="201" customFormat="1">
      <c r="A2319" s="582"/>
      <c r="B2319" s="582"/>
      <c r="C2319" s="212"/>
      <c r="D2319" s="719" t="s">
        <v>127</v>
      </c>
      <c r="E2319" s="719"/>
      <c r="F2319" s="719"/>
      <c r="G2319" s="719"/>
      <c r="H2319" s="638">
        <f>SUMIF(F2316:F2318,("h"),H2316:H2318)</f>
        <v>31.840000000000003</v>
      </c>
    </row>
    <row r="2320" spans="1:8" s="201" customFormat="1">
      <c r="A2320" s="582"/>
      <c r="B2320" s="582"/>
      <c r="C2320" s="212"/>
      <c r="D2320" s="719" t="s">
        <v>128</v>
      </c>
      <c r="E2320" s="719"/>
      <c r="F2320" s="719"/>
      <c r="G2320" s="719"/>
      <c r="H2320" s="638">
        <f>SUMIF(F2316:F2318,"&lt;&gt;h",H2316:H2318)</f>
        <v>34.869999999999997</v>
      </c>
    </row>
    <row r="2321" spans="1:8" s="201" customFormat="1">
      <c r="A2321" s="582"/>
      <c r="B2321" s="582"/>
      <c r="C2321" s="212"/>
      <c r="D2321" s="718" t="s">
        <v>129</v>
      </c>
      <c r="E2321" s="718"/>
      <c r="F2321" s="718"/>
      <c r="G2321" s="718"/>
      <c r="H2321" s="213">
        <f>SUM(H2319:H2320)</f>
        <v>66.710000000000008</v>
      </c>
    </row>
    <row r="2322" spans="1:8" s="201" customFormat="1">
      <c r="A2322" s="582"/>
      <c r="B2322" s="582"/>
      <c r="C2322" s="212"/>
      <c r="D2322" s="719" t="s">
        <v>28</v>
      </c>
      <c r="E2322" s="719"/>
      <c r="F2322" s="719"/>
      <c r="G2322" s="719"/>
      <c r="H2322" s="639">
        <f>E2315</f>
        <v>60</v>
      </c>
    </row>
    <row r="2323" spans="1:8" s="201" customFormat="1">
      <c r="A2323" s="582"/>
      <c r="B2323" s="582"/>
      <c r="C2323" s="212"/>
      <c r="D2323" s="718" t="s">
        <v>130</v>
      </c>
      <c r="E2323" s="718"/>
      <c r="F2323" s="718"/>
      <c r="G2323" s="718"/>
      <c r="H2323" s="213">
        <f>ROUND(H2321*H2322,2)</f>
        <v>4002.6</v>
      </c>
    </row>
    <row r="2324" spans="1:8" s="201" customFormat="1">
      <c r="A2324" s="582"/>
      <c r="B2324" s="582"/>
      <c r="C2324" s="212"/>
      <c r="D2324" s="719" t="s">
        <v>15559</v>
      </c>
      <c r="E2324" s="719"/>
      <c r="F2324" s="719"/>
      <c r="G2324" s="719"/>
      <c r="H2324" s="638">
        <f>ROUND(H2321*$B$13,2)</f>
        <v>17.97</v>
      </c>
    </row>
    <row r="2325" spans="1:8">
      <c r="A2325" s="582"/>
      <c r="B2325" s="582"/>
      <c r="C2325" s="212"/>
      <c r="D2325" s="718" t="s">
        <v>9661</v>
      </c>
      <c r="E2325" s="718"/>
      <c r="F2325" s="718"/>
      <c r="G2325" s="718"/>
      <c r="H2325" s="213">
        <f>H2324+H2321</f>
        <v>84.68</v>
      </c>
    </row>
    <row r="2327" spans="1:8" s="201" customFormat="1">
      <c r="A2327" s="123" t="s">
        <v>6</v>
      </c>
      <c r="B2327" s="720" t="s">
        <v>7</v>
      </c>
      <c r="C2327" s="720"/>
      <c r="D2327" s="202" t="s">
        <v>124</v>
      </c>
      <c r="E2327" s="167" t="s">
        <v>6334</v>
      </c>
      <c r="F2327" s="202" t="s">
        <v>31</v>
      </c>
      <c r="G2327" s="203" t="s">
        <v>125</v>
      </c>
      <c r="H2327" s="204" t="s">
        <v>126</v>
      </c>
    </row>
    <row r="2328" spans="1:8" s="208" customFormat="1" ht="30">
      <c r="A2328" s="205" t="str">
        <f>'Orç - Prédio'!A412</f>
        <v>06.01.206.01</v>
      </c>
      <c r="B2328" s="581" t="str">
        <f>'Orç - Prédio'!B412</f>
        <v>ORSE</v>
      </c>
      <c r="C2328" s="581" t="str">
        <f>'Orç - Prédio'!C412</f>
        <v>3769 MOD</v>
      </c>
      <c r="D2328" s="205" t="s">
        <v>15434</v>
      </c>
      <c r="E2328" s="206">
        <v>3</v>
      </c>
      <c r="F2328" s="581" t="s">
        <v>6337</v>
      </c>
      <c r="G2328" s="207">
        <f>VLOOKUP("CUSTO TOTAL UNIT.:",D2329:$H$30004,5,FALSE)</f>
        <v>25.05</v>
      </c>
      <c r="H2328" s="637">
        <f>VLOOKUP("CUSTO TOTAL:",D2329:$H$30004,5,FALSE)</f>
        <v>75.150000000000006</v>
      </c>
    </row>
    <row r="2329" spans="1:8" s="124" customFormat="1">
      <c r="A2329" s="721" t="s">
        <v>7394</v>
      </c>
      <c r="B2329" s="721"/>
      <c r="C2329" s="721"/>
      <c r="D2329" s="139" t="s">
        <v>15469</v>
      </c>
      <c r="E2329" s="209">
        <v>1</v>
      </c>
      <c r="F2329" s="577" t="s">
        <v>31</v>
      </c>
      <c r="G2329" s="210">
        <v>22.68</v>
      </c>
      <c r="H2329" s="211">
        <f>ROUND(G2329*E2329,2)</f>
        <v>22.68</v>
      </c>
    </row>
    <row r="2330" spans="1:8" s="124" customFormat="1" ht="30">
      <c r="A2330" s="721">
        <v>88265</v>
      </c>
      <c r="B2330" s="721"/>
      <c r="C2330" s="200" t="s">
        <v>5256</v>
      </c>
      <c r="D2330" s="139" t="s">
        <v>5101</v>
      </c>
      <c r="E2330" s="209">
        <v>0.15</v>
      </c>
      <c r="F2330" s="577" t="s">
        <v>67</v>
      </c>
      <c r="G2330" s="210">
        <v>15.778800000000002</v>
      </c>
      <c r="H2330" s="211">
        <f>ROUND(G2330*E2330,2)</f>
        <v>2.37</v>
      </c>
    </row>
    <row r="2331" spans="1:8" s="201" customFormat="1">
      <c r="A2331" s="582"/>
      <c r="B2331" s="582"/>
      <c r="C2331" s="212"/>
      <c r="D2331" s="719" t="s">
        <v>127</v>
      </c>
      <c r="E2331" s="719"/>
      <c r="F2331" s="719"/>
      <c r="G2331" s="719"/>
      <c r="H2331" s="638">
        <f>SUMIF(F2329:F2330,("h"),H2329:H2330)</f>
        <v>2.37</v>
      </c>
    </row>
    <row r="2332" spans="1:8" s="201" customFormat="1">
      <c r="A2332" s="582"/>
      <c r="B2332" s="582"/>
      <c r="C2332" s="212"/>
      <c r="D2332" s="719" t="s">
        <v>128</v>
      </c>
      <c r="E2332" s="719"/>
      <c r="F2332" s="719"/>
      <c r="G2332" s="719"/>
      <c r="H2332" s="638">
        <f>SUMIF(F2329:F2330,"&lt;&gt;h",H2329:H2330)</f>
        <v>22.68</v>
      </c>
    </row>
    <row r="2333" spans="1:8" s="201" customFormat="1">
      <c r="A2333" s="582"/>
      <c r="B2333" s="582"/>
      <c r="C2333" s="212"/>
      <c r="D2333" s="718" t="s">
        <v>129</v>
      </c>
      <c r="E2333" s="718"/>
      <c r="F2333" s="718"/>
      <c r="G2333" s="718"/>
      <c r="H2333" s="213">
        <f>SUM(H2331:H2332)</f>
        <v>25.05</v>
      </c>
    </row>
    <row r="2334" spans="1:8" s="201" customFormat="1">
      <c r="A2334" s="582"/>
      <c r="B2334" s="582"/>
      <c r="C2334" s="212"/>
      <c r="D2334" s="719" t="s">
        <v>28</v>
      </c>
      <c r="E2334" s="719"/>
      <c r="F2334" s="719"/>
      <c r="G2334" s="719"/>
      <c r="H2334" s="639">
        <f>E2328</f>
        <v>3</v>
      </c>
    </row>
    <row r="2335" spans="1:8" s="201" customFormat="1">
      <c r="A2335" s="582"/>
      <c r="B2335" s="582"/>
      <c r="C2335" s="212"/>
      <c r="D2335" s="718" t="s">
        <v>130</v>
      </c>
      <c r="E2335" s="718"/>
      <c r="F2335" s="718"/>
      <c r="G2335" s="718"/>
      <c r="H2335" s="213">
        <f>ROUND(H2333*H2334,2)</f>
        <v>75.150000000000006</v>
      </c>
    </row>
    <row r="2336" spans="1:8" s="201" customFormat="1">
      <c r="A2336" s="582"/>
      <c r="B2336" s="582"/>
      <c r="C2336" s="212"/>
      <c r="D2336" s="719" t="s">
        <v>15559</v>
      </c>
      <c r="E2336" s="719"/>
      <c r="F2336" s="719"/>
      <c r="G2336" s="719"/>
      <c r="H2336" s="638">
        <f>ROUND(H2333*$B$13,2)</f>
        <v>6.75</v>
      </c>
    </row>
    <row r="2337" spans="1:8">
      <c r="A2337" s="582"/>
      <c r="B2337" s="582"/>
      <c r="C2337" s="212"/>
      <c r="D2337" s="718" t="s">
        <v>9661</v>
      </c>
      <c r="E2337" s="718"/>
      <c r="F2337" s="718"/>
      <c r="G2337" s="718"/>
      <c r="H2337" s="213">
        <f>H2336+H2333</f>
        <v>31.8</v>
      </c>
    </row>
    <row r="2339" spans="1:8" s="201" customFormat="1">
      <c r="A2339" s="123" t="s">
        <v>6</v>
      </c>
      <c r="B2339" s="720" t="s">
        <v>7</v>
      </c>
      <c r="C2339" s="720"/>
      <c r="D2339" s="202" t="s">
        <v>124</v>
      </c>
      <c r="E2339" s="167" t="s">
        <v>6334</v>
      </c>
      <c r="F2339" s="202" t="s">
        <v>31</v>
      </c>
      <c r="G2339" s="203" t="s">
        <v>125</v>
      </c>
      <c r="H2339" s="204" t="s">
        <v>126</v>
      </c>
    </row>
    <row r="2340" spans="1:8" s="208" customFormat="1">
      <c r="A2340" s="581" t="str">
        <f>'Orç - Prédio'!A413</f>
        <v>06.01.206.02</v>
      </c>
      <c r="B2340" s="581" t="str">
        <f>'Orç - Prédio'!B413</f>
        <v>CPOS</v>
      </c>
      <c r="C2340" s="581" t="str">
        <f>'Orç - Prédio'!C413</f>
        <v>37.12.120</v>
      </c>
      <c r="D2340" s="205" t="s">
        <v>15437</v>
      </c>
      <c r="E2340" s="206">
        <v>3</v>
      </c>
      <c r="F2340" s="581" t="s">
        <v>6337</v>
      </c>
      <c r="G2340" s="207">
        <f>VLOOKUP("CUSTO TOTAL UNIT.:",D2341:$H$30004,5,FALSE)</f>
        <v>139.15</v>
      </c>
      <c r="H2340" s="637">
        <f>VLOOKUP("CUSTO TOTAL:",D2341:$H$30004,5,FALSE)</f>
        <v>417.45</v>
      </c>
    </row>
    <row r="2341" spans="1:8" s="124" customFormat="1">
      <c r="A2341" s="721" t="s">
        <v>15473</v>
      </c>
      <c r="B2341" s="721"/>
      <c r="C2341" s="200" t="s">
        <v>6753</v>
      </c>
      <c r="D2341" s="139" t="s">
        <v>15472</v>
      </c>
      <c r="E2341" s="209">
        <v>1</v>
      </c>
      <c r="F2341" s="577" t="s">
        <v>31</v>
      </c>
      <c r="G2341" s="210">
        <v>133.49610000000001</v>
      </c>
      <c r="H2341" s="211">
        <f>ROUND(G2341*E2341,2)</f>
        <v>133.5</v>
      </c>
    </row>
    <row r="2342" spans="1:8" s="124" customFormat="1" ht="30">
      <c r="A2342" s="721">
        <v>88247</v>
      </c>
      <c r="B2342" s="721"/>
      <c r="C2342" s="200" t="s">
        <v>5256</v>
      </c>
      <c r="D2342" s="139" t="s">
        <v>74</v>
      </c>
      <c r="E2342" s="209">
        <v>0.2</v>
      </c>
      <c r="F2342" s="577" t="s">
        <v>67</v>
      </c>
      <c r="G2342" s="210">
        <v>12.425400000000002</v>
      </c>
      <c r="H2342" s="211">
        <f>ROUND(G2342*E2342,2)</f>
        <v>2.4900000000000002</v>
      </c>
    </row>
    <row r="2343" spans="1:8" s="124" customFormat="1" ht="30">
      <c r="A2343" s="721">
        <v>88265</v>
      </c>
      <c r="B2343" s="721"/>
      <c r="C2343" s="200" t="s">
        <v>5256</v>
      </c>
      <c r="D2343" s="139" t="s">
        <v>5101</v>
      </c>
      <c r="E2343" s="209">
        <v>0.2</v>
      </c>
      <c r="F2343" s="577" t="s">
        <v>67</v>
      </c>
      <c r="G2343" s="210">
        <v>15.778800000000002</v>
      </c>
      <c r="H2343" s="211">
        <f>ROUND(G2343*E2343,2)</f>
        <v>3.16</v>
      </c>
    </row>
    <row r="2344" spans="1:8" s="201" customFormat="1">
      <c r="A2344" s="582"/>
      <c r="B2344" s="582"/>
      <c r="C2344" s="212"/>
      <c r="D2344" s="719" t="s">
        <v>127</v>
      </c>
      <c r="E2344" s="719"/>
      <c r="F2344" s="719"/>
      <c r="G2344" s="719"/>
      <c r="H2344" s="638">
        <f>SUMIF(F2341:F2343,("h"),H2341:H2343)</f>
        <v>5.65</v>
      </c>
    </row>
    <row r="2345" spans="1:8" s="201" customFormat="1">
      <c r="A2345" s="582"/>
      <c r="B2345" s="582"/>
      <c r="C2345" s="212"/>
      <c r="D2345" s="719" t="s">
        <v>128</v>
      </c>
      <c r="E2345" s="719"/>
      <c r="F2345" s="719"/>
      <c r="G2345" s="719"/>
      <c r="H2345" s="638">
        <f>SUMIF(F2341:F2343,"&lt;&gt;h",H2341:H2343)</f>
        <v>133.5</v>
      </c>
    </row>
    <row r="2346" spans="1:8" s="201" customFormat="1">
      <c r="A2346" s="582"/>
      <c r="B2346" s="582"/>
      <c r="C2346" s="212"/>
      <c r="D2346" s="718" t="s">
        <v>129</v>
      </c>
      <c r="E2346" s="718"/>
      <c r="F2346" s="718"/>
      <c r="G2346" s="718"/>
      <c r="H2346" s="213">
        <f>SUM(H2344:H2345)</f>
        <v>139.15</v>
      </c>
    </row>
    <row r="2347" spans="1:8" s="201" customFormat="1">
      <c r="A2347" s="582"/>
      <c r="B2347" s="582"/>
      <c r="C2347" s="212"/>
      <c r="D2347" s="719" t="s">
        <v>28</v>
      </c>
      <c r="E2347" s="719"/>
      <c r="F2347" s="719"/>
      <c r="G2347" s="719"/>
      <c r="H2347" s="639">
        <f>E2340</f>
        <v>3</v>
      </c>
    </row>
    <row r="2348" spans="1:8" s="201" customFormat="1">
      <c r="A2348" s="582"/>
      <c r="B2348" s="582"/>
      <c r="C2348" s="212"/>
      <c r="D2348" s="718" t="s">
        <v>130</v>
      </c>
      <c r="E2348" s="718"/>
      <c r="F2348" s="718"/>
      <c r="G2348" s="718"/>
      <c r="H2348" s="213">
        <f>ROUND(H2346*H2347,2)</f>
        <v>417.45</v>
      </c>
    </row>
    <row r="2349" spans="1:8" s="201" customFormat="1">
      <c r="A2349" s="582"/>
      <c r="B2349" s="582"/>
      <c r="C2349" s="212"/>
      <c r="D2349" s="719" t="s">
        <v>15559</v>
      </c>
      <c r="E2349" s="719"/>
      <c r="F2349" s="719"/>
      <c r="G2349" s="719"/>
      <c r="H2349" s="638">
        <f>ROUND(H2346*$B$13,2)</f>
        <v>37.47</v>
      </c>
    </row>
    <row r="2350" spans="1:8">
      <c r="A2350" s="582"/>
      <c r="B2350" s="582"/>
      <c r="C2350" s="212"/>
      <c r="D2350" s="718" t="s">
        <v>9661</v>
      </c>
      <c r="E2350" s="718"/>
      <c r="F2350" s="718"/>
      <c r="G2350" s="718"/>
      <c r="H2350" s="213">
        <f>H2349+H2346</f>
        <v>176.62</v>
      </c>
    </row>
    <row r="2352" spans="1:8" s="201" customFormat="1">
      <c r="A2352" s="123" t="s">
        <v>6</v>
      </c>
      <c r="B2352" s="720" t="s">
        <v>7</v>
      </c>
      <c r="C2352" s="720"/>
      <c r="D2352" s="202" t="s">
        <v>124</v>
      </c>
      <c r="E2352" s="167" t="s">
        <v>6334</v>
      </c>
      <c r="F2352" s="202" t="s">
        <v>31</v>
      </c>
      <c r="G2352" s="203" t="s">
        <v>125</v>
      </c>
      <c r="H2352" s="204" t="s">
        <v>126</v>
      </c>
    </row>
    <row r="2353" spans="1:8" s="208" customFormat="1" ht="60">
      <c r="A2353" s="581" t="str">
        <f>'Orç - Prédio'!A414</f>
        <v>06.01.212</v>
      </c>
      <c r="B2353" s="581" t="str">
        <f>'Orç - Prédio'!B414</f>
        <v>CPOS</v>
      </c>
      <c r="C2353" s="581" t="str">
        <f>'Orç - Prédio'!C414</f>
        <v>36.09.060</v>
      </c>
      <c r="D2353" s="205" t="s">
        <v>15436</v>
      </c>
      <c r="E2353" s="206">
        <v>1</v>
      </c>
      <c r="F2353" s="581" t="s">
        <v>6337</v>
      </c>
      <c r="G2353" s="207">
        <f>VLOOKUP("CUSTO TOTAL UNIT.:",D2354:$H$30004,5,FALSE)</f>
        <v>34764.300000000003</v>
      </c>
      <c r="H2353" s="637">
        <f>VLOOKUP("CUSTO TOTAL:",D2354:$H$30004,5,FALSE)</f>
        <v>34764.300000000003</v>
      </c>
    </row>
    <row r="2354" spans="1:8" s="124" customFormat="1" ht="30">
      <c r="A2354" s="721" t="s">
        <v>15475</v>
      </c>
      <c r="B2354" s="721"/>
      <c r="C2354" s="200" t="s">
        <v>6753</v>
      </c>
      <c r="D2354" s="139" t="s">
        <v>15476</v>
      </c>
      <c r="E2354" s="209">
        <v>1</v>
      </c>
      <c r="F2354" s="577" t="s">
        <v>31</v>
      </c>
      <c r="G2354" s="210">
        <v>33882.437700000002</v>
      </c>
      <c r="H2354" s="211">
        <f>ROUND(G2354*E2354,2)</f>
        <v>33882.44</v>
      </c>
    </row>
    <row r="2355" spans="1:8" s="124" customFormat="1" ht="90">
      <c r="A2355" s="721">
        <v>93402</v>
      </c>
      <c r="B2355" s="721"/>
      <c r="C2355" s="200" t="s">
        <v>5256</v>
      </c>
      <c r="D2355" s="139" t="s">
        <v>445</v>
      </c>
      <c r="E2355" s="209">
        <v>1</v>
      </c>
      <c r="F2355" s="577" t="s">
        <v>100</v>
      </c>
      <c r="G2355" s="210">
        <v>110.4759</v>
      </c>
      <c r="H2355" s="211">
        <f>ROUND(G2355*E2355,2)</f>
        <v>110.48</v>
      </c>
    </row>
    <row r="2356" spans="1:8" s="124" customFormat="1" ht="30">
      <c r="A2356" s="721">
        <v>100307</v>
      </c>
      <c r="B2356" s="721"/>
      <c r="C2356" s="200" t="s">
        <v>5256</v>
      </c>
      <c r="D2356" s="139" t="s">
        <v>15353</v>
      </c>
      <c r="E2356" s="209">
        <v>8</v>
      </c>
      <c r="F2356" s="577" t="s">
        <v>67</v>
      </c>
      <c r="G2356" s="210">
        <v>15.1632</v>
      </c>
      <c r="H2356" s="211">
        <f>ROUND(G2356*E2356,2)</f>
        <v>121.31</v>
      </c>
    </row>
    <row r="2357" spans="1:8" s="124" customFormat="1" ht="30">
      <c r="A2357" s="721">
        <v>88247</v>
      </c>
      <c r="B2357" s="721"/>
      <c r="C2357" s="200" t="s">
        <v>5256</v>
      </c>
      <c r="D2357" s="139" t="s">
        <v>74</v>
      </c>
      <c r="E2357" s="209">
        <v>32</v>
      </c>
      <c r="F2357" s="577" t="s">
        <v>67</v>
      </c>
      <c r="G2357" s="210">
        <v>12.425400000000002</v>
      </c>
      <c r="H2357" s="211">
        <f>ROUND(G2357*E2357,2)</f>
        <v>397.61</v>
      </c>
    </row>
    <row r="2358" spans="1:8" s="124" customFormat="1" ht="30">
      <c r="A2358" s="721">
        <v>88265</v>
      </c>
      <c r="B2358" s="721"/>
      <c r="C2358" s="200" t="s">
        <v>5256</v>
      </c>
      <c r="D2358" s="139" t="s">
        <v>5101</v>
      </c>
      <c r="E2358" s="209">
        <v>16</v>
      </c>
      <c r="F2358" s="577" t="s">
        <v>67</v>
      </c>
      <c r="G2358" s="210">
        <v>15.778800000000002</v>
      </c>
      <c r="H2358" s="211">
        <f>ROUND(G2358*E2358,2)</f>
        <v>252.46</v>
      </c>
    </row>
    <row r="2359" spans="1:8" s="201" customFormat="1">
      <c r="A2359" s="582"/>
      <c r="B2359" s="582"/>
      <c r="C2359" s="212"/>
      <c r="D2359" s="719" t="s">
        <v>127</v>
      </c>
      <c r="E2359" s="719"/>
      <c r="F2359" s="719"/>
      <c r="G2359" s="719"/>
      <c r="H2359" s="638">
        <f>SUMIF(F2354:F2358,("h"),H2354:H2358)</f>
        <v>771.38000000000011</v>
      </c>
    </row>
    <row r="2360" spans="1:8" s="201" customFormat="1">
      <c r="A2360" s="582"/>
      <c r="B2360" s="582"/>
      <c r="C2360" s="212"/>
      <c r="D2360" s="719" t="s">
        <v>128</v>
      </c>
      <c r="E2360" s="719"/>
      <c r="F2360" s="719"/>
      <c r="G2360" s="719"/>
      <c r="H2360" s="638">
        <f>SUMIF(F2354:F2358,"&lt;&gt;h",H2354:H2358)</f>
        <v>33992.920000000006</v>
      </c>
    </row>
    <row r="2361" spans="1:8" s="201" customFormat="1">
      <c r="A2361" s="582"/>
      <c r="B2361" s="582"/>
      <c r="C2361" s="212"/>
      <c r="D2361" s="718" t="s">
        <v>129</v>
      </c>
      <c r="E2361" s="718"/>
      <c r="F2361" s="718"/>
      <c r="G2361" s="718"/>
      <c r="H2361" s="213">
        <f>SUM(H2359:H2360)</f>
        <v>34764.300000000003</v>
      </c>
    </row>
    <row r="2362" spans="1:8" s="201" customFormat="1">
      <c r="A2362" s="582"/>
      <c r="B2362" s="582"/>
      <c r="C2362" s="212"/>
      <c r="D2362" s="719" t="s">
        <v>28</v>
      </c>
      <c r="E2362" s="719"/>
      <c r="F2362" s="719"/>
      <c r="G2362" s="719"/>
      <c r="H2362" s="639">
        <f>E2353</f>
        <v>1</v>
      </c>
    </row>
    <row r="2363" spans="1:8" s="201" customFormat="1">
      <c r="A2363" s="582"/>
      <c r="B2363" s="582"/>
      <c r="C2363" s="212"/>
      <c r="D2363" s="718" t="s">
        <v>130</v>
      </c>
      <c r="E2363" s="718"/>
      <c r="F2363" s="718"/>
      <c r="G2363" s="718"/>
      <c r="H2363" s="213">
        <f>ROUND(H2361*H2362,2)</f>
        <v>34764.300000000003</v>
      </c>
    </row>
    <row r="2364" spans="1:8" s="201" customFormat="1">
      <c r="A2364" s="582"/>
      <c r="B2364" s="582"/>
      <c r="C2364" s="212"/>
      <c r="D2364" s="719" t="s">
        <v>15559</v>
      </c>
      <c r="E2364" s="719"/>
      <c r="F2364" s="719"/>
      <c r="G2364" s="719"/>
      <c r="H2364" s="638">
        <f>ROUND(H2361*$B$13,2)</f>
        <v>9362.0300000000007</v>
      </c>
    </row>
    <row r="2365" spans="1:8">
      <c r="A2365" s="582"/>
      <c r="B2365" s="582"/>
      <c r="C2365" s="212"/>
      <c r="D2365" s="718" t="s">
        <v>9661</v>
      </c>
      <c r="E2365" s="718"/>
      <c r="F2365" s="718"/>
      <c r="G2365" s="718"/>
      <c r="H2365" s="213">
        <f>H2364+H2361</f>
        <v>44126.33</v>
      </c>
    </row>
    <row r="2367" spans="1:8" s="201" customFormat="1">
      <c r="A2367" s="123" t="s">
        <v>6</v>
      </c>
      <c r="B2367" s="720" t="s">
        <v>7</v>
      </c>
      <c r="C2367" s="720"/>
      <c r="D2367" s="202" t="s">
        <v>124</v>
      </c>
      <c r="E2367" s="167" t="s">
        <v>6334</v>
      </c>
      <c r="F2367" s="202" t="s">
        <v>31</v>
      </c>
      <c r="G2367" s="203" t="s">
        <v>125</v>
      </c>
      <c r="H2367" s="204" t="s">
        <v>126</v>
      </c>
    </row>
    <row r="2368" spans="1:8" s="208" customFormat="1" ht="45">
      <c r="A2368" s="581" t="str">
        <f>'Orç - Prédio'!A415</f>
        <v>06.01.213</v>
      </c>
      <c r="B2368" s="581" t="str">
        <f>'Orç - Prédio'!B415</f>
        <v>ORSE</v>
      </c>
      <c r="C2368" s="581" t="str">
        <f>'Orç - Prédio'!C415</f>
        <v>11850 MOD</v>
      </c>
      <c r="D2368" s="205" t="s">
        <v>15435</v>
      </c>
      <c r="E2368" s="581">
        <v>3.81</v>
      </c>
      <c r="F2368" s="581" t="s">
        <v>6744</v>
      </c>
      <c r="G2368" s="207">
        <f>VLOOKUP("CUSTO TOTAL UNIT.:",D2369:$H$30004,5,FALSE)</f>
        <v>92.69</v>
      </c>
      <c r="H2368" s="637">
        <f>VLOOKUP("CUSTO TOTAL:",D2369:$H$30004,5,FALSE)</f>
        <v>353.15</v>
      </c>
    </row>
    <row r="2369" spans="1:8" s="124" customFormat="1">
      <c r="A2369" s="721">
        <v>6534</v>
      </c>
      <c r="B2369" s="721"/>
      <c r="C2369" s="200" t="s">
        <v>6333</v>
      </c>
      <c r="D2369" s="139" t="s">
        <v>15478</v>
      </c>
      <c r="E2369" s="209">
        <v>1</v>
      </c>
      <c r="F2369" s="577" t="s">
        <v>315</v>
      </c>
      <c r="G2369" s="210">
        <v>67.149000000000015</v>
      </c>
      <c r="H2369" s="211">
        <f>ROUND(G2369*E2369,2)</f>
        <v>67.150000000000006</v>
      </c>
    </row>
    <row r="2370" spans="1:8" s="124" customFormat="1" ht="30">
      <c r="A2370" s="721">
        <v>88247</v>
      </c>
      <c r="B2370" s="721"/>
      <c r="C2370" s="200" t="s">
        <v>5256</v>
      </c>
      <c r="D2370" s="139" t="s">
        <v>74</v>
      </c>
      <c r="E2370" s="209">
        <v>0.56999999999999995</v>
      </c>
      <c r="F2370" s="577" t="s">
        <v>67</v>
      </c>
      <c r="G2370" s="210">
        <v>12.425400000000002</v>
      </c>
      <c r="H2370" s="211">
        <f>ROUND(G2370*E2370,2)</f>
        <v>7.08</v>
      </c>
    </row>
    <row r="2371" spans="1:8" s="124" customFormat="1" ht="30">
      <c r="A2371" s="721">
        <v>88265</v>
      </c>
      <c r="B2371" s="721"/>
      <c r="C2371" s="200" t="s">
        <v>5256</v>
      </c>
      <c r="D2371" s="139" t="s">
        <v>5101</v>
      </c>
      <c r="E2371" s="209">
        <v>1.17</v>
      </c>
      <c r="F2371" s="577" t="s">
        <v>67</v>
      </c>
      <c r="G2371" s="210">
        <v>15.778800000000002</v>
      </c>
      <c r="H2371" s="211">
        <f>ROUND(G2371*E2371,2)</f>
        <v>18.46</v>
      </c>
    </row>
    <row r="2372" spans="1:8" s="201" customFormat="1">
      <c r="A2372" s="582"/>
      <c r="B2372" s="582"/>
      <c r="C2372" s="212"/>
      <c r="D2372" s="719" t="s">
        <v>127</v>
      </c>
      <c r="E2372" s="719"/>
      <c r="F2372" s="719"/>
      <c r="G2372" s="719"/>
      <c r="H2372" s="638">
        <f>SUMIF(F2369:F2371,("h"),H2369:H2371)</f>
        <v>25.54</v>
      </c>
    </row>
    <row r="2373" spans="1:8" s="201" customFormat="1">
      <c r="A2373" s="582"/>
      <c r="B2373" s="582"/>
      <c r="C2373" s="212"/>
      <c r="D2373" s="719" t="s">
        <v>128</v>
      </c>
      <c r="E2373" s="719"/>
      <c r="F2373" s="719"/>
      <c r="G2373" s="719"/>
      <c r="H2373" s="638">
        <f>SUMIF(F2369:F2371,"&lt;&gt;h",H2369:H2371)</f>
        <v>67.150000000000006</v>
      </c>
    </row>
    <row r="2374" spans="1:8" s="201" customFormat="1">
      <c r="A2374" s="582"/>
      <c r="B2374" s="582"/>
      <c r="C2374" s="212"/>
      <c r="D2374" s="718" t="s">
        <v>129</v>
      </c>
      <c r="E2374" s="718"/>
      <c r="F2374" s="718"/>
      <c r="G2374" s="718"/>
      <c r="H2374" s="213">
        <f>SUM(H2372:H2373)</f>
        <v>92.69</v>
      </c>
    </row>
    <row r="2375" spans="1:8" s="201" customFormat="1">
      <c r="A2375" s="582"/>
      <c r="B2375" s="582"/>
      <c r="C2375" s="212"/>
      <c r="D2375" s="719" t="s">
        <v>28</v>
      </c>
      <c r="E2375" s="719"/>
      <c r="F2375" s="719"/>
      <c r="G2375" s="719"/>
      <c r="H2375" s="639">
        <f>E2368</f>
        <v>3.81</v>
      </c>
    </row>
    <row r="2376" spans="1:8" s="201" customFormat="1">
      <c r="A2376" s="582"/>
      <c r="B2376" s="582"/>
      <c r="C2376" s="212"/>
      <c r="D2376" s="718" t="s">
        <v>130</v>
      </c>
      <c r="E2376" s="718"/>
      <c r="F2376" s="718"/>
      <c r="G2376" s="718"/>
      <c r="H2376" s="213">
        <f>ROUND(H2374*H2375,2)</f>
        <v>353.15</v>
      </c>
    </row>
    <row r="2377" spans="1:8" s="201" customFormat="1">
      <c r="A2377" s="582"/>
      <c r="B2377" s="582"/>
      <c r="C2377" s="212"/>
      <c r="D2377" s="719" t="s">
        <v>15559</v>
      </c>
      <c r="E2377" s="719"/>
      <c r="F2377" s="719"/>
      <c r="G2377" s="719"/>
      <c r="H2377" s="638">
        <f>ROUND(H2374*$B$13,2)</f>
        <v>24.96</v>
      </c>
    </row>
    <row r="2378" spans="1:8">
      <c r="A2378" s="582"/>
      <c r="B2378" s="582"/>
      <c r="C2378" s="212"/>
      <c r="D2378" s="718" t="s">
        <v>9661</v>
      </c>
      <c r="E2378" s="718"/>
      <c r="F2378" s="718"/>
      <c r="G2378" s="718"/>
      <c r="H2378" s="213">
        <f>H2377+H2374</f>
        <v>117.65</v>
      </c>
    </row>
    <row r="2380" spans="1:8" s="201" customFormat="1">
      <c r="A2380" s="123" t="s">
        <v>6</v>
      </c>
      <c r="B2380" s="720" t="s">
        <v>7</v>
      </c>
      <c r="C2380" s="720"/>
      <c r="D2380" s="202" t="s">
        <v>124</v>
      </c>
      <c r="E2380" s="167" t="s">
        <v>6334</v>
      </c>
      <c r="F2380" s="202" t="s">
        <v>31</v>
      </c>
      <c r="G2380" s="203" t="s">
        <v>125</v>
      </c>
      <c r="H2380" s="204" t="s">
        <v>126</v>
      </c>
    </row>
    <row r="2381" spans="1:8" s="208" customFormat="1" ht="45">
      <c r="A2381" s="581" t="str">
        <f>'Orç - Prédio'!A417</f>
        <v>06.01.301</v>
      </c>
      <c r="B2381" s="581" t="str">
        <f>'Orç - Prédio'!B417</f>
        <v>ORSE</v>
      </c>
      <c r="C2381" s="581" t="str">
        <f>'Orç - Prédio'!C417</f>
        <v>9512 MOD</v>
      </c>
      <c r="D2381" s="205" t="s">
        <v>8937</v>
      </c>
      <c r="E2381" s="206">
        <v>1</v>
      </c>
      <c r="F2381" s="581" t="s">
        <v>8940</v>
      </c>
      <c r="G2381" s="207">
        <f>VLOOKUP("CUSTO TOTAL UNIT.:",D2382:$H$30004,5,FALSE)</f>
        <v>4910.13</v>
      </c>
      <c r="H2381" s="637">
        <f>VLOOKUP("CUSTO TOTAL:",D2382:$H$30004,5,FALSE)</f>
        <v>4910.13</v>
      </c>
    </row>
    <row r="2382" spans="1:8" s="124" customFormat="1" ht="45">
      <c r="A2382" s="721">
        <v>8582</v>
      </c>
      <c r="B2382" s="721"/>
      <c r="C2382" s="200" t="s">
        <v>6333</v>
      </c>
      <c r="D2382" s="139" t="s">
        <v>8941</v>
      </c>
      <c r="E2382" s="209">
        <v>2</v>
      </c>
      <c r="F2382" s="577" t="s">
        <v>31</v>
      </c>
      <c r="G2382" s="210">
        <v>2373.0003000000002</v>
      </c>
      <c r="H2382" s="211">
        <f>ROUND(G2382*E2382,2)</f>
        <v>4746</v>
      </c>
    </row>
    <row r="2383" spans="1:8" s="124" customFormat="1" ht="30">
      <c r="A2383" s="721">
        <v>88264</v>
      </c>
      <c r="B2383" s="721"/>
      <c r="C2383" s="200" t="s">
        <v>5256</v>
      </c>
      <c r="D2383" s="139" t="s">
        <v>84</v>
      </c>
      <c r="E2383" s="209">
        <v>4</v>
      </c>
      <c r="F2383" s="577" t="s">
        <v>67</v>
      </c>
      <c r="G2383" s="210">
        <v>15.778800000000002</v>
      </c>
      <c r="H2383" s="211">
        <f>ROUND(G2383*E2383,2)</f>
        <v>63.12</v>
      </c>
    </row>
    <row r="2384" spans="1:8" s="124" customFormat="1" ht="30">
      <c r="A2384" s="721">
        <v>88316</v>
      </c>
      <c r="B2384" s="721"/>
      <c r="C2384" s="200" t="s">
        <v>5256</v>
      </c>
      <c r="D2384" s="139" t="s">
        <v>66</v>
      </c>
      <c r="E2384" s="209">
        <v>6</v>
      </c>
      <c r="F2384" s="577" t="s">
        <v>67</v>
      </c>
      <c r="G2384" s="210">
        <v>11.631600000000001</v>
      </c>
      <c r="H2384" s="211">
        <f>ROUND(G2384*E2384,2)</f>
        <v>69.790000000000006</v>
      </c>
    </row>
    <row r="2385" spans="1:8" s="124" customFormat="1" ht="30">
      <c r="A2385" s="721">
        <v>88309</v>
      </c>
      <c r="B2385" s="721"/>
      <c r="C2385" s="200" t="s">
        <v>5256</v>
      </c>
      <c r="D2385" s="139" t="s">
        <v>90</v>
      </c>
      <c r="E2385" s="209">
        <v>2</v>
      </c>
      <c r="F2385" s="577" t="s">
        <v>67</v>
      </c>
      <c r="G2385" s="210">
        <v>15.608700000000001</v>
      </c>
      <c r="H2385" s="211">
        <f>ROUND(G2385*E2385,2)</f>
        <v>31.22</v>
      </c>
    </row>
    <row r="2386" spans="1:8" s="201" customFormat="1">
      <c r="A2386" s="582"/>
      <c r="B2386" s="582"/>
      <c r="C2386" s="212"/>
      <c r="D2386" s="719" t="s">
        <v>127</v>
      </c>
      <c r="E2386" s="719"/>
      <c r="F2386" s="719"/>
      <c r="G2386" s="719"/>
      <c r="H2386" s="638">
        <f>SUMIF(F2382:F2385,("h"),H2382:H2385)</f>
        <v>164.13</v>
      </c>
    </row>
    <row r="2387" spans="1:8" s="201" customFormat="1">
      <c r="A2387" s="582"/>
      <c r="B2387" s="582"/>
      <c r="C2387" s="212"/>
      <c r="D2387" s="719" t="s">
        <v>128</v>
      </c>
      <c r="E2387" s="719"/>
      <c r="F2387" s="719"/>
      <c r="G2387" s="719"/>
      <c r="H2387" s="638">
        <f>SUMIF(F2382:F2385,"&lt;&gt;h",H2382:H2385)</f>
        <v>4746</v>
      </c>
    </row>
    <row r="2388" spans="1:8" s="201" customFormat="1">
      <c r="A2388" s="582"/>
      <c r="B2388" s="582"/>
      <c r="C2388" s="212"/>
      <c r="D2388" s="718" t="s">
        <v>129</v>
      </c>
      <c r="E2388" s="718"/>
      <c r="F2388" s="718"/>
      <c r="G2388" s="718"/>
      <c r="H2388" s="213">
        <f>SUM(H2386:H2387)</f>
        <v>4910.13</v>
      </c>
    </row>
    <row r="2389" spans="1:8" s="201" customFormat="1">
      <c r="A2389" s="582"/>
      <c r="B2389" s="582"/>
      <c r="C2389" s="212"/>
      <c r="D2389" s="719" t="s">
        <v>28</v>
      </c>
      <c r="E2389" s="719"/>
      <c r="F2389" s="719"/>
      <c r="G2389" s="719"/>
      <c r="H2389" s="639">
        <f>E2381</f>
        <v>1</v>
      </c>
    </row>
    <row r="2390" spans="1:8" s="201" customFormat="1">
      <c r="A2390" s="582"/>
      <c r="B2390" s="582"/>
      <c r="C2390" s="212"/>
      <c r="D2390" s="718" t="s">
        <v>130</v>
      </c>
      <c r="E2390" s="718"/>
      <c r="F2390" s="718"/>
      <c r="G2390" s="718"/>
      <c r="H2390" s="213">
        <f>ROUND(H2388*H2389,2)</f>
        <v>4910.13</v>
      </c>
    </row>
    <row r="2391" spans="1:8" s="201" customFormat="1">
      <c r="A2391" s="582"/>
      <c r="B2391" s="582"/>
      <c r="C2391" s="212"/>
      <c r="D2391" s="719" t="s">
        <v>15559</v>
      </c>
      <c r="E2391" s="719"/>
      <c r="F2391" s="719"/>
      <c r="G2391" s="719"/>
      <c r="H2391" s="638">
        <f>ROUND(H2388*$B$13,2)</f>
        <v>1322.3</v>
      </c>
    </row>
    <row r="2392" spans="1:8">
      <c r="A2392" s="582"/>
      <c r="B2392" s="582"/>
      <c r="C2392" s="212"/>
      <c r="D2392" s="718" t="s">
        <v>9661</v>
      </c>
      <c r="E2392" s="718"/>
      <c r="F2392" s="718"/>
      <c r="G2392" s="718"/>
      <c r="H2392" s="213">
        <f>H2391+H2388</f>
        <v>6232.43</v>
      </c>
    </row>
    <row r="2394" spans="1:8" s="201" customFormat="1">
      <c r="A2394" s="123" t="s">
        <v>6</v>
      </c>
      <c r="B2394" s="720" t="s">
        <v>7</v>
      </c>
      <c r="C2394" s="720"/>
      <c r="D2394" s="202" t="s">
        <v>124</v>
      </c>
      <c r="E2394" s="167" t="s">
        <v>6334</v>
      </c>
      <c r="F2394" s="202" t="s">
        <v>31</v>
      </c>
      <c r="G2394" s="203" t="s">
        <v>125</v>
      </c>
      <c r="H2394" s="204" t="s">
        <v>126</v>
      </c>
    </row>
    <row r="2395" spans="1:8" s="208" customFormat="1" ht="45">
      <c r="A2395" s="581" t="s">
        <v>8989</v>
      </c>
      <c r="B2395" s="581" t="str">
        <f>'Orç - Prédio'!B419</f>
        <v>ORSE</v>
      </c>
      <c r="C2395" s="581" t="str">
        <f>'Orç - Prédio'!C419</f>
        <v>8067 MOD 2</v>
      </c>
      <c r="D2395" s="205" t="s">
        <v>8305</v>
      </c>
      <c r="E2395" s="206">
        <v>6</v>
      </c>
      <c r="F2395" s="581" t="s">
        <v>6337</v>
      </c>
      <c r="G2395" s="207">
        <f>VLOOKUP("CUSTO TOTAL UNIT.:",D2396:$H$30004,5,FALSE)</f>
        <v>540.23</v>
      </c>
      <c r="H2395" s="637">
        <f>VLOOKUP("CUSTO TOTAL:",D2396:$H$30004,5,FALSE)</f>
        <v>3241.38</v>
      </c>
    </row>
    <row r="2396" spans="1:8" s="124" customFormat="1" ht="60">
      <c r="A2396" s="721">
        <v>12038</v>
      </c>
      <c r="B2396" s="721"/>
      <c r="C2396" s="200" t="s">
        <v>5256</v>
      </c>
      <c r="D2396" s="139" t="s">
        <v>13624</v>
      </c>
      <c r="E2396" s="209">
        <v>1</v>
      </c>
      <c r="F2396" s="577" t="s">
        <v>40</v>
      </c>
      <c r="G2396" s="210">
        <v>364.15980000000002</v>
      </c>
      <c r="H2396" s="211">
        <f>ROUND(G2396*E2396,2)</f>
        <v>364.16</v>
      </c>
    </row>
    <row r="2397" spans="1:8" s="124" customFormat="1" ht="30">
      <c r="A2397" s="721">
        <v>88264</v>
      </c>
      <c r="B2397" s="721"/>
      <c r="C2397" s="200" t="s">
        <v>5256</v>
      </c>
      <c r="D2397" s="139" t="s">
        <v>84</v>
      </c>
      <c r="E2397" s="209">
        <v>5</v>
      </c>
      <c r="F2397" s="577" t="s">
        <v>67</v>
      </c>
      <c r="G2397" s="210">
        <v>15.778800000000002</v>
      </c>
      <c r="H2397" s="211">
        <f>ROUND(G2397*E2397,2)</f>
        <v>78.89</v>
      </c>
    </row>
    <row r="2398" spans="1:8" s="124" customFormat="1" ht="30">
      <c r="A2398" s="721">
        <v>88316</v>
      </c>
      <c r="B2398" s="721"/>
      <c r="C2398" s="200" t="s">
        <v>5256</v>
      </c>
      <c r="D2398" s="139" t="s">
        <v>66</v>
      </c>
      <c r="E2398" s="209">
        <v>5</v>
      </c>
      <c r="F2398" s="577" t="s">
        <v>67</v>
      </c>
      <c r="G2398" s="210">
        <v>11.631600000000001</v>
      </c>
      <c r="H2398" s="211">
        <f>ROUND(G2398*E2398,2)</f>
        <v>58.16</v>
      </c>
    </row>
    <row r="2399" spans="1:8" s="124" customFormat="1" ht="30">
      <c r="A2399" s="721">
        <v>88309</v>
      </c>
      <c r="B2399" s="721"/>
      <c r="C2399" s="200" t="s">
        <v>5256</v>
      </c>
      <c r="D2399" s="139" t="s">
        <v>90</v>
      </c>
      <c r="E2399" s="209">
        <v>2.5</v>
      </c>
      <c r="F2399" s="577" t="s">
        <v>67</v>
      </c>
      <c r="G2399" s="210">
        <v>15.608700000000001</v>
      </c>
      <c r="H2399" s="211">
        <f>ROUND(G2399*E2399,2)</f>
        <v>39.020000000000003</v>
      </c>
    </row>
    <row r="2400" spans="1:8" s="201" customFormat="1">
      <c r="A2400" s="582"/>
      <c r="B2400" s="582"/>
      <c r="C2400" s="212"/>
      <c r="D2400" s="719" t="s">
        <v>127</v>
      </c>
      <c r="E2400" s="719"/>
      <c r="F2400" s="719"/>
      <c r="G2400" s="719"/>
      <c r="H2400" s="638">
        <f>SUMIF(F2396:F2399,("h"),H2396:H2399)</f>
        <v>176.07000000000002</v>
      </c>
    </row>
    <row r="2401" spans="1:8" s="201" customFormat="1">
      <c r="A2401" s="582"/>
      <c r="B2401" s="582"/>
      <c r="C2401" s="212"/>
      <c r="D2401" s="719" t="s">
        <v>128</v>
      </c>
      <c r="E2401" s="719"/>
      <c r="F2401" s="719"/>
      <c r="G2401" s="719"/>
      <c r="H2401" s="638">
        <f>SUMIF(F2396:F2399,"&lt;&gt;h",H2396:H2399)</f>
        <v>364.16</v>
      </c>
    </row>
    <row r="2402" spans="1:8" s="201" customFormat="1">
      <c r="A2402" s="582"/>
      <c r="B2402" s="582"/>
      <c r="C2402" s="212"/>
      <c r="D2402" s="718" t="s">
        <v>129</v>
      </c>
      <c r="E2402" s="718"/>
      <c r="F2402" s="718"/>
      <c r="G2402" s="718"/>
      <c r="H2402" s="213">
        <f>SUM(H2400:H2401)</f>
        <v>540.23</v>
      </c>
    </row>
    <row r="2403" spans="1:8" s="201" customFormat="1">
      <c r="A2403" s="582"/>
      <c r="B2403" s="582"/>
      <c r="C2403" s="212"/>
      <c r="D2403" s="719" t="s">
        <v>28</v>
      </c>
      <c r="E2403" s="719"/>
      <c r="F2403" s="719"/>
      <c r="G2403" s="719"/>
      <c r="H2403" s="639">
        <f>E2395</f>
        <v>6</v>
      </c>
    </row>
    <row r="2404" spans="1:8" s="201" customFormat="1">
      <c r="A2404" s="582"/>
      <c r="B2404" s="582"/>
      <c r="C2404" s="212"/>
      <c r="D2404" s="718" t="s">
        <v>130</v>
      </c>
      <c r="E2404" s="718"/>
      <c r="F2404" s="718"/>
      <c r="G2404" s="718"/>
      <c r="H2404" s="213">
        <f>ROUND(H2402*H2403,2)</f>
        <v>3241.38</v>
      </c>
    </row>
    <row r="2405" spans="1:8" s="201" customFormat="1">
      <c r="A2405" s="582"/>
      <c r="B2405" s="582"/>
      <c r="C2405" s="212"/>
      <c r="D2405" s="719" t="s">
        <v>15559</v>
      </c>
      <c r="E2405" s="719"/>
      <c r="F2405" s="719"/>
      <c r="G2405" s="719"/>
      <c r="H2405" s="638">
        <f>ROUND(H2402*$B$13,2)</f>
        <v>145.47999999999999</v>
      </c>
    </row>
    <row r="2406" spans="1:8">
      <c r="A2406" s="582"/>
      <c r="B2406" s="582"/>
      <c r="C2406" s="212"/>
      <c r="D2406" s="718" t="s">
        <v>9661</v>
      </c>
      <c r="E2406" s="718"/>
      <c r="F2406" s="718"/>
      <c r="G2406" s="718"/>
      <c r="H2406" s="213">
        <f>H2405+H2402</f>
        <v>685.71</v>
      </c>
    </row>
    <row r="2408" spans="1:8" s="201" customFormat="1">
      <c r="A2408" s="123" t="s">
        <v>6</v>
      </c>
      <c r="B2408" s="720" t="s">
        <v>7</v>
      </c>
      <c r="C2408" s="720"/>
      <c r="D2408" s="202" t="s">
        <v>124</v>
      </c>
      <c r="E2408" s="167" t="s">
        <v>6334</v>
      </c>
      <c r="F2408" s="202" t="s">
        <v>31</v>
      </c>
      <c r="G2408" s="203" t="s">
        <v>125</v>
      </c>
      <c r="H2408" s="204" t="s">
        <v>126</v>
      </c>
    </row>
    <row r="2409" spans="1:8" s="208" customFormat="1" ht="45">
      <c r="A2409" s="581" t="str">
        <f>'Orç - Prédio'!A418</f>
        <v>06.01.302.01</v>
      </c>
      <c r="B2409" s="581" t="str">
        <f>'Orç - Prédio'!B418</f>
        <v>ORSE</v>
      </c>
      <c r="C2409" s="581" t="str">
        <f>'Orç - Prédio'!C418</f>
        <v>8067 MOD 1</v>
      </c>
      <c r="D2409" s="205" t="s">
        <v>8304</v>
      </c>
      <c r="E2409" s="206">
        <v>3</v>
      </c>
      <c r="F2409" s="581" t="s">
        <v>6337</v>
      </c>
      <c r="G2409" s="207">
        <f>VLOOKUP("CUSTO TOTAL UNIT.:",D2410:$H$30004,5,FALSE)</f>
        <v>502.26</v>
      </c>
      <c r="H2409" s="637">
        <f>VLOOKUP("CUSTO TOTAL:",D2410:$H$30004,5,FALSE)</f>
        <v>1506.78</v>
      </c>
    </row>
    <row r="2410" spans="1:8" s="124" customFormat="1" ht="60">
      <c r="A2410" s="721">
        <v>39756</v>
      </c>
      <c r="B2410" s="721"/>
      <c r="C2410" s="200" t="s">
        <v>5256</v>
      </c>
      <c r="D2410" s="139" t="s">
        <v>13623</v>
      </c>
      <c r="E2410" s="209">
        <v>1</v>
      </c>
      <c r="F2410" s="577" t="s">
        <v>40</v>
      </c>
      <c r="G2410" s="210">
        <v>326.18700000000001</v>
      </c>
      <c r="H2410" s="211">
        <f>ROUND(G2410*E2410,2)</f>
        <v>326.19</v>
      </c>
    </row>
    <row r="2411" spans="1:8" s="124" customFormat="1" ht="30">
      <c r="A2411" s="721">
        <v>88264</v>
      </c>
      <c r="B2411" s="721"/>
      <c r="C2411" s="200" t="s">
        <v>5256</v>
      </c>
      <c r="D2411" s="139" t="s">
        <v>84</v>
      </c>
      <c r="E2411" s="209">
        <v>5</v>
      </c>
      <c r="F2411" s="577" t="s">
        <v>67</v>
      </c>
      <c r="G2411" s="210">
        <v>15.778800000000002</v>
      </c>
      <c r="H2411" s="211">
        <f>ROUND(G2411*E2411,2)</f>
        <v>78.89</v>
      </c>
    </row>
    <row r="2412" spans="1:8" s="124" customFormat="1" ht="30">
      <c r="A2412" s="721">
        <v>88316</v>
      </c>
      <c r="B2412" s="721"/>
      <c r="C2412" s="200" t="s">
        <v>5256</v>
      </c>
      <c r="D2412" s="139" t="s">
        <v>66</v>
      </c>
      <c r="E2412" s="209">
        <v>5</v>
      </c>
      <c r="F2412" s="577" t="s">
        <v>67</v>
      </c>
      <c r="G2412" s="210">
        <v>11.631600000000001</v>
      </c>
      <c r="H2412" s="211">
        <f>ROUND(G2412*E2412,2)</f>
        <v>58.16</v>
      </c>
    </row>
    <row r="2413" spans="1:8" s="124" customFormat="1" ht="30">
      <c r="A2413" s="721">
        <v>88309</v>
      </c>
      <c r="B2413" s="721"/>
      <c r="C2413" s="200" t="s">
        <v>5256</v>
      </c>
      <c r="D2413" s="139" t="s">
        <v>90</v>
      </c>
      <c r="E2413" s="209">
        <v>2.5</v>
      </c>
      <c r="F2413" s="577" t="s">
        <v>67</v>
      </c>
      <c r="G2413" s="210">
        <v>15.608700000000001</v>
      </c>
      <c r="H2413" s="211">
        <f>ROUND(G2413*E2413,2)</f>
        <v>39.020000000000003</v>
      </c>
    </row>
    <row r="2414" spans="1:8" s="201" customFormat="1">
      <c r="A2414" s="582"/>
      <c r="B2414" s="582"/>
      <c r="C2414" s="212"/>
      <c r="D2414" s="719" t="s">
        <v>127</v>
      </c>
      <c r="E2414" s="719"/>
      <c r="F2414" s="719"/>
      <c r="G2414" s="719"/>
      <c r="H2414" s="638">
        <f>SUMIF(F2410:F2413,("h"),H2410:H2413)</f>
        <v>176.07000000000002</v>
      </c>
    </row>
    <row r="2415" spans="1:8" s="201" customFormat="1">
      <c r="A2415" s="582"/>
      <c r="B2415" s="582"/>
      <c r="C2415" s="212"/>
      <c r="D2415" s="719" t="s">
        <v>128</v>
      </c>
      <c r="E2415" s="719"/>
      <c r="F2415" s="719"/>
      <c r="G2415" s="719"/>
      <c r="H2415" s="638">
        <f>SUMIF(F2410:F2413,"&lt;&gt;h",H2410:H2413)</f>
        <v>326.19</v>
      </c>
    </row>
    <row r="2416" spans="1:8" s="201" customFormat="1">
      <c r="A2416" s="582"/>
      <c r="B2416" s="582"/>
      <c r="C2416" s="212"/>
      <c r="D2416" s="718" t="s">
        <v>129</v>
      </c>
      <c r="E2416" s="718"/>
      <c r="F2416" s="718"/>
      <c r="G2416" s="718"/>
      <c r="H2416" s="213">
        <f>SUM(H2414:H2415)</f>
        <v>502.26</v>
      </c>
    </row>
    <row r="2417" spans="1:8" s="201" customFormat="1">
      <c r="A2417" s="582"/>
      <c r="B2417" s="582"/>
      <c r="C2417" s="212"/>
      <c r="D2417" s="719" t="s">
        <v>28</v>
      </c>
      <c r="E2417" s="719"/>
      <c r="F2417" s="719"/>
      <c r="G2417" s="719"/>
      <c r="H2417" s="639">
        <f>E2409</f>
        <v>3</v>
      </c>
    </row>
    <row r="2418" spans="1:8" s="201" customFormat="1">
      <c r="A2418" s="582"/>
      <c r="B2418" s="582"/>
      <c r="C2418" s="212"/>
      <c r="D2418" s="718" t="s">
        <v>130</v>
      </c>
      <c r="E2418" s="718"/>
      <c r="F2418" s="718"/>
      <c r="G2418" s="718"/>
      <c r="H2418" s="213">
        <f>ROUND(H2416*H2417,2)</f>
        <v>1506.78</v>
      </c>
    </row>
    <row r="2419" spans="1:8" s="201" customFormat="1">
      <c r="A2419" s="582"/>
      <c r="B2419" s="582"/>
      <c r="C2419" s="212"/>
      <c r="D2419" s="719" t="s">
        <v>15559</v>
      </c>
      <c r="E2419" s="719"/>
      <c r="F2419" s="719"/>
      <c r="G2419" s="719"/>
      <c r="H2419" s="638">
        <f>ROUND(H2416*$B$13,2)</f>
        <v>135.26</v>
      </c>
    </row>
    <row r="2420" spans="1:8">
      <c r="A2420" s="582"/>
      <c r="B2420" s="582"/>
      <c r="C2420" s="212"/>
      <c r="D2420" s="718" t="s">
        <v>9661</v>
      </c>
      <c r="E2420" s="718"/>
      <c r="F2420" s="718"/>
      <c r="G2420" s="718"/>
      <c r="H2420" s="213">
        <f>H2419+H2416</f>
        <v>637.52</v>
      </c>
    </row>
    <row r="2422" spans="1:8" s="201" customFormat="1">
      <c r="A2422" s="123" t="s">
        <v>6</v>
      </c>
      <c r="B2422" s="720" t="s">
        <v>7</v>
      </c>
      <c r="C2422" s="720"/>
      <c r="D2422" s="202" t="s">
        <v>124</v>
      </c>
      <c r="E2422" s="167" t="s">
        <v>6334</v>
      </c>
      <c r="F2422" s="202" t="s">
        <v>31</v>
      </c>
      <c r="G2422" s="203" t="s">
        <v>125</v>
      </c>
      <c r="H2422" s="204" t="s">
        <v>126</v>
      </c>
    </row>
    <row r="2423" spans="1:8" s="208" customFormat="1" ht="45">
      <c r="A2423" s="581" t="str">
        <f>'Orç - Prédio'!A420</f>
        <v>06.01.302.03</v>
      </c>
      <c r="B2423" s="581" t="str">
        <f>'Orç - Prédio'!B420</f>
        <v>ORSE</v>
      </c>
      <c r="C2423" s="581" t="str">
        <f>'Orç - Prédio'!C420</f>
        <v>8067 MOD 3</v>
      </c>
      <c r="D2423" s="205" t="s">
        <v>8306</v>
      </c>
      <c r="E2423" s="206">
        <v>7</v>
      </c>
      <c r="F2423" s="205" t="s">
        <v>6337</v>
      </c>
      <c r="G2423" s="207">
        <f>VLOOKUP("CUSTO TOTAL UNIT.:",D2424:$H$30004,5,FALSE)</f>
        <v>641.37</v>
      </c>
      <c r="H2423" s="637">
        <f>VLOOKUP("CUSTO TOTAL:",D2424:$H$30004,5,FALSE)</f>
        <v>4489.59</v>
      </c>
    </row>
    <row r="2424" spans="1:8" s="124" customFormat="1" ht="60">
      <c r="A2424" s="721">
        <v>12040</v>
      </c>
      <c r="B2424" s="721"/>
      <c r="C2424" s="200" t="s">
        <v>5256</v>
      </c>
      <c r="D2424" s="139" t="s">
        <v>13625</v>
      </c>
      <c r="E2424" s="209">
        <v>1</v>
      </c>
      <c r="F2424" s="577" t="s">
        <v>40</v>
      </c>
      <c r="G2424" s="210">
        <v>465.29640000000006</v>
      </c>
      <c r="H2424" s="211">
        <f>ROUND(G2424*E2424,2)</f>
        <v>465.3</v>
      </c>
    </row>
    <row r="2425" spans="1:8" s="124" customFormat="1" ht="30">
      <c r="A2425" s="721">
        <v>88264</v>
      </c>
      <c r="B2425" s="721"/>
      <c r="C2425" s="200" t="s">
        <v>5256</v>
      </c>
      <c r="D2425" s="139" t="s">
        <v>84</v>
      </c>
      <c r="E2425" s="209">
        <v>5</v>
      </c>
      <c r="F2425" s="577" t="s">
        <v>67</v>
      </c>
      <c r="G2425" s="210">
        <v>15.778800000000002</v>
      </c>
      <c r="H2425" s="211">
        <f>ROUND(G2425*E2425,2)</f>
        <v>78.89</v>
      </c>
    </row>
    <row r="2426" spans="1:8" s="124" customFormat="1" ht="30">
      <c r="A2426" s="721">
        <v>88316</v>
      </c>
      <c r="B2426" s="721"/>
      <c r="C2426" s="200" t="s">
        <v>5256</v>
      </c>
      <c r="D2426" s="139" t="s">
        <v>66</v>
      </c>
      <c r="E2426" s="209">
        <v>5</v>
      </c>
      <c r="F2426" s="577" t="s">
        <v>67</v>
      </c>
      <c r="G2426" s="210">
        <v>11.631600000000001</v>
      </c>
      <c r="H2426" s="211">
        <f>ROUND(G2426*E2426,2)</f>
        <v>58.16</v>
      </c>
    </row>
    <row r="2427" spans="1:8" s="124" customFormat="1" ht="30">
      <c r="A2427" s="721">
        <v>88309</v>
      </c>
      <c r="B2427" s="721"/>
      <c r="C2427" s="200" t="s">
        <v>5256</v>
      </c>
      <c r="D2427" s="139" t="s">
        <v>90</v>
      </c>
      <c r="E2427" s="209">
        <v>2.5</v>
      </c>
      <c r="F2427" s="577" t="s">
        <v>67</v>
      </c>
      <c r="G2427" s="210">
        <v>15.608700000000001</v>
      </c>
      <c r="H2427" s="211">
        <f>ROUND(G2427*E2427,2)</f>
        <v>39.020000000000003</v>
      </c>
    </row>
    <row r="2428" spans="1:8" s="201" customFormat="1">
      <c r="A2428" s="582"/>
      <c r="B2428" s="582"/>
      <c r="C2428" s="212"/>
      <c r="D2428" s="719" t="s">
        <v>127</v>
      </c>
      <c r="E2428" s="719"/>
      <c r="F2428" s="719"/>
      <c r="G2428" s="719"/>
      <c r="H2428" s="638">
        <f>SUMIF(F2424:F2427,("h"),H2424:H2427)</f>
        <v>176.07000000000002</v>
      </c>
    </row>
    <row r="2429" spans="1:8" s="201" customFormat="1">
      <c r="A2429" s="582"/>
      <c r="B2429" s="582"/>
      <c r="C2429" s="212"/>
      <c r="D2429" s="719" t="s">
        <v>128</v>
      </c>
      <c r="E2429" s="719"/>
      <c r="F2429" s="719"/>
      <c r="G2429" s="719"/>
      <c r="H2429" s="638">
        <f>SUMIF(F2424:F2427,"&lt;&gt;h",H2424:H2427)</f>
        <v>465.3</v>
      </c>
    </row>
    <row r="2430" spans="1:8" s="201" customFormat="1">
      <c r="A2430" s="582"/>
      <c r="B2430" s="582"/>
      <c r="C2430" s="212"/>
      <c r="D2430" s="718" t="s">
        <v>129</v>
      </c>
      <c r="E2430" s="718"/>
      <c r="F2430" s="718"/>
      <c r="G2430" s="718"/>
      <c r="H2430" s="213">
        <f>SUM(H2428:H2429)</f>
        <v>641.37</v>
      </c>
    </row>
    <row r="2431" spans="1:8" s="201" customFormat="1">
      <c r="A2431" s="582"/>
      <c r="B2431" s="582"/>
      <c r="C2431" s="212"/>
      <c r="D2431" s="719" t="s">
        <v>28</v>
      </c>
      <c r="E2431" s="719"/>
      <c r="F2431" s="719"/>
      <c r="G2431" s="719"/>
      <c r="H2431" s="639">
        <f>E2423</f>
        <v>7</v>
      </c>
    </row>
    <row r="2432" spans="1:8" s="201" customFormat="1">
      <c r="A2432" s="582"/>
      <c r="B2432" s="582"/>
      <c r="C2432" s="212"/>
      <c r="D2432" s="718" t="s">
        <v>130</v>
      </c>
      <c r="E2432" s="718"/>
      <c r="F2432" s="718"/>
      <c r="G2432" s="718"/>
      <c r="H2432" s="213">
        <f>ROUND(H2430*H2431,2)</f>
        <v>4489.59</v>
      </c>
    </row>
    <row r="2433" spans="1:8" s="201" customFormat="1">
      <c r="A2433" s="582"/>
      <c r="B2433" s="582"/>
      <c r="C2433" s="212"/>
      <c r="D2433" s="719" t="s">
        <v>15559</v>
      </c>
      <c r="E2433" s="719"/>
      <c r="F2433" s="719"/>
      <c r="G2433" s="719"/>
      <c r="H2433" s="638">
        <f>ROUND(H2430*$B$13,2)</f>
        <v>172.72</v>
      </c>
    </row>
    <row r="2434" spans="1:8">
      <c r="A2434" s="582"/>
      <c r="B2434" s="582"/>
      <c r="C2434" s="212"/>
      <c r="D2434" s="718" t="s">
        <v>9661</v>
      </c>
      <c r="E2434" s="718"/>
      <c r="F2434" s="718"/>
      <c r="G2434" s="718"/>
      <c r="H2434" s="213">
        <f>H2433+H2430</f>
        <v>814.09</v>
      </c>
    </row>
    <row r="2436" spans="1:8" s="201" customFormat="1">
      <c r="A2436" s="123" t="s">
        <v>6</v>
      </c>
      <c r="B2436" s="720" t="s">
        <v>7</v>
      </c>
      <c r="C2436" s="720"/>
      <c r="D2436" s="202" t="s">
        <v>124</v>
      </c>
      <c r="E2436" s="167" t="s">
        <v>6334</v>
      </c>
      <c r="F2436" s="202" t="s">
        <v>31</v>
      </c>
      <c r="G2436" s="203" t="s">
        <v>125</v>
      </c>
      <c r="H2436" s="204" t="s">
        <v>126</v>
      </c>
    </row>
    <row r="2437" spans="1:8" s="208" customFormat="1" ht="45">
      <c r="A2437" s="581" t="str">
        <f>'Orç - Prédio'!A421</f>
        <v>06.01.302.04</v>
      </c>
      <c r="B2437" s="581" t="str">
        <f>'Orç - Prédio'!B421</f>
        <v>ORSE</v>
      </c>
      <c r="C2437" s="581" t="str">
        <f>'Orç - Prédio'!C421</f>
        <v>8067 MOD 4</v>
      </c>
      <c r="D2437" s="205" t="s">
        <v>8307</v>
      </c>
      <c r="E2437" s="206">
        <v>4</v>
      </c>
      <c r="F2437" s="581" t="s">
        <v>6337</v>
      </c>
      <c r="G2437" s="207">
        <f>VLOOKUP("CUSTO TOTAL UNIT.:",D2438:$H$30004,5,FALSE)</f>
        <v>673.6</v>
      </c>
      <c r="H2437" s="637">
        <f>VLOOKUP("CUSTO TOTAL:",D2438:$H$30004,5,FALSE)</f>
        <v>2694.4</v>
      </c>
    </row>
    <row r="2438" spans="1:8" s="124" customFormat="1" ht="60">
      <c r="A2438" s="721">
        <v>39757</v>
      </c>
      <c r="B2438" s="721"/>
      <c r="C2438" s="200" t="s">
        <v>5256</v>
      </c>
      <c r="D2438" s="139" t="s">
        <v>13626</v>
      </c>
      <c r="E2438" s="209">
        <v>1</v>
      </c>
      <c r="F2438" s="577" t="s">
        <v>40</v>
      </c>
      <c r="G2438" s="210">
        <v>497.53440000000006</v>
      </c>
      <c r="H2438" s="211">
        <f>ROUND(G2438*E2438,2)</f>
        <v>497.53</v>
      </c>
    </row>
    <row r="2439" spans="1:8" s="124" customFormat="1" ht="30">
      <c r="A2439" s="721">
        <v>88264</v>
      </c>
      <c r="B2439" s="721"/>
      <c r="C2439" s="200" t="s">
        <v>5256</v>
      </c>
      <c r="D2439" s="139" t="s">
        <v>84</v>
      </c>
      <c r="E2439" s="209">
        <v>5</v>
      </c>
      <c r="F2439" s="577" t="s">
        <v>67</v>
      </c>
      <c r="G2439" s="210">
        <v>15.778800000000002</v>
      </c>
      <c r="H2439" s="211">
        <f>ROUND(G2439*E2439,2)</f>
        <v>78.89</v>
      </c>
    </row>
    <row r="2440" spans="1:8" s="124" customFormat="1" ht="30">
      <c r="A2440" s="721">
        <v>88316</v>
      </c>
      <c r="B2440" s="721"/>
      <c r="C2440" s="200" t="s">
        <v>5256</v>
      </c>
      <c r="D2440" s="139" t="s">
        <v>66</v>
      </c>
      <c r="E2440" s="209">
        <v>5</v>
      </c>
      <c r="F2440" s="577" t="s">
        <v>67</v>
      </c>
      <c r="G2440" s="210">
        <v>11.631600000000001</v>
      </c>
      <c r="H2440" s="211">
        <f>ROUND(G2440*E2440,2)</f>
        <v>58.16</v>
      </c>
    </row>
    <row r="2441" spans="1:8" s="124" customFormat="1" ht="30">
      <c r="A2441" s="721">
        <v>88309</v>
      </c>
      <c r="B2441" s="721"/>
      <c r="C2441" s="200" t="s">
        <v>5256</v>
      </c>
      <c r="D2441" s="139" t="s">
        <v>90</v>
      </c>
      <c r="E2441" s="209">
        <v>2.5</v>
      </c>
      <c r="F2441" s="577" t="s">
        <v>67</v>
      </c>
      <c r="G2441" s="210">
        <v>15.608700000000001</v>
      </c>
      <c r="H2441" s="211">
        <f>ROUND(G2441*E2441,2)</f>
        <v>39.020000000000003</v>
      </c>
    </row>
    <row r="2442" spans="1:8" s="201" customFormat="1">
      <c r="A2442" s="582"/>
      <c r="B2442" s="582"/>
      <c r="C2442" s="212"/>
      <c r="D2442" s="719" t="s">
        <v>127</v>
      </c>
      <c r="E2442" s="719"/>
      <c r="F2442" s="719"/>
      <c r="G2442" s="719"/>
      <c r="H2442" s="638">
        <f>SUMIF(F2438:F2441,("h"),H2438:H2441)</f>
        <v>176.07000000000002</v>
      </c>
    </row>
    <row r="2443" spans="1:8" s="201" customFormat="1">
      <c r="A2443" s="582"/>
      <c r="B2443" s="582"/>
      <c r="C2443" s="212"/>
      <c r="D2443" s="719" t="s">
        <v>128</v>
      </c>
      <c r="E2443" s="719"/>
      <c r="F2443" s="719"/>
      <c r="G2443" s="719"/>
      <c r="H2443" s="638">
        <f>SUMIF(F2438:F2441,"&lt;&gt;h",H2438:H2441)</f>
        <v>497.53</v>
      </c>
    </row>
    <row r="2444" spans="1:8" s="201" customFormat="1">
      <c r="A2444" s="582"/>
      <c r="B2444" s="582"/>
      <c r="C2444" s="212"/>
      <c r="D2444" s="718" t="s">
        <v>129</v>
      </c>
      <c r="E2444" s="718"/>
      <c r="F2444" s="718"/>
      <c r="G2444" s="718"/>
      <c r="H2444" s="213">
        <f>SUM(H2442:H2443)</f>
        <v>673.6</v>
      </c>
    </row>
    <row r="2445" spans="1:8" s="201" customFormat="1">
      <c r="A2445" s="582"/>
      <c r="B2445" s="582"/>
      <c r="C2445" s="212"/>
      <c r="D2445" s="719" t="s">
        <v>28</v>
      </c>
      <c r="E2445" s="719"/>
      <c r="F2445" s="719"/>
      <c r="G2445" s="719"/>
      <c r="H2445" s="639">
        <f>E2437</f>
        <v>4</v>
      </c>
    </row>
    <row r="2446" spans="1:8" s="201" customFormat="1">
      <c r="A2446" s="582"/>
      <c r="B2446" s="582"/>
      <c r="C2446" s="212"/>
      <c r="D2446" s="718" t="s">
        <v>130</v>
      </c>
      <c r="E2446" s="718"/>
      <c r="F2446" s="718"/>
      <c r="G2446" s="718"/>
      <c r="H2446" s="213">
        <f>ROUND(H2444*H2445,2)</f>
        <v>2694.4</v>
      </c>
    </row>
    <row r="2447" spans="1:8" s="201" customFormat="1">
      <c r="A2447" s="582"/>
      <c r="B2447" s="582"/>
      <c r="C2447" s="212"/>
      <c r="D2447" s="719" t="s">
        <v>15559</v>
      </c>
      <c r="E2447" s="719"/>
      <c r="F2447" s="719"/>
      <c r="G2447" s="719"/>
      <c r="H2447" s="638">
        <f>ROUND(H2444*$B$13,2)</f>
        <v>181.4</v>
      </c>
    </row>
    <row r="2448" spans="1:8">
      <c r="A2448" s="582"/>
      <c r="B2448" s="582"/>
      <c r="C2448" s="212"/>
      <c r="D2448" s="718" t="s">
        <v>9661</v>
      </c>
      <c r="E2448" s="718"/>
      <c r="F2448" s="718"/>
      <c r="G2448" s="718"/>
      <c r="H2448" s="213">
        <f>H2447+H2444</f>
        <v>855</v>
      </c>
    </row>
    <row r="2450" spans="1:8" s="201" customFormat="1">
      <c r="A2450" s="123" t="s">
        <v>6</v>
      </c>
      <c r="B2450" s="720" t="s">
        <v>7</v>
      </c>
      <c r="C2450" s="720"/>
      <c r="D2450" s="202" t="s">
        <v>124</v>
      </c>
      <c r="E2450" s="167" t="s">
        <v>6334</v>
      </c>
      <c r="F2450" s="202" t="s">
        <v>31</v>
      </c>
      <c r="G2450" s="203" t="s">
        <v>125</v>
      </c>
      <c r="H2450" s="204" t="s">
        <v>126</v>
      </c>
    </row>
    <row r="2451" spans="1:8" s="208" customFormat="1" ht="45">
      <c r="A2451" s="581" t="str">
        <f>'Orç - Prédio'!A422</f>
        <v>06.01.302.05</v>
      </c>
      <c r="B2451" s="581" t="str">
        <f>'Orç - Prédio'!B422</f>
        <v>ORSE</v>
      </c>
      <c r="C2451" s="581" t="str">
        <f>'Orç - Prédio'!C422</f>
        <v>8067 MOD 5</v>
      </c>
      <c r="D2451" s="205" t="s">
        <v>8308</v>
      </c>
      <c r="E2451" s="206">
        <v>1</v>
      </c>
      <c r="F2451" s="581" t="s">
        <v>6337</v>
      </c>
      <c r="G2451" s="207">
        <f>VLOOKUP("CUSTO TOTAL UNIT.:",D2452:$H$30004,5,FALSE)</f>
        <v>821.90000000000009</v>
      </c>
      <c r="H2451" s="637">
        <f>VLOOKUP("CUSTO TOTAL:",D2452:$H$30004,5,FALSE)</f>
        <v>821.9</v>
      </c>
    </row>
    <row r="2452" spans="1:8" s="124" customFormat="1" ht="60">
      <c r="A2452" s="721">
        <v>39758</v>
      </c>
      <c r="B2452" s="721"/>
      <c r="C2452" s="200" t="s">
        <v>5256</v>
      </c>
      <c r="D2452" s="139" t="s">
        <v>13627</v>
      </c>
      <c r="E2452" s="209">
        <v>1</v>
      </c>
      <c r="F2452" s="577" t="s">
        <v>40</v>
      </c>
      <c r="G2452" s="210">
        <v>645.82920000000013</v>
      </c>
      <c r="H2452" s="211">
        <f>ROUND(G2452*E2452,2)</f>
        <v>645.83000000000004</v>
      </c>
    </row>
    <row r="2453" spans="1:8" s="124" customFormat="1" ht="30">
      <c r="A2453" s="721">
        <v>88264</v>
      </c>
      <c r="B2453" s="721"/>
      <c r="C2453" s="200" t="s">
        <v>5256</v>
      </c>
      <c r="D2453" s="139" t="s">
        <v>84</v>
      </c>
      <c r="E2453" s="209">
        <v>5</v>
      </c>
      <c r="F2453" s="577" t="s">
        <v>67</v>
      </c>
      <c r="G2453" s="210">
        <v>15.778800000000002</v>
      </c>
      <c r="H2453" s="211">
        <f>ROUND(G2453*E2453,2)</f>
        <v>78.89</v>
      </c>
    </row>
    <row r="2454" spans="1:8" s="124" customFormat="1" ht="30">
      <c r="A2454" s="721">
        <v>88316</v>
      </c>
      <c r="B2454" s="721"/>
      <c r="C2454" s="200" t="s">
        <v>5256</v>
      </c>
      <c r="D2454" s="139" t="s">
        <v>66</v>
      </c>
      <c r="E2454" s="209">
        <v>5</v>
      </c>
      <c r="F2454" s="577" t="s">
        <v>67</v>
      </c>
      <c r="G2454" s="210">
        <v>11.631600000000001</v>
      </c>
      <c r="H2454" s="211">
        <f>ROUND(G2454*E2454,2)</f>
        <v>58.16</v>
      </c>
    </row>
    <row r="2455" spans="1:8" s="124" customFormat="1" ht="30">
      <c r="A2455" s="721">
        <v>88309</v>
      </c>
      <c r="B2455" s="721"/>
      <c r="C2455" s="200" t="s">
        <v>5256</v>
      </c>
      <c r="D2455" s="139" t="s">
        <v>90</v>
      </c>
      <c r="E2455" s="209">
        <v>2.5</v>
      </c>
      <c r="F2455" s="577" t="s">
        <v>67</v>
      </c>
      <c r="G2455" s="210">
        <v>15.608700000000001</v>
      </c>
      <c r="H2455" s="211">
        <f>ROUND(G2455*E2455,2)</f>
        <v>39.020000000000003</v>
      </c>
    </row>
    <row r="2456" spans="1:8" s="201" customFormat="1">
      <c r="A2456" s="582"/>
      <c r="B2456" s="582"/>
      <c r="C2456" s="212"/>
      <c r="D2456" s="719" t="s">
        <v>127</v>
      </c>
      <c r="E2456" s="719"/>
      <c r="F2456" s="719"/>
      <c r="G2456" s="719"/>
      <c r="H2456" s="638">
        <f>SUMIF(F2452:F2455,("h"),H2452:H2455)</f>
        <v>176.07000000000002</v>
      </c>
    </row>
    <row r="2457" spans="1:8" s="201" customFormat="1">
      <c r="A2457" s="582"/>
      <c r="B2457" s="582"/>
      <c r="C2457" s="212"/>
      <c r="D2457" s="719" t="s">
        <v>128</v>
      </c>
      <c r="E2457" s="719"/>
      <c r="F2457" s="719"/>
      <c r="G2457" s="719"/>
      <c r="H2457" s="638">
        <f>SUMIF(F2452:F2455,"&lt;&gt;h",H2452:H2455)</f>
        <v>645.83000000000004</v>
      </c>
    </row>
    <row r="2458" spans="1:8" s="201" customFormat="1">
      <c r="A2458" s="582"/>
      <c r="B2458" s="582"/>
      <c r="C2458" s="212"/>
      <c r="D2458" s="718" t="s">
        <v>129</v>
      </c>
      <c r="E2458" s="718"/>
      <c r="F2458" s="718"/>
      <c r="G2458" s="718"/>
      <c r="H2458" s="213">
        <f>SUM(H2456:H2457)</f>
        <v>821.90000000000009</v>
      </c>
    </row>
    <row r="2459" spans="1:8" s="201" customFormat="1">
      <c r="A2459" s="582"/>
      <c r="B2459" s="582"/>
      <c r="C2459" s="212"/>
      <c r="D2459" s="719" t="s">
        <v>28</v>
      </c>
      <c r="E2459" s="719"/>
      <c r="F2459" s="719"/>
      <c r="G2459" s="719"/>
      <c r="H2459" s="639">
        <f>E2451</f>
        <v>1</v>
      </c>
    </row>
    <row r="2460" spans="1:8" s="201" customFormat="1">
      <c r="A2460" s="582"/>
      <c r="B2460" s="582"/>
      <c r="C2460" s="212"/>
      <c r="D2460" s="718" t="s">
        <v>130</v>
      </c>
      <c r="E2460" s="718"/>
      <c r="F2460" s="718"/>
      <c r="G2460" s="718"/>
      <c r="H2460" s="213">
        <f>ROUND(H2458*H2459,2)</f>
        <v>821.9</v>
      </c>
    </row>
    <row r="2461" spans="1:8" s="201" customFormat="1">
      <c r="A2461" s="582"/>
      <c r="B2461" s="582"/>
      <c r="C2461" s="212"/>
      <c r="D2461" s="719" t="s">
        <v>15559</v>
      </c>
      <c r="E2461" s="719"/>
      <c r="F2461" s="719"/>
      <c r="G2461" s="719"/>
      <c r="H2461" s="638">
        <f>ROUND(H2458*$B$13,2)</f>
        <v>221.34</v>
      </c>
    </row>
    <row r="2462" spans="1:8">
      <c r="A2462" s="582"/>
      <c r="B2462" s="582"/>
      <c r="C2462" s="212"/>
      <c r="D2462" s="718" t="s">
        <v>9661</v>
      </c>
      <c r="E2462" s="718"/>
      <c r="F2462" s="718"/>
      <c r="G2462" s="718"/>
      <c r="H2462" s="213">
        <f>H2461+H2458</f>
        <v>1043.24</v>
      </c>
    </row>
    <row r="2464" spans="1:8" s="201" customFormat="1">
      <c r="A2464" s="123" t="s">
        <v>6</v>
      </c>
      <c r="B2464" s="720" t="s">
        <v>7</v>
      </c>
      <c r="C2464" s="720"/>
      <c r="D2464" s="202" t="s">
        <v>124</v>
      </c>
      <c r="E2464" s="167" t="s">
        <v>6334</v>
      </c>
      <c r="F2464" s="202" t="s">
        <v>31</v>
      </c>
      <c r="G2464" s="203" t="s">
        <v>125</v>
      </c>
      <c r="H2464" s="204" t="s">
        <v>126</v>
      </c>
    </row>
    <row r="2465" spans="1:8" s="208" customFormat="1" ht="45">
      <c r="A2465" s="581" t="str">
        <f>'Orç - Prédio'!A423</f>
        <v>06.01.302.06</v>
      </c>
      <c r="B2465" s="581" t="str">
        <f>'Orç - Prédio'!B423</f>
        <v>ORSE</v>
      </c>
      <c r="C2465" s="581" t="str">
        <f>'Orç - Prédio'!C423</f>
        <v>8067 MOD 6</v>
      </c>
      <c r="D2465" s="205" t="s">
        <v>8309</v>
      </c>
      <c r="E2465" s="206">
        <v>2</v>
      </c>
      <c r="F2465" s="581" t="s">
        <v>6337</v>
      </c>
      <c r="G2465" s="207">
        <f>VLOOKUP("CUSTO TOTAL UNIT.:",D2466:$H$30004,5,FALSE)</f>
        <v>1058.46</v>
      </c>
      <c r="H2465" s="637">
        <f>VLOOKUP("CUSTO TOTAL:",D2466:$H$30004,5,FALSE)</f>
        <v>2116.92</v>
      </c>
    </row>
    <row r="2466" spans="1:8" s="124" customFormat="1" ht="60">
      <c r="A2466" s="721">
        <v>39759</v>
      </c>
      <c r="B2466" s="721"/>
      <c r="C2466" s="200" t="s">
        <v>5256</v>
      </c>
      <c r="D2466" s="139" t="s">
        <v>13628</v>
      </c>
      <c r="E2466" s="209">
        <v>1</v>
      </c>
      <c r="F2466" s="577" t="s">
        <v>40</v>
      </c>
      <c r="G2466" s="210">
        <v>882.38969999999995</v>
      </c>
      <c r="H2466" s="211">
        <f>ROUND(G2466*E2466,2)</f>
        <v>882.39</v>
      </c>
    </row>
    <row r="2467" spans="1:8" s="124" customFormat="1" ht="30">
      <c r="A2467" s="721">
        <v>88264</v>
      </c>
      <c r="B2467" s="721"/>
      <c r="C2467" s="200" t="s">
        <v>5256</v>
      </c>
      <c r="D2467" s="139" t="s">
        <v>84</v>
      </c>
      <c r="E2467" s="209">
        <v>5</v>
      </c>
      <c r="F2467" s="577" t="s">
        <v>67</v>
      </c>
      <c r="G2467" s="210">
        <v>15.778800000000002</v>
      </c>
      <c r="H2467" s="211">
        <f>ROUND(G2467*E2467,2)</f>
        <v>78.89</v>
      </c>
    </row>
    <row r="2468" spans="1:8" s="124" customFormat="1" ht="30">
      <c r="A2468" s="721">
        <v>88316</v>
      </c>
      <c r="B2468" s="721"/>
      <c r="C2468" s="200" t="s">
        <v>5256</v>
      </c>
      <c r="D2468" s="139" t="s">
        <v>66</v>
      </c>
      <c r="E2468" s="209">
        <v>5</v>
      </c>
      <c r="F2468" s="577" t="s">
        <v>67</v>
      </c>
      <c r="G2468" s="210">
        <v>11.631600000000001</v>
      </c>
      <c r="H2468" s="211">
        <f>ROUND(G2468*E2468,2)</f>
        <v>58.16</v>
      </c>
    </row>
    <row r="2469" spans="1:8" s="124" customFormat="1" ht="30">
      <c r="A2469" s="721">
        <v>88309</v>
      </c>
      <c r="B2469" s="721"/>
      <c r="C2469" s="200" t="s">
        <v>5256</v>
      </c>
      <c r="D2469" s="139" t="s">
        <v>90</v>
      </c>
      <c r="E2469" s="209">
        <v>2.5</v>
      </c>
      <c r="F2469" s="577" t="s">
        <v>67</v>
      </c>
      <c r="G2469" s="210">
        <v>15.608700000000001</v>
      </c>
      <c r="H2469" s="211">
        <f>ROUND(G2469*E2469,2)</f>
        <v>39.020000000000003</v>
      </c>
    </row>
    <row r="2470" spans="1:8" s="201" customFormat="1">
      <c r="A2470" s="582"/>
      <c r="B2470" s="582"/>
      <c r="C2470" s="212"/>
      <c r="D2470" s="719" t="s">
        <v>127</v>
      </c>
      <c r="E2470" s="719"/>
      <c r="F2470" s="719"/>
      <c r="G2470" s="719"/>
      <c r="H2470" s="638">
        <f>SUMIF(F2466:F2469,("h"),H2466:H2469)</f>
        <v>176.07000000000002</v>
      </c>
    </row>
    <row r="2471" spans="1:8" s="201" customFormat="1">
      <c r="A2471" s="582"/>
      <c r="B2471" s="582"/>
      <c r="C2471" s="212"/>
      <c r="D2471" s="719" t="s">
        <v>128</v>
      </c>
      <c r="E2471" s="719"/>
      <c r="F2471" s="719"/>
      <c r="G2471" s="719"/>
      <c r="H2471" s="638">
        <f>SUMIF(F2466:F2469,"&lt;&gt;h",H2466:H2469)</f>
        <v>882.39</v>
      </c>
    </row>
    <row r="2472" spans="1:8" s="201" customFormat="1">
      <c r="A2472" s="582"/>
      <c r="B2472" s="582"/>
      <c r="C2472" s="212"/>
      <c r="D2472" s="718" t="s">
        <v>129</v>
      </c>
      <c r="E2472" s="718"/>
      <c r="F2472" s="718"/>
      <c r="G2472" s="718"/>
      <c r="H2472" s="213">
        <f>SUM(H2470:H2471)</f>
        <v>1058.46</v>
      </c>
    </row>
    <row r="2473" spans="1:8" s="201" customFormat="1">
      <c r="A2473" s="582"/>
      <c r="B2473" s="582"/>
      <c r="C2473" s="212"/>
      <c r="D2473" s="719" t="s">
        <v>28</v>
      </c>
      <c r="E2473" s="719"/>
      <c r="F2473" s="719"/>
      <c r="G2473" s="719"/>
      <c r="H2473" s="639">
        <f>E2465</f>
        <v>2</v>
      </c>
    </row>
    <row r="2474" spans="1:8" s="201" customFormat="1">
      <c r="A2474" s="582"/>
      <c r="B2474" s="582"/>
      <c r="C2474" s="212"/>
      <c r="D2474" s="718" t="s">
        <v>130</v>
      </c>
      <c r="E2474" s="718"/>
      <c r="F2474" s="718"/>
      <c r="G2474" s="718"/>
      <c r="H2474" s="213">
        <f>ROUND(H2472*H2473,2)</f>
        <v>2116.92</v>
      </c>
    </row>
    <row r="2475" spans="1:8" s="201" customFormat="1">
      <c r="A2475" s="582"/>
      <c r="B2475" s="582"/>
      <c r="C2475" s="212"/>
      <c r="D2475" s="719" t="s">
        <v>15559</v>
      </c>
      <c r="E2475" s="719"/>
      <c r="F2475" s="719"/>
      <c r="G2475" s="719"/>
      <c r="H2475" s="638">
        <f>ROUND(H2472*$B$13,2)</f>
        <v>285.04000000000002</v>
      </c>
    </row>
    <row r="2476" spans="1:8">
      <c r="A2476" s="582"/>
      <c r="B2476" s="582"/>
      <c r="C2476" s="212"/>
      <c r="D2476" s="718" t="s">
        <v>9661</v>
      </c>
      <c r="E2476" s="718"/>
      <c r="F2476" s="718"/>
      <c r="G2476" s="718"/>
      <c r="H2476" s="213">
        <f>H2475+H2472</f>
        <v>1343.5</v>
      </c>
    </row>
    <row r="2478" spans="1:8" s="201" customFormat="1">
      <c r="A2478" s="123" t="s">
        <v>6</v>
      </c>
      <c r="B2478" s="720" t="s">
        <v>7</v>
      </c>
      <c r="C2478" s="720"/>
      <c r="D2478" s="202" t="s">
        <v>124</v>
      </c>
      <c r="E2478" s="167" t="s">
        <v>6334</v>
      </c>
      <c r="F2478" s="202" t="s">
        <v>31</v>
      </c>
      <c r="G2478" s="203" t="s">
        <v>125</v>
      </c>
      <c r="H2478" s="204" t="s">
        <v>126</v>
      </c>
    </row>
    <row r="2479" spans="1:8" s="208" customFormat="1" ht="45">
      <c r="A2479" s="581" t="str">
        <f>'Orç - Prédio'!A424</f>
        <v>06.01.302.07</v>
      </c>
      <c r="B2479" s="581" t="str">
        <f>'Orç - Prédio'!B424</f>
        <v>ORSE</v>
      </c>
      <c r="C2479" s="581" t="str">
        <f>'Orç - Prédio'!C424</f>
        <v>8067 MOD 7</v>
      </c>
      <c r="D2479" s="205" t="s">
        <v>8310</v>
      </c>
      <c r="E2479" s="206">
        <v>2</v>
      </c>
      <c r="F2479" s="581" t="s">
        <v>6337</v>
      </c>
      <c r="G2479" s="207">
        <f>VLOOKUP("CUSTO TOTAL UNIT.:",D2480:$H$30004,5,FALSE)</f>
        <v>1062.51</v>
      </c>
      <c r="H2479" s="637">
        <f>VLOOKUP("CUSTO TOTAL:",D2480:$H$30004,5,FALSE)</f>
        <v>2125.02</v>
      </c>
    </row>
    <row r="2480" spans="1:8" s="124" customFormat="1" ht="60">
      <c r="A2480" s="721">
        <v>39760</v>
      </c>
      <c r="B2480" s="721"/>
      <c r="C2480" s="200" t="s">
        <v>5256</v>
      </c>
      <c r="D2480" s="139" t="s">
        <v>13629</v>
      </c>
      <c r="E2480" s="209">
        <v>1</v>
      </c>
      <c r="F2480" s="577" t="s">
        <v>40</v>
      </c>
      <c r="G2480" s="210">
        <v>886.43970000000002</v>
      </c>
      <c r="H2480" s="211">
        <f>ROUND(G2480*E2480,2)</f>
        <v>886.44</v>
      </c>
    </row>
    <row r="2481" spans="1:8" s="124" customFormat="1" ht="30">
      <c r="A2481" s="721">
        <v>88264</v>
      </c>
      <c r="B2481" s="721"/>
      <c r="C2481" s="200" t="s">
        <v>5256</v>
      </c>
      <c r="D2481" s="139" t="s">
        <v>84</v>
      </c>
      <c r="E2481" s="209">
        <v>5</v>
      </c>
      <c r="F2481" s="577" t="s">
        <v>67</v>
      </c>
      <c r="G2481" s="210">
        <v>15.778800000000002</v>
      </c>
      <c r="H2481" s="211">
        <f>ROUND(G2481*E2481,2)</f>
        <v>78.89</v>
      </c>
    </row>
    <row r="2482" spans="1:8" s="124" customFormat="1" ht="30">
      <c r="A2482" s="721">
        <v>88316</v>
      </c>
      <c r="B2482" s="721"/>
      <c r="C2482" s="200" t="s">
        <v>5256</v>
      </c>
      <c r="D2482" s="139" t="s">
        <v>66</v>
      </c>
      <c r="E2482" s="209">
        <v>5</v>
      </c>
      <c r="F2482" s="577" t="s">
        <v>67</v>
      </c>
      <c r="G2482" s="210">
        <v>11.631600000000001</v>
      </c>
      <c r="H2482" s="211">
        <f>ROUND(G2482*E2482,2)</f>
        <v>58.16</v>
      </c>
    </row>
    <row r="2483" spans="1:8" s="124" customFormat="1" ht="30">
      <c r="A2483" s="721">
        <v>88309</v>
      </c>
      <c r="B2483" s="721"/>
      <c r="C2483" s="200" t="s">
        <v>5256</v>
      </c>
      <c r="D2483" s="139" t="s">
        <v>90</v>
      </c>
      <c r="E2483" s="209">
        <v>2.5</v>
      </c>
      <c r="F2483" s="577" t="s">
        <v>67</v>
      </c>
      <c r="G2483" s="210">
        <v>15.608700000000001</v>
      </c>
      <c r="H2483" s="211">
        <f>ROUND(G2483*E2483,2)</f>
        <v>39.020000000000003</v>
      </c>
    </row>
    <row r="2484" spans="1:8" s="201" customFormat="1">
      <c r="A2484" s="582"/>
      <c r="B2484" s="582"/>
      <c r="C2484" s="212"/>
      <c r="D2484" s="719" t="s">
        <v>127</v>
      </c>
      <c r="E2484" s="719"/>
      <c r="F2484" s="719"/>
      <c r="G2484" s="719"/>
      <c r="H2484" s="638">
        <f>SUMIF(F2480:F2483,("h"),H2480:H2483)</f>
        <v>176.07000000000002</v>
      </c>
    </row>
    <row r="2485" spans="1:8" s="201" customFormat="1">
      <c r="A2485" s="582"/>
      <c r="B2485" s="582"/>
      <c r="C2485" s="212"/>
      <c r="D2485" s="719" t="s">
        <v>128</v>
      </c>
      <c r="E2485" s="719"/>
      <c r="F2485" s="719"/>
      <c r="G2485" s="719"/>
      <c r="H2485" s="638">
        <f>SUMIF(F2480:F2483,"&lt;&gt;h",H2480:H2483)</f>
        <v>886.44</v>
      </c>
    </row>
    <row r="2486" spans="1:8" s="201" customFormat="1">
      <c r="A2486" s="582"/>
      <c r="B2486" s="582"/>
      <c r="C2486" s="212"/>
      <c r="D2486" s="718" t="s">
        <v>129</v>
      </c>
      <c r="E2486" s="718"/>
      <c r="F2486" s="718"/>
      <c r="G2486" s="718"/>
      <c r="H2486" s="213">
        <f>SUM(H2484:H2485)</f>
        <v>1062.51</v>
      </c>
    </row>
    <row r="2487" spans="1:8" s="201" customFormat="1">
      <c r="A2487" s="582"/>
      <c r="B2487" s="582"/>
      <c r="C2487" s="212"/>
      <c r="D2487" s="719" t="s">
        <v>28</v>
      </c>
      <c r="E2487" s="719"/>
      <c r="F2487" s="719"/>
      <c r="G2487" s="719"/>
      <c r="H2487" s="639">
        <f>E2479</f>
        <v>2</v>
      </c>
    </row>
    <row r="2488" spans="1:8" s="201" customFormat="1">
      <c r="A2488" s="582"/>
      <c r="B2488" s="582"/>
      <c r="C2488" s="212"/>
      <c r="D2488" s="718" t="s">
        <v>130</v>
      </c>
      <c r="E2488" s="718"/>
      <c r="F2488" s="718"/>
      <c r="G2488" s="718"/>
      <c r="H2488" s="213">
        <f>ROUND(H2486*H2487,2)</f>
        <v>2125.02</v>
      </c>
    </row>
    <row r="2489" spans="1:8" s="201" customFormat="1">
      <c r="A2489" s="582"/>
      <c r="B2489" s="582"/>
      <c r="C2489" s="212"/>
      <c r="D2489" s="719" t="s">
        <v>15559</v>
      </c>
      <c r="E2489" s="719"/>
      <c r="F2489" s="719"/>
      <c r="G2489" s="719"/>
      <c r="H2489" s="638">
        <f>ROUND(H2486*$B$13,2)</f>
        <v>286.13</v>
      </c>
    </row>
    <row r="2490" spans="1:8">
      <c r="A2490" s="582"/>
      <c r="B2490" s="582"/>
      <c r="C2490" s="212"/>
      <c r="D2490" s="718" t="s">
        <v>9661</v>
      </c>
      <c r="E2490" s="718"/>
      <c r="F2490" s="718"/>
      <c r="G2490" s="718"/>
      <c r="H2490" s="213">
        <f>H2489+H2486</f>
        <v>1348.6399999999999</v>
      </c>
    </row>
    <row r="2492" spans="1:8" s="201" customFormat="1">
      <c r="A2492" s="123" t="s">
        <v>6</v>
      </c>
      <c r="B2492" s="720" t="s">
        <v>7</v>
      </c>
      <c r="C2492" s="720"/>
      <c r="D2492" s="202" t="s">
        <v>124</v>
      </c>
      <c r="E2492" s="167" t="s">
        <v>6334</v>
      </c>
      <c r="F2492" s="202" t="s">
        <v>31</v>
      </c>
      <c r="G2492" s="203" t="s">
        <v>125</v>
      </c>
      <c r="H2492" s="204" t="s">
        <v>126</v>
      </c>
    </row>
    <row r="2493" spans="1:8" s="208" customFormat="1" ht="45">
      <c r="A2493" s="581" t="str">
        <f>'Orç - Prédio'!A425</f>
        <v>06.01.302.08</v>
      </c>
      <c r="B2493" s="581" t="str">
        <f>'Orç - Prédio'!B425</f>
        <v>ORSE</v>
      </c>
      <c r="C2493" s="581" t="str">
        <f>'Orç - Prédio'!C425</f>
        <v>8067 MOD 8</v>
      </c>
      <c r="D2493" s="205" t="s">
        <v>8311</v>
      </c>
      <c r="E2493" s="206">
        <v>2</v>
      </c>
      <c r="F2493" s="581" t="s">
        <v>6337</v>
      </c>
      <c r="G2493" s="207">
        <f>VLOOKUP("CUSTO TOTAL UNIT.:",D2494:$H$30004,5,FALSE)</f>
        <v>1310.58</v>
      </c>
      <c r="H2493" s="637">
        <f>VLOOKUP("CUSTO TOTAL:",D2494:$H$30004,5,FALSE)</f>
        <v>2621.16</v>
      </c>
    </row>
    <row r="2494" spans="1:8" s="124" customFormat="1" ht="60">
      <c r="A2494" s="721">
        <v>39761</v>
      </c>
      <c r="B2494" s="721"/>
      <c r="C2494" s="200" t="s">
        <v>5256</v>
      </c>
      <c r="D2494" s="139" t="s">
        <v>13630</v>
      </c>
      <c r="E2494" s="209">
        <v>1</v>
      </c>
      <c r="F2494" s="577" t="s">
        <v>40</v>
      </c>
      <c r="G2494" s="210">
        <v>1134.5103000000001</v>
      </c>
      <c r="H2494" s="211">
        <f>ROUND(G2494*E2494,2)</f>
        <v>1134.51</v>
      </c>
    </row>
    <row r="2495" spans="1:8" s="124" customFormat="1" ht="30">
      <c r="A2495" s="721">
        <v>88264</v>
      </c>
      <c r="B2495" s="721"/>
      <c r="C2495" s="200" t="s">
        <v>5256</v>
      </c>
      <c r="D2495" s="139" t="s">
        <v>84</v>
      </c>
      <c r="E2495" s="209">
        <v>5</v>
      </c>
      <c r="F2495" s="577" t="s">
        <v>67</v>
      </c>
      <c r="G2495" s="210">
        <v>15.778800000000002</v>
      </c>
      <c r="H2495" s="211">
        <f>ROUND(G2495*E2495,2)</f>
        <v>78.89</v>
      </c>
    </row>
    <row r="2496" spans="1:8" s="124" customFormat="1" ht="30">
      <c r="A2496" s="721">
        <v>88316</v>
      </c>
      <c r="B2496" s="721"/>
      <c r="C2496" s="200" t="s">
        <v>5256</v>
      </c>
      <c r="D2496" s="139" t="s">
        <v>66</v>
      </c>
      <c r="E2496" s="209">
        <v>5</v>
      </c>
      <c r="F2496" s="577" t="s">
        <v>67</v>
      </c>
      <c r="G2496" s="210">
        <v>11.631600000000001</v>
      </c>
      <c r="H2496" s="211">
        <f>ROUND(G2496*E2496,2)</f>
        <v>58.16</v>
      </c>
    </row>
    <row r="2497" spans="1:8" s="124" customFormat="1" ht="30">
      <c r="A2497" s="721">
        <v>88309</v>
      </c>
      <c r="B2497" s="721"/>
      <c r="C2497" s="200" t="s">
        <v>5256</v>
      </c>
      <c r="D2497" s="139" t="s">
        <v>90</v>
      </c>
      <c r="E2497" s="209">
        <v>2.5</v>
      </c>
      <c r="F2497" s="577" t="s">
        <v>67</v>
      </c>
      <c r="G2497" s="210">
        <v>15.608700000000001</v>
      </c>
      <c r="H2497" s="211">
        <f>ROUND(G2497*E2497,2)</f>
        <v>39.020000000000003</v>
      </c>
    </row>
    <row r="2498" spans="1:8" s="201" customFormat="1">
      <c r="A2498" s="582"/>
      <c r="B2498" s="582"/>
      <c r="C2498" s="212"/>
      <c r="D2498" s="719" t="s">
        <v>127</v>
      </c>
      <c r="E2498" s="719"/>
      <c r="F2498" s="719"/>
      <c r="G2498" s="719"/>
      <c r="H2498" s="638">
        <f>SUMIF(F2494:F2497,("h"),H2494:H2497)</f>
        <v>176.07000000000002</v>
      </c>
    </row>
    <row r="2499" spans="1:8" s="201" customFormat="1">
      <c r="A2499" s="582"/>
      <c r="B2499" s="582"/>
      <c r="C2499" s="212"/>
      <c r="D2499" s="719" t="s">
        <v>128</v>
      </c>
      <c r="E2499" s="719"/>
      <c r="F2499" s="719"/>
      <c r="G2499" s="719"/>
      <c r="H2499" s="638">
        <f>SUMIF(F2494:F2497,"&lt;&gt;h",H2494:H2497)</f>
        <v>1134.51</v>
      </c>
    </row>
    <row r="2500" spans="1:8" s="201" customFormat="1">
      <c r="A2500" s="582"/>
      <c r="B2500" s="582"/>
      <c r="C2500" s="212"/>
      <c r="D2500" s="718" t="s">
        <v>129</v>
      </c>
      <c r="E2500" s="718"/>
      <c r="F2500" s="718"/>
      <c r="G2500" s="718"/>
      <c r="H2500" s="213">
        <f>SUM(H2498:H2499)</f>
        <v>1310.58</v>
      </c>
    </row>
    <row r="2501" spans="1:8" s="201" customFormat="1">
      <c r="A2501" s="582"/>
      <c r="B2501" s="582"/>
      <c r="C2501" s="212"/>
      <c r="D2501" s="719" t="s">
        <v>28</v>
      </c>
      <c r="E2501" s="719"/>
      <c r="F2501" s="719"/>
      <c r="G2501" s="719"/>
      <c r="H2501" s="639">
        <f>E2493</f>
        <v>2</v>
      </c>
    </row>
    <row r="2502" spans="1:8" s="201" customFormat="1">
      <c r="A2502" s="582"/>
      <c r="B2502" s="582"/>
      <c r="C2502" s="212"/>
      <c r="D2502" s="718" t="s">
        <v>130</v>
      </c>
      <c r="E2502" s="718"/>
      <c r="F2502" s="718"/>
      <c r="G2502" s="718"/>
      <c r="H2502" s="213">
        <f>ROUND(H2500*H2501,2)</f>
        <v>2621.16</v>
      </c>
    </row>
    <row r="2503" spans="1:8" s="201" customFormat="1">
      <c r="A2503" s="582"/>
      <c r="B2503" s="582"/>
      <c r="C2503" s="212"/>
      <c r="D2503" s="719" t="s">
        <v>15559</v>
      </c>
      <c r="E2503" s="719"/>
      <c r="F2503" s="719"/>
      <c r="G2503" s="719"/>
      <c r="H2503" s="638">
        <f>ROUND(H2500*$B$13,2)</f>
        <v>352.94</v>
      </c>
    </row>
    <row r="2504" spans="1:8">
      <c r="A2504" s="582"/>
      <c r="B2504" s="582"/>
      <c r="C2504" s="212"/>
      <c r="D2504" s="718" t="s">
        <v>9661</v>
      </c>
      <c r="E2504" s="718"/>
      <c r="F2504" s="718"/>
      <c r="G2504" s="718"/>
      <c r="H2504" s="213">
        <f>H2503+H2500</f>
        <v>1663.52</v>
      </c>
    </row>
    <row r="2506" spans="1:8" s="201" customFormat="1">
      <c r="A2506" s="123" t="s">
        <v>6</v>
      </c>
      <c r="B2506" s="720" t="s">
        <v>7</v>
      </c>
      <c r="C2506" s="720"/>
      <c r="D2506" s="202" t="s">
        <v>124</v>
      </c>
      <c r="E2506" s="167" t="s">
        <v>6334</v>
      </c>
      <c r="F2506" s="202" t="s">
        <v>31</v>
      </c>
      <c r="G2506" s="203" t="s">
        <v>125</v>
      </c>
      <c r="H2506" s="204" t="s">
        <v>126</v>
      </c>
    </row>
    <row r="2507" spans="1:8" s="208" customFormat="1" ht="30">
      <c r="A2507" s="581" t="str">
        <f>'Orç - Prédio'!A426</f>
        <v>06.01.304.01</v>
      </c>
      <c r="B2507" s="216" t="str">
        <f>'Orç - Prédio'!B426</f>
        <v>SINAPI</v>
      </c>
      <c r="C2507" s="216" t="str">
        <f>'Orç - Prédio'!C426</f>
        <v>95730 MOD</v>
      </c>
      <c r="D2507" s="217" t="s">
        <v>7240</v>
      </c>
      <c r="E2507" s="206">
        <v>3750</v>
      </c>
      <c r="F2507" s="216" t="s">
        <v>6774</v>
      </c>
      <c r="G2507" s="207">
        <f>VLOOKUP("CUSTO TOTAL UNIT.:",D2508:$H$30004,5,FALSE)</f>
        <v>6.38</v>
      </c>
      <c r="H2507" s="637">
        <f>VLOOKUP("CUSTO TOTAL:",D2508:$H$30004,5,FALSE)</f>
        <v>23925</v>
      </c>
    </row>
    <row r="2508" spans="1:8" s="124" customFormat="1" ht="30">
      <c r="A2508" s="721">
        <v>2674</v>
      </c>
      <c r="B2508" s="721"/>
      <c r="C2508" s="200" t="s">
        <v>5256</v>
      </c>
      <c r="D2508" s="139" t="s">
        <v>11660</v>
      </c>
      <c r="E2508" s="209">
        <v>1.0481</v>
      </c>
      <c r="F2508" s="577" t="s">
        <v>48</v>
      </c>
      <c r="G2508" s="210">
        <v>2.2599</v>
      </c>
      <c r="H2508" s="211">
        <f>ROUND(G2508*E2508,2)</f>
        <v>2.37</v>
      </c>
    </row>
    <row r="2509" spans="1:8" s="124" customFormat="1" ht="30">
      <c r="A2509" s="721">
        <v>88247</v>
      </c>
      <c r="B2509" s="721"/>
      <c r="C2509" s="200" t="s">
        <v>5256</v>
      </c>
      <c r="D2509" s="139" t="s">
        <v>74</v>
      </c>
      <c r="E2509" s="209">
        <v>8.1100000000000005E-2</v>
      </c>
      <c r="F2509" s="577" t="s">
        <v>67</v>
      </c>
      <c r="G2509" s="210">
        <v>12.425400000000002</v>
      </c>
      <c r="H2509" s="211">
        <f>ROUND(G2509*E2509,2)</f>
        <v>1.01</v>
      </c>
    </row>
    <row r="2510" spans="1:8" s="124" customFormat="1" ht="30">
      <c r="A2510" s="721">
        <v>88264</v>
      </c>
      <c r="B2510" s="721"/>
      <c r="C2510" s="200" t="s">
        <v>5256</v>
      </c>
      <c r="D2510" s="139" t="s">
        <v>84</v>
      </c>
      <c r="E2510" s="209">
        <v>8.1100000000000005E-2</v>
      </c>
      <c r="F2510" s="577" t="s">
        <v>67</v>
      </c>
      <c r="G2510" s="210">
        <v>15.778800000000002</v>
      </c>
      <c r="H2510" s="211">
        <f>ROUND(G2510*E2510,2)</f>
        <v>1.28</v>
      </c>
    </row>
    <row r="2511" spans="1:8" s="124" customFormat="1" ht="75">
      <c r="A2511" s="721">
        <v>91173</v>
      </c>
      <c r="B2511" s="721"/>
      <c r="C2511" s="200" t="s">
        <v>5256</v>
      </c>
      <c r="D2511" s="139" t="s">
        <v>3818</v>
      </c>
      <c r="E2511" s="209">
        <v>2</v>
      </c>
      <c r="F2511" s="577" t="s">
        <v>139</v>
      </c>
      <c r="G2511" s="210">
        <v>0.85860000000000014</v>
      </c>
      <c r="H2511" s="211">
        <f>ROUND(G2511*E2511,2)</f>
        <v>1.72</v>
      </c>
    </row>
    <row r="2512" spans="1:8" s="201" customFormat="1">
      <c r="A2512" s="582"/>
      <c r="B2512" s="582"/>
      <c r="C2512" s="212"/>
      <c r="D2512" s="719" t="s">
        <v>127</v>
      </c>
      <c r="E2512" s="719"/>
      <c r="F2512" s="719"/>
      <c r="G2512" s="719"/>
      <c r="H2512" s="638">
        <f>SUMIF(F2508:F2511,("h"),H2508:H2511)</f>
        <v>2.29</v>
      </c>
    </row>
    <row r="2513" spans="1:8" s="201" customFormat="1">
      <c r="A2513" s="582"/>
      <c r="B2513" s="582"/>
      <c r="C2513" s="212"/>
      <c r="D2513" s="719" t="s">
        <v>128</v>
      </c>
      <c r="E2513" s="719"/>
      <c r="F2513" s="719"/>
      <c r="G2513" s="719"/>
      <c r="H2513" s="638">
        <f>SUMIF(F2508:F2511,"&lt;&gt;h",H2508:H2511)</f>
        <v>4.09</v>
      </c>
    </row>
    <row r="2514" spans="1:8" s="201" customFormat="1">
      <c r="A2514" s="582"/>
      <c r="B2514" s="582"/>
      <c r="C2514" s="212"/>
      <c r="D2514" s="718" t="s">
        <v>129</v>
      </c>
      <c r="E2514" s="718"/>
      <c r="F2514" s="718"/>
      <c r="G2514" s="718"/>
      <c r="H2514" s="213">
        <f>SUM(H2512:H2513)</f>
        <v>6.38</v>
      </c>
    </row>
    <row r="2515" spans="1:8" s="201" customFormat="1">
      <c r="A2515" s="582"/>
      <c r="B2515" s="582"/>
      <c r="C2515" s="212"/>
      <c r="D2515" s="719" t="s">
        <v>28</v>
      </c>
      <c r="E2515" s="719"/>
      <c r="F2515" s="719"/>
      <c r="G2515" s="719"/>
      <c r="H2515" s="639">
        <f>E2507</f>
        <v>3750</v>
      </c>
    </row>
    <row r="2516" spans="1:8" s="201" customFormat="1">
      <c r="A2516" s="582"/>
      <c r="B2516" s="582"/>
      <c r="C2516" s="212"/>
      <c r="D2516" s="718" t="s">
        <v>130</v>
      </c>
      <c r="E2516" s="718"/>
      <c r="F2516" s="718"/>
      <c r="G2516" s="718"/>
      <c r="H2516" s="213">
        <f>ROUND(H2514*H2515,2)</f>
        <v>23925</v>
      </c>
    </row>
    <row r="2517" spans="1:8" s="201" customFormat="1">
      <c r="A2517" s="582"/>
      <c r="B2517" s="582"/>
      <c r="C2517" s="212"/>
      <c r="D2517" s="719" t="s">
        <v>15559</v>
      </c>
      <c r="E2517" s="719"/>
      <c r="F2517" s="719"/>
      <c r="G2517" s="719"/>
      <c r="H2517" s="638">
        <f>ROUND(H2514*$B$13,2)</f>
        <v>1.72</v>
      </c>
    </row>
    <row r="2518" spans="1:8">
      <c r="A2518" s="582"/>
      <c r="B2518" s="582"/>
      <c r="C2518" s="212"/>
      <c r="D2518" s="718" t="s">
        <v>9661</v>
      </c>
      <c r="E2518" s="718"/>
      <c r="F2518" s="718"/>
      <c r="G2518" s="718"/>
      <c r="H2518" s="213">
        <f>H2517+H2514</f>
        <v>8.1</v>
      </c>
    </row>
    <row r="2520" spans="1:8" s="201" customFormat="1">
      <c r="A2520" s="123" t="s">
        <v>6</v>
      </c>
      <c r="B2520" s="720" t="s">
        <v>7</v>
      </c>
      <c r="C2520" s="720"/>
      <c r="D2520" s="202" t="s">
        <v>124</v>
      </c>
      <c r="E2520" s="167" t="s">
        <v>6334</v>
      </c>
      <c r="F2520" s="202" t="s">
        <v>31</v>
      </c>
      <c r="G2520" s="203" t="s">
        <v>125</v>
      </c>
      <c r="H2520" s="204" t="s">
        <v>126</v>
      </c>
    </row>
    <row r="2521" spans="1:8" s="208" customFormat="1" ht="30">
      <c r="A2521" s="581" t="str">
        <f>'Orç - Prédio'!A427</f>
        <v>06.01.304.02</v>
      </c>
      <c r="B2521" s="216" t="str">
        <f>'Orç - Prédio'!B427</f>
        <v>SINAPI</v>
      </c>
      <c r="C2521" s="216" t="str">
        <f>'Orç - Prédio'!C427</f>
        <v>95731 MOD</v>
      </c>
      <c r="D2521" s="217" t="s">
        <v>7241</v>
      </c>
      <c r="E2521" s="206">
        <v>120</v>
      </c>
      <c r="F2521" s="216" t="s">
        <v>6774</v>
      </c>
      <c r="G2521" s="207">
        <f>VLOOKUP("CUSTO TOTAL UNIT.:",D2522:$H$30004,5,FALSE)</f>
        <v>8.0299999999999994</v>
      </c>
      <c r="H2521" s="637">
        <f>VLOOKUP("CUSTO TOTAL:",D2522:$H$30004,5,FALSE)</f>
        <v>963.6</v>
      </c>
    </row>
    <row r="2522" spans="1:8" s="124" customFormat="1" ht="30">
      <c r="A2522" s="721">
        <v>2685</v>
      </c>
      <c r="B2522" s="721"/>
      <c r="C2522" s="200" t="s">
        <v>5256</v>
      </c>
      <c r="D2522" s="139" t="s">
        <v>11653</v>
      </c>
      <c r="E2522" s="209">
        <v>1.0481</v>
      </c>
      <c r="F2522" s="577" t="s">
        <v>48</v>
      </c>
      <c r="G2522" s="210">
        <v>3.5316000000000005</v>
      </c>
      <c r="H2522" s="211">
        <f>ROUND(G2522*E2522,2)</f>
        <v>3.7</v>
      </c>
    </row>
    <row r="2523" spans="1:8" s="124" customFormat="1" ht="30">
      <c r="A2523" s="721">
        <v>88247</v>
      </c>
      <c r="B2523" s="721"/>
      <c r="C2523" s="200" t="s">
        <v>5256</v>
      </c>
      <c r="D2523" s="139" t="s">
        <v>74</v>
      </c>
      <c r="E2523" s="209">
        <v>9.2600000000000002E-2</v>
      </c>
      <c r="F2523" s="577" t="s">
        <v>67</v>
      </c>
      <c r="G2523" s="210">
        <v>12.425400000000002</v>
      </c>
      <c r="H2523" s="211">
        <f>ROUND(G2523*E2523,2)</f>
        <v>1.1499999999999999</v>
      </c>
    </row>
    <row r="2524" spans="1:8" s="124" customFormat="1" ht="30">
      <c r="A2524" s="721">
        <v>88264</v>
      </c>
      <c r="B2524" s="721"/>
      <c r="C2524" s="200" t="s">
        <v>5256</v>
      </c>
      <c r="D2524" s="139" t="s">
        <v>84</v>
      </c>
      <c r="E2524" s="209">
        <v>9.2600000000000002E-2</v>
      </c>
      <c r="F2524" s="577" t="s">
        <v>67</v>
      </c>
      <c r="G2524" s="210">
        <v>15.778800000000002</v>
      </c>
      <c r="H2524" s="211">
        <f>ROUND(G2524*E2524,2)</f>
        <v>1.46</v>
      </c>
    </row>
    <row r="2525" spans="1:8" s="124" customFormat="1" ht="75">
      <c r="A2525" s="721">
        <v>91173</v>
      </c>
      <c r="B2525" s="721"/>
      <c r="C2525" s="200" t="s">
        <v>5256</v>
      </c>
      <c r="D2525" s="139" t="s">
        <v>3818</v>
      </c>
      <c r="E2525" s="209">
        <v>2</v>
      </c>
      <c r="F2525" s="577" t="s">
        <v>139</v>
      </c>
      <c r="G2525" s="210">
        <v>0.85860000000000014</v>
      </c>
      <c r="H2525" s="211">
        <f>ROUND(G2525*E2525,2)</f>
        <v>1.72</v>
      </c>
    </row>
    <row r="2526" spans="1:8" s="201" customFormat="1">
      <c r="A2526" s="582"/>
      <c r="B2526" s="582"/>
      <c r="C2526" s="212"/>
      <c r="D2526" s="719" t="s">
        <v>127</v>
      </c>
      <c r="E2526" s="719"/>
      <c r="F2526" s="719"/>
      <c r="G2526" s="719"/>
      <c r="H2526" s="638">
        <f>SUMIF(F2522:F2525,("h"),H2522:H2525)</f>
        <v>2.61</v>
      </c>
    </row>
    <row r="2527" spans="1:8" s="201" customFormat="1">
      <c r="A2527" s="582"/>
      <c r="B2527" s="582"/>
      <c r="C2527" s="212"/>
      <c r="D2527" s="719" t="s">
        <v>128</v>
      </c>
      <c r="E2527" s="719"/>
      <c r="F2527" s="719"/>
      <c r="G2527" s="719"/>
      <c r="H2527" s="638">
        <f>SUMIF(F2522:F2525,"&lt;&gt;h",H2522:H2525)</f>
        <v>5.42</v>
      </c>
    </row>
    <row r="2528" spans="1:8" s="201" customFormat="1">
      <c r="A2528" s="582"/>
      <c r="B2528" s="582"/>
      <c r="C2528" s="212"/>
      <c r="D2528" s="718" t="s">
        <v>129</v>
      </c>
      <c r="E2528" s="718"/>
      <c r="F2528" s="718"/>
      <c r="G2528" s="718"/>
      <c r="H2528" s="213">
        <f>SUM(H2526:H2527)</f>
        <v>8.0299999999999994</v>
      </c>
    </row>
    <row r="2529" spans="1:8" s="201" customFormat="1">
      <c r="A2529" s="582"/>
      <c r="B2529" s="582"/>
      <c r="C2529" s="212"/>
      <c r="D2529" s="719" t="s">
        <v>28</v>
      </c>
      <c r="E2529" s="719"/>
      <c r="F2529" s="719"/>
      <c r="G2529" s="719"/>
      <c r="H2529" s="639">
        <f>E2521</f>
        <v>120</v>
      </c>
    </row>
    <row r="2530" spans="1:8" s="201" customFormat="1">
      <c r="A2530" s="582"/>
      <c r="B2530" s="582"/>
      <c r="C2530" s="212"/>
      <c r="D2530" s="718" t="s">
        <v>130</v>
      </c>
      <c r="E2530" s="718"/>
      <c r="F2530" s="718"/>
      <c r="G2530" s="718"/>
      <c r="H2530" s="213">
        <f>ROUND(H2528*H2529,2)</f>
        <v>963.6</v>
      </c>
    </row>
    <row r="2531" spans="1:8" s="201" customFormat="1">
      <c r="A2531" s="582"/>
      <c r="B2531" s="582"/>
      <c r="C2531" s="212"/>
      <c r="D2531" s="719" t="s">
        <v>15559</v>
      </c>
      <c r="E2531" s="719"/>
      <c r="F2531" s="719"/>
      <c r="G2531" s="719"/>
      <c r="H2531" s="638">
        <f>ROUND(H2528*$B$13,2)</f>
        <v>2.16</v>
      </c>
    </row>
    <row r="2532" spans="1:8">
      <c r="A2532" s="582"/>
      <c r="B2532" s="582"/>
      <c r="C2532" s="212"/>
      <c r="D2532" s="718" t="s">
        <v>9661</v>
      </c>
      <c r="E2532" s="718"/>
      <c r="F2532" s="718"/>
      <c r="G2532" s="718"/>
      <c r="H2532" s="213">
        <f>H2531+H2528</f>
        <v>10.19</v>
      </c>
    </row>
    <row r="2534" spans="1:8" s="201" customFormat="1">
      <c r="A2534" s="123" t="s">
        <v>6</v>
      </c>
      <c r="B2534" s="720" t="s">
        <v>7</v>
      </c>
      <c r="C2534" s="720"/>
      <c r="D2534" s="202" t="s">
        <v>124</v>
      </c>
      <c r="E2534" s="167" t="s">
        <v>6334</v>
      </c>
      <c r="F2534" s="202" t="s">
        <v>31</v>
      </c>
      <c r="G2534" s="203" t="s">
        <v>125</v>
      </c>
      <c r="H2534" s="204" t="s">
        <v>126</v>
      </c>
    </row>
    <row r="2535" spans="1:8" s="208" customFormat="1" ht="45">
      <c r="A2535" s="581" t="str">
        <f>'Orç - Prédio'!A442</f>
        <v>06.01.305.04</v>
      </c>
      <c r="B2535" s="581" t="str">
        <f>'Orç - Prédio'!B442</f>
        <v>CPOS</v>
      </c>
      <c r="C2535" s="581" t="str">
        <f>'Orç - Prédio'!C442</f>
        <v>39.26.020</v>
      </c>
      <c r="D2535" s="205" t="s">
        <v>15509</v>
      </c>
      <c r="E2535" s="206">
        <v>2000</v>
      </c>
      <c r="F2535" s="581" t="s">
        <v>6774</v>
      </c>
      <c r="G2535" s="207">
        <f>VLOOKUP("CUSTO TOTAL UNIT.:",D2536:$H$30004,5,FALSE)</f>
        <v>2.9800000000000004</v>
      </c>
      <c r="H2535" s="637">
        <f>VLOOKUP("CUSTO TOTAL:",D2536:$H$30004,5,FALSE)</f>
        <v>5960</v>
      </c>
    </row>
    <row r="2536" spans="1:8" s="124" customFormat="1" ht="75">
      <c r="A2536" s="721" t="s">
        <v>15511</v>
      </c>
      <c r="B2536" s="721"/>
      <c r="C2536" s="200" t="s">
        <v>6753</v>
      </c>
      <c r="D2536" s="185" t="s">
        <v>15510</v>
      </c>
      <c r="E2536" s="209">
        <v>1.02</v>
      </c>
      <c r="F2536" s="577" t="s">
        <v>139</v>
      </c>
      <c r="G2536" s="174">
        <v>1.5389999999999999</v>
      </c>
      <c r="H2536" s="211">
        <f>ROUND(G2536*E2536,2)</f>
        <v>1.57</v>
      </c>
    </row>
    <row r="2537" spans="1:8" s="124" customFormat="1" ht="30">
      <c r="A2537" s="721">
        <v>88247</v>
      </c>
      <c r="B2537" s="721"/>
      <c r="C2537" s="200" t="s">
        <v>5256</v>
      </c>
      <c r="D2537" s="139" t="s">
        <v>74</v>
      </c>
      <c r="E2537" s="209">
        <v>0.05</v>
      </c>
      <c r="F2537" s="577" t="s">
        <v>67</v>
      </c>
      <c r="G2537" s="210">
        <v>12.425400000000002</v>
      </c>
      <c r="H2537" s="211">
        <f>ROUND(G2537*E2537,2)</f>
        <v>0.62</v>
      </c>
    </row>
    <row r="2538" spans="1:8" s="124" customFormat="1" ht="30">
      <c r="A2538" s="721">
        <v>88264</v>
      </c>
      <c r="B2538" s="721"/>
      <c r="C2538" s="200" t="s">
        <v>5256</v>
      </c>
      <c r="D2538" s="139" t="s">
        <v>84</v>
      </c>
      <c r="E2538" s="209">
        <v>0.05</v>
      </c>
      <c r="F2538" s="577" t="s">
        <v>67</v>
      </c>
      <c r="G2538" s="210">
        <v>15.778800000000002</v>
      </c>
      <c r="H2538" s="211">
        <f>ROUND(G2538*E2538,2)</f>
        <v>0.79</v>
      </c>
    </row>
    <row r="2539" spans="1:8" s="201" customFormat="1">
      <c r="A2539" s="582"/>
      <c r="B2539" s="582"/>
      <c r="C2539" s="212"/>
      <c r="D2539" s="719" t="s">
        <v>127</v>
      </c>
      <c r="E2539" s="719"/>
      <c r="F2539" s="719"/>
      <c r="G2539" s="719"/>
      <c r="H2539" s="638">
        <f>SUMIF(F2536:F2538,("h"),H2536:H2538)</f>
        <v>1.4100000000000001</v>
      </c>
    </row>
    <row r="2540" spans="1:8" s="201" customFormat="1">
      <c r="A2540" s="582"/>
      <c r="B2540" s="582"/>
      <c r="C2540" s="212"/>
      <c r="D2540" s="719" t="s">
        <v>128</v>
      </c>
      <c r="E2540" s="719"/>
      <c r="F2540" s="719"/>
      <c r="G2540" s="719"/>
      <c r="H2540" s="638">
        <f>SUMIF(F2536:F2538,"&lt;&gt;h",H2536:H2538)</f>
        <v>1.57</v>
      </c>
    </row>
    <row r="2541" spans="1:8" s="201" customFormat="1">
      <c r="A2541" s="582"/>
      <c r="B2541" s="582"/>
      <c r="C2541" s="212"/>
      <c r="D2541" s="718" t="s">
        <v>129</v>
      </c>
      <c r="E2541" s="718"/>
      <c r="F2541" s="718"/>
      <c r="G2541" s="718"/>
      <c r="H2541" s="213">
        <f>SUM(H2539:H2540)</f>
        <v>2.9800000000000004</v>
      </c>
    </row>
    <row r="2542" spans="1:8" s="201" customFormat="1">
      <c r="A2542" s="582"/>
      <c r="B2542" s="582"/>
      <c r="C2542" s="212"/>
      <c r="D2542" s="719" t="s">
        <v>28</v>
      </c>
      <c r="E2542" s="719"/>
      <c r="F2542" s="719"/>
      <c r="G2542" s="719"/>
      <c r="H2542" s="639">
        <f>E2535</f>
        <v>2000</v>
      </c>
    </row>
    <row r="2543" spans="1:8" s="201" customFormat="1">
      <c r="A2543" s="582"/>
      <c r="B2543" s="582"/>
      <c r="C2543" s="212"/>
      <c r="D2543" s="718" t="s">
        <v>130</v>
      </c>
      <c r="E2543" s="718"/>
      <c r="F2543" s="718"/>
      <c r="G2543" s="718"/>
      <c r="H2543" s="213">
        <f>ROUND(H2541*H2542,2)</f>
        <v>5960</v>
      </c>
    </row>
    <row r="2544" spans="1:8" s="201" customFormat="1">
      <c r="A2544" s="582"/>
      <c r="B2544" s="582"/>
      <c r="C2544" s="212"/>
      <c r="D2544" s="719" t="s">
        <v>15559</v>
      </c>
      <c r="E2544" s="719"/>
      <c r="F2544" s="719"/>
      <c r="G2544" s="719"/>
      <c r="H2544" s="638">
        <f>ROUND(H2541*$B$13,2)</f>
        <v>0.8</v>
      </c>
    </row>
    <row r="2545" spans="1:8">
      <c r="A2545" s="582"/>
      <c r="B2545" s="582"/>
      <c r="C2545" s="212"/>
      <c r="D2545" s="718" t="s">
        <v>9661</v>
      </c>
      <c r="E2545" s="718"/>
      <c r="F2545" s="718"/>
      <c r="G2545" s="718"/>
      <c r="H2545" s="213">
        <f>H2544+H2541</f>
        <v>3.7800000000000002</v>
      </c>
    </row>
    <row r="2547" spans="1:8" s="201" customFormat="1">
      <c r="A2547" s="123" t="s">
        <v>6</v>
      </c>
      <c r="B2547" s="720" t="s">
        <v>7</v>
      </c>
      <c r="C2547" s="720"/>
      <c r="D2547" s="202" t="s">
        <v>124</v>
      </c>
      <c r="E2547" s="167" t="s">
        <v>6334</v>
      </c>
      <c r="F2547" s="202" t="s">
        <v>31</v>
      </c>
      <c r="G2547" s="203" t="s">
        <v>125</v>
      </c>
      <c r="H2547" s="204" t="s">
        <v>126</v>
      </c>
    </row>
    <row r="2548" spans="1:8" s="208" customFormat="1" ht="45">
      <c r="A2548" s="581" t="str">
        <f>'Orç - Prédio'!A443</f>
        <v>06.01.305.05</v>
      </c>
      <c r="B2548" s="216" t="str">
        <f>'Orç - Prédio'!B443</f>
        <v>CPOS</v>
      </c>
      <c r="C2548" s="216" t="str">
        <f>'Orç - Prédio'!C443</f>
        <v>39.26.030</v>
      </c>
      <c r="D2548" s="217" t="s">
        <v>15512</v>
      </c>
      <c r="E2548" s="206">
        <v>2700</v>
      </c>
      <c r="F2548" s="216" t="s">
        <v>6774</v>
      </c>
      <c r="G2548" s="207">
        <f>VLOOKUP("CUSTO TOTAL UNIT.:",D2549:$H$30004,5,FALSE)</f>
        <v>3.8200000000000003</v>
      </c>
      <c r="H2548" s="637">
        <f>VLOOKUP("CUSTO TOTAL:",D2549:$H$30004,5,FALSE)</f>
        <v>10314</v>
      </c>
    </row>
    <row r="2549" spans="1:8" s="124" customFormat="1" ht="75">
      <c r="A2549" s="721" t="s">
        <v>15513</v>
      </c>
      <c r="B2549" s="721"/>
      <c r="C2549" s="200" t="s">
        <v>6753</v>
      </c>
      <c r="D2549" s="185" t="s">
        <v>15514</v>
      </c>
      <c r="E2549" s="209">
        <v>1.02</v>
      </c>
      <c r="F2549" s="577" t="s">
        <v>139</v>
      </c>
      <c r="G2549" s="174">
        <v>2.0817000000000001</v>
      </c>
      <c r="H2549" s="211">
        <f>ROUND(G2549*E2549,2)</f>
        <v>2.12</v>
      </c>
    </row>
    <row r="2550" spans="1:8" s="124" customFormat="1" ht="30">
      <c r="A2550" s="721">
        <v>88247</v>
      </c>
      <c r="B2550" s="721"/>
      <c r="C2550" s="200" t="s">
        <v>5256</v>
      </c>
      <c r="D2550" s="139" t="s">
        <v>74</v>
      </c>
      <c r="E2550" s="209">
        <v>0.06</v>
      </c>
      <c r="F2550" s="577" t="s">
        <v>67</v>
      </c>
      <c r="G2550" s="210">
        <v>12.425400000000002</v>
      </c>
      <c r="H2550" s="211">
        <f>ROUND(G2550*E2550,2)</f>
        <v>0.75</v>
      </c>
    </row>
    <row r="2551" spans="1:8" s="124" customFormat="1" ht="30">
      <c r="A2551" s="721">
        <v>88264</v>
      </c>
      <c r="B2551" s="721"/>
      <c r="C2551" s="200" t="s">
        <v>5256</v>
      </c>
      <c r="D2551" s="139" t="s">
        <v>84</v>
      </c>
      <c r="E2551" s="209">
        <v>0.06</v>
      </c>
      <c r="F2551" s="577" t="s">
        <v>67</v>
      </c>
      <c r="G2551" s="210">
        <v>15.778800000000002</v>
      </c>
      <c r="H2551" s="211">
        <f>ROUND(G2551*E2551,2)</f>
        <v>0.95</v>
      </c>
    </row>
    <row r="2552" spans="1:8" s="201" customFormat="1">
      <c r="A2552" s="582"/>
      <c r="B2552" s="582"/>
      <c r="C2552" s="212"/>
      <c r="D2552" s="719" t="s">
        <v>127</v>
      </c>
      <c r="E2552" s="719"/>
      <c r="F2552" s="719"/>
      <c r="G2552" s="719"/>
      <c r="H2552" s="638">
        <f>SUMIF(F2549:F2551,("h"),H2549:H2551)</f>
        <v>1.7</v>
      </c>
    </row>
    <row r="2553" spans="1:8" s="201" customFormat="1">
      <c r="A2553" s="582"/>
      <c r="B2553" s="582"/>
      <c r="C2553" s="212"/>
      <c r="D2553" s="719" t="s">
        <v>128</v>
      </c>
      <c r="E2553" s="719"/>
      <c r="F2553" s="719"/>
      <c r="G2553" s="719"/>
      <c r="H2553" s="638">
        <f>SUMIF(F2549:F2551,"&lt;&gt;h",H2549:H2551)</f>
        <v>2.12</v>
      </c>
    </row>
    <row r="2554" spans="1:8" s="201" customFormat="1">
      <c r="A2554" s="582"/>
      <c r="B2554" s="582"/>
      <c r="C2554" s="212"/>
      <c r="D2554" s="718" t="s">
        <v>129</v>
      </c>
      <c r="E2554" s="718"/>
      <c r="F2554" s="718"/>
      <c r="G2554" s="718"/>
      <c r="H2554" s="213">
        <f>SUM(H2552:H2553)</f>
        <v>3.8200000000000003</v>
      </c>
    </row>
    <row r="2555" spans="1:8" s="201" customFormat="1">
      <c r="A2555" s="582"/>
      <c r="B2555" s="582"/>
      <c r="C2555" s="212"/>
      <c r="D2555" s="719" t="s">
        <v>28</v>
      </c>
      <c r="E2555" s="719"/>
      <c r="F2555" s="719"/>
      <c r="G2555" s="719"/>
      <c r="H2555" s="639">
        <f>E2548</f>
        <v>2700</v>
      </c>
    </row>
    <row r="2556" spans="1:8" s="201" customFormat="1">
      <c r="A2556" s="582"/>
      <c r="B2556" s="582"/>
      <c r="C2556" s="212"/>
      <c r="D2556" s="718" t="s">
        <v>130</v>
      </c>
      <c r="E2556" s="718"/>
      <c r="F2556" s="718"/>
      <c r="G2556" s="718"/>
      <c r="H2556" s="213">
        <f>ROUND(H2554*H2555,2)</f>
        <v>10314</v>
      </c>
    </row>
    <row r="2557" spans="1:8" s="201" customFormat="1">
      <c r="A2557" s="582"/>
      <c r="B2557" s="582"/>
      <c r="C2557" s="212"/>
      <c r="D2557" s="719" t="s">
        <v>15559</v>
      </c>
      <c r="E2557" s="719"/>
      <c r="F2557" s="719"/>
      <c r="G2557" s="719"/>
      <c r="H2557" s="638">
        <f>ROUND(H2554*$B$13,2)</f>
        <v>1.03</v>
      </c>
    </row>
    <row r="2558" spans="1:8">
      <c r="A2558" s="582"/>
      <c r="B2558" s="582"/>
      <c r="C2558" s="212"/>
      <c r="D2558" s="718" t="s">
        <v>9661</v>
      </c>
      <c r="E2558" s="718"/>
      <c r="F2558" s="718"/>
      <c r="G2558" s="718"/>
      <c r="H2558" s="213">
        <f>H2557+H2554</f>
        <v>4.8500000000000005</v>
      </c>
    </row>
    <row r="2560" spans="1:8" s="201" customFormat="1">
      <c r="A2560" s="123" t="s">
        <v>6</v>
      </c>
      <c r="B2560" s="720" t="s">
        <v>7</v>
      </c>
      <c r="C2560" s="720"/>
      <c r="D2560" s="202" t="s">
        <v>124</v>
      </c>
      <c r="E2560" s="167" t="s">
        <v>6334</v>
      </c>
      <c r="F2560" s="202" t="s">
        <v>31</v>
      </c>
      <c r="G2560" s="203" t="s">
        <v>125</v>
      </c>
      <c r="H2560" s="204" t="s">
        <v>126</v>
      </c>
    </row>
    <row r="2561" spans="1:8" s="208" customFormat="1" ht="45">
      <c r="A2561" s="581" t="str">
        <f>'Orç - Prédio'!A444</f>
        <v>06.01.305.06</v>
      </c>
      <c r="B2561" s="216" t="str">
        <f>'Orç - Prédio'!B444</f>
        <v>CPOS</v>
      </c>
      <c r="C2561" s="216" t="str">
        <f>'Orç - Prédio'!C444</f>
        <v>39.26.040</v>
      </c>
      <c r="D2561" s="217" t="s">
        <v>15520</v>
      </c>
      <c r="E2561" s="206">
        <v>1000</v>
      </c>
      <c r="F2561" s="216" t="s">
        <v>6774</v>
      </c>
      <c r="G2561" s="207">
        <f>VLOOKUP("CUSTO TOTAL UNIT.:",D2562:$H$30004,5,FALSE)</f>
        <v>4.8100000000000005</v>
      </c>
      <c r="H2561" s="637">
        <f>VLOOKUP("CUSTO TOTAL:",D2562:$H$30004,5,FALSE)</f>
        <v>4810</v>
      </c>
    </row>
    <row r="2562" spans="1:8" s="124" customFormat="1" ht="75">
      <c r="A2562" s="721" t="s">
        <v>15518</v>
      </c>
      <c r="B2562" s="721"/>
      <c r="C2562" s="200" t="s">
        <v>6753</v>
      </c>
      <c r="D2562" s="185" t="s">
        <v>15519</v>
      </c>
      <c r="E2562" s="209">
        <v>1.02</v>
      </c>
      <c r="F2562" s="577" t="s">
        <v>139</v>
      </c>
      <c r="G2562" s="174">
        <v>2.7864</v>
      </c>
      <c r="H2562" s="211">
        <f>ROUND(G2562*E2562,2)</f>
        <v>2.84</v>
      </c>
    </row>
    <row r="2563" spans="1:8" s="124" customFormat="1" ht="30">
      <c r="A2563" s="721">
        <v>88247</v>
      </c>
      <c r="B2563" s="721"/>
      <c r="C2563" s="200" t="s">
        <v>5256</v>
      </c>
      <c r="D2563" s="139" t="s">
        <v>74</v>
      </c>
      <c r="E2563" s="209">
        <v>7.0000000000000007E-2</v>
      </c>
      <c r="F2563" s="577" t="s">
        <v>67</v>
      </c>
      <c r="G2563" s="210">
        <v>12.425400000000002</v>
      </c>
      <c r="H2563" s="211">
        <f>ROUND(G2563*E2563,2)</f>
        <v>0.87</v>
      </c>
    </row>
    <row r="2564" spans="1:8" s="124" customFormat="1" ht="30">
      <c r="A2564" s="721">
        <v>88264</v>
      </c>
      <c r="B2564" s="721"/>
      <c r="C2564" s="200" t="s">
        <v>5256</v>
      </c>
      <c r="D2564" s="139" t="s">
        <v>84</v>
      </c>
      <c r="E2564" s="209">
        <v>7.0000000000000007E-2</v>
      </c>
      <c r="F2564" s="577" t="s">
        <v>67</v>
      </c>
      <c r="G2564" s="210">
        <v>15.778800000000002</v>
      </c>
      <c r="H2564" s="211">
        <f>ROUND(G2564*E2564,2)</f>
        <v>1.1000000000000001</v>
      </c>
    </row>
    <row r="2565" spans="1:8" s="201" customFormat="1">
      <c r="A2565" s="582"/>
      <c r="B2565" s="582"/>
      <c r="C2565" s="212"/>
      <c r="D2565" s="719" t="s">
        <v>127</v>
      </c>
      <c r="E2565" s="719"/>
      <c r="F2565" s="719"/>
      <c r="G2565" s="719"/>
      <c r="H2565" s="638">
        <f>SUMIF(F2562:F2564,("h"),H2562:H2564)</f>
        <v>1.9700000000000002</v>
      </c>
    </row>
    <row r="2566" spans="1:8" s="201" customFormat="1">
      <c r="A2566" s="582"/>
      <c r="B2566" s="582"/>
      <c r="C2566" s="212"/>
      <c r="D2566" s="719" t="s">
        <v>128</v>
      </c>
      <c r="E2566" s="719"/>
      <c r="F2566" s="719"/>
      <c r="G2566" s="719"/>
      <c r="H2566" s="638">
        <f>SUMIF(F2562:F2564,"&lt;&gt;h",H2562:H2564)</f>
        <v>2.84</v>
      </c>
    </row>
    <row r="2567" spans="1:8" s="201" customFormat="1">
      <c r="A2567" s="582"/>
      <c r="B2567" s="582"/>
      <c r="C2567" s="212"/>
      <c r="D2567" s="718" t="s">
        <v>129</v>
      </c>
      <c r="E2567" s="718"/>
      <c r="F2567" s="718"/>
      <c r="G2567" s="718"/>
      <c r="H2567" s="213">
        <f>SUM(H2565:H2566)</f>
        <v>4.8100000000000005</v>
      </c>
    </row>
    <row r="2568" spans="1:8" s="201" customFormat="1">
      <c r="A2568" s="582"/>
      <c r="B2568" s="582"/>
      <c r="C2568" s="212"/>
      <c r="D2568" s="719" t="s">
        <v>28</v>
      </c>
      <c r="E2568" s="719"/>
      <c r="F2568" s="719"/>
      <c r="G2568" s="719"/>
      <c r="H2568" s="639">
        <f>E2561</f>
        <v>1000</v>
      </c>
    </row>
    <row r="2569" spans="1:8" s="201" customFormat="1">
      <c r="A2569" s="582"/>
      <c r="B2569" s="582"/>
      <c r="C2569" s="212"/>
      <c r="D2569" s="718" t="s">
        <v>130</v>
      </c>
      <c r="E2569" s="718"/>
      <c r="F2569" s="718"/>
      <c r="G2569" s="718"/>
      <c r="H2569" s="213">
        <f>ROUND(H2567*H2568,2)</f>
        <v>4810</v>
      </c>
    </row>
    <row r="2570" spans="1:8" s="201" customFormat="1">
      <c r="A2570" s="582"/>
      <c r="B2570" s="582"/>
      <c r="C2570" s="212"/>
      <c r="D2570" s="719" t="s">
        <v>15559</v>
      </c>
      <c r="E2570" s="719"/>
      <c r="F2570" s="719"/>
      <c r="G2570" s="719"/>
      <c r="H2570" s="638">
        <f>ROUND(H2567*$B$13,2)</f>
        <v>1.3</v>
      </c>
    </row>
    <row r="2571" spans="1:8">
      <c r="A2571" s="582"/>
      <c r="B2571" s="582"/>
      <c r="C2571" s="212"/>
      <c r="D2571" s="718" t="s">
        <v>9661</v>
      </c>
      <c r="E2571" s="718"/>
      <c r="F2571" s="718"/>
      <c r="G2571" s="718"/>
      <c r="H2571" s="213">
        <f>H2570+H2567</f>
        <v>6.11</v>
      </c>
    </row>
    <row r="2573" spans="1:8" s="201" customFormat="1">
      <c r="A2573" s="123" t="s">
        <v>6</v>
      </c>
      <c r="B2573" s="720" t="s">
        <v>7</v>
      </c>
      <c r="C2573" s="720"/>
      <c r="D2573" s="202" t="s">
        <v>124</v>
      </c>
      <c r="E2573" s="167" t="s">
        <v>6334</v>
      </c>
      <c r="F2573" s="202" t="s">
        <v>31</v>
      </c>
      <c r="G2573" s="203" t="s">
        <v>125</v>
      </c>
      <c r="H2573" s="204" t="s">
        <v>126</v>
      </c>
    </row>
    <row r="2574" spans="1:8" s="208" customFormat="1" ht="45">
      <c r="A2574" s="581" t="str">
        <f>'Orç - Prédio'!A445</f>
        <v>06.01.305.07</v>
      </c>
      <c r="B2574" s="216" t="str">
        <f>'Orç - Prédio'!B445</f>
        <v>CPOS</v>
      </c>
      <c r="C2574" s="216" t="str">
        <f>'Orç - Prédio'!C445</f>
        <v>39.16.050</v>
      </c>
      <c r="D2574" s="217" t="s">
        <v>15522</v>
      </c>
      <c r="E2574" s="206">
        <v>4500</v>
      </c>
      <c r="F2574" s="216" t="s">
        <v>6774</v>
      </c>
      <c r="G2574" s="207">
        <f>VLOOKUP("CUSTO TOTAL UNIT.:",D2575:$H$30004,5,FALSE)</f>
        <v>6.59</v>
      </c>
      <c r="H2574" s="637">
        <f>VLOOKUP("CUSTO TOTAL:",D2575:$H$30004,5,FALSE)</f>
        <v>29655</v>
      </c>
    </row>
    <row r="2575" spans="1:8" s="124" customFormat="1" ht="60">
      <c r="A2575" s="721" t="s">
        <v>15524</v>
      </c>
      <c r="B2575" s="721"/>
      <c r="C2575" s="200" t="s">
        <v>6753</v>
      </c>
      <c r="D2575" s="185" t="s">
        <v>15523</v>
      </c>
      <c r="E2575" s="209">
        <v>1.02</v>
      </c>
      <c r="F2575" s="577" t="s">
        <v>139</v>
      </c>
      <c r="G2575" s="174">
        <v>4.2525000000000004</v>
      </c>
      <c r="H2575" s="211">
        <f>ROUND(G2575*E2575,2)</f>
        <v>4.34</v>
      </c>
    </row>
    <row r="2576" spans="1:8" s="124" customFormat="1" ht="30">
      <c r="A2576" s="721">
        <v>88247</v>
      </c>
      <c r="B2576" s="721"/>
      <c r="C2576" s="200" t="s">
        <v>5256</v>
      </c>
      <c r="D2576" s="139" t="s">
        <v>74</v>
      </c>
      <c r="E2576" s="209">
        <v>0.08</v>
      </c>
      <c r="F2576" s="577" t="s">
        <v>67</v>
      </c>
      <c r="G2576" s="210">
        <v>12.425400000000002</v>
      </c>
      <c r="H2576" s="211">
        <f>ROUND(G2576*E2576,2)</f>
        <v>0.99</v>
      </c>
    </row>
    <row r="2577" spans="1:8" s="124" customFormat="1" ht="30">
      <c r="A2577" s="721">
        <v>88264</v>
      </c>
      <c r="B2577" s="721"/>
      <c r="C2577" s="200" t="s">
        <v>5256</v>
      </c>
      <c r="D2577" s="139" t="s">
        <v>84</v>
      </c>
      <c r="E2577" s="209">
        <v>0.08</v>
      </c>
      <c r="F2577" s="577" t="s">
        <v>67</v>
      </c>
      <c r="G2577" s="210">
        <v>15.778800000000002</v>
      </c>
      <c r="H2577" s="211">
        <f>ROUND(G2577*E2577,2)</f>
        <v>1.26</v>
      </c>
    </row>
    <row r="2578" spans="1:8" s="201" customFormat="1">
      <c r="A2578" s="582"/>
      <c r="B2578" s="582"/>
      <c r="C2578" s="212"/>
      <c r="D2578" s="719" t="s">
        <v>127</v>
      </c>
      <c r="E2578" s="719"/>
      <c r="F2578" s="719"/>
      <c r="G2578" s="719"/>
      <c r="H2578" s="638">
        <f>SUMIF(F2575:F2577,("h"),H2575:H2577)</f>
        <v>2.25</v>
      </c>
    </row>
    <row r="2579" spans="1:8" s="201" customFormat="1">
      <c r="A2579" s="582"/>
      <c r="B2579" s="582"/>
      <c r="C2579" s="212"/>
      <c r="D2579" s="719" t="s">
        <v>128</v>
      </c>
      <c r="E2579" s="719"/>
      <c r="F2579" s="719"/>
      <c r="G2579" s="719"/>
      <c r="H2579" s="638">
        <f>SUMIF(F2575:F2577,"&lt;&gt;h",H2575:H2577)</f>
        <v>4.34</v>
      </c>
    </row>
    <row r="2580" spans="1:8" s="201" customFormat="1">
      <c r="A2580" s="582"/>
      <c r="B2580" s="582"/>
      <c r="C2580" s="212"/>
      <c r="D2580" s="718" t="s">
        <v>129</v>
      </c>
      <c r="E2580" s="718"/>
      <c r="F2580" s="718"/>
      <c r="G2580" s="718"/>
      <c r="H2580" s="213">
        <f>SUM(H2578:H2579)</f>
        <v>6.59</v>
      </c>
    </row>
    <row r="2581" spans="1:8" s="201" customFormat="1">
      <c r="A2581" s="582"/>
      <c r="B2581" s="582"/>
      <c r="C2581" s="212"/>
      <c r="D2581" s="719" t="s">
        <v>28</v>
      </c>
      <c r="E2581" s="719"/>
      <c r="F2581" s="719"/>
      <c r="G2581" s="719"/>
      <c r="H2581" s="639">
        <f>E2574</f>
        <v>4500</v>
      </c>
    </row>
    <row r="2582" spans="1:8" s="201" customFormat="1">
      <c r="A2582" s="582"/>
      <c r="B2582" s="582"/>
      <c r="C2582" s="212"/>
      <c r="D2582" s="718" t="s">
        <v>130</v>
      </c>
      <c r="E2582" s="718"/>
      <c r="F2582" s="718"/>
      <c r="G2582" s="718"/>
      <c r="H2582" s="213">
        <f>ROUND(H2580*H2581,2)</f>
        <v>29655</v>
      </c>
    </row>
    <row r="2583" spans="1:8" s="201" customFormat="1">
      <c r="A2583" s="582"/>
      <c r="B2583" s="582"/>
      <c r="C2583" s="212"/>
      <c r="D2583" s="719" t="s">
        <v>15559</v>
      </c>
      <c r="E2583" s="719"/>
      <c r="F2583" s="719"/>
      <c r="G2583" s="719"/>
      <c r="H2583" s="638">
        <f>ROUND(H2580*$B$13,2)</f>
        <v>1.77</v>
      </c>
    </row>
    <row r="2584" spans="1:8">
      <c r="A2584" s="582"/>
      <c r="B2584" s="582"/>
      <c r="C2584" s="212"/>
      <c r="D2584" s="718" t="s">
        <v>9661</v>
      </c>
      <c r="E2584" s="718"/>
      <c r="F2584" s="718"/>
      <c r="G2584" s="718"/>
      <c r="H2584" s="213">
        <f>H2583+H2580</f>
        <v>8.36</v>
      </c>
    </row>
    <row r="2586" spans="1:8" s="201" customFormat="1">
      <c r="A2586" s="123" t="s">
        <v>6</v>
      </c>
      <c r="B2586" s="720" t="s">
        <v>7</v>
      </c>
      <c r="C2586" s="720"/>
      <c r="D2586" s="202" t="s">
        <v>124</v>
      </c>
      <c r="E2586" s="167" t="s">
        <v>6334</v>
      </c>
      <c r="F2586" s="202" t="s">
        <v>31</v>
      </c>
      <c r="G2586" s="203" t="s">
        <v>125</v>
      </c>
      <c r="H2586" s="204" t="s">
        <v>126</v>
      </c>
    </row>
    <row r="2587" spans="1:8" s="208" customFormat="1" ht="45">
      <c r="A2587" s="581" t="str">
        <f>'Orç - Prédio'!A446</f>
        <v>06.01.305.08</v>
      </c>
      <c r="B2587" s="216" t="str">
        <f>'Orç - Prédio'!B446</f>
        <v>CPOS</v>
      </c>
      <c r="C2587" s="216" t="str">
        <f>'Orç - Prédio'!C446</f>
        <v>39.16.060</v>
      </c>
      <c r="D2587" s="217" t="s">
        <v>15528</v>
      </c>
      <c r="E2587" s="206">
        <v>1150</v>
      </c>
      <c r="F2587" s="216" t="s">
        <v>6774</v>
      </c>
      <c r="G2587" s="207">
        <f>VLOOKUP("CUSTO TOTAL UNIT.:",D2588:$H$30004,5,FALSE)</f>
        <v>9.1</v>
      </c>
      <c r="H2587" s="637">
        <f>VLOOKUP("CUSTO TOTAL:",D2588:$H$30004,5,FALSE)</f>
        <v>10465</v>
      </c>
    </row>
    <row r="2588" spans="1:8" s="124" customFormat="1" ht="60">
      <c r="A2588" s="721" t="s">
        <v>15526</v>
      </c>
      <c r="B2588" s="721"/>
      <c r="C2588" s="200" t="s">
        <v>6753</v>
      </c>
      <c r="D2588" s="185" t="s">
        <v>15527</v>
      </c>
      <c r="E2588" s="209">
        <v>1.02</v>
      </c>
      <c r="F2588" s="577" t="s">
        <v>139</v>
      </c>
      <c r="G2588" s="174">
        <v>6.4314000000000009</v>
      </c>
      <c r="H2588" s="211">
        <f>ROUND(G2588*E2588,2)</f>
        <v>6.56</v>
      </c>
    </row>
    <row r="2589" spans="1:8" s="124" customFormat="1" ht="30">
      <c r="A2589" s="721">
        <v>88247</v>
      </c>
      <c r="B2589" s="721"/>
      <c r="C2589" s="200" t="s">
        <v>5256</v>
      </c>
      <c r="D2589" s="139" t="s">
        <v>74</v>
      </c>
      <c r="E2589" s="209">
        <v>0.09</v>
      </c>
      <c r="F2589" s="577" t="s">
        <v>67</v>
      </c>
      <c r="G2589" s="210">
        <v>12.425400000000002</v>
      </c>
      <c r="H2589" s="211">
        <f>ROUND(G2589*E2589,2)</f>
        <v>1.1200000000000001</v>
      </c>
    </row>
    <row r="2590" spans="1:8" s="124" customFormat="1" ht="30">
      <c r="A2590" s="721">
        <v>88264</v>
      </c>
      <c r="B2590" s="721"/>
      <c r="C2590" s="200" t="s">
        <v>5256</v>
      </c>
      <c r="D2590" s="139" t="s">
        <v>84</v>
      </c>
      <c r="E2590" s="209">
        <v>0.09</v>
      </c>
      <c r="F2590" s="577" t="s">
        <v>67</v>
      </c>
      <c r="G2590" s="210">
        <v>15.778800000000002</v>
      </c>
      <c r="H2590" s="211">
        <f>ROUND(G2590*E2590,2)</f>
        <v>1.42</v>
      </c>
    </row>
    <row r="2591" spans="1:8" s="201" customFormat="1">
      <c r="A2591" s="582"/>
      <c r="B2591" s="582"/>
      <c r="C2591" s="212"/>
      <c r="D2591" s="719" t="s">
        <v>127</v>
      </c>
      <c r="E2591" s="719"/>
      <c r="F2591" s="719"/>
      <c r="G2591" s="719"/>
      <c r="H2591" s="638">
        <f>SUMIF(F2588:F2590,("h"),H2588:H2590)</f>
        <v>2.54</v>
      </c>
    </row>
    <row r="2592" spans="1:8" s="201" customFormat="1">
      <c r="A2592" s="582"/>
      <c r="B2592" s="582"/>
      <c r="C2592" s="212"/>
      <c r="D2592" s="719" t="s">
        <v>128</v>
      </c>
      <c r="E2592" s="719"/>
      <c r="F2592" s="719"/>
      <c r="G2592" s="719"/>
      <c r="H2592" s="638">
        <f>SUMIF(F2588:F2590,"&lt;&gt;h",H2588:H2590)</f>
        <v>6.56</v>
      </c>
    </row>
    <row r="2593" spans="1:8" s="201" customFormat="1">
      <c r="A2593" s="582"/>
      <c r="B2593" s="582"/>
      <c r="C2593" s="212"/>
      <c r="D2593" s="718" t="s">
        <v>129</v>
      </c>
      <c r="E2593" s="718"/>
      <c r="F2593" s="718"/>
      <c r="G2593" s="718"/>
      <c r="H2593" s="213">
        <f>SUM(H2591:H2592)</f>
        <v>9.1</v>
      </c>
    </row>
    <row r="2594" spans="1:8" s="201" customFormat="1">
      <c r="A2594" s="582"/>
      <c r="B2594" s="582"/>
      <c r="C2594" s="212"/>
      <c r="D2594" s="719" t="s">
        <v>28</v>
      </c>
      <c r="E2594" s="719"/>
      <c r="F2594" s="719"/>
      <c r="G2594" s="719"/>
      <c r="H2594" s="639">
        <f>E2587</f>
        <v>1150</v>
      </c>
    </row>
    <row r="2595" spans="1:8" s="201" customFormat="1">
      <c r="A2595" s="582"/>
      <c r="B2595" s="582"/>
      <c r="C2595" s="212"/>
      <c r="D2595" s="718" t="s">
        <v>130</v>
      </c>
      <c r="E2595" s="718"/>
      <c r="F2595" s="718"/>
      <c r="G2595" s="718"/>
      <c r="H2595" s="213">
        <f>ROUND(H2593*H2594,2)</f>
        <v>10465</v>
      </c>
    </row>
    <row r="2596" spans="1:8" s="201" customFormat="1">
      <c r="A2596" s="582"/>
      <c r="B2596" s="582"/>
      <c r="C2596" s="212"/>
      <c r="D2596" s="719" t="s">
        <v>15559</v>
      </c>
      <c r="E2596" s="719"/>
      <c r="F2596" s="719"/>
      <c r="G2596" s="719"/>
      <c r="H2596" s="638">
        <f>ROUND(H2593*$B$13,2)</f>
        <v>2.4500000000000002</v>
      </c>
    </row>
    <row r="2597" spans="1:8">
      <c r="A2597" s="582"/>
      <c r="B2597" s="582"/>
      <c r="C2597" s="212"/>
      <c r="D2597" s="718" t="s">
        <v>9661</v>
      </c>
      <c r="E2597" s="718"/>
      <c r="F2597" s="718"/>
      <c r="G2597" s="718"/>
      <c r="H2597" s="213">
        <f>H2596+H2593</f>
        <v>11.55</v>
      </c>
    </row>
    <row r="2599" spans="1:8" s="201" customFormat="1">
      <c r="A2599" s="123" t="s">
        <v>6</v>
      </c>
      <c r="B2599" s="720" t="s">
        <v>7</v>
      </c>
      <c r="C2599" s="720"/>
      <c r="D2599" s="202" t="s">
        <v>124</v>
      </c>
      <c r="E2599" s="167" t="s">
        <v>6334</v>
      </c>
      <c r="F2599" s="202" t="s">
        <v>31</v>
      </c>
      <c r="G2599" s="203" t="s">
        <v>125</v>
      </c>
      <c r="H2599" s="204" t="s">
        <v>126</v>
      </c>
    </row>
    <row r="2600" spans="1:8" s="208" customFormat="1" ht="45">
      <c r="A2600" s="581" t="str">
        <f>'Orç - Prédio'!A447</f>
        <v>06.01.305.09</v>
      </c>
      <c r="B2600" s="216" t="str">
        <f>'Orç - Prédio'!B447</f>
        <v>CPOS</v>
      </c>
      <c r="C2600" s="216" t="str">
        <f>'Orç - Prédio'!C447</f>
        <v>39.26.070</v>
      </c>
      <c r="D2600" s="217" t="s">
        <v>15532</v>
      </c>
      <c r="E2600" s="206">
        <v>1100</v>
      </c>
      <c r="F2600" s="216" t="s">
        <v>6774</v>
      </c>
      <c r="G2600" s="207">
        <f>VLOOKUP("CUSTO TOTAL UNIT.:",D2601:$H$30004,5,FALSE)</f>
        <v>12.700000000000001</v>
      </c>
      <c r="H2600" s="637">
        <f>VLOOKUP("CUSTO TOTAL:",D2601:$H$30004,5,FALSE)</f>
        <v>13970</v>
      </c>
    </row>
    <row r="2601" spans="1:8" s="124" customFormat="1" ht="60">
      <c r="A2601" s="721" t="s">
        <v>15530</v>
      </c>
      <c r="B2601" s="721"/>
      <c r="C2601" s="200" t="s">
        <v>6753</v>
      </c>
      <c r="D2601" s="185" t="s">
        <v>15531</v>
      </c>
      <c r="E2601" s="209">
        <v>1.02</v>
      </c>
      <c r="F2601" s="577" t="s">
        <v>139</v>
      </c>
      <c r="G2601" s="174">
        <v>9.6876000000000015</v>
      </c>
      <c r="H2601" s="211">
        <f>ROUND(G2601*E2601,2)</f>
        <v>9.8800000000000008</v>
      </c>
    </row>
    <row r="2602" spans="1:8" s="124" customFormat="1" ht="30">
      <c r="A2602" s="721">
        <v>88247</v>
      </c>
      <c r="B2602" s="721"/>
      <c r="C2602" s="200" t="s">
        <v>5256</v>
      </c>
      <c r="D2602" s="139" t="s">
        <v>74</v>
      </c>
      <c r="E2602" s="209">
        <v>0.1</v>
      </c>
      <c r="F2602" s="577" t="s">
        <v>67</v>
      </c>
      <c r="G2602" s="210">
        <v>12.425400000000002</v>
      </c>
      <c r="H2602" s="211">
        <f>ROUND(G2602*E2602,2)</f>
        <v>1.24</v>
      </c>
    </row>
    <row r="2603" spans="1:8" s="124" customFormat="1" ht="30">
      <c r="A2603" s="721">
        <v>88264</v>
      </c>
      <c r="B2603" s="721"/>
      <c r="C2603" s="200" t="s">
        <v>5256</v>
      </c>
      <c r="D2603" s="139" t="s">
        <v>84</v>
      </c>
      <c r="E2603" s="209">
        <v>0.1</v>
      </c>
      <c r="F2603" s="577" t="s">
        <v>67</v>
      </c>
      <c r="G2603" s="210">
        <v>15.778800000000002</v>
      </c>
      <c r="H2603" s="211">
        <f>ROUND(G2603*E2603,2)</f>
        <v>1.58</v>
      </c>
    </row>
    <row r="2604" spans="1:8" s="201" customFormat="1">
      <c r="A2604" s="582"/>
      <c r="B2604" s="582"/>
      <c r="C2604" s="212"/>
      <c r="D2604" s="719" t="s">
        <v>127</v>
      </c>
      <c r="E2604" s="719"/>
      <c r="F2604" s="719"/>
      <c r="G2604" s="719"/>
      <c r="H2604" s="638">
        <f>SUMIF(F2601:F2603,("h"),H2601:H2603)</f>
        <v>2.8200000000000003</v>
      </c>
    </row>
    <row r="2605" spans="1:8" s="201" customFormat="1">
      <c r="A2605" s="582"/>
      <c r="B2605" s="582"/>
      <c r="C2605" s="212"/>
      <c r="D2605" s="719" t="s">
        <v>128</v>
      </c>
      <c r="E2605" s="719"/>
      <c r="F2605" s="719"/>
      <c r="G2605" s="719"/>
      <c r="H2605" s="638">
        <f>SUMIF(F2601:F2603,"&lt;&gt;h",H2601:H2603)</f>
        <v>9.8800000000000008</v>
      </c>
    </row>
    <row r="2606" spans="1:8" s="201" customFormat="1">
      <c r="A2606" s="582"/>
      <c r="B2606" s="582"/>
      <c r="C2606" s="212"/>
      <c r="D2606" s="718" t="s">
        <v>129</v>
      </c>
      <c r="E2606" s="718"/>
      <c r="F2606" s="718"/>
      <c r="G2606" s="718"/>
      <c r="H2606" s="213">
        <f>SUM(H2604:H2605)</f>
        <v>12.700000000000001</v>
      </c>
    </row>
    <row r="2607" spans="1:8" s="201" customFormat="1">
      <c r="A2607" s="582"/>
      <c r="B2607" s="582"/>
      <c r="C2607" s="212"/>
      <c r="D2607" s="719" t="s">
        <v>28</v>
      </c>
      <c r="E2607" s="719"/>
      <c r="F2607" s="719"/>
      <c r="G2607" s="719"/>
      <c r="H2607" s="639">
        <f>E2600</f>
        <v>1100</v>
      </c>
    </row>
    <row r="2608" spans="1:8" s="201" customFormat="1">
      <c r="A2608" s="582"/>
      <c r="B2608" s="582"/>
      <c r="C2608" s="212"/>
      <c r="D2608" s="718" t="s">
        <v>130</v>
      </c>
      <c r="E2608" s="718"/>
      <c r="F2608" s="718"/>
      <c r="G2608" s="718"/>
      <c r="H2608" s="213">
        <f>ROUND(H2606*H2607,2)</f>
        <v>13970</v>
      </c>
    </row>
    <row r="2609" spans="1:8" s="201" customFormat="1">
      <c r="A2609" s="582"/>
      <c r="B2609" s="582"/>
      <c r="C2609" s="212"/>
      <c r="D2609" s="719" t="s">
        <v>15559</v>
      </c>
      <c r="E2609" s="719"/>
      <c r="F2609" s="719"/>
      <c r="G2609" s="719"/>
      <c r="H2609" s="638">
        <f>ROUND(H2606*$B$13,2)</f>
        <v>3.42</v>
      </c>
    </row>
    <row r="2610" spans="1:8">
      <c r="A2610" s="582"/>
      <c r="B2610" s="582"/>
      <c r="C2610" s="212"/>
      <c r="D2610" s="718" t="s">
        <v>9661</v>
      </c>
      <c r="E2610" s="718"/>
      <c r="F2610" s="718"/>
      <c r="G2610" s="718"/>
      <c r="H2610" s="213">
        <f>H2609+H2606</f>
        <v>16.12</v>
      </c>
    </row>
    <row r="2612" spans="1:8" s="201" customFormat="1">
      <c r="A2612" s="123" t="s">
        <v>6</v>
      </c>
      <c r="B2612" s="720" t="s">
        <v>7</v>
      </c>
      <c r="C2612" s="720"/>
      <c r="D2612" s="202" t="s">
        <v>124</v>
      </c>
      <c r="E2612" s="167" t="s">
        <v>6334</v>
      </c>
      <c r="F2612" s="202" t="s">
        <v>31</v>
      </c>
      <c r="G2612" s="203" t="s">
        <v>125</v>
      </c>
      <c r="H2612" s="204" t="s">
        <v>126</v>
      </c>
    </row>
    <row r="2613" spans="1:8" s="208" customFormat="1" ht="45">
      <c r="A2613" s="581" t="str">
        <f>'Orç - Prédio'!A448</f>
        <v>06.01.305.10</v>
      </c>
      <c r="B2613" s="216" t="str">
        <f>'Orç - Prédio'!B448</f>
        <v>CPOS</v>
      </c>
      <c r="C2613" s="216" t="str">
        <f>'Orç - Prédio'!C448</f>
        <v>39.26.080</v>
      </c>
      <c r="D2613" s="217" t="s">
        <v>15534</v>
      </c>
      <c r="E2613" s="206">
        <v>1700</v>
      </c>
      <c r="F2613" s="216" t="s">
        <v>6774</v>
      </c>
      <c r="G2613" s="207">
        <f>VLOOKUP("CUSTO TOTAL UNIT.:",D2614:$H$30004,5,FALSE)</f>
        <v>17.560000000000002</v>
      </c>
      <c r="H2613" s="637">
        <f>VLOOKUP("CUSTO TOTAL:",D2614:$H$30004,5,FALSE)</f>
        <v>29852</v>
      </c>
    </row>
    <row r="2614" spans="1:8" s="124" customFormat="1" ht="60">
      <c r="A2614" s="721" t="s">
        <v>15536</v>
      </c>
      <c r="B2614" s="721"/>
      <c r="C2614" s="200" t="s">
        <v>6753</v>
      </c>
      <c r="D2614" s="185" t="s">
        <v>15535</v>
      </c>
      <c r="E2614" s="209">
        <v>1.02</v>
      </c>
      <c r="F2614" s="577" t="s">
        <v>139</v>
      </c>
      <c r="G2614" s="174">
        <v>13.073400000000001</v>
      </c>
      <c r="H2614" s="211">
        <f>ROUND(G2614*E2614,2)</f>
        <v>13.33</v>
      </c>
    </row>
    <row r="2615" spans="1:8" s="124" customFormat="1" ht="30">
      <c r="A2615" s="721">
        <v>88247</v>
      </c>
      <c r="B2615" s="721"/>
      <c r="C2615" s="200" t="s">
        <v>5256</v>
      </c>
      <c r="D2615" s="139" t="s">
        <v>74</v>
      </c>
      <c r="E2615" s="209">
        <v>0.15</v>
      </c>
      <c r="F2615" s="577" t="s">
        <v>67</v>
      </c>
      <c r="G2615" s="210">
        <v>12.425400000000002</v>
      </c>
      <c r="H2615" s="211">
        <f>ROUND(G2615*E2615,2)</f>
        <v>1.86</v>
      </c>
    </row>
    <row r="2616" spans="1:8" s="124" customFormat="1" ht="30">
      <c r="A2616" s="721">
        <v>88264</v>
      </c>
      <c r="B2616" s="721"/>
      <c r="C2616" s="200" t="s">
        <v>5256</v>
      </c>
      <c r="D2616" s="139" t="s">
        <v>84</v>
      </c>
      <c r="E2616" s="209">
        <v>0.15</v>
      </c>
      <c r="F2616" s="577" t="s">
        <v>67</v>
      </c>
      <c r="G2616" s="210">
        <v>15.778800000000002</v>
      </c>
      <c r="H2616" s="211">
        <f>ROUND(G2616*E2616,2)</f>
        <v>2.37</v>
      </c>
    </row>
    <row r="2617" spans="1:8" s="201" customFormat="1">
      <c r="A2617" s="582"/>
      <c r="B2617" s="582"/>
      <c r="C2617" s="212"/>
      <c r="D2617" s="719" t="s">
        <v>127</v>
      </c>
      <c r="E2617" s="719"/>
      <c r="F2617" s="719"/>
      <c r="G2617" s="719"/>
      <c r="H2617" s="638">
        <f>SUMIF(F2614:F2616,("h"),H2614:H2616)</f>
        <v>4.2300000000000004</v>
      </c>
    </row>
    <row r="2618" spans="1:8" s="201" customFormat="1">
      <c r="A2618" s="582"/>
      <c r="B2618" s="582"/>
      <c r="C2618" s="212"/>
      <c r="D2618" s="719" t="s">
        <v>128</v>
      </c>
      <c r="E2618" s="719"/>
      <c r="F2618" s="719"/>
      <c r="G2618" s="719"/>
      <c r="H2618" s="638">
        <f>SUMIF(F2614:F2616,"&lt;&gt;h",H2614:H2616)</f>
        <v>13.33</v>
      </c>
    </row>
    <row r="2619" spans="1:8" s="201" customFormat="1">
      <c r="A2619" s="582"/>
      <c r="B2619" s="582"/>
      <c r="C2619" s="212"/>
      <c r="D2619" s="718" t="s">
        <v>129</v>
      </c>
      <c r="E2619" s="718"/>
      <c r="F2619" s="718"/>
      <c r="G2619" s="718"/>
      <c r="H2619" s="213">
        <f>SUM(H2617:H2618)</f>
        <v>17.560000000000002</v>
      </c>
    </row>
    <row r="2620" spans="1:8" s="201" customFormat="1">
      <c r="A2620" s="582"/>
      <c r="B2620" s="582"/>
      <c r="C2620" s="212"/>
      <c r="D2620" s="719" t="s">
        <v>28</v>
      </c>
      <c r="E2620" s="719"/>
      <c r="F2620" s="719"/>
      <c r="G2620" s="719"/>
      <c r="H2620" s="639">
        <f>E2613</f>
        <v>1700</v>
      </c>
    </row>
    <row r="2621" spans="1:8" s="201" customFormat="1">
      <c r="A2621" s="582"/>
      <c r="B2621" s="582"/>
      <c r="C2621" s="212"/>
      <c r="D2621" s="718" t="s">
        <v>130</v>
      </c>
      <c r="E2621" s="718"/>
      <c r="F2621" s="718"/>
      <c r="G2621" s="718"/>
      <c r="H2621" s="213">
        <f>ROUND(H2619*H2620,2)</f>
        <v>29852</v>
      </c>
    </row>
    <row r="2622" spans="1:8" s="201" customFormat="1">
      <c r="A2622" s="582"/>
      <c r="B2622" s="582"/>
      <c r="C2622" s="212"/>
      <c r="D2622" s="719" t="s">
        <v>15559</v>
      </c>
      <c r="E2622" s="719"/>
      <c r="F2622" s="719"/>
      <c r="G2622" s="719"/>
      <c r="H2622" s="638">
        <f>ROUND(H2619*$B$13,2)</f>
        <v>4.7300000000000004</v>
      </c>
    </row>
    <row r="2623" spans="1:8">
      <c r="A2623" s="582"/>
      <c r="B2623" s="582"/>
      <c r="C2623" s="212"/>
      <c r="D2623" s="718" t="s">
        <v>9661</v>
      </c>
      <c r="E2623" s="718"/>
      <c r="F2623" s="718"/>
      <c r="G2623" s="718"/>
      <c r="H2623" s="213">
        <f>H2622+H2619</f>
        <v>22.290000000000003</v>
      </c>
    </row>
    <row r="2625" spans="1:8" s="201" customFormat="1">
      <c r="A2625" s="123" t="s">
        <v>6</v>
      </c>
      <c r="B2625" s="720" t="s">
        <v>7</v>
      </c>
      <c r="C2625" s="720"/>
      <c r="D2625" s="202" t="s">
        <v>124</v>
      </c>
      <c r="E2625" s="167" t="s">
        <v>6334</v>
      </c>
      <c r="F2625" s="202" t="s">
        <v>31</v>
      </c>
      <c r="G2625" s="203" t="s">
        <v>125</v>
      </c>
      <c r="H2625" s="204" t="s">
        <v>126</v>
      </c>
    </row>
    <row r="2626" spans="1:8" s="208" customFormat="1" ht="45">
      <c r="A2626" s="581" t="str">
        <f>'Orç - Prédio'!A449</f>
        <v>06.01.305.11</v>
      </c>
      <c r="B2626" s="216" t="str">
        <f>'Orç - Prédio'!B449</f>
        <v>CPOS</v>
      </c>
      <c r="C2626" s="216" t="str">
        <f>'Orç - Prédio'!C449</f>
        <v>39.26.090</v>
      </c>
      <c r="D2626" s="217" t="s">
        <v>15538</v>
      </c>
      <c r="E2626" s="206">
        <v>300</v>
      </c>
      <c r="F2626" s="216" t="s">
        <v>6774</v>
      </c>
      <c r="G2626" s="207">
        <f>VLOOKUP("CUSTO TOTAL UNIT.:",D2627:$H$30004,5,FALSE)</f>
        <v>25.07</v>
      </c>
      <c r="H2626" s="637">
        <f>VLOOKUP("CUSTO TOTAL:",D2627:$H$30004,5,FALSE)</f>
        <v>7521</v>
      </c>
    </row>
    <row r="2627" spans="1:8" s="124" customFormat="1" ht="60">
      <c r="A2627" s="721" t="s">
        <v>15539</v>
      </c>
      <c r="B2627" s="721"/>
      <c r="C2627" s="200" t="s">
        <v>6753</v>
      </c>
      <c r="D2627" s="185" t="s">
        <v>15540</v>
      </c>
      <c r="E2627" s="209">
        <v>1.02</v>
      </c>
      <c r="F2627" s="577" t="s">
        <v>139</v>
      </c>
      <c r="G2627" s="174">
        <v>19.035</v>
      </c>
      <c r="H2627" s="211">
        <f>ROUND(G2627*E2627,2)</f>
        <v>19.420000000000002</v>
      </c>
    </row>
    <row r="2628" spans="1:8" s="124" customFormat="1" ht="30">
      <c r="A2628" s="721">
        <v>88247</v>
      </c>
      <c r="B2628" s="721"/>
      <c r="C2628" s="200" t="s">
        <v>5256</v>
      </c>
      <c r="D2628" s="139" t="s">
        <v>74</v>
      </c>
      <c r="E2628" s="209">
        <v>0.2</v>
      </c>
      <c r="F2628" s="577" t="s">
        <v>67</v>
      </c>
      <c r="G2628" s="210">
        <v>12.425400000000002</v>
      </c>
      <c r="H2628" s="211">
        <f>ROUND(G2628*E2628,2)</f>
        <v>2.4900000000000002</v>
      </c>
    </row>
    <row r="2629" spans="1:8" s="124" customFormat="1" ht="30">
      <c r="A2629" s="721">
        <v>88264</v>
      </c>
      <c r="B2629" s="721"/>
      <c r="C2629" s="200" t="s">
        <v>5256</v>
      </c>
      <c r="D2629" s="139" t="s">
        <v>84</v>
      </c>
      <c r="E2629" s="209">
        <v>0.2</v>
      </c>
      <c r="F2629" s="577" t="s">
        <v>67</v>
      </c>
      <c r="G2629" s="210">
        <v>15.778800000000002</v>
      </c>
      <c r="H2629" s="211">
        <f>ROUND(G2629*E2629,2)</f>
        <v>3.16</v>
      </c>
    </row>
    <row r="2630" spans="1:8" s="201" customFormat="1">
      <c r="A2630" s="582"/>
      <c r="B2630" s="582"/>
      <c r="C2630" s="212"/>
      <c r="D2630" s="719" t="s">
        <v>127</v>
      </c>
      <c r="E2630" s="719"/>
      <c r="F2630" s="719"/>
      <c r="G2630" s="719"/>
      <c r="H2630" s="638">
        <f>SUMIF(F2627:F2629,("h"),H2627:H2629)</f>
        <v>5.65</v>
      </c>
    </row>
    <row r="2631" spans="1:8" s="201" customFormat="1">
      <c r="A2631" s="582"/>
      <c r="B2631" s="582"/>
      <c r="C2631" s="212"/>
      <c r="D2631" s="719" t="s">
        <v>128</v>
      </c>
      <c r="E2631" s="719"/>
      <c r="F2631" s="719"/>
      <c r="G2631" s="719"/>
      <c r="H2631" s="638">
        <f>SUMIF(F2627:F2629,"&lt;&gt;h",H2627:H2629)</f>
        <v>19.420000000000002</v>
      </c>
    </row>
    <row r="2632" spans="1:8" s="201" customFormat="1">
      <c r="A2632" s="582"/>
      <c r="B2632" s="582"/>
      <c r="C2632" s="212"/>
      <c r="D2632" s="718" t="s">
        <v>129</v>
      </c>
      <c r="E2632" s="718"/>
      <c r="F2632" s="718"/>
      <c r="G2632" s="718"/>
      <c r="H2632" s="213">
        <f>SUM(H2630:H2631)</f>
        <v>25.07</v>
      </c>
    </row>
    <row r="2633" spans="1:8" s="201" customFormat="1">
      <c r="A2633" s="582"/>
      <c r="B2633" s="582"/>
      <c r="C2633" s="212"/>
      <c r="D2633" s="719" t="s">
        <v>28</v>
      </c>
      <c r="E2633" s="719"/>
      <c r="F2633" s="719"/>
      <c r="G2633" s="719"/>
      <c r="H2633" s="639">
        <f>E2626</f>
        <v>300</v>
      </c>
    </row>
    <row r="2634" spans="1:8" s="201" customFormat="1">
      <c r="A2634" s="582"/>
      <c r="B2634" s="582"/>
      <c r="C2634" s="212"/>
      <c r="D2634" s="718" t="s">
        <v>130</v>
      </c>
      <c r="E2634" s="718"/>
      <c r="F2634" s="718"/>
      <c r="G2634" s="718"/>
      <c r="H2634" s="213">
        <f>ROUND(H2632*H2633,2)</f>
        <v>7521</v>
      </c>
    </row>
    <row r="2635" spans="1:8" s="201" customFormat="1">
      <c r="A2635" s="582"/>
      <c r="B2635" s="582"/>
      <c r="C2635" s="212"/>
      <c r="D2635" s="719" t="s">
        <v>15559</v>
      </c>
      <c r="E2635" s="719"/>
      <c r="F2635" s="719"/>
      <c r="G2635" s="719"/>
      <c r="H2635" s="638">
        <f>ROUND(H2632*$B$13,2)</f>
        <v>6.75</v>
      </c>
    </row>
    <row r="2636" spans="1:8">
      <c r="A2636" s="582"/>
      <c r="B2636" s="582"/>
      <c r="C2636" s="212"/>
      <c r="D2636" s="718" t="s">
        <v>9661</v>
      </c>
      <c r="E2636" s="718"/>
      <c r="F2636" s="718"/>
      <c r="G2636" s="718"/>
      <c r="H2636" s="213">
        <f>H2635+H2632</f>
        <v>31.82</v>
      </c>
    </row>
    <row r="2638" spans="1:8" s="201" customFormat="1">
      <c r="A2638" s="123" t="s">
        <v>6</v>
      </c>
      <c r="B2638" s="720" t="s">
        <v>7</v>
      </c>
      <c r="C2638" s="720"/>
      <c r="D2638" s="202" t="s">
        <v>124</v>
      </c>
      <c r="E2638" s="167" t="s">
        <v>6334</v>
      </c>
      <c r="F2638" s="202" t="s">
        <v>31</v>
      </c>
      <c r="G2638" s="203" t="s">
        <v>125</v>
      </c>
      <c r="H2638" s="204" t="s">
        <v>126</v>
      </c>
    </row>
    <row r="2639" spans="1:8" s="208" customFormat="1" ht="45">
      <c r="A2639" s="581" t="str">
        <f>'Orç - Prédio'!A450</f>
        <v>06.01.305.12</v>
      </c>
      <c r="B2639" s="216" t="str">
        <f>'Orç - Prédio'!B450</f>
        <v>CPOS</v>
      </c>
      <c r="C2639" s="216" t="str">
        <f>'Orç - Prédio'!C450</f>
        <v>39.26.100</v>
      </c>
      <c r="D2639" s="217" t="s">
        <v>15542</v>
      </c>
      <c r="E2639" s="206">
        <v>50</v>
      </c>
      <c r="F2639" s="216" t="s">
        <v>6774</v>
      </c>
      <c r="G2639" s="207">
        <f>VLOOKUP("CUSTO TOTAL UNIT.:",D2640:$H$30004,5,FALSE)</f>
        <v>33.58</v>
      </c>
      <c r="H2639" s="637">
        <f>VLOOKUP("CUSTO TOTAL:",D2640:$H$30004,5,FALSE)</f>
        <v>1679</v>
      </c>
    </row>
    <row r="2640" spans="1:8" s="124" customFormat="1" ht="60">
      <c r="A2640" s="721" t="s">
        <v>15543</v>
      </c>
      <c r="B2640" s="721"/>
      <c r="C2640" s="200" t="s">
        <v>6753</v>
      </c>
      <c r="D2640" s="185" t="s">
        <v>15544</v>
      </c>
      <c r="E2640" s="209">
        <v>1.02</v>
      </c>
      <c r="F2640" s="577" t="s">
        <v>139</v>
      </c>
      <c r="G2640" s="174">
        <v>26.0091</v>
      </c>
      <c r="H2640" s="211">
        <f>ROUND(G2640*E2640,2)</f>
        <v>26.53</v>
      </c>
    </row>
    <row r="2641" spans="1:8" s="124" customFormat="1" ht="30">
      <c r="A2641" s="721">
        <v>88247</v>
      </c>
      <c r="B2641" s="721"/>
      <c r="C2641" s="200" t="s">
        <v>5256</v>
      </c>
      <c r="D2641" s="139" t="s">
        <v>74</v>
      </c>
      <c r="E2641" s="209">
        <v>0.25</v>
      </c>
      <c r="F2641" s="577" t="s">
        <v>67</v>
      </c>
      <c r="G2641" s="210">
        <v>12.425400000000002</v>
      </c>
      <c r="H2641" s="211">
        <f>ROUND(G2641*E2641,2)</f>
        <v>3.11</v>
      </c>
    </row>
    <row r="2642" spans="1:8" s="124" customFormat="1" ht="30">
      <c r="A2642" s="721">
        <v>88264</v>
      </c>
      <c r="B2642" s="721"/>
      <c r="C2642" s="200" t="s">
        <v>5256</v>
      </c>
      <c r="D2642" s="139" t="s">
        <v>84</v>
      </c>
      <c r="E2642" s="209">
        <v>0.25</v>
      </c>
      <c r="F2642" s="577" t="s">
        <v>67</v>
      </c>
      <c r="G2642" s="210">
        <v>15.778800000000002</v>
      </c>
      <c r="H2642" s="211">
        <f>ROUND(G2642*E2642,2)</f>
        <v>3.94</v>
      </c>
    </row>
    <row r="2643" spans="1:8" s="201" customFormat="1">
      <c r="A2643" s="582"/>
      <c r="B2643" s="582"/>
      <c r="C2643" s="212"/>
      <c r="D2643" s="719" t="s">
        <v>127</v>
      </c>
      <c r="E2643" s="719"/>
      <c r="F2643" s="719"/>
      <c r="G2643" s="719"/>
      <c r="H2643" s="638">
        <f>SUMIF(F2640:F2642,("h"),H2640:H2642)</f>
        <v>7.05</v>
      </c>
    </row>
    <row r="2644" spans="1:8" s="201" customFormat="1">
      <c r="A2644" s="582"/>
      <c r="B2644" s="582"/>
      <c r="C2644" s="212"/>
      <c r="D2644" s="719" t="s">
        <v>128</v>
      </c>
      <c r="E2644" s="719"/>
      <c r="F2644" s="719"/>
      <c r="G2644" s="719"/>
      <c r="H2644" s="638">
        <f>SUMIF(F2640:F2642,"&lt;&gt;h",H2640:H2642)</f>
        <v>26.53</v>
      </c>
    </row>
    <row r="2645" spans="1:8" s="201" customFormat="1">
      <c r="A2645" s="582"/>
      <c r="B2645" s="582"/>
      <c r="C2645" s="212"/>
      <c r="D2645" s="718" t="s">
        <v>129</v>
      </c>
      <c r="E2645" s="718"/>
      <c r="F2645" s="718"/>
      <c r="G2645" s="718"/>
      <c r="H2645" s="213">
        <f>SUM(H2643:H2644)</f>
        <v>33.58</v>
      </c>
    </row>
    <row r="2646" spans="1:8" s="201" customFormat="1">
      <c r="A2646" s="582"/>
      <c r="B2646" s="582"/>
      <c r="C2646" s="212"/>
      <c r="D2646" s="719" t="s">
        <v>28</v>
      </c>
      <c r="E2646" s="719"/>
      <c r="F2646" s="719"/>
      <c r="G2646" s="719"/>
      <c r="H2646" s="639">
        <f>E2639</f>
        <v>50</v>
      </c>
    </row>
    <row r="2647" spans="1:8" s="201" customFormat="1">
      <c r="A2647" s="582"/>
      <c r="B2647" s="582"/>
      <c r="C2647" s="212"/>
      <c r="D2647" s="718" t="s">
        <v>130</v>
      </c>
      <c r="E2647" s="718"/>
      <c r="F2647" s="718"/>
      <c r="G2647" s="718"/>
      <c r="H2647" s="213">
        <f>ROUND(H2645*H2646,2)</f>
        <v>1679</v>
      </c>
    </row>
    <row r="2648" spans="1:8" s="201" customFormat="1">
      <c r="A2648" s="582"/>
      <c r="B2648" s="582"/>
      <c r="C2648" s="212"/>
      <c r="D2648" s="719" t="s">
        <v>15559</v>
      </c>
      <c r="E2648" s="719"/>
      <c r="F2648" s="719"/>
      <c r="G2648" s="719"/>
      <c r="H2648" s="638">
        <f>ROUND(H2645*$B$13,2)</f>
        <v>9.0399999999999991</v>
      </c>
    </row>
    <row r="2649" spans="1:8">
      <c r="A2649" s="582"/>
      <c r="B2649" s="582"/>
      <c r="C2649" s="212"/>
      <c r="D2649" s="718" t="s">
        <v>9661</v>
      </c>
      <c r="E2649" s="718"/>
      <c r="F2649" s="718"/>
      <c r="G2649" s="718"/>
      <c r="H2649" s="213">
        <f>H2648+H2645</f>
        <v>42.62</v>
      </c>
    </row>
    <row r="2651" spans="1:8" s="201" customFormat="1">
      <c r="A2651" s="123" t="s">
        <v>6</v>
      </c>
      <c r="B2651" s="720" t="s">
        <v>7</v>
      </c>
      <c r="C2651" s="720"/>
      <c r="D2651" s="202" t="s">
        <v>124</v>
      </c>
      <c r="E2651" s="167" t="s">
        <v>6334</v>
      </c>
      <c r="F2651" s="202" t="s">
        <v>31</v>
      </c>
      <c r="G2651" s="203" t="s">
        <v>125</v>
      </c>
      <c r="H2651" s="204" t="s">
        <v>126</v>
      </c>
    </row>
    <row r="2652" spans="1:8" s="208" customFormat="1" ht="45">
      <c r="A2652" s="581" t="s">
        <v>15457</v>
      </c>
      <c r="B2652" s="216" t="s">
        <v>6753</v>
      </c>
      <c r="C2652" s="216" t="s">
        <v>15502</v>
      </c>
      <c r="D2652" s="217" t="s">
        <v>15501</v>
      </c>
      <c r="E2652" s="206">
        <v>80</v>
      </c>
      <c r="F2652" s="216" t="s">
        <v>6774</v>
      </c>
      <c r="G2652" s="207">
        <f>VLOOKUP("CUSTO TOTAL UNIT.:",D2653:$H$30004,5,FALSE)</f>
        <v>43.38</v>
      </c>
      <c r="H2652" s="637">
        <f>VLOOKUP("CUSTO TOTAL:",D2653:$H$30004,5,FALSE)</f>
        <v>3470.4</v>
      </c>
    </row>
    <row r="2653" spans="1:8" s="124" customFormat="1" ht="60">
      <c r="A2653" s="721" t="s">
        <v>15503</v>
      </c>
      <c r="B2653" s="721"/>
      <c r="C2653" s="200" t="s">
        <v>6753</v>
      </c>
      <c r="D2653" s="185" t="s">
        <v>15504</v>
      </c>
      <c r="E2653" s="209">
        <v>1.02</v>
      </c>
      <c r="F2653" s="577" t="s">
        <v>139</v>
      </c>
      <c r="G2653" s="174">
        <v>34.230600000000003</v>
      </c>
      <c r="H2653" s="211">
        <f>ROUND(G2653*E2653,2)</f>
        <v>34.92</v>
      </c>
    </row>
    <row r="2654" spans="1:8" s="124" customFormat="1" ht="30">
      <c r="A2654" s="721">
        <v>88247</v>
      </c>
      <c r="B2654" s="721"/>
      <c r="C2654" s="200" t="s">
        <v>5256</v>
      </c>
      <c r="D2654" s="139" t="s">
        <v>74</v>
      </c>
      <c r="E2654" s="209">
        <v>0.3</v>
      </c>
      <c r="F2654" s="577" t="s">
        <v>67</v>
      </c>
      <c r="G2654" s="210">
        <v>12.425400000000002</v>
      </c>
      <c r="H2654" s="211">
        <f>ROUND(G2654*E2654,2)</f>
        <v>3.73</v>
      </c>
    </row>
    <row r="2655" spans="1:8" s="124" customFormat="1" ht="30">
      <c r="A2655" s="721">
        <v>88264</v>
      </c>
      <c r="B2655" s="721"/>
      <c r="C2655" s="200" t="s">
        <v>5256</v>
      </c>
      <c r="D2655" s="139" t="s">
        <v>84</v>
      </c>
      <c r="E2655" s="209">
        <v>0.3</v>
      </c>
      <c r="F2655" s="577" t="s">
        <v>67</v>
      </c>
      <c r="G2655" s="210">
        <v>15.778800000000002</v>
      </c>
      <c r="H2655" s="211">
        <f>ROUND(G2655*E2655,2)</f>
        <v>4.7300000000000004</v>
      </c>
    </row>
    <row r="2656" spans="1:8" s="201" customFormat="1">
      <c r="A2656" s="582"/>
      <c r="B2656" s="582"/>
      <c r="C2656" s="212"/>
      <c r="D2656" s="719" t="s">
        <v>127</v>
      </c>
      <c r="E2656" s="719"/>
      <c r="F2656" s="719"/>
      <c r="G2656" s="719"/>
      <c r="H2656" s="638">
        <f>SUMIF(F2653:F2655,("h"),H2653:H2655)</f>
        <v>8.4600000000000009</v>
      </c>
    </row>
    <row r="2657" spans="1:8" s="201" customFormat="1">
      <c r="A2657" s="582"/>
      <c r="B2657" s="582"/>
      <c r="C2657" s="212"/>
      <c r="D2657" s="719" t="s">
        <v>128</v>
      </c>
      <c r="E2657" s="719"/>
      <c r="F2657" s="719"/>
      <c r="G2657" s="719"/>
      <c r="H2657" s="638">
        <f>SUMIF(F2653:F2655,"&lt;&gt;h",H2653:H2655)</f>
        <v>34.92</v>
      </c>
    </row>
    <row r="2658" spans="1:8" s="201" customFormat="1">
      <c r="A2658" s="582"/>
      <c r="B2658" s="582"/>
      <c r="C2658" s="212"/>
      <c r="D2658" s="718" t="s">
        <v>129</v>
      </c>
      <c r="E2658" s="718"/>
      <c r="F2658" s="718"/>
      <c r="G2658" s="718"/>
      <c r="H2658" s="213">
        <f>SUM(H2656:H2657)</f>
        <v>43.38</v>
      </c>
    </row>
    <row r="2659" spans="1:8" s="201" customFormat="1">
      <c r="A2659" s="582"/>
      <c r="B2659" s="582"/>
      <c r="C2659" s="212"/>
      <c r="D2659" s="719" t="s">
        <v>28</v>
      </c>
      <c r="E2659" s="719"/>
      <c r="F2659" s="719"/>
      <c r="G2659" s="719"/>
      <c r="H2659" s="639">
        <f>E2652</f>
        <v>80</v>
      </c>
    </row>
    <row r="2660" spans="1:8" s="201" customFormat="1">
      <c r="A2660" s="582"/>
      <c r="B2660" s="582"/>
      <c r="C2660" s="212"/>
      <c r="D2660" s="718" t="s">
        <v>130</v>
      </c>
      <c r="E2660" s="718"/>
      <c r="F2660" s="718"/>
      <c r="G2660" s="718"/>
      <c r="H2660" s="213">
        <f>ROUND(H2658*H2659,2)</f>
        <v>3470.4</v>
      </c>
    </row>
    <row r="2661" spans="1:8" s="201" customFormat="1">
      <c r="A2661" s="582"/>
      <c r="B2661" s="582"/>
      <c r="C2661" s="212"/>
      <c r="D2661" s="719" t="s">
        <v>15559</v>
      </c>
      <c r="E2661" s="719"/>
      <c r="F2661" s="719"/>
      <c r="G2661" s="719"/>
      <c r="H2661" s="638">
        <f>ROUND(H2658*$B$13,2)</f>
        <v>11.68</v>
      </c>
    </row>
    <row r="2662" spans="1:8">
      <c r="A2662" s="582"/>
      <c r="B2662" s="582"/>
      <c r="C2662" s="212"/>
      <c r="D2662" s="718" t="s">
        <v>9661</v>
      </c>
      <c r="E2662" s="718"/>
      <c r="F2662" s="718"/>
      <c r="G2662" s="718"/>
      <c r="H2662" s="213">
        <f>H2661+H2658</f>
        <v>55.06</v>
      </c>
    </row>
    <row r="2664" spans="1:8" s="201" customFormat="1">
      <c r="A2664" s="123" t="s">
        <v>6</v>
      </c>
      <c r="B2664" s="720" t="s">
        <v>7</v>
      </c>
      <c r="C2664" s="720"/>
      <c r="D2664" s="202" t="s">
        <v>124</v>
      </c>
      <c r="E2664" s="167" t="s">
        <v>6334</v>
      </c>
      <c r="F2664" s="202" t="s">
        <v>31</v>
      </c>
      <c r="G2664" s="203" t="s">
        <v>125</v>
      </c>
      <c r="H2664" s="204" t="s">
        <v>126</v>
      </c>
    </row>
    <row r="2665" spans="1:8" s="208" customFormat="1" ht="45">
      <c r="A2665" s="581" t="s">
        <v>15458</v>
      </c>
      <c r="B2665" s="216" t="str">
        <f>'Orç - Prédio'!B452</f>
        <v>CPOS</v>
      </c>
      <c r="C2665" s="216" t="str">
        <f>'Orç - Prédio'!C452</f>
        <v>39.26.140</v>
      </c>
      <c r="D2665" s="217" t="s">
        <v>15505</v>
      </c>
      <c r="E2665" s="206">
        <v>300</v>
      </c>
      <c r="F2665" s="216" t="s">
        <v>6774</v>
      </c>
      <c r="G2665" s="207">
        <f>VLOOKUP("CUSTO TOTAL UNIT.:",D2666:$H$30004,5,FALSE)</f>
        <v>79.55</v>
      </c>
      <c r="H2665" s="637">
        <f>VLOOKUP("CUSTO TOTAL:",D2666:$H$30004,5,FALSE)</f>
        <v>23865</v>
      </c>
    </row>
    <row r="2666" spans="1:8" s="124" customFormat="1" ht="75">
      <c r="A2666" s="721" t="s">
        <v>15507</v>
      </c>
      <c r="B2666" s="721"/>
      <c r="C2666" s="200" t="s">
        <v>6753</v>
      </c>
      <c r="D2666" s="185" t="s">
        <v>15508</v>
      </c>
      <c r="E2666" s="209">
        <v>1.02</v>
      </c>
      <c r="F2666" s="577" t="s">
        <v>139</v>
      </c>
      <c r="G2666" s="174">
        <v>65.553300000000007</v>
      </c>
      <c r="H2666" s="211">
        <f>ROUND(G2666*E2666,2)</f>
        <v>66.86</v>
      </c>
    </row>
    <row r="2667" spans="1:8" s="124" customFormat="1" ht="30">
      <c r="A2667" s="721">
        <v>88247</v>
      </c>
      <c r="B2667" s="721"/>
      <c r="C2667" s="200" t="s">
        <v>5256</v>
      </c>
      <c r="D2667" s="139" t="s">
        <v>74</v>
      </c>
      <c r="E2667" s="209">
        <v>0.45</v>
      </c>
      <c r="F2667" s="577" t="s">
        <v>67</v>
      </c>
      <c r="G2667" s="210">
        <v>12.425400000000002</v>
      </c>
      <c r="H2667" s="211">
        <f>ROUND(G2667*E2667,2)</f>
        <v>5.59</v>
      </c>
    </row>
    <row r="2668" spans="1:8" s="124" customFormat="1" ht="30">
      <c r="A2668" s="721">
        <v>88264</v>
      </c>
      <c r="B2668" s="721"/>
      <c r="C2668" s="200" t="s">
        <v>5256</v>
      </c>
      <c r="D2668" s="139" t="s">
        <v>84</v>
      </c>
      <c r="E2668" s="209">
        <v>0.45</v>
      </c>
      <c r="F2668" s="577" t="s">
        <v>67</v>
      </c>
      <c r="G2668" s="210">
        <v>15.778800000000002</v>
      </c>
      <c r="H2668" s="211">
        <f>ROUND(G2668*E2668,2)</f>
        <v>7.1</v>
      </c>
    </row>
    <row r="2669" spans="1:8" s="201" customFormat="1">
      <c r="A2669" s="582"/>
      <c r="B2669" s="582"/>
      <c r="C2669" s="212"/>
      <c r="D2669" s="719" t="s">
        <v>127</v>
      </c>
      <c r="E2669" s="719"/>
      <c r="F2669" s="719"/>
      <c r="G2669" s="719"/>
      <c r="H2669" s="638">
        <f>SUMIF(F2666:F2668,("h"),H2666:H2668)</f>
        <v>12.69</v>
      </c>
    </row>
    <row r="2670" spans="1:8" s="201" customFormat="1">
      <c r="A2670" s="582"/>
      <c r="B2670" s="582"/>
      <c r="C2670" s="212"/>
      <c r="D2670" s="719" t="s">
        <v>128</v>
      </c>
      <c r="E2670" s="719"/>
      <c r="F2670" s="719"/>
      <c r="G2670" s="719"/>
      <c r="H2670" s="638">
        <f>SUMIF(F2666:F2668,"&lt;&gt;h",H2666:H2668)</f>
        <v>66.86</v>
      </c>
    </row>
    <row r="2671" spans="1:8" s="201" customFormat="1">
      <c r="A2671" s="582"/>
      <c r="B2671" s="582"/>
      <c r="C2671" s="212"/>
      <c r="D2671" s="718" t="s">
        <v>129</v>
      </c>
      <c r="E2671" s="718"/>
      <c r="F2671" s="718"/>
      <c r="G2671" s="718"/>
      <c r="H2671" s="213">
        <f>SUM(H2669:H2670)</f>
        <v>79.55</v>
      </c>
    </row>
    <row r="2672" spans="1:8" s="201" customFormat="1">
      <c r="A2672" s="582"/>
      <c r="B2672" s="582"/>
      <c r="C2672" s="212"/>
      <c r="D2672" s="719" t="s">
        <v>28</v>
      </c>
      <c r="E2672" s="719"/>
      <c r="F2672" s="719"/>
      <c r="G2672" s="719"/>
      <c r="H2672" s="639">
        <f>E2665</f>
        <v>300</v>
      </c>
    </row>
    <row r="2673" spans="1:8" s="201" customFormat="1">
      <c r="A2673" s="582"/>
      <c r="B2673" s="582"/>
      <c r="C2673" s="212"/>
      <c r="D2673" s="718" t="s">
        <v>130</v>
      </c>
      <c r="E2673" s="718"/>
      <c r="F2673" s="718"/>
      <c r="G2673" s="718"/>
      <c r="H2673" s="213">
        <f>ROUND(H2671*H2672,2)</f>
        <v>23865</v>
      </c>
    </row>
    <row r="2674" spans="1:8" s="201" customFormat="1">
      <c r="A2674" s="582"/>
      <c r="B2674" s="582"/>
      <c r="C2674" s="212"/>
      <c r="D2674" s="719" t="s">
        <v>15559</v>
      </c>
      <c r="E2674" s="719"/>
      <c r="F2674" s="719"/>
      <c r="G2674" s="719"/>
      <c r="H2674" s="638">
        <f>ROUND(H2671*$B$13,2)</f>
        <v>21.42</v>
      </c>
    </row>
    <row r="2675" spans="1:8">
      <c r="A2675" s="582"/>
      <c r="B2675" s="582"/>
      <c r="C2675" s="212"/>
      <c r="D2675" s="718" t="s">
        <v>9661</v>
      </c>
      <c r="E2675" s="718"/>
      <c r="F2675" s="718"/>
      <c r="G2675" s="718"/>
      <c r="H2675" s="213">
        <f>H2674+H2671</f>
        <v>100.97</v>
      </c>
    </row>
    <row r="2677" spans="1:8" s="201" customFormat="1">
      <c r="A2677" s="123" t="s">
        <v>6</v>
      </c>
      <c r="B2677" s="720" t="s">
        <v>7</v>
      </c>
      <c r="C2677" s="720"/>
      <c r="D2677" s="202" t="s">
        <v>124</v>
      </c>
      <c r="E2677" s="167" t="s">
        <v>6334</v>
      </c>
      <c r="F2677" s="202" t="s">
        <v>31</v>
      </c>
      <c r="G2677" s="203" t="s">
        <v>125</v>
      </c>
      <c r="H2677" s="204" t="s">
        <v>126</v>
      </c>
    </row>
    <row r="2678" spans="1:8" s="208" customFormat="1" ht="30">
      <c r="A2678" s="581" t="str">
        <f>'Orç - Prédio'!A459</f>
        <v>06.01.306.07</v>
      </c>
      <c r="B2678" s="216" t="str">
        <f>'Orç - Prédio'!B459</f>
        <v>SINAPI ANTIGO</v>
      </c>
      <c r="C2678" s="216">
        <f>'Orç - Prédio'!C459</f>
        <v>83448</v>
      </c>
      <c r="D2678" s="217" t="s">
        <v>7263</v>
      </c>
      <c r="E2678" s="206">
        <v>4</v>
      </c>
      <c r="F2678" s="216" t="s">
        <v>6337</v>
      </c>
      <c r="G2678" s="207">
        <f>VLOOKUP("CUSTO TOTAL UNIT.:",D2679:$H$30004,5,FALSE)</f>
        <v>191.55</v>
      </c>
      <c r="H2678" s="637">
        <f>VLOOKUP("CUSTO TOTAL:",D2679:$H$30004,5,FALSE)</f>
        <v>766.2</v>
      </c>
    </row>
    <row r="2679" spans="1:8" s="124" customFormat="1">
      <c r="A2679" s="721">
        <v>39</v>
      </c>
      <c r="B2679" s="721"/>
      <c r="C2679" s="200" t="s">
        <v>5256</v>
      </c>
      <c r="D2679" s="139" t="s">
        <v>9763</v>
      </c>
      <c r="E2679" s="209">
        <v>0.875</v>
      </c>
      <c r="F2679" s="577" t="s">
        <v>49</v>
      </c>
      <c r="G2679" s="210">
        <v>3.8313000000000006</v>
      </c>
      <c r="H2679" s="211">
        <f t="shared" ref="H2679:H2689" si="79">ROUND(G2679*E2679,2)</f>
        <v>3.35</v>
      </c>
    </row>
    <row r="2680" spans="1:8" s="124" customFormat="1" ht="45">
      <c r="A2680" s="721">
        <v>367</v>
      </c>
      <c r="B2680" s="721"/>
      <c r="C2680" s="200" t="s">
        <v>5256</v>
      </c>
      <c r="D2680" s="139" t="s">
        <v>10017</v>
      </c>
      <c r="E2680" s="209">
        <v>7.1900000000000002E-3</v>
      </c>
      <c r="F2680" s="577" t="s">
        <v>45</v>
      </c>
      <c r="G2680" s="210">
        <v>94.243499999999997</v>
      </c>
      <c r="H2680" s="211">
        <f t="shared" si="79"/>
        <v>0.68</v>
      </c>
    </row>
    <row r="2681" spans="1:8" s="124" customFormat="1" ht="30">
      <c r="A2681" s="721">
        <v>370</v>
      </c>
      <c r="B2681" s="721"/>
      <c r="C2681" s="200" t="s">
        <v>5256</v>
      </c>
      <c r="D2681" s="139" t="s">
        <v>10018</v>
      </c>
      <c r="E2681" s="209">
        <v>0.1</v>
      </c>
      <c r="F2681" s="577" t="s">
        <v>45</v>
      </c>
      <c r="G2681" s="210">
        <v>72.227700000000013</v>
      </c>
      <c r="H2681" s="211">
        <f t="shared" si="79"/>
        <v>7.22</v>
      </c>
    </row>
    <row r="2682" spans="1:8" s="124" customFormat="1">
      <c r="A2682" s="721">
        <v>1106</v>
      </c>
      <c r="B2682" s="721"/>
      <c r="C2682" s="200" t="s">
        <v>5256</v>
      </c>
      <c r="D2682" s="139" t="s">
        <v>10666</v>
      </c>
      <c r="E2682" s="209">
        <v>8.25</v>
      </c>
      <c r="F2682" s="577" t="s">
        <v>49</v>
      </c>
      <c r="G2682" s="210">
        <v>0.59940000000000004</v>
      </c>
      <c r="H2682" s="211">
        <f t="shared" si="79"/>
        <v>4.95</v>
      </c>
    </row>
    <row r="2683" spans="1:8" s="124" customFormat="1" ht="45">
      <c r="A2683" s="721">
        <v>1358</v>
      </c>
      <c r="B2683" s="721"/>
      <c r="C2683" s="200" t="s">
        <v>5256</v>
      </c>
      <c r="D2683" s="139" t="s">
        <v>10891</v>
      </c>
      <c r="E2683" s="209">
        <v>0.1</v>
      </c>
      <c r="F2683" s="577" t="s">
        <v>46</v>
      </c>
      <c r="G2683" s="210">
        <v>19.804500000000001</v>
      </c>
      <c r="H2683" s="211">
        <f t="shared" si="79"/>
        <v>1.98</v>
      </c>
    </row>
    <row r="2684" spans="1:8" s="124" customFormat="1">
      <c r="A2684" s="721">
        <v>1379</v>
      </c>
      <c r="B2684" s="721"/>
      <c r="C2684" s="200" t="s">
        <v>5256</v>
      </c>
      <c r="D2684" s="139" t="s">
        <v>10940</v>
      </c>
      <c r="E2684" s="209">
        <v>24.09</v>
      </c>
      <c r="F2684" s="577" t="s">
        <v>49</v>
      </c>
      <c r="G2684" s="210">
        <v>0.33210000000000001</v>
      </c>
      <c r="H2684" s="211">
        <f t="shared" si="79"/>
        <v>8</v>
      </c>
    </row>
    <row r="2685" spans="1:8" s="124" customFormat="1" ht="30">
      <c r="A2685" s="721">
        <v>4718</v>
      </c>
      <c r="B2685" s="721"/>
      <c r="C2685" s="200" t="s">
        <v>5256</v>
      </c>
      <c r="D2685" s="139" t="s">
        <v>13270</v>
      </c>
      <c r="E2685" s="209">
        <v>9.4900000000000002E-3</v>
      </c>
      <c r="F2685" s="577" t="s">
        <v>45</v>
      </c>
      <c r="G2685" s="210">
        <v>66.15270000000001</v>
      </c>
      <c r="H2685" s="211">
        <f t="shared" si="79"/>
        <v>0.63</v>
      </c>
    </row>
    <row r="2686" spans="1:8" s="124" customFormat="1" ht="30">
      <c r="A2686" s="721">
        <v>4722</v>
      </c>
      <c r="B2686" s="721"/>
      <c r="C2686" s="200" t="s">
        <v>5256</v>
      </c>
      <c r="D2686" s="139" t="s">
        <v>13271</v>
      </c>
      <c r="E2686" s="209">
        <v>8.0000000000000002E-3</v>
      </c>
      <c r="F2686" s="577" t="s">
        <v>45</v>
      </c>
      <c r="G2686" s="210">
        <v>66.15270000000001</v>
      </c>
      <c r="H2686" s="211">
        <f t="shared" si="79"/>
        <v>0.53</v>
      </c>
    </row>
    <row r="2687" spans="1:8" s="124" customFormat="1">
      <c r="A2687" s="721">
        <v>7258</v>
      </c>
      <c r="B2687" s="721"/>
      <c r="C2687" s="200" t="s">
        <v>5256</v>
      </c>
      <c r="D2687" s="139" t="s">
        <v>14350</v>
      </c>
      <c r="E2687" s="209">
        <v>138</v>
      </c>
      <c r="F2687" s="577" t="s">
        <v>40</v>
      </c>
      <c r="G2687" s="210">
        <v>0.25109999999999999</v>
      </c>
      <c r="H2687" s="211">
        <f t="shared" si="79"/>
        <v>34.65</v>
      </c>
    </row>
    <row r="2688" spans="1:8" s="124" customFormat="1" ht="30">
      <c r="A2688" s="721">
        <v>88309</v>
      </c>
      <c r="B2688" s="721"/>
      <c r="C2688" s="200" t="s">
        <v>5256</v>
      </c>
      <c r="D2688" s="139" t="s">
        <v>90</v>
      </c>
      <c r="E2688" s="209">
        <v>3.8</v>
      </c>
      <c r="F2688" s="577" t="s">
        <v>67</v>
      </c>
      <c r="G2688" s="210">
        <v>15.608700000000001</v>
      </c>
      <c r="H2688" s="211">
        <f t="shared" si="79"/>
        <v>59.31</v>
      </c>
    </row>
    <row r="2689" spans="1:8" s="124" customFormat="1" ht="30">
      <c r="A2689" s="721">
        <v>88316</v>
      </c>
      <c r="B2689" s="721"/>
      <c r="C2689" s="200" t="s">
        <v>5256</v>
      </c>
      <c r="D2689" s="139" t="s">
        <v>66</v>
      </c>
      <c r="E2689" s="209">
        <v>6.04</v>
      </c>
      <c r="F2689" s="577" t="s">
        <v>67</v>
      </c>
      <c r="G2689" s="210">
        <v>11.631600000000001</v>
      </c>
      <c r="H2689" s="211">
        <f t="shared" si="79"/>
        <v>70.25</v>
      </c>
    </row>
    <row r="2690" spans="1:8" s="201" customFormat="1">
      <c r="A2690" s="582"/>
      <c r="B2690" s="582"/>
      <c r="C2690" s="212"/>
      <c r="D2690" s="719" t="s">
        <v>127</v>
      </c>
      <c r="E2690" s="719"/>
      <c r="F2690" s="719"/>
      <c r="G2690" s="719"/>
      <c r="H2690" s="638">
        <f>SUMIF(F2679:F2689,("h"),H2679:H2689)</f>
        <v>129.56</v>
      </c>
    </row>
    <row r="2691" spans="1:8" s="201" customFormat="1">
      <c r="A2691" s="582"/>
      <c r="B2691" s="582"/>
      <c r="C2691" s="212"/>
      <c r="D2691" s="719" t="s">
        <v>128</v>
      </c>
      <c r="E2691" s="719"/>
      <c r="F2691" s="719"/>
      <c r="G2691" s="719"/>
      <c r="H2691" s="638">
        <f>SUMIF(F2679:F2689,"&lt;&gt;h",H2679:H2689)</f>
        <v>61.989999999999995</v>
      </c>
    </row>
    <row r="2692" spans="1:8" s="201" customFormat="1">
      <c r="A2692" s="582"/>
      <c r="B2692" s="582"/>
      <c r="C2692" s="212"/>
      <c r="D2692" s="718" t="s">
        <v>129</v>
      </c>
      <c r="E2692" s="718"/>
      <c r="F2692" s="718"/>
      <c r="G2692" s="718"/>
      <c r="H2692" s="213">
        <f>SUM(H2690:H2691)</f>
        <v>191.55</v>
      </c>
    </row>
    <row r="2693" spans="1:8" s="201" customFormat="1">
      <c r="A2693" s="582"/>
      <c r="B2693" s="582"/>
      <c r="C2693" s="212"/>
      <c r="D2693" s="719" t="s">
        <v>28</v>
      </c>
      <c r="E2693" s="719"/>
      <c r="F2693" s="719"/>
      <c r="G2693" s="719"/>
      <c r="H2693" s="639">
        <f>E2678</f>
        <v>4</v>
      </c>
    </row>
    <row r="2694" spans="1:8" s="201" customFormat="1">
      <c r="A2694" s="582"/>
      <c r="B2694" s="582"/>
      <c r="C2694" s="212"/>
      <c r="D2694" s="718" t="s">
        <v>130</v>
      </c>
      <c r="E2694" s="718"/>
      <c r="F2694" s="718"/>
      <c r="G2694" s="718"/>
      <c r="H2694" s="213">
        <f>ROUND(H2692*H2693,2)</f>
        <v>766.2</v>
      </c>
    </row>
    <row r="2695" spans="1:8" s="201" customFormat="1">
      <c r="A2695" s="582"/>
      <c r="B2695" s="582"/>
      <c r="C2695" s="212"/>
      <c r="D2695" s="719" t="s">
        <v>15559</v>
      </c>
      <c r="E2695" s="719"/>
      <c r="F2695" s="719"/>
      <c r="G2695" s="719"/>
      <c r="H2695" s="638">
        <f>ROUND(H2692*$B$13,2)</f>
        <v>51.58</v>
      </c>
    </row>
    <row r="2696" spans="1:8">
      <c r="A2696" s="582"/>
      <c r="B2696" s="582"/>
      <c r="C2696" s="212"/>
      <c r="D2696" s="718" t="s">
        <v>9661</v>
      </c>
      <c r="E2696" s="718"/>
      <c r="F2696" s="718"/>
      <c r="G2696" s="718"/>
      <c r="H2696" s="213">
        <f>H2695+H2692</f>
        <v>243.13</v>
      </c>
    </row>
    <row r="2698" spans="1:8" s="201" customFormat="1">
      <c r="A2698" s="123" t="s">
        <v>6</v>
      </c>
      <c r="B2698" s="720" t="s">
        <v>7</v>
      </c>
      <c r="C2698" s="720"/>
      <c r="D2698" s="202" t="s">
        <v>124</v>
      </c>
      <c r="E2698" s="167" t="s">
        <v>6334</v>
      </c>
      <c r="F2698" s="202" t="s">
        <v>31</v>
      </c>
      <c r="G2698" s="203" t="s">
        <v>125</v>
      </c>
      <c r="H2698" s="204" t="s">
        <v>126</v>
      </c>
    </row>
    <row r="2699" spans="1:8" s="208" customFormat="1" ht="30">
      <c r="A2699" s="581" t="str">
        <f>'Orç - Prédio'!A460</f>
        <v>06.01.306.08</v>
      </c>
      <c r="B2699" s="216" t="str">
        <f>'Orç - Prédio'!B460</f>
        <v>SINAPI ANTIGO</v>
      </c>
      <c r="C2699" s="216">
        <f>'Orç - Prédio'!C460</f>
        <v>83450</v>
      </c>
      <c r="D2699" s="217" t="s">
        <v>7264</v>
      </c>
      <c r="E2699" s="206">
        <v>2</v>
      </c>
      <c r="F2699" s="216" t="s">
        <v>6337</v>
      </c>
      <c r="G2699" s="207">
        <f>VLOOKUP("CUSTO TOTAL UNIT.:",D2700:$H$30004,5,FALSE)</f>
        <v>269.87</v>
      </c>
      <c r="H2699" s="637">
        <f>VLOOKUP("CUSTO TOTAL:",D2700:$H$30004,5,FALSE)</f>
        <v>539.74</v>
      </c>
    </row>
    <row r="2700" spans="1:8" s="124" customFormat="1">
      <c r="A2700" s="721">
        <v>39</v>
      </c>
      <c r="B2700" s="721"/>
      <c r="C2700" s="200" t="s">
        <v>5256</v>
      </c>
      <c r="D2700" s="139" t="s">
        <v>9763</v>
      </c>
      <c r="E2700" s="209">
        <v>1.26</v>
      </c>
      <c r="F2700" s="577" t="s">
        <v>49</v>
      </c>
      <c r="G2700" s="210">
        <v>3.8313000000000006</v>
      </c>
      <c r="H2700" s="211">
        <f t="shared" ref="H2700:H2710" si="80">ROUND(G2700*E2700,2)</f>
        <v>4.83</v>
      </c>
    </row>
    <row r="2701" spans="1:8" s="124" customFormat="1" ht="45">
      <c r="A2701" s="721">
        <v>367</v>
      </c>
      <c r="B2701" s="721"/>
      <c r="C2701" s="200" t="s">
        <v>5256</v>
      </c>
      <c r="D2701" s="139" t="s">
        <v>10017</v>
      </c>
      <c r="E2701" s="209">
        <v>1.242E-2</v>
      </c>
      <c r="F2701" s="577" t="s">
        <v>45</v>
      </c>
      <c r="G2701" s="210">
        <v>94.243499999999997</v>
      </c>
      <c r="H2701" s="211">
        <f t="shared" si="80"/>
        <v>1.17</v>
      </c>
    </row>
    <row r="2702" spans="1:8" s="124" customFormat="1" ht="30">
      <c r="A2702" s="721">
        <v>370</v>
      </c>
      <c r="B2702" s="721"/>
      <c r="C2702" s="200" t="s">
        <v>5256</v>
      </c>
      <c r="D2702" s="139" t="s">
        <v>10018</v>
      </c>
      <c r="E2702" s="209">
        <v>0.15</v>
      </c>
      <c r="F2702" s="577" t="s">
        <v>45</v>
      </c>
      <c r="G2702" s="210">
        <v>72.227700000000013</v>
      </c>
      <c r="H2702" s="211">
        <f t="shared" si="80"/>
        <v>10.83</v>
      </c>
    </row>
    <row r="2703" spans="1:8" s="124" customFormat="1">
      <c r="A2703" s="721">
        <v>1106</v>
      </c>
      <c r="B2703" s="721"/>
      <c r="C2703" s="200" t="s">
        <v>5256</v>
      </c>
      <c r="D2703" s="139" t="s">
        <v>10666</v>
      </c>
      <c r="E2703" s="209">
        <v>11</v>
      </c>
      <c r="F2703" s="577" t="s">
        <v>49</v>
      </c>
      <c r="G2703" s="210">
        <v>0.59940000000000004</v>
      </c>
      <c r="H2703" s="211">
        <f t="shared" si="80"/>
        <v>6.59</v>
      </c>
    </row>
    <row r="2704" spans="1:8" s="124" customFormat="1" ht="45">
      <c r="A2704" s="721">
        <v>1358</v>
      </c>
      <c r="B2704" s="721"/>
      <c r="C2704" s="200" t="s">
        <v>5256</v>
      </c>
      <c r="D2704" s="139" t="s">
        <v>10891</v>
      </c>
      <c r="E2704" s="209">
        <v>0.12</v>
      </c>
      <c r="F2704" s="577" t="s">
        <v>46</v>
      </c>
      <c r="G2704" s="210">
        <v>19.804500000000001</v>
      </c>
      <c r="H2704" s="211">
        <f t="shared" si="80"/>
        <v>2.38</v>
      </c>
    </row>
    <row r="2705" spans="1:8" s="124" customFormat="1">
      <c r="A2705" s="721">
        <v>1379</v>
      </c>
      <c r="B2705" s="721"/>
      <c r="C2705" s="200" t="s">
        <v>5256</v>
      </c>
      <c r="D2705" s="139" t="s">
        <v>10940</v>
      </c>
      <c r="E2705" s="209">
        <v>34.69</v>
      </c>
      <c r="F2705" s="577" t="s">
        <v>49</v>
      </c>
      <c r="G2705" s="210">
        <v>0.33210000000000001</v>
      </c>
      <c r="H2705" s="211">
        <f t="shared" si="80"/>
        <v>11.52</v>
      </c>
    </row>
    <row r="2706" spans="1:8" s="124" customFormat="1" ht="30">
      <c r="A2706" s="721">
        <v>4718</v>
      </c>
      <c r="B2706" s="721"/>
      <c r="C2706" s="200" t="s">
        <v>5256</v>
      </c>
      <c r="D2706" s="139" t="s">
        <v>13270</v>
      </c>
      <c r="E2706" s="209">
        <v>1.3140000000000001E-2</v>
      </c>
      <c r="F2706" s="577" t="s">
        <v>45</v>
      </c>
      <c r="G2706" s="210">
        <v>66.15270000000001</v>
      </c>
      <c r="H2706" s="211">
        <f t="shared" si="80"/>
        <v>0.87</v>
      </c>
    </row>
    <row r="2707" spans="1:8" s="124" customFormat="1" ht="30">
      <c r="A2707" s="721">
        <v>4722</v>
      </c>
      <c r="B2707" s="721"/>
      <c r="C2707" s="200" t="s">
        <v>5256</v>
      </c>
      <c r="D2707" s="139" t="s">
        <v>13271</v>
      </c>
      <c r="E2707" s="209">
        <v>1.2E-2</v>
      </c>
      <c r="F2707" s="577" t="s">
        <v>45</v>
      </c>
      <c r="G2707" s="210">
        <v>66.15270000000001</v>
      </c>
      <c r="H2707" s="211">
        <f t="shared" si="80"/>
        <v>0.79</v>
      </c>
    </row>
    <row r="2708" spans="1:8" s="124" customFormat="1">
      <c r="A2708" s="721">
        <v>7258</v>
      </c>
      <c r="B2708" s="721"/>
      <c r="C2708" s="200" t="s">
        <v>5256</v>
      </c>
      <c r="D2708" s="139" t="s">
        <v>14350</v>
      </c>
      <c r="E2708" s="209">
        <v>200</v>
      </c>
      <c r="F2708" s="577" t="s">
        <v>40</v>
      </c>
      <c r="G2708" s="210">
        <v>0.25109999999999999</v>
      </c>
      <c r="H2708" s="211">
        <f t="shared" si="80"/>
        <v>50.22</v>
      </c>
    </row>
    <row r="2709" spans="1:8" s="124" customFormat="1" ht="30">
      <c r="A2709" s="721">
        <v>88309</v>
      </c>
      <c r="B2709" s="721"/>
      <c r="C2709" s="200" t="s">
        <v>5256</v>
      </c>
      <c r="D2709" s="139" t="s">
        <v>90</v>
      </c>
      <c r="E2709" s="209">
        <v>5.01</v>
      </c>
      <c r="F2709" s="577" t="s">
        <v>67</v>
      </c>
      <c r="G2709" s="210">
        <v>15.608700000000001</v>
      </c>
      <c r="H2709" s="211">
        <f t="shared" si="80"/>
        <v>78.2</v>
      </c>
    </row>
    <row r="2710" spans="1:8" s="124" customFormat="1" ht="30">
      <c r="A2710" s="721">
        <v>88316</v>
      </c>
      <c r="B2710" s="721"/>
      <c r="C2710" s="200" t="s">
        <v>5256</v>
      </c>
      <c r="D2710" s="139" t="s">
        <v>66</v>
      </c>
      <c r="E2710" s="209">
        <v>8.81</v>
      </c>
      <c r="F2710" s="577" t="s">
        <v>67</v>
      </c>
      <c r="G2710" s="210">
        <v>11.631600000000001</v>
      </c>
      <c r="H2710" s="211">
        <f t="shared" si="80"/>
        <v>102.47</v>
      </c>
    </row>
    <row r="2711" spans="1:8" s="201" customFormat="1">
      <c r="A2711" s="582"/>
      <c r="B2711" s="582"/>
      <c r="C2711" s="212"/>
      <c r="D2711" s="719" t="s">
        <v>127</v>
      </c>
      <c r="E2711" s="719"/>
      <c r="F2711" s="719"/>
      <c r="G2711" s="719"/>
      <c r="H2711" s="638">
        <f>SUMIF(F2700:F2710,("h"),H2700:H2710)</f>
        <v>180.67000000000002</v>
      </c>
    </row>
    <row r="2712" spans="1:8" s="201" customFormat="1">
      <c r="A2712" s="582"/>
      <c r="B2712" s="582"/>
      <c r="C2712" s="212"/>
      <c r="D2712" s="719" t="s">
        <v>128</v>
      </c>
      <c r="E2712" s="719"/>
      <c r="F2712" s="719"/>
      <c r="G2712" s="719"/>
      <c r="H2712" s="638">
        <f>SUMIF(F2700:F2710,"&lt;&gt;h",H2700:H2710)</f>
        <v>89.199999999999989</v>
      </c>
    </row>
    <row r="2713" spans="1:8" s="201" customFormat="1">
      <c r="A2713" s="582"/>
      <c r="B2713" s="582"/>
      <c r="C2713" s="212"/>
      <c r="D2713" s="718" t="s">
        <v>129</v>
      </c>
      <c r="E2713" s="718"/>
      <c r="F2713" s="718"/>
      <c r="G2713" s="718"/>
      <c r="H2713" s="213">
        <f>SUM(H2711:H2712)</f>
        <v>269.87</v>
      </c>
    </row>
    <row r="2714" spans="1:8" s="201" customFormat="1">
      <c r="A2714" s="582"/>
      <c r="B2714" s="582"/>
      <c r="C2714" s="212"/>
      <c r="D2714" s="719" t="s">
        <v>28</v>
      </c>
      <c r="E2714" s="719"/>
      <c r="F2714" s="719"/>
      <c r="G2714" s="719"/>
      <c r="H2714" s="639">
        <f>E2699</f>
        <v>2</v>
      </c>
    </row>
    <row r="2715" spans="1:8" s="201" customFormat="1">
      <c r="A2715" s="582"/>
      <c r="B2715" s="582"/>
      <c r="C2715" s="212"/>
      <c r="D2715" s="718" t="s">
        <v>130</v>
      </c>
      <c r="E2715" s="718"/>
      <c r="F2715" s="718"/>
      <c r="G2715" s="718"/>
      <c r="H2715" s="213">
        <f>ROUND(H2713*H2714,2)</f>
        <v>539.74</v>
      </c>
    </row>
    <row r="2716" spans="1:8" s="201" customFormat="1">
      <c r="A2716" s="582"/>
      <c r="B2716" s="582"/>
      <c r="C2716" s="212"/>
      <c r="D2716" s="719" t="s">
        <v>15559</v>
      </c>
      <c r="E2716" s="719"/>
      <c r="F2716" s="719"/>
      <c r="G2716" s="719"/>
      <c r="H2716" s="638">
        <f>ROUND(H2713*$B$13,2)</f>
        <v>72.680000000000007</v>
      </c>
    </row>
    <row r="2717" spans="1:8">
      <c r="A2717" s="582"/>
      <c r="B2717" s="582"/>
      <c r="C2717" s="212"/>
      <c r="D2717" s="718" t="s">
        <v>9661</v>
      </c>
      <c r="E2717" s="718"/>
      <c r="F2717" s="718"/>
      <c r="G2717" s="718"/>
      <c r="H2717" s="213">
        <f>H2716+H2713</f>
        <v>342.55</v>
      </c>
    </row>
    <row r="2719" spans="1:8" s="201" customFormat="1">
      <c r="A2719" s="123" t="s">
        <v>6</v>
      </c>
      <c r="B2719" s="720" t="s">
        <v>7</v>
      </c>
      <c r="C2719" s="720"/>
      <c r="D2719" s="202" t="s">
        <v>124</v>
      </c>
      <c r="E2719" s="167" t="s">
        <v>6334</v>
      </c>
      <c r="F2719" s="202" t="s">
        <v>31</v>
      </c>
      <c r="G2719" s="203" t="s">
        <v>125</v>
      </c>
      <c r="H2719" s="204" t="s">
        <v>126</v>
      </c>
    </row>
    <row r="2720" spans="1:8" s="208" customFormat="1" ht="30">
      <c r="A2720" s="581" t="str">
        <f>'Orç - Urbanização'!A129</f>
        <v>06.01.306.10</v>
      </c>
      <c r="B2720" s="581" t="str">
        <f>'Orç - Urbanização'!B129</f>
        <v>ORSE</v>
      </c>
      <c r="C2720" s="581" t="str">
        <f>'Orç - Urbanização'!C129</f>
        <v>3233 MOD</v>
      </c>
      <c r="D2720" s="205" t="s">
        <v>9234</v>
      </c>
      <c r="E2720" s="206">
        <v>13</v>
      </c>
      <c r="F2720" s="581" t="s">
        <v>6337</v>
      </c>
      <c r="G2720" s="207">
        <f>VLOOKUP("CUSTO TOTAL UNIT.:",D2721:$H$30004,5,FALSE)</f>
        <v>279.88</v>
      </c>
      <c r="H2720" s="637">
        <f>VLOOKUP("CUSTO TOTAL:",D2721:$H$30004,5,FALSE)</f>
        <v>3638.44</v>
      </c>
    </row>
    <row r="2721" spans="1:8" s="124" customFormat="1" ht="45">
      <c r="A2721" s="721">
        <v>21071</v>
      </c>
      <c r="B2721" s="721"/>
      <c r="C2721" s="200" t="s">
        <v>5256</v>
      </c>
      <c r="D2721" s="139" t="s">
        <v>13966</v>
      </c>
      <c r="E2721" s="209">
        <v>1</v>
      </c>
      <c r="F2721" s="577" t="s">
        <v>40</v>
      </c>
      <c r="G2721" s="210">
        <v>94.680900000000008</v>
      </c>
      <c r="H2721" s="211">
        <f t="shared" ref="H2721:H2727" si="81">ROUND(G2721*E2721,2)</f>
        <v>94.68</v>
      </c>
    </row>
    <row r="2722" spans="1:8" s="124" customFormat="1" ht="75">
      <c r="A2722" s="721">
        <v>96540</v>
      </c>
      <c r="B2722" s="721"/>
      <c r="C2722" s="200" t="s">
        <v>5256</v>
      </c>
      <c r="D2722" s="139" t="s">
        <v>1869</v>
      </c>
      <c r="E2722" s="209">
        <v>0.44400000000000001</v>
      </c>
      <c r="F2722" s="577" t="s">
        <v>322</v>
      </c>
      <c r="G2722" s="210">
        <v>67.756500000000003</v>
      </c>
      <c r="H2722" s="211">
        <f t="shared" si="81"/>
        <v>30.08</v>
      </c>
    </row>
    <row r="2723" spans="1:8" s="124" customFormat="1" ht="60">
      <c r="A2723" s="721">
        <v>94969</v>
      </c>
      <c r="B2723" s="721"/>
      <c r="C2723" s="200" t="s">
        <v>5256</v>
      </c>
      <c r="D2723" s="139" t="s">
        <v>2025</v>
      </c>
      <c r="E2723" s="209">
        <v>5.7599999999999998E-2</v>
      </c>
      <c r="F2723" s="577" t="s">
        <v>1261</v>
      </c>
      <c r="G2723" s="210">
        <v>228.84119999999999</v>
      </c>
      <c r="H2723" s="211">
        <f t="shared" si="81"/>
        <v>13.18</v>
      </c>
    </row>
    <row r="2724" spans="1:8" s="124" customFormat="1" ht="45">
      <c r="A2724" s="721">
        <v>96546</v>
      </c>
      <c r="B2724" s="721"/>
      <c r="C2724" s="200" t="s">
        <v>5256</v>
      </c>
      <c r="D2724" s="139" t="s">
        <v>1975</v>
      </c>
      <c r="E2724" s="209">
        <v>1.294</v>
      </c>
      <c r="F2724" s="577" t="s">
        <v>315</v>
      </c>
      <c r="G2724" s="210">
        <v>6.4962</v>
      </c>
      <c r="H2724" s="211">
        <f t="shared" si="81"/>
        <v>8.41</v>
      </c>
    </row>
    <row r="2725" spans="1:8" s="124" customFormat="1" ht="60">
      <c r="A2725" s="721">
        <v>72131</v>
      </c>
      <c r="B2725" s="721"/>
      <c r="C2725" s="200" t="s">
        <v>5256</v>
      </c>
      <c r="D2725" s="139" t="s">
        <v>4108</v>
      </c>
      <c r="E2725" s="209">
        <v>1.2</v>
      </c>
      <c r="F2725" s="577" t="s">
        <v>322</v>
      </c>
      <c r="G2725" s="210">
        <v>92.056500000000014</v>
      </c>
      <c r="H2725" s="211">
        <f t="shared" si="81"/>
        <v>110.47</v>
      </c>
    </row>
    <row r="2726" spans="1:8" s="124" customFormat="1" ht="105">
      <c r="A2726" s="721">
        <v>87529</v>
      </c>
      <c r="B2726" s="721"/>
      <c r="C2726" s="200" t="s">
        <v>5256</v>
      </c>
      <c r="D2726" s="139" t="s">
        <v>4721</v>
      </c>
      <c r="E2726" s="209">
        <v>0.96</v>
      </c>
      <c r="F2726" s="577" t="s">
        <v>322</v>
      </c>
      <c r="G2726" s="210">
        <v>21.659400000000002</v>
      </c>
      <c r="H2726" s="211">
        <f t="shared" si="81"/>
        <v>20.79</v>
      </c>
    </row>
    <row r="2727" spans="1:8" s="124" customFormat="1" ht="75">
      <c r="A2727" s="721">
        <v>87879</v>
      </c>
      <c r="B2727" s="721"/>
      <c r="C2727" s="200" t="s">
        <v>5256</v>
      </c>
      <c r="D2727" s="139" t="s">
        <v>4657</v>
      </c>
      <c r="E2727" s="209">
        <v>0.96</v>
      </c>
      <c r="F2727" s="577" t="s">
        <v>322</v>
      </c>
      <c r="G2727" s="210">
        <v>2.3652000000000002</v>
      </c>
      <c r="H2727" s="211">
        <f t="shared" si="81"/>
        <v>2.27</v>
      </c>
    </row>
    <row r="2728" spans="1:8" s="201" customFormat="1">
      <c r="A2728" s="582"/>
      <c r="B2728" s="582"/>
      <c r="C2728" s="212"/>
      <c r="D2728" s="719" t="s">
        <v>127</v>
      </c>
      <c r="E2728" s="719"/>
      <c r="F2728" s="719"/>
      <c r="G2728" s="719"/>
      <c r="H2728" s="638">
        <f>SUMIF(F2721:F2727,("h"),H2721:H2727)</f>
        <v>0</v>
      </c>
    </row>
    <row r="2729" spans="1:8" s="201" customFormat="1">
      <c r="A2729" s="582"/>
      <c r="B2729" s="582"/>
      <c r="C2729" s="212"/>
      <c r="D2729" s="719" t="s">
        <v>128</v>
      </c>
      <c r="E2729" s="719"/>
      <c r="F2729" s="719"/>
      <c r="G2729" s="719"/>
      <c r="H2729" s="638">
        <f>SUMIF(F2721:F2727,"&lt;&gt;h",H2721:H2727)</f>
        <v>279.88</v>
      </c>
    </row>
    <row r="2730" spans="1:8" s="201" customFormat="1">
      <c r="A2730" s="582"/>
      <c r="B2730" s="582"/>
      <c r="C2730" s="212"/>
      <c r="D2730" s="718" t="s">
        <v>129</v>
      </c>
      <c r="E2730" s="718"/>
      <c r="F2730" s="718"/>
      <c r="G2730" s="718"/>
      <c r="H2730" s="213">
        <f>SUM(H2728:H2729)</f>
        <v>279.88</v>
      </c>
    </row>
    <row r="2731" spans="1:8" s="201" customFormat="1">
      <c r="A2731" s="582"/>
      <c r="B2731" s="582"/>
      <c r="C2731" s="212"/>
      <c r="D2731" s="719" t="s">
        <v>28</v>
      </c>
      <c r="E2731" s="719"/>
      <c r="F2731" s="719"/>
      <c r="G2731" s="719"/>
      <c r="H2731" s="639">
        <f>E2720</f>
        <v>13</v>
      </c>
    </row>
    <row r="2732" spans="1:8" s="201" customFormat="1">
      <c r="A2732" s="582"/>
      <c r="B2732" s="582"/>
      <c r="C2732" s="212"/>
      <c r="D2732" s="718" t="s">
        <v>130</v>
      </c>
      <c r="E2732" s="718"/>
      <c r="F2732" s="718"/>
      <c r="G2732" s="718"/>
      <c r="H2732" s="213">
        <f>ROUND(H2730*H2731,2)</f>
        <v>3638.44</v>
      </c>
    </row>
    <row r="2733" spans="1:8" s="201" customFormat="1">
      <c r="A2733" s="582"/>
      <c r="B2733" s="582"/>
      <c r="C2733" s="212"/>
      <c r="D2733" s="719" t="s">
        <v>15559</v>
      </c>
      <c r="E2733" s="719"/>
      <c r="F2733" s="719"/>
      <c r="G2733" s="719"/>
      <c r="H2733" s="638">
        <f>ROUND(H2730*$B$13,2)</f>
        <v>75.37</v>
      </c>
    </row>
    <row r="2734" spans="1:8">
      <c r="A2734" s="582"/>
      <c r="B2734" s="582"/>
      <c r="C2734" s="212"/>
      <c r="D2734" s="718" t="s">
        <v>9661</v>
      </c>
      <c r="E2734" s="718"/>
      <c r="F2734" s="718"/>
      <c r="G2734" s="718"/>
      <c r="H2734" s="213">
        <f>H2733+H2730</f>
        <v>355.25</v>
      </c>
    </row>
    <row r="2736" spans="1:8" s="201" customFormat="1">
      <c r="A2736" s="123" t="s">
        <v>6</v>
      </c>
      <c r="B2736" s="720" t="s">
        <v>7</v>
      </c>
      <c r="C2736" s="720"/>
      <c r="D2736" s="202" t="s">
        <v>124</v>
      </c>
      <c r="E2736" s="167" t="s">
        <v>6334</v>
      </c>
      <c r="F2736" s="202" t="s">
        <v>31</v>
      </c>
      <c r="G2736" s="203" t="s">
        <v>125</v>
      </c>
      <c r="H2736" s="204" t="s">
        <v>126</v>
      </c>
    </row>
    <row r="2737" spans="1:8" s="208" customFormat="1" ht="45">
      <c r="A2737" s="216" t="s">
        <v>8991</v>
      </c>
      <c r="B2737" s="216" t="str">
        <f>'Orç - Prédio'!B472</f>
        <v>ORSE</v>
      </c>
      <c r="C2737" s="216">
        <f>'Orç - Prédio'!C472</f>
        <v>452</v>
      </c>
      <c r="D2737" s="217" t="s">
        <v>8391</v>
      </c>
      <c r="E2737" s="206">
        <v>3</v>
      </c>
      <c r="F2737" s="216" t="s">
        <v>6337</v>
      </c>
      <c r="G2737" s="207">
        <f>VLOOKUP("CUSTO TOTAL UNIT.:",D2738:$H$30004,5,FALSE)</f>
        <v>83.38</v>
      </c>
      <c r="H2737" s="637">
        <f>VLOOKUP("CUSTO TOTAL:",D2738:$H$30004,5,FALSE)</f>
        <v>250.14</v>
      </c>
    </row>
    <row r="2738" spans="1:8" s="124" customFormat="1" ht="30">
      <c r="A2738" s="721">
        <v>828</v>
      </c>
      <c r="B2738" s="721"/>
      <c r="C2738" s="200" t="s">
        <v>6333</v>
      </c>
      <c r="D2738" s="139" t="s">
        <v>8992</v>
      </c>
      <c r="E2738" s="209">
        <v>1</v>
      </c>
      <c r="F2738" s="577" t="s">
        <v>31</v>
      </c>
      <c r="G2738" s="210">
        <v>55.970999999999997</v>
      </c>
      <c r="H2738" s="211">
        <f>ROUND(G2738*E2738,2)</f>
        <v>55.97</v>
      </c>
    </row>
    <row r="2739" spans="1:8" s="124" customFormat="1" ht="30">
      <c r="A2739" s="721">
        <v>88264</v>
      </c>
      <c r="B2739" s="721"/>
      <c r="C2739" s="200" t="s">
        <v>5256</v>
      </c>
      <c r="D2739" s="139" t="s">
        <v>84</v>
      </c>
      <c r="E2739" s="209">
        <v>1</v>
      </c>
      <c r="F2739" s="577" t="s">
        <v>67</v>
      </c>
      <c r="G2739" s="210">
        <v>15.778800000000002</v>
      </c>
      <c r="H2739" s="211">
        <f>ROUND(G2739*E2739,2)</f>
        <v>15.78</v>
      </c>
    </row>
    <row r="2740" spans="1:8" s="124" customFormat="1" ht="30">
      <c r="A2740" s="721">
        <v>88316</v>
      </c>
      <c r="B2740" s="721"/>
      <c r="C2740" s="200" t="s">
        <v>5256</v>
      </c>
      <c r="D2740" s="139" t="s">
        <v>66</v>
      </c>
      <c r="E2740" s="209">
        <v>1</v>
      </c>
      <c r="F2740" s="577" t="s">
        <v>67</v>
      </c>
      <c r="G2740" s="210">
        <v>11.631600000000001</v>
      </c>
      <c r="H2740" s="211">
        <f>ROUND(G2740*E2740,2)</f>
        <v>11.63</v>
      </c>
    </row>
    <row r="2741" spans="1:8" s="201" customFormat="1">
      <c r="A2741" s="582"/>
      <c r="B2741" s="582"/>
      <c r="C2741" s="212"/>
      <c r="D2741" s="719" t="s">
        <v>127</v>
      </c>
      <c r="E2741" s="719"/>
      <c r="F2741" s="719"/>
      <c r="G2741" s="719"/>
      <c r="H2741" s="638">
        <f>SUMIF(F2738:F2740,("h"),H2738:H2740)</f>
        <v>27.41</v>
      </c>
    </row>
    <row r="2742" spans="1:8" s="201" customFormat="1">
      <c r="A2742" s="582"/>
      <c r="B2742" s="582"/>
      <c r="C2742" s="212"/>
      <c r="D2742" s="719" t="s">
        <v>128</v>
      </c>
      <c r="E2742" s="719"/>
      <c r="F2742" s="719"/>
      <c r="G2742" s="719"/>
      <c r="H2742" s="638">
        <f>SUMIF(F2738:F2740,"&lt;&gt;h",H2738:H2740)</f>
        <v>55.97</v>
      </c>
    </row>
    <row r="2743" spans="1:8" s="201" customFormat="1">
      <c r="A2743" s="582"/>
      <c r="B2743" s="582"/>
      <c r="C2743" s="212"/>
      <c r="D2743" s="718" t="s">
        <v>129</v>
      </c>
      <c r="E2743" s="718"/>
      <c r="F2743" s="718"/>
      <c r="G2743" s="718"/>
      <c r="H2743" s="213">
        <f>SUM(H2741:H2742)</f>
        <v>83.38</v>
      </c>
    </row>
    <row r="2744" spans="1:8" s="201" customFormat="1">
      <c r="A2744" s="582"/>
      <c r="B2744" s="582"/>
      <c r="C2744" s="212"/>
      <c r="D2744" s="719" t="s">
        <v>28</v>
      </c>
      <c r="E2744" s="719"/>
      <c r="F2744" s="719"/>
      <c r="G2744" s="719"/>
      <c r="H2744" s="639">
        <f>E2737</f>
        <v>3</v>
      </c>
    </row>
    <row r="2745" spans="1:8" s="201" customFormat="1">
      <c r="A2745" s="582"/>
      <c r="B2745" s="582"/>
      <c r="C2745" s="212"/>
      <c r="D2745" s="718" t="s">
        <v>130</v>
      </c>
      <c r="E2745" s="718"/>
      <c r="F2745" s="718"/>
      <c r="G2745" s="718"/>
      <c r="H2745" s="213">
        <f>ROUND(H2743*H2744,2)</f>
        <v>250.14</v>
      </c>
    </row>
    <row r="2746" spans="1:8" s="201" customFormat="1">
      <c r="A2746" s="582"/>
      <c r="B2746" s="582"/>
      <c r="C2746" s="212"/>
      <c r="D2746" s="719" t="s">
        <v>15559</v>
      </c>
      <c r="E2746" s="719"/>
      <c r="F2746" s="719"/>
      <c r="G2746" s="719"/>
      <c r="H2746" s="638">
        <f>ROUND(H2743*$B$13,2)</f>
        <v>22.45</v>
      </c>
    </row>
    <row r="2747" spans="1:8">
      <c r="A2747" s="582"/>
      <c r="B2747" s="582"/>
      <c r="C2747" s="212"/>
      <c r="D2747" s="718" t="s">
        <v>9661</v>
      </c>
      <c r="E2747" s="718"/>
      <c r="F2747" s="718"/>
      <c r="G2747" s="718"/>
      <c r="H2747" s="213">
        <f>H2746+H2743</f>
        <v>105.83</v>
      </c>
    </row>
    <row r="2749" spans="1:8" s="201" customFormat="1">
      <c r="A2749" s="123" t="s">
        <v>6</v>
      </c>
      <c r="B2749" s="720" t="s">
        <v>7</v>
      </c>
      <c r="C2749" s="720"/>
      <c r="D2749" s="202" t="s">
        <v>124</v>
      </c>
      <c r="E2749" s="167" t="s">
        <v>6334</v>
      </c>
      <c r="F2749" s="202" t="s">
        <v>31</v>
      </c>
      <c r="G2749" s="203" t="s">
        <v>125</v>
      </c>
      <c r="H2749" s="204" t="s">
        <v>126</v>
      </c>
    </row>
    <row r="2750" spans="1:8" s="208" customFormat="1" ht="45">
      <c r="A2750" s="216" t="s">
        <v>8993</v>
      </c>
      <c r="B2750" s="216" t="str">
        <f>'Orç - Prédio'!B474</f>
        <v>ORSE</v>
      </c>
      <c r="C2750" s="216">
        <f>'Orç - Prédio'!C474</f>
        <v>8003</v>
      </c>
      <c r="D2750" s="217" t="s">
        <v>8392</v>
      </c>
      <c r="E2750" s="206">
        <v>2</v>
      </c>
      <c r="F2750" s="216" t="s">
        <v>6337</v>
      </c>
      <c r="G2750" s="207">
        <f>VLOOKUP("CUSTO TOTAL UNIT.:",D2751:$H$30004,5,FALSE)</f>
        <v>94.88</v>
      </c>
      <c r="H2750" s="637">
        <f>VLOOKUP("CUSTO TOTAL:",D2751:$H$30004,5,FALSE)</f>
        <v>189.76</v>
      </c>
    </row>
    <row r="2751" spans="1:8" s="124" customFormat="1" ht="30">
      <c r="A2751" s="721">
        <v>3702</v>
      </c>
      <c r="B2751" s="721"/>
      <c r="C2751" s="200" t="s">
        <v>6333</v>
      </c>
      <c r="D2751" s="139" t="s">
        <v>8393</v>
      </c>
      <c r="E2751" s="209">
        <v>1</v>
      </c>
      <c r="F2751" s="577" t="s">
        <v>31</v>
      </c>
      <c r="G2751" s="210">
        <v>67.472999999999999</v>
      </c>
      <c r="H2751" s="211">
        <f>ROUND(G2751*E2751,2)</f>
        <v>67.47</v>
      </c>
    </row>
    <row r="2752" spans="1:8" s="124" customFormat="1" ht="30">
      <c r="A2752" s="721">
        <v>88264</v>
      </c>
      <c r="B2752" s="721"/>
      <c r="C2752" s="200" t="s">
        <v>5256</v>
      </c>
      <c r="D2752" s="139" t="s">
        <v>84</v>
      </c>
      <c r="E2752" s="209">
        <v>1</v>
      </c>
      <c r="F2752" s="577" t="s">
        <v>67</v>
      </c>
      <c r="G2752" s="210">
        <v>15.778800000000002</v>
      </c>
      <c r="H2752" s="211">
        <f>ROUND(G2752*E2752,2)</f>
        <v>15.78</v>
      </c>
    </row>
    <row r="2753" spans="1:8" s="124" customFormat="1" ht="30">
      <c r="A2753" s="721">
        <v>88316</v>
      </c>
      <c r="B2753" s="721"/>
      <c r="C2753" s="200" t="s">
        <v>5256</v>
      </c>
      <c r="D2753" s="139" t="s">
        <v>66</v>
      </c>
      <c r="E2753" s="209">
        <v>1</v>
      </c>
      <c r="F2753" s="577" t="s">
        <v>67</v>
      </c>
      <c r="G2753" s="210">
        <v>11.631600000000001</v>
      </c>
      <c r="H2753" s="211">
        <f>ROUND(G2753*E2753,2)</f>
        <v>11.63</v>
      </c>
    </row>
    <row r="2754" spans="1:8" s="201" customFormat="1">
      <c r="A2754" s="582"/>
      <c r="B2754" s="582"/>
      <c r="C2754" s="212"/>
      <c r="D2754" s="719" t="s">
        <v>127</v>
      </c>
      <c r="E2754" s="719"/>
      <c r="F2754" s="719"/>
      <c r="G2754" s="719"/>
      <c r="H2754" s="638">
        <f>SUMIF(F2751:F2753,("h"),H2751:H2753)</f>
        <v>27.41</v>
      </c>
    </row>
    <row r="2755" spans="1:8" s="201" customFormat="1">
      <c r="A2755" s="582"/>
      <c r="B2755" s="582"/>
      <c r="C2755" s="212"/>
      <c r="D2755" s="719" t="s">
        <v>128</v>
      </c>
      <c r="E2755" s="719"/>
      <c r="F2755" s="719"/>
      <c r="G2755" s="719"/>
      <c r="H2755" s="638">
        <f>SUMIF(F2751:F2753,"&lt;&gt;h",H2751:H2753)</f>
        <v>67.47</v>
      </c>
    </row>
    <row r="2756" spans="1:8" s="201" customFormat="1">
      <c r="A2756" s="582"/>
      <c r="B2756" s="582"/>
      <c r="C2756" s="212"/>
      <c r="D2756" s="718" t="s">
        <v>129</v>
      </c>
      <c r="E2756" s="718"/>
      <c r="F2756" s="718"/>
      <c r="G2756" s="718"/>
      <c r="H2756" s="213">
        <f>SUM(H2754:H2755)</f>
        <v>94.88</v>
      </c>
    </row>
    <row r="2757" spans="1:8" s="201" customFormat="1">
      <c r="A2757" s="582"/>
      <c r="B2757" s="582"/>
      <c r="C2757" s="212"/>
      <c r="D2757" s="719" t="s">
        <v>28</v>
      </c>
      <c r="E2757" s="719"/>
      <c r="F2757" s="719"/>
      <c r="G2757" s="719"/>
      <c r="H2757" s="639">
        <f>E2750</f>
        <v>2</v>
      </c>
    </row>
    <row r="2758" spans="1:8" s="201" customFormat="1">
      <c r="A2758" s="582"/>
      <c r="B2758" s="582"/>
      <c r="C2758" s="212"/>
      <c r="D2758" s="718" t="s">
        <v>130</v>
      </c>
      <c r="E2758" s="718"/>
      <c r="F2758" s="718"/>
      <c r="G2758" s="718"/>
      <c r="H2758" s="213">
        <f>ROUND(H2756*H2757,2)</f>
        <v>189.76</v>
      </c>
    </row>
    <row r="2759" spans="1:8" s="201" customFormat="1">
      <c r="A2759" s="582"/>
      <c r="B2759" s="582"/>
      <c r="C2759" s="212"/>
      <c r="D2759" s="719" t="s">
        <v>15559</v>
      </c>
      <c r="E2759" s="719"/>
      <c r="F2759" s="719"/>
      <c r="G2759" s="719"/>
      <c r="H2759" s="638">
        <f>ROUND(H2756*$B$13,2)</f>
        <v>25.55</v>
      </c>
    </row>
    <row r="2760" spans="1:8">
      <c r="A2760" s="582"/>
      <c r="B2760" s="582"/>
      <c r="C2760" s="212"/>
      <c r="D2760" s="718" t="s">
        <v>9661</v>
      </c>
      <c r="E2760" s="718"/>
      <c r="F2760" s="718"/>
      <c r="G2760" s="718"/>
      <c r="H2760" s="213">
        <f>H2759+H2756</f>
        <v>120.42999999999999</v>
      </c>
    </row>
    <row r="2762" spans="1:8" s="201" customFormat="1">
      <c r="A2762" s="123" t="s">
        <v>6</v>
      </c>
      <c r="B2762" s="720" t="s">
        <v>7</v>
      </c>
      <c r="C2762" s="720"/>
      <c r="D2762" s="202" t="s">
        <v>124</v>
      </c>
      <c r="E2762" s="167" t="s">
        <v>6334</v>
      </c>
      <c r="F2762" s="202" t="s">
        <v>31</v>
      </c>
      <c r="G2762" s="203" t="s">
        <v>125</v>
      </c>
      <c r="H2762" s="204" t="s">
        <v>126</v>
      </c>
    </row>
    <row r="2763" spans="1:8" s="208" customFormat="1" ht="45">
      <c r="A2763" s="216" t="str">
        <f>'Orç - Prédio'!A476</f>
        <v>06.01.308.16</v>
      </c>
      <c r="B2763" s="216" t="str">
        <f>'Orç - Prédio'!B476</f>
        <v>ORSE</v>
      </c>
      <c r="C2763" s="216">
        <f>'Orç - Prédio'!C476</f>
        <v>11572</v>
      </c>
      <c r="D2763" s="217" t="s">
        <v>8394</v>
      </c>
      <c r="E2763" s="206">
        <v>2</v>
      </c>
      <c r="F2763" s="216" t="s">
        <v>6337</v>
      </c>
      <c r="G2763" s="207">
        <f>VLOOKUP("CUSTO TOTAL UNIT.:",D2764:$H$30004,5,FALSE)</f>
        <v>94.88</v>
      </c>
      <c r="H2763" s="637">
        <f>VLOOKUP("CUSTO TOTAL:",D2764:$H$30004,5,FALSE)</f>
        <v>189.76</v>
      </c>
    </row>
    <row r="2764" spans="1:8" s="124" customFormat="1" ht="30">
      <c r="A2764" s="721">
        <v>12480</v>
      </c>
      <c r="B2764" s="721"/>
      <c r="C2764" s="200" t="s">
        <v>6333</v>
      </c>
      <c r="D2764" s="139" t="s">
        <v>8393</v>
      </c>
      <c r="E2764" s="209">
        <v>1</v>
      </c>
      <c r="F2764" s="577" t="s">
        <v>31</v>
      </c>
      <c r="G2764" s="210">
        <v>67.472999999999999</v>
      </c>
      <c r="H2764" s="211">
        <f>ROUND(G2764*E2764,2)</f>
        <v>67.47</v>
      </c>
    </row>
    <row r="2765" spans="1:8" s="124" customFormat="1" ht="30">
      <c r="A2765" s="721">
        <v>88264</v>
      </c>
      <c r="B2765" s="721"/>
      <c r="C2765" s="200" t="s">
        <v>5256</v>
      </c>
      <c r="D2765" s="139" t="s">
        <v>84</v>
      </c>
      <c r="E2765" s="209">
        <v>1</v>
      </c>
      <c r="F2765" s="577" t="s">
        <v>67</v>
      </c>
      <c r="G2765" s="210">
        <v>15.778800000000002</v>
      </c>
      <c r="H2765" s="211">
        <f>ROUND(G2765*E2765,2)</f>
        <v>15.78</v>
      </c>
    </row>
    <row r="2766" spans="1:8" s="124" customFormat="1" ht="30">
      <c r="A2766" s="721">
        <v>88316</v>
      </c>
      <c r="B2766" s="721"/>
      <c r="C2766" s="200" t="s">
        <v>5256</v>
      </c>
      <c r="D2766" s="139" t="s">
        <v>66</v>
      </c>
      <c r="E2766" s="209">
        <v>1</v>
      </c>
      <c r="F2766" s="577" t="s">
        <v>67</v>
      </c>
      <c r="G2766" s="210">
        <v>11.631600000000001</v>
      </c>
      <c r="H2766" s="211">
        <f>ROUND(G2766*E2766,2)</f>
        <v>11.63</v>
      </c>
    </row>
    <row r="2767" spans="1:8" s="201" customFormat="1">
      <c r="A2767" s="582"/>
      <c r="B2767" s="582"/>
      <c r="C2767" s="212"/>
      <c r="D2767" s="719" t="s">
        <v>127</v>
      </c>
      <c r="E2767" s="719"/>
      <c r="F2767" s="719"/>
      <c r="G2767" s="719"/>
      <c r="H2767" s="638">
        <f>SUMIF(F2764:F2766,("h"),H2764:H2766)</f>
        <v>27.41</v>
      </c>
    </row>
    <row r="2768" spans="1:8" s="201" customFormat="1">
      <c r="A2768" s="582"/>
      <c r="B2768" s="582"/>
      <c r="C2768" s="212"/>
      <c r="D2768" s="719" t="s">
        <v>128</v>
      </c>
      <c r="E2768" s="719"/>
      <c r="F2768" s="719"/>
      <c r="G2768" s="719"/>
      <c r="H2768" s="638">
        <f>SUMIF(F2764:F2766,"&lt;&gt;h",H2764:H2766)</f>
        <v>67.47</v>
      </c>
    </row>
    <row r="2769" spans="1:8" s="201" customFormat="1">
      <c r="A2769" s="582"/>
      <c r="B2769" s="582"/>
      <c r="C2769" s="212"/>
      <c r="D2769" s="718" t="s">
        <v>129</v>
      </c>
      <c r="E2769" s="718"/>
      <c r="F2769" s="718"/>
      <c r="G2769" s="718"/>
      <c r="H2769" s="213">
        <f>SUM(H2767:H2768)</f>
        <v>94.88</v>
      </c>
    </row>
    <row r="2770" spans="1:8" s="201" customFormat="1">
      <c r="A2770" s="582"/>
      <c r="B2770" s="582"/>
      <c r="C2770" s="212"/>
      <c r="D2770" s="719" t="s">
        <v>28</v>
      </c>
      <c r="E2770" s="719"/>
      <c r="F2770" s="719"/>
      <c r="G2770" s="719"/>
      <c r="H2770" s="639">
        <f>E2763</f>
        <v>2</v>
      </c>
    </row>
    <row r="2771" spans="1:8" s="201" customFormat="1">
      <c r="A2771" s="582"/>
      <c r="B2771" s="582"/>
      <c r="C2771" s="212"/>
      <c r="D2771" s="718" t="s">
        <v>130</v>
      </c>
      <c r="E2771" s="718"/>
      <c r="F2771" s="718"/>
      <c r="G2771" s="718"/>
      <c r="H2771" s="213">
        <f>ROUND(H2769*H2770,2)</f>
        <v>189.76</v>
      </c>
    </row>
    <row r="2772" spans="1:8" s="201" customFormat="1">
      <c r="A2772" s="582"/>
      <c r="B2772" s="582"/>
      <c r="C2772" s="212"/>
      <c r="D2772" s="719" t="s">
        <v>15559</v>
      </c>
      <c r="E2772" s="719"/>
      <c r="F2772" s="719"/>
      <c r="G2772" s="719"/>
      <c r="H2772" s="638">
        <f>ROUND(H2769*$B$13,2)</f>
        <v>25.55</v>
      </c>
    </row>
    <row r="2773" spans="1:8">
      <c r="A2773" s="582"/>
      <c r="B2773" s="582"/>
      <c r="C2773" s="212"/>
      <c r="D2773" s="718" t="s">
        <v>9661</v>
      </c>
      <c r="E2773" s="718"/>
      <c r="F2773" s="718"/>
      <c r="G2773" s="718"/>
      <c r="H2773" s="213">
        <f>H2772+H2769</f>
        <v>120.42999999999999</v>
      </c>
    </row>
    <row r="2775" spans="1:8" s="201" customFormat="1">
      <c r="A2775" s="123" t="s">
        <v>6</v>
      </c>
      <c r="B2775" s="720" t="s">
        <v>7</v>
      </c>
      <c r="C2775" s="720"/>
      <c r="D2775" s="202" t="s">
        <v>124</v>
      </c>
      <c r="E2775" s="167" t="s">
        <v>6334</v>
      </c>
      <c r="F2775" s="202" t="s">
        <v>31</v>
      </c>
      <c r="G2775" s="203" t="s">
        <v>125</v>
      </c>
      <c r="H2775" s="204" t="s">
        <v>126</v>
      </c>
    </row>
    <row r="2776" spans="1:8" s="208" customFormat="1" ht="45">
      <c r="A2776" s="216" t="s">
        <v>8994</v>
      </c>
      <c r="B2776" s="216" t="str">
        <f>'Orç - Prédio'!B477</f>
        <v>ORSE</v>
      </c>
      <c r="C2776" s="216">
        <f>'Orç - Prédio'!C477</f>
        <v>8490</v>
      </c>
      <c r="D2776" s="217" t="s">
        <v>8397</v>
      </c>
      <c r="E2776" s="206">
        <v>3</v>
      </c>
      <c r="F2776" s="216" t="s">
        <v>6337</v>
      </c>
      <c r="G2776" s="207">
        <f>VLOOKUP("CUSTO TOTAL UNIT.:",D2777:$H$30004,5,FALSE)</f>
        <v>297.25</v>
      </c>
      <c r="H2776" s="637">
        <f>VLOOKUP("CUSTO TOTAL:",D2777:$H$30004,5,FALSE)</f>
        <v>891.75</v>
      </c>
    </row>
    <row r="2777" spans="1:8" s="124" customFormat="1" ht="30">
      <c r="A2777" s="721">
        <v>8830</v>
      </c>
      <c r="B2777" s="721"/>
      <c r="C2777" s="200" t="s">
        <v>6333</v>
      </c>
      <c r="D2777" s="139" t="s">
        <v>8398</v>
      </c>
      <c r="E2777" s="209">
        <v>1</v>
      </c>
      <c r="F2777" s="577" t="s">
        <v>31</v>
      </c>
      <c r="G2777" s="210">
        <v>242.43300000000002</v>
      </c>
      <c r="H2777" s="211">
        <f>ROUND(G2777*E2777,2)</f>
        <v>242.43</v>
      </c>
    </row>
    <row r="2778" spans="1:8" s="124" customFormat="1" ht="30">
      <c r="A2778" s="721">
        <v>88264</v>
      </c>
      <c r="B2778" s="721"/>
      <c r="C2778" s="200" t="s">
        <v>5256</v>
      </c>
      <c r="D2778" s="139" t="s">
        <v>84</v>
      </c>
      <c r="E2778" s="209">
        <v>2</v>
      </c>
      <c r="F2778" s="577" t="s">
        <v>67</v>
      </c>
      <c r="G2778" s="210">
        <v>15.778800000000002</v>
      </c>
      <c r="H2778" s="211">
        <f>ROUND(G2778*E2778,2)</f>
        <v>31.56</v>
      </c>
    </row>
    <row r="2779" spans="1:8" s="124" customFormat="1" ht="30">
      <c r="A2779" s="721">
        <v>88316</v>
      </c>
      <c r="B2779" s="721"/>
      <c r="C2779" s="200" t="s">
        <v>5256</v>
      </c>
      <c r="D2779" s="139" t="s">
        <v>66</v>
      </c>
      <c r="E2779" s="209">
        <v>2</v>
      </c>
      <c r="F2779" s="577" t="s">
        <v>67</v>
      </c>
      <c r="G2779" s="210">
        <v>11.631600000000001</v>
      </c>
      <c r="H2779" s="211">
        <f>ROUND(G2779*E2779,2)</f>
        <v>23.26</v>
      </c>
    </row>
    <row r="2780" spans="1:8" s="201" customFormat="1">
      <c r="A2780" s="582"/>
      <c r="B2780" s="582"/>
      <c r="C2780" s="212"/>
      <c r="D2780" s="719" t="s">
        <v>127</v>
      </c>
      <c r="E2780" s="719"/>
      <c r="F2780" s="719"/>
      <c r="G2780" s="719"/>
      <c r="H2780" s="638">
        <f>SUMIF(F2777:F2779,("h"),H2777:H2779)</f>
        <v>54.82</v>
      </c>
    </row>
    <row r="2781" spans="1:8" s="201" customFormat="1">
      <c r="A2781" s="582"/>
      <c r="B2781" s="582"/>
      <c r="C2781" s="212"/>
      <c r="D2781" s="719" t="s">
        <v>128</v>
      </c>
      <c r="E2781" s="719"/>
      <c r="F2781" s="719"/>
      <c r="G2781" s="719"/>
      <c r="H2781" s="638">
        <f>SUMIF(F2777:F2779,"&lt;&gt;h",H2777:H2779)</f>
        <v>242.43</v>
      </c>
    </row>
    <row r="2782" spans="1:8" s="201" customFormat="1">
      <c r="A2782" s="582"/>
      <c r="B2782" s="582"/>
      <c r="C2782" s="212"/>
      <c r="D2782" s="718" t="s">
        <v>129</v>
      </c>
      <c r="E2782" s="718"/>
      <c r="F2782" s="718"/>
      <c r="G2782" s="718"/>
      <c r="H2782" s="213">
        <f>SUM(H2780:H2781)</f>
        <v>297.25</v>
      </c>
    </row>
    <row r="2783" spans="1:8" s="201" customFormat="1">
      <c r="A2783" s="582"/>
      <c r="B2783" s="582"/>
      <c r="C2783" s="212"/>
      <c r="D2783" s="719" t="s">
        <v>28</v>
      </c>
      <c r="E2783" s="719"/>
      <c r="F2783" s="719"/>
      <c r="G2783" s="719"/>
      <c r="H2783" s="639">
        <f>E2776</f>
        <v>3</v>
      </c>
    </row>
    <row r="2784" spans="1:8" s="201" customFormat="1">
      <c r="A2784" s="582"/>
      <c r="B2784" s="582"/>
      <c r="C2784" s="212"/>
      <c r="D2784" s="718" t="s">
        <v>130</v>
      </c>
      <c r="E2784" s="718"/>
      <c r="F2784" s="718"/>
      <c r="G2784" s="718"/>
      <c r="H2784" s="213">
        <f>ROUND(H2782*H2783,2)</f>
        <v>891.75</v>
      </c>
    </row>
    <row r="2785" spans="1:8" s="201" customFormat="1">
      <c r="A2785" s="582"/>
      <c r="B2785" s="582"/>
      <c r="C2785" s="212"/>
      <c r="D2785" s="719" t="s">
        <v>15559</v>
      </c>
      <c r="E2785" s="719"/>
      <c r="F2785" s="719"/>
      <c r="G2785" s="719"/>
      <c r="H2785" s="638">
        <f>ROUND(H2782*$B$13,2)</f>
        <v>80.05</v>
      </c>
    </row>
    <row r="2786" spans="1:8">
      <c r="A2786" s="582"/>
      <c r="B2786" s="582"/>
      <c r="C2786" s="212"/>
      <c r="D2786" s="718" t="s">
        <v>9661</v>
      </c>
      <c r="E2786" s="718"/>
      <c r="F2786" s="718"/>
      <c r="G2786" s="718"/>
      <c r="H2786" s="213">
        <f>H2785+H2782</f>
        <v>377.3</v>
      </c>
    </row>
    <row r="2788" spans="1:8" s="201" customFormat="1">
      <c r="A2788" s="123" t="s">
        <v>6</v>
      </c>
      <c r="B2788" s="720" t="s">
        <v>7</v>
      </c>
      <c r="C2788" s="720"/>
      <c r="D2788" s="202" t="s">
        <v>124</v>
      </c>
      <c r="E2788" s="167" t="s">
        <v>6334</v>
      </c>
      <c r="F2788" s="202" t="s">
        <v>31</v>
      </c>
      <c r="G2788" s="203" t="s">
        <v>125</v>
      </c>
      <c r="H2788" s="204" t="s">
        <v>126</v>
      </c>
    </row>
    <row r="2789" spans="1:8" s="208" customFormat="1" ht="45">
      <c r="A2789" s="216" t="str">
        <f>'Orç - Prédio'!A479</f>
        <v>06.01.308.19</v>
      </c>
      <c r="B2789" s="216" t="str">
        <f>'Orç - Prédio'!B479</f>
        <v>ORSE</v>
      </c>
      <c r="C2789" s="216">
        <f>'Orç - Prédio'!C479</f>
        <v>453</v>
      </c>
      <c r="D2789" s="217" t="s">
        <v>8399</v>
      </c>
      <c r="E2789" s="206">
        <v>1</v>
      </c>
      <c r="F2789" s="216" t="s">
        <v>6337</v>
      </c>
      <c r="G2789" s="207">
        <f>VLOOKUP("CUSTO TOTAL UNIT.:",D2790:$H$30004,5,FALSE)</f>
        <v>345.04</v>
      </c>
      <c r="H2789" s="637">
        <f>VLOOKUP("CUSTO TOTAL:",D2790:$H$30004,5,FALSE)</f>
        <v>345.04</v>
      </c>
    </row>
    <row r="2790" spans="1:8" s="124" customFormat="1" ht="30">
      <c r="A2790" s="721">
        <v>829</v>
      </c>
      <c r="B2790" s="721"/>
      <c r="C2790" s="200" t="s">
        <v>6333</v>
      </c>
      <c r="D2790" s="139" t="s">
        <v>8398</v>
      </c>
      <c r="E2790" s="209">
        <v>1</v>
      </c>
      <c r="F2790" s="577" t="s">
        <v>31</v>
      </c>
      <c r="G2790" s="210">
        <v>290.22300000000001</v>
      </c>
      <c r="H2790" s="211">
        <f>ROUND(G2790*E2790,2)</f>
        <v>290.22000000000003</v>
      </c>
    </row>
    <row r="2791" spans="1:8" s="124" customFormat="1" ht="30">
      <c r="A2791" s="721">
        <v>88264</v>
      </c>
      <c r="B2791" s="721"/>
      <c r="C2791" s="200" t="s">
        <v>5256</v>
      </c>
      <c r="D2791" s="139" t="s">
        <v>84</v>
      </c>
      <c r="E2791" s="209">
        <v>2</v>
      </c>
      <c r="F2791" s="577" t="s">
        <v>67</v>
      </c>
      <c r="G2791" s="210">
        <v>15.778800000000002</v>
      </c>
      <c r="H2791" s="211">
        <f>ROUND(G2791*E2791,2)</f>
        <v>31.56</v>
      </c>
    </row>
    <row r="2792" spans="1:8" s="124" customFormat="1" ht="30">
      <c r="A2792" s="721">
        <v>88316</v>
      </c>
      <c r="B2792" s="721"/>
      <c r="C2792" s="200" t="s">
        <v>5256</v>
      </c>
      <c r="D2792" s="139" t="s">
        <v>66</v>
      </c>
      <c r="E2792" s="209">
        <v>2</v>
      </c>
      <c r="F2792" s="577" t="s">
        <v>67</v>
      </c>
      <c r="G2792" s="210">
        <v>11.631600000000001</v>
      </c>
      <c r="H2792" s="211">
        <f>ROUND(G2792*E2792,2)</f>
        <v>23.26</v>
      </c>
    </row>
    <row r="2793" spans="1:8" s="201" customFormat="1">
      <c r="A2793" s="582"/>
      <c r="B2793" s="582"/>
      <c r="C2793" s="212"/>
      <c r="D2793" s="719" t="s">
        <v>127</v>
      </c>
      <c r="E2793" s="719"/>
      <c r="F2793" s="719"/>
      <c r="G2793" s="719"/>
      <c r="H2793" s="638">
        <f>SUMIF(F2790:F2792,("h"),H2790:H2792)</f>
        <v>54.82</v>
      </c>
    </row>
    <row r="2794" spans="1:8" s="201" customFormat="1">
      <c r="A2794" s="582"/>
      <c r="B2794" s="582"/>
      <c r="C2794" s="212"/>
      <c r="D2794" s="719" t="s">
        <v>128</v>
      </c>
      <c r="E2794" s="719"/>
      <c r="F2794" s="719"/>
      <c r="G2794" s="719"/>
      <c r="H2794" s="638">
        <f>SUMIF(F2790:F2792,"&lt;&gt;h",H2790:H2792)</f>
        <v>290.22000000000003</v>
      </c>
    </row>
    <row r="2795" spans="1:8" s="201" customFormat="1">
      <c r="A2795" s="582"/>
      <c r="B2795" s="582"/>
      <c r="C2795" s="212"/>
      <c r="D2795" s="718" t="s">
        <v>129</v>
      </c>
      <c r="E2795" s="718"/>
      <c r="F2795" s="718"/>
      <c r="G2795" s="718"/>
      <c r="H2795" s="213">
        <f>SUM(H2793:H2794)</f>
        <v>345.04</v>
      </c>
    </row>
    <row r="2796" spans="1:8" s="201" customFormat="1">
      <c r="A2796" s="582"/>
      <c r="B2796" s="582"/>
      <c r="C2796" s="212"/>
      <c r="D2796" s="719" t="s">
        <v>28</v>
      </c>
      <c r="E2796" s="719"/>
      <c r="F2796" s="719"/>
      <c r="G2796" s="719"/>
      <c r="H2796" s="639">
        <f>E2789</f>
        <v>1</v>
      </c>
    </row>
    <row r="2797" spans="1:8" s="201" customFormat="1">
      <c r="A2797" s="582"/>
      <c r="B2797" s="582"/>
      <c r="C2797" s="212"/>
      <c r="D2797" s="718" t="s">
        <v>130</v>
      </c>
      <c r="E2797" s="718"/>
      <c r="F2797" s="718"/>
      <c r="G2797" s="718"/>
      <c r="H2797" s="213">
        <f>ROUND(H2795*H2796,2)</f>
        <v>345.04</v>
      </c>
    </row>
    <row r="2798" spans="1:8" s="201" customFormat="1">
      <c r="A2798" s="582"/>
      <c r="B2798" s="582"/>
      <c r="C2798" s="212"/>
      <c r="D2798" s="719" t="s">
        <v>15559</v>
      </c>
      <c r="E2798" s="719"/>
      <c r="F2798" s="719"/>
      <c r="G2798" s="719"/>
      <c r="H2798" s="638">
        <f>ROUND(H2795*$B$13,2)</f>
        <v>92.92</v>
      </c>
    </row>
    <row r="2799" spans="1:8">
      <c r="A2799" s="582"/>
      <c r="B2799" s="582"/>
      <c r="C2799" s="212"/>
      <c r="D2799" s="718" t="s">
        <v>9661</v>
      </c>
      <c r="E2799" s="718"/>
      <c r="F2799" s="718"/>
      <c r="G2799" s="718"/>
      <c r="H2799" s="213">
        <f>H2798+H2795</f>
        <v>437.96000000000004</v>
      </c>
    </row>
    <row r="2801" spans="1:8" s="201" customFormat="1">
      <c r="A2801" s="123" t="s">
        <v>6</v>
      </c>
      <c r="B2801" s="720" t="s">
        <v>7</v>
      </c>
      <c r="C2801" s="720"/>
      <c r="D2801" s="202" t="s">
        <v>124</v>
      </c>
      <c r="E2801" s="167" t="s">
        <v>6334</v>
      </c>
      <c r="F2801" s="202" t="s">
        <v>31</v>
      </c>
      <c r="G2801" s="203" t="s">
        <v>125</v>
      </c>
      <c r="H2801" s="204" t="s">
        <v>126</v>
      </c>
    </row>
    <row r="2802" spans="1:8" s="208" customFormat="1" ht="30">
      <c r="A2802" s="216" t="str">
        <f>'Orç - Prédio'!A480</f>
        <v>06.01.308.20</v>
      </c>
      <c r="B2802" s="216" t="str">
        <f>'Orç - Prédio'!B480</f>
        <v>ORSE</v>
      </c>
      <c r="C2802" s="216">
        <f>'Orç - Prédio'!C480</f>
        <v>8078</v>
      </c>
      <c r="D2802" s="217" t="s">
        <v>8400</v>
      </c>
      <c r="E2802" s="206">
        <v>3</v>
      </c>
      <c r="F2802" s="216" t="s">
        <v>6337</v>
      </c>
      <c r="G2802" s="207">
        <f>VLOOKUP("CUSTO TOTAL UNIT.:",D2803:$H$30004,5,FALSE)</f>
        <v>362.62</v>
      </c>
      <c r="H2802" s="637">
        <f>VLOOKUP("CUSTO TOTAL:",D2803:$H$30004,5,FALSE)</f>
        <v>1087.8599999999999</v>
      </c>
    </row>
    <row r="2803" spans="1:8" s="124" customFormat="1" ht="45">
      <c r="A2803" s="721">
        <v>3609</v>
      </c>
      <c r="B2803" s="721"/>
      <c r="C2803" s="200" t="s">
        <v>6333</v>
      </c>
      <c r="D2803" s="139" t="s">
        <v>8404</v>
      </c>
      <c r="E2803" s="209">
        <v>1</v>
      </c>
      <c r="F2803" s="577" t="s">
        <v>31</v>
      </c>
      <c r="G2803" s="210">
        <v>307.8</v>
      </c>
      <c r="H2803" s="211">
        <f>ROUND(G2803*E2803,2)</f>
        <v>307.8</v>
      </c>
    </row>
    <row r="2804" spans="1:8" s="124" customFormat="1" ht="30">
      <c r="A2804" s="721">
        <v>88264</v>
      </c>
      <c r="B2804" s="721"/>
      <c r="C2804" s="200" t="s">
        <v>5256</v>
      </c>
      <c r="D2804" s="139" t="s">
        <v>84</v>
      </c>
      <c r="E2804" s="209">
        <v>2</v>
      </c>
      <c r="F2804" s="577" t="s">
        <v>67</v>
      </c>
      <c r="G2804" s="210">
        <v>15.778800000000002</v>
      </c>
      <c r="H2804" s="211">
        <f>ROUND(G2804*E2804,2)</f>
        <v>31.56</v>
      </c>
    </row>
    <row r="2805" spans="1:8" s="124" customFormat="1" ht="30">
      <c r="A2805" s="721">
        <v>88316</v>
      </c>
      <c r="B2805" s="721"/>
      <c r="C2805" s="200" t="s">
        <v>5256</v>
      </c>
      <c r="D2805" s="139" t="s">
        <v>66</v>
      </c>
      <c r="E2805" s="209">
        <v>2</v>
      </c>
      <c r="F2805" s="577" t="s">
        <v>67</v>
      </c>
      <c r="G2805" s="210">
        <v>11.631600000000001</v>
      </c>
      <c r="H2805" s="211">
        <f>ROUND(G2805*E2805,2)</f>
        <v>23.26</v>
      </c>
    </row>
    <row r="2806" spans="1:8" s="201" customFormat="1">
      <c r="A2806" s="582"/>
      <c r="B2806" s="582"/>
      <c r="C2806" s="212"/>
      <c r="D2806" s="719" t="s">
        <v>127</v>
      </c>
      <c r="E2806" s="719"/>
      <c r="F2806" s="719"/>
      <c r="G2806" s="719"/>
      <c r="H2806" s="638">
        <f>SUMIF(F2803:F2805,("h"),H2803:H2805)</f>
        <v>54.82</v>
      </c>
    </row>
    <row r="2807" spans="1:8" s="201" customFormat="1">
      <c r="A2807" s="582"/>
      <c r="B2807" s="582"/>
      <c r="C2807" s="212"/>
      <c r="D2807" s="719" t="s">
        <v>128</v>
      </c>
      <c r="E2807" s="719"/>
      <c r="F2807" s="719"/>
      <c r="G2807" s="719"/>
      <c r="H2807" s="638">
        <f>SUMIF(F2803:F2805,"&lt;&gt;h",H2803:H2805)</f>
        <v>307.8</v>
      </c>
    </row>
    <row r="2808" spans="1:8" s="201" customFormat="1">
      <c r="A2808" s="582"/>
      <c r="B2808" s="582"/>
      <c r="C2808" s="212"/>
      <c r="D2808" s="718" t="s">
        <v>129</v>
      </c>
      <c r="E2808" s="718"/>
      <c r="F2808" s="718"/>
      <c r="G2808" s="718"/>
      <c r="H2808" s="213">
        <f>SUM(H2806:H2807)</f>
        <v>362.62</v>
      </c>
    </row>
    <row r="2809" spans="1:8" s="201" customFormat="1">
      <c r="A2809" s="582"/>
      <c r="B2809" s="582"/>
      <c r="C2809" s="212"/>
      <c r="D2809" s="719" t="s">
        <v>28</v>
      </c>
      <c r="E2809" s="719"/>
      <c r="F2809" s="719"/>
      <c r="G2809" s="719"/>
      <c r="H2809" s="639">
        <f>E2802</f>
        <v>3</v>
      </c>
    </row>
    <row r="2810" spans="1:8" s="201" customFormat="1">
      <c r="A2810" s="582"/>
      <c r="B2810" s="582"/>
      <c r="C2810" s="212"/>
      <c r="D2810" s="718" t="s">
        <v>130</v>
      </c>
      <c r="E2810" s="718"/>
      <c r="F2810" s="718"/>
      <c r="G2810" s="718"/>
      <c r="H2810" s="213">
        <f>ROUND(H2808*H2809,2)</f>
        <v>1087.8599999999999</v>
      </c>
    </row>
    <row r="2811" spans="1:8" s="201" customFormat="1">
      <c r="A2811" s="582"/>
      <c r="B2811" s="582"/>
      <c r="C2811" s="212"/>
      <c r="D2811" s="719" t="s">
        <v>15559</v>
      </c>
      <c r="E2811" s="719"/>
      <c r="F2811" s="719"/>
      <c r="G2811" s="719"/>
      <c r="H2811" s="638">
        <f>ROUND(H2808*$B$13,2)</f>
        <v>97.65</v>
      </c>
    </row>
    <row r="2812" spans="1:8">
      <c r="A2812" s="582"/>
      <c r="B2812" s="582"/>
      <c r="C2812" s="212"/>
      <c r="D2812" s="718" t="s">
        <v>9661</v>
      </c>
      <c r="E2812" s="718"/>
      <c r="F2812" s="718"/>
      <c r="G2812" s="718"/>
      <c r="H2812" s="213">
        <f>H2811+H2808</f>
        <v>460.27</v>
      </c>
    </row>
    <row r="2814" spans="1:8" s="201" customFormat="1">
      <c r="A2814" s="123" t="s">
        <v>6</v>
      </c>
      <c r="B2814" s="720" t="s">
        <v>7</v>
      </c>
      <c r="C2814" s="720"/>
      <c r="D2814" s="202" t="s">
        <v>124</v>
      </c>
      <c r="E2814" s="167" t="s">
        <v>6334</v>
      </c>
      <c r="F2814" s="202" t="s">
        <v>31</v>
      </c>
      <c r="G2814" s="203" t="s">
        <v>125</v>
      </c>
      <c r="H2814" s="204" t="s">
        <v>126</v>
      </c>
    </row>
    <row r="2815" spans="1:8" s="208" customFormat="1" ht="45">
      <c r="A2815" s="216" t="str">
        <f>'Orç - Prédio'!A481</f>
        <v>06.01.308.21</v>
      </c>
      <c r="B2815" s="216" t="str">
        <f>'Orç - Prédio'!B481</f>
        <v>ORSE</v>
      </c>
      <c r="C2815" s="216">
        <f>'Orç - Prédio'!C481</f>
        <v>11561</v>
      </c>
      <c r="D2815" s="217" t="s">
        <v>8401</v>
      </c>
      <c r="E2815" s="206">
        <v>1</v>
      </c>
      <c r="F2815" s="216" t="s">
        <v>6337</v>
      </c>
      <c r="G2815" s="207">
        <f>VLOOKUP("CUSTO TOTAL UNIT.:",D2816:$H$30004,5,FALSE)</f>
        <v>439.55</v>
      </c>
      <c r="H2815" s="637">
        <f>VLOOKUP("CUSTO TOTAL:",D2816:$H$30004,5,FALSE)</f>
        <v>439.55</v>
      </c>
    </row>
    <row r="2816" spans="1:8" s="124" customFormat="1" ht="45">
      <c r="A2816" s="721">
        <v>3608</v>
      </c>
      <c r="B2816" s="721"/>
      <c r="C2816" s="200" t="s">
        <v>6333</v>
      </c>
      <c r="D2816" s="139" t="s">
        <v>8402</v>
      </c>
      <c r="E2816" s="209">
        <v>1</v>
      </c>
      <c r="F2816" s="577" t="s">
        <v>31</v>
      </c>
      <c r="G2816" s="210">
        <v>384.73380000000003</v>
      </c>
      <c r="H2816" s="211">
        <f>ROUND(G2816*E2816,2)</f>
        <v>384.73</v>
      </c>
    </row>
    <row r="2817" spans="1:8" s="124" customFormat="1" ht="30">
      <c r="A2817" s="721">
        <v>88264</v>
      </c>
      <c r="B2817" s="721"/>
      <c r="C2817" s="200" t="s">
        <v>5256</v>
      </c>
      <c r="D2817" s="139" t="s">
        <v>84</v>
      </c>
      <c r="E2817" s="209">
        <v>2</v>
      </c>
      <c r="F2817" s="577" t="s">
        <v>67</v>
      </c>
      <c r="G2817" s="210">
        <v>15.778800000000002</v>
      </c>
      <c r="H2817" s="211">
        <f>ROUND(G2817*E2817,2)</f>
        <v>31.56</v>
      </c>
    </row>
    <row r="2818" spans="1:8" s="124" customFormat="1" ht="30">
      <c r="A2818" s="721">
        <v>88316</v>
      </c>
      <c r="B2818" s="721"/>
      <c r="C2818" s="200" t="s">
        <v>5256</v>
      </c>
      <c r="D2818" s="139" t="s">
        <v>66</v>
      </c>
      <c r="E2818" s="209">
        <v>2</v>
      </c>
      <c r="F2818" s="577" t="s">
        <v>67</v>
      </c>
      <c r="G2818" s="210">
        <v>11.631600000000001</v>
      </c>
      <c r="H2818" s="211">
        <f>ROUND(G2818*E2818,2)</f>
        <v>23.26</v>
      </c>
    </row>
    <row r="2819" spans="1:8" s="201" customFormat="1">
      <c r="A2819" s="582"/>
      <c r="B2819" s="582"/>
      <c r="C2819" s="212"/>
      <c r="D2819" s="719" t="s">
        <v>127</v>
      </c>
      <c r="E2819" s="719"/>
      <c r="F2819" s="719"/>
      <c r="G2819" s="719"/>
      <c r="H2819" s="638">
        <f>SUMIF(F2816:F2818,("h"),H2816:H2818)</f>
        <v>54.82</v>
      </c>
    </row>
    <row r="2820" spans="1:8" s="201" customFormat="1">
      <c r="A2820" s="582"/>
      <c r="B2820" s="582"/>
      <c r="C2820" s="212"/>
      <c r="D2820" s="719" t="s">
        <v>128</v>
      </c>
      <c r="E2820" s="719"/>
      <c r="F2820" s="719"/>
      <c r="G2820" s="719"/>
      <c r="H2820" s="638">
        <f>SUMIF(F2816:F2818,"&lt;&gt;h",H2816:H2818)</f>
        <v>384.73</v>
      </c>
    </row>
    <row r="2821" spans="1:8" s="201" customFormat="1">
      <c r="A2821" s="582"/>
      <c r="B2821" s="582"/>
      <c r="C2821" s="212"/>
      <c r="D2821" s="718" t="s">
        <v>129</v>
      </c>
      <c r="E2821" s="718"/>
      <c r="F2821" s="718"/>
      <c r="G2821" s="718"/>
      <c r="H2821" s="213">
        <f>SUM(H2819:H2820)</f>
        <v>439.55</v>
      </c>
    </row>
    <row r="2822" spans="1:8" s="201" customFormat="1">
      <c r="A2822" s="582"/>
      <c r="B2822" s="582"/>
      <c r="C2822" s="212"/>
      <c r="D2822" s="719" t="s">
        <v>28</v>
      </c>
      <c r="E2822" s="719"/>
      <c r="F2822" s="719"/>
      <c r="G2822" s="719"/>
      <c r="H2822" s="639">
        <f>E2815</f>
        <v>1</v>
      </c>
    </row>
    <row r="2823" spans="1:8" s="201" customFormat="1">
      <c r="A2823" s="582"/>
      <c r="B2823" s="582"/>
      <c r="C2823" s="212"/>
      <c r="D2823" s="718" t="s">
        <v>130</v>
      </c>
      <c r="E2823" s="718"/>
      <c r="F2823" s="718"/>
      <c r="G2823" s="718"/>
      <c r="H2823" s="213">
        <f>ROUND(H2821*H2822,2)</f>
        <v>439.55</v>
      </c>
    </row>
    <row r="2824" spans="1:8" s="201" customFormat="1">
      <c r="A2824" s="582"/>
      <c r="B2824" s="582"/>
      <c r="C2824" s="212"/>
      <c r="D2824" s="719" t="s">
        <v>15559</v>
      </c>
      <c r="E2824" s="719"/>
      <c r="F2824" s="719"/>
      <c r="G2824" s="719"/>
      <c r="H2824" s="638">
        <f>ROUND(H2821*$B$13,2)</f>
        <v>118.37</v>
      </c>
    </row>
    <row r="2825" spans="1:8">
      <c r="A2825" s="582"/>
      <c r="B2825" s="582"/>
      <c r="C2825" s="212"/>
      <c r="D2825" s="718" t="s">
        <v>9661</v>
      </c>
      <c r="E2825" s="718"/>
      <c r="F2825" s="718"/>
      <c r="G2825" s="718"/>
      <c r="H2825" s="213">
        <f>H2824+H2821</f>
        <v>557.92000000000007</v>
      </c>
    </row>
    <row r="2827" spans="1:8" s="201" customFormat="1">
      <c r="A2827" s="123" t="s">
        <v>6</v>
      </c>
      <c r="B2827" s="720" t="s">
        <v>7</v>
      </c>
      <c r="C2827" s="720"/>
      <c r="D2827" s="202" t="s">
        <v>124</v>
      </c>
      <c r="E2827" s="167" t="s">
        <v>6334</v>
      </c>
      <c r="F2827" s="202" t="s">
        <v>31</v>
      </c>
      <c r="G2827" s="203" t="s">
        <v>125</v>
      </c>
      <c r="H2827" s="204" t="s">
        <v>126</v>
      </c>
    </row>
    <row r="2828" spans="1:8" s="208" customFormat="1" ht="30">
      <c r="A2828" s="216" t="str">
        <f>'Orç - Prédio'!A482</f>
        <v>06.01.308.22</v>
      </c>
      <c r="B2828" s="216" t="str">
        <f>'Orç - Prédio'!B482</f>
        <v>ORSE</v>
      </c>
      <c r="C2828" s="216">
        <f>'Orç - Prédio'!C482</f>
        <v>8420</v>
      </c>
      <c r="D2828" s="217" t="s">
        <v>8403</v>
      </c>
      <c r="E2828" s="206">
        <v>2</v>
      </c>
      <c r="F2828" s="216" t="s">
        <v>6337</v>
      </c>
      <c r="G2828" s="207">
        <f>VLOOKUP("CUSTO TOTAL UNIT.:",D2829:$H$30004,5,FALSE)</f>
        <v>378.28</v>
      </c>
      <c r="H2828" s="637">
        <f>VLOOKUP("CUSTO TOTAL:",D2829:$H$30004,5,FALSE)</f>
        <v>756.56</v>
      </c>
    </row>
    <row r="2829" spans="1:8" s="124" customFormat="1" ht="45">
      <c r="A2829" s="721">
        <v>3704</v>
      </c>
      <c r="B2829" s="721"/>
      <c r="C2829" s="200" t="s">
        <v>6333</v>
      </c>
      <c r="D2829" s="139" t="s">
        <v>15400</v>
      </c>
      <c r="E2829" s="209">
        <v>1</v>
      </c>
      <c r="F2829" s="577" t="s">
        <v>31</v>
      </c>
      <c r="G2829" s="210">
        <v>323.45730000000003</v>
      </c>
      <c r="H2829" s="211">
        <f>ROUND(G2829*E2829,2)</f>
        <v>323.45999999999998</v>
      </c>
    </row>
    <row r="2830" spans="1:8" s="124" customFormat="1" ht="30">
      <c r="A2830" s="721">
        <v>88264</v>
      </c>
      <c r="B2830" s="721"/>
      <c r="C2830" s="200" t="s">
        <v>5256</v>
      </c>
      <c r="D2830" s="139" t="s">
        <v>84</v>
      </c>
      <c r="E2830" s="209">
        <v>2</v>
      </c>
      <c r="F2830" s="577" t="s">
        <v>67</v>
      </c>
      <c r="G2830" s="210">
        <v>15.778800000000002</v>
      </c>
      <c r="H2830" s="211">
        <f>ROUND(G2830*E2830,2)</f>
        <v>31.56</v>
      </c>
    </row>
    <row r="2831" spans="1:8" s="124" customFormat="1" ht="30">
      <c r="A2831" s="721">
        <v>88316</v>
      </c>
      <c r="B2831" s="721"/>
      <c r="C2831" s="200" t="s">
        <v>5256</v>
      </c>
      <c r="D2831" s="139" t="s">
        <v>66</v>
      </c>
      <c r="E2831" s="209">
        <v>2</v>
      </c>
      <c r="F2831" s="577" t="s">
        <v>67</v>
      </c>
      <c r="G2831" s="210">
        <v>11.631600000000001</v>
      </c>
      <c r="H2831" s="211">
        <f>ROUND(G2831*E2831,2)</f>
        <v>23.26</v>
      </c>
    </row>
    <row r="2832" spans="1:8" s="201" customFormat="1">
      <c r="A2832" s="582"/>
      <c r="B2832" s="582"/>
      <c r="C2832" s="212"/>
      <c r="D2832" s="719" t="s">
        <v>127</v>
      </c>
      <c r="E2832" s="719"/>
      <c r="F2832" s="719"/>
      <c r="G2832" s="719"/>
      <c r="H2832" s="638">
        <f>SUMIF(F2829:F2831,("h"),H2829:H2831)</f>
        <v>54.82</v>
      </c>
    </row>
    <row r="2833" spans="1:8" s="201" customFormat="1">
      <c r="A2833" s="582"/>
      <c r="B2833" s="582"/>
      <c r="C2833" s="212"/>
      <c r="D2833" s="719" t="s">
        <v>128</v>
      </c>
      <c r="E2833" s="719"/>
      <c r="F2833" s="719"/>
      <c r="G2833" s="719"/>
      <c r="H2833" s="638">
        <f>SUMIF(F2829:F2831,"&lt;&gt;h",H2829:H2831)</f>
        <v>323.45999999999998</v>
      </c>
    </row>
    <row r="2834" spans="1:8" s="201" customFormat="1">
      <c r="A2834" s="582"/>
      <c r="B2834" s="582"/>
      <c r="C2834" s="212"/>
      <c r="D2834" s="718" t="s">
        <v>129</v>
      </c>
      <c r="E2834" s="718"/>
      <c r="F2834" s="718"/>
      <c r="G2834" s="718"/>
      <c r="H2834" s="213">
        <f>SUM(H2832:H2833)</f>
        <v>378.28</v>
      </c>
    </row>
    <row r="2835" spans="1:8" s="201" customFormat="1">
      <c r="A2835" s="582"/>
      <c r="B2835" s="582"/>
      <c r="C2835" s="212"/>
      <c r="D2835" s="719" t="s">
        <v>28</v>
      </c>
      <c r="E2835" s="719"/>
      <c r="F2835" s="719"/>
      <c r="G2835" s="719"/>
      <c r="H2835" s="639">
        <f>E2828</f>
        <v>2</v>
      </c>
    </row>
    <row r="2836" spans="1:8" s="201" customFormat="1">
      <c r="A2836" s="582"/>
      <c r="B2836" s="582"/>
      <c r="C2836" s="212"/>
      <c r="D2836" s="718" t="s">
        <v>130</v>
      </c>
      <c r="E2836" s="718"/>
      <c r="F2836" s="718"/>
      <c r="G2836" s="718"/>
      <c r="H2836" s="213">
        <f>ROUND(H2834*H2835,2)</f>
        <v>756.56</v>
      </c>
    </row>
    <row r="2837" spans="1:8" s="201" customFormat="1">
      <c r="A2837" s="582"/>
      <c r="B2837" s="582"/>
      <c r="C2837" s="212"/>
      <c r="D2837" s="719" t="s">
        <v>15559</v>
      </c>
      <c r="E2837" s="719"/>
      <c r="F2837" s="719"/>
      <c r="G2837" s="719"/>
      <c r="H2837" s="638">
        <f>ROUND(H2834*$B$13,2)</f>
        <v>101.87</v>
      </c>
    </row>
    <row r="2838" spans="1:8">
      <c r="A2838" s="582"/>
      <c r="B2838" s="582"/>
      <c r="C2838" s="212"/>
      <c r="D2838" s="718" t="s">
        <v>9661</v>
      </c>
      <c r="E2838" s="718"/>
      <c r="F2838" s="718"/>
      <c r="G2838" s="718"/>
      <c r="H2838" s="213">
        <f>H2837+H2834</f>
        <v>480.15</v>
      </c>
    </row>
    <row r="2840" spans="1:8" s="201" customFormat="1">
      <c r="A2840" s="123" t="s">
        <v>6</v>
      </c>
      <c r="B2840" s="720" t="s">
        <v>7</v>
      </c>
      <c r="C2840" s="720"/>
      <c r="D2840" s="202" t="s">
        <v>124</v>
      </c>
      <c r="E2840" s="167" t="s">
        <v>6334</v>
      </c>
      <c r="F2840" s="202" t="s">
        <v>31</v>
      </c>
      <c r="G2840" s="203" t="s">
        <v>125</v>
      </c>
      <c r="H2840" s="204" t="s">
        <v>126</v>
      </c>
    </row>
    <row r="2841" spans="1:8" s="208" customFormat="1" ht="45">
      <c r="A2841" s="216" t="str">
        <f>'Orç - Prédio'!A483</f>
        <v>06.01.308.23</v>
      </c>
      <c r="B2841" s="216" t="str">
        <f>'Orç - Prédio'!B483</f>
        <v>ORSE</v>
      </c>
      <c r="C2841" s="216">
        <f>'Orç - Prédio'!C483</f>
        <v>9689</v>
      </c>
      <c r="D2841" s="217" t="s">
        <v>8405</v>
      </c>
      <c r="E2841" s="206">
        <v>1</v>
      </c>
      <c r="F2841" s="216" t="s">
        <v>6337</v>
      </c>
      <c r="G2841" s="207">
        <f>VLOOKUP("CUSTO TOTAL UNIT.:",D2842:$H$30004,5,FALSE)</f>
        <v>680.65000000000009</v>
      </c>
      <c r="H2841" s="637">
        <f>VLOOKUP("CUSTO TOTAL:",D2842:$H$30004,5,FALSE)</f>
        <v>680.65</v>
      </c>
    </row>
    <row r="2842" spans="1:8" s="124" customFormat="1" ht="45">
      <c r="A2842" s="721">
        <v>3713</v>
      </c>
      <c r="B2842" s="721"/>
      <c r="C2842" s="200" t="s">
        <v>6333</v>
      </c>
      <c r="D2842" s="139" t="s">
        <v>15401</v>
      </c>
      <c r="E2842" s="209">
        <v>1</v>
      </c>
      <c r="F2842" s="577" t="s">
        <v>31</v>
      </c>
      <c r="G2842" s="210">
        <v>664.2</v>
      </c>
      <c r="H2842" s="211">
        <f>ROUND(G2842*E2842,2)</f>
        <v>664.2</v>
      </c>
    </row>
    <row r="2843" spans="1:8" s="124" customFormat="1" ht="30">
      <c r="A2843" s="721">
        <v>88264</v>
      </c>
      <c r="B2843" s="721"/>
      <c r="C2843" s="200" t="s">
        <v>5256</v>
      </c>
      <c r="D2843" s="139" t="s">
        <v>84</v>
      </c>
      <c r="E2843" s="209">
        <v>0.6</v>
      </c>
      <c r="F2843" s="577" t="s">
        <v>67</v>
      </c>
      <c r="G2843" s="210">
        <v>15.778800000000002</v>
      </c>
      <c r="H2843" s="211">
        <f>ROUND(G2843*E2843,2)</f>
        <v>9.4700000000000006</v>
      </c>
    </row>
    <row r="2844" spans="1:8" s="124" customFormat="1" ht="30">
      <c r="A2844" s="721">
        <v>88316</v>
      </c>
      <c r="B2844" s="721"/>
      <c r="C2844" s="200" t="s">
        <v>5256</v>
      </c>
      <c r="D2844" s="139" t="s">
        <v>66</v>
      </c>
      <c r="E2844" s="209">
        <v>0.6</v>
      </c>
      <c r="F2844" s="577" t="s">
        <v>67</v>
      </c>
      <c r="G2844" s="210">
        <v>11.631600000000001</v>
      </c>
      <c r="H2844" s="211">
        <f>ROUND(G2844*E2844,2)</f>
        <v>6.98</v>
      </c>
    </row>
    <row r="2845" spans="1:8" s="201" customFormat="1">
      <c r="A2845" s="582"/>
      <c r="B2845" s="582"/>
      <c r="C2845" s="212"/>
      <c r="D2845" s="719" t="s">
        <v>127</v>
      </c>
      <c r="E2845" s="719"/>
      <c r="F2845" s="719"/>
      <c r="G2845" s="719"/>
      <c r="H2845" s="638">
        <f>SUMIF(F2842:F2844,("h"),H2842:H2844)</f>
        <v>16.450000000000003</v>
      </c>
    </row>
    <row r="2846" spans="1:8" s="201" customFormat="1">
      <c r="A2846" s="582"/>
      <c r="B2846" s="582"/>
      <c r="C2846" s="212"/>
      <c r="D2846" s="719" t="s">
        <v>128</v>
      </c>
      <c r="E2846" s="719"/>
      <c r="F2846" s="719"/>
      <c r="G2846" s="719"/>
      <c r="H2846" s="638">
        <f>SUMIF(F2842:F2844,"&lt;&gt;h",H2842:H2844)</f>
        <v>664.2</v>
      </c>
    </row>
    <row r="2847" spans="1:8" s="201" customFormat="1">
      <c r="A2847" s="582"/>
      <c r="B2847" s="582"/>
      <c r="C2847" s="212"/>
      <c r="D2847" s="718" t="s">
        <v>129</v>
      </c>
      <c r="E2847" s="718"/>
      <c r="F2847" s="718"/>
      <c r="G2847" s="718"/>
      <c r="H2847" s="213">
        <f>SUM(H2845:H2846)</f>
        <v>680.65000000000009</v>
      </c>
    </row>
    <row r="2848" spans="1:8" s="201" customFormat="1">
      <c r="A2848" s="582"/>
      <c r="B2848" s="582"/>
      <c r="C2848" s="212"/>
      <c r="D2848" s="719" t="s">
        <v>28</v>
      </c>
      <c r="E2848" s="719"/>
      <c r="F2848" s="719"/>
      <c r="G2848" s="719"/>
      <c r="H2848" s="639">
        <f>E2841</f>
        <v>1</v>
      </c>
    </row>
    <row r="2849" spans="1:8" s="201" customFormat="1">
      <c r="A2849" s="582"/>
      <c r="B2849" s="582"/>
      <c r="C2849" s="212"/>
      <c r="D2849" s="718" t="s">
        <v>130</v>
      </c>
      <c r="E2849" s="718"/>
      <c r="F2849" s="718"/>
      <c r="G2849" s="718"/>
      <c r="H2849" s="213">
        <f>ROUND(H2847*H2848,2)</f>
        <v>680.65</v>
      </c>
    </row>
    <row r="2850" spans="1:8" s="201" customFormat="1">
      <c r="A2850" s="582"/>
      <c r="B2850" s="582"/>
      <c r="C2850" s="212"/>
      <c r="D2850" s="719" t="s">
        <v>15559</v>
      </c>
      <c r="E2850" s="719"/>
      <c r="F2850" s="719"/>
      <c r="G2850" s="719"/>
      <c r="H2850" s="638">
        <f>ROUND(H2847*$B$13,2)</f>
        <v>183.3</v>
      </c>
    </row>
    <row r="2851" spans="1:8">
      <c r="A2851" s="582"/>
      <c r="B2851" s="582"/>
      <c r="C2851" s="212"/>
      <c r="D2851" s="718" t="s">
        <v>9661</v>
      </c>
      <c r="E2851" s="718"/>
      <c r="F2851" s="718"/>
      <c r="G2851" s="718"/>
      <c r="H2851" s="213">
        <f>H2850+H2847</f>
        <v>863.95</v>
      </c>
    </row>
    <row r="2853" spans="1:8" s="201" customFormat="1">
      <c r="A2853" s="123" t="s">
        <v>6</v>
      </c>
      <c r="B2853" s="720" t="s">
        <v>7</v>
      </c>
      <c r="C2853" s="720"/>
      <c r="D2853" s="202" t="s">
        <v>124</v>
      </c>
      <c r="E2853" s="167" t="s">
        <v>6334</v>
      </c>
      <c r="F2853" s="202" t="s">
        <v>31</v>
      </c>
      <c r="G2853" s="203" t="s">
        <v>125</v>
      </c>
      <c r="H2853" s="204" t="s">
        <v>126</v>
      </c>
    </row>
    <row r="2854" spans="1:8" s="208" customFormat="1" ht="30">
      <c r="A2854" s="216" t="str">
        <f>'Orç - Prédio'!A484</f>
        <v>06.01.308.24</v>
      </c>
      <c r="B2854" s="216" t="str">
        <f>'Orç - Prédio'!B484</f>
        <v>ORSE</v>
      </c>
      <c r="C2854" s="216">
        <f>'Orç - Prédio'!C484</f>
        <v>9685</v>
      </c>
      <c r="D2854" s="217" t="s">
        <v>8406</v>
      </c>
      <c r="E2854" s="206">
        <v>1</v>
      </c>
      <c r="F2854" s="216" t="s">
        <v>6337</v>
      </c>
      <c r="G2854" s="207">
        <f>VLOOKUP("CUSTO TOTAL UNIT.:",D2855:$H$30004,5,FALSE)</f>
        <v>500.02</v>
      </c>
      <c r="H2854" s="637">
        <f>VLOOKUP("CUSTO TOTAL:",D2855:$H$30004,5,FALSE)</f>
        <v>500.02</v>
      </c>
    </row>
    <row r="2855" spans="1:8" s="124" customFormat="1" ht="45">
      <c r="A2855" s="721">
        <v>3708</v>
      </c>
      <c r="B2855" s="721"/>
      <c r="C2855" s="200" t="s">
        <v>6333</v>
      </c>
      <c r="D2855" s="139" t="s">
        <v>8407</v>
      </c>
      <c r="E2855" s="209">
        <v>1</v>
      </c>
      <c r="F2855" s="577" t="s">
        <v>31</v>
      </c>
      <c r="G2855" s="210">
        <v>483.57000000000005</v>
      </c>
      <c r="H2855" s="211">
        <f>ROUND(G2855*E2855,2)</f>
        <v>483.57</v>
      </c>
    </row>
    <row r="2856" spans="1:8" s="124" customFormat="1" ht="30">
      <c r="A2856" s="721">
        <v>88264</v>
      </c>
      <c r="B2856" s="721"/>
      <c r="C2856" s="200" t="s">
        <v>5256</v>
      </c>
      <c r="D2856" s="139" t="s">
        <v>84</v>
      </c>
      <c r="E2856" s="209">
        <v>0.6</v>
      </c>
      <c r="F2856" s="577" t="s">
        <v>67</v>
      </c>
      <c r="G2856" s="210">
        <v>15.778800000000002</v>
      </c>
      <c r="H2856" s="211">
        <f>ROUND(G2856*E2856,2)</f>
        <v>9.4700000000000006</v>
      </c>
    </row>
    <row r="2857" spans="1:8" s="124" customFormat="1" ht="30">
      <c r="A2857" s="721">
        <v>88316</v>
      </c>
      <c r="B2857" s="721"/>
      <c r="C2857" s="200" t="s">
        <v>5256</v>
      </c>
      <c r="D2857" s="139" t="s">
        <v>66</v>
      </c>
      <c r="E2857" s="209">
        <v>0.6</v>
      </c>
      <c r="F2857" s="577" t="s">
        <v>67</v>
      </c>
      <c r="G2857" s="210">
        <v>11.631600000000001</v>
      </c>
      <c r="H2857" s="211">
        <f>ROUND(G2857*E2857,2)</f>
        <v>6.98</v>
      </c>
    </row>
    <row r="2858" spans="1:8" s="201" customFormat="1">
      <c r="A2858" s="582"/>
      <c r="B2858" s="582"/>
      <c r="C2858" s="212"/>
      <c r="D2858" s="719" t="s">
        <v>127</v>
      </c>
      <c r="E2858" s="719"/>
      <c r="F2858" s="719"/>
      <c r="G2858" s="719"/>
      <c r="H2858" s="638">
        <f>SUMIF(F2855:F2857,("h"),H2855:H2857)</f>
        <v>16.450000000000003</v>
      </c>
    </row>
    <row r="2859" spans="1:8" s="201" customFormat="1">
      <c r="A2859" s="582"/>
      <c r="B2859" s="582"/>
      <c r="C2859" s="212"/>
      <c r="D2859" s="719" t="s">
        <v>128</v>
      </c>
      <c r="E2859" s="719"/>
      <c r="F2859" s="719"/>
      <c r="G2859" s="719"/>
      <c r="H2859" s="638">
        <f>SUMIF(F2855:F2857,"&lt;&gt;h",H2855:H2857)</f>
        <v>483.57</v>
      </c>
    </row>
    <row r="2860" spans="1:8" s="201" customFormat="1">
      <c r="A2860" s="582"/>
      <c r="B2860" s="582"/>
      <c r="C2860" s="212"/>
      <c r="D2860" s="718" t="s">
        <v>129</v>
      </c>
      <c r="E2860" s="718"/>
      <c r="F2860" s="718"/>
      <c r="G2860" s="718"/>
      <c r="H2860" s="213">
        <f>SUM(H2858:H2859)</f>
        <v>500.02</v>
      </c>
    </row>
    <row r="2861" spans="1:8" s="201" customFormat="1">
      <c r="A2861" s="582"/>
      <c r="B2861" s="582"/>
      <c r="C2861" s="212"/>
      <c r="D2861" s="719" t="s">
        <v>28</v>
      </c>
      <c r="E2861" s="719"/>
      <c r="F2861" s="719"/>
      <c r="G2861" s="719"/>
      <c r="H2861" s="639">
        <f>E2854</f>
        <v>1</v>
      </c>
    </row>
    <row r="2862" spans="1:8" s="201" customFormat="1">
      <c r="A2862" s="582"/>
      <c r="B2862" s="582"/>
      <c r="C2862" s="212"/>
      <c r="D2862" s="718" t="s">
        <v>130</v>
      </c>
      <c r="E2862" s="718"/>
      <c r="F2862" s="718"/>
      <c r="G2862" s="718"/>
      <c r="H2862" s="213">
        <f>ROUND(H2860*H2861,2)</f>
        <v>500.02</v>
      </c>
    </row>
    <row r="2863" spans="1:8" s="201" customFormat="1">
      <c r="A2863" s="582"/>
      <c r="B2863" s="582"/>
      <c r="C2863" s="212"/>
      <c r="D2863" s="719" t="s">
        <v>15559</v>
      </c>
      <c r="E2863" s="719"/>
      <c r="F2863" s="719"/>
      <c r="G2863" s="719"/>
      <c r="H2863" s="638">
        <f>ROUND(H2860*$B$13,2)</f>
        <v>134.66</v>
      </c>
    </row>
    <row r="2864" spans="1:8">
      <c r="A2864" s="582"/>
      <c r="B2864" s="582"/>
      <c r="C2864" s="212"/>
      <c r="D2864" s="718" t="s">
        <v>9661</v>
      </c>
      <c r="E2864" s="718"/>
      <c r="F2864" s="718"/>
      <c r="G2864" s="718"/>
      <c r="H2864" s="213">
        <f>H2863+H2860</f>
        <v>634.67999999999995</v>
      </c>
    </row>
    <row r="2866" spans="1:8" s="201" customFormat="1">
      <c r="A2866" s="123" t="s">
        <v>6</v>
      </c>
      <c r="B2866" s="720" t="s">
        <v>7</v>
      </c>
      <c r="C2866" s="720"/>
      <c r="D2866" s="202" t="s">
        <v>124</v>
      </c>
      <c r="E2866" s="167" t="s">
        <v>6334</v>
      </c>
      <c r="F2866" s="202" t="s">
        <v>31</v>
      </c>
      <c r="G2866" s="203" t="s">
        <v>125</v>
      </c>
      <c r="H2866" s="204" t="s">
        <v>126</v>
      </c>
    </row>
    <row r="2867" spans="1:8" s="208" customFormat="1" ht="45">
      <c r="A2867" s="216" t="str">
        <f>'Orç - Prédio'!A485</f>
        <v>06.01.308.25</v>
      </c>
      <c r="B2867" s="216" t="str">
        <f>'Orç - Prédio'!B485</f>
        <v>ORSE</v>
      </c>
      <c r="C2867" s="216">
        <f>'Orç - Prédio'!C485</f>
        <v>7832</v>
      </c>
      <c r="D2867" s="217" t="s">
        <v>8409</v>
      </c>
      <c r="E2867" s="206">
        <v>2</v>
      </c>
      <c r="F2867" s="216" t="s">
        <v>6337</v>
      </c>
      <c r="G2867" s="207">
        <f>VLOOKUP("CUSTO TOTAL UNIT.:",D2868:$H$30004,5,FALSE)</f>
        <v>605.54000000000008</v>
      </c>
      <c r="H2867" s="637">
        <f>VLOOKUP("CUSTO TOTAL:",D2868:$H$30004,5,FALSE)</f>
        <v>1211.08</v>
      </c>
    </row>
    <row r="2868" spans="1:8" s="124" customFormat="1" ht="45">
      <c r="A2868" s="721">
        <v>832</v>
      </c>
      <c r="B2868" s="721"/>
      <c r="C2868" s="200" t="s">
        <v>6333</v>
      </c>
      <c r="D2868" s="139" t="s">
        <v>8408</v>
      </c>
      <c r="E2868" s="209">
        <v>1</v>
      </c>
      <c r="F2868" s="577" t="s">
        <v>31</v>
      </c>
      <c r="G2868" s="210">
        <v>550.71900000000005</v>
      </c>
      <c r="H2868" s="211">
        <f>ROUND(G2868*E2868,2)</f>
        <v>550.72</v>
      </c>
    </row>
    <row r="2869" spans="1:8" s="124" customFormat="1" ht="30">
      <c r="A2869" s="721">
        <v>88264</v>
      </c>
      <c r="B2869" s="721"/>
      <c r="C2869" s="200" t="s">
        <v>5256</v>
      </c>
      <c r="D2869" s="139" t="s">
        <v>84</v>
      </c>
      <c r="E2869" s="209">
        <v>2</v>
      </c>
      <c r="F2869" s="577" t="s">
        <v>67</v>
      </c>
      <c r="G2869" s="210">
        <v>15.778800000000002</v>
      </c>
      <c r="H2869" s="211">
        <f>ROUND(G2869*E2869,2)</f>
        <v>31.56</v>
      </c>
    </row>
    <row r="2870" spans="1:8" s="124" customFormat="1" ht="30">
      <c r="A2870" s="721">
        <v>88316</v>
      </c>
      <c r="B2870" s="721"/>
      <c r="C2870" s="200" t="s">
        <v>5256</v>
      </c>
      <c r="D2870" s="139" t="s">
        <v>66</v>
      </c>
      <c r="E2870" s="209">
        <v>2</v>
      </c>
      <c r="F2870" s="577" t="s">
        <v>67</v>
      </c>
      <c r="G2870" s="210">
        <v>11.631600000000001</v>
      </c>
      <c r="H2870" s="211">
        <f>ROUND(G2870*E2870,2)</f>
        <v>23.26</v>
      </c>
    </row>
    <row r="2871" spans="1:8" s="201" customFormat="1">
      <c r="A2871" s="582"/>
      <c r="B2871" s="582"/>
      <c r="C2871" s="212"/>
      <c r="D2871" s="719" t="s">
        <v>127</v>
      </c>
      <c r="E2871" s="719"/>
      <c r="F2871" s="719"/>
      <c r="G2871" s="719"/>
      <c r="H2871" s="638">
        <f>SUMIF(F2868:F2870,("h"),H2868:H2870)</f>
        <v>54.82</v>
      </c>
    </row>
    <row r="2872" spans="1:8" s="201" customFormat="1">
      <c r="A2872" s="582"/>
      <c r="B2872" s="582"/>
      <c r="C2872" s="212"/>
      <c r="D2872" s="719" t="s">
        <v>128</v>
      </c>
      <c r="E2872" s="719"/>
      <c r="F2872" s="719"/>
      <c r="G2872" s="719"/>
      <c r="H2872" s="638">
        <f>SUMIF(F2868:F2870,"&lt;&gt;h",H2868:H2870)</f>
        <v>550.72</v>
      </c>
    </row>
    <row r="2873" spans="1:8" s="201" customFormat="1">
      <c r="A2873" s="582"/>
      <c r="B2873" s="582"/>
      <c r="C2873" s="212"/>
      <c r="D2873" s="718" t="s">
        <v>129</v>
      </c>
      <c r="E2873" s="718"/>
      <c r="F2873" s="718"/>
      <c r="G2873" s="718"/>
      <c r="H2873" s="213">
        <f>SUM(H2871:H2872)</f>
        <v>605.54000000000008</v>
      </c>
    </row>
    <row r="2874" spans="1:8" s="201" customFormat="1">
      <c r="A2874" s="582"/>
      <c r="B2874" s="582"/>
      <c r="C2874" s="212"/>
      <c r="D2874" s="719" t="s">
        <v>28</v>
      </c>
      <c r="E2874" s="719"/>
      <c r="F2874" s="719"/>
      <c r="G2874" s="719"/>
      <c r="H2874" s="639">
        <f>E2867</f>
        <v>2</v>
      </c>
    </row>
    <row r="2875" spans="1:8" s="201" customFormat="1">
      <c r="A2875" s="582"/>
      <c r="B2875" s="582"/>
      <c r="C2875" s="212"/>
      <c r="D2875" s="718" t="s">
        <v>130</v>
      </c>
      <c r="E2875" s="718"/>
      <c r="F2875" s="718"/>
      <c r="G2875" s="718"/>
      <c r="H2875" s="213">
        <f>ROUND(H2873*H2874,2)</f>
        <v>1211.08</v>
      </c>
    </row>
    <row r="2876" spans="1:8" s="201" customFormat="1">
      <c r="A2876" s="582"/>
      <c r="B2876" s="582"/>
      <c r="C2876" s="212"/>
      <c r="D2876" s="719" t="s">
        <v>15559</v>
      </c>
      <c r="E2876" s="719"/>
      <c r="F2876" s="719"/>
      <c r="G2876" s="719"/>
      <c r="H2876" s="638">
        <f>ROUND(H2873*$B$13,2)</f>
        <v>163.07</v>
      </c>
    </row>
    <row r="2877" spans="1:8">
      <c r="A2877" s="582"/>
      <c r="B2877" s="582"/>
      <c r="C2877" s="212"/>
      <c r="D2877" s="718" t="s">
        <v>9661</v>
      </c>
      <c r="E2877" s="718"/>
      <c r="F2877" s="718"/>
      <c r="G2877" s="718"/>
      <c r="H2877" s="213">
        <f>H2876+H2873</f>
        <v>768.61000000000013</v>
      </c>
    </row>
    <row r="2879" spans="1:8" s="201" customFormat="1">
      <c r="A2879" s="123" t="s">
        <v>6</v>
      </c>
      <c r="B2879" s="720" t="s">
        <v>7</v>
      </c>
      <c r="C2879" s="720"/>
      <c r="D2879" s="202" t="s">
        <v>124</v>
      </c>
      <c r="E2879" s="167" t="s">
        <v>6334</v>
      </c>
      <c r="F2879" s="202" t="s">
        <v>31</v>
      </c>
      <c r="G2879" s="203" t="s">
        <v>125</v>
      </c>
      <c r="H2879" s="204" t="s">
        <v>126</v>
      </c>
    </row>
    <row r="2880" spans="1:8" s="208" customFormat="1" ht="45">
      <c r="A2880" s="216" t="str">
        <f>'Orç - Prédio'!A486</f>
        <v>06.01.308.26</v>
      </c>
      <c r="B2880" s="216" t="str">
        <f>'Orç - Prédio'!B486</f>
        <v>ORSE</v>
      </c>
      <c r="C2880" s="216">
        <f>'Orç - Prédio'!C486</f>
        <v>8620</v>
      </c>
      <c r="D2880" s="217" t="s">
        <v>15479</v>
      </c>
      <c r="E2880" s="206">
        <v>1</v>
      </c>
      <c r="F2880" s="216" t="s">
        <v>6337</v>
      </c>
      <c r="G2880" s="207">
        <f>VLOOKUP("CUSTO TOTAL UNIT.:",D2881:$H$30004,5,FALSE)</f>
        <v>2446.1800000000003</v>
      </c>
      <c r="H2880" s="637">
        <f>VLOOKUP("CUSTO TOTAL:",D2881:$H$30004,5,FALSE)</f>
        <v>2446.1799999999998</v>
      </c>
    </row>
    <row r="2881" spans="1:8" s="124" customFormat="1">
      <c r="A2881" s="721">
        <v>6776</v>
      </c>
      <c r="B2881" s="721"/>
      <c r="C2881" s="200" t="s">
        <v>6333</v>
      </c>
      <c r="D2881" s="139" t="s">
        <v>15481</v>
      </c>
      <c r="E2881" s="209">
        <v>1</v>
      </c>
      <c r="F2881" s="577" t="s">
        <v>31</v>
      </c>
      <c r="G2881" s="210">
        <v>2290.0077000000001</v>
      </c>
      <c r="H2881" s="211">
        <f>ROUND(G2881*E2881,2)</f>
        <v>2290.0100000000002</v>
      </c>
    </row>
    <row r="2882" spans="1:8" s="124" customFormat="1" ht="30">
      <c r="A2882" s="721">
        <v>88264</v>
      </c>
      <c r="B2882" s="721"/>
      <c r="C2882" s="200" t="s">
        <v>5256</v>
      </c>
      <c r="D2882" s="139" t="s">
        <v>84</v>
      </c>
      <c r="E2882" s="209">
        <v>4</v>
      </c>
      <c r="F2882" s="577" t="s">
        <v>67</v>
      </c>
      <c r="G2882" s="210">
        <v>15.778800000000002</v>
      </c>
      <c r="H2882" s="211">
        <f>ROUND(G2882*E2882,2)</f>
        <v>63.12</v>
      </c>
    </row>
    <row r="2883" spans="1:8" s="124" customFormat="1" ht="30">
      <c r="A2883" s="721">
        <v>88316</v>
      </c>
      <c r="B2883" s="721"/>
      <c r="C2883" s="200" t="s">
        <v>5256</v>
      </c>
      <c r="D2883" s="139" t="s">
        <v>66</v>
      </c>
      <c r="E2883" s="209">
        <v>8</v>
      </c>
      <c r="F2883" s="577" t="s">
        <v>67</v>
      </c>
      <c r="G2883" s="210">
        <v>11.631600000000001</v>
      </c>
      <c r="H2883" s="211">
        <f>ROUND(G2883*E2883,2)</f>
        <v>93.05</v>
      </c>
    </row>
    <row r="2884" spans="1:8" s="201" customFormat="1">
      <c r="A2884" s="582"/>
      <c r="B2884" s="582"/>
      <c r="C2884" s="212"/>
      <c r="D2884" s="719" t="s">
        <v>127</v>
      </c>
      <c r="E2884" s="719"/>
      <c r="F2884" s="719"/>
      <c r="G2884" s="719"/>
      <c r="H2884" s="638">
        <f>SUMIF(F2881:F2883,("h"),H2881:H2883)</f>
        <v>156.16999999999999</v>
      </c>
    </row>
    <row r="2885" spans="1:8" s="201" customFormat="1">
      <c r="A2885" s="582"/>
      <c r="B2885" s="582"/>
      <c r="C2885" s="212"/>
      <c r="D2885" s="719" t="s">
        <v>128</v>
      </c>
      <c r="E2885" s="719"/>
      <c r="F2885" s="719"/>
      <c r="G2885" s="719"/>
      <c r="H2885" s="638">
        <f>SUMIF(F2881:F2883,"&lt;&gt;h",H2881:H2883)</f>
        <v>2290.0100000000002</v>
      </c>
    </row>
    <row r="2886" spans="1:8" s="201" customFormat="1">
      <c r="A2886" s="582"/>
      <c r="B2886" s="582"/>
      <c r="C2886" s="212"/>
      <c r="D2886" s="718" t="s">
        <v>129</v>
      </c>
      <c r="E2886" s="718"/>
      <c r="F2886" s="718"/>
      <c r="G2886" s="718"/>
      <c r="H2886" s="213">
        <f>SUM(H2884:H2885)</f>
        <v>2446.1800000000003</v>
      </c>
    </row>
    <row r="2887" spans="1:8" s="201" customFormat="1">
      <c r="A2887" s="582"/>
      <c r="B2887" s="582"/>
      <c r="C2887" s="212"/>
      <c r="D2887" s="719" t="s">
        <v>28</v>
      </c>
      <c r="E2887" s="719"/>
      <c r="F2887" s="719"/>
      <c r="G2887" s="719"/>
      <c r="H2887" s="639">
        <f>E2880</f>
        <v>1</v>
      </c>
    </row>
    <row r="2888" spans="1:8" s="201" customFormat="1">
      <c r="A2888" s="582"/>
      <c r="B2888" s="582"/>
      <c r="C2888" s="212"/>
      <c r="D2888" s="718" t="s">
        <v>130</v>
      </c>
      <c r="E2888" s="718"/>
      <c r="F2888" s="718"/>
      <c r="G2888" s="718"/>
      <c r="H2888" s="213">
        <f>ROUND(H2886*H2887,2)</f>
        <v>2446.1799999999998</v>
      </c>
    </row>
    <row r="2889" spans="1:8" s="201" customFormat="1">
      <c r="A2889" s="582"/>
      <c r="B2889" s="582"/>
      <c r="C2889" s="212"/>
      <c r="D2889" s="719" t="s">
        <v>15559</v>
      </c>
      <c r="E2889" s="719"/>
      <c r="F2889" s="719"/>
      <c r="G2889" s="719"/>
      <c r="H2889" s="638">
        <f>ROUND(H2886*$B$13,2)</f>
        <v>658.76</v>
      </c>
    </row>
    <row r="2890" spans="1:8">
      <c r="A2890" s="582"/>
      <c r="B2890" s="582"/>
      <c r="C2890" s="212"/>
      <c r="D2890" s="718" t="s">
        <v>9661</v>
      </c>
      <c r="E2890" s="718"/>
      <c r="F2890" s="718"/>
      <c r="G2890" s="718"/>
      <c r="H2890" s="213">
        <f>H2889+H2886</f>
        <v>3104.9400000000005</v>
      </c>
    </row>
    <row r="2892" spans="1:8" s="201" customFormat="1">
      <c r="A2892" s="123" t="s">
        <v>6</v>
      </c>
      <c r="B2892" s="720" t="s">
        <v>7</v>
      </c>
      <c r="C2892" s="720"/>
      <c r="D2892" s="202" t="s">
        <v>124</v>
      </c>
      <c r="E2892" s="167" t="s">
        <v>6334</v>
      </c>
      <c r="F2892" s="202" t="s">
        <v>31</v>
      </c>
      <c r="G2892" s="203" t="s">
        <v>125</v>
      </c>
      <c r="H2892" s="204" t="s">
        <v>126</v>
      </c>
    </row>
    <row r="2893" spans="1:8" s="208" customFormat="1" ht="45">
      <c r="A2893" s="216" t="str">
        <f>'Orç - Prédio'!A487</f>
        <v>06.01.308.27</v>
      </c>
      <c r="B2893" s="216" t="str">
        <f>'Orç - Prédio'!B487</f>
        <v>CPOS</v>
      </c>
      <c r="C2893" s="216" t="str">
        <f>'Orç - Prédio'!C487</f>
        <v>37.13.770</v>
      </c>
      <c r="D2893" s="217" t="s">
        <v>15482</v>
      </c>
      <c r="E2893" s="206">
        <v>2</v>
      </c>
      <c r="F2893" s="216" t="s">
        <v>6337</v>
      </c>
      <c r="G2893" s="207">
        <f>VLOOKUP("CUSTO TOTAL UNIT.:",D2894:$H$30004,5,FALSE)</f>
        <v>6135.7199999999993</v>
      </c>
      <c r="H2893" s="637">
        <f>VLOOKUP("CUSTO TOTAL:",D2894:$H$30004,5,FALSE)</f>
        <v>12271.44</v>
      </c>
    </row>
    <row r="2894" spans="1:8" s="124" customFormat="1" ht="45">
      <c r="A2894" s="721" t="s">
        <v>8917</v>
      </c>
      <c r="B2894" s="721"/>
      <c r="C2894" s="200" t="s">
        <v>6753</v>
      </c>
      <c r="D2894" s="139" t="s">
        <v>8916</v>
      </c>
      <c r="E2894" s="209">
        <v>1</v>
      </c>
      <c r="F2894" s="577" t="s">
        <v>31</v>
      </c>
      <c r="G2894" s="210">
        <v>6080.9049000000005</v>
      </c>
      <c r="H2894" s="211">
        <f>ROUND(G2894*E2894,2)</f>
        <v>6080.9</v>
      </c>
    </row>
    <row r="2895" spans="1:8" s="124" customFormat="1" ht="30">
      <c r="A2895" s="721">
        <v>88264</v>
      </c>
      <c r="B2895" s="721"/>
      <c r="C2895" s="200" t="s">
        <v>5256</v>
      </c>
      <c r="D2895" s="139" t="s">
        <v>84</v>
      </c>
      <c r="E2895" s="209">
        <v>2</v>
      </c>
      <c r="F2895" s="577" t="s">
        <v>67</v>
      </c>
      <c r="G2895" s="210">
        <v>15.778800000000002</v>
      </c>
      <c r="H2895" s="211">
        <f>ROUND(G2895*E2895,2)</f>
        <v>31.56</v>
      </c>
    </row>
    <row r="2896" spans="1:8" s="124" customFormat="1" ht="30">
      <c r="A2896" s="721">
        <v>88316</v>
      </c>
      <c r="B2896" s="721"/>
      <c r="C2896" s="200" t="s">
        <v>5256</v>
      </c>
      <c r="D2896" s="139" t="s">
        <v>66</v>
      </c>
      <c r="E2896" s="209">
        <v>2</v>
      </c>
      <c r="F2896" s="577" t="s">
        <v>67</v>
      </c>
      <c r="G2896" s="210">
        <v>11.631600000000001</v>
      </c>
      <c r="H2896" s="211">
        <f>ROUND(G2896*E2896,2)</f>
        <v>23.26</v>
      </c>
    </row>
    <row r="2897" spans="1:8" s="201" customFormat="1">
      <c r="A2897" s="582"/>
      <c r="B2897" s="582"/>
      <c r="C2897" s="212"/>
      <c r="D2897" s="719" t="s">
        <v>127</v>
      </c>
      <c r="E2897" s="719"/>
      <c r="F2897" s="719"/>
      <c r="G2897" s="719"/>
      <c r="H2897" s="638">
        <f>SUMIF(F2894:F2896,("h"),H2894:H2896)</f>
        <v>54.82</v>
      </c>
    </row>
    <row r="2898" spans="1:8" s="201" customFormat="1">
      <c r="A2898" s="582"/>
      <c r="B2898" s="582"/>
      <c r="C2898" s="212"/>
      <c r="D2898" s="719" t="s">
        <v>128</v>
      </c>
      <c r="E2898" s="719"/>
      <c r="F2898" s="719"/>
      <c r="G2898" s="719"/>
      <c r="H2898" s="638">
        <f>SUMIF(F2894:F2896,"&lt;&gt;h",H2894:H2896)</f>
        <v>6080.9</v>
      </c>
    </row>
    <row r="2899" spans="1:8" s="201" customFormat="1">
      <c r="A2899" s="582"/>
      <c r="B2899" s="582"/>
      <c r="C2899" s="212"/>
      <c r="D2899" s="718" t="s">
        <v>129</v>
      </c>
      <c r="E2899" s="718"/>
      <c r="F2899" s="718"/>
      <c r="G2899" s="718"/>
      <c r="H2899" s="213">
        <f>SUM(H2897:H2898)</f>
        <v>6135.7199999999993</v>
      </c>
    </row>
    <row r="2900" spans="1:8" s="201" customFormat="1">
      <c r="A2900" s="582"/>
      <c r="B2900" s="582"/>
      <c r="C2900" s="212"/>
      <c r="D2900" s="719" t="s">
        <v>28</v>
      </c>
      <c r="E2900" s="719"/>
      <c r="F2900" s="719"/>
      <c r="G2900" s="719"/>
      <c r="H2900" s="639">
        <f>E2893</f>
        <v>2</v>
      </c>
    </row>
    <row r="2901" spans="1:8" s="201" customFormat="1">
      <c r="A2901" s="582"/>
      <c r="B2901" s="582"/>
      <c r="C2901" s="212"/>
      <c r="D2901" s="718" t="s">
        <v>130</v>
      </c>
      <c r="E2901" s="718"/>
      <c r="F2901" s="718"/>
      <c r="G2901" s="718"/>
      <c r="H2901" s="213">
        <f>ROUND(H2899*H2900,2)</f>
        <v>12271.44</v>
      </c>
    </row>
    <row r="2902" spans="1:8" s="201" customFormat="1">
      <c r="A2902" s="582"/>
      <c r="B2902" s="582"/>
      <c r="C2902" s="212"/>
      <c r="D2902" s="719" t="s">
        <v>15559</v>
      </c>
      <c r="E2902" s="719"/>
      <c r="F2902" s="719"/>
      <c r="G2902" s="719"/>
      <c r="H2902" s="638">
        <f>ROUND(H2899*$B$13,2)</f>
        <v>1652.35</v>
      </c>
    </row>
    <row r="2903" spans="1:8">
      <c r="A2903" s="582"/>
      <c r="B2903" s="582"/>
      <c r="C2903" s="212"/>
      <c r="D2903" s="718" t="s">
        <v>9661</v>
      </c>
      <c r="E2903" s="718"/>
      <c r="F2903" s="718"/>
      <c r="G2903" s="718"/>
      <c r="H2903" s="213">
        <f>H2902+H2899</f>
        <v>7788.07</v>
      </c>
    </row>
    <row r="2905" spans="1:8" s="201" customFormat="1">
      <c r="A2905" s="123" t="s">
        <v>6</v>
      </c>
      <c r="B2905" s="720" t="s">
        <v>7</v>
      </c>
      <c r="C2905" s="720"/>
      <c r="D2905" s="202" t="s">
        <v>124</v>
      </c>
      <c r="E2905" s="167" t="s">
        <v>6334</v>
      </c>
      <c r="F2905" s="202" t="s">
        <v>31</v>
      </c>
      <c r="G2905" s="203" t="s">
        <v>125</v>
      </c>
      <c r="H2905" s="204" t="s">
        <v>126</v>
      </c>
    </row>
    <row r="2906" spans="1:8" s="208" customFormat="1" ht="30">
      <c r="A2906" s="216" t="str">
        <f>'Orç - Prédio'!A488</f>
        <v>06.01.309.01</v>
      </c>
      <c r="B2906" s="216" t="str">
        <f>'Orç - Prédio'!B488</f>
        <v>ORSE</v>
      </c>
      <c r="C2906" s="216">
        <f>'Orç - Prédio'!C488</f>
        <v>8100</v>
      </c>
      <c r="D2906" s="217" t="s">
        <v>8518</v>
      </c>
      <c r="E2906" s="206">
        <v>46.22</v>
      </c>
      <c r="F2906" s="216" t="s">
        <v>6774</v>
      </c>
      <c r="G2906" s="207">
        <f>VLOOKUP("CUSTO TOTAL UNIT.:",D2907:$H$30004,5,FALSE)</f>
        <v>54.19</v>
      </c>
      <c r="H2906" s="637">
        <f>VLOOKUP("CUSTO TOTAL:",D2907:$H$30004,5,FALSE)</f>
        <v>2504.66</v>
      </c>
    </row>
    <row r="2907" spans="1:8" s="124" customFormat="1" ht="30">
      <c r="A2907" s="721">
        <v>8193</v>
      </c>
      <c r="B2907" s="721"/>
      <c r="C2907" s="200" t="s">
        <v>6333</v>
      </c>
      <c r="D2907" s="139" t="s">
        <v>7286</v>
      </c>
      <c r="E2907" s="209">
        <v>1</v>
      </c>
      <c r="F2907" s="577" t="s">
        <v>139</v>
      </c>
      <c r="G2907" s="174">
        <v>43.229700000000001</v>
      </c>
      <c r="H2907" s="211">
        <f>ROUND(G2907*E2907,2)</f>
        <v>43.23</v>
      </c>
    </row>
    <row r="2908" spans="1:8" s="124" customFormat="1" ht="30">
      <c r="A2908" s="721">
        <v>88264</v>
      </c>
      <c r="B2908" s="721"/>
      <c r="C2908" s="200" t="s">
        <v>5256</v>
      </c>
      <c r="D2908" s="139" t="s">
        <v>84</v>
      </c>
      <c r="E2908" s="209">
        <v>0.4</v>
      </c>
      <c r="F2908" s="577" t="s">
        <v>67</v>
      </c>
      <c r="G2908" s="210">
        <v>15.778800000000002</v>
      </c>
      <c r="H2908" s="211">
        <f>ROUND(G2908*E2908,2)</f>
        <v>6.31</v>
      </c>
    </row>
    <row r="2909" spans="1:8" s="124" customFormat="1" ht="30">
      <c r="A2909" s="721">
        <v>88316</v>
      </c>
      <c r="B2909" s="721"/>
      <c r="C2909" s="200" t="s">
        <v>5256</v>
      </c>
      <c r="D2909" s="139" t="s">
        <v>66</v>
      </c>
      <c r="E2909" s="209">
        <v>0.4</v>
      </c>
      <c r="F2909" s="577" t="s">
        <v>67</v>
      </c>
      <c r="G2909" s="210">
        <v>11.631600000000001</v>
      </c>
      <c r="H2909" s="211">
        <f>ROUND(G2909*E2909,2)</f>
        <v>4.6500000000000004</v>
      </c>
    </row>
    <row r="2910" spans="1:8" s="201" customFormat="1">
      <c r="A2910" s="582"/>
      <c r="B2910" s="582"/>
      <c r="C2910" s="212"/>
      <c r="D2910" s="719" t="s">
        <v>127</v>
      </c>
      <c r="E2910" s="719"/>
      <c r="F2910" s="719"/>
      <c r="G2910" s="719"/>
      <c r="H2910" s="638">
        <f>SUMIF(F2907:F2909,("h"),H2907:H2909)</f>
        <v>10.96</v>
      </c>
    </row>
    <row r="2911" spans="1:8" s="201" customFormat="1">
      <c r="A2911" s="582"/>
      <c r="B2911" s="582"/>
      <c r="C2911" s="212"/>
      <c r="D2911" s="719" t="s">
        <v>128</v>
      </c>
      <c r="E2911" s="719"/>
      <c r="F2911" s="719"/>
      <c r="G2911" s="719"/>
      <c r="H2911" s="638">
        <f>SUMIF(F2907:F2909,"&lt;&gt;h",H2907:H2909)</f>
        <v>43.23</v>
      </c>
    </row>
    <row r="2912" spans="1:8" s="201" customFormat="1">
      <c r="A2912" s="582"/>
      <c r="B2912" s="582"/>
      <c r="C2912" s="212"/>
      <c r="D2912" s="718" t="s">
        <v>129</v>
      </c>
      <c r="E2912" s="718"/>
      <c r="F2912" s="718"/>
      <c r="G2912" s="718"/>
      <c r="H2912" s="213">
        <f>SUM(H2910:H2911)</f>
        <v>54.19</v>
      </c>
    </row>
    <row r="2913" spans="1:8" s="201" customFormat="1">
      <c r="A2913" s="582"/>
      <c r="B2913" s="582"/>
      <c r="C2913" s="212"/>
      <c r="D2913" s="719" t="s">
        <v>28</v>
      </c>
      <c r="E2913" s="719"/>
      <c r="F2913" s="719"/>
      <c r="G2913" s="719"/>
      <c r="H2913" s="639">
        <f>E2906</f>
        <v>46.22</v>
      </c>
    </row>
    <row r="2914" spans="1:8" s="201" customFormat="1">
      <c r="A2914" s="582"/>
      <c r="B2914" s="582"/>
      <c r="C2914" s="212"/>
      <c r="D2914" s="718" t="s">
        <v>130</v>
      </c>
      <c r="E2914" s="718"/>
      <c r="F2914" s="718"/>
      <c r="G2914" s="718"/>
      <c r="H2914" s="213">
        <f>ROUND(H2912*H2913,2)</f>
        <v>2504.66</v>
      </c>
    </row>
    <row r="2915" spans="1:8" s="201" customFormat="1">
      <c r="A2915" s="582"/>
      <c r="B2915" s="582"/>
      <c r="C2915" s="212"/>
      <c r="D2915" s="719" t="s">
        <v>15559</v>
      </c>
      <c r="E2915" s="719"/>
      <c r="F2915" s="719"/>
      <c r="G2915" s="719"/>
      <c r="H2915" s="638">
        <f>ROUND(H2912*$B$13,2)</f>
        <v>14.59</v>
      </c>
    </row>
    <row r="2916" spans="1:8">
      <c r="A2916" s="582"/>
      <c r="B2916" s="582"/>
      <c r="C2916" s="212"/>
      <c r="D2916" s="718" t="s">
        <v>9661</v>
      </c>
      <c r="E2916" s="718"/>
      <c r="F2916" s="718"/>
      <c r="G2916" s="718"/>
      <c r="H2916" s="213">
        <f>H2915+H2912</f>
        <v>68.78</v>
      </c>
    </row>
    <row r="2918" spans="1:8" s="201" customFormat="1">
      <c r="A2918" s="123" t="s">
        <v>6</v>
      </c>
      <c r="B2918" s="720" t="s">
        <v>7</v>
      </c>
      <c r="C2918" s="720"/>
      <c r="D2918" s="202" t="s">
        <v>124</v>
      </c>
      <c r="E2918" s="167" t="s">
        <v>6334</v>
      </c>
      <c r="F2918" s="202" t="s">
        <v>31</v>
      </c>
      <c r="G2918" s="203" t="s">
        <v>125</v>
      </c>
      <c r="H2918" s="204" t="s">
        <v>126</v>
      </c>
    </row>
    <row r="2919" spans="1:8" s="208" customFormat="1" ht="30">
      <c r="A2919" s="216" t="str">
        <f>'Orç - Prédio'!A489</f>
        <v>06.01.309.02</v>
      </c>
      <c r="B2919" s="216" t="str">
        <f>'Orç - Prédio'!B489</f>
        <v>ORSE</v>
      </c>
      <c r="C2919" s="216">
        <f>'Orç - Prédio'!C489</f>
        <v>764</v>
      </c>
      <c r="D2919" s="217" t="s">
        <v>8519</v>
      </c>
      <c r="E2919" s="206">
        <v>9</v>
      </c>
      <c r="F2919" s="216" t="s">
        <v>6774</v>
      </c>
      <c r="G2919" s="207">
        <f>VLOOKUP("CUSTO TOTAL UNIT.:",D2920:$H$30004,5,FALSE)</f>
        <v>42.010000000000005</v>
      </c>
      <c r="H2919" s="637">
        <f>VLOOKUP("CUSTO TOTAL:",D2920:$H$30004,5,FALSE)</f>
        <v>378.09</v>
      </c>
    </row>
    <row r="2920" spans="1:8" s="124" customFormat="1" ht="30">
      <c r="A2920" s="721">
        <v>862</v>
      </c>
      <c r="B2920" s="721"/>
      <c r="C2920" s="200" t="s">
        <v>6333</v>
      </c>
      <c r="D2920" s="139" t="s">
        <v>7287</v>
      </c>
      <c r="E2920" s="209">
        <v>1</v>
      </c>
      <c r="F2920" s="577" t="s">
        <v>139</v>
      </c>
      <c r="G2920" s="174">
        <v>31.0473</v>
      </c>
      <c r="H2920" s="211">
        <f>ROUND(G2920*E2920,2)</f>
        <v>31.05</v>
      </c>
    </row>
    <row r="2921" spans="1:8" s="124" customFormat="1" ht="30">
      <c r="A2921" s="721">
        <v>88264</v>
      </c>
      <c r="B2921" s="721"/>
      <c r="C2921" s="200" t="s">
        <v>5256</v>
      </c>
      <c r="D2921" s="139" t="s">
        <v>84</v>
      </c>
      <c r="E2921" s="209">
        <v>0.4</v>
      </c>
      <c r="F2921" s="577" t="s">
        <v>67</v>
      </c>
      <c r="G2921" s="210">
        <v>15.778800000000002</v>
      </c>
      <c r="H2921" s="211">
        <f>ROUND(G2921*E2921,2)</f>
        <v>6.31</v>
      </c>
    </row>
    <row r="2922" spans="1:8" s="124" customFormat="1" ht="30">
      <c r="A2922" s="721">
        <v>88316</v>
      </c>
      <c r="B2922" s="721"/>
      <c r="C2922" s="200" t="s">
        <v>5256</v>
      </c>
      <c r="D2922" s="139" t="s">
        <v>66</v>
      </c>
      <c r="E2922" s="209">
        <v>0.4</v>
      </c>
      <c r="F2922" s="577" t="s">
        <v>67</v>
      </c>
      <c r="G2922" s="210">
        <v>11.631600000000001</v>
      </c>
      <c r="H2922" s="211">
        <f>ROUND(G2922*E2922,2)</f>
        <v>4.6500000000000004</v>
      </c>
    </row>
    <row r="2923" spans="1:8" s="201" customFormat="1">
      <c r="A2923" s="582"/>
      <c r="B2923" s="582"/>
      <c r="C2923" s="212"/>
      <c r="D2923" s="719" t="s">
        <v>127</v>
      </c>
      <c r="E2923" s="719"/>
      <c r="F2923" s="719"/>
      <c r="G2923" s="719"/>
      <c r="H2923" s="638">
        <f>SUMIF(F2920:F2922,("h"),H2920:H2922)</f>
        <v>10.96</v>
      </c>
    </row>
    <row r="2924" spans="1:8" s="201" customFormat="1">
      <c r="A2924" s="582"/>
      <c r="B2924" s="582"/>
      <c r="C2924" s="212"/>
      <c r="D2924" s="719" t="s">
        <v>128</v>
      </c>
      <c r="E2924" s="719"/>
      <c r="F2924" s="719"/>
      <c r="G2924" s="719"/>
      <c r="H2924" s="638">
        <f>SUMIF(F2920:F2922,"&lt;&gt;h",H2920:H2922)</f>
        <v>31.05</v>
      </c>
    </row>
    <row r="2925" spans="1:8" s="201" customFormat="1">
      <c r="A2925" s="582"/>
      <c r="B2925" s="582"/>
      <c r="C2925" s="212"/>
      <c r="D2925" s="718" t="s">
        <v>129</v>
      </c>
      <c r="E2925" s="718"/>
      <c r="F2925" s="718"/>
      <c r="G2925" s="718"/>
      <c r="H2925" s="213">
        <f>SUM(H2923:H2924)</f>
        <v>42.010000000000005</v>
      </c>
    </row>
    <row r="2926" spans="1:8" s="201" customFormat="1">
      <c r="A2926" s="582"/>
      <c r="B2926" s="582"/>
      <c r="C2926" s="212"/>
      <c r="D2926" s="719" t="s">
        <v>28</v>
      </c>
      <c r="E2926" s="719"/>
      <c r="F2926" s="719"/>
      <c r="G2926" s="719"/>
      <c r="H2926" s="639">
        <f>E2919</f>
        <v>9</v>
      </c>
    </row>
    <row r="2927" spans="1:8" s="201" customFormat="1">
      <c r="A2927" s="582"/>
      <c r="B2927" s="582"/>
      <c r="C2927" s="212"/>
      <c r="D2927" s="718" t="s">
        <v>130</v>
      </c>
      <c r="E2927" s="718"/>
      <c r="F2927" s="718"/>
      <c r="G2927" s="718"/>
      <c r="H2927" s="213">
        <f>ROUND(H2925*H2926,2)</f>
        <v>378.09</v>
      </c>
    </row>
    <row r="2928" spans="1:8" s="201" customFormat="1">
      <c r="A2928" s="582"/>
      <c r="B2928" s="582"/>
      <c r="C2928" s="212"/>
      <c r="D2928" s="719" t="s">
        <v>15559</v>
      </c>
      <c r="E2928" s="719"/>
      <c r="F2928" s="719"/>
      <c r="G2928" s="719"/>
      <c r="H2928" s="638">
        <f>ROUND(H2925*$B$13,2)</f>
        <v>11.31</v>
      </c>
    </row>
    <row r="2929" spans="1:8">
      <c r="A2929" s="582"/>
      <c r="B2929" s="582"/>
      <c r="C2929" s="212"/>
      <c r="D2929" s="718" t="s">
        <v>9661</v>
      </c>
      <c r="E2929" s="718"/>
      <c r="F2929" s="718"/>
      <c r="G2929" s="718"/>
      <c r="H2929" s="213">
        <f>H2928+H2925</f>
        <v>53.320000000000007</v>
      </c>
    </row>
    <row r="2931" spans="1:8" s="201" customFormat="1">
      <c r="A2931" s="123" t="s">
        <v>6</v>
      </c>
      <c r="B2931" s="720" t="s">
        <v>7</v>
      </c>
      <c r="C2931" s="720"/>
      <c r="D2931" s="202" t="s">
        <v>124</v>
      </c>
      <c r="E2931" s="167" t="s">
        <v>6334</v>
      </c>
      <c r="F2931" s="202" t="s">
        <v>31</v>
      </c>
      <c r="G2931" s="203" t="s">
        <v>125</v>
      </c>
      <c r="H2931" s="204" t="s">
        <v>126</v>
      </c>
    </row>
    <row r="2932" spans="1:8" s="208" customFormat="1" ht="30">
      <c r="A2932" s="216" t="str">
        <f>'Orç - Prédio'!A490</f>
        <v>06.01.309.03</v>
      </c>
      <c r="B2932" s="216" t="str">
        <f>'Orç - Prédio'!B490</f>
        <v>ORSE</v>
      </c>
      <c r="C2932" s="216">
        <f>'Orç - Prédio'!C490</f>
        <v>763</v>
      </c>
      <c r="D2932" s="217" t="s">
        <v>8520</v>
      </c>
      <c r="E2932" s="206">
        <v>150</v>
      </c>
      <c r="F2932" s="216" t="s">
        <v>6774</v>
      </c>
      <c r="G2932" s="207">
        <f>VLOOKUP("CUSTO TOTAL UNIT.:",D2933:$H$30004,5,FALSE)</f>
        <v>29.86</v>
      </c>
      <c r="H2932" s="637">
        <f>VLOOKUP("CUSTO TOTAL:",D2933:$H$30004,5,FALSE)</f>
        <v>4479</v>
      </c>
    </row>
    <row r="2933" spans="1:8" s="124" customFormat="1" ht="30">
      <c r="A2933" s="721">
        <v>861</v>
      </c>
      <c r="B2933" s="721"/>
      <c r="C2933" s="200" t="s">
        <v>6333</v>
      </c>
      <c r="D2933" s="139" t="s">
        <v>7288</v>
      </c>
      <c r="E2933" s="209">
        <v>1</v>
      </c>
      <c r="F2933" s="577" t="s">
        <v>139</v>
      </c>
      <c r="G2933" s="174">
        <v>18.897300000000001</v>
      </c>
      <c r="H2933" s="211">
        <f>ROUND(G2933*E2933,2)</f>
        <v>18.899999999999999</v>
      </c>
    </row>
    <row r="2934" spans="1:8" s="124" customFormat="1" ht="30">
      <c r="A2934" s="721">
        <v>88264</v>
      </c>
      <c r="B2934" s="721"/>
      <c r="C2934" s="200" t="s">
        <v>5256</v>
      </c>
      <c r="D2934" s="139" t="s">
        <v>84</v>
      </c>
      <c r="E2934" s="209">
        <v>0.4</v>
      </c>
      <c r="F2934" s="577" t="s">
        <v>67</v>
      </c>
      <c r="G2934" s="210">
        <v>15.778800000000002</v>
      </c>
      <c r="H2934" s="211">
        <f>ROUND(G2934*E2934,2)</f>
        <v>6.31</v>
      </c>
    </row>
    <row r="2935" spans="1:8" s="124" customFormat="1" ht="30">
      <c r="A2935" s="721">
        <v>88316</v>
      </c>
      <c r="B2935" s="721"/>
      <c r="C2935" s="200" t="s">
        <v>5256</v>
      </c>
      <c r="D2935" s="139" t="s">
        <v>66</v>
      </c>
      <c r="E2935" s="209">
        <v>0.4</v>
      </c>
      <c r="F2935" s="577" t="s">
        <v>67</v>
      </c>
      <c r="G2935" s="210">
        <v>11.631600000000001</v>
      </c>
      <c r="H2935" s="211">
        <f>ROUND(G2935*E2935,2)</f>
        <v>4.6500000000000004</v>
      </c>
    </row>
    <row r="2936" spans="1:8" s="201" customFormat="1">
      <c r="A2936" s="582"/>
      <c r="B2936" s="582"/>
      <c r="C2936" s="212"/>
      <c r="D2936" s="719" t="s">
        <v>127</v>
      </c>
      <c r="E2936" s="719"/>
      <c r="F2936" s="719"/>
      <c r="G2936" s="719"/>
      <c r="H2936" s="638">
        <f>SUMIF(F2933:F2935,("h"),H2933:H2935)</f>
        <v>10.96</v>
      </c>
    </row>
    <row r="2937" spans="1:8" s="201" customFormat="1">
      <c r="A2937" s="582"/>
      <c r="B2937" s="582"/>
      <c r="C2937" s="212"/>
      <c r="D2937" s="719" t="s">
        <v>128</v>
      </c>
      <c r="E2937" s="719"/>
      <c r="F2937" s="719"/>
      <c r="G2937" s="719"/>
      <c r="H2937" s="638">
        <f>SUMIF(F2933:F2935,"&lt;&gt;h",H2933:H2935)</f>
        <v>18.899999999999999</v>
      </c>
    </row>
    <row r="2938" spans="1:8" s="201" customFormat="1">
      <c r="A2938" s="582"/>
      <c r="B2938" s="582"/>
      <c r="C2938" s="212"/>
      <c r="D2938" s="718" t="s">
        <v>129</v>
      </c>
      <c r="E2938" s="718"/>
      <c r="F2938" s="718"/>
      <c r="G2938" s="718"/>
      <c r="H2938" s="213">
        <f>SUM(H2936:H2937)</f>
        <v>29.86</v>
      </c>
    </row>
    <row r="2939" spans="1:8" s="201" customFormat="1">
      <c r="A2939" s="582"/>
      <c r="B2939" s="582"/>
      <c r="C2939" s="212"/>
      <c r="D2939" s="719" t="s">
        <v>28</v>
      </c>
      <c r="E2939" s="719"/>
      <c r="F2939" s="719"/>
      <c r="G2939" s="719"/>
      <c r="H2939" s="639">
        <f>E2932</f>
        <v>150</v>
      </c>
    </row>
    <row r="2940" spans="1:8" s="201" customFormat="1">
      <c r="A2940" s="582"/>
      <c r="B2940" s="582"/>
      <c r="C2940" s="212"/>
      <c r="D2940" s="718" t="s">
        <v>130</v>
      </c>
      <c r="E2940" s="718"/>
      <c r="F2940" s="718"/>
      <c r="G2940" s="718"/>
      <c r="H2940" s="213">
        <f>ROUND(H2938*H2939,2)</f>
        <v>4479</v>
      </c>
    </row>
    <row r="2941" spans="1:8" s="201" customFormat="1">
      <c r="A2941" s="582"/>
      <c r="B2941" s="582"/>
      <c r="C2941" s="212"/>
      <c r="D2941" s="719" t="s">
        <v>15559</v>
      </c>
      <c r="E2941" s="719"/>
      <c r="F2941" s="719"/>
      <c r="G2941" s="719"/>
      <c r="H2941" s="638">
        <f>ROUND(H2938*$B$13,2)</f>
        <v>8.0399999999999991</v>
      </c>
    </row>
    <row r="2942" spans="1:8">
      <c r="A2942" s="582"/>
      <c r="B2942" s="582"/>
      <c r="C2942" s="212"/>
      <c r="D2942" s="718" t="s">
        <v>9661</v>
      </c>
      <c r="E2942" s="718"/>
      <c r="F2942" s="718"/>
      <c r="G2942" s="718"/>
      <c r="H2942" s="213">
        <f>H2941+H2938</f>
        <v>37.9</v>
      </c>
    </row>
    <row r="2944" spans="1:8" s="201" customFormat="1">
      <c r="A2944" s="123" t="s">
        <v>6</v>
      </c>
      <c r="B2944" s="720" t="s">
        <v>7</v>
      </c>
      <c r="C2944" s="720"/>
      <c r="D2944" s="202" t="s">
        <v>124</v>
      </c>
      <c r="E2944" s="167" t="s">
        <v>6334</v>
      </c>
      <c r="F2944" s="202" t="s">
        <v>31</v>
      </c>
      <c r="G2944" s="203" t="s">
        <v>125</v>
      </c>
      <c r="H2944" s="204" t="s">
        <v>126</v>
      </c>
    </row>
    <row r="2945" spans="1:8" s="208" customFormat="1" ht="30">
      <c r="A2945" s="216" t="str">
        <f>'Orç - Prédio'!A491</f>
        <v>06.01.309.04</v>
      </c>
      <c r="B2945" s="216" t="str">
        <f>'Orç - Prédio'!B491</f>
        <v>ORSE</v>
      </c>
      <c r="C2945" s="216">
        <f>'Orç - Prédio'!C491</f>
        <v>8684</v>
      </c>
      <c r="D2945" s="217" t="s">
        <v>8521</v>
      </c>
      <c r="E2945" s="206">
        <v>780</v>
      </c>
      <c r="F2945" s="216" t="s">
        <v>6774</v>
      </c>
      <c r="G2945" s="207">
        <f>VLOOKUP("CUSTO TOTAL UNIT.:",D2946:$H$30004,5,FALSE)</f>
        <v>24.43</v>
      </c>
      <c r="H2945" s="637">
        <f>VLOOKUP("CUSTO TOTAL:",D2946:$H$30004,5,FALSE)</f>
        <v>19055.400000000001</v>
      </c>
    </row>
    <row r="2946" spans="1:8" s="124" customFormat="1" ht="30">
      <c r="A2946" s="721">
        <v>3633</v>
      </c>
      <c r="B2946" s="721"/>
      <c r="C2946" s="200" t="s">
        <v>6333</v>
      </c>
      <c r="D2946" s="139" t="s">
        <v>7289</v>
      </c>
      <c r="E2946" s="209">
        <v>1</v>
      </c>
      <c r="F2946" s="577" t="s">
        <v>139</v>
      </c>
      <c r="G2946" s="174">
        <v>13.473000000000001</v>
      </c>
      <c r="H2946" s="211">
        <f>ROUND(G2946*E2946,2)</f>
        <v>13.47</v>
      </c>
    </row>
    <row r="2947" spans="1:8" s="124" customFormat="1" ht="30">
      <c r="A2947" s="721">
        <v>88264</v>
      </c>
      <c r="B2947" s="721"/>
      <c r="C2947" s="200" t="s">
        <v>5256</v>
      </c>
      <c r="D2947" s="139" t="s">
        <v>84</v>
      </c>
      <c r="E2947" s="209">
        <v>0.4</v>
      </c>
      <c r="F2947" s="577" t="s">
        <v>67</v>
      </c>
      <c r="G2947" s="210">
        <v>15.778800000000002</v>
      </c>
      <c r="H2947" s="211">
        <f>ROUND(G2947*E2947,2)</f>
        <v>6.31</v>
      </c>
    </row>
    <row r="2948" spans="1:8" s="124" customFormat="1" ht="30">
      <c r="A2948" s="721">
        <v>88316</v>
      </c>
      <c r="B2948" s="721"/>
      <c r="C2948" s="200" t="s">
        <v>5256</v>
      </c>
      <c r="D2948" s="139" t="s">
        <v>66</v>
      </c>
      <c r="E2948" s="209">
        <v>0.4</v>
      </c>
      <c r="F2948" s="577" t="s">
        <v>67</v>
      </c>
      <c r="G2948" s="210">
        <v>11.631600000000001</v>
      </c>
      <c r="H2948" s="211">
        <f>ROUND(G2948*E2948,2)</f>
        <v>4.6500000000000004</v>
      </c>
    </row>
    <row r="2949" spans="1:8" s="201" customFormat="1">
      <c r="A2949" s="582"/>
      <c r="B2949" s="582"/>
      <c r="C2949" s="212"/>
      <c r="D2949" s="719" t="s">
        <v>127</v>
      </c>
      <c r="E2949" s="719"/>
      <c r="F2949" s="719"/>
      <c r="G2949" s="719"/>
      <c r="H2949" s="638">
        <f>SUMIF(F2946:F2948,("h"),H2946:H2948)</f>
        <v>10.96</v>
      </c>
    </row>
    <row r="2950" spans="1:8" s="201" customFormat="1">
      <c r="A2950" s="582"/>
      <c r="B2950" s="582"/>
      <c r="C2950" s="212"/>
      <c r="D2950" s="719" t="s">
        <v>128</v>
      </c>
      <c r="E2950" s="719"/>
      <c r="F2950" s="719"/>
      <c r="G2950" s="719"/>
      <c r="H2950" s="638">
        <f>SUMIF(F2946:F2948,"&lt;&gt;h",H2946:H2948)</f>
        <v>13.47</v>
      </c>
    </row>
    <row r="2951" spans="1:8" s="201" customFormat="1">
      <c r="A2951" s="582"/>
      <c r="B2951" s="582"/>
      <c r="C2951" s="212"/>
      <c r="D2951" s="718" t="s">
        <v>129</v>
      </c>
      <c r="E2951" s="718"/>
      <c r="F2951" s="718"/>
      <c r="G2951" s="718"/>
      <c r="H2951" s="213">
        <f>SUM(H2949:H2950)</f>
        <v>24.43</v>
      </c>
    </row>
    <row r="2952" spans="1:8" s="201" customFormat="1">
      <c r="A2952" s="582"/>
      <c r="B2952" s="582"/>
      <c r="C2952" s="212"/>
      <c r="D2952" s="719" t="s">
        <v>28</v>
      </c>
      <c r="E2952" s="719"/>
      <c r="F2952" s="719"/>
      <c r="G2952" s="719"/>
      <c r="H2952" s="639">
        <f>E2945</f>
        <v>780</v>
      </c>
    </row>
    <row r="2953" spans="1:8" s="201" customFormat="1">
      <c r="A2953" s="582"/>
      <c r="B2953" s="582"/>
      <c r="C2953" s="212"/>
      <c r="D2953" s="718" t="s">
        <v>130</v>
      </c>
      <c r="E2953" s="718"/>
      <c r="F2953" s="718"/>
      <c r="G2953" s="718"/>
      <c r="H2953" s="213">
        <f>ROUND(H2951*H2952,2)</f>
        <v>19055.400000000001</v>
      </c>
    </row>
    <row r="2954" spans="1:8" s="201" customFormat="1">
      <c r="A2954" s="582"/>
      <c r="B2954" s="582"/>
      <c r="C2954" s="212"/>
      <c r="D2954" s="719" t="s">
        <v>15559</v>
      </c>
      <c r="E2954" s="719"/>
      <c r="F2954" s="719"/>
      <c r="G2954" s="719"/>
      <c r="H2954" s="638">
        <f>ROUND(H2951*$B$13,2)</f>
        <v>6.58</v>
      </c>
    </row>
    <row r="2955" spans="1:8">
      <c r="A2955" s="582"/>
      <c r="B2955" s="582"/>
      <c r="C2955" s="212"/>
      <c r="D2955" s="718" t="s">
        <v>9661</v>
      </c>
      <c r="E2955" s="718"/>
      <c r="F2955" s="718"/>
      <c r="G2955" s="718"/>
      <c r="H2955" s="213">
        <f>H2954+H2951</f>
        <v>31.009999999999998</v>
      </c>
    </row>
    <row r="2957" spans="1:8" s="201" customFormat="1">
      <c r="A2957" s="123" t="s">
        <v>6</v>
      </c>
      <c r="B2957" s="720" t="s">
        <v>7</v>
      </c>
      <c r="C2957" s="720"/>
      <c r="D2957" s="202" t="s">
        <v>124</v>
      </c>
      <c r="E2957" s="167" t="s">
        <v>6334</v>
      </c>
      <c r="F2957" s="202" t="s">
        <v>31</v>
      </c>
      <c r="G2957" s="203" t="s">
        <v>125</v>
      </c>
      <c r="H2957" s="204" t="s">
        <v>126</v>
      </c>
    </row>
    <row r="2958" spans="1:8" s="208" customFormat="1" ht="30">
      <c r="A2958" s="216" t="str">
        <f>'Orç - Prédio'!A492</f>
        <v>06.01.309.05</v>
      </c>
      <c r="B2958" s="216" t="str">
        <f>'Orç - Prédio'!B492</f>
        <v>ORSE</v>
      </c>
      <c r="C2958" s="216">
        <f>'Orç - Prédio'!C492</f>
        <v>8114</v>
      </c>
      <c r="D2958" s="217" t="s">
        <v>8473</v>
      </c>
      <c r="E2958" s="206">
        <v>2</v>
      </c>
      <c r="F2958" s="216" t="s">
        <v>6337</v>
      </c>
      <c r="G2958" s="207">
        <f>VLOOKUP("CUSTO TOTAL UNIT.:",D2959:$H$30004,5,FALSE)</f>
        <v>43.480000000000004</v>
      </c>
      <c r="H2958" s="637">
        <f>VLOOKUP("CUSTO TOTAL:",D2959:$H$30004,5,FALSE)</f>
        <v>86.96</v>
      </c>
    </row>
    <row r="2959" spans="1:8" s="124" customFormat="1" ht="30">
      <c r="A2959" s="721">
        <v>4021</v>
      </c>
      <c r="B2959" s="721"/>
      <c r="C2959" s="200" t="s">
        <v>6333</v>
      </c>
      <c r="D2959" s="139" t="s">
        <v>8515</v>
      </c>
      <c r="E2959" s="209">
        <v>1</v>
      </c>
      <c r="F2959" s="577" t="s">
        <v>31</v>
      </c>
      <c r="G2959" s="174">
        <v>37.989000000000004</v>
      </c>
      <c r="H2959" s="211">
        <f>ROUND(G2959*E2959,2)</f>
        <v>37.99</v>
      </c>
    </row>
    <row r="2960" spans="1:8" s="124" customFormat="1" ht="30">
      <c r="A2960" s="721">
        <v>88264</v>
      </c>
      <c r="B2960" s="721"/>
      <c r="C2960" s="200" t="s">
        <v>5256</v>
      </c>
      <c r="D2960" s="139" t="s">
        <v>84</v>
      </c>
      <c r="E2960" s="209">
        <v>0.2</v>
      </c>
      <c r="F2960" s="577" t="s">
        <v>67</v>
      </c>
      <c r="G2960" s="210">
        <v>15.778800000000002</v>
      </c>
      <c r="H2960" s="211">
        <f>ROUND(G2960*E2960,2)</f>
        <v>3.16</v>
      </c>
    </row>
    <row r="2961" spans="1:8" s="124" customFormat="1" ht="30">
      <c r="A2961" s="721">
        <v>88316</v>
      </c>
      <c r="B2961" s="721"/>
      <c r="C2961" s="200" t="s">
        <v>5256</v>
      </c>
      <c r="D2961" s="139" t="s">
        <v>66</v>
      </c>
      <c r="E2961" s="209">
        <v>0.2</v>
      </c>
      <c r="F2961" s="577" t="s">
        <v>67</v>
      </c>
      <c r="G2961" s="210">
        <v>11.631600000000001</v>
      </c>
      <c r="H2961" s="211">
        <f>ROUND(G2961*E2961,2)</f>
        <v>2.33</v>
      </c>
    </row>
    <row r="2962" spans="1:8" s="201" customFormat="1">
      <c r="A2962" s="582"/>
      <c r="B2962" s="582"/>
      <c r="C2962" s="212"/>
      <c r="D2962" s="719" t="s">
        <v>127</v>
      </c>
      <c r="E2962" s="719"/>
      <c r="F2962" s="719"/>
      <c r="G2962" s="719"/>
      <c r="H2962" s="638">
        <f>SUMIF(F2959:F2961,("h"),H2959:H2961)</f>
        <v>5.49</v>
      </c>
    </row>
    <row r="2963" spans="1:8" s="201" customFormat="1">
      <c r="A2963" s="582"/>
      <c r="B2963" s="582"/>
      <c r="C2963" s="212"/>
      <c r="D2963" s="719" t="s">
        <v>128</v>
      </c>
      <c r="E2963" s="719"/>
      <c r="F2963" s="719"/>
      <c r="G2963" s="719"/>
      <c r="H2963" s="638">
        <f>SUMIF(F2959:F2961,"&lt;&gt;h",H2959:H2961)</f>
        <v>37.99</v>
      </c>
    </row>
    <row r="2964" spans="1:8" s="201" customFormat="1">
      <c r="A2964" s="582"/>
      <c r="B2964" s="582"/>
      <c r="C2964" s="212"/>
      <c r="D2964" s="718" t="s">
        <v>129</v>
      </c>
      <c r="E2964" s="718"/>
      <c r="F2964" s="718"/>
      <c r="G2964" s="718"/>
      <c r="H2964" s="213">
        <f>SUM(H2962:H2963)</f>
        <v>43.480000000000004</v>
      </c>
    </row>
    <row r="2965" spans="1:8" s="201" customFormat="1">
      <c r="A2965" s="582"/>
      <c r="B2965" s="582"/>
      <c r="C2965" s="212"/>
      <c r="D2965" s="719" t="s">
        <v>28</v>
      </c>
      <c r="E2965" s="719"/>
      <c r="F2965" s="719"/>
      <c r="G2965" s="719"/>
      <c r="H2965" s="639">
        <f>E2958</f>
        <v>2</v>
      </c>
    </row>
    <row r="2966" spans="1:8" s="201" customFormat="1">
      <c r="A2966" s="582"/>
      <c r="B2966" s="582"/>
      <c r="C2966" s="212"/>
      <c r="D2966" s="718" t="s">
        <v>130</v>
      </c>
      <c r="E2966" s="718"/>
      <c r="F2966" s="718"/>
      <c r="G2966" s="718"/>
      <c r="H2966" s="213">
        <f>ROUND(H2964*H2965,2)</f>
        <v>86.96</v>
      </c>
    </row>
    <row r="2967" spans="1:8" s="201" customFormat="1">
      <c r="A2967" s="582"/>
      <c r="B2967" s="582"/>
      <c r="C2967" s="212"/>
      <c r="D2967" s="719" t="s">
        <v>15559</v>
      </c>
      <c r="E2967" s="719"/>
      <c r="F2967" s="719"/>
      <c r="G2967" s="719"/>
      <c r="H2967" s="638">
        <f>ROUND(H2964*$B$13,2)</f>
        <v>11.71</v>
      </c>
    </row>
    <row r="2968" spans="1:8">
      <c r="A2968" s="582"/>
      <c r="B2968" s="582"/>
      <c r="C2968" s="212"/>
      <c r="D2968" s="718" t="s">
        <v>9661</v>
      </c>
      <c r="E2968" s="718"/>
      <c r="F2968" s="718"/>
      <c r="G2968" s="718"/>
      <c r="H2968" s="213">
        <f>H2967+H2964</f>
        <v>55.190000000000005</v>
      </c>
    </row>
    <row r="2970" spans="1:8" s="201" customFormat="1">
      <c r="A2970" s="123" t="s">
        <v>6</v>
      </c>
      <c r="B2970" s="720" t="s">
        <v>7</v>
      </c>
      <c r="C2970" s="720"/>
      <c r="D2970" s="202" t="s">
        <v>124</v>
      </c>
      <c r="E2970" s="167" t="s">
        <v>6334</v>
      </c>
      <c r="F2970" s="202" t="s">
        <v>31</v>
      </c>
      <c r="G2970" s="203" t="s">
        <v>125</v>
      </c>
      <c r="H2970" s="204" t="s">
        <v>126</v>
      </c>
    </row>
    <row r="2971" spans="1:8" s="208" customFormat="1" ht="30">
      <c r="A2971" s="216" t="str">
        <f>'Orç - Prédio'!A493</f>
        <v>06.01.309.06</v>
      </c>
      <c r="B2971" s="216" t="str">
        <f>'Orç - Prédio'!B493</f>
        <v>ORSE</v>
      </c>
      <c r="C2971" s="216">
        <f>'Orç - Prédio'!C493</f>
        <v>9520</v>
      </c>
      <c r="D2971" s="217" t="s">
        <v>8474</v>
      </c>
      <c r="E2971" s="206">
        <v>2</v>
      </c>
      <c r="F2971" s="216" t="s">
        <v>6337</v>
      </c>
      <c r="G2971" s="207">
        <f>VLOOKUP("CUSTO TOTAL UNIT.:",D2972:$H$30004,5,FALSE)</f>
        <v>37.880000000000003</v>
      </c>
      <c r="H2971" s="637">
        <f>VLOOKUP("CUSTO TOTAL:",D2972:$H$30004,5,FALSE)</f>
        <v>75.760000000000005</v>
      </c>
    </row>
    <row r="2972" spans="1:8" s="124" customFormat="1" ht="30">
      <c r="A2972" s="721">
        <v>4020</v>
      </c>
      <c r="B2972" s="721"/>
      <c r="C2972" s="200" t="s">
        <v>6333</v>
      </c>
      <c r="D2972" s="139" t="s">
        <v>8516</v>
      </c>
      <c r="E2972" s="209">
        <v>1</v>
      </c>
      <c r="F2972" s="577" t="s">
        <v>31</v>
      </c>
      <c r="G2972" s="174">
        <v>32.391900000000007</v>
      </c>
      <c r="H2972" s="211">
        <f>ROUND(G2972*E2972,2)</f>
        <v>32.39</v>
      </c>
    </row>
    <row r="2973" spans="1:8" s="124" customFormat="1" ht="30">
      <c r="A2973" s="721">
        <v>88264</v>
      </c>
      <c r="B2973" s="721"/>
      <c r="C2973" s="200" t="s">
        <v>5256</v>
      </c>
      <c r="D2973" s="139" t="s">
        <v>84</v>
      </c>
      <c r="E2973" s="209">
        <v>0.2</v>
      </c>
      <c r="F2973" s="577" t="s">
        <v>67</v>
      </c>
      <c r="G2973" s="210">
        <v>15.778800000000002</v>
      </c>
      <c r="H2973" s="211">
        <f>ROUND(G2973*E2973,2)</f>
        <v>3.16</v>
      </c>
    </row>
    <row r="2974" spans="1:8" s="124" customFormat="1" ht="30">
      <c r="A2974" s="721">
        <v>88316</v>
      </c>
      <c r="B2974" s="721"/>
      <c r="C2974" s="200" t="s">
        <v>5256</v>
      </c>
      <c r="D2974" s="139" t="s">
        <v>66</v>
      </c>
      <c r="E2974" s="209">
        <v>0.2</v>
      </c>
      <c r="F2974" s="577" t="s">
        <v>67</v>
      </c>
      <c r="G2974" s="210">
        <v>11.631600000000001</v>
      </c>
      <c r="H2974" s="211">
        <f>ROUND(G2974*E2974,2)</f>
        <v>2.33</v>
      </c>
    </row>
    <row r="2975" spans="1:8" s="201" customFormat="1">
      <c r="A2975" s="582"/>
      <c r="B2975" s="582"/>
      <c r="C2975" s="212"/>
      <c r="D2975" s="719" t="s">
        <v>127</v>
      </c>
      <c r="E2975" s="719"/>
      <c r="F2975" s="719"/>
      <c r="G2975" s="719"/>
      <c r="H2975" s="638">
        <f>SUMIF(F2972:F2974,("h"),H2972:H2974)</f>
        <v>5.49</v>
      </c>
    </row>
    <row r="2976" spans="1:8" s="201" customFormat="1">
      <c r="A2976" s="582"/>
      <c r="B2976" s="582"/>
      <c r="C2976" s="212"/>
      <c r="D2976" s="719" t="s">
        <v>128</v>
      </c>
      <c r="E2976" s="719"/>
      <c r="F2976" s="719"/>
      <c r="G2976" s="719"/>
      <c r="H2976" s="638">
        <f>SUMIF(F2972:F2974,"&lt;&gt;h",H2972:H2974)</f>
        <v>32.39</v>
      </c>
    </row>
    <row r="2977" spans="1:8" s="201" customFormat="1">
      <c r="A2977" s="582"/>
      <c r="B2977" s="582"/>
      <c r="C2977" s="212"/>
      <c r="D2977" s="718" t="s">
        <v>129</v>
      </c>
      <c r="E2977" s="718"/>
      <c r="F2977" s="718"/>
      <c r="G2977" s="718"/>
      <c r="H2977" s="213">
        <f>SUM(H2975:H2976)</f>
        <v>37.880000000000003</v>
      </c>
    </row>
    <row r="2978" spans="1:8" s="201" customFormat="1">
      <c r="A2978" s="582"/>
      <c r="B2978" s="582"/>
      <c r="C2978" s="212"/>
      <c r="D2978" s="719" t="s">
        <v>28</v>
      </c>
      <c r="E2978" s="719"/>
      <c r="F2978" s="719"/>
      <c r="G2978" s="719"/>
      <c r="H2978" s="639">
        <f>E2971</f>
        <v>2</v>
      </c>
    </row>
    <row r="2979" spans="1:8" s="201" customFormat="1">
      <c r="A2979" s="582"/>
      <c r="B2979" s="582"/>
      <c r="C2979" s="212"/>
      <c r="D2979" s="718" t="s">
        <v>130</v>
      </c>
      <c r="E2979" s="718"/>
      <c r="F2979" s="718"/>
      <c r="G2979" s="718"/>
      <c r="H2979" s="213">
        <f>ROUND(H2977*H2978,2)</f>
        <v>75.760000000000005</v>
      </c>
    </row>
    <row r="2980" spans="1:8" s="201" customFormat="1">
      <c r="A2980" s="582"/>
      <c r="B2980" s="582"/>
      <c r="C2980" s="212"/>
      <c r="D2980" s="719" t="s">
        <v>15559</v>
      </c>
      <c r="E2980" s="719"/>
      <c r="F2980" s="719"/>
      <c r="G2980" s="719"/>
      <c r="H2980" s="638">
        <f>ROUND(H2977*$B$13,2)</f>
        <v>10.199999999999999</v>
      </c>
    </row>
    <row r="2981" spans="1:8">
      <c r="A2981" s="582"/>
      <c r="B2981" s="582"/>
      <c r="C2981" s="212"/>
      <c r="D2981" s="718" t="s">
        <v>9661</v>
      </c>
      <c r="E2981" s="718"/>
      <c r="F2981" s="718"/>
      <c r="G2981" s="718"/>
      <c r="H2981" s="213">
        <f>H2980+H2977</f>
        <v>48.08</v>
      </c>
    </row>
    <row r="2983" spans="1:8" s="201" customFormat="1">
      <c r="A2983" s="123" t="s">
        <v>6</v>
      </c>
      <c r="B2983" s="720" t="s">
        <v>7</v>
      </c>
      <c r="C2983" s="720"/>
      <c r="D2983" s="202" t="s">
        <v>124</v>
      </c>
      <c r="E2983" s="167" t="s">
        <v>6334</v>
      </c>
      <c r="F2983" s="202" t="s">
        <v>31</v>
      </c>
      <c r="G2983" s="203" t="s">
        <v>125</v>
      </c>
      <c r="H2983" s="204" t="s">
        <v>126</v>
      </c>
    </row>
    <row r="2984" spans="1:8" s="208" customFormat="1" ht="30">
      <c r="A2984" s="216" t="str">
        <f>'Orç - Prédio'!A494</f>
        <v>06.01.309.07</v>
      </c>
      <c r="B2984" s="216" t="str">
        <f>'Orç - Prédio'!B494</f>
        <v>ORSE</v>
      </c>
      <c r="C2984" s="216">
        <f>'Orç - Prédio'!C494</f>
        <v>11290</v>
      </c>
      <c r="D2984" s="217" t="s">
        <v>8475</v>
      </c>
      <c r="E2984" s="206">
        <v>4</v>
      </c>
      <c r="F2984" s="216" t="s">
        <v>6337</v>
      </c>
      <c r="G2984" s="207">
        <f>VLOOKUP("CUSTO TOTAL UNIT.:",D2985:$H$30004,5,FALSE)</f>
        <v>25.82</v>
      </c>
      <c r="H2984" s="637">
        <f>VLOOKUP("CUSTO TOTAL:",D2985:$H$30004,5,FALSE)</f>
        <v>103.28</v>
      </c>
    </row>
    <row r="2985" spans="1:8" s="124" customFormat="1" ht="30">
      <c r="A2985" s="721">
        <v>4018</v>
      </c>
      <c r="B2985" s="721"/>
      <c r="C2985" s="200" t="s">
        <v>6333</v>
      </c>
      <c r="D2985" s="139" t="s">
        <v>8517</v>
      </c>
      <c r="E2985" s="209">
        <v>1</v>
      </c>
      <c r="F2985" s="577" t="s">
        <v>31</v>
      </c>
      <c r="G2985" s="174">
        <v>20.331000000000003</v>
      </c>
      <c r="H2985" s="211">
        <f>ROUND(G2985*E2985,2)</f>
        <v>20.329999999999998</v>
      </c>
    </row>
    <row r="2986" spans="1:8" s="124" customFormat="1" ht="30">
      <c r="A2986" s="721">
        <v>88264</v>
      </c>
      <c r="B2986" s="721"/>
      <c r="C2986" s="200" t="s">
        <v>5256</v>
      </c>
      <c r="D2986" s="139" t="s">
        <v>84</v>
      </c>
      <c r="E2986" s="209">
        <v>0.2</v>
      </c>
      <c r="F2986" s="577" t="s">
        <v>67</v>
      </c>
      <c r="G2986" s="210">
        <v>15.778800000000002</v>
      </c>
      <c r="H2986" s="211">
        <f>ROUND(G2986*E2986,2)</f>
        <v>3.16</v>
      </c>
    </row>
    <row r="2987" spans="1:8" s="124" customFormat="1" ht="30">
      <c r="A2987" s="721">
        <v>88316</v>
      </c>
      <c r="B2987" s="721"/>
      <c r="C2987" s="200" t="s">
        <v>5256</v>
      </c>
      <c r="D2987" s="139" t="s">
        <v>66</v>
      </c>
      <c r="E2987" s="209">
        <v>0.2</v>
      </c>
      <c r="F2987" s="577" t="s">
        <v>67</v>
      </c>
      <c r="G2987" s="210">
        <v>11.631600000000001</v>
      </c>
      <c r="H2987" s="211">
        <f>ROUND(G2987*E2987,2)</f>
        <v>2.33</v>
      </c>
    </row>
    <row r="2988" spans="1:8" s="201" customFormat="1">
      <c r="A2988" s="582"/>
      <c r="B2988" s="582"/>
      <c r="C2988" s="212"/>
      <c r="D2988" s="719" t="s">
        <v>127</v>
      </c>
      <c r="E2988" s="719"/>
      <c r="F2988" s="719"/>
      <c r="G2988" s="719"/>
      <c r="H2988" s="638">
        <f>SUMIF(F2985:F2987,("h"),H2985:H2987)</f>
        <v>5.49</v>
      </c>
    </row>
    <row r="2989" spans="1:8" s="201" customFormat="1">
      <c r="A2989" s="582"/>
      <c r="B2989" s="582"/>
      <c r="C2989" s="212"/>
      <c r="D2989" s="719" t="s">
        <v>128</v>
      </c>
      <c r="E2989" s="719"/>
      <c r="F2989" s="719"/>
      <c r="G2989" s="719"/>
      <c r="H2989" s="638">
        <f>SUMIF(F2985:F2987,"&lt;&gt;h",H2985:H2987)</f>
        <v>20.329999999999998</v>
      </c>
    </row>
    <row r="2990" spans="1:8" s="201" customFormat="1">
      <c r="A2990" s="582"/>
      <c r="B2990" s="582"/>
      <c r="C2990" s="212"/>
      <c r="D2990" s="718" t="s">
        <v>129</v>
      </c>
      <c r="E2990" s="718"/>
      <c r="F2990" s="718"/>
      <c r="G2990" s="718"/>
      <c r="H2990" s="213">
        <f>SUM(H2988:H2989)</f>
        <v>25.82</v>
      </c>
    </row>
    <row r="2991" spans="1:8" s="201" customFormat="1">
      <c r="A2991" s="582"/>
      <c r="B2991" s="582"/>
      <c r="C2991" s="212"/>
      <c r="D2991" s="719" t="s">
        <v>28</v>
      </c>
      <c r="E2991" s="719"/>
      <c r="F2991" s="719"/>
      <c r="G2991" s="719"/>
      <c r="H2991" s="639">
        <f>E2984</f>
        <v>4</v>
      </c>
    </row>
    <row r="2992" spans="1:8" s="201" customFormat="1">
      <c r="A2992" s="582"/>
      <c r="B2992" s="582"/>
      <c r="C2992" s="212"/>
      <c r="D2992" s="718" t="s">
        <v>130</v>
      </c>
      <c r="E2992" s="718"/>
      <c r="F2992" s="718"/>
      <c r="G2992" s="718"/>
      <c r="H2992" s="213">
        <f>ROUND(H2990*H2991,2)</f>
        <v>103.28</v>
      </c>
    </row>
    <row r="2993" spans="1:8" s="201" customFormat="1">
      <c r="A2993" s="582"/>
      <c r="B2993" s="582"/>
      <c r="C2993" s="212"/>
      <c r="D2993" s="719" t="s">
        <v>15559</v>
      </c>
      <c r="E2993" s="719"/>
      <c r="F2993" s="719"/>
      <c r="G2993" s="719"/>
      <c r="H2993" s="638">
        <f>ROUND(H2990*$B$13,2)</f>
        <v>6.95</v>
      </c>
    </row>
    <row r="2994" spans="1:8">
      <c r="A2994" s="582"/>
      <c r="B2994" s="582"/>
      <c r="C2994" s="212"/>
      <c r="D2994" s="718" t="s">
        <v>9661</v>
      </c>
      <c r="E2994" s="718"/>
      <c r="F2994" s="718"/>
      <c r="G2994" s="718"/>
      <c r="H2994" s="213">
        <f>H2993+H2990</f>
        <v>32.770000000000003</v>
      </c>
    </row>
    <row r="2996" spans="1:8" s="201" customFormat="1">
      <c r="A2996" s="123" t="s">
        <v>6</v>
      </c>
      <c r="B2996" s="720" t="s">
        <v>7</v>
      </c>
      <c r="C2996" s="720"/>
      <c r="D2996" s="202" t="s">
        <v>124</v>
      </c>
      <c r="E2996" s="167" t="s">
        <v>6334</v>
      </c>
      <c r="F2996" s="202" t="s">
        <v>31</v>
      </c>
      <c r="G2996" s="203" t="s">
        <v>125</v>
      </c>
      <c r="H2996" s="204" t="s">
        <v>126</v>
      </c>
    </row>
    <row r="2997" spans="1:8" s="208" customFormat="1" ht="30">
      <c r="A2997" s="216" t="str">
        <f>'Orç - Prédio'!A495</f>
        <v>06.01.309.08</v>
      </c>
      <c r="B2997" s="216" t="str">
        <f>'Orç - Prédio'!B495</f>
        <v>ORSE</v>
      </c>
      <c r="C2997" s="216">
        <f>'Orç - Prédio'!C495</f>
        <v>8701</v>
      </c>
      <c r="D2997" s="217" t="s">
        <v>8476</v>
      </c>
      <c r="E2997" s="206">
        <v>20</v>
      </c>
      <c r="F2997" s="216" t="s">
        <v>6337</v>
      </c>
      <c r="G2997" s="207">
        <f>VLOOKUP("CUSTO TOTAL UNIT.:",D2998:$H$30004,5,FALSE)</f>
        <v>27.51</v>
      </c>
      <c r="H2997" s="637">
        <f>VLOOKUP("CUSTO TOTAL:",D2998:$H$30004,5,FALSE)</f>
        <v>550.20000000000005</v>
      </c>
    </row>
    <row r="2998" spans="1:8" s="124" customFormat="1" ht="30">
      <c r="A2998" s="721">
        <v>4015</v>
      </c>
      <c r="B2998" s="721"/>
      <c r="C2998" s="200" t="s">
        <v>6333</v>
      </c>
      <c r="D2998" s="139" t="s">
        <v>15402</v>
      </c>
      <c r="E2998" s="209">
        <v>1</v>
      </c>
      <c r="F2998" s="577" t="s">
        <v>31</v>
      </c>
      <c r="G2998" s="174">
        <v>16.548300000000001</v>
      </c>
      <c r="H2998" s="211">
        <f>ROUND(G2998*E2998,2)</f>
        <v>16.55</v>
      </c>
    </row>
    <row r="2999" spans="1:8" s="124" customFormat="1" ht="30">
      <c r="A2999" s="721">
        <v>88264</v>
      </c>
      <c r="B2999" s="721"/>
      <c r="C2999" s="200" t="s">
        <v>5256</v>
      </c>
      <c r="D2999" s="139" t="s">
        <v>84</v>
      </c>
      <c r="E2999" s="209">
        <v>0.4</v>
      </c>
      <c r="F2999" s="577" t="s">
        <v>67</v>
      </c>
      <c r="G2999" s="210">
        <v>15.778800000000002</v>
      </c>
      <c r="H2999" s="211">
        <f>ROUND(G2999*E2999,2)</f>
        <v>6.31</v>
      </c>
    </row>
    <row r="3000" spans="1:8" s="124" customFormat="1" ht="30">
      <c r="A3000" s="721">
        <v>88316</v>
      </c>
      <c r="B3000" s="721"/>
      <c r="C3000" s="200" t="s">
        <v>5256</v>
      </c>
      <c r="D3000" s="139" t="s">
        <v>66</v>
      </c>
      <c r="E3000" s="209">
        <v>0.4</v>
      </c>
      <c r="F3000" s="577" t="s">
        <v>67</v>
      </c>
      <c r="G3000" s="210">
        <v>11.631600000000001</v>
      </c>
      <c r="H3000" s="211">
        <f>ROUND(G3000*E3000,2)</f>
        <v>4.6500000000000004</v>
      </c>
    </row>
    <row r="3001" spans="1:8" s="201" customFormat="1">
      <c r="A3001" s="582"/>
      <c r="B3001" s="582"/>
      <c r="C3001" s="212"/>
      <c r="D3001" s="719" t="s">
        <v>127</v>
      </c>
      <c r="E3001" s="719"/>
      <c r="F3001" s="719"/>
      <c r="G3001" s="719"/>
      <c r="H3001" s="638">
        <f>SUMIF(F2998:F3000,("h"),H2998:H3000)</f>
        <v>10.96</v>
      </c>
    </row>
    <row r="3002" spans="1:8" s="201" customFormat="1">
      <c r="A3002" s="582"/>
      <c r="B3002" s="582"/>
      <c r="C3002" s="212"/>
      <c r="D3002" s="719" t="s">
        <v>128</v>
      </c>
      <c r="E3002" s="719"/>
      <c r="F3002" s="719"/>
      <c r="G3002" s="719"/>
      <c r="H3002" s="638">
        <f>SUMIF(F2998:F3000,"&lt;&gt;h",H2998:H3000)</f>
        <v>16.55</v>
      </c>
    </row>
    <row r="3003" spans="1:8" s="201" customFormat="1">
      <c r="A3003" s="582"/>
      <c r="B3003" s="582"/>
      <c r="C3003" s="212"/>
      <c r="D3003" s="718" t="s">
        <v>129</v>
      </c>
      <c r="E3003" s="718"/>
      <c r="F3003" s="718"/>
      <c r="G3003" s="718"/>
      <c r="H3003" s="213">
        <f>SUM(H3001:H3002)</f>
        <v>27.51</v>
      </c>
    </row>
    <row r="3004" spans="1:8" s="201" customFormat="1">
      <c r="A3004" s="582"/>
      <c r="B3004" s="582"/>
      <c r="C3004" s="212"/>
      <c r="D3004" s="719" t="s">
        <v>28</v>
      </c>
      <c r="E3004" s="719"/>
      <c r="F3004" s="719"/>
      <c r="G3004" s="719"/>
      <c r="H3004" s="639">
        <f>E2997</f>
        <v>20</v>
      </c>
    </row>
    <row r="3005" spans="1:8" s="201" customFormat="1">
      <c r="A3005" s="582"/>
      <c r="B3005" s="582"/>
      <c r="C3005" s="212"/>
      <c r="D3005" s="718" t="s">
        <v>130</v>
      </c>
      <c r="E3005" s="718"/>
      <c r="F3005" s="718"/>
      <c r="G3005" s="718"/>
      <c r="H3005" s="213">
        <f>ROUND(H3003*H3004,2)</f>
        <v>550.20000000000005</v>
      </c>
    </row>
    <row r="3006" spans="1:8" s="201" customFormat="1">
      <c r="A3006" s="582"/>
      <c r="B3006" s="582"/>
      <c r="C3006" s="212"/>
      <c r="D3006" s="719" t="s">
        <v>15559</v>
      </c>
      <c r="E3006" s="719"/>
      <c r="F3006" s="719"/>
      <c r="G3006" s="719"/>
      <c r="H3006" s="638">
        <f>ROUND(H3003*$B$13,2)</f>
        <v>7.41</v>
      </c>
    </row>
    <row r="3007" spans="1:8">
      <c r="A3007" s="582"/>
      <c r="B3007" s="582"/>
      <c r="C3007" s="212"/>
      <c r="D3007" s="718" t="s">
        <v>9661</v>
      </c>
      <c r="E3007" s="718"/>
      <c r="F3007" s="718"/>
      <c r="G3007" s="718"/>
      <c r="H3007" s="213">
        <f>H3006+H3003</f>
        <v>34.92</v>
      </c>
    </row>
    <row r="3009" spans="1:8" s="201" customFormat="1">
      <c r="A3009" s="123" t="s">
        <v>6</v>
      </c>
      <c r="B3009" s="720" t="s">
        <v>7</v>
      </c>
      <c r="C3009" s="720"/>
      <c r="D3009" s="202" t="s">
        <v>124</v>
      </c>
      <c r="E3009" s="167" t="s">
        <v>6334</v>
      </c>
      <c r="F3009" s="202" t="s">
        <v>31</v>
      </c>
      <c r="G3009" s="203" t="s">
        <v>125</v>
      </c>
      <c r="H3009" s="204" t="s">
        <v>126</v>
      </c>
    </row>
    <row r="3010" spans="1:8" s="208" customFormat="1" ht="30">
      <c r="A3010" s="216" t="str">
        <f>'Orç - Prédio'!A496</f>
        <v>06.01.309.09</v>
      </c>
      <c r="B3010" s="216" t="str">
        <f>'Orç - Prédio'!B496</f>
        <v>ORSE</v>
      </c>
      <c r="C3010" s="216" t="str">
        <f>'Orç - Prédio'!C496</f>
        <v>9521 MOD</v>
      </c>
      <c r="D3010" s="217" t="s">
        <v>15440</v>
      </c>
      <c r="E3010" s="206">
        <v>1</v>
      </c>
      <c r="F3010" s="216" t="s">
        <v>6337</v>
      </c>
      <c r="G3010" s="207">
        <f>VLOOKUP("CUSTO TOTAL UNIT.:",D3011:$H$30004,5,FALSE)</f>
        <v>53.27</v>
      </c>
      <c r="H3010" s="637">
        <f>VLOOKUP("CUSTO TOTAL:",D3011:$H$30004,5,FALSE)</f>
        <v>53.27</v>
      </c>
    </row>
    <row r="3011" spans="1:8" s="124" customFormat="1" ht="30">
      <c r="A3011" s="721">
        <v>4002</v>
      </c>
      <c r="B3011" s="721"/>
      <c r="C3011" s="200" t="s">
        <v>6333</v>
      </c>
      <c r="D3011" s="139" t="s">
        <v>15451</v>
      </c>
      <c r="E3011" s="209">
        <v>1</v>
      </c>
      <c r="F3011" s="577" t="s">
        <v>31</v>
      </c>
      <c r="G3011" s="174">
        <v>47.781900000000007</v>
      </c>
      <c r="H3011" s="211">
        <f>ROUND(G3011*E3011,2)</f>
        <v>47.78</v>
      </c>
    </row>
    <row r="3012" spans="1:8" s="124" customFormat="1" ht="30">
      <c r="A3012" s="721">
        <v>88264</v>
      </c>
      <c r="B3012" s="721"/>
      <c r="C3012" s="200" t="s">
        <v>5256</v>
      </c>
      <c r="D3012" s="139" t="s">
        <v>84</v>
      </c>
      <c r="E3012" s="209">
        <v>0.2</v>
      </c>
      <c r="F3012" s="577" t="s">
        <v>67</v>
      </c>
      <c r="G3012" s="210">
        <v>15.778800000000002</v>
      </c>
      <c r="H3012" s="211">
        <f>ROUND(G3012*E3012,2)</f>
        <v>3.16</v>
      </c>
    </row>
    <row r="3013" spans="1:8" s="124" customFormat="1" ht="30">
      <c r="A3013" s="721">
        <v>88316</v>
      </c>
      <c r="B3013" s="721"/>
      <c r="C3013" s="200" t="s">
        <v>5256</v>
      </c>
      <c r="D3013" s="139" t="s">
        <v>66</v>
      </c>
      <c r="E3013" s="209">
        <v>0.2</v>
      </c>
      <c r="F3013" s="577" t="s">
        <v>67</v>
      </c>
      <c r="G3013" s="210">
        <v>11.631600000000001</v>
      </c>
      <c r="H3013" s="211">
        <f>ROUND(G3013*E3013,2)</f>
        <v>2.33</v>
      </c>
    </row>
    <row r="3014" spans="1:8" s="201" customFormat="1">
      <c r="A3014" s="582"/>
      <c r="B3014" s="582"/>
      <c r="C3014" s="212"/>
      <c r="D3014" s="719" t="s">
        <v>127</v>
      </c>
      <c r="E3014" s="719"/>
      <c r="F3014" s="719"/>
      <c r="G3014" s="719"/>
      <c r="H3014" s="638">
        <f>SUMIF(F3011:F3013,("h"),H3011:H3013)</f>
        <v>5.49</v>
      </c>
    </row>
    <row r="3015" spans="1:8" s="201" customFormat="1">
      <c r="A3015" s="582"/>
      <c r="B3015" s="582"/>
      <c r="C3015" s="212"/>
      <c r="D3015" s="719" t="s">
        <v>128</v>
      </c>
      <c r="E3015" s="719"/>
      <c r="F3015" s="719"/>
      <c r="G3015" s="719"/>
      <c r="H3015" s="638">
        <f>SUMIF(F3011:F3013,"&lt;&gt;h",H3011:H3013)</f>
        <v>47.78</v>
      </c>
    </row>
    <row r="3016" spans="1:8" s="201" customFormat="1">
      <c r="A3016" s="582"/>
      <c r="B3016" s="582"/>
      <c r="C3016" s="212"/>
      <c r="D3016" s="718" t="s">
        <v>129</v>
      </c>
      <c r="E3016" s="718"/>
      <c r="F3016" s="718"/>
      <c r="G3016" s="718"/>
      <c r="H3016" s="213">
        <f>SUM(H3014:H3015)</f>
        <v>53.27</v>
      </c>
    </row>
    <row r="3017" spans="1:8" s="201" customFormat="1">
      <c r="A3017" s="582"/>
      <c r="B3017" s="582"/>
      <c r="C3017" s="212"/>
      <c r="D3017" s="719" t="s">
        <v>28</v>
      </c>
      <c r="E3017" s="719"/>
      <c r="F3017" s="719"/>
      <c r="G3017" s="719"/>
      <c r="H3017" s="639">
        <f>E3010</f>
        <v>1</v>
      </c>
    </row>
    <row r="3018" spans="1:8" s="201" customFormat="1">
      <c r="A3018" s="582"/>
      <c r="B3018" s="582"/>
      <c r="C3018" s="212"/>
      <c r="D3018" s="718" t="s">
        <v>130</v>
      </c>
      <c r="E3018" s="718"/>
      <c r="F3018" s="718"/>
      <c r="G3018" s="718"/>
      <c r="H3018" s="213">
        <f>ROUND(H3016*H3017,2)</f>
        <v>53.27</v>
      </c>
    </row>
    <row r="3019" spans="1:8" s="201" customFormat="1">
      <c r="A3019" s="582"/>
      <c r="B3019" s="582"/>
      <c r="C3019" s="212"/>
      <c r="D3019" s="719" t="s">
        <v>15559</v>
      </c>
      <c r="E3019" s="719"/>
      <c r="F3019" s="719"/>
      <c r="G3019" s="719"/>
      <c r="H3019" s="638">
        <f>ROUND(H3016*$B$13,2)</f>
        <v>14.35</v>
      </c>
    </row>
    <row r="3020" spans="1:8">
      <c r="A3020" s="582"/>
      <c r="B3020" s="582"/>
      <c r="C3020" s="212"/>
      <c r="D3020" s="718" t="s">
        <v>9661</v>
      </c>
      <c r="E3020" s="718"/>
      <c r="F3020" s="718"/>
      <c r="G3020" s="718"/>
      <c r="H3020" s="213">
        <f>H3019+H3016</f>
        <v>67.62</v>
      </c>
    </row>
    <row r="3022" spans="1:8" s="201" customFormat="1">
      <c r="A3022" s="123" t="s">
        <v>6</v>
      </c>
      <c r="B3022" s="720" t="s">
        <v>7</v>
      </c>
      <c r="C3022" s="720"/>
      <c r="D3022" s="202" t="s">
        <v>124</v>
      </c>
      <c r="E3022" s="167" t="s">
        <v>6334</v>
      </c>
      <c r="F3022" s="202" t="s">
        <v>31</v>
      </c>
      <c r="G3022" s="203" t="s">
        <v>125</v>
      </c>
      <c r="H3022" s="204" t="s">
        <v>126</v>
      </c>
    </row>
    <row r="3023" spans="1:8" s="208" customFormat="1" ht="30">
      <c r="A3023" s="216" t="str">
        <f>'Orç - Prédio'!A497</f>
        <v>06.01.309.10</v>
      </c>
      <c r="B3023" s="216" t="str">
        <f>'Orç - Prédio'!B497</f>
        <v>ORSE</v>
      </c>
      <c r="C3023" s="216">
        <f>'Orç - Prédio'!C497</f>
        <v>9521</v>
      </c>
      <c r="D3023" s="217" t="s">
        <v>8477</v>
      </c>
      <c r="E3023" s="206">
        <v>1</v>
      </c>
      <c r="F3023" s="216" t="s">
        <v>6337</v>
      </c>
      <c r="G3023" s="207">
        <f>VLOOKUP("CUSTO TOTAL UNIT.:",D3024:$H$30004,5,FALSE)</f>
        <v>32.950000000000003</v>
      </c>
      <c r="H3023" s="637">
        <f>VLOOKUP("CUSTO TOTAL:",D3024:$H$30004,5,FALSE)</f>
        <v>32.950000000000003</v>
      </c>
    </row>
    <row r="3024" spans="1:8" s="124" customFormat="1" ht="30">
      <c r="A3024" s="721">
        <v>4001</v>
      </c>
      <c r="B3024" s="721"/>
      <c r="C3024" s="200" t="s">
        <v>6333</v>
      </c>
      <c r="D3024" s="139" t="s">
        <v>8522</v>
      </c>
      <c r="E3024" s="209">
        <v>1</v>
      </c>
      <c r="F3024" s="577" t="s">
        <v>31</v>
      </c>
      <c r="G3024" s="174">
        <v>27.459</v>
      </c>
      <c r="H3024" s="211">
        <f>ROUND(G3024*E3024,2)</f>
        <v>27.46</v>
      </c>
    </row>
    <row r="3025" spans="1:8" s="124" customFormat="1" ht="30">
      <c r="A3025" s="721">
        <v>88264</v>
      </c>
      <c r="B3025" s="721"/>
      <c r="C3025" s="200" t="s">
        <v>5256</v>
      </c>
      <c r="D3025" s="139" t="s">
        <v>84</v>
      </c>
      <c r="E3025" s="209">
        <v>0.2</v>
      </c>
      <c r="F3025" s="577" t="s">
        <v>67</v>
      </c>
      <c r="G3025" s="210">
        <v>15.778800000000002</v>
      </c>
      <c r="H3025" s="211">
        <f>ROUND(G3025*E3025,2)</f>
        <v>3.16</v>
      </c>
    </row>
    <row r="3026" spans="1:8" s="124" customFormat="1" ht="30">
      <c r="A3026" s="721">
        <v>88316</v>
      </c>
      <c r="B3026" s="721"/>
      <c r="C3026" s="200" t="s">
        <v>5256</v>
      </c>
      <c r="D3026" s="139" t="s">
        <v>66</v>
      </c>
      <c r="E3026" s="209">
        <v>0.2</v>
      </c>
      <c r="F3026" s="577" t="s">
        <v>67</v>
      </c>
      <c r="G3026" s="210">
        <v>11.631600000000001</v>
      </c>
      <c r="H3026" s="211">
        <f>ROUND(G3026*E3026,2)</f>
        <v>2.33</v>
      </c>
    </row>
    <row r="3027" spans="1:8" s="201" customFormat="1">
      <c r="A3027" s="582"/>
      <c r="B3027" s="582"/>
      <c r="C3027" s="212"/>
      <c r="D3027" s="719" t="s">
        <v>127</v>
      </c>
      <c r="E3027" s="719"/>
      <c r="F3027" s="719"/>
      <c r="G3027" s="719"/>
      <c r="H3027" s="638">
        <f>SUMIF(F3024:F3026,("h"),H3024:H3026)</f>
        <v>5.49</v>
      </c>
    </row>
    <row r="3028" spans="1:8" s="201" customFormat="1">
      <c r="A3028" s="582"/>
      <c r="B3028" s="582"/>
      <c r="C3028" s="212"/>
      <c r="D3028" s="719" t="s">
        <v>128</v>
      </c>
      <c r="E3028" s="719"/>
      <c r="F3028" s="719"/>
      <c r="G3028" s="719"/>
      <c r="H3028" s="638">
        <f>SUMIF(F3024:F3026,"&lt;&gt;h",H3024:H3026)</f>
        <v>27.46</v>
      </c>
    </row>
    <row r="3029" spans="1:8" s="201" customFormat="1">
      <c r="A3029" s="582"/>
      <c r="B3029" s="582"/>
      <c r="C3029" s="212"/>
      <c r="D3029" s="718" t="s">
        <v>129</v>
      </c>
      <c r="E3029" s="718"/>
      <c r="F3029" s="718"/>
      <c r="G3029" s="718"/>
      <c r="H3029" s="213">
        <f>SUM(H3027:H3028)</f>
        <v>32.950000000000003</v>
      </c>
    </row>
    <row r="3030" spans="1:8" s="201" customFormat="1">
      <c r="A3030" s="582"/>
      <c r="B3030" s="582"/>
      <c r="C3030" s="212"/>
      <c r="D3030" s="719" t="s">
        <v>28</v>
      </c>
      <c r="E3030" s="719"/>
      <c r="F3030" s="719"/>
      <c r="G3030" s="719"/>
      <c r="H3030" s="639">
        <f>E3023</f>
        <v>1</v>
      </c>
    </row>
    <row r="3031" spans="1:8" s="201" customFormat="1">
      <c r="A3031" s="582"/>
      <c r="B3031" s="582"/>
      <c r="C3031" s="212"/>
      <c r="D3031" s="718" t="s">
        <v>130</v>
      </c>
      <c r="E3031" s="718"/>
      <c r="F3031" s="718"/>
      <c r="G3031" s="718"/>
      <c r="H3031" s="213">
        <f>ROUND(H3029*H3030,2)</f>
        <v>32.950000000000003</v>
      </c>
    </row>
    <row r="3032" spans="1:8" s="201" customFormat="1">
      <c r="A3032" s="582"/>
      <c r="B3032" s="582"/>
      <c r="C3032" s="212"/>
      <c r="D3032" s="719" t="s">
        <v>15559</v>
      </c>
      <c r="E3032" s="719"/>
      <c r="F3032" s="719"/>
      <c r="G3032" s="719"/>
      <c r="H3032" s="638">
        <f>ROUND(H3029*$B$13,2)</f>
        <v>8.8699999999999992</v>
      </c>
    </row>
    <row r="3033" spans="1:8">
      <c r="A3033" s="582"/>
      <c r="B3033" s="582"/>
      <c r="C3033" s="212"/>
      <c r="D3033" s="718" t="s">
        <v>9661</v>
      </c>
      <c r="E3033" s="718"/>
      <c r="F3033" s="718"/>
      <c r="G3033" s="718"/>
      <c r="H3033" s="213">
        <f>H3032+H3029</f>
        <v>41.82</v>
      </c>
    </row>
    <row r="3035" spans="1:8" s="201" customFormat="1">
      <c r="A3035" s="123" t="s">
        <v>6</v>
      </c>
      <c r="B3035" s="720" t="s">
        <v>7</v>
      </c>
      <c r="C3035" s="720"/>
      <c r="D3035" s="202" t="s">
        <v>124</v>
      </c>
      <c r="E3035" s="167" t="s">
        <v>6334</v>
      </c>
      <c r="F3035" s="202" t="s">
        <v>31</v>
      </c>
      <c r="G3035" s="203" t="s">
        <v>125</v>
      </c>
      <c r="H3035" s="204" t="s">
        <v>126</v>
      </c>
    </row>
    <row r="3036" spans="1:8" s="208" customFormat="1" ht="30">
      <c r="A3036" s="216" t="str">
        <f>'Orç - Prédio'!A498</f>
        <v>06.01.309.11</v>
      </c>
      <c r="B3036" s="216" t="str">
        <f>'Orç - Prédio'!B498</f>
        <v>ORSE</v>
      </c>
      <c r="C3036" s="216">
        <f>'Orç - Prédio'!C498</f>
        <v>8356</v>
      </c>
      <c r="D3036" s="217" t="s">
        <v>8478</v>
      </c>
      <c r="E3036" s="206">
        <v>6</v>
      </c>
      <c r="F3036" s="216" t="s">
        <v>6337</v>
      </c>
      <c r="G3036" s="207">
        <f>VLOOKUP("CUSTO TOTAL UNIT.:",D3037:$H$30004,5,FALSE)</f>
        <v>24.85</v>
      </c>
      <c r="H3036" s="637">
        <f>VLOOKUP("CUSTO TOTAL:",D3037:$H$30004,5,FALSE)</f>
        <v>149.1</v>
      </c>
    </row>
    <row r="3037" spans="1:8" s="124" customFormat="1" ht="30">
      <c r="A3037" s="721">
        <v>3999</v>
      </c>
      <c r="B3037" s="721"/>
      <c r="C3037" s="200" t="s">
        <v>6333</v>
      </c>
      <c r="D3037" s="139" t="s">
        <v>15403</v>
      </c>
      <c r="E3037" s="209">
        <v>1</v>
      </c>
      <c r="F3037" s="577" t="s">
        <v>31</v>
      </c>
      <c r="G3037" s="174">
        <v>19.359000000000002</v>
      </c>
      <c r="H3037" s="211">
        <f>ROUND(G3037*E3037,2)</f>
        <v>19.36</v>
      </c>
    </row>
    <row r="3038" spans="1:8" s="124" customFormat="1" ht="30">
      <c r="A3038" s="721">
        <v>88264</v>
      </c>
      <c r="B3038" s="721"/>
      <c r="C3038" s="200" t="s">
        <v>5256</v>
      </c>
      <c r="D3038" s="139" t="s">
        <v>84</v>
      </c>
      <c r="E3038" s="209">
        <v>0.2</v>
      </c>
      <c r="F3038" s="577" t="s">
        <v>67</v>
      </c>
      <c r="G3038" s="210">
        <v>15.778800000000002</v>
      </c>
      <c r="H3038" s="211">
        <f>ROUND(G3038*E3038,2)</f>
        <v>3.16</v>
      </c>
    </row>
    <row r="3039" spans="1:8" s="124" customFormat="1" ht="30">
      <c r="A3039" s="721">
        <v>88316</v>
      </c>
      <c r="B3039" s="721"/>
      <c r="C3039" s="200" t="s">
        <v>5256</v>
      </c>
      <c r="D3039" s="139" t="s">
        <v>66</v>
      </c>
      <c r="E3039" s="209">
        <v>0.2</v>
      </c>
      <c r="F3039" s="577" t="s">
        <v>67</v>
      </c>
      <c r="G3039" s="210">
        <v>11.631600000000001</v>
      </c>
      <c r="H3039" s="211">
        <f>ROUND(G3039*E3039,2)</f>
        <v>2.33</v>
      </c>
    </row>
    <row r="3040" spans="1:8" s="201" customFormat="1">
      <c r="A3040" s="582"/>
      <c r="B3040" s="582"/>
      <c r="C3040" s="212"/>
      <c r="D3040" s="719" t="s">
        <v>127</v>
      </c>
      <c r="E3040" s="719"/>
      <c r="F3040" s="719"/>
      <c r="G3040" s="719"/>
      <c r="H3040" s="638">
        <f>SUMIF(F3037:F3039,("h"),H3037:H3039)</f>
        <v>5.49</v>
      </c>
    </row>
    <row r="3041" spans="1:8" s="201" customFormat="1">
      <c r="A3041" s="582"/>
      <c r="B3041" s="582"/>
      <c r="C3041" s="212"/>
      <c r="D3041" s="719" t="s">
        <v>128</v>
      </c>
      <c r="E3041" s="719"/>
      <c r="F3041" s="719"/>
      <c r="G3041" s="719"/>
      <c r="H3041" s="638">
        <f>SUMIF(F3037:F3039,"&lt;&gt;h",H3037:H3039)</f>
        <v>19.36</v>
      </c>
    </row>
    <row r="3042" spans="1:8" s="201" customFormat="1">
      <c r="A3042" s="582"/>
      <c r="B3042" s="582"/>
      <c r="C3042" s="212"/>
      <c r="D3042" s="718" t="s">
        <v>129</v>
      </c>
      <c r="E3042" s="718"/>
      <c r="F3042" s="718"/>
      <c r="G3042" s="718"/>
      <c r="H3042" s="213">
        <f>SUM(H3040:H3041)</f>
        <v>24.85</v>
      </c>
    </row>
    <row r="3043" spans="1:8" s="201" customFormat="1">
      <c r="A3043" s="582"/>
      <c r="B3043" s="582"/>
      <c r="C3043" s="212"/>
      <c r="D3043" s="719" t="s">
        <v>28</v>
      </c>
      <c r="E3043" s="719"/>
      <c r="F3043" s="719"/>
      <c r="G3043" s="719"/>
      <c r="H3043" s="639">
        <f>E3036</f>
        <v>6</v>
      </c>
    </row>
    <row r="3044" spans="1:8" s="201" customFormat="1">
      <c r="A3044" s="582"/>
      <c r="B3044" s="582"/>
      <c r="C3044" s="212"/>
      <c r="D3044" s="718" t="s">
        <v>130</v>
      </c>
      <c r="E3044" s="718"/>
      <c r="F3044" s="718"/>
      <c r="G3044" s="718"/>
      <c r="H3044" s="213">
        <f>ROUND(H3042*H3043,2)</f>
        <v>149.1</v>
      </c>
    </row>
    <row r="3045" spans="1:8" s="201" customFormat="1">
      <c r="A3045" s="582"/>
      <c r="B3045" s="582"/>
      <c r="C3045" s="212"/>
      <c r="D3045" s="719" t="s">
        <v>15559</v>
      </c>
      <c r="E3045" s="719"/>
      <c r="F3045" s="719"/>
      <c r="G3045" s="719"/>
      <c r="H3045" s="638">
        <f>ROUND(H3042*$B$13,2)</f>
        <v>6.69</v>
      </c>
    </row>
    <row r="3046" spans="1:8">
      <c r="A3046" s="582"/>
      <c r="B3046" s="582"/>
      <c r="C3046" s="212"/>
      <c r="D3046" s="718" t="s">
        <v>9661</v>
      </c>
      <c r="E3046" s="718"/>
      <c r="F3046" s="718"/>
      <c r="G3046" s="718"/>
      <c r="H3046" s="213">
        <f>H3045+H3042</f>
        <v>31.540000000000003</v>
      </c>
    </row>
    <row r="3048" spans="1:8" s="201" customFormat="1">
      <c r="A3048" s="123" t="s">
        <v>6</v>
      </c>
      <c r="B3048" s="720" t="s">
        <v>7</v>
      </c>
      <c r="C3048" s="720"/>
      <c r="D3048" s="202" t="s">
        <v>124</v>
      </c>
      <c r="E3048" s="167" t="s">
        <v>6334</v>
      </c>
      <c r="F3048" s="202" t="s">
        <v>31</v>
      </c>
      <c r="G3048" s="203" t="s">
        <v>125</v>
      </c>
      <c r="H3048" s="204" t="s">
        <v>126</v>
      </c>
    </row>
    <row r="3049" spans="1:8" s="208" customFormat="1" ht="30">
      <c r="A3049" s="216" t="str">
        <f>'Orç - Prédio'!A499</f>
        <v>06.01.309.12</v>
      </c>
      <c r="B3049" s="216" t="str">
        <f>'Orç - Prédio'!B499</f>
        <v>ORSE</v>
      </c>
      <c r="C3049" s="216">
        <f>'Orç - Prédio'!C499</f>
        <v>8688</v>
      </c>
      <c r="D3049" s="217" t="s">
        <v>8479</v>
      </c>
      <c r="E3049" s="206">
        <v>6</v>
      </c>
      <c r="F3049" s="206" t="s">
        <v>6337</v>
      </c>
      <c r="G3049" s="207">
        <f>VLOOKUP("CUSTO TOTAL UNIT.:",D3050:$H$30004,5,FALSE)</f>
        <v>15.13</v>
      </c>
      <c r="H3049" s="637">
        <f>VLOOKUP("CUSTO TOTAL:",D3050:$H$30004,5,FALSE)</f>
        <v>90.78</v>
      </c>
    </row>
    <row r="3050" spans="1:8" s="124" customFormat="1" ht="30">
      <c r="A3050" s="721">
        <v>8945</v>
      </c>
      <c r="B3050" s="721"/>
      <c r="C3050" s="200" t="s">
        <v>6333</v>
      </c>
      <c r="D3050" s="139" t="s">
        <v>8523</v>
      </c>
      <c r="E3050" s="209">
        <v>1</v>
      </c>
      <c r="F3050" s="577" t="s">
        <v>31</v>
      </c>
      <c r="G3050" s="174">
        <v>9.6390000000000011</v>
      </c>
      <c r="H3050" s="211">
        <f>ROUND(G3050*E3050,2)</f>
        <v>9.64</v>
      </c>
    </row>
    <row r="3051" spans="1:8" s="124" customFormat="1" ht="30">
      <c r="A3051" s="721">
        <v>88264</v>
      </c>
      <c r="B3051" s="721"/>
      <c r="C3051" s="200" t="s">
        <v>5256</v>
      </c>
      <c r="D3051" s="139" t="s">
        <v>84</v>
      </c>
      <c r="E3051" s="209">
        <v>0.2</v>
      </c>
      <c r="F3051" s="577" t="s">
        <v>67</v>
      </c>
      <c r="G3051" s="210">
        <v>15.778800000000002</v>
      </c>
      <c r="H3051" s="211">
        <f>ROUND(G3051*E3051,2)</f>
        <v>3.16</v>
      </c>
    </row>
    <row r="3052" spans="1:8" s="124" customFormat="1" ht="30">
      <c r="A3052" s="721">
        <v>88316</v>
      </c>
      <c r="B3052" s="721"/>
      <c r="C3052" s="200" t="s">
        <v>5256</v>
      </c>
      <c r="D3052" s="139" t="s">
        <v>66</v>
      </c>
      <c r="E3052" s="209">
        <v>0.2</v>
      </c>
      <c r="F3052" s="577" t="s">
        <v>67</v>
      </c>
      <c r="G3052" s="210">
        <v>11.631600000000001</v>
      </c>
      <c r="H3052" s="211">
        <f>ROUND(G3052*E3052,2)</f>
        <v>2.33</v>
      </c>
    </row>
    <row r="3053" spans="1:8" s="201" customFormat="1">
      <c r="A3053" s="582"/>
      <c r="B3053" s="582"/>
      <c r="C3053" s="212"/>
      <c r="D3053" s="719" t="s">
        <v>127</v>
      </c>
      <c r="E3053" s="719"/>
      <c r="F3053" s="719"/>
      <c r="G3053" s="719"/>
      <c r="H3053" s="638">
        <f>SUMIF(F3050:F3052,("h"),H3050:H3052)</f>
        <v>5.49</v>
      </c>
    </row>
    <row r="3054" spans="1:8" s="201" customFormat="1">
      <c r="A3054" s="582"/>
      <c r="B3054" s="582"/>
      <c r="C3054" s="212"/>
      <c r="D3054" s="719" t="s">
        <v>128</v>
      </c>
      <c r="E3054" s="719"/>
      <c r="F3054" s="719"/>
      <c r="G3054" s="719"/>
      <c r="H3054" s="638">
        <f>SUMIF(F3050:F3052,"&lt;&gt;h",H3050:H3052)</f>
        <v>9.64</v>
      </c>
    </row>
    <row r="3055" spans="1:8" s="201" customFormat="1">
      <c r="A3055" s="582"/>
      <c r="B3055" s="582"/>
      <c r="C3055" s="212"/>
      <c r="D3055" s="718" t="s">
        <v>129</v>
      </c>
      <c r="E3055" s="718"/>
      <c r="F3055" s="718"/>
      <c r="G3055" s="718"/>
      <c r="H3055" s="213">
        <f>SUM(H3053:H3054)</f>
        <v>15.13</v>
      </c>
    </row>
    <row r="3056" spans="1:8" s="201" customFormat="1">
      <c r="A3056" s="582"/>
      <c r="B3056" s="582"/>
      <c r="C3056" s="212"/>
      <c r="D3056" s="719" t="s">
        <v>28</v>
      </c>
      <c r="E3056" s="719"/>
      <c r="F3056" s="719"/>
      <c r="G3056" s="719"/>
      <c r="H3056" s="639">
        <f>E3049</f>
        <v>6</v>
      </c>
    </row>
    <row r="3057" spans="1:8" s="201" customFormat="1">
      <c r="A3057" s="582"/>
      <c r="B3057" s="582"/>
      <c r="C3057" s="212"/>
      <c r="D3057" s="718" t="s">
        <v>130</v>
      </c>
      <c r="E3057" s="718"/>
      <c r="F3057" s="718"/>
      <c r="G3057" s="718"/>
      <c r="H3057" s="213">
        <f>ROUND(H3055*H3056,2)</f>
        <v>90.78</v>
      </c>
    </row>
    <row r="3058" spans="1:8" s="201" customFormat="1">
      <c r="A3058" s="582"/>
      <c r="B3058" s="582"/>
      <c r="C3058" s="212"/>
      <c r="D3058" s="719" t="s">
        <v>15559</v>
      </c>
      <c r="E3058" s="719"/>
      <c r="F3058" s="719"/>
      <c r="G3058" s="719"/>
      <c r="H3058" s="638">
        <f>ROUND(H3055*$B$13,2)</f>
        <v>4.07</v>
      </c>
    </row>
    <row r="3059" spans="1:8">
      <c r="A3059" s="582"/>
      <c r="B3059" s="582"/>
      <c r="C3059" s="212"/>
      <c r="D3059" s="718" t="s">
        <v>9661</v>
      </c>
      <c r="E3059" s="718"/>
      <c r="F3059" s="718"/>
      <c r="G3059" s="718"/>
      <c r="H3059" s="213">
        <f>H3058+H3055</f>
        <v>19.200000000000003</v>
      </c>
    </row>
    <row r="3061" spans="1:8" s="201" customFormat="1">
      <c r="A3061" s="123" t="s">
        <v>6</v>
      </c>
      <c r="B3061" s="720" t="s">
        <v>7</v>
      </c>
      <c r="C3061" s="720"/>
      <c r="D3061" s="202" t="s">
        <v>124</v>
      </c>
      <c r="E3061" s="167" t="s">
        <v>6334</v>
      </c>
      <c r="F3061" s="202" t="s">
        <v>31</v>
      </c>
      <c r="G3061" s="203" t="s">
        <v>125</v>
      </c>
      <c r="H3061" s="204" t="s">
        <v>126</v>
      </c>
    </row>
    <row r="3062" spans="1:8" s="208" customFormat="1" ht="30">
      <c r="A3062" s="216" t="str">
        <f>'Orç - Prédio'!A500</f>
        <v>06.01.309.13</v>
      </c>
      <c r="B3062" s="216" t="str">
        <f>'Orç - Prédio'!B500</f>
        <v>ORSE</v>
      </c>
      <c r="C3062" s="216">
        <f>'Orç - Prédio'!C500</f>
        <v>8112</v>
      </c>
      <c r="D3062" s="217" t="s">
        <v>8481</v>
      </c>
      <c r="E3062" s="206">
        <v>7</v>
      </c>
      <c r="F3062" s="216" t="s">
        <v>6337</v>
      </c>
      <c r="G3062" s="318">
        <f>VLOOKUP("CUSTO TOTAL UNIT.:",D3063:$H$30004,5,FALSE)</f>
        <v>100.25999999999999</v>
      </c>
      <c r="H3062" s="637">
        <f>VLOOKUP("CUSTO TOTAL:",D3063:$H$30004,5,FALSE)</f>
        <v>701.82</v>
      </c>
    </row>
    <row r="3063" spans="1:8" s="124" customFormat="1" ht="30">
      <c r="A3063" s="721">
        <v>4102</v>
      </c>
      <c r="B3063" s="721"/>
      <c r="C3063" s="200" t="s">
        <v>6333</v>
      </c>
      <c r="D3063" s="139" t="s">
        <v>8525</v>
      </c>
      <c r="E3063" s="209">
        <v>1</v>
      </c>
      <c r="F3063" s="577" t="s">
        <v>31</v>
      </c>
      <c r="G3063" s="174">
        <v>94.77000000000001</v>
      </c>
      <c r="H3063" s="211">
        <f>ROUND(G3063*E3063,2)</f>
        <v>94.77</v>
      </c>
    </row>
    <row r="3064" spans="1:8" s="124" customFormat="1" ht="30">
      <c r="A3064" s="721">
        <v>88264</v>
      </c>
      <c r="B3064" s="721"/>
      <c r="C3064" s="200" t="s">
        <v>5256</v>
      </c>
      <c r="D3064" s="139" t="s">
        <v>84</v>
      </c>
      <c r="E3064" s="209">
        <v>0.2</v>
      </c>
      <c r="F3064" s="577" t="s">
        <v>67</v>
      </c>
      <c r="G3064" s="210">
        <v>15.778800000000002</v>
      </c>
      <c r="H3064" s="211">
        <f>ROUND(G3064*E3064,2)</f>
        <v>3.16</v>
      </c>
    </row>
    <row r="3065" spans="1:8" s="124" customFormat="1" ht="30">
      <c r="A3065" s="721">
        <v>88316</v>
      </c>
      <c r="B3065" s="721"/>
      <c r="C3065" s="200" t="s">
        <v>5256</v>
      </c>
      <c r="D3065" s="139" t="s">
        <v>66</v>
      </c>
      <c r="E3065" s="209">
        <v>0.2</v>
      </c>
      <c r="F3065" s="577" t="s">
        <v>67</v>
      </c>
      <c r="G3065" s="210">
        <v>11.631600000000001</v>
      </c>
      <c r="H3065" s="211">
        <f>ROUND(G3065*E3065,2)</f>
        <v>2.33</v>
      </c>
    </row>
    <row r="3066" spans="1:8" s="201" customFormat="1">
      <c r="A3066" s="582"/>
      <c r="B3066" s="582"/>
      <c r="C3066" s="212"/>
      <c r="D3066" s="719" t="s">
        <v>127</v>
      </c>
      <c r="E3066" s="719"/>
      <c r="F3066" s="719"/>
      <c r="G3066" s="719"/>
      <c r="H3066" s="638">
        <f>SUMIF(F3063:F3065,("h"),H3063:H3065)</f>
        <v>5.49</v>
      </c>
    </row>
    <row r="3067" spans="1:8" s="201" customFormat="1">
      <c r="A3067" s="582"/>
      <c r="B3067" s="582"/>
      <c r="C3067" s="212"/>
      <c r="D3067" s="719" t="s">
        <v>128</v>
      </c>
      <c r="E3067" s="719"/>
      <c r="F3067" s="719"/>
      <c r="G3067" s="719"/>
      <c r="H3067" s="638">
        <f>SUMIF(F3063:F3065,"&lt;&gt;h",H3063:H3065)</f>
        <v>94.77</v>
      </c>
    </row>
    <row r="3068" spans="1:8" s="201" customFormat="1">
      <c r="A3068" s="582"/>
      <c r="B3068" s="582"/>
      <c r="C3068" s="212"/>
      <c r="D3068" s="718" t="s">
        <v>129</v>
      </c>
      <c r="E3068" s="718"/>
      <c r="F3068" s="718"/>
      <c r="G3068" s="718"/>
      <c r="H3068" s="213">
        <f>SUM(H3066:H3067)</f>
        <v>100.25999999999999</v>
      </c>
    </row>
    <row r="3069" spans="1:8" s="201" customFormat="1">
      <c r="A3069" s="582"/>
      <c r="B3069" s="582"/>
      <c r="C3069" s="212"/>
      <c r="D3069" s="719" t="s">
        <v>28</v>
      </c>
      <c r="E3069" s="719"/>
      <c r="F3069" s="719"/>
      <c r="G3069" s="719"/>
      <c r="H3069" s="639">
        <f>E3062</f>
        <v>7</v>
      </c>
    </row>
    <row r="3070" spans="1:8" s="201" customFormat="1">
      <c r="A3070" s="582"/>
      <c r="B3070" s="582"/>
      <c r="C3070" s="212"/>
      <c r="D3070" s="718" t="s">
        <v>130</v>
      </c>
      <c r="E3070" s="718"/>
      <c r="F3070" s="718"/>
      <c r="G3070" s="718"/>
      <c r="H3070" s="213">
        <f>ROUND(H3068*H3069,2)</f>
        <v>701.82</v>
      </c>
    </row>
    <row r="3071" spans="1:8" s="201" customFormat="1">
      <c r="A3071" s="582"/>
      <c r="B3071" s="582"/>
      <c r="C3071" s="212"/>
      <c r="D3071" s="719" t="s">
        <v>15559</v>
      </c>
      <c r="E3071" s="719"/>
      <c r="F3071" s="719"/>
      <c r="G3071" s="719"/>
      <c r="H3071" s="638">
        <f>ROUND(H3068*$B$13,2)</f>
        <v>27</v>
      </c>
    </row>
    <row r="3072" spans="1:8">
      <c r="A3072" s="582"/>
      <c r="B3072" s="582"/>
      <c r="C3072" s="212"/>
      <c r="D3072" s="718" t="s">
        <v>9661</v>
      </c>
      <c r="E3072" s="718"/>
      <c r="F3072" s="718"/>
      <c r="G3072" s="718"/>
      <c r="H3072" s="213">
        <f>H3071+H3068</f>
        <v>127.25999999999999</v>
      </c>
    </row>
    <row r="3074" spans="1:8" s="201" customFormat="1">
      <c r="A3074" s="123" t="s">
        <v>6</v>
      </c>
      <c r="B3074" s="720" t="s">
        <v>7</v>
      </c>
      <c r="C3074" s="720"/>
      <c r="D3074" s="202" t="s">
        <v>124</v>
      </c>
      <c r="E3074" s="167" t="s">
        <v>6334</v>
      </c>
      <c r="F3074" s="202" t="s">
        <v>31</v>
      </c>
      <c r="G3074" s="203" t="s">
        <v>125</v>
      </c>
      <c r="H3074" s="204" t="s">
        <v>126</v>
      </c>
    </row>
    <row r="3075" spans="1:8" s="208" customFormat="1" ht="30">
      <c r="A3075" s="216" t="str">
        <f>'Orç - Prédio'!A501</f>
        <v>06.01.309.14</v>
      </c>
      <c r="B3075" s="216" t="str">
        <f>'Orç - Prédio'!B501</f>
        <v>ORSE</v>
      </c>
      <c r="C3075" s="216">
        <f>'Orç - Prédio'!C501</f>
        <v>11292</v>
      </c>
      <c r="D3075" s="217" t="s">
        <v>8480</v>
      </c>
      <c r="E3075" s="206">
        <v>10</v>
      </c>
      <c r="F3075" s="216" t="s">
        <v>6337</v>
      </c>
      <c r="G3075" s="318">
        <f>VLOOKUP("CUSTO TOTAL UNIT.:",D3076:$H$30004,5,FALSE)</f>
        <v>43.800000000000004</v>
      </c>
      <c r="H3075" s="637">
        <f>VLOOKUP("CUSTO TOTAL:",D3076:$H$30004,5,FALSE)</f>
        <v>438</v>
      </c>
    </row>
    <row r="3076" spans="1:8" s="124" customFormat="1" ht="30">
      <c r="A3076" s="721">
        <v>12158</v>
      </c>
      <c r="B3076" s="721"/>
      <c r="C3076" s="200" t="s">
        <v>6333</v>
      </c>
      <c r="D3076" s="139" t="s">
        <v>8526</v>
      </c>
      <c r="E3076" s="209">
        <v>1</v>
      </c>
      <c r="F3076" s="577" t="s">
        <v>31</v>
      </c>
      <c r="G3076" s="174">
        <v>38.313000000000002</v>
      </c>
      <c r="H3076" s="211">
        <f>ROUND(G3076*E3076,2)</f>
        <v>38.31</v>
      </c>
    </row>
    <row r="3077" spans="1:8" s="124" customFormat="1" ht="30">
      <c r="A3077" s="721">
        <v>88264</v>
      </c>
      <c r="B3077" s="721"/>
      <c r="C3077" s="200" t="s">
        <v>5256</v>
      </c>
      <c r="D3077" s="139" t="s">
        <v>84</v>
      </c>
      <c r="E3077" s="209">
        <v>0.2</v>
      </c>
      <c r="F3077" s="577" t="s">
        <v>67</v>
      </c>
      <c r="G3077" s="210">
        <v>15.778800000000002</v>
      </c>
      <c r="H3077" s="211">
        <f>ROUND(G3077*E3077,2)</f>
        <v>3.16</v>
      </c>
    </row>
    <row r="3078" spans="1:8" s="124" customFormat="1" ht="30">
      <c r="A3078" s="721">
        <v>88316</v>
      </c>
      <c r="B3078" s="721"/>
      <c r="C3078" s="200" t="s">
        <v>5256</v>
      </c>
      <c r="D3078" s="139" t="s">
        <v>66</v>
      </c>
      <c r="E3078" s="209">
        <v>0.2</v>
      </c>
      <c r="F3078" s="577" t="s">
        <v>67</v>
      </c>
      <c r="G3078" s="210">
        <v>11.631600000000001</v>
      </c>
      <c r="H3078" s="211">
        <f>ROUND(G3078*E3078,2)</f>
        <v>2.33</v>
      </c>
    </row>
    <row r="3079" spans="1:8" s="201" customFormat="1">
      <c r="A3079" s="582"/>
      <c r="B3079" s="582"/>
      <c r="C3079" s="212"/>
      <c r="D3079" s="719" t="s">
        <v>127</v>
      </c>
      <c r="E3079" s="719"/>
      <c r="F3079" s="719"/>
      <c r="G3079" s="719"/>
      <c r="H3079" s="638">
        <f>SUMIF(F3076:F3078,("h"),H3076:H3078)</f>
        <v>5.49</v>
      </c>
    </row>
    <row r="3080" spans="1:8" s="201" customFormat="1">
      <c r="A3080" s="582"/>
      <c r="B3080" s="582"/>
      <c r="C3080" s="212"/>
      <c r="D3080" s="719" t="s">
        <v>128</v>
      </c>
      <c r="E3080" s="719"/>
      <c r="F3080" s="719"/>
      <c r="G3080" s="719"/>
      <c r="H3080" s="638">
        <f>SUMIF(F3076:F3078,"&lt;&gt;h",H3076:H3078)</f>
        <v>38.31</v>
      </c>
    </row>
    <row r="3081" spans="1:8" s="201" customFormat="1">
      <c r="A3081" s="582"/>
      <c r="B3081" s="582"/>
      <c r="C3081" s="212"/>
      <c r="D3081" s="718" t="s">
        <v>129</v>
      </c>
      <c r="E3081" s="718"/>
      <c r="F3081" s="718"/>
      <c r="G3081" s="718"/>
      <c r="H3081" s="213">
        <f>SUM(H3079:H3080)</f>
        <v>43.800000000000004</v>
      </c>
    </row>
    <row r="3082" spans="1:8" s="201" customFormat="1">
      <c r="A3082" s="582"/>
      <c r="B3082" s="582"/>
      <c r="C3082" s="212"/>
      <c r="D3082" s="719" t="s">
        <v>28</v>
      </c>
      <c r="E3082" s="719"/>
      <c r="F3082" s="719"/>
      <c r="G3082" s="719"/>
      <c r="H3082" s="639">
        <f>E3075</f>
        <v>10</v>
      </c>
    </row>
    <row r="3083" spans="1:8" s="201" customFormat="1">
      <c r="A3083" s="582"/>
      <c r="B3083" s="582"/>
      <c r="C3083" s="212"/>
      <c r="D3083" s="718" t="s">
        <v>130</v>
      </c>
      <c r="E3083" s="718"/>
      <c r="F3083" s="718"/>
      <c r="G3083" s="718"/>
      <c r="H3083" s="213">
        <f>ROUND(H3081*H3082,2)</f>
        <v>438</v>
      </c>
    </row>
    <row r="3084" spans="1:8" s="201" customFormat="1">
      <c r="A3084" s="582"/>
      <c r="B3084" s="582"/>
      <c r="C3084" s="212"/>
      <c r="D3084" s="719" t="s">
        <v>15559</v>
      </c>
      <c r="E3084" s="719"/>
      <c r="F3084" s="719"/>
      <c r="G3084" s="719"/>
      <c r="H3084" s="638">
        <f>ROUND(H3081*$B$13,2)</f>
        <v>11.8</v>
      </c>
    </row>
    <row r="3085" spans="1:8">
      <c r="A3085" s="582"/>
      <c r="B3085" s="582"/>
      <c r="C3085" s="212"/>
      <c r="D3085" s="718" t="s">
        <v>9661</v>
      </c>
      <c r="E3085" s="718"/>
      <c r="F3085" s="718"/>
      <c r="G3085" s="718"/>
      <c r="H3085" s="213">
        <f>H3084+H3081</f>
        <v>55.600000000000009</v>
      </c>
    </row>
    <row r="3087" spans="1:8" s="201" customFormat="1">
      <c r="A3087" s="123" t="s">
        <v>6</v>
      </c>
      <c r="B3087" s="720" t="s">
        <v>7</v>
      </c>
      <c r="C3087" s="720"/>
      <c r="D3087" s="202" t="s">
        <v>124</v>
      </c>
      <c r="E3087" s="167" t="s">
        <v>6334</v>
      </c>
      <c r="F3087" s="202" t="s">
        <v>31</v>
      </c>
      <c r="G3087" s="203" t="s">
        <v>125</v>
      </c>
      <c r="H3087" s="204" t="s">
        <v>126</v>
      </c>
    </row>
    <row r="3088" spans="1:8" s="208" customFormat="1" ht="30">
      <c r="A3088" s="216" t="str">
        <f>'Orç - Prédio'!A502</f>
        <v>06.01.309.15</v>
      </c>
      <c r="B3088" s="216" t="str">
        <f>'Orç - Prédio'!B502</f>
        <v>ORSE</v>
      </c>
      <c r="C3088" s="216">
        <f>'Orç - Prédio'!C502</f>
        <v>8687</v>
      </c>
      <c r="D3088" s="217" t="s">
        <v>8483</v>
      </c>
      <c r="E3088" s="206">
        <v>7</v>
      </c>
      <c r="F3088" s="216" t="s">
        <v>6337</v>
      </c>
      <c r="G3088" s="318">
        <f>VLOOKUP("CUSTO TOTAL UNIT.:",D3089:$H$30004,5,FALSE)</f>
        <v>31.82</v>
      </c>
      <c r="H3088" s="637">
        <f>VLOOKUP("CUSTO TOTAL:",D3089:$H$30004,5,FALSE)</f>
        <v>222.74</v>
      </c>
    </row>
    <row r="3089" spans="1:8" s="124" customFormat="1" ht="30">
      <c r="A3089" s="721">
        <v>4096</v>
      </c>
      <c r="B3089" s="721"/>
      <c r="C3089" s="200" t="s">
        <v>6333</v>
      </c>
      <c r="D3089" s="139" t="s">
        <v>8524</v>
      </c>
      <c r="E3089" s="209">
        <v>1</v>
      </c>
      <c r="F3089" s="577" t="s">
        <v>31</v>
      </c>
      <c r="G3089" s="174">
        <v>26.325000000000003</v>
      </c>
      <c r="H3089" s="211">
        <f>ROUND(G3089*E3089,2)</f>
        <v>26.33</v>
      </c>
    </row>
    <row r="3090" spans="1:8" s="124" customFormat="1" ht="30">
      <c r="A3090" s="721">
        <v>88264</v>
      </c>
      <c r="B3090" s="721"/>
      <c r="C3090" s="200" t="s">
        <v>5256</v>
      </c>
      <c r="D3090" s="139" t="s">
        <v>84</v>
      </c>
      <c r="E3090" s="209">
        <v>0.2</v>
      </c>
      <c r="F3090" s="577" t="s">
        <v>67</v>
      </c>
      <c r="G3090" s="210">
        <v>15.778800000000002</v>
      </c>
      <c r="H3090" s="211">
        <f>ROUND(G3090*E3090,2)</f>
        <v>3.16</v>
      </c>
    </row>
    <row r="3091" spans="1:8" s="124" customFormat="1" ht="30">
      <c r="A3091" s="721">
        <v>88316</v>
      </c>
      <c r="B3091" s="721"/>
      <c r="C3091" s="200" t="s">
        <v>5256</v>
      </c>
      <c r="D3091" s="139" t="s">
        <v>66</v>
      </c>
      <c r="E3091" s="209">
        <v>0.2</v>
      </c>
      <c r="F3091" s="577" t="s">
        <v>67</v>
      </c>
      <c r="G3091" s="210">
        <v>11.631600000000001</v>
      </c>
      <c r="H3091" s="211">
        <f>ROUND(G3091*E3091,2)</f>
        <v>2.33</v>
      </c>
    </row>
    <row r="3092" spans="1:8" s="201" customFormat="1">
      <c r="A3092" s="582"/>
      <c r="B3092" s="582"/>
      <c r="C3092" s="212"/>
      <c r="D3092" s="719" t="s">
        <v>127</v>
      </c>
      <c r="E3092" s="719"/>
      <c r="F3092" s="719"/>
      <c r="G3092" s="719"/>
      <c r="H3092" s="638">
        <f>SUMIF(F3089:F3091,("h"),H3089:H3091)</f>
        <v>5.49</v>
      </c>
    </row>
    <row r="3093" spans="1:8" s="201" customFormat="1">
      <c r="A3093" s="582"/>
      <c r="B3093" s="582"/>
      <c r="C3093" s="212"/>
      <c r="D3093" s="719" t="s">
        <v>128</v>
      </c>
      <c r="E3093" s="719"/>
      <c r="F3093" s="719"/>
      <c r="G3093" s="719"/>
      <c r="H3093" s="638">
        <f>SUMIF(F3089:F3091,"&lt;&gt;h",H3089:H3091)</f>
        <v>26.33</v>
      </c>
    </row>
    <row r="3094" spans="1:8" s="201" customFormat="1">
      <c r="A3094" s="582"/>
      <c r="B3094" s="582"/>
      <c r="C3094" s="212"/>
      <c r="D3094" s="718" t="s">
        <v>129</v>
      </c>
      <c r="E3094" s="718"/>
      <c r="F3094" s="718"/>
      <c r="G3094" s="718"/>
      <c r="H3094" s="213">
        <f>SUM(H3092:H3093)</f>
        <v>31.82</v>
      </c>
    </row>
    <row r="3095" spans="1:8" s="201" customFormat="1">
      <c r="A3095" s="582"/>
      <c r="B3095" s="582"/>
      <c r="C3095" s="212"/>
      <c r="D3095" s="719" t="s">
        <v>28</v>
      </c>
      <c r="E3095" s="719"/>
      <c r="F3095" s="719"/>
      <c r="G3095" s="719"/>
      <c r="H3095" s="639">
        <f>E3088</f>
        <v>7</v>
      </c>
    </row>
    <row r="3096" spans="1:8" s="201" customFormat="1">
      <c r="A3096" s="582"/>
      <c r="B3096" s="582"/>
      <c r="C3096" s="212"/>
      <c r="D3096" s="718" t="s">
        <v>130</v>
      </c>
      <c r="E3096" s="718"/>
      <c r="F3096" s="718"/>
      <c r="G3096" s="718"/>
      <c r="H3096" s="213">
        <f>ROUND(H3094*H3095,2)</f>
        <v>222.74</v>
      </c>
    </row>
    <row r="3097" spans="1:8" s="201" customFormat="1">
      <c r="A3097" s="582"/>
      <c r="B3097" s="582"/>
      <c r="C3097" s="212"/>
      <c r="D3097" s="719" t="s">
        <v>15559</v>
      </c>
      <c r="E3097" s="719"/>
      <c r="F3097" s="719"/>
      <c r="G3097" s="719"/>
      <c r="H3097" s="638">
        <f>ROUND(H3094*$B$13,2)</f>
        <v>8.57</v>
      </c>
    </row>
    <row r="3098" spans="1:8">
      <c r="A3098" s="582"/>
      <c r="B3098" s="582"/>
      <c r="C3098" s="212"/>
      <c r="D3098" s="718" t="s">
        <v>9661</v>
      </c>
      <c r="E3098" s="718"/>
      <c r="F3098" s="718"/>
      <c r="G3098" s="718"/>
      <c r="H3098" s="213">
        <f>H3097+H3094</f>
        <v>40.39</v>
      </c>
    </row>
    <row r="3100" spans="1:8" s="201" customFormat="1">
      <c r="A3100" s="123" t="s">
        <v>6</v>
      </c>
      <c r="B3100" s="720" t="s">
        <v>7</v>
      </c>
      <c r="C3100" s="720"/>
      <c r="D3100" s="202" t="s">
        <v>124</v>
      </c>
      <c r="E3100" s="167" t="s">
        <v>6334</v>
      </c>
      <c r="F3100" s="202" t="s">
        <v>31</v>
      </c>
      <c r="G3100" s="203" t="s">
        <v>125</v>
      </c>
      <c r="H3100" s="204" t="s">
        <v>126</v>
      </c>
    </row>
    <row r="3101" spans="1:8" s="208" customFormat="1" ht="30">
      <c r="A3101" s="216" t="str">
        <f>'Orç - Prédio'!A503</f>
        <v>06.01.309.16</v>
      </c>
      <c r="B3101" s="216" t="str">
        <f>'Orç - Prédio'!B503</f>
        <v>CPOS</v>
      </c>
      <c r="C3101" s="216" t="str">
        <f>'Orç - Prédio'!C503</f>
        <v>38.23.160</v>
      </c>
      <c r="D3101" s="217" t="s">
        <v>8482</v>
      </c>
      <c r="E3101" s="206">
        <v>27</v>
      </c>
      <c r="F3101" s="216" t="s">
        <v>6337</v>
      </c>
      <c r="G3101" s="318">
        <f>VLOOKUP("CUSTO TOTAL UNIT.:",D3102:$H$30004,5,FALSE)</f>
        <v>14.16</v>
      </c>
      <c r="H3101" s="637">
        <f>VLOOKUP("CUSTO TOTAL:",D3102:$H$30004,5,FALSE)</f>
        <v>382.32</v>
      </c>
    </row>
    <row r="3102" spans="1:8" s="124" customFormat="1" ht="30">
      <c r="A3102" s="721" t="s">
        <v>8920</v>
      </c>
      <c r="B3102" s="721"/>
      <c r="C3102" s="200" t="s">
        <v>6753</v>
      </c>
      <c r="D3102" s="139" t="s">
        <v>8919</v>
      </c>
      <c r="E3102" s="209">
        <v>1</v>
      </c>
      <c r="F3102" s="577" t="s">
        <v>31</v>
      </c>
      <c r="G3102" s="174">
        <v>7.3143000000000002</v>
      </c>
      <c r="H3102" s="211">
        <f>ROUND(G3102*E3102,2)</f>
        <v>7.31</v>
      </c>
    </row>
    <row r="3103" spans="1:8" s="124" customFormat="1" ht="30">
      <c r="A3103" s="721">
        <v>88264</v>
      </c>
      <c r="B3103" s="721"/>
      <c r="C3103" s="200" t="s">
        <v>5256</v>
      </c>
      <c r="D3103" s="139" t="s">
        <v>84</v>
      </c>
      <c r="E3103" s="209">
        <v>0.25</v>
      </c>
      <c r="F3103" s="577" t="s">
        <v>67</v>
      </c>
      <c r="G3103" s="210">
        <v>15.778800000000002</v>
      </c>
      <c r="H3103" s="211">
        <f>ROUND(G3103*E3103,2)</f>
        <v>3.94</v>
      </c>
    </row>
    <row r="3104" spans="1:8" s="124" customFormat="1" ht="30">
      <c r="A3104" s="721">
        <v>88316</v>
      </c>
      <c r="B3104" s="721"/>
      <c r="C3104" s="200" t="s">
        <v>5256</v>
      </c>
      <c r="D3104" s="139" t="s">
        <v>66</v>
      </c>
      <c r="E3104" s="209">
        <v>0.25</v>
      </c>
      <c r="F3104" s="577" t="s">
        <v>67</v>
      </c>
      <c r="G3104" s="210">
        <v>11.631600000000001</v>
      </c>
      <c r="H3104" s="211">
        <f>ROUND(G3104*E3104,2)</f>
        <v>2.91</v>
      </c>
    </row>
    <row r="3105" spans="1:8" s="201" customFormat="1">
      <c r="A3105" s="582"/>
      <c r="B3105" s="582"/>
      <c r="C3105" s="212"/>
      <c r="D3105" s="719" t="s">
        <v>127</v>
      </c>
      <c r="E3105" s="719"/>
      <c r="F3105" s="719"/>
      <c r="G3105" s="719"/>
      <c r="H3105" s="638">
        <f>SUMIF(F3102:F3104,("h"),H3102:H3104)</f>
        <v>6.85</v>
      </c>
    </row>
    <row r="3106" spans="1:8" s="201" customFormat="1">
      <c r="A3106" s="582"/>
      <c r="B3106" s="582"/>
      <c r="C3106" s="212"/>
      <c r="D3106" s="719" t="s">
        <v>128</v>
      </c>
      <c r="E3106" s="719"/>
      <c r="F3106" s="719"/>
      <c r="G3106" s="719"/>
      <c r="H3106" s="638">
        <f>SUMIF(F3102:F3104,"&lt;&gt;h",H3102:H3104)</f>
        <v>7.31</v>
      </c>
    </row>
    <row r="3107" spans="1:8" s="201" customFormat="1">
      <c r="A3107" s="582"/>
      <c r="B3107" s="582"/>
      <c r="C3107" s="212"/>
      <c r="D3107" s="718" t="s">
        <v>129</v>
      </c>
      <c r="E3107" s="718"/>
      <c r="F3107" s="718"/>
      <c r="G3107" s="718"/>
      <c r="H3107" s="213">
        <f>SUM(H3105:H3106)</f>
        <v>14.16</v>
      </c>
    </row>
    <row r="3108" spans="1:8" s="201" customFormat="1">
      <c r="A3108" s="582"/>
      <c r="B3108" s="582"/>
      <c r="C3108" s="212"/>
      <c r="D3108" s="719" t="s">
        <v>28</v>
      </c>
      <c r="E3108" s="719"/>
      <c r="F3108" s="719"/>
      <c r="G3108" s="719"/>
      <c r="H3108" s="639">
        <f>E3101</f>
        <v>27</v>
      </c>
    </row>
    <row r="3109" spans="1:8" s="201" customFormat="1">
      <c r="A3109" s="582"/>
      <c r="B3109" s="582"/>
      <c r="C3109" s="212"/>
      <c r="D3109" s="718" t="s">
        <v>130</v>
      </c>
      <c r="E3109" s="718"/>
      <c r="F3109" s="718"/>
      <c r="G3109" s="718"/>
      <c r="H3109" s="213">
        <f>ROUND(H3107*H3108,2)</f>
        <v>382.32</v>
      </c>
    </row>
    <row r="3110" spans="1:8" s="201" customFormat="1">
      <c r="A3110" s="582"/>
      <c r="B3110" s="582"/>
      <c r="C3110" s="212"/>
      <c r="D3110" s="719" t="s">
        <v>15559</v>
      </c>
      <c r="E3110" s="719"/>
      <c r="F3110" s="719"/>
      <c r="G3110" s="719"/>
      <c r="H3110" s="638">
        <f>ROUND(H3107*$B$13,2)</f>
        <v>3.81</v>
      </c>
    </row>
    <row r="3111" spans="1:8">
      <c r="A3111" s="582"/>
      <c r="B3111" s="582"/>
      <c r="C3111" s="212"/>
      <c r="D3111" s="718" t="s">
        <v>9661</v>
      </c>
      <c r="E3111" s="718"/>
      <c r="F3111" s="718"/>
      <c r="G3111" s="718"/>
      <c r="H3111" s="213">
        <f>H3110+H3107</f>
        <v>17.97</v>
      </c>
    </row>
    <row r="3113" spans="1:8" s="201" customFormat="1">
      <c r="A3113" s="123" t="s">
        <v>6</v>
      </c>
      <c r="B3113" s="720" t="s">
        <v>7</v>
      </c>
      <c r="C3113" s="720"/>
      <c r="D3113" s="202" t="s">
        <v>124</v>
      </c>
      <c r="E3113" s="167" t="s">
        <v>6334</v>
      </c>
      <c r="F3113" s="202" t="s">
        <v>31</v>
      </c>
      <c r="G3113" s="203" t="s">
        <v>125</v>
      </c>
      <c r="H3113" s="204" t="s">
        <v>126</v>
      </c>
    </row>
    <row r="3114" spans="1:8" s="208" customFormat="1" ht="30">
      <c r="A3114" s="216" t="str">
        <f>'Orç - Prédio'!A504</f>
        <v>06.01.309.17</v>
      </c>
      <c r="B3114" s="216" t="str">
        <f>'Orç - Prédio'!B504</f>
        <v>CPOS</v>
      </c>
      <c r="C3114" s="216" t="str">
        <f>'Orç - Prédio'!C504</f>
        <v>38.23.150</v>
      </c>
      <c r="D3114" s="217" t="s">
        <v>8484</v>
      </c>
      <c r="E3114" s="206">
        <v>2</v>
      </c>
      <c r="F3114" s="216" t="s">
        <v>6337</v>
      </c>
      <c r="G3114" s="318">
        <f>VLOOKUP("CUSTO TOTAL UNIT.:",D3115:$H$30004,5,FALSE)</f>
        <v>12.93</v>
      </c>
      <c r="H3114" s="637">
        <f>VLOOKUP("CUSTO TOTAL:",D3115:$H$30004,5,FALSE)</f>
        <v>25.86</v>
      </c>
    </row>
    <row r="3115" spans="1:8" s="124" customFormat="1" ht="30">
      <c r="A3115" s="721" t="s">
        <v>8921</v>
      </c>
      <c r="B3115" s="721"/>
      <c r="C3115" s="200" t="s">
        <v>6753</v>
      </c>
      <c r="D3115" s="139" t="s">
        <v>8919</v>
      </c>
      <c r="E3115" s="209">
        <v>1</v>
      </c>
      <c r="F3115" s="577" t="s">
        <v>31</v>
      </c>
      <c r="G3115" s="174">
        <v>6.0750000000000002</v>
      </c>
      <c r="H3115" s="211">
        <f>ROUND(G3115*E3115,2)</f>
        <v>6.08</v>
      </c>
    </row>
    <row r="3116" spans="1:8" s="124" customFormat="1" ht="30">
      <c r="A3116" s="721">
        <v>88264</v>
      </c>
      <c r="B3116" s="721"/>
      <c r="C3116" s="200" t="s">
        <v>5256</v>
      </c>
      <c r="D3116" s="139" t="s">
        <v>84</v>
      </c>
      <c r="E3116" s="209">
        <v>0.25</v>
      </c>
      <c r="F3116" s="577" t="s">
        <v>67</v>
      </c>
      <c r="G3116" s="210">
        <v>15.778800000000002</v>
      </c>
      <c r="H3116" s="211">
        <f>ROUND(G3116*E3116,2)</f>
        <v>3.94</v>
      </c>
    </row>
    <row r="3117" spans="1:8" s="124" customFormat="1" ht="30">
      <c r="A3117" s="721">
        <v>88316</v>
      </c>
      <c r="B3117" s="721"/>
      <c r="C3117" s="200" t="s">
        <v>5256</v>
      </c>
      <c r="D3117" s="139" t="s">
        <v>66</v>
      </c>
      <c r="E3117" s="209">
        <v>0.25</v>
      </c>
      <c r="F3117" s="577" t="s">
        <v>67</v>
      </c>
      <c r="G3117" s="210">
        <v>11.631600000000001</v>
      </c>
      <c r="H3117" s="211">
        <f>ROUND(G3117*E3117,2)</f>
        <v>2.91</v>
      </c>
    </row>
    <row r="3118" spans="1:8" s="201" customFormat="1">
      <c r="A3118" s="582"/>
      <c r="B3118" s="582"/>
      <c r="C3118" s="212"/>
      <c r="D3118" s="719" t="s">
        <v>127</v>
      </c>
      <c r="E3118" s="719"/>
      <c r="F3118" s="719"/>
      <c r="G3118" s="719"/>
      <c r="H3118" s="638">
        <f>SUMIF(F3115:F3117,("h"),H3115:H3117)</f>
        <v>6.85</v>
      </c>
    </row>
    <row r="3119" spans="1:8" s="201" customFormat="1">
      <c r="A3119" s="582"/>
      <c r="B3119" s="582"/>
      <c r="C3119" s="212"/>
      <c r="D3119" s="719" t="s">
        <v>128</v>
      </c>
      <c r="E3119" s="719"/>
      <c r="F3119" s="719"/>
      <c r="G3119" s="719"/>
      <c r="H3119" s="638">
        <f>SUMIF(F3115:F3117,"&lt;&gt;h",H3115:H3117)</f>
        <v>6.08</v>
      </c>
    </row>
    <row r="3120" spans="1:8" s="201" customFormat="1">
      <c r="A3120" s="582"/>
      <c r="B3120" s="582"/>
      <c r="C3120" s="212"/>
      <c r="D3120" s="718" t="s">
        <v>129</v>
      </c>
      <c r="E3120" s="718"/>
      <c r="F3120" s="718"/>
      <c r="G3120" s="718"/>
      <c r="H3120" s="213">
        <f>SUM(H3118:H3119)</f>
        <v>12.93</v>
      </c>
    </row>
    <row r="3121" spans="1:8" s="201" customFormat="1">
      <c r="A3121" s="582"/>
      <c r="B3121" s="582"/>
      <c r="C3121" s="212"/>
      <c r="D3121" s="719" t="s">
        <v>28</v>
      </c>
      <c r="E3121" s="719"/>
      <c r="F3121" s="719"/>
      <c r="G3121" s="719"/>
      <c r="H3121" s="639">
        <f>E3114</f>
        <v>2</v>
      </c>
    </row>
    <row r="3122" spans="1:8" s="201" customFormat="1">
      <c r="A3122" s="582"/>
      <c r="B3122" s="582"/>
      <c r="C3122" s="212"/>
      <c r="D3122" s="718" t="s">
        <v>130</v>
      </c>
      <c r="E3122" s="718"/>
      <c r="F3122" s="718"/>
      <c r="G3122" s="718"/>
      <c r="H3122" s="213">
        <f>ROUND(H3120*H3121,2)</f>
        <v>25.86</v>
      </c>
    </row>
    <row r="3123" spans="1:8" s="201" customFormat="1">
      <c r="A3123" s="582"/>
      <c r="B3123" s="582"/>
      <c r="C3123" s="212"/>
      <c r="D3123" s="719" t="s">
        <v>15559</v>
      </c>
      <c r="E3123" s="719"/>
      <c r="F3123" s="719"/>
      <c r="G3123" s="719"/>
      <c r="H3123" s="638">
        <f>ROUND(H3120*$B$13,2)</f>
        <v>3.48</v>
      </c>
    </row>
    <row r="3124" spans="1:8">
      <c r="A3124" s="582"/>
      <c r="B3124" s="582"/>
      <c r="C3124" s="212"/>
      <c r="D3124" s="718" t="s">
        <v>9661</v>
      </c>
      <c r="E3124" s="718"/>
      <c r="F3124" s="718"/>
      <c r="G3124" s="718"/>
      <c r="H3124" s="213">
        <f>H3123+H3120</f>
        <v>16.41</v>
      </c>
    </row>
    <row r="3126" spans="1:8" s="201" customFormat="1">
      <c r="A3126" s="123" t="s">
        <v>6</v>
      </c>
      <c r="B3126" s="720" t="s">
        <v>7</v>
      </c>
      <c r="C3126" s="720"/>
      <c r="D3126" s="202" t="s">
        <v>124</v>
      </c>
      <c r="E3126" s="167" t="s">
        <v>6334</v>
      </c>
      <c r="F3126" s="202" t="s">
        <v>31</v>
      </c>
      <c r="G3126" s="203" t="s">
        <v>125</v>
      </c>
      <c r="H3126" s="204" t="s">
        <v>126</v>
      </c>
    </row>
    <row r="3127" spans="1:8" s="208" customFormat="1" ht="30">
      <c r="A3127" s="216" t="str">
        <f>'Orç - Prédio'!A505</f>
        <v>06.01.309.18</v>
      </c>
      <c r="B3127" s="216" t="str">
        <f>'Orç - Prédio'!B505</f>
        <v>ORSE</v>
      </c>
      <c r="C3127" s="216" t="str">
        <f>'Orç - Prédio'!C505</f>
        <v>8695 MOD</v>
      </c>
      <c r="D3127" s="217" t="s">
        <v>8485</v>
      </c>
      <c r="E3127" s="206">
        <v>65</v>
      </c>
      <c r="F3127" s="216" t="s">
        <v>6337</v>
      </c>
      <c r="G3127" s="318">
        <f>VLOOKUP("CUSTO TOTAL UNIT.:",D3128:$H$30004,5,FALSE)</f>
        <v>9.14</v>
      </c>
      <c r="H3127" s="637">
        <f>VLOOKUP("CUSTO TOTAL:",D3128:$H$30004,5,FALSE)</f>
        <v>594.1</v>
      </c>
    </row>
    <row r="3128" spans="1:8" s="124" customFormat="1" ht="30">
      <c r="A3128" s="721">
        <v>3640</v>
      </c>
      <c r="B3128" s="721"/>
      <c r="C3128" s="200" t="s">
        <v>6333</v>
      </c>
      <c r="D3128" s="139" t="s">
        <v>8527</v>
      </c>
      <c r="E3128" s="209">
        <v>1</v>
      </c>
      <c r="F3128" s="577" t="s">
        <v>31</v>
      </c>
      <c r="G3128" s="174">
        <v>3.6450000000000005</v>
      </c>
      <c r="H3128" s="211">
        <f>ROUND(G3128*E3128,2)</f>
        <v>3.65</v>
      </c>
    </row>
    <row r="3129" spans="1:8" s="124" customFormat="1" ht="30">
      <c r="A3129" s="721">
        <v>88264</v>
      </c>
      <c r="B3129" s="721"/>
      <c r="C3129" s="200" t="s">
        <v>5256</v>
      </c>
      <c r="D3129" s="139" t="s">
        <v>84</v>
      </c>
      <c r="E3129" s="209">
        <v>0.2</v>
      </c>
      <c r="F3129" s="577" t="s">
        <v>67</v>
      </c>
      <c r="G3129" s="210">
        <v>15.778800000000002</v>
      </c>
      <c r="H3129" s="211">
        <f>ROUND(G3129*E3129,2)</f>
        <v>3.16</v>
      </c>
    </row>
    <row r="3130" spans="1:8" s="124" customFormat="1" ht="30">
      <c r="A3130" s="721">
        <v>88316</v>
      </c>
      <c r="B3130" s="721"/>
      <c r="C3130" s="200" t="s">
        <v>5256</v>
      </c>
      <c r="D3130" s="139" t="s">
        <v>66</v>
      </c>
      <c r="E3130" s="209">
        <v>0.2</v>
      </c>
      <c r="F3130" s="577" t="s">
        <v>67</v>
      </c>
      <c r="G3130" s="210">
        <v>11.631600000000001</v>
      </c>
      <c r="H3130" s="211">
        <f>ROUND(G3130*E3130,2)</f>
        <v>2.33</v>
      </c>
    </row>
    <row r="3131" spans="1:8" s="201" customFormat="1">
      <c r="A3131" s="582"/>
      <c r="B3131" s="582"/>
      <c r="C3131" s="212"/>
      <c r="D3131" s="719" t="s">
        <v>127</v>
      </c>
      <c r="E3131" s="719"/>
      <c r="F3131" s="719"/>
      <c r="G3131" s="719"/>
      <c r="H3131" s="638">
        <f>SUMIF(F3128:F3130,("h"),H3128:H3130)</f>
        <v>5.49</v>
      </c>
    </row>
    <row r="3132" spans="1:8" s="201" customFormat="1">
      <c r="A3132" s="582"/>
      <c r="B3132" s="582"/>
      <c r="C3132" s="212"/>
      <c r="D3132" s="719" t="s">
        <v>128</v>
      </c>
      <c r="E3132" s="719"/>
      <c r="F3132" s="719"/>
      <c r="G3132" s="719"/>
      <c r="H3132" s="638">
        <f>SUMIF(F3128:F3130,"&lt;&gt;h",H3128:H3130)</f>
        <v>3.65</v>
      </c>
    </row>
    <row r="3133" spans="1:8" s="201" customFormat="1">
      <c r="A3133" s="582"/>
      <c r="B3133" s="582"/>
      <c r="C3133" s="212"/>
      <c r="D3133" s="718" t="s">
        <v>129</v>
      </c>
      <c r="E3133" s="718"/>
      <c r="F3133" s="718"/>
      <c r="G3133" s="718"/>
      <c r="H3133" s="213">
        <f>SUM(H3131:H3132)</f>
        <v>9.14</v>
      </c>
    </row>
    <row r="3134" spans="1:8" s="201" customFormat="1">
      <c r="A3134" s="582"/>
      <c r="B3134" s="582"/>
      <c r="C3134" s="212"/>
      <c r="D3134" s="719" t="s">
        <v>28</v>
      </c>
      <c r="E3134" s="719"/>
      <c r="F3134" s="719"/>
      <c r="G3134" s="719"/>
      <c r="H3134" s="639">
        <f>E3127</f>
        <v>65</v>
      </c>
    </row>
    <row r="3135" spans="1:8" s="201" customFormat="1">
      <c r="A3135" s="582"/>
      <c r="B3135" s="582"/>
      <c r="C3135" s="212"/>
      <c r="D3135" s="718" t="s">
        <v>130</v>
      </c>
      <c r="E3135" s="718"/>
      <c r="F3135" s="718"/>
      <c r="G3135" s="718"/>
      <c r="H3135" s="213">
        <f>ROUND(H3133*H3134,2)</f>
        <v>594.1</v>
      </c>
    </row>
    <row r="3136" spans="1:8" s="201" customFormat="1">
      <c r="A3136" s="582"/>
      <c r="B3136" s="582"/>
      <c r="C3136" s="212"/>
      <c r="D3136" s="719" t="s">
        <v>15559</v>
      </c>
      <c r="E3136" s="719"/>
      <c r="F3136" s="719"/>
      <c r="G3136" s="719"/>
      <c r="H3136" s="638">
        <f>ROUND(H3133*$B$13,2)</f>
        <v>2.46</v>
      </c>
    </row>
    <row r="3137" spans="1:8">
      <c r="A3137" s="582"/>
      <c r="B3137" s="582"/>
      <c r="C3137" s="212"/>
      <c r="D3137" s="718" t="s">
        <v>9661</v>
      </c>
      <c r="E3137" s="718"/>
      <c r="F3137" s="718"/>
      <c r="G3137" s="718"/>
      <c r="H3137" s="213">
        <f>H3136+H3133</f>
        <v>11.600000000000001</v>
      </c>
    </row>
    <row r="3139" spans="1:8" s="201" customFormat="1">
      <c r="A3139" s="123" t="s">
        <v>6</v>
      </c>
      <c r="B3139" s="720" t="s">
        <v>7</v>
      </c>
      <c r="C3139" s="720"/>
      <c r="D3139" s="202" t="s">
        <v>124</v>
      </c>
      <c r="E3139" s="167" t="s">
        <v>6334</v>
      </c>
      <c r="F3139" s="202" t="s">
        <v>31</v>
      </c>
      <c r="G3139" s="203" t="s">
        <v>125</v>
      </c>
      <c r="H3139" s="204" t="s">
        <v>126</v>
      </c>
    </row>
    <row r="3140" spans="1:8" s="208" customFormat="1" ht="30">
      <c r="A3140" s="216" t="str">
        <f>'Orç - Prédio'!A506</f>
        <v>06.01.309.19</v>
      </c>
      <c r="B3140" s="216" t="str">
        <f>'Orç - Prédio'!B506</f>
        <v>ORSE</v>
      </c>
      <c r="C3140" s="216">
        <f>'Orç - Prédio'!C506</f>
        <v>8695</v>
      </c>
      <c r="D3140" s="217" t="s">
        <v>8486</v>
      </c>
      <c r="E3140" s="206">
        <v>450</v>
      </c>
      <c r="F3140" s="216" t="s">
        <v>6337</v>
      </c>
      <c r="G3140" s="318">
        <f>VLOOKUP("CUSTO TOTAL UNIT.:",D3141:$H$30004,5,FALSE)</f>
        <v>8.7200000000000006</v>
      </c>
      <c r="H3140" s="637">
        <f>VLOOKUP("CUSTO TOTAL:",D3141:$H$30004,5,FALSE)</f>
        <v>3924</v>
      </c>
    </row>
    <row r="3141" spans="1:8" s="124" customFormat="1" ht="30">
      <c r="A3141" s="721">
        <v>3638</v>
      </c>
      <c r="B3141" s="721"/>
      <c r="C3141" s="200" t="s">
        <v>6333</v>
      </c>
      <c r="D3141" s="139" t="s">
        <v>8529</v>
      </c>
      <c r="E3141" s="209">
        <v>1</v>
      </c>
      <c r="F3141" s="577" t="s">
        <v>31</v>
      </c>
      <c r="G3141" s="174">
        <v>3.2319000000000004</v>
      </c>
      <c r="H3141" s="211">
        <f>ROUND(G3141*E3141,2)</f>
        <v>3.23</v>
      </c>
    </row>
    <row r="3142" spans="1:8" s="124" customFormat="1" ht="30">
      <c r="A3142" s="721">
        <v>88264</v>
      </c>
      <c r="B3142" s="721"/>
      <c r="C3142" s="200" t="s">
        <v>5256</v>
      </c>
      <c r="D3142" s="139" t="s">
        <v>84</v>
      </c>
      <c r="E3142" s="209">
        <v>0.2</v>
      </c>
      <c r="F3142" s="577" t="s">
        <v>67</v>
      </c>
      <c r="G3142" s="210">
        <v>15.778800000000002</v>
      </c>
      <c r="H3142" s="211">
        <f>ROUND(G3142*E3142,2)</f>
        <v>3.16</v>
      </c>
    </row>
    <row r="3143" spans="1:8" s="124" customFormat="1" ht="30">
      <c r="A3143" s="721">
        <v>88316</v>
      </c>
      <c r="B3143" s="721"/>
      <c r="C3143" s="200" t="s">
        <v>5256</v>
      </c>
      <c r="D3143" s="139" t="s">
        <v>66</v>
      </c>
      <c r="E3143" s="209">
        <v>0.2</v>
      </c>
      <c r="F3143" s="577" t="s">
        <v>67</v>
      </c>
      <c r="G3143" s="210">
        <v>11.631600000000001</v>
      </c>
      <c r="H3143" s="211">
        <f>ROUND(G3143*E3143,2)</f>
        <v>2.33</v>
      </c>
    </row>
    <row r="3144" spans="1:8" s="201" customFormat="1">
      <c r="A3144" s="582"/>
      <c r="B3144" s="582"/>
      <c r="C3144" s="212"/>
      <c r="D3144" s="719" t="s">
        <v>127</v>
      </c>
      <c r="E3144" s="719"/>
      <c r="F3144" s="719"/>
      <c r="G3144" s="719"/>
      <c r="H3144" s="638">
        <f>SUMIF(F3141:F3143,("h"),H3141:H3143)</f>
        <v>5.49</v>
      </c>
    </row>
    <row r="3145" spans="1:8" s="201" customFormat="1">
      <c r="A3145" s="582"/>
      <c r="B3145" s="582"/>
      <c r="C3145" s="212"/>
      <c r="D3145" s="719" t="s">
        <v>128</v>
      </c>
      <c r="E3145" s="719"/>
      <c r="F3145" s="719"/>
      <c r="G3145" s="719"/>
      <c r="H3145" s="638">
        <f>SUMIF(F3141:F3143,"&lt;&gt;h",H3141:H3143)</f>
        <v>3.23</v>
      </c>
    </row>
    <row r="3146" spans="1:8" s="201" customFormat="1">
      <c r="A3146" s="582"/>
      <c r="B3146" s="582"/>
      <c r="C3146" s="212"/>
      <c r="D3146" s="718" t="s">
        <v>129</v>
      </c>
      <c r="E3146" s="718"/>
      <c r="F3146" s="718"/>
      <c r="G3146" s="718"/>
      <c r="H3146" s="213">
        <f>SUM(H3144:H3145)</f>
        <v>8.7200000000000006</v>
      </c>
    </row>
    <row r="3147" spans="1:8" s="201" customFormat="1">
      <c r="A3147" s="582"/>
      <c r="B3147" s="582"/>
      <c r="C3147" s="212"/>
      <c r="D3147" s="719" t="s">
        <v>28</v>
      </c>
      <c r="E3147" s="719"/>
      <c r="F3147" s="719"/>
      <c r="G3147" s="719"/>
      <c r="H3147" s="639">
        <f>E3140</f>
        <v>450</v>
      </c>
    </row>
    <row r="3148" spans="1:8" s="201" customFormat="1">
      <c r="A3148" s="582"/>
      <c r="B3148" s="582"/>
      <c r="C3148" s="212"/>
      <c r="D3148" s="718" t="s">
        <v>130</v>
      </c>
      <c r="E3148" s="718"/>
      <c r="F3148" s="718"/>
      <c r="G3148" s="718"/>
      <c r="H3148" s="213">
        <f>ROUND(H3146*H3147,2)</f>
        <v>3924</v>
      </c>
    </row>
    <row r="3149" spans="1:8" s="201" customFormat="1">
      <c r="A3149" s="582"/>
      <c r="B3149" s="582"/>
      <c r="C3149" s="212"/>
      <c r="D3149" s="719" t="s">
        <v>15559</v>
      </c>
      <c r="E3149" s="719"/>
      <c r="F3149" s="719"/>
      <c r="G3149" s="719"/>
      <c r="H3149" s="638">
        <f>ROUND(H3146*$B$13,2)</f>
        <v>2.35</v>
      </c>
    </row>
    <row r="3150" spans="1:8">
      <c r="A3150" s="582"/>
      <c r="B3150" s="582"/>
      <c r="C3150" s="212"/>
      <c r="D3150" s="718" t="s">
        <v>9661</v>
      </c>
      <c r="E3150" s="718"/>
      <c r="F3150" s="718"/>
      <c r="G3150" s="718"/>
      <c r="H3150" s="213">
        <f>H3149+H3146</f>
        <v>11.07</v>
      </c>
    </row>
    <row r="3152" spans="1:8" s="201" customFormat="1">
      <c r="A3152" s="123" t="s">
        <v>6</v>
      </c>
      <c r="B3152" s="720" t="s">
        <v>7</v>
      </c>
      <c r="C3152" s="720"/>
      <c r="D3152" s="202" t="s">
        <v>124</v>
      </c>
      <c r="E3152" s="167" t="s">
        <v>6334</v>
      </c>
      <c r="F3152" s="202" t="s">
        <v>31</v>
      </c>
      <c r="G3152" s="203" t="s">
        <v>125</v>
      </c>
      <c r="H3152" s="204" t="s">
        <v>126</v>
      </c>
    </row>
    <row r="3153" spans="1:8" s="208" customFormat="1" ht="30">
      <c r="A3153" s="216" t="str">
        <f>'Orç - Prédio'!A507</f>
        <v>06.01.309.20</v>
      </c>
      <c r="B3153" s="216" t="str">
        <f>'Orç - Prédio'!B507</f>
        <v>ORSE</v>
      </c>
      <c r="C3153" s="216">
        <f>'Orç - Prédio'!C507</f>
        <v>8110</v>
      </c>
      <c r="D3153" s="217" t="s">
        <v>8487</v>
      </c>
      <c r="E3153" s="206">
        <v>34</v>
      </c>
      <c r="F3153" s="216" t="s">
        <v>6337</v>
      </c>
      <c r="G3153" s="318">
        <f>VLOOKUP("CUSTO TOTAL UNIT.:",D3154:$H$30004,5,FALSE)</f>
        <v>12.379999999999999</v>
      </c>
      <c r="H3153" s="637">
        <f>VLOOKUP("CUSTO TOTAL:",D3154:$H$30004,5,FALSE)</f>
        <v>420.92</v>
      </c>
    </row>
    <row r="3154" spans="1:8" s="124" customFormat="1" ht="30">
      <c r="A3154" s="721">
        <v>4082</v>
      </c>
      <c r="B3154" s="721"/>
      <c r="C3154" s="200" t="s">
        <v>6333</v>
      </c>
      <c r="D3154" s="139" t="s">
        <v>8530</v>
      </c>
      <c r="E3154" s="209">
        <v>1</v>
      </c>
      <c r="F3154" s="577" t="s">
        <v>31</v>
      </c>
      <c r="G3154" s="174">
        <v>6.8850000000000007</v>
      </c>
      <c r="H3154" s="211">
        <f>ROUND(G3154*E3154,2)</f>
        <v>6.89</v>
      </c>
    </row>
    <row r="3155" spans="1:8" s="124" customFormat="1" ht="30">
      <c r="A3155" s="721">
        <v>88264</v>
      </c>
      <c r="B3155" s="721"/>
      <c r="C3155" s="200" t="s">
        <v>5256</v>
      </c>
      <c r="D3155" s="139" t="s">
        <v>84</v>
      </c>
      <c r="E3155" s="209">
        <v>0.2</v>
      </c>
      <c r="F3155" s="577" t="s">
        <v>67</v>
      </c>
      <c r="G3155" s="210">
        <v>15.778800000000002</v>
      </c>
      <c r="H3155" s="211">
        <f>ROUND(G3155*E3155,2)</f>
        <v>3.16</v>
      </c>
    </row>
    <row r="3156" spans="1:8" s="124" customFormat="1" ht="30">
      <c r="A3156" s="721">
        <v>88316</v>
      </c>
      <c r="B3156" s="721"/>
      <c r="C3156" s="200" t="s">
        <v>5256</v>
      </c>
      <c r="D3156" s="139" t="s">
        <v>66</v>
      </c>
      <c r="E3156" s="209">
        <v>0.2</v>
      </c>
      <c r="F3156" s="577" t="s">
        <v>67</v>
      </c>
      <c r="G3156" s="210">
        <v>11.631600000000001</v>
      </c>
      <c r="H3156" s="211">
        <f>ROUND(G3156*E3156,2)</f>
        <v>2.33</v>
      </c>
    </row>
    <row r="3157" spans="1:8" s="201" customFormat="1">
      <c r="A3157" s="582"/>
      <c r="B3157" s="582"/>
      <c r="C3157" s="212"/>
      <c r="D3157" s="719" t="s">
        <v>127</v>
      </c>
      <c r="E3157" s="719"/>
      <c r="F3157" s="719"/>
      <c r="G3157" s="719"/>
      <c r="H3157" s="638">
        <f>SUMIF(F3154:F3156,("h"),H3154:H3156)</f>
        <v>5.49</v>
      </c>
    </row>
    <row r="3158" spans="1:8" s="201" customFormat="1">
      <c r="A3158" s="582"/>
      <c r="B3158" s="582"/>
      <c r="C3158" s="212"/>
      <c r="D3158" s="719" t="s">
        <v>128</v>
      </c>
      <c r="E3158" s="719"/>
      <c r="F3158" s="719"/>
      <c r="G3158" s="719"/>
      <c r="H3158" s="638">
        <f>SUMIF(F3154:F3156,"&lt;&gt;h",H3154:H3156)</f>
        <v>6.89</v>
      </c>
    </row>
    <row r="3159" spans="1:8" s="201" customFormat="1">
      <c r="A3159" s="582"/>
      <c r="B3159" s="582"/>
      <c r="C3159" s="212"/>
      <c r="D3159" s="718" t="s">
        <v>129</v>
      </c>
      <c r="E3159" s="718"/>
      <c r="F3159" s="718"/>
      <c r="G3159" s="718"/>
      <c r="H3159" s="213">
        <f>SUM(H3157:H3158)</f>
        <v>12.379999999999999</v>
      </c>
    </row>
    <row r="3160" spans="1:8" s="201" customFormat="1">
      <c r="A3160" s="582"/>
      <c r="B3160" s="582"/>
      <c r="C3160" s="212"/>
      <c r="D3160" s="719" t="s">
        <v>28</v>
      </c>
      <c r="E3160" s="719"/>
      <c r="F3160" s="719"/>
      <c r="G3160" s="719"/>
      <c r="H3160" s="639">
        <f>E3153</f>
        <v>34</v>
      </c>
    </row>
    <row r="3161" spans="1:8" s="201" customFormat="1">
      <c r="A3161" s="582"/>
      <c r="B3161" s="582"/>
      <c r="C3161" s="212"/>
      <c r="D3161" s="718" t="s">
        <v>130</v>
      </c>
      <c r="E3161" s="718"/>
      <c r="F3161" s="718"/>
      <c r="G3161" s="718"/>
      <c r="H3161" s="213">
        <f>ROUND(H3159*H3160,2)</f>
        <v>420.92</v>
      </c>
    </row>
    <row r="3162" spans="1:8" s="201" customFormat="1">
      <c r="A3162" s="582"/>
      <c r="B3162" s="582"/>
      <c r="C3162" s="212"/>
      <c r="D3162" s="719" t="s">
        <v>15559</v>
      </c>
      <c r="E3162" s="719"/>
      <c r="F3162" s="719"/>
      <c r="G3162" s="719"/>
      <c r="H3162" s="638">
        <f>ROUND(H3159*$B$13,2)</f>
        <v>3.33</v>
      </c>
    </row>
    <row r="3163" spans="1:8">
      <c r="A3163" s="582"/>
      <c r="B3163" s="582"/>
      <c r="C3163" s="212"/>
      <c r="D3163" s="718" t="s">
        <v>9661</v>
      </c>
      <c r="E3163" s="718"/>
      <c r="F3163" s="718"/>
      <c r="G3163" s="718"/>
      <c r="H3163" s="213">
        <f>H3162+H3159</f>
        <v>15.709999999999999</v>
      </c>
    </row>
    <row r="3165" spans="1:8" s="201" customFormat="1">
      <c r="A3165" s="123" t="s">
        <v>6</v>
      </c>
      <c r="B3165" s="720" t="s">
        <v>7</v>
      </c>
      <c r="C3165" s="720"/>
      <c r="D3165" s="202" t="s">
        <v>124</v>
      </c>
      <c r="E3165" s="167" t="s">
        <v>6334</v>
      </c>
      <c r="F3165" s="202" t="s">
        <v>31</v>
      </c>
      <c r="G3165" s="203" t="s">
        <v>125</v>
      </c>
      <c r="H3165" s="204" t="s">
        <v>126</v>
      </c>
    </row>
    <row r="3166" spans="1:8" s="208" customFormat="1" ht="30">
      <c r="A3166" s="216" t="str">
        <f>'Orç - Prédio'!A508</f>
        <v>06.01.309.21</v>
      </c>
      <c r="B3166" s="216" t="str">
        <f>'Orç - Prédio'!B508</f>
        <v>ORSE</v>
      </c>
      <c r="C3166" s="216" t="str">
        <f>'Orç - Prédio'!C508</f>
        <v>8110 MOD</v>
      </c>
      <c r="D3166" s="217" t="s">
        <v>8488</v>
      </c>
      <c r="E3166" s="206">
        <v>9</v>
      </c>
      <c r="F3166" s="216" t="s">
        <v>6337</v>
      </c>
      <c r="G3166" s="318">
        <f>VLOOKUP("CUSTO TOTAL UNIT.:",D3167:$H$30004,5,FALSE)</f>
        <v>11.32</v>
      </c>
      <c r="H3166" s="637">
        <f>VLOOKUP("CUSTO TOTAL:",D3167:$H$30004,5,FALSE)</f>
        <v>101.88</v>
      </c>
    </row>
    <row r="3167" spans="1:8" s="124" customFormat="1" ht="30">
      <c r="A3167" s="721">
        <v>4081</v>
      </c>
      <c r="B3167" s="721"/>
      <c r="C3167" s="200" t="s">
        <v>6333</v>
      </c>
      <c r="D3167" s="139" t="s">
        <v>8531</v>
      </c>
      <c r="E3167" s="209">
        <v>1</v>
      </c>
      <c r="F3167" s="577" t="s">
        <v>31</v>
      </c>
      <c r="G3167" s="174">
        <v>5.8320000000000007</v>
      </c>
      <c r="H3167" s="211">
        <f>ROUND(G3167*E3167,2)</f>
        <v>5.83</v>
      </c>
    </row>
    <row r="3168" spans="1:8" s="124" customFormat="1" ht="30">
      <c r="A3168" s="721">
        <v>88264</v>
      </c>
      <c r="B3168" s="721"/>
      <c r="C3168" s="200" t="s">
        <v>5256</v>
      </c>
      <c r="D3168" s="139" t="s">
        <v>84</v>
      </c>
      <c r="E3168" s="209">
        <v>0.2</v>
      </c>
      <c r="F3168" s="577" t="s">
        <v>67</v>
      </c>
      <c r="G3168" s="210">
        <v>15.778800000000002</v>
      </c>
      <c r="H3168" s="211">
        <f>ROUND(G3168*E3168,2)</f>
        <v>3.16</v>
      </c>
    </row>
    <row r="3169" spans="1:8" s="124" customFormat="1" ht="30">
      <c r="A3169" s="721">
        <v>88316</v>
      </c>
      <c r="B3169" s="721"/>
      <c r="C3169" s="200" t="s">
        <v>5256</v>
      </c>
      <c r="D3169" s="139" t="s">
        <v>66</v>
      </c>
      <c r="E3169" s="209">
        <v>0.2</v>
      </c>
      <c r="F3169" s="577" t="s">
        <v>67</v>
      </c>
      <c r="G3169" s="210">
        <v>11.631600000000001</v>
      </c>
      <c r="H3169" s="211">
        <f>ROUND(G3169*E3169,2)</f>
        <v>2.33</v>
      </c>
    </row>
    <row r="3170" spans="1:8" s="201" customFormat="1">
      <c r="A3170" s="582"/>
      <c r="B3170" s="582"/>
      <c r="C3170" s="212"/>
      <c r="D3170" s="719" t="s">
        <v>127</v>
      </c>
      <c r="E3170" s="719"/>
      <c r="F3170" s="719"/>
      <c r="G3170" s="719"/>
      <c r="H3170" s="638">
        <f>SUMIF(F3167:F3169,("h"),H3167:H3169)</f>
        <v>5.49</v>
      </c>
    </row>
    <row r="3171" spans="1:8" s="201" customFormat="1">
      <c r="A3171" s="582"/>
      <c r="B3171" s="582"/>
      <c r="C3171" s="212"/>
      <c r="D3171" s="719" t="s">
        <v>128</v>
      </c>
      <c r="E3171" s="719"/>
      <c r="F3171" s="719"/>
      <c r="G3171" s="719"/>
      <c r="H3171" s="638">
        <f>SUMIF(F3167:F3169,"&lt;&gt;h",H3167:H3169)</f>
        <v>5.83</v>
      </c>
    </row>
    <row r="3172" spans="1:8" s="201" customFormat="1">
      <c r="A3172" s="582"/>
      <c r="B3172" s="582"/>
      <c r="C3172" s="212"/>
      <c r="D3172" s="718" t="s">
        <v>129</v>
      </c>
      <c r="E3172" s="718"/>
      <c r="F3172" s="718"/>
      <c r="G3172" s="718"/>
      <c r="H3172" s="213">
        <f>SUM(H3170:H3171)</f>
        <v>11.32</v>
      </c>
    </row>
    <row r="3173" spans="1:8" s="201" customFormat="1">
      <c r="A3173" s="582"/>
      <c r="B3173" s="582"/>
      <c r="C3173" s="212"/>
      <c r="D3173" s="719" t="s">
        <v>28</v>
      </c>
      <c r="E3173" s="719"/>
      <c r="F3173" s="719"/>
      <c r="G3173" s="719"/>
      <c r="H3173" s="639">
        <f>E3166</f>
        <v>9</v>
      </c>
    </row>
    <row r="3174" spans="1:8" s="201" customFormat="1">
      <c r="A3174" s="582"/>
      <c r="B3174" s="582"/>
      <c r="C3174" s="212"/>
      <c r="D3174" s="718" t="s">
        <v>130</v>
      </c>
      <c r="E3174" s="718"/>
      <c r="F3174" s="718"/>
      <c r="G3174" s="718"/>
      <c r="H3174" s="213">
        <f>ROUND(H3172*H3173,2)</f>
        <v>101.88</v>
      </c>
    </row>
    <row r="3175" spans="1:8" s="201" customFormat="1">
      <c r="A3175" s="582"/>
      <c r="B3175" s="582"/>
      <c r="C3175" s="212"/>
      <c r="D3175" s="719" t="s">
        <v>15559</v>
      </c>
      <c r="E3175" s="719"/>
      <c r="F3175" s="719"/>
      <c r="G3175" s="719"/>
      <c r="H3175" s="638">
        <f>ROUND(H3172*$B$13,2)</f>
        <v>3.05</v>
      </c>
    </row>
    <row r="3176" spans="1:8">
      <c r="A3176" s="582"/>
      <c r="B3176" s="582"/>
      <c r="C3176" s="212"/>
      <c r="D3176" s="718" t="s">
        <v>9661</v>
      </c>
      <c r="E3176" s="718"/>
      <c r="F3176" s="718"/>
      <c r="G3176" s="718"/>
      <c r="H3176" s="213">
        <f>H3175+H3172</f>
        <v>14.370000000000001</v>
      </c>
    </row>
    <row r="3178" spans="1:8" s="201" customFormat="1">
      <c r="A3178" s="123" t="s">
        <v>6</v>
      </c>
      <c r="B3178" s="720" t="s">
        <v>7</v>
      </c>
      <c r="C3178" s="720"/>
      <c r="D3178" s="202" t="s">
        <v>124</v>
      </c>
      <c r="E3178" s="167" t="s">
        <v>6334</v>
      </c>
      <c r="F3178" s="202" t="s">
        <v>31</v>
      </c>
      <c r="G3178" s="203" t="s">
        <v>125</v>
      </c>
      <c r="H3178" s="204" t="s">
        <v>126</v>
      </c>
    </row>
    <row r="3179" spans="1:8" s="208" customFormat="1" ht="30">
      <c r="A3179" s="216" t="str">
        <f>'Orç - Prédio'!A509</f>
        <v>06.01.309.22</v>
      </c>
      <c r="B3179" s="216" t="str">
        <f>'Orç - Prédio'!B509</f>
        <v>ORSE</v>
      </c>
      <c r="C3179" s="216">
        <f>'Orç - Prédio'!C509</f>
        <v>11295</v>
      </c>
      <c r="D3179" s="217" t="s">
        <v>8489</v>
      </c>
      <c r="E3179" s="206">
        <v>100</v>
      </c>
      <c r="F3179" s="216" t="s">
        <v>6337</v>
      </c>
      <c r="G3179" s="318">
        <f>VLOOKUP("CUSTO TOTAL UNIT.:",D3180:$H$30004,5,FALSE)</f>
        <v>9.5300000000000011</v>
      </c>
      <c r="H3179" s="637">
        <f>VLOOKUP("CUSTO TOTAL:",D3180:$H$30004,5,FALSE)</f>
        <v>953</v>
      </c>
    </row>
    <row r="3180" spans="1:8" s="124" customFormat="1" ht="30">
      <c r="A3180" s="721">
        <v>4037</v>
      </c>
      <c r="B3180" s="721"/>
      <c r="C3180" s="200" t="s">
        <v>6333</v>
      </c>
      <c r="D3180" s="139" t="s">
        <v>8532</v>
      </c>
      <c r="E3180" s="209">
        <v>1</v>
      </c>
      <c r="F3180" s="577" t="s">
        <v>31</v>
      </c>
      <c r="G3180" s="174">
        <v>4.0419</v>
      </c>
      <c r="H3180" s="211">
        <f>ROUND(G3180*E3180,2)</f>
        <v>4.04</v>
      </c>
    </row>
    <row r="3181" spans="1:8" s="124" customFormat="1" ht="30">
      <c r="A3181" s="721">
        <v>88264</v>
      </c>
      <c r="B3181" s="721"/>
      <c r="C3181" s="200" t="s">
        <v>5256</v>
      </c>
      <c r="D3181" s="139" t="s">
        <v>84</v>
      </c>
      <c r="E3181" s="209">
        <v>0.2</v>
      </c>
      <c r="F3181" s="577" t="s">
        <v>67</v>
      </c>
      <c r="G3181" s="210">
        <v>15.778800000000002</v>
      </c>
      <c r="H3181" s="211">
        <f>ROUND(G3181*E3181,2)</f>
        <v>3.16</v>
      </c>
    </row>
    <row r="3182" spans="1:8" s="124" customFormat="1" ht="30">
      <c r="A3182" s="721">
        <v>88316</v>
      </c>
      <c r="B3182" s="721"/>
      <c r="C3182" s="200" t="s">
        <v>5256</v>
      </c>
      <c r="D3182" s="139" t="s">
        <v>66</v>
      </c>
      <c r="E3182" s="209">
        <v>0.2</v>
      </c>
      <c r="F3182" s="577" t="s">
        <v>67</v>
      </c>
      <c r="G3182" s="210">
        <v>11.631600000000001</v>
      </c>
      <c r="H3182" s="211">
        <f>ROUND(G3182*E3182,2)</f>
        <v>2.33</v>
      </c>
    </row>
    <row r="3183" spans="1:8" s="201" customFormat="1">
      <c r="A3183" s="582"/>
      <c r="B3183" s="582"/>
      <c r="C3183" s="212"/>
      <c r="D3183" s="719" t="s">
        <v>127</v>
      </c>
      <c r="E3183" s="719"/>
      <c r="F3183" s="719"/>
      <c r="G3183" s="719"/>
      <c r="H3183" s="638">
        <f>SUMIF(F3180:F3182,("h"),H3180:H3182)</f>
        <v>5.49</v>
      </c>
    </row>
    <row r="3184" spans="1:8" s="201" customFormat="1">
      <c r="A3184" s="582"/>
      <c r="B3184" s="582"/>
      <c r="C3184" s="212"/>
      <c r="D3184" s="719" t="s">
        <v>128</v>
      </c>
      <c r="E3184" s="719"/>
      <c r="F3184" s="719"/>
      <c r="G3184" s="719"/>
      <c r="H3184" s="638">
        <f>SUMIF(F3180:F3182,"&lt;&gt;h",H3180:H3182)</f>
        <v>4.04</v>
      </c>
    </row>
    <row r="3185" spans="1:8" s="201" customFormat="1">
      <c r="A3185" s="582"/>
      <c r="B3185" s="582"/>
      <c r="C3185" s="212"/>
      <c r="D3185" s="718" t="s">
        <v>129</v>
      </c>
      <c r="E3185" s="718"/>
      <c r="F3185" s="718"/>
      <c r="G3185" s="718"/>
      <c r="H3185" s="213">
        <f>SUM(H3183:H3184)</f>
        <v>9.5300000000000011</v>
      </c>
    </row>
    <row r="3186" spans="1:8" s="201" customFormat="1">
      <c r="A3186" s="582"/>
      <c r="B3186" s="582"/>
      <c r="C3186" s="212"/>
      <c r="D3186" s="719" t="s">
        <v>28</v>
      </c>
      <c r="E3186" s="719"/>
      <c r="F3186" s="719"/>
      <c r="G3186" s="719"/>
      <c r="H3186" s="639">
        <f>E3179</f>
        <v>100</v>
      </c>
    </row>
    <row r="3187" spans="1:8" s="201" customFormat="1">
      <c r="A3187" s="582"/>
      <c r="B3187" s="582"/>
      <c r="C3187" s="212"/>
      <c r="D3187" s="718" t="s">
        <v>130</v>
      </c>
      <c r="E3187" s="718"/>
      <c r="F3187" s="718"/>
      <c r="G3187" s="718"/>
      <c r="H3187" s="213">
        <f>ROUND(H3185*H3186,2)</f>
        <v>953</v>
      </c>
    </row>
    <row r="3188" spans="1:8" s="201" customFormat="1">
      <c r="A3188" s="582"/>
      <c r="B3188" s="582"/>
      <c r="C3188" s="212"/>
      <c r="D3188" s="719" t="s">
        <v>15559</v>
      </c>
      <c r="E3188" s="719"/>
      <c r="F3188" s="719"/>
      <c r="G3188" s="719"/>
      <c r="H3188" s="638">
        <f>ROUND(H3185*$B$13,2)</f>
        <v>2.57</v>
      </c>
    </row>
    <row r="3189" spans="1:8">
      <c r="A3189" s="582"/>
      <c r="B3189" s="582"/>
      <c r="C3189" s="212"/>
      <c r="D3189" s="718" t="s">
        <v>9661</v>
      </c>
      <c r="E3189" s="718"/>
      <c r="F3189" s="718"/>
      <c r="G3189" s="718"/>
      <c r="H3189" s="213">
        <f>H3188+H3185</f>
        <v>12.100000000000001</v>
      </c>
    </row>
    <row r="3191" spans="1:8" s="201" customFormat="1">
      <c r="A3191" s="123" t="s">
        <v>6</v>
      </c>
      <c r="B3191" s="720" t="s">
        <v>7</v>
      </c>
      <c r="C3191" s="720"/>
      <c r="D3191" s="202" t="s">
        <v>124</v>
      </c>
      <c r="E3191" s="167" t="s">
        <v>6334</v>
      </c>
      <c r="F3191" s="202" t="s">
        <v>31</v>
      </c>
      <c r="G3191" s="203" t="s">
        <v>125</v>
      </c>
      <c r="H3191" s="204" t="s">
        <v>126</v>
      </c>
    </row>
    <row r="3192" spans="1:8" s="208" customFormat="1" ht="30">
      <c r="A3192" s="216" t="str">
        <f>'Orç - Prédio'!A510</f>
        <v>06.01.309.23</v>
      </c>
      <c r="B3192" s="216" t="str">
        <f>'Orç - Prédio'!B510</f>
        <v>ORSE</v>
      </c>
      <c r="C3192" s="216">
        <f>'Orç - Prédio'!C510</f>
        <v>11848</v>
      </c>
      <c r="D3192" s="217" t="s">
        <v>8490</v>
      </c>
      <c r="E3192" s="206">
        <v>333</v>
      </c>
      <c r="F3192" s="216" t="s">
        <v>6337</v>
      </c>
      <c r="G3192" s="318">
        <f>VLOOKUP("CUSTO TOTAL UNIT.:",D3193:$H$30004,5,FALSE)</f>
        <v>8.65</v>
      </c>
      <c r="H3192" s="637">
        <f>VLOOKUP("CUSTO TOTAL:",D3193:$H$30004,5,FALSE)</f>
        <v>2880.45</v>
      </c>
    </row>
    <row r="3193" spans="1:8" s="124" customFormat="1" ht="30">
      <c r="A3193" s="721">
        <v>4034</v>
      </c>
      <c r="B3193" s="721"/>
      <c r="C3193" s="200" t="s">
        <v>6333</v>
      </c>
      <c r="D3193" s="139" t="s">
        <v>8533</v>
      </c>
      <c r="E3193" s="209">
        <v>1</v>
      </c>
      <c r="F3193" s="577" t="s">
        <v>31</v>
      </c>
      <c r="G3193" s="174">
        <v>3.1590000000000003</v>
      </c>
      <c r="H3193" s="211">
        <f>ROUND(G3193*E3193,2)</f>
        <v>3.16</v>
      </c>
    </row>
    <row r="3194" spans="1:8" s="124" customFormat="1" ht="30">
      <c r="A3194" s="721">
        <v>88264</v>
      </c>
      <c r="B3194" s="721"/>
      <c r="C3194" s="200" t="s">
        <v>5256</v>
      </c>
      <c r="D3194" s="139" t="s">
        <v>84</v>
      </c>
      <c r="E3194" s="209">
        <v>0.2</v>
      </c>
      <c r="F3194" s="577" t="s">
        <v>67</v>
      </c>
      <c r="G3194" s="210">
        <v>15.778800000000002</v>
      </c>
      <c r="H3194" s="211">
        <f>ROUND(G3194*E3194,2)</f>
        <v>3.16</v>
      </c>
    </row>
    <row r="3195" spans="1:8" s="124" customFormat="1" ht="30">
      <c r="A3195" s="721">
        <v>88316</v>
      </c>
      <c r="B3195" s="721"/>
      <c r="C3195" s="200" t="s">
        <v>5256</v>
      </c>
      <c r="D3195" s="139" t="s">
        <v>66</v>
      </c>
      <c r="E3195" s="209">
        <v>0.2</v>
      </c>
      <c r="F3195" s="577" t="s">
        <v>67</v>
      </c>
      <c r="G3195" s="210">
        <v>11.631600000000001</v>
      </c>
      <c r="H3195" s="211">
        <f>ROUND(G3195*E3195,2)</f>
        <v>2.33</v>
      </c>
    </row>
    <row r="3196" spans="1:8" s="201" customFormat="1">
      <c r="A3196" s="582"/>
      <c r="B3196" s="582"/>
      <c r="C3196" s="212"/>
      <c r="D3196" s="719" t="s">
        <v>127</v>
      </c>
      <c r="E3196" s="719"/>
      <c r="F3196" s="719"/>
      <c r="G3196" s="719"/>
      <c r="H3196" s="638">
        <f>SUMIF(F3193:F3195,("h"),H3193:H3195)</f>
        <v>5.49</v>
      </c>
    </row>
    <row r="3197" spans="1:8" s="201" customFormat="1">
      <c r="A3197" s="582"/>
      <c r="B3197" s="582"/>
      <c r="C3197" s="212"/>
      <c r="D3197" s="719" t="s">
        <v>128</v>
      </c>
      <c r="E3197" s="719"/>
      <c r="F3197" s="719"/>
      <c r="G3197" s="719"/>
      <c r="H3197" s="638">
        <f>SUMIF(F3193:F3195,"&lt;&gt;h",H3193:H3195)</f>
        <v>3.16</v>
      </c>
    </row>
    <row r="3198" spans="1:8" s="201" customFormat="1">
      <c r="A3198" s="582"/>
      <c r="B3198" s="582"/>
      <c r="C3198" s="212"/>
      <c r="D3198" s="718" t="s">
        <v>129</v>
      </c>
      <c r="E3198" s="718"/>
      <c r="F3198" s="718"/>
      <c r="G3198" s="718"/>
      <c r="H3198" s="213">
        <f>SUM(H3196:H3197)</f>
        <v>8.65</v>
      </c>
    </row>
    <row r="3199" spans="1:8" s="201" customFormat="1">
      <c r="A3199" s="582"/>
      <c r="B3199" s="582"/>
      <c r="C3199" s="212"/>
      <c r="D3199" s="719" t="s">
        <v>28</v>
      </c>
      <c r="E3199" s="719"/>
      <c r="F3199" s="719"/>
      <c r="G3199" s="719"/>
      <c r="H3199" s="639">
        <f>E3192</f>
        <v>333</v>
      </c>
    </row>
    <row r="3200" spans="1:8" s="201" customFormat="1">
      <c r="A3200" s="582"/>
      <c r="B3200" s="582"/>
      <c r="C3200" s="212"/>
      <c r="D3200" s="718" t="s">
        <v>130</v>
      </c>
      <c r="E3200" s="718"/>
      <c r="F3200" s="718"/>
      <c r="G3200" s="718"/>
      <c r="H3200" s="213">
        <f>ROUND(H3198*H3199,2)</f>
        <v>2880.45</v>
      </c>
    </row>
    <row r="3201" spans="1:8" s="201" customFormat="1">
      <c r="A3201" s="582"/>
      <c r="B3201" s="582"/>
      <c r="C3201" s="212"/>
      <c r="D3201" s="719" t="s">
        <v>15559</v>
      </c>
      <c r="E3201" s="719"/>
      <c r="F3201" s="719"/>
      <c r="G3201" s="719"/>
      <c r="H3201" s="638">
        <f>ROUND(H3198*$B$13,2)</f>
        <v>2.33</v>
      </c>
    </row>
    <row r="3202" spans="1:8">
      <c r="A3202" s="582"/>
      <c r="B3202" s="582"/>
      <c r="C3202" s="212"/>
      <c r="D3202" s="718" t="s">
        <v>9661</v>
      </c>
      <c r="E3202" s="718"/>
      <c r="F3202" s="718"/>
      <c r="G3202" s="718"/>
      <c r="H3202" s="213">
        <f>H3201+H3198</f>
        <v>10.98</v>
      </c>
    </row>
    <row r="3204" spans="1:8" s="201" customFormat="1">
      <c r="A3204" s="123" t="s">
        <v>6</v>
      </c>
      <c r="B3204" s="720" t="s">
        <v>7</v>
      </c>
      <c r="C3204" s="720"/>
      <c r="D3204" s="202" t="s">
        <v>124</v>
      </c>
      <c r="E3204" s="167" t="s">
        <v>6334</v>
      </c>
      <c r="F3204" s="202" t="s">
        <v>31</v>
      </c>
      <c r="G3204" s="203" t="s">
        <v>125</v>
      </c>
      <c r="H3204" s="204" t="s">
        <v>126</v>
      </c>
    </row>
    <row r="3205" spans="1:8" s="208" customFormat="1" ht="30">
      <c r="A3205" s="216" t="str">
        <f>'Orç - Prédio'!A511</f>
        <v>06.01.309.24</v>
      </c>
      <c r="B3205" s="216" t="str">
        <f>'Orç - Prédio'!B511</f>
        <v>ORSE</v>
      </c>
      <c r="C3205" s="216" t="str">
        <f>'Orç - Prédio'!C511</f>
        <v>9527 MOD 1</v>
      </c>
      <c r="D3205" s="217" t="s">
        <v>8491</v>
      </c>
      <c r="E3205" s="206">
        <v>1</v>
      </c>
      <c r="F3205" s="216" t="s">
        <v>6337</v>
      </c>
      <c r="G3205" s="318">
        <f>VLOOKUP("CUSTO TOTAL UNIT.:",D3206:$H$30004,5,FALSE)</f>
        <v>97.02</v>
      </c>
      <c r="H3205" s="637">
        <f>VLOOKUP("CUSTO TOTAL:",D3206:$H$30004,5,FALSE)</f>
        <v>97.02</v>
      </c>
    </row>
    <row r="3206" spans="1:8" s="124" customFormat="1" ht="30">
      <c r="A3206" s="721">
        <v>3994</v>
      </c>
      <c r="B3206" s="721"/>
      <c r="C3206" s="200" t="s">
        <v>6333</v>
      </c>
      <c r="D3206" s="139" t="s">
        <v>8538</v>
      </c>
      <c r="E3206" s="209">
        <v>1</v>
      </c>
      <c r="F3206" s="577" t="s">
        <v>31</v>
      </c>
      <c r="G3206" s="174">
        <v>91.53</v>
      </c>
      <c r="H3206" s="211">
        <f>ROUND(G3206*E3206,2)</f>
        <v>91.53</v>
      </c>
    </row>
    <row r="3207" spans="1:8" s="124" customFormat="1" ht="30">
      <c r="A3207" s="721">
        <v>88264</v>
      </c>
      <c r="B3207" s="721"/>
      <c r="C3207" s="200" t="s">
        <v>5256</v>
      </c>
      <c r="D3207" s="139" t="s">
        <v>84</v>
      </c>
      <c r="E3207" s="209">
        <v>0.2</v>
      </c>
      <c r="F3207" s="577" t="s">
        <v>67</v>
      </c>
      <c r="G3207" s="210">
        <v>15.778800000000002</v>
      </c>
      <c r="H3207" s="211">
        <f>ROUND(G3207*E3207,2)</f>
        <v>3.16</v>
      </c>
    </row>
    <row r="3208" spans="1:8" s="124" customFormat="1" ht="30">
      <c r="A3208" s="721">
        <v>88316</v>
      </c>
      <c r="B3208" s="721"/>
      <c r="C3208" s="200" t="s">
        <v>5256</v>
      </c>
      <c r="D3208" s="139" t="s">
        <v>66</v>
      </c>
      <c r="E3208" s="209">
        <v>0.2</v>
      </c>
      <c r="F3208" s="577" t="s">
        <v>67</v>
      </c>
      <c r="G3208" s="210">
        <v>11.631600000000001</v>
      </c>
      <c r="H3208" s="211">
        <f>ROUND(G3208*E3208,2)</f>
        <v>2.33</v>
      </c>
    </row>
    <row r="3209" spans="1:8" s="201" customFormat="1">
      <c r="A3209" s="582"/>
      <c r="B3209" s="582"/>
      <c r="C3209" s="212"/>
      <c r="D3209" s="719" t="s">
        <v>127</v>
      </c>
      <c r="E3209" s="719"/>
      <c r="F3209" s="719"/>
      <c r="G3209" s="719"/>
      <c r="H3209" s="638">
        <f>SUMIF(F3206:F3208,("h"),H3206:H3208)</f>
        <v>5.49</v>
      </c>
    </row>
    <row r="3210" spans="1:8" s="201" customFormat="1">
      <c r="A3210" s="582"/>
      <c r="B3210" s="582"/>
      <c r="C3210" s="212"/>
      <c r="D3210" s="719" t="s">
        <v>128</v>
      </c>
      <c r="E3210" s="719"/>
      <c r="F3210" s="719"/>
      <c r="G3210" s="719"/>
      <c r="H3210" s="638">
        <f>SUMIF(F3206:F3208,"&lt;&gt;h",H3206:H3208)</f>
        <v>91.53</v>
      </c>
    </row>
    <row r="3211" spans="1:8" s="201" customFormat="1">
      <c r="A3211" s="582"/>
      <c r="B3211" s="582"/>
      <c r="C3211" s="212"/>
      <c r="D3211" s="718" t="s">
        <v>129</v>
      </c>
      <c r="E3211" s="718"/>
      <c r="F3211" s="718"/>
      <c r="G3211" s="718"/>
      <c r="H3211" s="213">
        <f>SUM(H3209:H3210)</f>
        <v>97.02</v>
      </c>
    </row>
    <row r="3212" spans="1:8" s="201" customFormat="1">
      <c r="A3212" s="582"/>
      <c r="B3212" s="582"/>
      <c r="C3212" s="212"/>
      <c r="D3212" s="719" t="s">
        <v>28</v>
      </c>
      <c r="E3212" s="719"/>
      <c r="F3212" s="719"/>
      <c r="G3212" s="719"/>
      <c r="H3212" s="639">
        <f>E3205</f>
        <v>1</v>
      </c>
    </row>
    <row r="3213" spans="1:8" s="201" customFormat="1">
      <c r="A3213" s="582"/>
      <c r="B3213" s="582"/>
      <c r="C3213" s="212"/>
      <c r="D3213" s="718" t="s">
        <v>130</v>
      </c>
      <c r="E3213" s="718"/>
      <c r="F3213" s="718"/>
      <c r="G3213" s="718"/>
      <c r="H3213" s="213">
        <f>ROUND(H3211*H3212,2)</f>
        <v>97.02</v>
      </c>
    </row>
    <row r="3214" spans="1:8" s="201" customFormat="1">
      <c r="A3214" s="582"/>
      <c r="B3214" s="582"/>
      <c r="C3214" s="212"/>
      <c r="D3214" s="719" t="s">
        <v>15559</v>
      </c>
      <c r="E3214" s="719"/>
      <c r="F3214" s="719"/>
      <c r="G3214" s="719"/>
      <c r="H3214" s="638">
        <f>ROUND(H3211*$B$13,2)</f>
        <v>26.13</v>
      </c>
    </row>
    <row r="3215" spans="1:8">
      <c r="A3215" s="582"/>
      <c r="B3215" s="582"/>
      <c r="C3215" s="212"/>
      <c r="D3215" s="718" t="s">
        <v>9661</v>
      </c>
      <c r="E3215" s="718"/>
      <c r="F3215" s="718"/>
      <c r="G3215" s="718"/>
      <c r="H3215" s="213">
        <f>H3214+H3211</f>
        <v>123.14999999999999</v>
      </c>
    </row>
    <row r="3217" spans="1:8" s="201" customFormat="1">
      <c r="A3217" s="123" t="s">
        <v>6</v>
      </c>
      <c r="B3217" s="720" t="s">
        <v>7</v>
      </c>
      <c r="C3217" s="720"/>
      <c r="D3217" s="202" t="s">
        <v>124</v>
      </c>
      <c r="E3217" s="167" t="s">
        <v>6334</v>
      </c>
      <c r="F3217" s="202" t="s">
        <v>31</v>
      </c>
      <c r="G3217" s="203" t="s">
        <v>125</v>
      </c>
      <c r="H3217" s="204" t="s">
        <v>126</v>
      </c>
    </row>
    <row r="3218" spans="1:8" s="208" customFormat="1" ht="30">
      <c r="A3218" s="216" t="str">
        <f>'Orç - Prédio'!A512</f>
        <v>06.01.309.25</v>
      </c>
      <c r="B3218" s="216" t="str">
        <f>'Orç - Prédio'!B512</f>
        <v>ORSE</v>
      </c>
      <c r="C3218" s="216" t="str">
        <f>'Orç - Prédio'!C512</f>
        <v>9527 MOD 2</v>
      </c>
      <c r="D3218" s="217" t="s">
        <v>8492</v>
      </c>
      <c r="E3218" s="206">
        <v>1</v>
      </c>
      <c r="F3218" s="216" t="s">
        <v>6337</v>
      </c>
      <c r="G3218" s="318">
        <f>VLOOKUP("CUSTO TOTAL UNIT.:",D3219:$H$30004,5,FALSE)</f>
        <v>58.870000000000005</v>
      </c>
      <c r="H3218" s="637">
        <f>VLOOKUP("CUSTO TOTAL:",D3219:$H$30004,5,FALSE)</f>
        <v>58.87</v>
      </c>
    </row>
    <row r="3219" spans="1:8" s="124" customFormat="1" ht="30">
      <c r="A3219" s="721">
        <v>3993</v>
      </c>
      <c r="B3219" s="721"/>
      <c r="C3219" s="200" t="s">
        <v>6333</v>
      </c>
      <c r="D3219" s="139" t="s">
        <v>8539</v>
      </c>
      <c r="E3219" s="209">
        <v>1</v>
      </c>
      <c r="F3219" s="577" t="s">
        <v>31</v>
      </c>
      <c r="G3219" s="174">
        <v>53.379000000000005</v>
      </c>
      <c r="H3219" s="211">
        <f>ROUND(G3219*E3219,2)</f>
        <v>53.38</v>
      </c>
    </row>
    <row r="3220" spans="1:8" s="124" customFormat="1" ht="30">
      <c r="A3220" s="721">
        <v>88264</v>
      </c>
      <c r="B3220" s="721"/>
      <c r="C3220" s="200" t="s">
        <v>5256</v>
      </c>
      <c r="D3220" s="139" t="s">
        <v>84</v>
      </c>
      <c r="E3220" s="209">
        <v>0.2</v>
      </c>
      <c r="F3220" s="577" t="s">
        <v>67</v>
      </c>
      <c r="G3220" s="210">
        <v>15.778800000000002</v>
      </c>
      <c r="H3220" s="211">
        <f>ROUND(G3220*E3220,2)</f>
        <v>3.16</v>
      </c>
    </row>
    <row r="3221" spans="1:8" s="124" customFormat="1" ht="30">
      <c r="A3221" s="721">
        <v>88316</v>
      </c>
      <c r="B3221" s="721"/>
      <c r="C3221" s="200" t="s">
        <v>5256</v>
      </c>
      <c r="D3221" s="139" t="s">
        <v>66</v>
      </c>
      <c r="E3221" s="209">
        <v>0.2</v>
      </c>
      <c r="F3221" s="577" t="s">
        <v>67</v>
      </c>
      <c r="G3221" s="210">
        <v>11.631600000000001</v>
      </c>
      <c r="H3221" s="211">
        <f>ROUND(G3221*E3221,2)</f>
        <v>2.33</v>
      </c>
    </row>
    <row r="3222" spans="1:8" s="201" customFormat="1">
      <c r="A3222" s="582"/>
      <c r="B3222" s="582"/>
      <c r="C3222" s="212"/>
      <c r="D3222" s="719" t="s">
        <v>127</v>
      </c>
      <c r="E3222" s="719"/>
      <c r="F3222" s="719"/>
      <c r="G3222" s="719"/>
      <c r="H3222" s="638">
        <f>SUMIF(F3219:F3221,("h"),H3219:H3221)</f>
        <v>5.49</v>
      </c>
    </row>
    <row r="3223" spans="1:8" s="201" customFormat="1">
      <c r="A3223" s="582"/>
      <c r="B3223" s="582"/>
      <c r="C3223" s="212"/>
      <c r="D3223" s="719" t="s">
        <v>128</v>
      </c>
      <c r="E3223" s="719"/>
      <c r="F3223" s="719"/>
      <c r="G3223" s="719"/>
      <c r="H3223" s="638">
        <f>SUMIF(F3219:F3221,"&lt;&gt;h",H3219:H3221)</f>
        <v>53.38</v>
      </c>
    </row>
    <row r="3224" spans="1:8" s="201" customFormat="1">
      <c r="A3224" s="582"/>
      <c r="B3224" s="582"/>
      <c r="C3224" s="212"/>
      <c r="D3224" s="718" t="s">
        <v>129</v>
      </c>
      <c r="E3224" s="718"/>
      <c r="F3224" s="718"/>
      <c r="G3224" s="718"/>
      <c r="H3224" s="213">
        <f>SUM(H3222:H3223)</f>
        <v>58.870000000000005</v>
      </c>
    </row>
    <row r="3225" spans="1:8" s="201" customFormat="1">
      <c r="A3225" s="582"/>
      <c r="B3225" s="582"/>
      <c r="C3225" s="212"/>
      <c r="D3225" s="719" t="s">
        <v>28</v>
      </c>
      <c r="E3225" s="719"/>
      <c r="F3225" s="719"/>
      <c r="G3225" s="719"/>
      <c r="H3225" s="639">
        <f>E3218</f>
        <v>1</v>
      </c>
    </row>
    <row r="3226" spans="1:8" s="201" customFormat="1">
      <c r="A3226" s="582"/>
      <c r="B3226" s="582"/>
      <c r="C3226" s="212"/>
      <c r="D3226" s="718" t="s">
        <v>130</v>
      </c>
      <c r="E3226" s="718"/>
      <c r="F3226" s="718"/>
      <c r="G3226" s="718"/>
      <c r="H3226" s="213">
        <f>ROUND(H3224*H3225,2)</f>
        <v>58.87</v>
      </c>
    </row>
    <row r="3227" spans="1:8" s="201" customFormat="1">
      <c r="A3227" s="582"/>
      <c r="B3227" s="582"/>
      <c r="C3227" s="212"/>
      <c r="D3227" s="719" t="s">
        <v>15559</v>
      </c>
      <c r="E3227" s="719"/>
      <c r="F3227" s="719"/>
      <c r="G3227" s="719"/>
      <c r="H3227" s="638">
        <f>ROUND(H3224*$B$13,2)</f>
        <v>15.85</v>
      </c>
    </row>
    <row r="3228" spans="1:8">
      <c r="A3228" s="582"/>
      <c r="B3228" s="582"/>
      <c r="C3228" s="212"/>
      <c r="D3228" s="718" t="s">
        <v>9661</v>
      </c>
      <c r="E3228" s="718"/>
      <c r="F3228" s="718"/>
      <c r="G3228" s="718"/>
      <c r="H3228" s="213">
        <f>H3227+H3224</f>
        <v>74.72</v>
      </c>
    </row>
    <row r="3230" spans="1:8" s="201" customFormat="1">
      <c r="A3230" s="123" t="s">
        <v>6</v>
      </c>
      <c r="B3230" s="720" t="s">
        <v>7</v>
      </c>
      <c r="C3230" s="720"/>
      <c r="D3230" s="202" t="s">
        <v>124</v>
      </c>
      <c r="E3230" s="167" t="s">
        <v>6334</v>
      </c>
      <c r="F3230" s="202" t="s">
        <v>31</v>
      </c>
      <c r="G3230" s="203" t="s">
        <v>125</v>
      </c>
      <c r="H3230" s="204" t="s">
        <v>126</v>
      </c>
    </row>
    <row r="3231" spans="1:8" s="208" customFormat="1" ht="30">
      <c r="A3231" s="216" t="str">
        <f>'Orç - Prédio'!A513</f>
        <v>06.01.309.26</v>
      </c>
      <c r="B3231" s="216" t="str">
        <f>'Orç - Prédio'!B513</f>
        <v>ORSE</v>
      </c>
      <c r="C3231" s="216" t="str">
        <f>'Orç - Prédio'!C513</f>
        <v>9527 MOD 3</v>
      </c>
      <c r="D3231" s="217" t="s">
        <v>8493</v>
      </c>
      <c r="E3231" s="206">
        <v>20</v>
      </c>
      <c r="F3231" s="216" t="s">
        <v>6337</v>
      </c>
      <c r="G3231" s="318">
        <f>VLOOKUP("CUSTO TOTAL UNIT.:",D3232:$H$30004,5,FALSE)</f>
        <v>45.29</v>
      </c>
      <c r="H3231" s="637">
        <f>VLOOKUP("CUSTO TOTAL:",D3232:$H$30004,5,FALSE)</f>
        <v>905.8</v>
      </c>
    </row>
    <row r="3232" spans="1:8" s="124" customFormat="1" ht="30">
      <c r="A3232" s="721">
        <v>13301</v>
      </c>
      <c r="B3232" s="721"/>
      <c r="C3232" s="200" t="s">
        <v>6333</v>
      </c>
      <c r="D3232" s="139" t="s">
        <v>8540</v>
      </c>
      <c r="E3232" s="209">
        <v>1</v>
      </c>
      <c r="F3232" s="577" t="s">
        <v>31</v>
      </c>
      <c r="G3232" s="174">
        <v>39.803400000000003</v>
      </c>
      <c r="H3232" s="211">
        <f>ROUND(G3232*E3232,2)</f>
        <v>39.799999999999997</v>
      </c>
    </row>
    <row r="3233" spans="1:8" s="124" customFormat="1" ht="30">
      <c r="A3233" s="721">
        <v>88264</v>
      </c>
      <c r="B3233" s="721"/>
      <c r="C3233" s="200" t="s">
        <v>5256</v>
      </c>
      <c r="D3233" s="139" t="s">
        <v>84</v>
      </c>
      <c r="E3233" s="209">
        <v>0.2</v>
      </c>
      <c r="F3233" s="577" t="s">
        <v>67</v>
      </c>
      <c r="G3233" s="210">
        <v>15.778800000000002</v>
      </c>
      <c r="H3233" s="211">
        <f>ROUND(G3233*E3233,2)</f>
        <v>3.16</v>
      </c>
    </row>
    <row r="3234" spans="1:8" s="124" customFormat="1" ht="30">
      <c r="A3234" s="721">
        <v>88316</v>
      </c>
      <c r="B3234" s="721"/>
      <c r="C3234" s="200" t="s">
        <v>5256</v>
      </c>
      <c r="D3234" s="139" t="s">
        <v>66</v>
      </c>
      <c r="E3234" s="209">
        <v>0.2</v>
      </c>
      <c r="F3234" s="577" t="s">
        <v>67</v>
      </c>
      <c r="G3234" s="210">
        <v>11.631600000000001</v>
      </c>
      <c r="H3234" s="211">
        <f>ROUND(G3234*E3234,2)</f>
        <v>2.33</v>
      </c>
    </row>
    <row r="3235" spans="1:8" s="201" customFormat="1">
      <c r="A3235" s="582"/>
      <c r="B3235" s="582"/>
      <c r="C3235" s="212"/>
      <c r="D3235" s="719" t="s">
        <v>127</v>
      </c>
      <c r="E3235" s="719"/>
      <c r="F3235" s="719"/>
      <c r="G3235" s="719"/>
      <c r="H3235" s="638">
        <f>SUMIF(F3232:F3234,("h"),H3232:H3234)</f>
        <v>5.49</v>
      </c>
    </row>
    <row r="3236" spans="1:8" s="201" customFormat="1">
      <c r="A3236" s="582"/>
      <c r="B3236" s="582"/>
      <c r="C3236" s="212"/>
      <c r="D3236" s="719" t="s">
        <v>128</v>
      </c>
      <c r="E3236" s="719"/>
      <c r="F3236" s="719"/>
      <c r="G3236" s="719"/>
      <c r="H3236" s="638">
        <f>SUMIF(F3232:F3234,"&lt;&gt;h",H3232:H3234)</f>
        <v>39.799999999999997</v>
      </c>
    </row>
    <row r="3237" spans="1:8" s="201" customFormat="1">
      <c r="A3237" s="582"/>
      <c r="B3237" s="582"/>
      <c r="C3237" s="212"/>
      <c r="D3237" s="718" t="s">
        <v>129</v>
      </c>
      <c r="E3237" s="718"/>
      <c r="F3237" s="718"/>
      <c r="G3237" s="718"/>
      <c r="H3237" s="213">
        <f>SUM(H3235:H3236)</f>
        <v>45.29</v>
      </c>
    </row>
    <row r="3238" spans="1:8" s="201" customFormat="1">
      <c r="A3238" s="582"/>
      <c r="B3238" s="582"/>
      <c r="C3238" s="212"/>
      <c r="D3238" s="719" t="s">
        <v>28</v>
      </c>
      <c r="E3238" s="719"/>
      <c r="F3238" s="719"/>
      <c r="G3238" s="719"/>
      <c r="H3238" s="639">
        <f>E3231</f>
        <v>20</v>
      </c>
    </row>
    <row r="3239" spans="1:8" s="201" customFormat="1">
      <c r="A3239" s="582"/>
      <c r="B3239" s="582"/>
      <c r="C3239" s="212"/>
      <c r="D3239" s="718" t="s">
        <v>130</v>
      </c>
      <c r="E3239" s="718"/>
      <c r="F3239" s="718"/>
      <c r="G3239" s="718"/>
      <c r="H3239" s="213">
        <f>ROUND(H3237*H3238,2)</f>
        <v>905.8</v>
      </c>
    </row>
    <row r="3240" spans="1:8" s="201" customFormat="1">
      <c r="A3240" s="582"/>
      <c r="B3240" s="582"/>
      <c r="C3240" s="212"/>
      <c r="D3240" s="719" t="s">
        <v>15559</v>
      </c>
      <c r="E3240" s="719"/>
      <c r="F3240" s="719"/>
      <c r="G3240" s="719"/>
      <c r="H3240" s="638">
        <f>ROUND(H3237*$B$13,2)</f>
        <v>12.2</v>
      </c>
    </row>
    <row r="3241" spans="1:8">
      <c r="A3241" s="582"/>
      <c r="B3241" s="582"/>
      <c r="C3241" s="212"/>
      <c r="D3241" s="718" t="s">
        <v>9661</v>
      </c>
      <c r="E3241" s="718"/>
      <c r="F3241" s="718"/>
      <c r="G3241" s="718"/>
      <c r="H3241" s="213">
        <f>H3240+H3237</f>
        <v>57.489999999999995</v>
      </c>
    </row>
    <row r="3243" spans="1:8" s="201" customFormat="1">
      <c r="A3243" s="123" t="s">
        <v>6</v>
      </c>
      <c r="B3243" s="720" t="s">
        <v>7</v>
      </c>
      <c r="C3243" s="720"/>
      <c r="D3243" s="202" t="s">
        <v>124</v>
      </c>
      <c r="E3243" s="167" t="s">
        <v>6334</v>
      </c>
      <c r="F3243" s="202" t="s">
        <v>31</v>
      </c>
      <c r="G3243" s="203" t="s">
        <v>125</v>
      </c>
      <c r="H3243" s="204" t="s">
        <v>126</v>
      </c>
    </row>
    <row r="3244" spans="1:8" s="208" customFormat="1" ht="30">
      <c r="A3244" s="216" t="str">
        <f>'Orç - Prédio'!A514</f>
        <v>06.01.312.01</v>
      </c>
      <c r="B3244" s="216" t="str">
        <f>'Orç - Prédio'!B514</f>
        <v>ORSE</v>
      </c>
      <c r="C3244" s="216" t="str">
        <f>'Orç - Prédio'!C514</f>
        <v>9041 MOD 1</v>
      </c>
      <c r="D3244" s="217" t="s">
        <v>7270</v>
      </c>
      <c r="E3244" s="206">
        <v>27</v>
      </c>
      <c r="F3244" s="216" t="s">
        <v>6337</v>
      </c>
      <c r="G3244" s="207">
        <f>VLOOKUP("CUSTO TOTAL UNIT.:",D3245:$H$30004,5,FALSE)</f>
        <v>60.44</v>
      </c>
      <c r="H3244" s="637">
        <f>VLOOKUP("CUSTO TOTAL:",D3245:$H$30004,5,FALSE)</f>
        <v>1631.88</v>
      </c>
    </row>
    <row r="3245" spans="1:8" s="124" customFormat="1" ht="45">
      <c r="A3245" s="721">
        <v>39469</v>
      </c>
      <c r="B3245" s="721"/>
      <c r="C3245" s="200" t="s">
        <v>5256</v>
      </c>
      <c r="D3245" s="139" t="s">
        <v>11552</v>
      </c>
      <c r="E3245" s="209">
        <v>1</v>
      </c>
      <c r="F3245" s="577" t="s">
        <v>40</v>
      </c>
      <c r="G3245" s="210">
        <v>52.220700000000001</v>
      </c>
      <c r="H3245" s="211">
        <f>ROUND(G3245*E3245,2)</f>
        <v>52.22</v>
      </c>
    </row>
    <row r="3246" spans="1:8" s="124" customFormat="1" ht="30">
      <c r="A3246" s="721">
        <v>88264</v>
      </c>
      <c r="B3246" s="721"/>
      <c r="C3246" s="200" t="s">
        <v>5256</v>
      </c>
      <c r="D3246" s="139" t="s">
        <v>84</v>
      </c>
      <c r="E3246" s="209">
        <v>0.3</v>
      </c>
      <c r="F3246" s="577" t="s">
        <v>67</v>
      </c>
      <c r="G3246" s="210">
        <v>15.778800000000002</v>
      </c>
      <c r="H3246" s="211">
        <f>ROUND(G3246*E3246,2)</f>
        <v>4.7300000000000004</v>
      </c>
    </row>
    <row r="3247" spans="1:8" s="124" customFormat="1" ht="30">
      <c r="A3247" s="721">
        <v>88316</v>
      </c>
      <c r="B3247" s="721"/>
      <c r="C3247" s="200" t="s">
        <v>5256</v>
      </c>
      <c r="D3247" s="139" t="s">
        <v>66</v>
      </c>
      <c r="E3247" s="209">
        <v>0.3</v>
      </c>
      <c r="F3247" s="577" t="s">
        <v>67</v>
      </c>
      <c r="G3247" s="210">
        <v>11.631600000000001</v>
      </c>
      <c r="H3247" s="211">
        <f>ROUND(G3247*E3247,2)</f>
        <v>3.49</v>
      </c>
    </row>
    <row r="3248" spans="1:8" s="201" customFormat="1">
      <c r="A3248" s="582"/>
      <c r="B3248" s="582"/>
      <c r="C3248" s="212"/>
      <c r="D3248" s="719" t="s">
        <v>127</v>
      </c>
      <c r="E3248" s="719"/>
      <c r="F3248" s="719"/>
      <c r="G3248" s="719"/>
      <c r="H3248" s="638">
        <f>SUMIF(F3245:F3247,("h"),H3245:H3247)</f>
        <v>8.2200000000000006</v>
      </c>
    </row>
    <row r="3249" spans="1:8" s="201" customFormat="1">
      <c r="A3249" s="582"/>
      <c r="B3249" s="582"/>
      <c r="C3249" s="212"/>
      <c r="D3249" s="719" t="s">
        <v>128</v>
      </c>
      <c r="E3249" s="719"/>
      <c r="F3249" s="719"/>
      <c r="G3249" s="719"/>
      <c r="H3249" s="638">
        <f>SUMIF(F3245:F3247,"&lt;&gt;h",H3245:H3247)</f>
        <v>52.22</v>
      </c>
    </row>
    <row r="3250" spans="1:8" s="201" customFormat="1">
      <c r="A3250" s="582"/>
      <c r="B3250" s="582"/>
      <c r="C3250" s="212"/>
      <c r="D3250" s="718" t="s">
        <v>129</v>
      </c>
      <c r="E3250" s="718"/>
      <c r="F3250" s="718"/>
      <c r="G3250" s="718"/>
      <c r="H3250" s="213">
        <f>SUM(H3248:H3249)</f>
        <v>60.44</v>
      </c>
    </row>
    <row r="3251" spans="1:8" s="201" customFormat="1">
      <c r="A3251" s="582"/>
      <c r="B3251" s="582"/>
      <c r="C3251" s="212"/>
      <c r="D3251" s="719" t="s">
        <v>28</v>
      </c>
      <c r="E3251" s="719"/>
      <c r="F3251" s="719"/>
      <c r="G3251" s="719"/>
      <c r="H3251" s="639">
        <f>E3244</f>
        <v>27</v>
      </c>
    </row>
    <row r="3252" spans="1:8" s="201" customFormat="1">
      <c r="A3252" s="582"/>
      <c r="B3252" s="582"/>
      <c r="C3252" s="212"/>
      <c r="D3252" s="718" t="s">
        <v>130</v>
      </c>
      <c r="E3252" s="718"/>
      <c r="F3252" s="718"/>
      <c r="G3252" s="718"/>
      <c r="H3252" s="213">
        <f>ROUND(H3250*H3251,2)</f>
        <v>1631.88</v>
      </c>
    </row>
    <row r="3253" spans="1:8" s="201" customFormat="1">
      <c r="A3253" s="582"/>
      <c r="B3253" s="582"/>
      <c r="C3253" s="212"/>
      <c r="D3253" s="719" t="s">
        <v>15559</v>
      </c>
      <c r="E3253" s="719"/>
      <c r="F3253" s="719"/>
      <c r="G3253" s="719"/>
      <c r="H3253" s="638">
        <f>ROUND(H3250*$B$13,2)</f>
        <v>16.28</v>
      </c>
    </row>
    <row r="3254" spans="1:8">
      <c r="A3254" s="582"/>
      <c r="B3254" s="582"/>
      <c r="C3254" s="212"/>
      <c r="D3254" s="718" t="s">
        <v>9661</v>
      </c>
      <c r="E3254" s="718"/>
      <c r="F3254" s="718"/>
      <c r="G3254" s="718"/>
      <c r="H3254" s="213">
        <f>H3253+H3250</f>
        <v>76.72</v>
      </c>
    </row>
    <row r="3256" spans="1:8" s="201" customFormat="1">
      <c r="A3256" s="123" t="s">
        <v>6</v>
      </c>
      <c r="B3256" s="720" t="s">
        <v>7</v>
      </c>
      <c r="C3256" s="720"/>
      <c r="D3256" s="202" t="s">
        <v>124</v>
      </c>
      <c r="E3256" s="167" t="s">
        <v>6334</v>
      </c>
      <c r="F3256" s="202" t="s">
        <v>31</v>
      </c>
      <c r="G3256" s="203" t="s">
        <v>125</v>
      </c>
      <c r="H3256" s="204" t="s">
        <v>126</v>
      </c>
    </row>
    <row r="3257" spans="1:8" s="208" customFormat="1" ht="30">
      <c r="A3257" s="216" t="str">
        <f>'Orç - Prédio'!A515</f>
        <v>06.01.312.02</v>
      </c>
      <c r="B3257" s="216" t="str">
        <f>'Orç - Prédio'!B515</f>
        <v>ORSE</v>
      </c>
      <c r="C3257" s="216" t="str">
        <f>'Orç - Prédio'!C515</f>
        <v>9041 MOD 2</v>
      </c>
      <c r="D3257" s="217" t="s">
        <v>7271</v>
      </c>
      <c r="E3257" s="206">
        <v>4</v>
      </c>
      <c r="F3257" s="216" t="s">
        <v>6337</v>
      </c>
      <c r="G3257" s="207">
        <f>VLOOKUP("CUSTO TOTAL UNIT.:",D3258:$H$30004,5,FALSE)</f>
        <v>85.33</v>
      </c>
      <c r="H3257" s="637">
        <f>VLOOKUP("CUSTO TOTAL:",D3258:$H$30004,5,FALSE)</f>
        <v>341.32</v>
      </c>
    </row>
    <row r="3258" spans="1:8" s="124" customFormat="1" ht="45">
      <c r="A3258" s="721">
        <v>39471</v>
      </c>
      <c r="B3258" s="721"/>
      <c r="C3258" s="200" t="s">
        <v>5256</v>
      </c>
      <c r="D3258" s="139" t="s">
        <v>11554</v>
      </c>
      <c r="E3258" s="209">
        <v>1</v>
      </c>
      <c r="F3258" s="577" t="s">
        <v>40</v>
      </c>
      <c r="G3258" s="210">
        <v>77.112000000000009</v>
      </c>
      <c r="H3258" s="211">
        <f>ROUND(G3258*E3258,2)</f>
        <v>77.11</v>
      </c>
    </row>
    <row r="3259" spans="1:8" s="124" customFormat="1" ht="30">
      <c r="A3259" s="721">
        <v>88264</v>
      </c>
      <c r="B3259" s="721"/>
      <c r="C3259" s="200" t="s">
        <v>5256</v>
      </c>
      <c r="D3259" s="139" t="s">
        <v>84</v>
      </c>
      <c r="E3259" s="209">
        <v>0.3</v>
      </c>
      <c r="F3259" s="577" t="s">
        <v>67</v>
      </c>
      <c r="G3259" s="210">
        <v>15.778800000000002</v>
      </c>
      <c r="H3259" s="211">
        <f>ROUND(G3259*E3259,2)</f>
        <v>4.7300000000000004</v>
      </c>
    </row>
    <row r="3260" spans="1:8" s="124" customFormat="1" ht="30">
      <c r="A3260" s="721">
        <v>88316</v>
      </c>
      <c r="B3260" s="721"/>
      <c r="C3260" s="200" t="s">
        <v>5256</v>
      </c>
      <c r="D3260" s="139" t="s">
        <v>66</v>
      </c>
      <c r="E3260" s="209">
        <v>0.3</v>
      </c>
      <c r="F3260" s="577" t="s">
        <v>67</v>
      </c>
      <c r="G3260" s="210">
        <v>11.631600000000001</v>
      </c>
      <c r="H3260" s="211">
        <f>ROUND(G3260*E3260,2)</f>
        <v>3.49</v>
      </c>
    </row>
    <row r="3261" spans="1:8" s="201" customFormat="1">
      <c r="A3261" s="582"/>
      <c r="B3261" s="582"/>
      <c r="C3261" s="212"/>
      <c r="D3261" s="719" t="s">
        <v>127</v>
      </c>
      <c r="E3261" s="719"/>
      <c r="F3261" s="719"/>
      <c r="G3261" s="719"/>
      <c r="H3261" s="638">
        <f>SUMIF(F3258:F3260,("h"),H3258:H3260)</f>
        <v>8.2200000000000006</v>
      </c>
    </row>
    <row r="3262" spans="1:8" s="201" customFormat="1">
      <c r="A3262" s="582"/>
      <c r="B3262" s="582"/>
      <c r="C3262" s="212"/>
      <c r="D3262" s="719" t="s">
        <v>128</v>
      </c>
      <c r="E3262" s="719"/>
      <c r="F3262" s="719"/>
      <c r="G3262" s="719"/>
      <c r="H3262" s="638">
        <f>SUMIF(F3258:F3260,"&lt;&gt;h",H3258:H3260)</f>
        <v>77.11</v>
      </c>
    </row>
    <row r="3263" spans="1:8" s="201" customFormat="1">
      <c r="A3263" s="582"/>
      <c r="B3263" s="582"/>
      <c r="C3263" s="212"/>
      <c r="D3263" s="718" t="s">
        <v>129</v>
      </c>
      <c r="E3263" s="718"/>
      <c r="F3263" s="718"/>
      <c r="G3263" s="718"/>
      <c r="H3263" s="213">
        <f>SUM(H3261:H3262)</f>
        <v>85.33</v>
      </c>
    </row>
    <row r="3264" spans="1:8" s="201" customFormat="1">
      <c r="A3264" s="582"/>
      <c r="B3264" s="582"/>
      <c r="C3264" s="212"/>
      <c r="D3264" s="719" t="s">
        <v>28</v>
      </c>
      <c r="E3264" s="719"/>
      <c r="F3264" s="719"/>
      <c r="G3264" s="719"/>
      <c r="H3264" s="639">
        <f>E3257</f>
        <v>4</v>
      </c>
    </row>
    <row r="3265" spans="1:8" s="201" customFormat="1">
      <c r="A3265" s="582"/>
      <c r="B3265" s="582"/>
      <c r="C3265" s="212"/>
      <c r="D3265" s="718" t="s">
        <v>130</v>
      </c>
      <c r="E3265" s="718"/>
      <c r="F3265" s="718"/>
      <c r="G3265" s="718"/>
      <c r="H3265" s="213">
        <f>ROUND(H3263*H3264,2)</f>
        <v>341.32</v>
      </c>
    </row>
    <row r="3266" spans="1:8" s="201" customFormat="1">
      <c r="A3266" s="582"/>
      <c r="B3266" s="582"/>
      <c r="C3266" s="212"/>
      <c r="D3266" s="719" t="s">
        <v>15559</v>
      </c>
      <c r="E3266" s="719"/>
      <c r="F3266" s="719"/>
      <c r="G3266" s="719"/>
      <c r="H3266" s="638">
        <f>ROUND(H3263*$B$13,2)</f>
        <v>22.98</v>
      </c>
    </row>
    <row r="3267" spans="1:8">
      <c r="A3267" s="582"/>
      <c r="B3267" s="582"/>
      <c r="C3267" s="212"/>
      <c r="D3267" s="718" t="s">
        <v>9661</v>
      </c>
      <c r="E3267" s="718"/>
      <c r="F3267" s="718"/>
      <c r="G3267" s="718"/>
      <c r="H3267" s="213">
        <f>H3266+H3263</f>
        <v>108.31</v>
      </c>
    </row>
    <row r="3269" spans="1:8" s="201" customFormat="1">
      <c r="A3269" s="123" t="s">
        <v>6</v>
      </c>
      <c r="B3269" s="720" t="s">
        <v>7</v>
      </c>
      <c r="C3269" s="720"/>
      <c r="D3269" s="202" t="s">
        <v>124</v>
      </c>
      <c r="E3269" s="167" t="s">
        <v>6334</v>
      </c>
      <c r="F3269" s="202" t="s">
        <v>31</v>
      </c>
      <c r="G3269" s="203" t="s">
        <v>125</v>
      </c>
      <c r="H3269" s="204" t="s">
        <v>126</v>
      </c>
    </row>
    <row r="3270" spans="1:8" s="208" customFormat="1" ht="30">
      <c r="A3270" s="216" t="str">
        <f>'Orç - Prédio'!A516</f>
        <v>06.01.313.01</v>
      </c>
      <c r="B3270" s="216" t="str">
        <f>'Orç - Prédio'!B516</f>
        <v>ORSE</v>
      </c>
      <c r="C3270" s="216" t="str">
        <f>'Orç - Prédio'!C516</f>
        <v>8194 MOD 1</v>
      </c>
      <c r="D3270" s="217" t="s">
        <v>8421</v>
      </c>
      <c r="E3270" s="206">
        <v>11</v>
      </c>
      <c r="F3270" s="216" t="s">
        <v>6337</v>
      </c>
      <c r="G3270" s="207">
        <f>VLOOKUP("CUSTO TOTAL UNIT.:",D3271:$H$30004,5,FALSE)</f>
        <v>133.96</v>
      </c>
      <c r="H3270" s="637">
        <f>VLOOKUP("CUSTO TOTAL:",D3271:$H$30004,5,FALSE)</f>
        <v>1473.56</v>
      </c>
    </row>
    <row r="3271" spans="1:8" s="124" customFormat="1" ht="30">
      <c r="A3271" s="721">
        <v>39455</v>
      </c>
      <c r="B3271" s="721"/>
      <c r="C3271" s="200" t="s">
        <v>5256</v>
      </c>
      <c r="D3271" s="139" t="s">
        <v>11574</v>
      </c>
      <c r="E3271" s="209">
        <v>1</v>
      </c>
      <c r="F3271" s="577" t="s">
        <v>40</v>
      </c>
      <c r="G3271" s="210">
        <v>117.50670000000001</v>
      </c>
      <c r="H3271" s="211">
        <f>ROUND(G3271*E3271,2)</f>
        <v>117.51</v>
      </c>
    </row>
    <row r="3272" spans="1:8" s="124" customFormat="1" ht="30">
      <c r="A3272" s="721">
        <v>88264</v>
      </c>
      <c r="B3272" s="721"/>
      <c r="C3272" s="200" t="s">
        <v>5256</v>
      </c>
      <c r="D3272" s="139" t="s">
        <v>84</v>
      </c>
      <c r="E3272" s="209">
        <v>0.6</v>
      </c>
      <c r="F3272" s="577" t="s">
        <v>67</v>
      </c>
      <c r="G3272" s="210">
        <v>15.778800000000002</v>
      </c>
      <c r="H3272" s="211">
        <f>ROUND(G3272*E3272,2)</f>
        <v>9.4700000000000006</v>
      </c>
    </row>
    <row r="3273" spans="1:8" s="124" customFormat="1" ht="30">
      <c r="A3273" s="721">
        <v>88316</v>
      </c>
      <c r="B3273" s="721"/>
      <c r="C3273" s="200" t="s">
        <v>5256</v>
      </c>
      <c r="D3273" s="139" t="s">
        <v>66</v>
      </c>
      <c r="E3273" s="209">
        <v>0.6</v>
      </c>
      <c r="F3273" s="577" t="s">
        <v>67</v>
      </c>
      <c r="G3273" s="210">
        <v>11.631600000000001</v>
      </c>
      <c r="H3273" s="211">
        <f>ROUND(G3273*E3273,2)</f>
        <v>6.98</v>
      </c>
    </row>
    <row r="3274" spans="1:8" s="201" customFormat="1">
      <c r="A3274" s="582"/>
      <c r="B3274" s="582"/>
      <c r="C3274" s="212"/>
      <c r="D3274" s="719" t="s">
        <v>127</v>
      </c>
      <c r="E3274" s="719"/>
      <c r="F3274" s="719"/>
      <c r="G3274" s="719"/>
      <c r="H3274" s="638">
        <f>SUMIF(F3271:F3273,("h"),H3271:H3273)</f>
        <v>16.450000000000003</v>
      </c>
    </row>
    <row r="3275" spans="1:8" s="201" customFormat="1">
      <c r="A3275" s="582"/>
      <c r="B3275" s="582"/>
      <c r="C3275" s="212"/>
      <c r="D3275" s="719" t="s">
        <v>128</v>
      </c>
      <c r="E3275" s="719"/>
      <c r="F3275" s="719"/>
      <c r="G3275" s="719"/>
      <c r="H3275" s="638">
        <f>SUMIF(F3271:F3273,"&lt;&gt;h",H3271:H3273)</f>
        <v>117.51</v>
      </c>
    </row>
    <row r="3276" spans="1:8" s="201" customFormat="1">
      <c r="A3276" s="582"/>
      <c r="B3276" s="582"/>
      <c r="C3276" s="212"/>
      <c r="D3276" s="718" t="s">
        <v>129</v>
      </c>
      <c r="E3276" s="718"/>
      <c r="F3276" s="718"/>
      <c r="G3276" s="718"/>
      <c r="H3276" s="213">
        <f>SUM(H3274:H3275)</f>
        <v>133.96</v>
      </c>
    </row>
    <row r="3277" spans="1:8" s="201" customFormat="1">
      <c r="A3277" s="582"/>
      <c r="B3277" s="582"/>
      <c r="C3277" s="212"/>
      <c r="D3277" s="719" t="s">
        <v>28</v>
      </c>
      <c r="E3277" s="719"/>
      <c r="F3277" s="719"/>
      <c r="G3277" s="719"/>
      <c r="H3277" s="639">
        <f>E3270</f>
        <v>11</v>
      </c>
    </row>
    <row r="3278" spans="1:8" s="201" customFormat="1">
      <c r="A3278" s="582"/>
      <c r="B3278" s="582"/>
      <c r="C3278" s="212"/>
      <c r="D3278" s="718" t="s">
        <v>130</v>
      </c>
      <c r="E3278" s="718"/>
      <c r="F3278" s="718"/>
      <c r="G3278" s="718"/>
      <c r="H3278" s="213">
        <f>ROUND(H3276*H3277,2)</f>
        <v>1473.56</v>
      </c>
    </row>
    <row r="3279" spans="1:8" s="201" customFormat="1">
      <c r="A3279" s="582"/>
      <c r="B3279" s="582"/>
      <c r="C3279" s="212"/>
      <c r="D3279" s="719" t="s">
        <v>15559</v>
      </c>
      <c r="E3279" s="719"/>
      <c r="F3279" s="719"/>
      <c r="G3279" s="719"/>
      <c r="H3279" s="638">
        <f>ROUND(H3276*$B$13,2)</f>
        <v>36.08</v>
      </c>
    </row>
    <row r="3280" spans="1:8">
      <c r="A3280" s="582"/>
      <c r="B3280" s="582"/>
      <c r="C3280" s="212"/>
      <c r="D3280" s="718" t="s">
        <v>9661</v>
      </c>
      <c r="E3280" s="718"/>
      <c r="F3280" s="718"/>
      <c r="G3280" s="718"/>
      <c r="H3280" s="213">
        <f>H3279+H3276</f>
        <v>170.04000000000002</v>
      </c>
    </row>
    <row r="3282" spans="1:8" s="201" customFormat="1">
      <c r="A3282" s="123" t="s">
        <v>6</v>
      </c>
      <c r="B3282" s="720" t="s">
        <v>7</v>
      </c>
      <c r="C3282" s="720"/>
      <c r="D3282" s="202" t="s">
        <v>124</v>
      </c>
      <c r="E3282" s="167" t="s">
        <v>6334</v>
      </c>
      <c r="F3282" s="202" t="s">
        <v>31</v>
      </c>
      <c r="G3282" s="203" t="s">
        <v>125</v>
      </c>
      <c r="H3282" s="204" t="s">
        <v>126</v>
      </c>
    </row>
    <row r="3283" spans="1:8" s="208" customFormat="1" ht="30">
      <c r="A3283" s="216" t="str">
        <f>'Orç - Prédio'!A517</f>
        <v>06.01.313.02</v>
      </c>
      <c r="B3283" s="216" t="str">
        <f>'Orç - Prédio'!B517</f>
        <v>ORSE</v>
      </c>
      <c r="C3283" s="216" t="str">
        <f>'Orç - Prédio'!C517</f>
        <v>8194 MOD 2</v>
      </c>
      <c r="D3283" s="217" t="s">
        <v>7272</v>
      </c>
      <c r="E3283" s="206">
        <v>8</v>
      </c>
      <c r="F3283" s="216" t="s">
        <v>6337</v>
      </c>
      <c r="G3283" s="207">
        <f>VLOOKUP("CUSTO TOTAL UNIT.:",D3284:$H$30004,5,FALSE)</f>
        <v>134.05000000000001</v>
      </c>
      <c r="H3283" s="637">
        <f>VLOOKUP("CUSTO TOTAL:",D3284:$H$30004,5,FALSE)</f>
        <v>1072.4000000000001</v>
      </c>
    </row>
    <row r="3284" spans="1:8" s="124" customFormat="1" ht="30">
      <c r="A3284" s="721">
        <v>39456</v>
      </c>
      <c r="B3284" s="721"/>
      <c r="C3284" s="200" t="s">
        <v>5256</v>
      </c>
      <c r="D3284" s="139" t="s">
        <v>11575</v>
      </c>
      <c r="E3284" s="209">
        <v>1</v>
      </c>
      <c r="F3284" s="577" t="s">
        <v>40</v>
      </c>
      <c r="G3284" s="210">
        <v>117.59580000000001</v>
      </c>
      <c r="H3284" s="211">
        <f>ROUND(G3284*E3284,2)</f>
        <v>117.6</v>
      </c>
    </row>
    <row r="3285" spans="1:8" s="124" customFormat="1" ht="30">
      <c r="A3285" s="721">
        <v>88264</v>
      </c>
      <c r="B3285" s="721"/>
      <c r="C3285" s="200" t="s">
        <v>5256</v>
      </c>
      <c r="D3285" s="139" t="s">
        <v>84</v>
      </c>
      <c r="E3285" s="209">
        <v>0.6</v>
      </c>
      <c r="F3285" s="577" t="s">
        <v>67</v>
      </c>
      <c r="G3285" s="210">
        <v>15.778800000000002</v>
      </c>
      <c r="H3285" s="211">
        <f>ROUND(G3285*E3285,2)</f>
        <v>9.4700000000000006</v>
      </c>
    </row>
    <row r="3286" spans="1:8" s="124" customFormat="1" ht="30">
      <c r="A3286" s="721">
        <v>88316</v>
      </c>
      <c r="B3286" s="721"/>
      <c r="C3286" s="200" t="s">
        <v>5256</v>
      </c>
      <c r="D3286" s="139" t="s">
        <v>66</v>
      </c>
      <c r="E3286" s="209">
        <v>0.6</v>
      </c>
      <c r="F3286" s="577" t="s">
        <v>67</v>
      </c>
      <c r="G3286" s="210">
        <v>11.631600000000001</v>
      </c>
      <c r="H3286" s="211">
        <f>ROUND(G3286*E3286,2)</f>
        <v>6.98</v>
      </c>
    </row>
    <row r="3287" spans="1:8" s="201" customFormat="1">
      <c r="A3287" s="582"/>
      <c r="B3287" s="582"/>
      <c r="C3287" s="212"/>
      <c r="D3287" s="719" t="s">
        <v>127</v>
      </c>
      <c r="E3287" s="719"/>
      <c r="F3287" s="719"/>
      <c r="G3287" s="719"/>
      <c r="H3287" s="638">
        <f>SUMIF(F3284:F3286,("h"),H3284:H3286)</f>
        <v>16.450000000000003</v>
      </c>
    </row>
    <row r="3288" spans="1:8" s="201" customFormat="1">
      <c r="A3288" s="582"/>
      <c r="B3288" s="582"/>
      <c r="C3288" s="212"/>
      <c r="D3288" s="719" t="s">
        <v>128</v>
      </c>
      <c r="E3288" s="719"/>
      <c r="F3288" s="719"/>
      <c r="G3288" s="719"/>
      <c r="H3288" s="638">
        <f>SUMIF(F3284:F3286,"&lt;&gt;h",H3284:H3286)</f>
        <v>117.6</v>
      </c>
    </row>
    <row r="3289" spans="1:8" s="201" customFormat="1">
      <c r="A3289" s="582"/>
      <c r="B3289" s="582"/>
      <c r="C3289" s="212"/>
      <c r="D3289" s="718" t="s">
        <v>129</v>
      </c>
      <c r="E3289" s="718"/>
      <c r="F3289" s="718"/>
      <c r="G3289" s="718"/>
      <c r="H3289" s="213">
        <f>SUM(H3287:H3288)</f>
        <v>134.05000000000001</v>
      </c>
    </row>
    <row r="3290" spans="1:8" s="201" customFormat="1">
      <c r="A3290" s="582"/>
      <c r="B3290" s="582"/>
      <c r="C3290" s="212"/>
      <c r="D3290" s="719" t="s">
        <v>28</v>
      </c>
      <c r="E3290" s="719"/>
      <c r="F3290" s="719"/>
      <c r="G3290" s="719"/>
      <c r="H3290" s="639">
        <f>E3283</f>
        <v>8</v>
      </c>
    </row>
    <row r="3291" spans="1:8" s="201" customFormat="1">
      <c r="A3291" s="582"/>
      <c r="B3291" s="582"/>
      <c r="C3291" s="212"/>
      <c r="D3291" s="718" t="s">
        <v>130</v>
      </c>
      <c r="E3291" s="718"/>
      <c r="F3291" s="718"/>
      <c r="G3291" s="718"/>
      <c r="H3291" s="213">
        <f>ROUND(H3289*H3290,2)</f>
        <v>1072.4000000000001</v>
      </c>
    </row>
    <row r="3292" spans="1:8" s="201" customFormat="1">
      <c r="A3292" s="582"/>
      <c r="B3292" s="582"/>
      <c r="C3292" s="212"/>
      <c r="D3292" s="719" t="s">
        <v>15559</v>
      </c>
      <c r="E3292" s="719"/>
      <c r="F3292" s="719"/>
      <c r="G3292" s="719"/>
      <c r="H3292" s="638">
        <f>ROUND(H3289*$B$13,2)</f>
        <v>36.1</v>
      </c>
    </row>
    <row r="3293" spans="1:8">
      <c r="A3293" s="582"/>
      <c r="B3293" s="582"/>
      <c r="C3293" s="212"/>
      <c r="D3293" s="718" t="s">
        <v>9661</v>
      </c>
      <c r="E3293" s="718"/>
      <c r="F3293" s="718"/>
      <c r="G3293" s="718"/>
      <c r="H3293" s="213">
        <f>H3292+H3289</f>
        <v>170.15</v>
      </c>
    </row>
    <row r="3295" spans="1:8" s="201" customFormat="1">
      <c r="A3295" s="123" t="s">
        <v>6</v>
      </c>
      <c r="B3295" s="720" t="s">
        <v>7</v>
      </c>
      <c r="C3295" s="720"/>
      <c r="D3295" s="202" t="s">
        <v>124</v>
      </c>
      <c r="E3295" s="167" t="s">
        <v>6334</v>
      </c>
      <c r="F3295" s="202" t="s">
        <v>31</v>
      </c>
      <c r="G3295" s="203" t="s">
        <v>125</v>
      </c>
      <c r="H3295" s="204" t="s">
        <v>126</v>
      </c>
    </row>
    <row r="3296" spans="1:8" s="208" customFormat="1" ht="30">
      <c r="A3296" s="216" t="str">
        <f>'Orç - Prédio'!A518</f>
        <v>06.01.313.03</v>
      </c>
      <c r="B3296" s="216" t="str">
        <f>'Orç - Prédio'!B518</f>
        <v>ORSE</v>
      </c>
      <c r="C3296" s="216" t="str">
        <f>'Orç - Prédio'!C518</f>
        <v>8194 MOD 3</v>
      </c>
      <c r="D3296" s="217" t="s">
        <v>7273</v>
      </c>
      <c r="E3296" s="206">
        <v>1</v>
      </c>
      <c r="F3296" s="216" t="s">
        <v>6337</v>
      </c>
      <c r="G3296" s="207">
        <f>VLOOKUP("CUSTO TOTAL UNIT.:",D3297:$H$30004,5,FALSE)</f>
        <v>144.64999999999998</v>
      </c>
      <c r="H3296" s="637">
        <f>VLOOKUP("CUSTO TOTAL:",D3297:$H$30004,5,FALSE)</f>
        <v>144.65</v>
      </c>
    </row>
    <row r="3297" spans="1:8" s="124" customFormat="1" ht="30">
      <c r="A3297" s="721">
        <v>39457</v>
      </c>
      <c r="B3297" s="721"/>
      <c r="C3297" s="200" t="s">
        <v>5256</v>
      </c>
      <c r="D3297" s="139" t="s">
        <v>11576</v>
      </c>
      <c r="E3297" s="209">
        <v>1</v>
      </c>
      <c r="F3297" s="577" t="s">
        <v>40</v>
      </c>
      <c r="G3297" s="210">
        <v>128.19870000000003</v>
      </c>
      <c r="H3297" s="211">
        <f>ROUND(G3297*E3297,2)</f>
        <v>128.19999999999999</v>
      </c>
    </row>
    <row r="3298" spans="1:8" s="124" customFormat="1" ht="30">
      <c r="A3298" s="721">
        <v>88264</v>
      </c>
      <c r="B3298" s="721"/>
      <c r="C3298" s="200" t="s">
        <v>5256</v>
      </c>
      <c r="D3298" s="139" t="s">
        <v>84</v>
      </c>
      <c r="E3298" s="209">
        <v>0.6</v>
      </c>
      <c r="F3298" s="577" t="s">
        <v>67</v>
      </c>
      <c r="G3298" s="210">
        <v>15.778800000000002</v>
      </c>
      <c r="H3298" s="211">
        <f>ROUND(G3298*E3298,2)</f>
        <v>9.4700000000000006</v>
      </c>
    </row>
    <row r="3299" spans="1:8" s="124" customFormat="1" ht="30">
      <c r="A3299" s="721">
        <v>88316</v>
      </c>
      <c r="B3299" s="721"/>
      <c r="C3299" s="200" t="s">
        <v>5256</v>
      </c>
      <c r="D3299" s="139" t="s">
        <v>66</v>
      </c>
      <c r="E3299" s="209">
        <v>0.6</v>
      </c>
      <c r="F3299" s="577" t="s">
        <v>67</v>
      </c>
      <c r="G3299" s="210">
        <v>11.631600000000001</v>
      </c>
      <c r="H3299" s="211">
        <f>ROUND(G3299*E3299,2)</f>
        <v>6.98</v>
      </c>
    </row>
    <row r="3300" spans="1:8" s="201" customFormat="1">
      <c r="A3300" s="582"/>
      <c r="B3300" s="582"/>
      <c r="C3300" s="212"/>
      <c r="D3300" s="719" t="s">
        <v>127</v>
      </c>
      <c r="E3300" s="719"/>
      <c r="F3300" s="719"/>
      <c r="G3300" s="719"/>
      <c r="H3300" s="638">
        <f>SUMIF(F3297:F3299,("h"),H3297:H3299)</f>
        <v>16.450000000000003</v>
      </c>
    </row>
    <row r="3301" spans="1:8" s="201" customFormat="1">
      <c r="A3301" s="582"/>
      <c r="B3301" s="582"/>
      <c r="C3301" s="212"/>
      <c r="D3301" s="719" t="s">
        <v>128</v>
      </c>
      <c r="E3301" s="719"/>
      <c r="F3301" s="719"/>
      <c r="G3301" s="719"/>
      <c r="H3301" s="638">
        <f>SUMIF(F3297:F3299,"&lt;&gt;h",H3297:H3299)</f>
        <v>128.19999999999999</v>
      </c>
    </row>
    <row r="3302" spans="1:8" s="201" customFormat="1">
      <c r="A3302" s="582"/>
      <c r="B3302" s="582"/>
      <c r="C3302" s="212"/>
      <c r="D3302" s="718" t="s">
        <v>129</v>
      </c>
      <c r="E3302" s="718"/>
      <c r="F3302" s="718"/>
      <c r="G3302" s="718"/>
      <c r="H3302" s="213">
        <f>SUM(H3300:H3301)</f>
        <v>144.64999999999998</v>
      </c>
    </row>
    <row r="3303" spans="1:8" s="201" customFormat="1">
      <c r="A3303" s="582"/>
      <c r="B3303" s="582"/>
      <c r="C3303" s="212"/>
      <c r="D3303" s="719" t="s">
        <v>28</v>
      </c>
      <c r="E3303" s="719"/>
      <c r="F3303" s="719"/>
      <c r="G3303" s="719"/>
      <c r="H3303" s="639">
        <f>E3296</f>
        <v>1</v>
      </c>
    </row>
    <row r="3304" spans="1:8" s="201" customFormat="1">
      <c r="A3304" s="582"/>
      <c r="B3304" s="582"/>
      <c r="C3304" s="212"/>
      <c r="D3304" s="718" t="s">
        <v>130</v>
      </c>
      <c r="E3304" s="718"/>
      <c r="F3304" s="718"/>
      <c r="G3304" s="718"/>
      <c r="H3304" s="213">
        <f>ROUND(H3302*H3303,2)</f>
        <v>144.65</v>
      </c>
    </row>
    <row r="3305" spans="1:8" s="201" customFormat="1">
      <c r="A3305" s="582"/>
      <c r="B3305" s="582"/>
      <c r="C3305" s="212"/>
      <c r="D3305" s="719" t="s">
        <v>15559</v>
      </c>
      <c r="E3305" s="719"/>
      <c r="F3305" s="719"/>
      <c r="G3305" s="719"/>
      <c r="H3305" s="638">
        <f>ROUND(H3302*$B$13,2)</f>
        <v>38.950000000000003</v>
      </c>
    </row>
    <row r="3306" spans="1:8">
      <c r="A3306" s="582"/>
      <c r="B3306" s="582"/>
      <c r="C3306" s="212"/>
      <c r="D3306" s="718" t="s">
        <v>9661</v>
      </c>
      <c r="E3306" s="718"/>
      <c r="F3306" s="718"/>
      <c r="G3306" s="718"/>
      <c r="H3306" s="213">
        <f>H3305+H3302</f>
        <v>183.59999999999997</v>
      </c>
    </row>
    <row r="3308" spans="1:8" s="201" customFormat="1">
      <c r="A3308" s="123" t="s">
        <v>6</v>
      </c>
      <c r="B3308" s="720" t="s">
        <v>7</v>
      </c>
      <c r="C3308" s="720"/>
      <c r="D3308" s="202" t="s">
        <v>124</v>
      </c>
      <c r="E3308" s="167" t="s">
        <v>6334</v>
      </c>
      <c r="F3308" s="202" t="s">
        <v>31</v>
      </c>
      <c r="G3308" s="203" t="s">
        <v>125</v>
      </c>
      <c r="H3308" s="204" t="s">
        <v>126</v>
      </c>
    </row>
    <row r="3309" spans="1:8" s="208" customFormat="1" ht="30">
      <c r="A3309" s="216" t="str">
        <f>'Orç - Prédio'!A519</f>
        <v>06.01.313.04</v>
      </c>
      <c r="B3309" s="216" t="str">
        <f>'Orç - Prédio'!B519</f>
        <v>ORSE</v>
      </c>
      <c r="C3309" s="216" t="str">
        <f>'Orç - Prédio'!C519</f>
        <v>8194 MOD 4</v>
      </c>
      <c r="D3309" s="217" t="s">
        <v>7274</v>
      </c>
      <c r="E3309" s="206">
        <v>3</v>
      </c>
      <c r="F3309" s="216" t="s">
        <v>6337</v>
      </c>
      <c r="G3309" s="207">
        <f>VLOOKUP("CUSTO TOTAL UNIT.:",D3310:$H$30004,5,FALSE)</f>
        <v>255.68</v>
      </c>
      <c r="H3309" s="637">
        <f>VLOOKUP("CUSTO TOTAL:",D3310:$H$30004,5,FALSE)</f>
        <v>767.04</v>
      </c>
    </row>
    <row r="3310" spans="1:8" s="124" customFormat="1" ht="30">
      <c r="A3310" s="721">
        <v>39458</v>
      </c>
      <c r="B3310" s="721"/>
      <c r="C3310" s="200" t="s">
        <v>5256</v>
      </c>
      <c r="D3310" s="139" t="s">
        <v>11577</v>
      </c>
      <c r="E3310" s="209">
        <v>1</v>
      </c>
      <c r="F3310" s="577" t="s">
        <v>40</v>
      </c>
      <c r="G3310" s="210">
        <v>239.22540000000001</v>
      </c>
      <c r="H3310" s="211">
        <f>ROUND(G3310*E3310,2)</f>
        <v>239.23</v>
      </c>
    </row>
    <row r="3311" spans="1:8" s="124" customFormat="1" ht="30">
      <c r="A3311" s="721">
        <v>88264</v>
      </c>
      <c r="B3311" s="721"/>
      <c r="C3311" s="200" t="s">
        <v>5256</v>
      </c>
      <c r="D3311" s="139" t="s">
        <v>84</v>
      </c>
      <c r="E3311" s="209">
        <v>0.6</v>
      </c>
      <c r="F3311" s="577" t="s">
        <v>67</v>
      </c>
      <c r="G3311" s="210">
        <v>15.778800000000002</v>
      </c>
      <c r="H3311" s="211">
        <f>ROUND(G3311*E3311,2)</f>
        <v>9.4700000000000006</v>
      </c>
    </row>
    <row r="3312" spans="1:8" s="124" customFormat="1" ht="30">
      <c r="A3312" s="721">
        <v>88316</v>
      </c>
      <c r="B3312" s="721"/>
      <c r="C3312" s="200" t="s">
        <v>5256</v>
      </c>
      <c r="D3312" s="139" t="s">
        <v>66</v>
      </c>
      <c r="E3312" s="209">
        <v>0.6</v>
      </c>
      <c r="F3312" s="577" t="s">
        <v>67</v>
      </c>
      <c r="G3312" s="210">
        <v>11.631600000000001</v>
      </c>
      <c r="H3312" s="211">
        <f>ROUND(G3312*E3312,2)</f>
        <v>6.98</v>
      </c>
    </row>
    <row r="3313" spans="1:8" s="201" customFormat="1">
      <c r="A3313" s="582"/>
      <c r="B3313" s="582"/>
      <c r="C3313" s="212"/>
      <c r="D3313" s="719" t="s">
        <v>127</v>
      </c>
      <c r="E3313" s="719"/>
      <c r="F3313" s="719"/>
      <c r="G3313" s="719"/>
      <c r="H3313" s="638">
        <f>SUMIF(F3310:F3312,("h"),H3310:H3312)</f>
        <v>16.450000000000003</v>
      </c>
    </row>
    <row r="3314" spans="1:8" s="201" customFormat="1">
      <c r="A3314" s="582"/>
      <c r="B3314" s="582"/>
      <c r="C3314" s="212"/>
      <c r="D3314" s="719" t="s">
        <v>128</v>
      </c>
      <c r="E3314" s="719"/>
      <c r="F3314" s="719"/>
      <c r="G3314" s="719"/>
      <c r="H3314" s="638">
        <f>SUMIF(F3310:F3312,"&lt;&gt;h",H3310:H3312)</f>
        <v>239.23</v>
      </c>
    </row>
    <row r="3315" spans="1:8" s="201" customFormat="1">
      <c r="A3315" s="582"/>
      <c r="B3315" s="582"/>
      <c r="C3315" s="212"/>
      <c r="D3315" s="718" t="s">
        <v>129</v>
      </c>
      <c r="E3315" s="718"/>
      <c r="F3315" s="718"/>
      <c r="G3315" s="718"/>
      <c r="H3315" s="213">
        <f>SUM(H3313:H3314)</f>
        <v>255.68</v>
      </c>
    </row>
    <row r="3316" spans="1:8" s="201" customFormat="1">
      <c r="A3316" s="582"/>
      <c r="B3316" s="582"/>
      <c r="C3316" s="212"/>
      <c r="D3316" s="719" t="s">
        <v>28</v>
      </c>
      <c r="E3316" s="719"/>
      <c r="F3316" s="719"/>
      <c r="G3316" s="719"/>
      <c r="H3316" s="639">
        <f>E3309</f>
        <v>3</v>
      </c>
    </row>
    <row r="3317" spans="1:8" s="201" customFormat="1">
      <c r="A3317" s="582"/>
      <c r="B3317" s="582"/>
      <c r="C3317" s="212"/>
      <c r="D3317" s="718" t="s">
        <v>130</v>
      </c>
      <c r="E3317" s="718"/>
      <c r="F3317" s="718"/>
      <c r="G3317" s="718"/>
      <c r="H3317" s="213">
        <f>ROUND(H3315*H3316,2)</f>
        <v>767.04</v>
      </c>
    </row>
    <row r="3318" spans="1:8" s="201" customFormat="1">
      <c r="A3318" s="582"/>
      <c r="B3318" s="582"/>
      <c r="C3318" s="212"/>
      <c r="D3318" s="719" t="s">
        <v>15559</v>
      </c>
      <c r="E3318" s="719"/>
      <c r="F3318" s="719"/>
      <c r="G3318" s="719"/>
      <c r="H3318" s="638">
        <f>ROUND(H3315*$B$13,2)</f>
        <v>68.849999999999994</v>
      </c>
    </row>
    <row r="3319" spans="1:8">
      <c r="A3319" s="582"/>
      <c r="B3319" s="582"/>
      <c r="C3319" s="212"/>
      <c r="D3319" s="718" t="s">
        <v>9661</v>
      </c>
      <c r="E3319" s="718"/>
      <c r="F3319" s="718"/>
      <c r="G3319" s="718"/>
      <c r="H3319" s="213">
        <f>H3318+H3315</f>
        <v>324.52999999999997</v>
      </c>
    </row>
    <row r="3321" spans="1:8" s="201" customFormat="1">
      <c r="A3321" s="123" t="s">
        <v>6</v>
      </c>
      <c r="B3321" s="720" t="s">
        <v>7</v>
      </c>
      <c r="C3321" s="720"/>
      <c r="D3321" s="202" t="s">
        <v>124</v>
      </c>
      <c r="E3321" s="167" t="s">
        <v>6334</v>
      </c>
      <c r="F3321" s="202" t="s">
        <v>31</v>
      </c>
      <c r="G3321" s="203" t="s">
        <v>125</v>
      </c>
      <c r="H3321" s="204" t="s">
        <v>126</v>
      </c>
    </row>
    <row r="3322" spans="1:8" s="208" customFormat="1" ht="30">
      <c r="A3322" s="216" t="str">
        <f>'Orç - Prédio'!A520</f>
        <v>06.01.313.05</v>
      </c>
      <c r="B3322" s="216" t="str">
        <f>'Orç - Prédio'!B520</f>
        <v>ORSE</v>
      </c>
      <c r="C3322" s="216" t="str">
        <f>'Orç - Prédio'!C520</f>
        <v>8194 MOD 5</v>
      </c>
      <c r="D3322" s="217" t="s">
        <v>7275</v>
      </c>
      <c r="E3322" s="206">
        <v>3</v>
      </c>
      <c r="F3322" s="216" t="s">
        <v>6337</v>
      </c>
      <c r="G3322" s="207">
        <f>VLOOKUP("CUSTO TOTAL UNIT.:",D3323:$H$30004,5,FALSE)</f>
        <v>264.89</v>
      </c>
      <c r="H3322" s="637">
        <f>VLOOKUP("CUSTO TOTAL:",D3323:$H$30004,5,FALSE)</f>
        <v>794.67</v>
      </c>
    </row>
    <row r="3323" spans="1:8" s="124" customFormat="1" ht="30">
      <c r="A3323" s="721">
        <v>39449</v>
      </c>
      <c r="B3323" s="721"/>
      <c r="C3323" s="200" t="s">
        <v>5256</v>
      </c>
      <c r="D3323" s="139" t="s">
        <v>11573</v>
      </c>
      <c r="E3323" s="209">
        <v>1</v>
      </c>
      <c r="F3323" s="577" t="s">
        <v>40</v>
      </c>
      <c r="G3323" s="210">
        <v>237.47580000000002</v>
      </c>
      <c r="H3323" s="211">
        <f>ROUND(G3323*E3323,2)</f>
        <v>237.48</v>
      </c>
    </row>
    <row r="3324" spans="1:8" s="124" customFormat="1" ht="30">
      <c r="A3324" s="721">
        <v>88264</v>
      </c>
      <c r="B3324" s="721"/>
      <c r="C3324" s="200" t="s">
        <v>5256</v>
      </c>
      <c r="D3324" s="139" t="s">
        <v>84</v>
      </c>
      <c r="E3324" s="209">
        <v>1</v>
      </c>
      <c r="F3324" s="577" t="s">
        <v>67</v>
      </c>
      <c r="G3324" s="210">
        <v>15.778800000000002</v>
      </c>
      <c r="H3324" s="211">
        <f>ROUND(G3324*E3324,2)</f>
        <v>15.78</v>
      </c>
    </row>
    <row r="3325" spans="1:8" s="124" customFormat="1" ht="30">
      <c r="A3325" s="721">
        <v>88316</v>
      </c>
      <c r="B3325" s="721"/>
      <c r="C3325" s="200" t="s">
        <v>5256</v>
      </c>
      <c r="D3325" s="139" t="s">
        <v>66</v>
      </c>
      <c r="E3325" s="209">
        <v>1</v>
      </c>
      <c r="F3325" s="577" t="s">
        <v>67</v>
      </c>
      <c r="G3325" s="210">
        <v>11.631600000000001</v>
      </c>
      <c r="H3325" s="211">
        <f>ROUND(G3325*E3325,2)</f>
        <v>11.63</v>
      </c>
    </row>
    <row r="3326" spans="1:8" s="201" customFormat="1">
      <c r="A3326" s="582"/>
      <c r="B3326" s="582"/>
      <c r="C3326" s="212"/>
      <c r="D3326" s="719" t="s">
        <v>127</v>
      </c>
      <c r="E3326" s="719"/>
      <c r="F3326" s="719"/>
      <c r="G3326" s="719"/>
      <c r="H3326" s="638">
        <f>SUMIF(F3323:F3325,("h"),H3323:H3325)</f>
        <v>27.41</v>
      </c>
    </row>
    <row r="3327" spans="1:8" s="201" customFormat="1">
      <c r="A3327" s="582"/>
      <c r="B3327" s="582"/>
      <c r="C3327" s="212"/>
      <c r="D3327" s="719" t="s">
        <v>128</v>
      </c>
      <c r="E3327" s="719"/>
      <c r="F3327" s="719"/>
      <c r="G3327" s="719"/>
      <c r="H3327" s="638">
        <f>SUMIF(F3323:F3325,"&lt;&gt;h",H3323:H3325)</f>
        <v>237.48</v>
      </c>
    </row>
    <row r="3328" spans="1:8" s="201" customFormat="1">
      <c r="A3328" s="582"/>
      <c r="B3328" s="582"/>
      <c r="C3328" s="212"/>
      <c r="D3328" s="718" t="s">
        <v>129</v>
      </c>
      <c r="E3328" s="718"/>
      <c r="F3328" s="718"/>
      <c r="G3328" s="718"/>
      <c r="H3328" s="213">
        <f>SUM(H3326:H3327)</f>
        <v>264.89</v>
      </c>
    </row>
    <row r="3329" spans="1:8" s="201" customFormat="1">
      <c r="A3329" s="582"/>
      <c r="B3329" s="582"/>
      <c r="C3329" s="212"/>
      <c r="D3329" s="719" t="s">
        <v>28</v>
      </c>
      <c r="E3329" s="719"/>
      <c r="F3329" s="719"/>
      <c r="G3329" s="719"/>
      <c r="H3329" s="639">
        <f>E3322</f>
        <v>3</v>
      </c>
    </row>
    <row r="3330" spans="1:8" s="201" customFormat="1">
      <c r="A3330" s="582"/>
      <c r="B3330" s="582"/>
      <c r="C3330" s="212"/>
      <c r="D3330" s="718" t="s">
        <v>130</v>
      </c>
      <c r="E3330" s="718"/>
      <c r="F3330" s="718"/>
      <c r="G3330" s="718"/>
      <c r="H3330" s="213">
        <f>ROUND(H3328*H3329,2)</f>
        <v>794.67</v>
      </c>
    </row>
    <row r="3331" spans="1:8" s="201" customFormat="1">
      <c r="A3331" s="582"/>
      <c r="B3331" s="582"/>
      <c r="C3331" s="212"/>
      <c r="D3331" s="719" t="s">
        <v>15559</v>
      </c>
      <c r="E3331" s="719"/>
      <c r="F3331" s="719"/>
      <c r="G3331" s="719"/>
      <c r="H3331" s="638">
        <f>ROUND(H3328*$B$13,2)</f>
        <v>71.33</v>
      </c>
    </row>
    <row r="3332" spans="1:8">
      <c r="A3332" s="582"/>
      <c r="B3332" s="582"/>
      <c r="C3332" s="212"/>
      <c r="D3332" s="718" t="s">
        <v>9661</v>
      </c>
      <c r="E3332" s="718"/>
      <c r="F3332" s="718"/>
      <c r="G3332" s="718"/>
      <c r="H3332" s="213">
        <f>H3331+H3328</f>
        <v>336.21999999999997</v>
      </c>
    </row>
    <row r="3334" spans="1:8" s="201" customFormat="1">
      <c r="A3334" s="123" t="s">
        <v>6</v>
      </c>
      <c r="B3334" s="720" t="s">
        <v>7</v>
      </c>
      <c r="C3334" s="720"/>
      <c r="D3334" s="202" t="s">
        <v>124</v>
      </c>
      <c r="E3334" s="167" t="s">
        <v>6334</v>
      </c>
      <c r="F3334" s="202" t="s">
        <v>31</v>
      </c>
      <c r="G3334" s="203" t="s">
        <v>125</v>
      </c>
      <c r="H3334" s="204" t="s">
        <v>126</v>
      </c>
    </row>
    <row r="3335" spans="1:8" s="208" customFormat="1" ht="45">
      <c r="A3335" s="216" t="str">
        <f>'Orç - Prédio'!A522</f>
        <v>06.01.314.02</v>
      </c>
      <c r="B3335" s="216" t="str">
        <f>'Orç - Prédio'!B522</f>
        <v>CPOS</v>
      </c>
      <c r="C3335" s="216" t="str">
        <f>'Orç - Prédio'!C522</f>
        <v>69.05.230 MOD</v>
      </c>
      <c r="D3335" s="217" t="s">
        <v>9344</v>
      </c>
      <c r="E3335" s="206">
        <v>1</v>
      </c>
      <c r="F3335" s="216" t="s">
        <v>6337</v>
      </c>
      <c r="G3335" s="207">
        <f>VLOOKUP("CUSTO TOTAL UNIT.:",D3336:$H$30004,5,FALSE)</f>
        <v>41.120000000000005</v>
      </c>
      <c r="H3335" s="637">
        <f>VLOOKUP("CUSTO TOTAL:",D3336:$H$30004,5,FALSE)</f>
        <v>41.12</v>
      </c>
    </row>
    <row r="3336" spans="1:8" s="124" customFormat="1" ht="30">
      <c r="A3336" s="721">
        <v>88264</v>
      </c>
      <c r="B3336" s="721"/>
      <c r="C3336" s="200" t="s">
        <v>5256</v>
      </c>
      <c r="D3336" s="139" t="s">
        <v>84</v>
      </c>
      <c r="E3336" s="209">
        <v>1.5</v>
      </c>
      <c r="F3336" s="577" t="s">
        <v>67</v>
      </c>
      <c r="G3336" s="210">
        <v>15.778800000000002</v>
      </c>
      <c r="H3336" s="211">
        <f>ROUND(G3336*E3336,2)</f>
        <v>23.67</v>
      </c>
    </row>
    <row r="3337" spans="1:8" s="124" customFormat="1" ht="30">
      <c r="A3337" s="721">
        <v>88316</v>
      </c>
      <c r="B3337" s="721"/>
      <c r="C3337" s="200" t="s">
        <v>5256</v>
      </c>
      <c r="D3337" s="139" t="s">
        <v>66</v>
      </c>
      <c r="E3337" s="209">
        <v>1.5</v>
      </c>
      <c r="F3337" s="577" t="s">
        <v>67</v>
      </c>
      <c r="G3337" s="210">
        <v>11.631600000000001</v>
      </c>
      <c r="H3337" s="211">
        <f>ROUND(G3337*E3337,2)</f>
        <v>17.45</v>
      </c>
    </row>
    <row r="3338" spans="1:8" s="201" customFormat="1">
      <c r="A3338" s="582"/>
      <c r="B3338" s="582"/>
      <c r="C3338" s="212"/>
      <c r="D3338" s="719" t="s">
        <v>127</v>
      </c>
      <c r="E3338" s="719"/>
      <c r="F3338" s="719"/>
      <c r="G3338" s="719"/>
      <c r="H3338" s="638">
        <f>SUMIF(F3336:F3337,("h"),H3336:H3337)</f>
        <v>41.120000000000005</v>
      </c>
    </row>
    <row r="3339" spans="1:8" s="201" customFormat="1">
      <c r="A3339" s="582"/>
      <c r="B3339" s="582"/>
      <c r="C3339" s="212"/>
      <c r="D3339" s="719" t="s">
        <v>128</v>
      </c>
      <c r="E3339" s="719"/>
      <c r="F3339" s="719"/>
      <c r="G3339" s="719"/>
      <c r="H3339" s="638">
        <f>SUMIF(F3336:F3337,"&lt;&gt;h",H3336:H3337)</f>
        <v>0</v>
      </c>
    </row>
    <row r="3340" spans="1:8" s="201" customFormat="1">
      <c r="A3340" s="582"/>
      <c r="B3340" s="582"/>
      <c r="C3340" s="212"/>
      <c r="D3340" s="718" t="s">
        <v>129</v>
      </c>
      <c r="E3340" s="718"/>
      <c r="F3340" s="718"/>
      <c r="G3340" s="718"/>
      <c r="H3340" s="213">
        <f>SUM(H3338:H3339)</f>
        <v>41.120000000000005</v>
      </c>
    </row>
    <row r="3341" spans="1:8" s="201" customFormat="1">
      <c r="A3341" s="582"/>
      <c r="B3341" s="582"/>
      <c r="C3341" s="212"/>
      <c r="D3341" s="719" t="s">
        <v>28</v>
      </c>
      <c r="E3341" s="719"/>
      <c r="F3341" s="719"/>
      <c r="G3341" s="719"/>
      <c r="H3341" s="639">
        <f>E3335</f>
        <v>1</v>
      </c>
    </row>
    <row r="3342" spans="1:8" s="201" customFormat="1">
      <c r="A3342" s="582"/>
      <c r="B3342" s="582"/>
      <c r="C3342" s="212"/>
      <c r="D3342" s="718" t="s">
        <v>130</v>
      </c>
      <c r="E3342" s="718"/>
      <c r="F3342" s="718"/>
      <c r="G3342" s="718"/>
      <c r="H3342" s="213">
        <f>ROUND(H3340*H3341,2)</f>
        <v>41.12</v>
      </c>
    </row>
    <row r="3343" spans="1:8" s="201" customFormat="1">
      <c r="A3343" s="582"/>
      <c r="B3343" s="582"/>
      <c r="C3343" s="212"/>
      <c r="D3343" s="719" t="s">
        <v>15559</v>
      </c>
      <c r="E3343" s="719"/>
      <c r="F3343" s="719"/>
      <c r="G3343" s="719"/>
      <c r="H3343" s="638">
        <f>ROUND(H3340*$B$13,2)</f>
        <v>11.07</v>
      </c>
    </row>
    <row r="3344" spans="1:8">
      <c r="A3344" s="582"/>
      <c r="B3344" s="582"/>
      <c r="C3344" s="212"/>
      <c r="D3344" s="718" t="s">
        <v>9661</v>
      </c>
      <c r="E3344" s="718"/>
      <c r="F3344" s="718"/>
      <c r="G3344" s="718"/>
      <c r="H3344" s="213">
        <f>H3343+H3340</f>
        <v>52.190000000000005</v>
      </c>
    </row>
    <row r="3346" spans="1:8" s="201" customFormat="1">
      <c r="A3346" s="123" t="s">
        <v>6</v>
      </c>
      <c r="B3346" s="720" t="s">
        <v>7</v>
      </c>
      <c r="C3346" s="720"/>
      <c r="D3346" s="202" t="s">
        <v>124</v>
      </c>
      <c r="E3346" s="167" t="s">
        <v>6334</v>
      </c>
      <c r="F3346" s="202" t="s">
        <v>31</v>
      </c>
      <c r="G3346" s="203" t="s">
        <v>125</v>
      </c>
      <c r="H3346" s="204" t="s">
        <v>126</v>
      </c>
    </row>
    <row r="3347" spans="1:8" s="208" customFormat="1" ht="30">
      <c r="A3347" s="216" t="str">
        <f>'Orç - Prédio'!A525</f>
        <v>06.01.316</v>
      </c>
      <c r="B3347" s="216" t="str">
        <f>'Orç - Prédio'!B525</f>
        <v>ORSE</v>
      </c>
      <c r="C3347" s="216">
        <f>'Orç - Prédio'!C525</f>
        <v>11961</v>
      </c>
      <c r="D3347" s="217" t="s">
        <v>9588</v>
      </c>
      <c r="E3347" s="206">
        <v>4</v>
      </c>
      <c r="F3347" s="216" t="s">
        <v>6337</v>
      </c>
      <c r="G3347" s="207">
        <f>VLOOKUP("CUSTO TOTAL UNIT.:",D3348:$H$30004,5,FALSE)</f>
        <v>377.25</v>
      </c>
      <c r="H3347" s="637">
        <f>VLOOKUP("CUSTO TOTAL:",D3348:$H$30004,5,FALSE)</f>
        <v>1509</v>
      </c>
    </row>
    <row r="3348" spans="1:8" s="124" customFormat="1" ht="30">
      <c r="A3348" s="721">
        <v>12838</v>
      </c>
      <c r="B3348" s="721"/>
      <c r="C3348" s="200" t="s">
        <v>6333</v>
      </c>
      <c r="D3348" s="139" t="s">
        <v>9589</v>
      </c>
      <c r="E3348" s="209">
        <v>1</v>
      </c>
      <c r="F3348" s="577" t="s">
        <v>31</v>
      </c>
      <c r="G3348" s="210">
        <v>372.59190000000001</v>
      </c>
      <c r="H3348" s="211">
        <f>ROUND(G3348*E3348,2)</f>
        <v>372.59</v>
      </c>
    </row>
    <row r="3349" spans="1:8" s="124" customFormat="1" ht="30">
      <c r="A3349" s="721">
        <v>88264</v>
      </c>
      <c r="B3349" s="721"/>
      <c r="C3349" s="200" t="s">
        <v>5256</v>
      </c>
      <c r="D3349" s="139" t="s">
        <v>84</v>
      </c>
      <c r="E3349" s="209">
        <v>0.17</v>
      </c>
      <c r="F3349" s="577" t="s">
        <v>67</v>
      </c>
      <c r="G3349" s="210">
        <v>15.778800000000002</v>
      </c>
      <c r="H3349" s="211">
        <f>ROUND(G3349*E3349,2)</f>
        <v>2.68</v>
      </c>
    </row>
    <row r="3350" spans="1:8" s="124" customFormat="1" ht="30">
      <c r="A3350" s="721">
        <v>88316</v>
      </c>
      <c r="B3350" s="721"/>
      <c r="C3350" s="200" t="s">
        <v>5256</v>
      </c>
      <c r="D3350" s="139" t="s">
        <v>66</v>
      </c>
      <c r="E3350" s="209">
        <v>0.17</v>
      </c>
      <c r="F3350" s="577" t="s">
        <v>67</v>
      </c>
      <c r="G3350" s="210">
        <v>11.631600000000001</v>
      </c>
      <c r="H3350" s="211">
        <f>ROUND(G3350*E3350,2)</f>
        <v>1.98</v>
      </c>
    </row>
    <row r="3351" spans="1:8" s="201" customFormat="1">
      <c r="A3351" s="582"/>
      <c r="B3351" s="582"/>
      <c r="C3351" s="212"/>
      <c r="D3351" s="719" t="s">
        <v>127</v>
      </c>
      <c r="E3351" s="719"/>
      <c r="F3351" s="719"/>
      <c r="G3351" s="719"/>
      <c r="H3351" s="638">
        <f>SUMIF(F3348:F3350,("h"),H3348:H3350)</f>
        <v>4.66</v>
      </c>
    </row>
    <row r="3352" spans="1:8" s="201" customFormat="1">
      <c r="A3352" s="582"/>
      <c r="B3352" s="582"/>
      <c r="C3352" s="212"/>
      <c r="D3352" s="719" t="s">
        <v>128</v>
      </c>
      <c r="E3352" s="719"/>
      <c r="F3352" s="719"/>
      <c r="G3352" s="719"/>
      <c r="H3352" s="638">
        <f>SUMIF(F3348:F3350,"&lt;&gt;h",H3348:H3350)</f>
        <v>372.59</v>
      </c>
    </row>
    <row r="3353" spans="1:8" s="201" customFormat="1">
      <c r="A3353" s="582"/>
      <c r="B3353" s="582"/>
      <c r="C3353" s="212"/>
      <c r="D3353" s="718" t="s">
        <v>129</v>
      </c>
      <c r="E3353" s="718"/>
      <c r="F3353" s="718"/>
      <c r="G3353" s="718"/>
      <c r="H3353" s="213">
        <f>SUM(H3351:H3352)</f>
        <v>377.25</v>
      </c>
    </row>
    <row r="3354" spans="1:8" s="201" customFormat="1">
      <c r="A3354" s="582"/>
      <c r="B3354" s="582"/>
      <c r="C3354" s="212"/>
      <c r="D3354" s="719" t="s">
        <v>28</v>
      </c>
      <c r="E3354" s="719"/>
      <c r="F3354" s="719"/>
      <c r="G3354" s="719"/>
      <c r="H3354" s="639">
        <f>E3347</f>
        <v>4</v>
      </c>
    </row>
    <row r="3355" spans="1:8" s="201" customFormat="1">
      <c r="A3355" s="582"/>
      <c r="B3355" s="582"/>
      <c r="C3355" s="212"/>
      <c r="D3355" s="718" t="s">
        <v>130</v>
      </c>
      <c r="E3355" s="718"/>
      <c r="F3355" s="718"/>
      <c r="G3355" s="718"/>
      <c r="H3355" s="213">
        <f>ROUND(H3353*H3354,2)</f>
        <v>1509</v>
      </c>
    </row>
    <row r="3356" spans="1:8" s="201" customFormat="1">
      <c r="A3356" s="582"/>
      <c r="B3356" s="582"/>
      <c r="C3356" s="212"/>
      <c r="D3356" s="719" t="s">
        <v>15559</v>
      </c>
      <c r="E3356" s="719"/>
      <c r="F3356" s="719"/>
      <c r="G3356" s="719"/>
      <c r="H3356" s="638">
        <f>ROUND(H3353*$B$13,2)</f>
        <v>101.59</v>
      </c>
    </row>
    <row r="3357" spans="1:8">
      <c r="A3357" s="582"/>
      <c r="B3357" s="582"/>
      <c r="C3357" s="212"/>
      <c r="D3357" s="718" t="s">
        <v>9661</v>
      </c>
      <c r="E3357" s="718"/>
      <c r="F3357" s="718"/>
      <c r="G3357" s="718"/>
      <c r="H3357" s="213">
        <f>H3356+H3353</f>
        <v>478.84000000000003</v>
      </c>
    </row>
    <row r="3359" spans="1:8" s="201" customFormat="1">
      <c r="A3359" s="123" t="s">
        <v>6</v>
      </c>
      <c r="B3359" s="720" t="s">
        <v>7</v>
      </c>
      <c r="C3359" s="720"/>
      <c r="D3359" s="202" t="s">
        <v>124</v>
      </c>
      <c r="E3359" s="167" t="s">
        <v>6334</v>
      </c>
      <c r="F3359" s="202" t="s">
        <v>31</v>
      </c>
      <c r="G3359" s="203" t="s">
        <v>125</v>
      </c>
      <c r="H3359" s="204" t="s">
        <v>126</v>
      </c>
    </row>
    <row r="3360" spans="1:8" s="208" customFormat="1" ht="60">
      <c r="A3360" s="216" t="str">
        <f>'Orç - Prédio'!A524</f>
        <v>06.01.315.02</v>
      </c>
      <c r="B3360" s="216" t="str">
        <f>'Orç - Prédio'!B524</f>
        <v>CPOS</v>
      </c>
      <c r="C3360" s="216" t="str">
        <f>'Orç - Prédio'!C524</f>
        <v>69.06.200 MOD</v>
      </c>
      <c r="D3360" s="217" t="s">
        <v>9340</v>
      </c>
      <c r="E3360" s="206">
        <v>1</v>
      </c>
      <c r="F3360" s="216" t="s">
        <v>6337</v>
      </c>
      <c r="G3360" s="207">
        <f>VLOOKUP("CUSTO TOTAL UNIT.:",D3361:$H$30004,5,FALSE)</f>
        <v>78.09</v>
      </c>
      <c r="H3360" s="637">
        <f>VLOOKUP("CUSTO TOTAL:",D3361:$H$30004,5,FALSE)</f>
        <v>78.09</v>
      </c>
    </row>
    <row r="3361" spans="1:8" s="124" customFormat="1" ht="30">
      <c r="A3361" s="721">
        <v>88264</v>
      </c>
      <c r="B3361" s="721"/>
      <c r="C3361" s="200" t="s">
        <v>5256</v>
      </c>
      <c r="D3361" s="139" t="s">
        <v>84</v>
      </c>
      <c r="E3361" s="209">
        <v>2</v>
      </c>
      <c r="F3361" s="577" t="s">
        <v>67</v>
      </c>
      <c r="G3361" s="210">
        <v>15.778800000000002</v>
      </c>
      <c r="H3361" s="211">
        <f>ROUND(G3361*E3361,2)</f>
        <v>31.56</v>
      </c>
    </row>
    <row r="3362" spans="1:8" s="124" customFormat="1" ht="30">
      <c r="A3362" s="721">
        <v>88316</v>
      </c>
      <c r="B3362" s="721"/>
      <c r="C3362" s="200" t="s">
        <v>5256</v>
      </c>
      <c r="D3362" s="139" t="s">
        <v>66</v>
      </c>
      <c r="E3362" s="209">
        <v>4</v>
      </c>
      <c r="F3362" s="577" t="s">
        <v>67</v>
      </c>
      <c r="G3362" s="210">
        <v>11.631600000000001</v>
      </c>
      <c r="H3362" s="211">
        <f>ROUND(G3362*E3362,2)</f>
        <v>46.53</v>
      </c>
    </row>
    <row r="3363" spans="1:8" s="201" customFormat="1">
      <c r="A3363" s="582"/>
      <c r="B3363" s="582"/>
      <c r="C3363" s="212"/>
      <c r="D3363" s="719" t="s">
        <v>127</v>
      </c>
      <c r="E3363" s="719"/>
      <c r="F3363" s="719"/>
      <c r="G3363" s="719"/>
      <c r="H3363" s="638">
        <f>SUMIF(F3361:F3362,("h"),H3361:H3362)</f>
        <v>78.09</v>
      </c>
    </row>
    <row r="3364" spans="1:8" s="201" customFormat="1">
      <c r="A3364" s="582"/>
      <c r="B3364" s="582"/>
      <c r="C3364" s="212"/>
      <c r="D3364" s="719" t="s">
        <v>128</v>
      </c>
      <c r="E3364" s="719"/>
      <c r="F3364" s="719"/>
      <c r="G3364" s="719"/>
      <c r="H3364" s="638">
        <f>SUMIF(F3361:F3362,"&lt;&gt;h",H3361:H3362)</f>
        <v>0</v>
      </c>
    </row>
    <row r="3365" spans="1:8" s="201" customFormat="1">
      <c r="A3365" s="582"/>
      <c r="B3365" s="582"/>
      <c r="C3365" s="212"/>
      <c r="D3365" s="718" t="s">
        <v>129</v>
      </c>
      <c r="E3365" s="718"/>
      <c r="F3365" s="718"/>
      <c r="G3365" s="718"/>
      <c r="H3365" s="213">
        <f>SUM(H3363:H3364)</f>
        <v>78.09</v>
      </c>
    </row>
    <row r="3366" spans="1:8" s="201" customFormat="1">
      <c r="A3366" s="582"/>
      <c r="B3366" s="582"/>
      <c r="C3366" s="212"/>
      <c r="D3366" s="719" t="s">
        <v>28</v>
      </c>
      <c r="E3366" s="719"/>
      <c r="F3366" s="719"/>
      <c r="G3366" s="719"/>
      <c r="H3366" s="639">
        <f>E3360</f>
        <v>1</v>
      </c>
    </row>
    <row r="3367" spans="1:8" s="201" customFormat="1">
      <c r="A3367" s="582"/>
      <c r="B3367" s="582"/>
      <c r="C3367" s="212"/>
      <c r="D3367" s="718" t="s">
        <v>130</v>
      </c>
      <c r="E3367" s="718"/>
      <c r="F3367" s="718"/>
      <c r="G3367" s="718"/>
      <c r="H3367" s="213">
        <f>ROUND(H3365*H3366,2)</f>
        <v>78.09</v>
      </c>
    </row>
    <row r="3368" spans="1:8" s="201" customFormat="1">
      <c r="A3368" s="582"/>
      <c r="B3368" s="582"/>
      <c r="C3368" s="212"/>
      <c r="D3368" s="719" t="s">
        <v>15559</v>
      </c>
      <c r="E3368" s="719"/>
      <c r="F3368" s="719"/>
      <c r="G3368" s="719"/>
      <c r="H3368" s="638">
        <f>ROUND(H3365*$B$13,2)</f>
        <v>21.03</v>
      </c>
    </row>
    <row r="3369" spans="1:8">
      <c r="A3369" s="582"/>
      <c r="B3369" s="582"/>
      <c r="C3369" s="212"/>
      <c r="D3369" s="718" t="s">
        <v>9661</v>
      </c>
      <c r="E3369" s="718"/>
      <c r="F3369" s="718"/>
      <c r="G3369" s="718"/>
      <c r="H3369" s="213">
        <f>H3368+H3365</f>
        <v>99.12</v>
      </c>
    </row>
    <row r="3371" spans="1:8" s="201" customFormat="1">
      <c r="A3371" s="123" t="s">
        <v>6</v>
      </c>
      <c r="B3371" s="720" t="s">
        <v>7</v>
      </c>
      <c r="C3371" s="720"/>
      <c r="D3371" s="202" t="s">
        <v>124</v>
      </c>
      <c r="E3371" s="167" t="s">
        <v>6334</v>
      </c>
      <c r="F3371" s="202" t="s">
        <v>31</v>
      </c>
      <c r="G3371" s="203" t="s">
        <v>125</v>
      </c>
      <c r="H3371" s="204" t="s">
        <v>126</v>
      </c>
    </row>
    <row r="3372" spans="1:8" s="208" customFormat="1" ht="105">
      <c r="A3372" s="581" t="str">
        <f>'Orç - Prédio'!A527</f>
        <v>06.01.401.01</v>
      </c>
      <c r="B3372" s="216" t="str">
        <f>'Orç - Prédio'!B527</f>
        <v>CPOS</v>
      </c>
      <c r="C3372" s="216" t="str">
        <f>'Orç - Prédio'!C527</f>
        <v>41.14.620</v>
      </c>
      <c r="D3372" s="217" t="s">
        <v>7294</v>
      </c>
      <c r="E3372" s="206">
        <v>2</v>
      </c>
      <c r="F3372" s="216" t="s">
        <v>6337</v>
      </c>
      <c r="G3372" s="207">
        <f>VLOOKUP("CUSTO TOTAL UNIT.:",D3373:$H$30004,5,FALSE)</f>
        <v>165.23000000000002</v>
      </c>
      <c r="H3372" s="637">
        <f>VLOOKUP("CUSTO TOTAL:",D3373:$H$30004,5,FALSE)</f>
        <v>330.46</v>
      </c>
    </row>
    <row r="3373" spans="1:8" s="124" customFormat="1" ht="60">
      <c r="A3373" s="721" t="s">
        <v>7312</v>
      </c>
      <c r="B3373" s="721"/>
      <c r="C3373" s="200" t="s">
        <v>6753</v>
      </c>
      <c r="D3373" s="185" t="s">
        <v>7313</v>
      </c>
      <c r="E3373" s="209">
        <v>1</v>
      </c>
      <c r="F3373" s="577" t="s">
        <v>31</v>
      </c>
      <c r="G3373" s="174">
        <v>89.642700000000005</v>
      </c>
      <c r="H3373" s="211">
        <f t="shared" ref="H3373:H3378" si="82">ROUND(G3373*E3373,2)</f>
        <v>89.64</v>
      </c>
    </row>
    <row r="3374" spans="1:8" s="124" customFormat="1" ht="30">
      <c r="A3374" s="721">
        <v>20111</v>
      </c>
      <c r="B3374" s="721"/>
      <c r="C3374" s="200" t="s">
        <v>5256</v>
      </c>
      <c r="D3374" s="139" t="s">
        <v>11951</v>
      </c>
      <c r="E3374" s="209">
        <v>0.01</v>
      </c>
      <c r="F3374" s="577" t="s">
        <v>40</v>
      </c>
      <c r="G3374" s="210">
        <v>8.8613999999999997</v>
      </c>
      <c r="H3374" s="211">
        <f t="shared" si="82"/>
        <v>0.09</v>
      </c>
    </row>
    <row r="3375" spans="1:8" s="124" customFormat="1" ht="30">
      <c r="A3375" s="721">
        <v>12384</v>
      </c>
      <c r="B3375" s="721"/>
      <c r="C3375" s="200" t="s">
        <v>6333</v>
      </c>
      <c r="D3375" s="185" t="s">
        <v>7314</v>
      </c>
      <c r="E3375" s="209">
        <v>1</v>
      </c>
      <c r="F3375" s="577" t="s">
        <v>31</v>
      </c>
      <c r="G3375" s="174">
        <v>30.415499999999998</v>
      </c>
      <c r="H3375" s="211">
        <f t="shared" si="82"/>
        <v>30.42</v>
      </c>
    </row>
    <row r="3376" spans="1:8" s="124" customFormat="1">
      <c r="A3376" s="721">
        <v>12385</v>
      </c>
      <c r="B3376" s="721"/>
      <c r="C3376" s="200" t="s">
        <v>6333</v>
      </c>
      <c r="D3376" s="185" t="s">
        <v>7315</v>
      </c>
      <c r="E3376" s="209">
        <v>2</v>
      </c>
      <c r="F3376" s="577" t="s">
        <v>31</v>
      </c>
      <c r="G3376" s="174">
        <v>10.295100000000001</v>
      </c>
      <c r="H3376" s="211">
        <f t="shared" si="82"/>
        <v>20.59</v>
      </c>
    </row>
    <row r="3377" spans="1:8" s="124" customFormat="1" ht="30">
      <c r="A3377" s="721">
        <v>88264</v>
      </c>
      <c r="B3377" s="721"/>
      <c r="C3377" s="200" t="s">
        <v>5256</v>
      </c>
      <c r="D3377" s="139" t="s">
        <v>84</v>
      </c>
      <c r="E3377" s="209">
        <v>0.99560000000000004</v>
      </c>
      <c r="F3377" s="577" t="s">
        <v>67</v>
      </c>
      <c r="G3377" s="210">
        <v>15.778800000000002</v>
      </c>
      <c r="H3377" s="211">
        <f t="shared" si="82"/>
        <v>15.71</v>
      </c>
    </row>
    <row r="3378" spans="1:8" s="124" customFormat="1" ht="30">
      <c r="A3378" s="721">
        <v>88247</v>
      </c>
      <c r="B3378" s="721"/>
      <c r="C3378" s="200" t="s">
        <v>5256</v>
      </c>
      <c r="D3378" s="139" t="s">
        <v>74</v>
      </c>
      <c r="E3378" s="209">
        <v>0.70660000000000001</v>
      </c>
      <c r="F3378" s="577" t="s">
        <v>67</v>
      </c>
      <c r="G3378" s="210">
        <v>12.425400000000002</v>
      </c>
      <c r="H3378" s="211">
        <f t="shared" si="82"/>
        <v>8.7799999999999994</v>
      </c>
    </row>
    <row r="3379" spans="1:8" s="201" customFormat="1">
      <c r="A3379" s="582"/>
      <c r="B3379" s="582"/>
      <c r="C3379" s="212"/>
      <c r="D3379" s="719" t="s">
        <v>127</v>
      </c>
      <c r="E3379" s="719"/>
      <c r="F3379" s="719"/>
      <c r="G3379" s="719"/>
      <c r="H3379" s="638">
        <f>SUMIF(F3373:F3378,("h"),H3373:H3378)</f>
        <v>24.490000000000002</v>
      </c>
    </row>
    <row r="3380" spans="1:8" s="201" customFormat="1">
      <c r="A3380" s="582"/>
      <c r="B3380" s="582"/>
      <c r="C3380" s="212"/>
      <c r="D3380" s="719" t="s">
        <v>128</v>
      </c>
      <c r="E3380" s="719"/>
      <c r="F3380" s="719"/>
      <c r="G3380" s="719"/>
      <c r="H3380" s="638">
        <f>SUMIF(F3373:F3378,"&lt;&gt;h",H3373:H3378)</f>
        <v>140.74</v>
      </c>
    </row>
    <row r="3381" spans="1:8" s="201" customFormat="1">
      <c r="A3381" s="582"/>
      <c r="B3381" s="582"/>
      <c r="C3381" s="212"/>
      <c r="D3381" s="718" t="s">
        <v>129</v>
      </c>
      <c r="E3381" s="718"/>
      <c r="F3381" s="718"/>
      <c r="G3381" s="718"/>
      <c r="H3381" s="213">
        <f>SUM(H3379:H3380)</f>
        <v>165.23000000000002</v>
      </c>
    </row>
    <row r="3382" spans="1:8" s="201" customFormat="1">
      <c r="A3382" s="582"/>
      <c r="B3382" s="582"/>
      <c r="C3382" s="212"/>
      <c r="D3382" s="719" t="s">
        <v>28</v>
      </c>
      <c r="E3382" s="719"/>
      <c r="F3382" s="719"/>
      <c r="G3382" s="719"/>
      <c r="H3382" s="639">
        <f>E3372</f>
        <v>2</v>
      </c>
    </row>
    <row r="3383" spans="1:8" s="201" customFormat="1">
      <c r="A3383" s="582"/>
      <c r="B3383" s="582"/>
      <c r="C3383" s="212"/>
      <c r="D3383" s="718" t="s">
        <v>130</v>
      </c>
      <c r="E3383" s="718"/>
      <c r="F3383" s="718"/>
      <c r="G3383" s="718"/>
      <c r="H3383" s="213">
        <f>ROUND(H3381*H3382,2)</f>
        <v>330.46</v>
      </c>
    </row>
    <row r="3384" spans="1:8" s="201" customFormat="1">
      <c r="A3384" s="582"/>
      <c r="B3384" s="582"/>
      <c r="C3384" s="212"/>
      <c r="D3384" s="719" t="s">
        <v>15559</v>
      </c>
      <c r="E3384" s="719"/>
      <c r="F3384" s="719"/>
      <c r="G3384" s="719"/>
      <c r="H3384" s="638">
        <f>ROUND(H3381*$B$13,2)</f>
        <v>44.5</v>
      </c>
    </row>
    <row r="3385" spans="1:8">
      <c r="A3385" s="582"/>
      <c r="B3385" s="582"/>
      <c r="C3385" s="212"/>
      <c r="D3385" s="718" t="s">
        <v>9661</v>
      </c>
      <c r="E3385" s="718"/>
      <c r="F3385" s="718"/>
      <c r="G3385" s="718"/>
      <c r="H3385" s="213">
        <f>H3384+H3381</f>
        <v>209.73000000000002</v>
      </c>
    </row>
    <row r="3387" spans="1:8" s="201" customFormat="1">
      <c r="A3387" s="123" t="s">
        <v>6</v>
      </c>
      <c r="B3387" s="720" t="s">
        <v>7</v>
      </c>
      <c r="C3387" s="720"/>
      <c r="D3387" s="202" t="s">
        <v>124</v>
      </c>
      <c r="E3387" s="167" t="s">
        <v>6334</v>
      </c>
      <c r="F3387" s="202" t="s">
        <v>31</v>
      </c>
      <c r="G3387" s="203" t="s">
        <v>125</v>
      </c>
      <c r="H3387" s="204" t="s">
        <v>126</v>
      </c>
    </row>
    <row r="3388" spans="1:8" s="208" customFormat="1" ht="135">
      <c r="A3388" s="581" t="str">
        <f>'Orç - Prédio'!A528</f>
        <v>06.01.401.02</v>
      </c>
      <c r="B3388" s="216" t="str">
        <f>'Orç - Prédio'!B528</f>
        <v>CPOS</v>
      </c>
      <c r="C3388" s="216" t="str">
        <f>'Orç - Prédio'!C528</f>
        <v>41.14.780</v>
      </c>
      <c r="D3388" s="217" t="s">
        <v>7295</v>
      </c>
      <c r="E3388" s="206">
        <v>21</v>
      </c>
      <c r="F3388" s="216" t="s">
        <v>6337</v>
      </c>
      <c r="G3388" s="207">
        <f>VLOOKUP("CUSTO TOTAL UNIT.:",D3389:$H$30004,5,FALSE)</f>
        <v>262.33000000000004</v>
      </c>
      <c r="H3388" s="637">
        <f>VLOOKUP("CUSTO TOTAL:",D3389:$H$30004,5,FALSE)</f>
        <v>5508.93</v>
      </c>
    </row>
    <row r="3389" spans="1:8" s="124" customFormat="1" ht="60">
      <c r="A3389" s="721" t="s">
        <v>7326</v>
      </c>
      <c r="B3389" s="721"/>
      <c r="C3389" s="200" t="s">
        <v>6753</v>
      </c>
      <c r="D3389" s="185" t="s">
        <v>7327</v>
      </c>
      <c r="E3389" s="209">
        <v>1</v>
      </c>
      <c r="F3389" s="577" t="s">
        <v>31</v>
      </c>
      <c r="G3389" s="174">
        <v>148.4325</v>
      </c>
      <c r="H3389" s="211">
        <f t="shared" ref="H3389:H3394" si="83">ROUND(G3389*E3389,2)</f>
        <v>148.43</v>
      </c>
    </row>
    <row r="3390" spans="1:8" s="124" customFormat="1" ht="30">
      <c r="A3390" s="721">
        <v>20111</v>
      </c>
      <c r="B3390" s="721"/>
      <c r="C3390" s="200" t="s">
        <v>5256</v>
      </c>
      <c r="D3390" s="139" t="s">
        <v>11951</v>
      </c>
      <c r="E3390" s="209">
        <v>0.01</v>
      </c>
      <c r="F3390" s="577" t="s">
        <v>40</v>
      </c>
      <c r="G3390" s="210">
        <v>8.8613999999999997</v>
      </c>
      <c r="H3390" s="211">
        <f t="shared" si="83"/>
        <v>0.09</v>
      </c>
    </row>
    <row r="3391" spans="1:8" s="124" customFormat="1" ht="30">
      <c r="A3391" s="721">
        <v>38782</v>
      </c>
      <c r="B3391" s="721"/>
      <c r="C3391" s="200" t="s">
        <v>5256</v>
      </c>
      <c r="D3391" s="139" t="s">
        <v>12506</v>
      </c>
      <c r="E3391" s="209">
        <v>4</v>
      </c>
      <c r="F3391" s="577" t="s">
        <v>40</v>
      </c>
      <c r="G3391" s="210">
        <v>6.3909000000000002</v>
      </c>
      <c r="H3391" s="211">
        <f t="shared" si="83"/>
        <v>25.56</v>
      </c>
    </row>
    <row r="3392" spans="1:8" s="124" customFormat="1" ht="30">
      <c r="A3392" s="721">
        <v>38777</v>
      </c>
      <c r="B3392" s="721"/>
      <c r="C3392" s="200" t="s">
        <v>5256</v>
      </c>
      <c r="D3392" s="139" t="s">
        <v>13668</v>
      </c>
      <c r="E3392" s="209">
        <v>2</v>
      </c>
      <c r="F3392" s="577" t="s">
        <v>40</v>
      </c>
      <c r="G3392" s="210">
        <v>28.0989</v>
      </c>
      <c r="H3392" s="211">
        <f t="shared" si="83"/>
        <v>56.2</v>
      </c>
    </row>
    <row r="3393" spans="1:8" s="124" customFormat="1" ht="30">
      <c r="A3393" s="721">
        <v>88264</v>
      </c>
      <c r="B3393" s="721"/>
      <c r="C3393" s="200" t="s">
        <v>5256</v>
      </c>
      <c r="D3393" s="139" t="s">
        <v>84</v>
      </c>
      <c r="E3393" s="209">
        <v>1.3912</v>
      </c>
      <c r="F3393" s="577" t="s">
        <v>67</v>
      </c>
      <c r="G3393" s="210">
        <v>15.778800000000002</v>
      </c>
      <c r="H3393" s="211">
        <f t="shared" si="83"/>
        <v>21.95</v>
      </c>
    </row>
    <row r="3394" spans="1:8" s="124" customFormat="1" ht="30">
      <c r="A3394" s="721">
        <v>88247</v>
      </c>
      <c r="B3394" s="721"/>
      <c r="C3394" s="200" t="s">
        <v>5256</v>
      </c>
      <c r="D3394" s="139" t="s">
        <v>74</v>
      </c>
      <c r="E3394" s="209">
        <v>0.81320000000000003</v>
      </c>
      <c r="F3394" s="577" t="s">
        <v>67</v>
      </c>
      <c r="G3394" s="210">
        <v>12.425400000000002</v>
      </c>
      <c r="H3394" s="211">
        <f t="shared" si="83"/>
        <v>10.1</v>
      </c>
    </row>
    <row r="3395" spans="1:8" s="201" customFormat="1">
      <c r="A3395" s="582"/>
      <c r="B3395" s="582"/>
      <c r="C3395" s="212"/>
      <c r="D3395" s="719" t="s">
        <v>127</v>
      </c>
      <c r="E3395" s="719"/>
      <c r="F3395" s="719"/>
      <c r="G3395" s="719"/>
      <c r="H3395" s="638">
        <f>SUMIF(F3389:F3394,("h"),H3389:H3394)</f>
        <v>32.049999999999997</v>
      </c>
    </row>
    <row r="3396" spans="1:8" s="201" customFormat="1">
      <c r="A3396" s="582"/>
      <c r="B3396" s="582"/>
      <c r="C3396" s="212"/>
      <c r="D3396" s="719" t="s">
        <v>128</v>
      </c>
      <c r="E3396" s="719"/>
      <c r="F3396" s="719"/>
      <c r="G3396" s="719"/>
      <c r="H3396" s="638">
        <f>SUMIF(F3389:F3394,"&lt;&gt;h",H3389:H3394)</f>
        <v>230.28000000000003</v>
      </c>
    </row>
    <row r="3397" spans="1:8" s="201" customFormat="1">
      <c r="A3397" s="582"/>
      <c r="B3397" s="582"/>
      <c r="C3397" s="212"/>
      <c r="D3397" s="718" t="s">
        <v>129</v>
      </c>
      <c r="E3397" s="718"/>
      <c r="F3397" s="718"/>
      <c r="G3397" s="718"/>
      <c r="H3397" s="213">
        <f>SUM(H3395:H3396)</f>
        <v>262.33000000000004</v>
      </c>
    </row>
    <row r="3398" spans="1:8" s="201" customFormat="1">
      <c r="A3398" s="582"/>
      <c r="B3398" s="582"/>
      <c r="C3398" s="212"/>
      <c r="D3398" s="719" t="s">
        <v>28</v>
      </c>
      <c r="E3398" s="719"/>
      <c r="F3398" s="719"/>
      <c r="G3398" s="719"/>
      <c r="H3398" s="639">
        <f>E3388</f>
        <v>21</v>
      </c>
    </row>
    <row r="3399" spans="1:8" s="201" customFormat="1">
      <c r="A3399" s="582"/>
      <c r="B3399" s="582"/>
      <c r="C3399" s="212"/>
      <c r="D3399" s="718" t="s">
        <v>130</v>
      </c>
      <c r="E3399" s="718"/>
      <c r="F3399" s="718"/>
      <c r="G3399" s="718"/>
      <c r="H3399" s="213">
        <f>ROUND(H3397*H3398,2)</f>
        <v>5508.93</v>
      </c>
    </row>
    <row r="3400" spans="1:8" s="201" customFormat="1">
      <c r="A3400" s="582"/>
      <c r="B3400" s="582"/>
      <c r="C3400" s="212"/>
      <c r="D3400" s="719" t="s">
        <v>15559</v>
      </c>
      <c r="E3400" s="719"/>
      <c r="F3400" s="719"/>
      <c r="G3400" s="719"/>
      <c r="H3400" s="638">
        <f>ROUND(H3397*$B$13,2)</f>
        <v>70.650000000000006</v>
      </c>
    </row>
    <row r="3401" spans="1:8">
      <c r="A3401" s="582"/>
      <c r="B3401" s="582"/>
      <c r="C3401" s="212"/>
      <c r="D3401" s="718" t="s">
        <v>9661</v>
      </c>
      <c r="E3401" s="718"/>
      <c r="F3401" s="718"/>
      <c r="G3401" s="718"/>
      <c r="H3401" s="213">
        <f>H3400+H3397</f>
        <v>332.98</v>
      </c>
    </row>
    <row r="3403" spans="1:8" s="201" customFormat="1">
      <c r="A3403" s="123" t="s">
        <v>6</v>
      </c>
      <c r="B3403" s="720" t="s">
        <v>7</v>
      </c>
      <c r="C3403" s="720"/>
      <c r="D3403" s="202" t="s">
        <v>124</v>
      </c>
      <c r="E3403" s="167" t="s">
        <v>6334</v>
      </c>
      <c r="F3403" s="202" t="s">
        <v>31</v>
      </c>
      <c r="G3403" s="203" t="s">
        <v>125</v>
      </c>
      <c r="H3403" s="204" t="s">
        <v>126</v>
      </c>
    </row>
    <row r="3404" spans="1:8" s="208" customFormat="1" ht="135">
      <c r="A3404" s="581" t="str">
        <f>'Orç - Prédio'!A529</f>
        <v>06.01.401.03</v>
      </c>
      <c r="B3404" s="216" t="str">
        <f>'Orç - Prédio'!B529</f>
        <v>CPOS</v>
      </c>
      <c r="C3404" s="216" t="str">
        <f>'Orç - Prédio'!C529</f>
        <v>41.14.770</v>
      </c>
      <c r="D3404" s="217" t="s">
        <v>7296</v>
      </c>
      <c r="E3404" s="206">
        <v>199</v>
      </c>
      <c r="F3404" s="216" t="s">
        <v>6337</v>
      </c>
      <c r="G3404" s="207">
        <f>VLOOKUP("CUSTO TOTAL UNIT.:",D3405:$H$30004,5,FALSE)</f>
        <v>239.62</v>
      </c>
      <c r="H3404" s="637">
        <f>VLOOKUP("CUSTO TOTAL:",D3405:$H$30004,5,FALSE)</f>
        <v>47684.38</v>
      </c>
    </row>
    <row r="3405" spans="1:8" s="124" customFormat="1" ht="45">
      <c r="A3405" s="721" t="s">
        <v>7317</v>
      </c>
      <c r="B3405" s="721"/>
      <c r="C3405" s="200" t="s">
        <v>6753</v>
      </c>
      <c r="D3405" s="185" t="s">
        <v>7318</v>
      </c>
      <c r="E3405" s="209">
        <v>1</v>
      </c>
      <c r="F3405" s="577" t="s">
        <v>31</v>
      </c>
      <c r="G3405" s="174">
        <v>125.72010000000002</v>
      </c>
      <c r="H3405" s="211">
        <f t="shared" ref="H3405:H3410" si="84">ROUND(G3405*E3405,2)</f>
        <v>125.72</v>
      </c>
    </row>
    <row r="3406" spans="1:8" s="124" customFormat="1" ht="30">
      <c r="A3406" s="721">
        <v>20111</v>
      </c>
      <c r="B3406" s="721"/>
      <c r="C3406" s="200" t="s">
        <v>5256</v>
      </c>
      <c r="D3406" s="139" t="s">
        <v>11951</v>
      </c>
      <c r="E3406" s="209">
        <v>0.01</v>
      </c>
      <c r="F3406" s="577" t="s">
        <v>40</v>
      </c>
      <c r="G3406" s="210">
        <v>8.8613999999999997</v>
      </c>
      <c r="H3406" s="211">
        <f t="shared" si="84"/>
        <v>0.09</v>
      </c>
    </row>
    <row r="3407" spans="1:8" s="124" customFormat="1" ht="30">
      <c r="A3407" s="721">
        <v>38782</v>
      </c>
      <c r="B3407" s="721"/>
      <c r="C3407" s="200" t="s">
        <v>5256</v>
      </c>
      <c r="D3407" s="139" t="s">
        <v>12506</v>
      </c>
      <c r="E3407" s="209">
        <v>4</v>
      </c>
      <c r="F3407" s="577" t="s">
        <v>40</v>
      </c>
      <c r="G3407" s="210">
        <v>6.3909000000000002</v>
      </c>
      <c r="H3407" s="211">
        <f t="shared" si="84"/>
        <v>25.56</v>
      </c>
    </row>
    <row r="3408" spans="1:8" s="124" customFormat="1" ht="30">
      <c r="A3408" s="721">
        <v>38777</v>
      </c>
      <c r="B3408" s="721"/>
      <c r="C3408" s="200" t="s">
        <v>5256</v>
      </c>
      <c r="D3408" s="139" t="s">
        <v>13668</v>
      </c>
      <c r="E3408" s="209">
        <v>2</v>
      </c>
      <c r="F3408" s="577" t="s">
        <v>40</v>
      </c>
      <c r="G3408" s="210">
        <v>28.0989</v>
      </c>
      <c r="H3408" s="211">
        <f t="shared" si="84"/>
        <v>56.2</v>
      </c>
    </row>
    <row r="3409" spans="1:8" s="124" customFormat="1" ht="30">
      <c r="A3409" s="721">
        <v>88264</v>
      </c>
      <c r="B3409" s="721"/>
      <c r="C3409" s="200" t="s">
        <v>5256</v>
      </c>
      <c r="D3409" s="139" t="s">
        <v>84</v>
      </c>
      <c r="E3409" s="209">
        <v>1.3912</v>
      </c>
      <c r="F3409" s="577" t="s">
        <v>67</v>
      </c>
      <c r="G3409" s="210">
        <v>15.778800000000002</v>
      </c>
      <c r="H3409" s="211">
        <f t="shared" si="84"/>
        <v>21.95</v>
      </c>
    </row>
    <row r="3410" spans="1:8" s="124" customFormat="1" ht="30">
      <c r="A3410" s="721">
        <v>88247</v>
      </c>
      <c r="B3410" s="721"/>
      <c r="C3410" s="200" t="s">
        <v>5256</v>
      </c>
      <c r="D3410" s="139" t="s">
        <v>74</v>
      </c>
      <c r="E3410" s="209">
        <v>0.81320000000000003</v>
      </c>
      <c r="F3410" s="577" t="s">
        <v>67</v>
      </c>
      <c r="G3410" s="210">
        <v>12.425400000000002</v>
      </c>
      <c r="H3410" s="211">
        <f t="shared" si="84"/>
        <v>10.1</v>
      </c>
    </row>
    <row r="3411" spans="1:8" s="201" customFormat="1">
      <c r="A3411" s="582"/>
      <c r="B3411" s="582"/>
      <c r="C3411" s="212"/>
      <c r="D3411" s="719" t="s">
        <v>127</v>
      </c>
      <c r="E3411" s="719"/>
      <c r="F3411" s="719"/>
      <c r="G3411" s="719"/>
      <c r="H3411" s="638">
        <f>SUMIF(F3405:F3410,("h"),H3405:H3410)</f>
        <v>32.049999999999997</v>
      </c>
    </row>
    <row r="3412" spans="1:8" s="201" customFormat="1">
      <c r="A3412" s="582"/>
      <c r="B3412" s="582"/>
      <c r="C3412" s="212"/>
      <c r="D3412" s="719" t="s">
        <v>128</v>
      </c>
      <c r="E3412" s="719"/>
      <c r="F3412" s="719"/>
      <c r="G3412" s="719"/>
      <c r="H3412" s="638">
        <f>SUMIF(F3405:F3410,"&lt;&gt;h",H3405:H3410)</f>
        <v>207.57</v>
      </c>
    </row>
    <row r="3413" spans="1:8" s="201" customFormat="1">
      <c r="A3413" s="582"/>
      <c r="B3413" s="582"/>
      <c r="C3413" s="212"/>
      <c r="D3413" s="718" t="s">
        <v>129</v>
      </c>
      <c r="E3413" s="718"/>
      <c r="F3413" s="718"/>
      <c r="G3413" s="718"/>
      <c r="H3413" s="213">
        <f>SUM(H3411:H3412)</f>
        <v>239.62</v>
      </c>
    </row>
    <row r="3414" spans="1:8" s="201" customFormat="1">
      <c r="A3414" s="582"/>
      <c r="B3414" s="582"/>
      <c r="C3414" s="212"/>
      <c r="D3414" s="719" t="s">
        <v>28</v>
      </c>
      <c r="E3414" s="719"/>
      <c r="F3414" s="719"/>
      <c r="G3414" s="719"/>
      <c r="H3414" s="639">
        <f>E3404</f>
        <v>199</v>
      </c>
    </row>
    <row r="3415" spans="1:8" s="201" customFormat="1">
      <c r="A3415" s="582"/>
      <c r="B3415" s="582"/>
      <c r="C3415" s="212"/>
      <c r="D3415" s="718" t="s">
        <v>130</v>
      </c>
      <c r="E3415" s="718"/>
      <c r="F3415" s="718"/>
      <c r="G3415" s="718"/>
      <c r="H3415" s="213">
        <f>ROUND(H3413*H3414,2)</f>
        <v>47684.38</v>
      </c>
    </row>
    <row r="3416" spans="1:8" s="201" customFormat="1">
      <c r="A3416" s="582"/>
      <c r="B3416" s="582"/>
      <c r="C3416" s="212"/>
      <c r="D3416" s="719" t="s">
        <v>15559</v>
      </c>
      <c r="E3416" s="719"/>
      <c r="F3416" s="719"/>
      <c r="G3416" s="719"/>
      <c r="H3416" s="638">
        <f>ROUND(H3413*$B$13,2)</f>
        <v>64.53</v>
      </c>
    </row>
    <row r="3417" spans="1:8">
      <c r="A3417" s="582"/>
      <c r="B3417" s="582"/>
      <c r="C3417" s="212"/>
      <c r="D3417" s="718" t="s">
        <v>9661</v>
      </c>
      <c r="E3417" s="718"/>
      <c r="F3417" s="718"/>
      <c r="G3417" s="718"/>
      <c r="H3417" s="213">
        <f>H3416+H3413</f>
        <v>304.14999999999998</v>
      </c>
    </row>
    <row r="3419" spans="1:8" s="201" customFormat="1">
      <c r="A3419" s="123" t="s">
        <v>6</v>
      </c>
      <c r="B3419" s="720" t="s">
        <v>7</v>
      </c>
      <c r="C3419" s="720"/>
      <c r="D3419" s="202" t="s">
        <v>124</v>
      </c>
      <c r="E3419" s="167" t="s">
        <v>6334</v>
      </c>
      <c r="F3419" s="202" t="s">
        <v>31</v>
      </c>
      <c r="G3419" s="203" t="s">
        <v>125</v>
      </c>
      <c r="H3419" s="204" t="s">
        <v>126</v>
      </c>
    </row>
    <row r="3420" spans="1:8" s="208" customFormat="1" ht="135">
      <c r="A3420" s="581" t="str">
        <f>'Orç - Prédio'!A530</f>
        <v>06.01.401.04</v>
      </c>
      <c r="B3420" s="216" t="str">
        <f>'Orç - Prédio'!B530</f>
        <v>CPOS</v>
      </c>
      <c r="C3420" s="216" t="str">
        <f>'Orç - Prédio'!C530</f>
        <v>41.14.430</v>
      </c>
      <c r="D3420" s="217" t="s">
        <v>7297</v>
      </c>
      <c r="E3420" s="206">
        <v>62</v>
      </c>
      <c r="F3420" s="216" t="s">
        <v>6337</v>
      </c>
      <c r="G3420" s="207">
        <f>VLOOKUP("CUSTO TOTAL UNIT.:",D3421:$H$30004,5,FALSE)</f>
        <v>226.68</v>
      </c>
      <c r="H3420" s="637">
        <f>VLOOKUP("CUSTO TOTAL:",D3421:$H$30004,5,FALSE)</f>
        <v>14054.16</v>
      </c>
    </row>
    <row r="3421" spans="1:8" s="124" customFormat="1" ht="60">
      <c r="A3421" s="721" t="s">
        <v>15404</v>
      </c>
      <c r="B3421" s="721"/>
      <c r="C3421" s="184" t="s">
        <v>6753</v>
      </c>
      <c r="D3421" s="185" t="s">
        <v>7328</v>
      </c>
      <c r="E3421" s="209">
        <v>1</v>
      </c>
      <c r="F3421" s="577" t="s">
        <v>31</v>
      </c>
      <c r="G3421" s="174">
        <v>112.77630000000001</v>
      </c>
      <c r="H3421" s="211">
        <f t="shared" ref="H3421:H3426" si="85">ROUND(G3421*E3421,2)</f>
        <v>112.78</v>
      </c>
    </row>
    <row r="3422" spans="1:8" s="124" customFormat="1" ht="30">
      <c r="A3422" s="721">
        <v>20111</v>
      </c>
      <c r="B3422" s="721"/>
      <c r="C3422" s="200" t="s">
        <v>5256</v>
      </c>
      <c r="D3422" s="139" t="s">
        <v>11951</v>
      </c>
      <c r="E3422" s="209">
        <v>0.01</v>
      </c>
      <c r="F3422" s="577" t="s">
        <v>40</v>
      </c>
      <c r="G3422" s="210">
        <v>8.8613999999999997</v>
      </c>
      <c r="H3422" s="211">
        <f t="shared" si="85"/>
        <v>0.09</v>
      </c>
    </row>
    <row r="3423" spans="1:8" s="124" customFormat="1" ht="30">
      <c r="A3423" s="721">
        <v>38782</v>
      </c>
      <c r="B3423" s="721"/>
      <c r="C3423" s="200" t="s">
        <v>5256</v>
      </c>
      <c r="D3423" s="139" t="s">
        <v>12506</v>
      </c>
      <c r="E3423" s="209">
        <v>4</v>
      </c>
      <c r="F3423" s="577" t="s">
        <v>40</v>
      </c>
      <c r="G3423" s="210">
        <v>6.3909000000000002</v>
      </c>
      <c r="H3423" s="211">
        <f t="shared" si="85"/>
        <v>25.56</v>
      </c>
    </row>
    <row r="3424" spans="1:8" s="124" customFormat="1" ht="30">
      <c r="A3424" s="721">
        <v>38777</v>
      </c>
      <c r="B3424" s="721"/>
      <c r="C3424" s="200" t="s">
        <v>5256</v>
      </c>
      <c r="D3424" s="139" t="s">
        <v>13668</v>
      </c>
      <c r="E3424" s="209">
        <v>2</v>
      </c>
      <c r="F3424" s="577" t="s">
        <v>40</v>
      </c>
      <c r="G3424" s="210">
        <v>28.0989</v>
      </c>
      <c r="H3424" s="211">
        <f t="shared" si="85"/>
        <v>56.2</v>
      </c>
    </row>
    <row r="3425" spans="1:8" s="124" customFormat="1" ht="30">
      <c r="A3425" s="721">
        <v>88264</v>
      </c>
      <c r="B3425" s="721"/>
      <c r="C3425" s="200" t="s">
        <v>5256</v>
      </c>
      <c r="D3425" s="139" t="s">
        <v>84</v>
      </c>
      <c r="E3425" s="209">
        <v>1.3912</v>
      </c>
      <c r="F3425" s="577" t="s">
        <v>67</v>
      </c>
      <c r="G3425" s="210">
        <v>15.778800000000002</v>
      </c>
      <c r="H3425" s="211">
        <f t="shared" si="85"/>
        <v>21.95</v>
      </c>
    </row>
    <row r="3426" spans="1:8" s="124" customFormat="1" ht="30">
      <c r="A3426" s="721">
        <v>88247</v>
      </c>
      <c r="B3426" s="721"/>
      <c r="C3426" s="200" t="s">
        <v>5256</v>
      </c>
      <c r="D3426" s="139" t="s">
        <v>74</v>
      </c>
      <c r="E3426" s="209">
        <v>0.81320000000000003</v>
      </c>
      <c r="F3426" s="577" t="s">
        <v>67</v>
      </c>
      <c r="G3426" s="210">
        <v>12.425400000000002</v>
      </c>
      <c r="H3426" s="211">
        <f t="shared" si="85"/>
        <v>10.1</v>
      </c>
    </row>
    <row r="3427" spans="1:8" s="201" customFormat="1">
      <c r="A3427" s="582"/>
      <c r="B3427" s="582"/>
      <c r="C3427" s="212"/>
      <c r="D3427" s="719" t="s">
        <v>127</v>
      </c>
      <c r="E3427" s="719"/>
      <c r="F3427" s="719"/>
      <c r="G3427" s="719"/>
      <c r="H3427" s="638">
        <f>SUMIF(F3421:F3426,("h"),H3421:H3426)</f>
        <v>32.049999999999997</v>
      </c>
    </row>
    <row r="3428" spans="1:8" s="201" customFormat="1">
      <c r="A3428" s="582"/>
      <c r="B3428" s="582"/>
      <c r="C3428" s="212"/>
      <c r="D3428" s="719" t="s">
        <v>128</v>
      </c>
      <c r="E3428" s="719"/>
      <c r="F3428" s="719"/>
      <c r="G3428" s="719"/>
      <c r="H3428" s="638">
        <f>SUMIF(F3421:F3426,"&lt;&gt;h",H3421:H3426)</f>
        <v>194.63</v>
      </c>
    </row>
    <row r="3429" spans="1:8" s="201" customFormat="1">
      <c r="A3429" s="582"/>
      <c r="B3429" s="582"/>
      <c r="C3429" s="212"/>
      <c r="D3429" s="718" t="s">
        <v>129</v>
      </c>
      <c r="E3429" s="718"/>
      <c r="F3429" s="718"/>
      <c r="G3429" s="718"/>
      <c r="H3429" s="213">
        <f>SUM(H3427:H3428)</f>
        <v>226.68</v>
      </c>
    </row>
    <row r="3430" spans="1:8" s="201" customFormat="1">
      <c r="A3430" s="582"/>
      <c r="B3430" s="582"/>
      <c r="C3430" s="212"/>
      <c r="D3430" s="719" t="s">
        <v>28</v>
      </c>
      <c r="E3430" s="719"/>
      <c r="F3430" s="719"/>
      <c r="G3430" s="719"/>
      <c r="H3430" s="639">
        <f>E3420</f>
        <v>62</v>
      </c>
    </row>
    <row r="3431" spans="1:8" s="201" customFormat="1">
      <c r="A3431" s="582"/>
      <c r="B3431" s="582"/>
      <c r="C3431" s="212"/>
      <c r="D3431" s="718" t="s">
        <v>130</v>
      </c>
      <c r="E3431" s="718"/>
      <c r="F3431" s="718"/>
      <c r="G3431" s="718"/>
      <c r="H3431" s="213">
        <f>ROUND(H3429*H3430,2)</f>
        <v>14054.16</v>
      </c>
    </row>
    <row r="3432" spans="1:8" s="201" customFormat="1">
      <c r="A3432" s="582"/>
      <c r="B3432" s="582"/>
      <c r="C3432" s="212"/>
      <c r="D3432" s="719" t="s">
        <v>15559</v>
      </c>
      <c r="E3432" s="719"/>
      <c r="F3432" s="719"/>
      <c r="G3432" s="719"/>
      <c r="H3432" s="638">
        <f>ROUND(H3429*$B$13,2)</f>
        <v>61.04</v>
      </c>
    </row>
    <row r="3433" spans="1:8">
      <c r="A3433" s="582"/>
      <c r="B3433" s="582"/>
      <c r="C3433" s="212"/>
      <c r="D3433" s="718" t="s">
        <v>9661</v>
      </c>
      <c r="E3433" s="718"/>
      <c r="F3433" s="718"/>
      <c r="G3433" s="718"/>
      <c r="H3433" s="213">
        <f>H3432+H3429</f>
        <v>287.72000000000003</v>
      </c>
    </row>
    <row r="3435" spans="1:8" s="201" customFormat="1">
      <c r="A3435" s="123" t="s">
        <v>6</v>
      </c>
      <c r="B3435" s="720" t="s">
        <v>7</v>
      </c>
      <c r="C3435" s="720"/>
      <c r="D3435" s="202" t="s">
        <v>124</v>
      </c>
      <c r="E3435" s="167" t="s">
        <v>6334</v>
      </c>
      <c r="F3435" s="202" t="s">
        <v>31</v>
      </c>
      <c r="G3435" s="203" t="s">
        <v>125</v>
      </c>
      <c r="H3435" s="204" t="s">
        <v>126</v>
      </c>
    </row>
    <row r="3436" spans="1:8" s="208" customFormat="1" ht="105">
      <c r="A3436" s="581" t="str">
        <f>'Orç - Prédio'!A527</f>
        <v>06.01.401.01</v>
      </c>
      <c r="B3436" s="216" t="str">
        <f>'Orç - Prédio'!B531</f>
        <v>CPOS</v>
      </c>
      <c r="C3436" s="216" t="str">
        <f>'Orç - Prédio'!C531</f>
        <v>41.14.310</v>
      </c>
      <c r="D3436" s="217" t="s">
        <v>7298</v>
      </c>
      <c r="E3436" s="206">
        <v>32</v>
      </c>
      <c r="F3436" s="216" t="s">
        <v>6337</v>
      </c>
      <c r="G3436" s="207">
        <f>VLOOKUP("CUSTO TOTAL UNIT.:",D3437:$H$30004,5,FALSE)</f>
        <v>113.01000000000002</v>
      </c>
      <c r="H3436" s="637">
        <f>VLOOKUP("CUSTO TOTAL:",D3437:$H$30004,5,FALSE)</f>
        <v>3616.32</v>
      </c>
    </row>
    <row r="3437" spans="1:8" s="124" customFormat="1" ht="45">
      <c r="A3437" s="721" t="s">
        <v>7329</v>
      </c>
      <c r="B3437" s="721"/>
      <c r="C3437" s="184" t="s">
        <v>6753</v>
      </c>
      <c r="D3437" s="185" t="s">
        <v>7330</v>
      </c>
      <c r="E3437" s="209">
        <v>1</v>
      </c>
      <c r="F3437" s="577" t="s">
        <v>31</v>
      </c>
      <c r="G3437" s="174">
        <v>65.2941</v>
      </c>
      <c r="H3437" s="211">
        <f t="shared" ref="H3437:H3442" si="86">ROUND(G3437*E3437,2)</f>
        <v>65.290000000000006</v>
      </c>
    </row>
    <row r="3438" spans="1:8" s="124" customFormat="1" ht="30">
      <c r="A3438" s="721">
        <v>20111</v>
      </c>
      <c r="B3438" s="721"/>
      <c r="C3438" s="200" t="s">
        <v>5256</v>
      </c>
      <c r="D3438" s="139" t="s">
        <v>11951</v>
      </c>
      <c r="E3438" s="209">
        <v>0.01</v>
      </c>
      <c r="F3438" s="577" t="s">
        <v>40</v>
      </c>
      <c r="G3438" s="210">
        <v>8.8613999999999997</v>
      </c>
      <c r="H3438" s="211">
        <f t="shared" si="86"/>
        <v>0.09</v>
      </c>
    </row>
    <row r="3439" spans="1:8" s="124" customFormat="1" ht="30">
      <c r="A3439" s="721">
        <v>38780</v>
      </c>
      <c r="B3439" s="721"/>
      <c r="C3439" s="200" t="s">
        <v>5256</v>
      </c>
      <c r="D3439" s="139" t="s">
        <v>12502</v>
      </c>
      <c r="E3439" s="209">
        <v>2</v>
      </c>
      <c r="F3439" s="577" t="s">
        <v>40</v>
      </c>
      <c r="G3439" s="210">
        <v>9.1854000000000013</v>
      </c>
      <c r="H3439" s="211">
        <f t="shared" si="86"/>
        <v>18.37</v>
      </c>
    </row>
    <row r="3440" spans="1:8" s="124" customFormat="1" ht="30">
      <c r="A3440" s="721">
        <v>1086</v>
      </c>
      <c r="B3440" s="721"/>
      <c r="C3440" s="200" t="s">
        <v>5256</v>
      </c>
      <c r="D3440" s="139" t="s">
        <v>13669</v>
      </c>
      <c r="E3440" s="209">
        <v>1</v>
      </c>
      <c r="F3440" s="577" t="s">
        <v>40</v>
      </c>
      <c r="G3440" s="210">
        <v>14.823000000000002</v>
      </c>
      <c r="H3440" s="211">
        <f t="shared" si="86"/>
        <v>14.82</v>
      </c>
    </row>
    <row r="3441" spans="1:8" s="124" customFormat="1" ht="30">
      <c r="A3441" s="721">
        <v>88264</v>
      </c>
      <c r="B3441" s="721"/>
      <c r="C3441" s="200" t="s">
        <v>5256</v>
      </c>
      <c r="D3441" s="139" t="s">
        <v>84</v>
      </c>
      <c r="E3441" s="209">
        <v>0.6</v>
      </c>
      <c r="F3441" s="577" t="s">
        <v>67</v>
      </c>
      <c r="G3441" s="210">
        <v>15.778800000000002</v>
      </c>
      <c r="H3441" s="211">
        <f t="shared" si="86"/>
        <v>9.4700000000000006</v>
      </c>
    </row>
    <row r="3442" spans="1:8" s="124" customFormat="1" ht="30">
      <c r="A3442" s="721">
        <v>88247</v>
      </c>
      <c r="B3442" s="721"/>
      <c r="C3442" s="200" t="s">
        <v>5256</v>
      </c>
      <c r="D3442" s="139" t="s">
        <v>74</v>
      </c>
      <c r="E3442" s="209">
        <v>0.4</v>
      </c>
      <c r="F3442" s="577" t="s">
        <v>67</v>
      </c>
      <c r="G3442" s="210">
        <v>12.425400000000002</v>
      </c>
      <c r="H3442" s="211">
        <f t="shared" si="86"/>
        <v>4.97</v>
      </c>
    </row>
    <row r="3443" spans="1:8" s="201" customFormat="1">
      <c r="A3443" s="582"/>
      <c r="B3443" s="582"/>
      <c r="C3443" s="212"/>
      <c r="D3443" s="719" t="s">
        <v>127</v>
      </c>
      <c r="E3443" s="719"/>
      <c r="F3443" s="719"/>
      <c r="G3443" s="719"/>
      <c r="H3443" s="638">
        <f>SUMIF(F3437:F3442,("h"),H3437:H3442)</f>
        <v>14.440000000000001</v>
      </c>
    </row>
    <row r="3444" spans="1:8" s="201" customFormat="1">
      <c r="A3444" s="582"/>
      <c r="B3444" s="582"/>
      <c r="C3444" s="212"/>
      <c r="D3444" s="719" t="s">
        <v>128</v>
      </c>
      <c r="E3444" s="719"/>
      <c r="F3444" s="719"/>
      <c r="G3444" s="719"/>
      <c r="H3444" s="638">
        <f>SUMIF(F3437:F3442,"&lt;&gt;h",H3437:H3442)</f>
        <v>98.570000000000022</v>
      </c>
    </row>
    <row r="3445" spans="1:8" s="201" customFormat="1">
      <c r="A3445" s="582"/>
      <c r="B3445" s="582"/>
      <c r="C3445" s="212"/>
      <c r="D3445" s="718" t="s">
        <v>129</v>
      </c>
      <c r="E3445" s="718"/>
      <c r="F3445" s="718"/>
      <c r="G3445" s="718"/>
      <c r="H3445" s="213">
        <f>SUM(H3443:H3444)</f>
        <v>113.01000000000002</v>
      </c>
    </row>
    <row r="3446" spans="1:8" s="201" customFormat="1">
      <c r="A3446" s="582"/>
      <c r="B3446" s="582"/>
      <c r="C3446" s="212"/>
      <c r="D3446" s="719" t="s">
        <v>28</v>
      </c>
      <c r="E3446" s="719"/>
      <c r="F3446" s="719"/>
      <c r="G3446" s="719"/>
      <c r="H3446" s="639">
        <f>E3436</f>
        <v>32</v>
      </c>
    </row>
    <row r="3447" spans="1:8" s="201" customFormat="1">
      <c r="A3447" s="582"/>
      <c r="B3447" s="582"/>
      <c r="C3447" s="212"/>
      <c r="D3447" s="718" t="s">
        <v>130</v>
      </c>
      <c r="E3447" s="718"/>
      <c r="F3447" s="718"/>
      <c r="G3447" s="718"/>
      <c r="H3447" s="213">
        <f>ROUND(H3445*H3446,2)</f>
        <v>3616.32</v>
      </c>
    </row>
    <row r="3448" spans="1:8" s="201" customFormat="1">
      <c r="A3448" s="582"/>
      <c r="B3448" s="582"/>
      <c r="C3448" s="212"/>
      <c r="D3448" s="719" t="s">
        <v>15559</v>
      </c>
      <c r="E3448" s="719"/>
      <c r="F3448" s="719"/>
      <c r="G3448" s="719"/>
      <c r="H3448" s="638">
        <f>ROUND(H3445*$B$13,2)</f>
        <v>30.43</v>
      </c>
    </row>
    <row r="3449" spans="1:8">
      <c r="A3449" s="582"/>
      <c r="B3449" s="582"/>
      <c r="C3449" s="212"/>
      <c r="D3449" s="718" t="s">
        <v>9661</v>
      </c>
      <c r="E3449" s="718"/>
      <c r="F3449" s="718"/>
      <c r="G3449" s="718"/>
      <c r="H3449" s="213">
        <f>H3448+H3445</f>
        <v>143.44000000000003</v>
      </c>
    </row>
    <row r="3451" spans="1:8" s="201" customFormat="1">
      <c r="A3451" s="123" t="s">
        <v>6</v>
      </c>
      <c r="B3451" s="720" t="s">
        <v>7</v>
      </c>
      <c r="C3451" s="720"/>
      <c r="D3451" s="202" t="s">
        <v>124</v>
      </c>
      <c r="E3451" s="167" t="s">
        <v>6334</v>
      </c>
      <c r="F3451" s="202" t="s">
        <v>31</v>
      </c>
      <c r="G3451" s="203" t="s">
        <v>125</v>
      </c>
      <c r="H3451" s="204" t="s">
        <v>126</v>
      </c>
    </row>
    <row r="3452" spans="1:8" s="208" customFormat="1" ht="150">
      <c r="A3452" s="581" t="str">
        <f>'Orç - Prédio'!A527</f>
        <v>06.01.401.01</v>
      </c>
      <c r="B3452" s="216" t="str">
        <f>'Orç - Prédio'!B532</f>
        <v>ORSE</v>
      </c>
      <c r="C3452" s="216">
        <f>'Orç - Prédio'!C532</f>
        <v>7715</v>
      </c>
      <c r="D3452" s="217" t="s">
        <v>7299</v>
      </c>
      <c r="E3452" s="206">
        <v>35</v>
      </c>
      <c r="F3452" s="216" t="s">
        <v>6337</v>
      </c>
      <c r="G3452" s="207">
        <f>VLOOKUP("CUSTO TOTAL UNIT.:",D3453:$H$30004,5,FALSE)</f>
        <v>192</v>
      </c>
      <c r="H3452" s="637">
        <f>VLOOKUP("CUSTO TOTAL:",D3453:$H$30004,5,FALSE)</f>
        <v>6720</v>
      </c>
    </row>
    <row r="3453" spans="1:8" s="124" customFormat="1">
      <c r="A3453" s="721">
        <v>7292</v>
      </c>
      <c r="B3453" s="721"/>
      <c r="C3453" s="184" t="s">
        <v>6333</v>
      </c>
      <c r="D3453" s="185" t="s">
        <v>7331</v>
      </c>
      <c r="E3453" s="209">
        <v>1</v>
      </c>
      <c r="F3453" s="577" t="s">
        <v>31</v>
      </c>
      <c r="G3453" s="174">
        <v>110.58120000000001</v>
      </c>
      <c r="H3453" s="211">
        <f t="shared" ref="H3453:H3458" si="87">ROUND(G3453*E3453,2)</f>
        <v>110.58</v>
      </c>
    </row>
    <row r="3454" spans="1:8" s="124" customFormat="1" ht="30">
      <c r="A3454" s="721">
        <v>7331</v>
      </c>
      <c r="B3454" s="721"/>
      <c r="C3454" s="184" t="s">
        <v>6333</v>
      </c>
      <c r="D3454" s="185" t="s">
        <v>7332</v>
      </c>
      <c r="E3454" s="209">
        <v>1</v>
      </c>
      <c r="F3454" s="577" t="s">
        <v>31</v>
      </c>
      <c r="G3454" s="174">
        <v>26.300699999999999</v>
      </c>
      <c r="H3454" s="211">
        <f t="shared" si="87"/>
        <v>26.3</v>
      </c>
    </row>
    <row r="3455" spans="1:8" s="124" customFormat="1" ht="30">
      <c r="A3455" s="721">
        <v>38780</v>
      </c>
      <c r="B3455" s="721"/>
      <c r="C3455" s="200" t="s">
        <v>5256</v>
      </c>
      <c r="D3455" s="139" t="s">
        <v>12502</v>
      </c>
      <c r="E3455" s="209">
        <v>2</v>
      </c>
      <c r="F3455" s="577" t="s">
        <v>40</v>
      </c>
      <c r="G3455" s="210">
        <v>9.1854000000000013</v>
      </c>
      <c r="H3455" s="211">
        <f t="shared" si="87"/>
        <v>18.37</v>
      </c>
    </row>
    <row r="3456" spans="1:8" s="124" customFormat="1" ht="30">
      <c r="A3456" s="721">
        <v>1086</v>
      </c>
      <c r="B3456" s="721"/>
      <c r="C3456" s="200" t="s">
        <v>5256</v>
      </c>
      <c r="D3456" s="139" t="s">
        <v>13669</v>
      </c>
      <c r="E3456" s="209">
        <v>1</v>
      </c>
      <c r="F3456" s="577" t="s">
        <v>40</v>
      </c>
      <c r="G3456" s="210">
        <v>14.823000000000002</v>
      </c>
      <c r="H3456" s="211">
        <f t="shared" si="87"/>
        <v>14.82</v>
      </c>
    </row>
    <row r="3457" spans="1:8" s="124" customFormat="1" ht="30">
      <c r="A3457" s="721">
        <v>88264</v>
      </c>
      <c r="B3457" s="721"/>
      <c r="C3457" s="200" t="s">
        <v>5256</v>
      </c>
      <c r="D3457" s="139" t="s">
        <v>84</v>
      </c>
      <c r="E3457" s="209">
        <v>0.8</v>
      </c>
      <c r="F3457" s="577" t="s">
        <v>67</v>
      </c>
      <c r="G3457" s="210">
        <v>15.778800000000002</v>
      </c>
      <c r="H3457" s="211">
        <f t="shared" si="87"/>
        <v>12.62</v>
      </c>
    </row>
    <row r="3458" spans="1:8" s="124" customFormat="1" ht="30">
      <c r="A3458" s="721">
        <v>88316</v>
      </c>
      <c r="B3458" s="721"/>
      <c r="C3458" s="200" t="s">
        <v>5256</v>
      </c>
      <c r="D3458" s="139" t="s">
        <v>66</v>
      </c>
      <c r="E3458" s="209">
        <v>0.8</v>
      </c>
      <c r="F3458" s="577" t="s">
        <v>67</v>
      </c>
      <c r="G3458" s="210">
        <v>11.631600000000001</v>
      </c>
      <c r="H3458" s="211">
        <f t="shared" si="87"/>
        <v>9.31</v>
      </c>
    </row>
    <row r="3459" spans="1:8" s="201" customFormat="1">
      <c r="A3459" s="582"/>
      <c r="B3459" s="582"/>
      <c r="C3459" s="212"/>
      <c r="D3459" s="719" t="s">
        <v>127</v>
      </c>
      <c r="E3459" s="719"/>
      <c r="F3459" s="719"/>
      <c r="G3459" s="719"/>
      <c r="H3459" s="638">
        <f>SUMIF(F3453:F3458,("h"),H3453:H3458)</f>
        <v>21.93</v>
      </c>
    </row>
    <row r="3460" spans="1:8" s="201" customFormat="1">
      <c r="A3460" s="582"/>
      <c r="B3460" s="582"/>
      <c r="C3460" s="212"/>
      <c r="D3460" s="719" t="s">
        <v>128</v>
      </c>
      <c r="E3460" s="719"/>
      <c r="F3460" s="719"/>
      <c r="G3460" s="719"/>
      <c r="H3460" s="638">
        <f>SUMIF(F3453:F3458,"&lt;&gt;h",H3453:H3458)</f>
        <v>170.07</v>
      </c>
    </row>
    <row r="3461" spans="1:8" s="201" customFormat="1">
      <c r="A3461" s="582"/>
      <c r="B3461" s="582"/>
      <c r="C3461" s="212"/>
      <c r="D3461" s="718" t="s">
        <v>129</v>
      </c>
      <c r="E3461" s="718"/>
      <c r="F3461" s="718"/>
      <c r="G3461" s="718"/>
      <c r="H3461" s="213">
        <f>SUM(H3459:H3460)</f>
        <v>192</v>
      </c>
    </row>
    <row r="3462" spans="1:8" s="201" customFormat="1">
      <c r="A3462" s="582"/>
      <c r="B3462" s="582"/>
      <c r="C3462" s="212"/>
      <c r="D3462" s="719" t="s">
        <v>28</v>
      </c>
      <c r="E3462" s="719"/>
      <c r="F3462" s="719"/>
      <c r="G3462" s="719"/>
      <c r="H3462" s="639">
        <f>E3452</f>
        <v>35</v>
      </c>
    </row>
    <row r="3463" spans="1:8" s="201" customFormat="1">
      <c r="A3463" s="582"/>
      <c r="B3463" s="582"/>
      <c r="C3463" s="212"/>
      <c r="D3463" s="718" t="s">
        <v>130</v>
      </c>
      <c r="E3463" s="718"/>
      <c r="F3463" s="718"/>
      <c r="G3463" s="718"/>
      <c r="H3463" s="213">
        <f>ROUND(H3461*H3462,2)</f>
        <v>6720</v>
      </c>
    </row>
    <row r="3464" spans="1:8" s="201" customFormat="1">
      <c r="A3464" s="582"/>
      <c r="B3464" s="582"/>
      <c r="C3464" s="212"/>
      <c r="D3464" s="719" t="s">
        <v>15559</v>
      </c>
      <c r="E3464" s="719"/>
      <c r="F3464" s="719"/>
      <c r="G3464" s="719"/>
      <c r="H3464" s="638">
        <f>ROUND(H3461*$B$13,2)</f>
        <v>51.71</v>
      </c>
    </row>
    <row r="3465" spans="1:8">
      <c r="A3465" s="582"/>
      <c r="B3465" s="582"/>
      <c r="C3465" s="212"/>
      <c r="D3465" s="718" t="s">
        <v>9661</v>
      </c>
      <c r="E3465" s="718"/>
      <c r="F3465" s="718"/>
      <c r="G3465" s="718"/>
      <c r="H3465" s="213">
        <f>H3464+H3461</f>
        <v>243.71</v>
      </c>
    </row>
    <row r="3467" spans="1:8" s="201" customFormat="1">
      <c r="A3467" s="123" t="s">
        <v>6</v>
      </c>
      <c r="B3467" s="720" t="s">
        <v>7</v>
      </c>
      <c r="C3467" s="720"/>
      <c r="D3467" s="202" t="s">
        <v>124</v>
      </c>
      <c r="E3467" s="167" t="s">
        <v>6334</v>
      </c>
      <c r="F3467" s="202" t="s">
        <v>31</v>
      </c>
      <c r="G3467" s="203" t="s">
        <v>125</v>
      </c>
      <c r="H3467" s="204" t="s">
        <v>126</v>
      </c>
    </row>
    <row r="3468" spans="1:8" s="208" customFormat="1" ht="120">
      <c r="A3468" s="581" t="str">
        <f>'Orç - Prédio'!A533</f>
        <v>06.01.401.07</v>
      </c>
      <c r="B3468" s="216" t="str">
        <f>'Orç - Prédio'!B533</f>
        <v>SINAPI</v>
      </c>
      <c r="C3468" s="216" t="str">
        <f>'Orç - Prédio'!C533</f>
        <v>97608 MOD</v>
      </c>
      <c r="D3468" s="217" t="s">
        <v>7300</v>
      </c>
      <c r="E3468" s="206">
        <v>8</v>
      </c>
      <c r="F3468" s="216" t="s">
        <v>6337</v>
      </c>
      <c r="G3468" s="207">
        <f>VLOOKUP("CUSTO TOTAL UNIT.:",D3469:$H$30004,5,FALSE)</f>
        <v>52.56</v>
      </c>
      <c r="H3468" s="637">
        <f>VLOOKUP("CUSTO TOTAL:",D3469:$H$30004,5,FALSE)</f>
        <v>420.48</v>
      </c>
    </row>
    <row r="3469" spans="1:8" s="124" customFormat="1" ht="30">
      <c r="A3469" s="721">
        <v>38780</v>
      </c>
      <c r="B3469" s="721"/>
      <c r="C3469" s="200" t="s">
        <v>5256</v>
      </c>
      <c r="D3469" s="139" t="s">
        <v>12502</v>
      </c>
      <c r="E3469" s="209">
        <v>1</v>
      </c>
      <c r="F3469" s="577" t="s">
        <v>40</v>
      </c>
      <c r="G3469" s="210">
        <v>9.1854000000000013</v>
      </c>
      <c r="H3469" s="211">
        <f>ROUND(G3469*E3469,2)</f>
        <v>9.19</v>
      </c>
    </row>
    <row r="3470" spans="1:8" s="124" customFormat="1" ht="60">
      <c r="A3470" s="721">
        <v>38775</v>
      </c>
      <c r="B3470" s="721"/>
      <c r="C3470" s="200" t="s">
        <v>5256</v>
      </c>
      <c r="D3470" s="139" t="s">
        <v>12620</v>
      </c>
      <c r="E3470" s="209">
        <v>1</v>
      </c>
      <c r="F3470" s="577" t="s">
        <v>40</v>
      </c>
      <c r="G3470" s="210">
        <v>31.800599999999999</v>
      </c>
      <c r="H3470" s="211">
        <f>ROUND(G3470*E3470,2)</f>
        <v>31.8</v>
      </c>
    </row>
    <row r="3471" spans="1:8" s="124" customFormat="1" ht="30">
      <c r="A3471" s="721">
        <v>88264</v>
      </c>
      <c r="B3471" s="721"/>
      <c r="C3471" s="200" t="s">
        <v>5256</v>
      </c>
      <c r="D3471" s="139" t="s">
        <v>84</v>
      </c>
      <c r="E3471" s="209">
        <v>0.55179999999999996</v>
      </c>
      <c r="F3471" s="577" t="s">
        <v>67</v>
      </c>
      <c r="G3471" s="210">
        <v>15.778800000000002</v>
      </c>
      <c r="H3471" s="211">
        <f>ROUND(G3471*E3471,2)</f>
        <v>8.7100000000000009</v>
      </c>
    </row>
    <row r="3472" spans="1:8" s="124" customFormat="1" ht="30">
      <c r="A3472" s="721">
        <v>88247</v>
      </c>
      <c r="B3472" s="721"/>
      <c r="C3472" s="200" t="s">
        <v>5256</v>
      </c>
      <c r="D3472" s="139" t="s">
        <v>74</v>
      </c>
      <c r="E3472" s="209">
        <v>0.22989999999999999</v>
      </c>
      <c r="F3472" s="577" t="s">
        <v>67</v>
      </c>
      <c r="G3472" s="210">
        <v>12.425400000000002</v>
      </c>
      <c r="H3472" s="211">
        <f>ROUND(G3472*E3472,2)</f>
        <v>2.86</v>
      </c>
    </row>
    <row r="3473" spans="1:8" s="201" customFormat="1">
      <c r="A3473" s="582"/>
      <c r="B3473" s="582"/>
      <c r="C3473" s="212"/>
      <c r="D3473" s="719" t="s">
        <v>127</v>
      </c>
      <c r="E3473" s="719"/>
      <c r="F3473" s="719"/>
      <c r="G3473" s="719"/>
      <c r="H3473" s="638">
        <f>SUMIF(F3469:F3472,("h"),H3469:H3472)</f>
        <v>11.57</v>
      </c>
    </row>
    <row r="3474" spans="1:8" s="201" customFormat="1">
      <c r="A3474" s="582"/>
      <c r="B3474" s="582"/>
      <c r="C3474" s="212"/>
      <c r="D3474" s="719" t="s">
        <v>128</v>
      </c>
      <c r="E3474" s="719"/>
      <c r="F3474" s="719"/>
      <c r="G3474" s="719"/>
      <c r="H3474" s="638">
        <f>SUMIF(F3469:F3472,"&lt;&gt;h",H3469:H3472)</f>
        <v>40.99</v>
      </c>
    </row>
    <row r="3475" spans="1:8" s="201" customFormat="1">
      <c r="A3475" s="582"/>
      <c r="B3475" s="582"/>
      <c r="C3475" s="212"/>
      <c r="D3475" s="718" t="s">
        <v>129</v>
      </c>
      <c r="E3475" s="718"/>
      <c r="F3475" s="718"/>
      <c r="G3475" s="718"/>
      <c r="H3475" s="213">
        <f>SUM(H3473:H3474)</f>
        <v>52.56</v>
      </c>
    </row>
    <row r="3476" spans="1:8" s="201" customFormat="1">
      <c r="A3476" s="582"/>
      <c r="B3476" s="582"/>
      <c r="C3476" s="212"/>
      <c r="D3476" s="719" t="s">
        <v>28</v>
      </c>
      <c r="E3476" s="719"/>
      <c r="F3476" s="719"/>
      <c r="G3476" s="719"/>
      <c r="H3476" s="639">
        <f>E3468</f>
        <v>8</v>
      </c>
    </row>
    <row r="3477" spans="1:8" s="201" customFormat="1">
      <c r="A3477" s="582"/>
      <c r="B3477" s="582"/>
      <c r="C3477" s="212"/>
      <c r="D3477" s="718" t="s">
        <v>130</v>
      </c>
      <c r="E3477" s="718"/>
      <c r="F3477" s="718"/>
      <c r="G3477" s="718"/>
      <c r="H3477" s="213">
        <f>ROUND(H3475*H3476,2)</f>
        <v>420.48</v>
      </c>
    </row>
    <row r="3478" spans="1:8" s="201" customFormat="1">
      <c r="A3478" s="582"/>
      <c r="B3478" s="582"/>
      <c r="C3478" s="212"/>
      <c r="D3478" s="719" t="s">
        <v>15559</v>
      </c>
      <c r="E3478" s="719"/>
      <c r="F3478" s="719"/>
      <c r="G3478" s="719"/>
      <c r="H3478" s="638">
        <f>ROUND(H3475*$B$13,2)</f>
        <v>14.15</v>
      </c>
    </row>
    <row r="3479" spans="1:8">
      <c r="A3479" s="582"/>
      <c r="B3479" s="582"/>
      <c r="C3479" s="212"/>
      <c r="D3479" s="718" t="s">
        <v>9661</v>
      </c>
      <c r="E3479" s="718"/>
      <c r="F3479" s="718"/>
      <c r="G3479" s="718"/>
      <c r="H3479" s="213">
        <f>H3478+H3475</f>
        <v>66.710000000000008</v>
      </c>
    </row>
    <row r="3481" spans="1:8" s="201" customFormat="1">
      <c r="A3481" s="123" t="s">
        <v>6</v>
      </c>
      <c r="B3481" s="720" t="s">
        <v>7</v>
      </c>
      <c r="C3481" s="720"/>
      <c r="D3481" s="202" t="s">
        <v>124</v>
      </c>
      <c r="E3481" s="167" t="s">
        <v>6334</v>
      </c>
      <c r="F3481" s="202" t="s">
        <v>31</v>
      </c>
      <c r="G3481" s="203" t="s">
        <v>125</v>
      </c>
      <c r="H3481" s="204" t="s">
        <v>126</v>
      </c>
    </row>
    <row r="3482" spans="1:8" s="208" customFormat="1" ht="105">
      <c r="A3482" s="581" t="str">
        <f>'Orç - Prédio'!A534</f>
        <v>06.01.401.08</v>
      </c>
      <c r="B3482" s="216" t="str">
        <f>'Orç - Prédio'!B534</f>
        <v>CPOS</v>
      </c>
      <c r="C3482" s="216" t="str">
        <f>'Orç - Prédio'!C534</f>
        <v>VEG 41.14.310</v>
      </c>
      <c r="D3482" s="217" t="s">
        <v>7301</v>
      </c>
      <c r="E3482" s="206">
        <v>6</v>
      </c>
      <c r="F3482" s="216" t="s">
        <v>6337</v>
      </c>
      <c r="G3482" s="207">
        <f>VLOOKUP("CUSTO TOTAL UNIT.:",D3483:$H$30004,5,FALSE)</f>
        <v>89.01</v>
      </c>
      <c r="H3482" s="637">
        <f>VLOOKUP("CUSTO TOTAL:",D3483:$H$30004,5,FALSE)</f>
        <v>534.05999999999995</v>
      </c>
    </row>
    <row r="3483" spans="1:8" s="124" customFormat="1" ht="45">
      <c r="A3483" s="721" t="s">
        <v>7329</v>
      </c>
      <c r="B3483" s="721"/>
      <c r="C3483" s="184" t="s">
        <v>6753</v>
      </c>
      <c r="D3483" s="185" t="s">
        <v>7330</v>
      </c>
      <c r="E3483" s="209">
        <v>1</v>
      </c>
      <c r="F3483" s="577" t="s">
        <v>31</v>
      </c>
      <c r="G3483" s="174">
        <v>65.2941</v>
      </c>
      <c r="H3483" s="211">
        <f>ROUND(G3483*E3483,2)</f>
        <v>65.290000000000006</v>
      </c>
    </row>
    <row r="3484" spans="1:8" s="124" customFormat="1" ht="30">
      <c r="A3484" s="721">
        <v>20111</v>
      </c>
      <c r="B3484" s="721"/>
      <c r="C3484" s="200" t="s">
        <v>5256</v>
      </c>
      <c r="D3484" s="139" t="s">
        <v>11951</v>
      </c>
      <c r="E3484" s="209">
        <v>0.01</v>
      </c>
      <c r="F3484" s="577" t="s">
        <v>40</v>
      </c>
      <c r="G3484" s="210">
        <v>8.8613999999999997</v>
      </c>
      <c r="H3484" s="211">
        <f>ROUND(G3484*E3484,2)</f>
        <v>0.09</v>
      </c>
    </row>
    <row r="3485" spans="1:8" s="124" customFormat="1" ht="30">
      <c r="A3485" s="721">
        <v>38780</v>
      </c>
      <c r="B3485" s="721"/>
      <c r="C3485" s="200" t="s">
        <v>5256</v>
      </c>
      <c r="D3485" s="139" t="s">
        <v>12502</v>
      </c>
      <c r="E3485" s="209">
        <v>1</v>
      </c>
      <c r="F3485" s="577" t="s">
        <v>40</v>
      </c>
      <c r="G3485" s="210">
        <v>9.1854000000000013</v>
      </c>
      <c r="H3485" s="211">
        <f>ROUND(G3485*E3485,2)</f>
        <v>9.19</v>
      </c>
    </row>
    <row r="3486" spans="1:8" s="124" customFormat="1" ht="30">
      <c r="A3486" s="721">
        <v>88264</v>
      </c>
      <c r="B3486" s="721"/>
      <c r="C3486" s="200" t="s">
        <v>5256</v>
      </c>
      <c r="D3486" s="139" t="s">
        <v>84</v>
      </c>
      <c r="E3486" s="209">
        <v>0.6</v>
      </c>
      <c r="F3486" s="577" t="s">
        <v>67</v>
      </c>
      <c r="G3486" s="210">
        <v>15.778800000000002</v>
      </c>
      <c r="H3486" s="211">
        <f>ROUND(G3486*E3486,2)</f>
        <v>9.4700000000000006</v>
      </c>
    </row>
    <row r="3487" spans="1:8" s="124" customFormat="1" ht="30">
      <c r="A3487" s="721">
        <v>88247</v>
      </c>
      <c r="B3487" s="721"/>
      <c r="C3487" s="200" t="s">
        <v>5256</v>
      </c>
      <c r="D3487" s="139" t="s">
        <v>74</v>
      </c>
      <c r="E3487" s="209">
        <v>0.4</v>
      </c>
      <c r="F3487" s="577" t="s">
        <v>67</v>
      </c>
      <c r="G3487" s="210">
        <v>12.425400000000002</v>
      </c>
      <c r="H3487" s="211">
        <f>ROUND(G3487*E3487,2)</f>
        <v>4.97</v>
      </c>
    </row>
    <row r="3488" spans="1:8" s="201" customFormat="1">
      <c r="A3488" s="582"/>
      <c r="B3488" s="582"/>
      <c r="C3488" s="212"/>
      <c r="D3488" s="719" t="s">
        <v>127</v>
      </c>
      <c r="E3488" s="719"/>
      <c r="F3488" s="719"/>
      <c r="G3488" s="719"/>
      <c r="H3488" s="638">
        <f>SUMIF(F3483:F3487,("h"),H3483:H3487)</f>
        <v>14.440000000000001</v>
      </c>
    </row>
    <row r="3489" spans="1:8" s="201" customFormat="1">
      <c r="A3489" s="582"/>
      <c r="B3489" s="582"/>
      <c r="C3489" s="212"/>
      <c r="D3489" s="719" t="s">
        <v>128</v>
      </c>
      <c r="E3489" s="719"/>
      <c r="F3489" s="719"/>
      <c r="G3489" s="719"/>
      <c r="H3489" s="638">
        <f>SUMIF(F3483:F3487,"&lt;&gt;h",H3483:H3487)</f>
        <v>74.570000000000007</v>
      </c>
    </row>
    <row r="3490" spans="1:8" s="201" customFormat="1">
      <c r="A3490" s="582"/>
      <c r="B3490" s="582"/>
      <c r="C3490" s="212"/>
      <c r="D3490" s="718" t="s">
        <v>129</v>
      </c>
      <c r="E3490" s="718"/>
      <c r="F3490" s="718"/>
      <c r="G3490" s="718"/>
      <c r="H3490" s="213">
        <f>SUM(H3488:H3489)</f>
        <v>89.01</v>
      </c>
    </row>
    <row r="3491" spans="1:8" s="201" customFormat="1">
      <c r="A3491" s="582"/>
      <c r="B3491" s="582"/>
      <c r="C3491" s="212"/>
      <c r="D3491" s="719" t="s">
        <v>28</v>
      </c>
      <c r="E3491" s="719"/>
      <c r="F3491" s="719"/>
      <c r="G3491" s="719"/>
      <c r="H3491" s="639">
        <f>E3482</f>
        <v>6</v>
      </c>
    </row>
    <row r="3492" spans="1:8" s="201" customFormat="1">
      <c r="A3492" s="582"/>
      <c r="B3492" s="582"/>
      <c r="C3492" s="212"/>
      <c r="D3492" s="718" t="s">
        <v>130</v>
      </c>
      <c r="E3492" s="718"/>
      <c r="F3492" s="718"/>
      <c r="G3492" s="718"/>
      <c r="H3492" s="213">
        <f>ROUND(H3490*H3491,2)</f>
        <v>534.05999999999995</v>
      </c>
    </row>
    <row r="3493" spans="1:8" s="201" customFormat="1">
      <c r="A3493" s="582"/>
      <c r="B3493" s="582"/>
      <c r="C3493" s="212"/>
      <c r="D3493" s="719" t="s">
        <v>15559</v>
      </c>
      <c r="E3493" s="719"/>
      <c r="F3493" s="719"/>
      <c r="G3493" s="719"/>
      <c r="H3493" s="638">
        <f>ROUND(H3490*$B$13,2)</f>
        <v>23.97</v>
      </c>
    </row>
    <row r="3494" spans="1:8">
      <c r="A3494" s="582"/>
      <c r="B3494" s="582"/>
      <c r="C3494" s="212"/>
      <c r="D3494" s="718" t="s">
        <v>9661</v>
      </c>
      <c r="E3494" s="718"/>
      <c r="F3494" s="718"/>
      <c r="G3494" s="718"/>
      <c r="H3494" s="213">
        <f>H3493+H3490</f>
        <v>112.98</v>
      </c>
    </row>
    <row r="3496" spans="1:8" s="201" customFormat="1">
      <c r="A3496" s="123" t="s">
        <v>6</v>
      </c>
      <c r="B3496" s="720" t="s">
        <v>7</v>
      </c>
      <c r="C3496" s="720"/>
      <c r="D3496" s="202" t="s">
        <v>124</v>
      </c>
      <c r="E3496" s="167" t="s">
        <v>6334</v>
      </c>
      <c r="F3496" s="202" t="s">
        <v>31</v>
      </c>
      <c r="G3496" s="203" t="s">
        <v>125</v>
      </c>
      <c r="H3496" s="204" t="s">
        <v>126</v>
      </c>
    </row>
    <row r="3497" spans="1:8" s="208" customFormat="1" ht="75">
      <c r="A3497" s="581" t="str">
        <f>'Orç - Prédio'!A535</f>
        <v>06.01.401.09</v>
      </c>
      <c r="B3497" s="216" t="str">
        <f>'Orç - Prédio'!B535</f>
        <v>CPOS</v>
      </c>
      <c r="C3497" s="216" t="str">
        <f>'Orç - Prédio'!C535</f>
        <v>41.14.020</v>
      </c>
      <c r="D3497" s="217" t="s">
        <v>7302</v>
      </c>
      <c r="E3497" s="206">
        <v>11</v>
      </c>
      <c r="F3497" s="216" t="s">
        <v>6337</v>
      </c>
      <c r="G3497" s="207">
        <f>VLOOKUP("CUSTO TOTAL UNIT.:",D3498:$H$30004,5,FALSE)</f>
        <v>166.54</v>
      </c>
      <c r="H3497" s="637">
        <f>VLOOKUP("CUSTO TOTAL:",D3498:$H$30004,5,FALSE)</f>
        <v>1831.94</v>
      </c>
    </row>
    <row r="3498" spans="1:8" s="124" customFormat="1" ht="60">
      <c r="A3498" s="721" t="s">
        <v>7333</v>
      </c>
      <c r="B3498" s="721"/>
      <c r="C3498" s="184" t="s">
        <v>6753</v>
      </c>
      <c r="D3498" s="185" t="s">
        <v>7334</v>
      </c>
      <c r="E3498" s="209">
        <v>1</v>
      </c>
      <c r="F3498" s="577" t="s">
        <v>31</v>
      </c>
      <c r="G3498" s="174">
        <v>111.13200000000001</v>
      </c>
      <c r="H3498" s="211">
        <f t="shared" ref="H3498:H3503" si="88">ROUND(G3498*E3498,2)</f>
        <v>111.13</v>
      </c>
    </row>
    <row r="3499" spans="1:8" s="124" customFormat="1" ht="30">
      <c r="A3499" s="721">
        <v>20111</v>
      </c>
      <c r="B3499" s="721"/>
      <c r="C3499" s="200" t="s">
        <v>5256</v>
      </c>
      <c r="D3499" s="139" t="s">
        <v>11951</v>
      </c>
      <c r="E3499" s="209">
        <v>0.01</v>
      </c>
      <c r="F3499" s="577" t="s">
        <v>40</v>
      </c>
      <c r="G3499" s="210">
        <v>8.8613999999999997</v>
      </c>
      <c r="H3499" s="211">
        <f t="shared" si="88"/>
        <v>0.09</v>
      </c>
    </row>
    <row r="3500" spans="1:8" s="124" customFormat="1" ht="30">
      <c r="A3500" s="721">
        <v>38782</v>
      </c>
      <c r="B3500" s="721"/>
      <c r="C3500" s="200" t="s">
        <v>5256</v>
      </c>
      <c r="D3500" s="139" t="s">
        <v>12506</v>
      </c>
      <c r="E3500" s="209">
        <v>2</v>
      </c>
      <c r="F3500" s="577" t="s">
        <v>40</v>
      </c>
      <c r="G3500" s="210">
        <v>6.3909000000000002</v>
      </c>
      <c r="H3500" s="211">
        <f t="shared" si="88"/>
        <v>12.78</v>
      </c>
    </row>
    <row r="3501" spans="1:8" s="124" customFormat="1" ht="30">
      <c r="A3501" s="721">
        <v>38777</v>
      </c>
      <c r="B3501" s="721"/>
      <c r="C3501" s="200" t="s">
        <v>5256</v>
      </c>
      <c r="D3501" s="139" t="s">
        <v>13668</v>
      </c>
      <c r="E3501" s="209">
        <v>1</v>
      </c>
      <c r="F3501" s="577" t="s">
        <v>40</v>
      </c>
      <c r="G3501" s="210">
        <v>28.0989</v>
      </c>
      <c r="H3501" s="211">
        <f t="shared" si="88"/>
        <v>28.1</v>
      </c>
    </row>
    <row r="3502" spans="1:8" s="124" customFormat="1" ht="30">
      <c r="A3502" s="721">
        <v>88264</v>
      </c>
      <c r="B3502" s="721"/>
      <c r="C3502" s="200" t="s">
        <v>5256</v>
      </c>
      <c r="D3502" s="139" t="s">
        <v>84</v>
      </c>
      <c r="E3502" s="209">
        <v>0.6</v>
      </c>
      <c r="F3502" s="577" t="s">
        <v>67</v>
      </c>
      <c r="G3502" s="210">
        <v>15.778800000000002</v>
      </c>
      <c r="H3502" s="211">
        <f t="shared" si="88"/>
        <v>9.4700000000000006</v>
      </c>
    </row>
    <row r="3503" spans="1:8" s="124" customFormat="1" ht="30">
      <c r="A3503" s="721">
        <v>88247</v>
      </c>
      <c r="B3503" s="721"/>
      <c r="C3503" s="200" t="s">
        <v>5256</v>
      </c>
      <c r="D3503" s="139" t="s">
        <v>74</v>
      </c>
      <c r="E3503" s="209">
        <v>0.4</v>
      </c>
      <c r="F3503" s="577" t="s">
        <v>67</v>
      </c>
      <c r="G3503" s="210">
        <v>12.425400000000002</v>
      </c>
      <c r="H3503" s="211">
        <f t="shared" si="88"/>
        <v>4.97</v>
      </c>
    </row>
    <row r="3504" spans="1:8" s="201" customFormat="1">
      <c r="A3504" s="582"/>
      <c r="B3504" s="582"/>
      <c r="C3504" s="212"/>
      <c r="D3504" s="719" t="s">
        <v>127</v>
      </c>
      <c r="E3504" s="719"/>
      <c r="F3504" s="719"/>
      <c r="G3504" s="719"/>
      <c r="H3504" s="638">
        <f>SUMIF(F3498:F3503,("h"),H3498:H3503)</f>
        <v>14.440000000000001</v>
      </c>
    </row>
    <row r="3505" spans="1:8" s="201" customFormat="1">
      <c r="A3505" s="582"/>
      <c r="B3505" s="582"/>
      <c r="C3505" s="212"/>
      <c r="D3505" s="719" t="s">
        <v>128</v>
      </c>
      <c r="E3505" s="719"/>
      <c r="F3505" s="719"/>
      <c r="G3505" s="719"/>
      <c r="H3505" s="638">
        <f>SUMIF(F3498:F3503,"&lt;&gt;h",H3498:H3503)</f>
        <v>152.1</v>
      </c>
    </row>
    <row r="3506" spans="1:8" s="201" customFormat="1">
      <c r="A3506" s="582"/>
      <c r="B3506" s="582"/>
      <c r="C3506" s="212"/>
      <c r="D3506" s="718" t="s">
        <v>129</v>
      </c>
      <c r="E3506" s="718"/>
      <c r="F3506" s="718"/>
      <c r="G3506" s="718"/>
      <c r="H3506" s="213">
        <f>SUM(H3504:H3505)</f>
        <v>166.54</v>
      </c>
    </row>
    <row r="3507" spans="1:8" s="201" customFormat="1">
      <c r="A3507" s="582"/>
      <c r="B3507" s="582"/>
      <c r="C3507" s="212"/>
      <c r="D3507" s="719" t="s">
        <v>28</v>
      </c>
      <c r="E3507" s="719"/>
      <c r="F3507" s="719"/>
      <c r="G3507" s="719"/>
      <c r="H3507" s="639">
        <f>E3497</f>
        <v>11</v>
      </c>
    </row>
    <row r="3508" spans="1:8" s="201" customFormat="1">
      <c r="A3508" s="582"/>
      <c r="B3508" s="582"/>
      <c r="C3508" s="212"/>
      <c r="D3508" s="718" t="s">
        <v>130</v>
      </c>
      <c r="E3508" s="718"/>
      <c r="F3508" s="718"/>
      <c r="G3508" s="718"/>
      <c r="H3508" s="213">
        <f>ROUND(H3506*H3507,2)</f>
        <v>1831.94</v>
      </c>
    </row>
    <row r="3509" spans="1:8" s="201" customFormat="1">
      <c r="A3509" s="582"/>
      <c r="B3509" s="582"/>
      <c r="C3509" s="212"/>
      <c r="D3509" s="719" t="s">
        <v>15559</v>
      </c>
      <c r="E3509" s="719"/>
      <c r="F3509" s="719"/>
      <c r="G3509" s="719"/>
      <c r="H3509" s="638">
        <f>ROUND(H3506*$B$13,2)</f>
        <v>44.85</v>
      </c>
    </row>
    <row r="3510" spans="1:8">
      <c r="A3510" s="582"/>
      <c r="B3510" s="582"/>
      <c r="C3510" s="212"/>
      <c r="D3510" s="718" t="s">
        <v>9661</v>
      </c>
      <c r="E3510" s="718"/>
      <c r="F3510" s="718"/>
      <c r="G3510" s="718"/>
      <c r="H3510" s="213">
        <f>H3509+H3506</f>
        <v>211.39</v>
      </c>
    </row>
    <row r="3512" spans="1:8" s="201" customFormat="1">
      <c r="A3512" s="123" t="s">
        <v>6</v>
      </c>
      <c r="B3512" s="720" t="s">
        <v>7</v>
      </c>
      <c r="C3512" s="720"/>
      <c r="D3512" s="202" t="s">
        <v>124</v>
      </c>
      <c r="E3512" s="167" t="s">
        <v>6334</v>
      </c>
      <c r="F3512" s="202" t="s">
        <v>31</v>
      </c>
      <c r="G3512" s="203" t="s">
        <v>125</v>
      </c>
      <c r="H3512" s="204" t="s">
        <v>126</v>
      </c>
    </row>
    <row r="3513" spans="1:8" s="208" customFormat="1" ht="90">
      <c r="A3513" s="581" t="str">
        <f>'Orç - Prédio'!A536</f>
        <v>06.01.401.10</v>
      </c>
      <c r="B3513" s="216" t="str">
        <f>'Orç - Prédio'!B536</f>
        <v>CPOS</v>
      </c>
      <c r="C3513" s="216" t="str">
        <f>'Orç - Prédio'!C536</f>
        <v>41.14.020</v>
      </c>
      <c r="D3513" s="217" t="s">
        <v>7303</v>
      </c>
      <c r="E3513" s="206">
        <v>2</v>
      </c>
      <c r="F3513" s="216" t="s">
        <v>6337</v>
      </c>
      <c r="G3513" s="207">
        <f>VLOOKUP("CUSTO TOTAL UNIT.:",D3514:$H$30004,5,FALSE)</f>
        <v>166.54</v>
      </c>
      <c r="H3513" s="637">
        <f>VLOOKUP("CUSTO TOTAL:",D3514:$H$30004,5,FALSE)</f>
        <v>333.08</v>
      </c>
    </row>
    <row r="3514" spans="1:8" s="124" customFormat="1" ht="60">
      <c r="A3514" s="721" t="s">
        <v>7333</v>
      </c>
      <c r="B3514" s="721"/>
      <c r="C3514" s="184" t="s">
        <v>6753</v>
      </c>
      <c r="D3514" s="185" t="s">
        <v>7334</v>
      </c>
      <c r="E3514" s="209">
        <v>1</v>
      </c>
      <c r="F3514" s="577" t="s">
        <v>31</v>
      </c>
      <c r="G3514" s="174">
        <v>111.13200000000001</v>
      </c>
      <c r="H3514" s="211">
        <f t="shared" ref="H3514:H3519" si="89">ROUND(G3514*E3514,2)</f>
        <v>111.13</v>
      </c>
    </row>
    <row r="3515" spans="1:8" s="124" customFormat="1" ht="30">
      <c r="A3515" s="721">
        <v>20111</v>
      </c>
      <c r="B3515" s="721"/>
      <c r="C3515" s="200" t="s">
        <v>5256</v>
      </c>
      <c r="D3515" s="139" t="s">
        <v>11951</v>
      </c>
      <c r="E3515" s="209">
        <v>0.01</v>
      </c>
      <c r="F3515" s="577" t="s">
        <v>40</v>
      </c>
      <c r="G3515" s="210">
        <v>8.8613999999999997</v>
      </c>
      <c r="H3515" s="211">
        <f t="shared" si="89"/>
        <v>0.09</v>
      </c>
    </row>
    <row r="3516" spans="1:8" s="124" customFormat="1" ht="30">
      <c r="A3516" s="721">
        <v>38782</v>
      </c>
      <c r="B3516" s="721"/>
      <c r="C3516" s="200" t="s">
        <v>5256</v>
      </c>
      <c r="D3516" s="139" t="s">
        <v>12506</v>
      </c>
      <c r="E3516" s="209">
        <v>2</v>
      </c>
      <c r="F3516" s="577" t="s">
        <v>40</v>
      </c>
      <c r="G3516" s="210">
        <v>6.3909000000000002</v>
      </c>
      <c r="H3516" s="211">
        <f t="shared" si="89"/>
        <v>12.78</v>
      </c>
    </row>
    <row r="3517" spans="1:8" s="124" customFormat="1" ht="30">
      <c r="A3517" s="721">
        <v>38777</v>
      </c>
      <c r="B3517" s="721"/>
      <c r="C3517" s="200" t="s">
        <v>5256</v>
      </c>
      <c r="D3517" s="139" t="s">
        <v>13668</v>
      </c>
      <c r="E3517" s="209">
        <v>1</v>
      </c>
      <c r="F3517" s="577" t="s">
        <v>40</v>
      </c>
      <c r="G3517" s="210">
        <v>28.0989</v>
      </c>
      <c r="H3517" s="211">
        <f t="shared" si="89"/>
        <v>28.1</v>
      </c>
    </row>
    <row r="3518" spans="1:8" s="124" customFormat="1" ht="30">
      <c r="A3518" s="721">
        <v>88264</v>
      </c>
      <c r="B3518" s="721"/>
      <c r="C3518" s="200" t="s">
        <v>5256</v>
      </c>
      <c r="D3518" s="139" t="s">
        <v>84</v>
      </c>
      <c r="E3518" s="209">
        <v>0.6</v>
      </c>
      <c r="F3518" s="577" t="s">
        <v>67</v>
      </c>
      <c r="G3518" s="210">
        <v>15.778800000000002</v>
      </c>
      <c r="H3518" s="211">
        <f t="shared" si="89"/>
        <v>9.4700000000000006</v>
      </c>
    </row>
    <row r="3519" spans="1:8" s="124" customFormat="1" ht="30">
      <c r="A3519" s="721">
        <v>88247</v>
      </c>
      <c r="B3519" s="721"/>
      <c r="C3519" s="200" t="s">
        <v>5256</v>
      </c>
      <c r="D3519" s="139" t="s">
        <v>74</v>
      </c>
      <c r="E3519" s="209">
        <v>0.4</v>
      </c>
      <c r="F3519" s="577" t="s">
        <v>67</v>
      </c>
      <c r="G3519" s="210">
        <v>12.425400000000002</v>
      </c>
      <c r="H3519" s="211">
        <f t="shared" si="89"/>
        <v>4.97</v>
      </c>
    </row>
    <row r="3520" spans="1:8" s="201" customFormat="1">
      <c r="A3520" s="582"/>
      <c r="B3520" s="582"/>
      <c r="C3520" s="212"/>
      <c r="D3520" s="719" t="s">
        <v>127</v>
      </c>
      <c r="E3520" s="719"/>
      <c r="F3520" s="719"/>
      <c r="G3520" s="719"/>
      <c r="H3520" s="638">
        <f>SUMIF(F3514:F3519,("h"),H3514:H3519)</f>
        <v>14.440000000000001</v>
      </c>
    </row>
    <row r="3521" spans="1:8" s="201" customFormat="1">
      <c r="A3521" s="582"/>
      <c r="B3521" s="582"/>
      <c r="C3521" s="212"/>
      <c r="D3521" s="719" t="s">
        <v>128</v>
      </c>
      <c r="E3521" s="719"/>
      <c r="F3521" s="719"/>
      <c r="G3521" s="719"/>
      <c r="H3521" s="638">
        <f>SUMIF(F3514:F3519,"&lt;&gt;h",H3514:H3519)</f>
        <v>152.1</v>
      </c>
    </row>
    <row r="3522" spans="1:8" s="201" customFormat="1">
      <c r="A3522" s="582"/>
      <c r="B3522" s="582"/>
      <c r="C3522" s="212"/>
      <c r="D3522" s="718" t="s">
        <v>129</v>
      </c>
      <c r="E3522" s="718"/>
      <c r="F3522" s="718"/>
      <c r="G3522" s="718"/>
      <c r="H3522" s="213">
        <f>SUM(H3520:H3521)</f>
        <v>166.54</v>
      </c>
    </row>
    <row r="3523" spans="1:8" s="201" customFormat="1">
      <c r="A3523" s="582"/>
      <c r="B3523" s="582"/>
      <c r="C3523" s="212"/>
      <c r="D3523" s="719" t="s">
        <v>28</v>
      </c>
      <c r="E3523" s="719"/>
      <c r="F3523" s="719"/>
      <c r="G3523" s="719"/>
      <c r="H3523" s="639">
        <f>E3513</f>
        <v>2</v>
      </c>
    </row>
    <row r="3524" spans="1:8" s="201" customFormat="1">
      <c r="A3524" s="582"/>
      <c r="B3524" s="582"/>
      <c r="C3524" s="212"/>
      <c r="D3524" s="718" t="s">
        <v>130</v>
      </c>
      <c r="E3524" s="718"/>
      <c r="F3524" s="718"/>
      <c r="G3524" s="718"/>
      <c r="H3524" s="213">
        <f>ROUND(H3522*H3523,2)</f>
        <v>333.08</v>
      </c>
    </row>
    <row r="3525" spans="1:8" s="201" customFormat="1">
      <c r="A3525" s="582"/>
      <c r="B3525" s="582"/>
      <c r="C3525" s="212"/>
      <c r="D3525" s="719" t="s">
        <v>15559</v>
      </c>
      <c r="E3525" s="719"/>
      <c r="F3525" s="719"/>
      <c r="G3525" s="719"/>
      <c r="H3525" s="638">
        <f>ROUND(H3522*$B$13,2)</f>
        <v>44.85</v>
      </c>
    </row>
    <row r="3526" spans="1:8">
      <c r="A3526" s="582"/>
      <c r="B3526" s="582"/>
      <c r="C3526" s="212"/>
      <c r="D3526" s="718" t="s">
        <v>9661</v>
      </c>
      <c r="E3526" s="718"/>
      <c r="F3526" s="718"/>
      <c r="G3526" s="718"/>
      <c r="H3526" s="213">
        <f>H3525+H3522</f>
        <v>211.39</v>
      </c>
    </row>
    <row r="3528" spans="1:8" s="201" customFormat="1">
      <c r="A3528" s="123" t="s">
        <v>6</v>
      </c>
      <c r="B3528" s="720" t="s">
        <v>7</v>
      </c>
      <c r="C3528" s="720"/>
      <c r="D3528" s="202" t="s">
        <v>124</v>
      </c>
      <c r="E3528" s="167" t="s">
        <v>6334</v>
      </c>
      <c r="F3528" s="202" t="s">
        <v>31</v>
      </c>
      <c r="G3528" s="203" t="s">
        <v>125</v>
      </c>
      <c r="H3528" s="204" t="s">
        <v>126</v>
      </c>
    </row>
    <row r="3529" spans="1:8" s="208" customFormat="1" ht="150">
      <c r="A3529" s="581" t="str">
        <f>'Orç - Prédio'!A537</f>
        <v>06.01.401.11</v>
      </c>
      <c r="B3529" s="216" t="str">
        <f>'Orç - Prédio'!B537</f>
        <v>CPOS</v>
      </c>
      <c r="C3529" s="216" t="str">
        <f>'Orç - Prédio'!C537</f>
        <v>41.14.440</v>
      </c>
      <c r="D3529" s="217" t="s">
        <v>7304</v>
      </c>
      <c r="E3529" s="206">
        <v>2</v>
      </c>
      <c r="F3529" s="216" t="s">
        <v>6337</v>
      </c>
      <c r="G3529" s="207">
        <f>VLOOKUP("CUSTO TOTAL UNIT.:",D3530:$H$30004,5,FALSE)</f>
        <v>138.19</v>
      </c>
      <c r="H3529" s="637">
        <f>VLOOKUP("CUSTO TOTAL:",D3530:$H$30004,5,FALSE)</f>
        <v>276.38</v>
      </c>
    </row>
    <row r="3530" spans="1:8" s="124" customFormat="1" ht="60">
      <c r="A3530" s="721" t="s">
        <v>15405</v>
      </c>
      <c r="B3530" s="721"/>
      <c r="C3530" s="184" t="s">
        <v>6753</v>
      </c>
      <c r="D3530" s="185" t="s">
        <v>7335</v>
      </c>
      <c r="E3530" s="209">
        <v>1</v>
      </c>
      <c r="F3530" s="577" t="s">
        <v>31</v>
      </c>
      <c r="G3530" s="174">
        <v>82.782000000000011</v>
      </c>
      <c r="H3530" s="211">
        <f t="shared" ref="H3530:H3535" si="90">ROUND(G3530*E3530,2)</f>
        <v>82.78</v>
      </c>
    </row>
    <row r="3531" spans="1:8" s="124" customFormat="1" ht="30">
      <c r="A3531" s="721">
        <v>20111</v>
      </c>
      <c r="B3531" s="721"/>
      <c r="C3531" s="200" t="s">
        <v>5256</v>
      </c>
      <c r="D3531" s="139" t="s">
        <v>11951</v>
      </c>
      <c r="E3531" s="209">
        <v>0.01</v>
      </c>
      <c r="F3531" s="577" t="s">
        <v>40</v>
      </c>
      <c r="G3531" s="210">
        <v>8.8613999999999997</v>
      </c>
      <c r="H3531" s="211">
        <f t="shared" si="90"/>
        <v>0.09</v>
      </c>
    </row>
    <row r="3532" spans="1:8" s="124" customFormat="1" ht="30">
      <c r="A3532" s="721">
        <v>38782</v>
      </c>
      <c r="B3532" s="721"/>
      <c r="C3532" s="200" t="s">
        <v>5256</v>
      </c>
      <c r="D3532" s="139" t="s">
        <v>12506</v>
      </c>
      <c r="E3532" s="209">
        <v>2</v>
      </c>
      <c r="F3532" s="577" t="s">
        <v>40</v>
      </c>
      <c r="G3532" s="210">
        <v>6.3909000000000002</v>
      </c>
      <c r="H3532" s="211">
        <f t="shared" si="90"/>
        <v>12.78</v>
      </c>
    </row>
    <row r="3533" spans="1:8" s="124" customFormat="1" ht="30">
      <c r="A3533" s="721">
        <v>38777</v>
      </c>
      <c r="B3533" s="721"/>
      <c r="C3533" s="200" t="s">
        <v>5256</v>
      </c>
      <c r="D3533" s="139" t="s">
        <v>13668</v>
      </c>
      <c r="E3533" s="209">
        <v>1</v>
      </c>
      <c r="F3533" s="577" t="s">
        <v>40</v>
      </c>
      <c r="G3533" s="210">
        <v>28.0989</v>
      </c>
      <c r="H3533" s="211">
        <f t="shared" si="90"/>
        <v>28.1</v>
      </c>
    </row>
    <row r="3534" spans="1:8" s="124" customFormat="1" ht="30">
      <c r="A3534" s="721">
        <v>88264</v>
      </c>
      <c r="B3534" s="721"/>
      <c r="C3534" s="200" t="s">
        <v>5256</v>
      </c>
      <c r="D3534" s="139" t="s">
        <v>84</v>
      </c>
      <c r="E3534" s="209">
        <v>0.6</v>
      </c>
      <c r="F3534" s="577" t="s">
        <v>67</v>
      </c>
      <c r="G3534" s="210">
        <v>15.778800000000002</v>
      </c>
      <c r="H3534" s="211">
        <f t="shared" si="90"/>
        <v>9.4700000000000006</v>
      </c>
    </row>
    <row r="3535" spans="1:8" s="124" customFormat="1" ht="30">
      <c r="A3535" s="721">
        <v>88247</v>
      </c>
      <c r="B3535" s="721"/>
      <c r="C3535" s="200" t="s">
        <v>5256</v>
      </c>
      <c r="D3535" s="139" t="s">
        <v>74</v>
      </c>
      <c r="E3535" s="209">
        <v>0.4</v>
      </c>
      <c r="F3535" s="577" t="s">
        <v>67</v>
      </c>
      <c r="G3535" s="210">
        <v>12.425400000000002</v>
      </c>
      <c r="H3535" s="211">
        <f t="shared" si="90"/>
        <v>4.97</v>
      </c>
    </row>
    <row r="3536" spans="1:8" s="201" customFormat="1">
      <c r="A3536" s="582"/>
      <c r="B3536" s="582"/>
      <c r="C3536" s="212"/>
      <c r="D3536" s="719" t="s">
        <v>127</v>
      </c>
      <c r="E3536" s="719"/>
      <c r="F3536" s="719"/>
      <c r="G3536" s="719"/>
      <c r="H3536" s="638">
        <f>SUMIF(F3530:F3535,("h"),H3530:H3535)</f>
        <v>14.440000000000001</v>
      </c>
    </row>
    <row r="3537" spans="1:8" s="201" customFormat="1">
      <c r="A3537" s="582"/>
      <c r="B3537" s="582"/>
      <c r="C3537" s="212"/>
      <c r="D3537" s="719" t="s">
        <v>128</v>
      </c>
      <c r="E3537" s="719"/>
      <c r="F3537" s="719"/>
      <c r="G3537" s="719"/>
      <c r="H3537" s="638">
        <f>SUMIF(F3530:F3535,"&lt;&gt;h",H3530:H3535)</f>
        <v>123.75</v>
      </c>
    </row>
    <row r="3538" spans="1:8" s="201" customFormat="1">
      <c r="A3538" s="582"/>
      <c r="B3538" s="582"/>
      <c r="C3538" s="212"/>
      <c r="D3538" s="718" t="s">
        <v>129</v>
      </c>
      <c r="E3538" s="718"/>
      <c r="F3538" s="718"/>
      <c r="G3538" s="718"/>
      <c r="H3538" s="213">
        <f>SUM(H3536:H3537)</f>
        <v>138.19</v>
      </c>
    </row>
    <row r="3539" spans="1:8" s="201" customFormat="1">
      <c r="A3539" s="582"/>
      <c r="B3539" s="582"/>
      <c r="C3539" s="212"/>
      <c r="D3539" s="719" t="s">
        <v>28</v>
      </c>
      <c r="E3539" s="719"/>
      <c r="F3539" s="719"/>
      <c r="G3539" s="719"/>
      <c r="H3539" s="639">
        <f>E3529</f>
        <v>2</v>
      </c>
    </row>
    <row r="3540" spans="1:8" s="201" customFormat="1">
      <c r="A3540" s="582"/>
      <c r="B3540" s="582"/>
      <c r="C3540" s="212"/>
      <c r="D3540" s="718" t="s">
        <v>130</v>
      </c>
      <c r="E3540" s="718"/>
      <c r="F3540" s="718"/>
      <c r="G3540" s="718"/>
      <c r="H3540" s="213">
        <f>ROUND(H3538*H3539,2)</f>
        <v>276.38</v>
      </c>
    </row>
    <row r="3541" spans="1:8" s="201" customFormat="1">
      <c r="A3541" s="582"/>
      <c r="B3541" s="582"/>
      <c r="C3541" s="212"/>
      <c r="D3541" s="719" t="s">
        <v>15559</v>
      </c>
      <c r="E3541" s="719"/>
      <c r="F3541" s="719"/>
      <c r="G3541" s="719"/>
      <c r="H3541" s="638">
        <f>ROUND(H3538*$B$13,2)</f>
        <v>37.21</v>
      </c>
    </row>
    <row r="3542" spans="1:8">
      <c r="A3542" s="582"/>
      <c r="B3542" s="582"/>
      <c r="C3542" s="212"/>
      <c r="D3542" s="718" t="s">
        <v>9661</v>
      </c>
      <c r="E3542" s="718"/>
      <c r="F3542" s="718"/>
      <c r="G3542" s="718"/>
      <c r="H3542" s="213">
        <f>H3541+H3538</f>
        <v>175.4</v>
      </c>
    </row>
    <row r="3544" spans="1:8" s="201" customFormat="1">
      <c r="A3544" s="123" t="s">
        <v>6</v>
      </c>
      <c r="B3544" s="720" t="s">
        <v>7</v>
      </c>
      <c r="C3544" s="720"/>
      <c r="D3544" s="202" t="s">
        <v>124</v>
      </c>
      <c r="E3544" s="167" t="s">
        <v>6334</v>
      </c>
      <c r="F3544" s="202" t="s">
        <v>31</v>
      </c>
      <c r="G3544" s="203" t="s">
        <v>125</v>
      </c>
      <c r="H3544" s="204" t="s">
        <v>126</v>
      </c>
    </row>
    <row r="3545" spans="1:8" s="208" customFormat="1" ht="75">
      <c r="A3545" s="581" t="str">
        <f>'Orç - Prédio'!A538</f>
        <v>06.01.401.12</v>
      </c>
      <c r="B3545" s="216" t="str">
        <f>'Orç - Prédio'!B538</f>
        <v>CPOS</v>
      </c>
      <c r="C3545" s="216" t="str">
        <f>'Orç - Prédio'!C538</f>
        <v>41.14.600</v>
      </c>
      <c r="D3545" s="217" t="s">
        <v>7305</v>
      </c>
      <c r="E3545" s="206">
        <v>2</v>
      </c>
      <c r="F3545" s="216" t="s">
        <v>6337</v>
      </c>
      <c r="G3545" s="207">
        <f>VLOOKUP("CUSTO TOTAL UNIT.:",D3546:$H$30004,5,FALSE)</f>
        <v>147.88999999999999</v>
      </c>
      <c r="H3545" s="637">
        <f>VLOOKUP("CUSTO TOTAL:",D3546:$H$30004,5,FALSE)</f>
        <v>295.77999999999997</v>
      </c>
    </row>
    <row r="3546" spans="1:8" s="124" customFormat="1" ht="45">
      <c r="A3546" s="721" t="s">
        <v>7336</v>
      </c>
      <c r="B3546" s="721"/>
      <c r="C3546" s="184" t="s">
        <v>6753</v>
      </c>
      <c r="D3546" s="185" t="s">
        <v>7337</v>
      </c>
      <c r="E3546" s="209">
        <v>1</v>
      </c>
      <c r="F3546" s="577" t="s">
        <v>31</v>
      </c>
      <c r="G3546" s="174">
        <v>71.806500000000014</v>
      </c>
      <c r="H3546" s="211">
        <f t="shared" ref="H3546:H3551" si="91">ROUND(G3546*E3546,2)</f>
        <v>71.81</v>
      </c>
    </row>
    <row r="3547" spans="1:8" s="124" customFormat="1" ht="30">
      <c r="A3547" s="721">
        <v>20111</v>
      </c>
      <c r="B3547" s="721"/>
      <c r="C3547" s="200" t="s">
        <v>5256</v>
      </c>
      <c r="D3547" s="139" t="s">
        <v>11951</v>
      </c>
      <c r="E3547" s="209">
        <v>0.01</v>
      </c>
      <c r="F3547" s="577" t="s">
        <v>40</v>
      </c>
      <c r="G3547" s="210">
        <v>8.8613999999999997</v>
      </c>
      <c r="H3547" s="211">
        <f t="shared" si="91"/>
        <v>0.09</v>
      </c>
    </row>
    <row r="3548" spans="1:8" s="124" customFormat="1" ht="30">
      <c r="A3548" s="721">
        <v>12385</v>
      </c>
      <c r="B3548" s="721"/>
      <c r="C3548" s="184" t="s">
        <v>6333</v>
      </c>
      <c r="D3548" s="185" t="s">
        <v>7338</v>
      </c>
      <c r="E3548" s="209">
        <v>2</v>
      </c>
      <c r="F3548" s="577" t="s">
        <v>31</v>
      </c>
      <c r="G3548" s="174">
        <v>10.400400000000001</v>
      </c>
      <c r="H3548" s="211">
        <f t="shared" si="91"/>
        <v>20.8</v>
      </c>
    </row>
    <row r="3549" spans="1:8" s="124" customFormat="1" ht="30">
      <c r="A3549" s="721">
        <v>7063</v>
      </c>
      <c r="B3549" s="721"/>
      <c r="C3549" s="184" t="s">
        <v>6333</v>
      </c>
      <c r="D3549" s="185" t="s">
        <v>7339</v>
      </c>
      <c r="E3549" s="209">
        <v>1</v>
      </c>
      <c r="F3549" s="577" t="s">
        <v>31</v>
      </c>
      <c r="G3549" s="174">
        <v>40.751100000000001</v>
      </c>
      <c r="H3549" s="211">
        <f t="shared" si="91"/>
        <v>40.75</v>
      </c>
    </row>
    <row r="3550" spans="1:8" s="124" customFormat="1" ht="30">
      <c r="A3550" s="721">
        <v>88264</v>
      </c>
      <c r="B3550" s="721"/>
      <c r="C3550" s="200" t="s">
        <v>5256</v>
      </c>
      <c r="D3550" s="139" t="s">
        <v>84</v>
      </c>
      <c r="E3550" s="209">
        <v>0.6</v>
      </c>
      <c r="F3550" s="577" t="s">
        <v>67</v>
      </c>
      <c r="G3550" s="210">
        <v>15.778800000000002</v>
      </c>
      <c r="H3550" s="211">
        <f t="shared" si="91"/>
        <v>9.4700000000000006</v>
      </c>
    </row>
    <row r="3551" spans="1:8" s="124" customFormat="1" ht="30">
      <c r="A3551" s="721">
        <v>88247</v>
      </c>
      <c r="B3551" s="721"/>
      <c r="C3551" s="200" t="s">
        <v>5256</v>
      </c>
      <c r="D3551" s="139" t="s">
        <v>74</v>
      </c>
      <c r="E3551" s="209">
        <v>0.4</v>
      </c>
      <c r="F3551" s="577" t="s">
        <v>67</v>
      </c>
      <c r="G3551" s="210">
        <v>12.425400000000002</v>
      </c>
      <c r="H3551" s="211">
        <f t="shared" si="91"/>
        <v>4.97</v>
      </c>
    </row>
    <row r="3552" spans="1:8" s="201" customFormat="1">
      <c r="A3552" s="582"/>
      <c r="B3552" s="582"/>
      <c r="C3552" s="212"/>
      <c r="D3552" s="719" t="s">
        <v>127</v>
      </c>
      <c r="E3552" s="719"/>
      <c r="F3552" s="719"/>
      <c r="G3552" s="719"/>
      <c r="H3552" s="638">
        <f>SUMIF(F3546:F3551,("h"),H3546:H3551)</f>
        <v>14.440000000000001</v>
      </c>
    </row>
    <row r="3553" spans="1:8" s="201" customFormat="1">
      <c r="A3553" s="582"/>
      <c r="B3553" s="582"/>
      <c r="C3553" s="212"/>
      <c r="D3553" s="719" t="s">
        <v>128</v>
      </c>
      <c r="E3553" s="719"/>
      <c r="F3553" s="719"/>
      <c r="G3553" s="719"/>
      <c r="H3553" s="638">
        <f>SUMIF(F3546:F3551,"&lt;&gt;h",H3546:H3551)</f>
        <v>133.44999999999999</v>
      </c>
    </row>
    <row r="3554" spans="1:8" s="201" customFormat="1">
      <c r="A3554" s="582"/>
      <c r="B3554" s="582"/>
      <c r="C3554" s="212"/>
      <c r="D3554" s="718" t="s">
        <v>129</v>
      </c>
      <c r="E3554" s="718"/>
      <c r="F3554" s="718"/>
      <c r="G3554" s="718"/>
      <c r="H3554" s="213">
        <f>SUM(H3552:H3553)</f>
        <v>147.88999999999999</v>
      </c>
    </row>
    <row r="3555" spans="1:8" s="201" customFormat="1">
      <c r="A3555" s="582"/>
      <c r="B3555" s="582"/>
      <c r="C3555" s="212"/>
      <c r="D3555" s="719" t="s">
        <v>28</v>
      </c>
      <c r="E3555" s="719"/>
      <c r="F3555" s="719"/>
      <c r="G3555" s="719"/>
      <c r="H3555" s="639">
        <f>E3545</f>
        <v>2</v>
      </c>
    </row>
    <row r="3556" spans="1:8" s="201" customFormat="1">
      <c r="A3556" s="582"/>
      <c r="B3556" s="582"/>
      <c r="C3556" s="212"/>
      <c r="D3556" s="718" t="s">
        <v>130</v>
      </c>
      <c r="E3556" s="718"/>
      <c r="F3556" s="718"/>
      <c r="G3556" s="718"/>
      <c r="H3556" s="213">
        <f>ROUND(H3554*H3555,2)</f>
        <v>295.77999999999997</v>
      </c>
    </row>
    <row r="3557" spans="1:8" s="201" customFormat="1">
      <c r="A3557" s="582"/>
      <c r="B3557" s="582"/>
      <c r="C3557" s="212"/>
      <c r="D3557" s="719" t="s">
        <v>15559</v>
      </c>
      <c r="E3557" s="719"/>
      <c r="F3557" s="719"/>
      <c r="G3557" s="719"/>
      <c r="H3557" s="638">
        <f>ROUND(H3554*$B$13,2)</f>
        <v>39.83</v>
      </c>
    </row>
    <row r="3558" spans="1:8">
      <c r="A3558" s="582"/>
      <c r="B3558" s="582"/>
      <c r="C3558" s="212"/>
      <c r="D3558" s="718" t="s">
        <v>9661</v>
      </c>
      <c r="E3558" s="718"/>
      <c r="F3558" s="718"/>
      <c r="G3558" s="718"/>
      <c r="H3558" s="213">
        <f>H3557+H3554</f>
        <v>187.71999999999997</v>
      </c>
    </row>
    <row r="3560" spans="1:8" s="201" customFormat="1">
      <c r="A3560" s="123" t="s">
        <v>6</v>
      </c>
      <c r="B3560" s="720" t="s">
        <v>7</v>
      </c>
      <c r="C3560" s="720"/>
      <c r="D3560" s="202" t="s">
        <v>124</v>
      </c>
      <c r="E3560" s="167" t="s">
        <v>6334</v>
      </c>
      <c r="F3560" s="202" t="s">
        <v>31</v>
      </c>
      <c r="G3560" s="203" t="s">
        <v>125</v>
      </c>
      <c r="H3560" s="204" t="s">
        <v>126</v>
      </c>
    </row>
    <row r="3561" spans="1:8" s="208" customFormat="1" ht="75">
      <c r="A3561" s="581" t="str">
        <f>'Orç - Prédio'!A539</f>
        <v>06.01.401.13</v>
      </c>
      <c r="B3561" s="216" t="str">
        <f>'Orç - Prédio'!B539</f>
        <v>SINAPI</v>
      </c>
      <c r="C3561" s="216" t="str">
        <f>'Orç - Prédio'!C539</f>
        <v>97608 MOD</v>
      </c>
      <c r="D3561" s="217" t="s">
        <v>7306</v>
      </c>
      <c r="E3561" s="206">
        <v>23</v>
      </c>
      <c r="F3561" s="216" t="s">
        <v>6337</v>
      </c>
      <c r="G3561" s="207">
        <f>VLOOKUP("CUSTO TOTAL UNIT.:",D3562:$H$30004,5,FALSE)</f>
        <v>52.56</v>
      </c>
      <c r="H3561" s="637">
        <f>VLOOKUP("CUSTO TOTAL:",D3562:$H$30004,5,FALSE)</f>
        <v>1208.8800000000001</v>
      </c>
    </row>
    <row r="3562" spans="1:8" s="124" customFormat="1" ht="30">
      <c r="A3562" s="721">
        <v>38780</v>
      </c>
      <c r="B3562" s="721"/>
      <c r="C3562" s="200" t="s">
        <v>5256</v>
      </c>
      <c r="D3562" s="139" t="s">
        <v>12502</v>
      </c>
      <c r="E3562" s="209">
        <v>1</v>
      </c>
      <c r="F3562" s="577" t="s">
        <v>40</v>
      </c>
      <c r="G3562" s="210">
        <v>9.1854000000000013</v>
      </c>
      <c r="H3562" s="211">
        <f>ROUND(G3562*E3562,2)</f>
        <v>9.19</v>
      </c>
    </row>
    <row r="3563" spans="1:8" s="124" customFormat="1" ht="60">
      <c r="A3563" s="721">
        <v>38775</v>
      </c>
      <c r="B3563" s="721"/>
      <c r="C3563" s="200" t="s">
        <v>5256</v>
      </c>
      <c r="D3563" s="139" t="s">
        <v>12620</v>
      </c>
      <c r="E3563" s="209">
        <v>1</v>
      </c>
      <c r="F3563" s="577" t="s">
        <v>40</v>
      </c>
      <c r="G3563" s="210">
        <v>31.800599999999999</v>
      </c>
      <c r="H3563" s="211">
        <f>ROUND(G3563*E3563,2)</f>
        <v>31.8</v>
      </c>
    </row>
    <row r="3564" spans="1:8" s="124" customFormat="1" ht="30">
      <c r="A3564" s="721">
        <v>88264</v>
      </c>
      <c r="B3564" s="721"/>
      <c r="C3564" s="200" t="s">
        <v>5256</v>
      </c>
      <c r="D3564" s="139" t="s">
        <v>84</v>
      </c>
      <c r="E3564" s="209">
        <v>0.55179999999999996</v>
      </c>
      <c r="F3564" s="577" t="s">
        <v>67</v>
      </c>
      <c r="G3564" s="210">
        <v>15.778800000000002</v>
      </c>
      <c r="H3564" s="211">
        <f>ROUND(G3564*E3564,2)</f>
        <v>8.7100000000000009</v>
      </c>
    </row>
    <row r="3565" spans="1:8" s="124" customFormat="1" ht="30">
      <c r="A3565" s="721">
        <v>88247</v>
      </c>
      <c r="B3565" s="721"/>
      <c r="C3565" s="200" t="s">
        <v>5256</v>
      </c>
      <c r="D3565" s="139" t="s">
        <v>74</v>
      </c>
      <c r="E3565" s="209">
        <v>0.22989999999999999</v>
      </c>
      <c r="F3565" s="577" t="s">
        <v>67</v>
      </c>
      <c r="G3565" s="210">
        <v>12.425400000000002</v>
      </c>
      <c r="H3565" s="211">
        <f>ROUND(G3565*E3565,2)</f>
        <v>2.86</v>
      </c>
    </row>
    <row r="3566" spans="1:8" s="201" customFormat="1">
      <c r="A3566" s="582"/>
      <c r="B3566" s="582"/>
      <c r="C3566" s="212"/>
      <c r="D3566" s="719" t="s">
        <v>127</v>
      </c>
      <c r="E3566" s="719"/>
      <c r="F3566" s="719"/>
      <c r="G3566" s="719"/>
      <c r="H3566" s="638">
        <f>SUMIF(F3562:F3565,("h"),H3562:H3565)</f>
        <v>11.57</v>
      </c>
    </row>
    <row r="3567" spans="1:8" s="201" customFormat="1">
      <c r="A3567" s="582"/>
      <c r="B3567" s="582"/>
      <c r="C3567" s="212"/>
      <c r="D3567" s="719" t="s">
        <v>128</v>
      </c>
      <c r="E3567" s="719"/>
      <c r="F3567" s="719"/>
      <c r="G3567" s="719"/>
      <c r="H3567" s="638">
        <f>SUMIF(F3562:F3565,"&lt;&gt;h",H3562:H3565)</f>
        <v>40.99</v>
      </c>
    </row>
    <row r="3568" spans="1:8" s="201" customFormat="1">
      <c r="A3568" s="582"/>
      <c r="B3568" s="582"/>
      <c r="C3568" s="212"/>
      <c r="D3568" s="718" t="s">
        <v>129</v>
      </c>
      <c r="E3568" s="718"/>
      <c r="F3568" s="718"/>
      <c r="G3568" s="718"/>
      <c r="H3568" s="213">
        <f>SUM(H3566:H3567)</f>
        <v>52.56</v>
      </c>
    </row>
    <row r="3569" spans="1:8" s="201" customFormat="1">
      <c r="A3569" s="582"/>
      <c r="B3569" s="582"/>
      <c r="C3569" s="212"/>
      <c r="D3569" s="719" t="s">
        <v>28</v>
      </c>
      <c r="E3569" s="719"/>
      <c r="F3569" s="719"/>
      <c r="G3569" s="719"/>
      <c r="H3569" s="639">
        <f>E3561</f>
        <v>23</v>
      </c>
    </row>
    <row r="3570" spans="1:8" s="201" customFormat="1">
      <c r="A3570" s="582"/>
      <c r="B3570" s="582"/>
      <c r="C3570" s="212"/>
      <c r="D3570" s="718" t="s">
        <v>130</v>
      </c>
      <c r="E3570" s="718"/>
      <c r="F3570" s="718"/>
      <c r="G3570" s="718"/>
      <c r="H3570" s="213">
        <f>ROUND(H3568*H3569,2)</f>
        <v>1208.8800000000001</v>
      </c>
    </row>
    <row r="3571" spans="1:8" s="201" customFormat="1">
      <c r="A3571" s="582"/>
      <c r="B3571" s="582"/>
      <c r="C3571" s="212"/>
      <c r="D3571" s="719" t="s">
        <v>15559</v>
      </c>
      <c r="E3571" s="719"/>
      <c r="F3571" s="719"/>
      <c r="G3571" s="719"/>
      <c r="H3571" s="638">
        <f>ROUND(H3568*$B$13,2)</f>
        <v>14.15</v>
      </c>
    </row>
    <row r="3572" spans="1:8">
      <c r="A3572" s="582"/>
      <c r="B3572" s="582"/>
      <c r="C3572" s="212"/>
      <c r="D3572" s="718" t="s">
        <v>9661</v>
      </c>
      <c r="E3572" s="718"/>
      <c r="F3572" s="718"/>
      <c r="G3572" s="718"/>
      <c r="H3572" s="213">
        <f>H3571+H3568</f>
        <v>66.710000000000008</v>
      </c>
    </row>
    <row r="3574" spans="1:8" s="201" customFormat="1">
      <c r="A3574" s="123" t="s">
        <v>6</v>
      </c>
      <c r="B3574" s="720" t="s">
        <v>7</v>
      </c>
      <c r="C3574" s="720"/>
      <c r="D3574" s="202" t="s">
        <v>124</v>
      </c>
      <c r="E3574" s="167" t="s">
        <v>6334</v>
      </c>
      <c r="F3574" s="202" t="s">
        <v>31</v>
      </c>
      <c r="G3574" s="203" t="s">
        <v>125</v>
      </c>
      <c r="H3574" s="204" t="s">
        <v>126</v>
      </c>
    </row>
    <row r="3575" spans="1:8" s="208" customFormat="1" ht="120">
      <c r="A3575" s="581" t="str">
        <f>'Orç - Prédio'!A540</f>
        <v>06.01.401.14</v>
      </c>
      <c r="B3575" s="216" t="str">
        <f>'Orç - Prédio'!B540</f>
        <v>CPOS</v>
      </c>
      <c r="C3575" s="216" t="str">
        <f>'Orç - Prédio'!C540</f>
        <v>41.12.050</v>
      </c>
      <c r="D3575" s="217" t="s">
        <v>7307</v>
      </c>
      <c r="E3575" s="206">
        <v>15</v>
      </c>
      <c r="F3575" s="216" t="s">
        <v>6337</v>
      </c>
      <c r="G3575" s="207">
        <f>VLOOKUP("CUSTO TOTAL UNIT.:",D3576:$H$30004,5,FALSE)</f>
        <v>620.04</v>
      </c>
      <c r="H3575" s="637">
        <f>VLOOKUP("CUSTO TOTAL:",D3576:$H$30004,5,FALSE)</f>
        <v>9300.6</v>
      </c>
    </row>
    <row r="3576" spans="1:8" s="124" customFormat="1" ht="60">
      <c r="A3576" s="721" t="s">
        <v>7341</v>
      </c>
      <c r="B3576" s="721"/>
      <c r="C3576" s="184" t="s">
        <v>6753</v>
      </c>
      <c r="D3576" s="185" t="s">
        <v>7342</v>
      </c>
      <c r="E3576" s="209">
        <v>1</v>
      </c>
      <c r="F3576" s="577" t="s">
        <v>31</v>
      </c>
      <c r="G3576" s="174">
        <v>530.17740000000003</v>
      </c>
      <c r="H3576" s="211">
        <f>ROUND(G3576*E3576,2)</f>
        <v>530.17999999999995</v>
      </c>
    </row>
    <row r="3577" spans="1:8" s="124" customFormat="1" ht="30">
      <c r="A3577" s="721">
        <v>3749</v>
      </c>
      <c r="B3577" s="721"/>
      <c r="C3577" s="200" t="s">
        <v>5256</v>
      </c>
      <c r="D3577" s="139" t="s">
        <v>12518</v>
      </c>
      <c r="E3577" s="209">
        <v>1</v>
      </c>
      <c r="F3577" s="577" t="s">
        <v>40</v>
      </c>
      <c r="G3577" s="210">
        <v>23.085000000000001</v>
      </c>
      <c r="H3577" s="211">
        <f>ROUND(G3577*E3577,2)</f>
        <v>23.09</v>
      </c>
    </row>
    <row r="3578" spans="1:8" s="124" customFormat="1" ht="30">
      <c r="A3578" s="721">
        <v>12317</v>
      </c>
      <c r="B3578" s="721"/>
      <c r="C3578" s="200" t="s">
        <v>5256</v>
      </c>
      <c r="D3578" s="139" t="s">
        <v>13674</v>
      </c>
      <c r="E3578" s="209">
        <v>1</v>
      </c>
      <c r="F3578" s="577" t="s">
        <v>40</v>
      </c>
      <c r="G3578" s="210">
        <v>52.666200000000003</v>
      </c>
      <c r="H3578" s="211">
        <f>ROUND(G3578*E3578,2)</f>
        <v>52.67</v>
      </c>
    </row>
    <row r="3579" spans="1:8" s="124" customFormat="1" ht="30">
      <c r="A3579" s="721">
        <v>88264</v>
      </c>
      <c r="B3579" s="721"/>
      <c r="C3579" s="200" t="s">
        <v>5256</v>
      </c>
      <c r="D3579" s="139" t="s">
        <v>84</v>
      </c>
      <c r="E3579" s="209">
        <v>0.5</v>
      </c>
      <c r="F3579" s="577" t="s">
        <v>67</v>
      </c>
      <c r="G3579" s="210">
        <v>15.778800000000002</v>
      </c>
      <c r="H3579" s="211">
        <f>ROUND(G3579*E3579,2)</f>
        <v>7.89</v>
      </c>
    </row>
    <row r="3580" spans="1:8" s="124" customFormat="1" ht="30">
      <c r="A3580" s="721">
        <v>88247</v>
      </c>
      <c r="B3580" s="721"/>
      <c r="C3580" s="200" t="s">
        <v>5256</v>
      </c>
      <c r="D3580" s="139" t="s">
        <v>74</v>
      </c>
      <c r="E3580" s="209">
        <v>0.5</v>
      </c>
      <c r="F3580" s="577" t="s">
        <v>67</v>
      </c>
      <c r="G3580" s="210">
        <v>12.425400000000002</v>
      </c>
      <c r="H3580" s="211">
        <f>ROUND(G3580*E3580,2)</f>
        <v>6.21</v>
      </c>
    </row>
    <row r="3581" spans="1:8" s="201" customFormat="1">
      <c r="A3581" s="582"/>
      <c r="B3581" s="582"/>
      <c r="C3581" s="212"/>
      <c r="D3581" s="719" t="s">
        <v>127</v>
      </c>
      <c r="E3581" s="719"/>
      <c r="F3581" s="719"/>
      <c r="G3581" s="719"/>
      <c r="H3581" s="638">
        <f>SUMIF(F3576:F3580,("h"),H3576:H3580)</f>
        <v>14.1</v>
      </c>
    </row>
    <row r="3582" spans="1:8" s="201" customFormat="1">
      <c r="A3582" s="582"/>
      <c r="B3582" s="582"/>
      <c r="C3582" s="212"/>
      <c r="D3582" s="719" t="s">
        <v>128</v>
      </c>
      <c r="E3582" s="719"/>
      <c r="F3582" s="719"/>
      <c r="G3582" s="719"/>
      <c r="H3582" s="638">
        <f>SUMIF(F3576:F3580,"&lt;&gt;h",H3576:H3580)</f>
        <v>605.93999999999994</v>
      </c>
    </row>
    <row r="3583" spans="1:8" s="201" customFormat="1">
      <c r="A3583" s="582"/>
      <c r="B3583" s="582"/>
      <c r="C3583" s="212"/>
      <c r="D3583" s="718" t="s">
        <v>129</v>
      </c>
      <c r="E3583" s="718"/>
      <c r="F3583" s="718"/>
      <c r="G3583" s="718"/>
      <c r="H3583" s="213">
        <f>SUM(H3581:H3582)</f>
        <v>620.04</v>
      </c>
    </row>
    <row r="3584" spans="1:8" s="201" customFormat="1">
      <c r="A3584" s="582"/>
      <c r="B3584" s="582"/>
      <c r="C3584" s="212"/>
      <c r="D3584" s="719" t="s">
        <v>28</v>
      </c>
      <c r="E3584" s="719"/>
      <c r="F3584" s="719"/>
      <c r="G3584" s="719"/>
      <c r="H3584" s="639">
        <f>E3575</f>
        <v>15</v>
      </c>
    </row>
    <row r="3585" spans="1:8" s="201" customFormat="1">
      <c r="A3585" s="582"/>
      <c r="B3585" s="582"/>
      <c r="C3585" s="212"/>
      <c r="D3585" s="718" t="s">
        <v>130</v>
      </c>
      <c r="E3585" s="718"/>
      <c r="F3585" s="718"/>
      <c r="G3585" s="718"/>
      <c r="H3585" s="213">
        <f>ROUND(H3583*H3584,2)</f>
        <v>9300.6</v>
      </c>
    </row>
    <row r="3586" spans="1:8" s="201" customFormat="1">
      <c r="A3586" s="582"/>
      <c r="B3586" s="582"/>
      <c r="C3586" s="212"/>
      <c r="D3586" s="719" t="s">
        <v>15559</v>
      </c>
      <c r="E3586" s="719"/>
      <c r="F3586" s="719"/>
      <c r="G3586" s="719"/>
      <c r="H3586" s="638">
        <f>ROUND(H3583*$B$13,2)</f>
        <v>166.98</v>
      </c>
    </row>
    <row r="3587" spans="1:8">
      <c r="A3587" s="582"/>
      <c r="B3587" s="582"/>
      <c r="C3587" s="212"/>
      <c r="D3587" s="718" t="s">
        <v>9661</v>
      </c>
      <c r="E3587" s="718"/>
      <c r="F3587" s="718"/>
      <c r="G3587" s="718"/>
      <c r="H3587" s="213">
        <f>H3586+H3583</f>
        <v>787.02</v>
      </c>
    </row>
    <row r="3589" spans="1:8" s="201" customFormat="1">
      <c r="A3589" s="123" t="s">
        <v>6</v>
      </c>
      <c r="B3589" s="720" t="s">
        <v>7</v>
      </c>
      <c r="C3589" s="720"/>
      <c r="D3589" s="202" t="s">
        <v>124</v>
      </c>
      <c r="E3589" s="167" t="s">
        <v>6334</v>
      </c>
      <c r="F3589" s="202" t="s">
        <v>31</v>
      </c>
      <c r="G3589" s="203" t="s">
        <v>125</v>
      </c>
      <c r="H3589" s="204" t="s">
        <v>126</v>
      </c>
    </row>
    <row r="3590" spans="1:8" s="208" customFormat="1" ht="30">
      <c r="A3590" s="581" t="str">
        <f>'Orç - Prédio'!A547</f>
        <v>06.01.404.03</v>
      </c>
      <c r="B3590" s="581" t="str">
        <f>'Orç - Prédio'!B547</f>
        <v>CPOS</v>
      </c>
      <c r="C3590" s="581" t="str">
        <f>'Orç - Prédio'!C547</f>
        <v>40.04.140</v>
      </c>
      <c r="D3590" s="205" t="s">
        <v>8455</v>
      </c>
      <c r="E3590" s="206">
        <v>43</v>
      </c>
      <c r="F3590" s="581" t="s">
        <v>6337</v>
      </c>
      <c r="G3590" s="207">
        <f>VLOOKUP("CUSTO TOTAL UNIT.:",D3591:$H$30004,5,FALSE)</f>
        <v>138.03</v>
      </c>
      <c r="H3590" s="637">
        <f>VLOOKUP("CUSTO TOTAL:",D3591:$H$30004,5,FALSE)</f>
        <v>5935.29</v>
      </c>
    </row>
    <row r="3591" spans="1:8" s="124" customFormat="1" ht="60">
      <c r="A3591" s="721" t="s">
        <v>8995</v>
      </c>
      <c r="B3591" s="721"/>
      <c r="C3591" s="184" t="s">
        <v>6753</v>
      </c>
      <c r="D3591" s="185" t="s">
        <v>8456</v>
      </c>
      <c r="E3591" s="209">
        <v>1</v>
      </c>
      <c r="F3591" s="577" t="s">
        <v>31</v>
      </c>
      <c r="G3591" s="174">
        <v>129.56760000000003</v>
      </c>
      <c r="H3591" s="211">
        <f>ROUND(G3591*E3591,2)</f>
        <v>129.57</v>
      </c>
    </row>
    <row r="3592" spans="1:8" s="124" customFormat="1" ht="30">
      <c r="A3592" s="721">
        <v>88264</v>
      </c>
      <c r="B3592" s="721"/>
      <c r="C3592" s="200" t="s">
        <v>5256</v>
      </c>
      <c r="D3592" s="139" t="s">
        <v>84</v>
      </c>
      <c r="E3592" s="209">
        <v>0.3</v>
      </c>
      <c r="F3592" s="577" t="s">
        <v>67</v>
      </c>
      <c r="G3592" s="210">
        <v>15.778800000000002</v>
      </c>
      <c r="H3592" s="211">
        <f>ROUND(G3592*E3592,2)</f>
        <v>4.7300000000000004</v>
      </c>
    </row>
    <row r="3593" spans="1:8" s="124" customFormat="1" ht="30">
      <c r="A3593" s="721">
        <v>88247</v>
      </c>
      <c r="B3593" s="721"/>
      <c r="C3593" s="200" t="s">
        <v>5256</v>
      </c>
      <c r="D3593" s="139" t="s">
        <v>74</v>
      </c>
      <c r="E3593" s="209">
        <v>0.3</v>
      </c>
      <c r="F3593" s="577" t="s">
        <v>67</v>
      </c>
      <c r="G3593" s="210">
        <v>12.425400000000002</v>
      </c>
      <c r="H3593" s="211">
        <f>ROUND(G3593*E3593,2)</f>
        <v>3.73</v>
      </c>
    </row>
    <row r="3594" spans="1:8" s="201" customFormat="1">
      <c r="A3594" s="582"/>
      <c r="B3594" s="582"/>
      <c r="C3594" s="212"/>
      <c r="D3594" s="719" t="s">
        <v>127</v>
      </c>
      <c r="E3594" s="719"/>
      <c r="F3594" s="719"/>
      <c r="G3594" s="719"/>
      <c r="H3594" s="638">
        <f>SUMIF(F3591:F3593,("h"),H3591:H3593)</f>
        <v>8.4600000000000009</v>
      </c>
    </row>
    <row r="3595" spans="1:8" s="201" customFormat="1">
      <c r="A3595" s="582"/>
      <c r="B3595" s="582"/>
      <c r="C3595" s="212"/>
      <c r="D3595" s="719" t="s">
        <v>128</v>
      </c>
      <c r="E3595" s="719"/>
      <c r="F3595" s="719"/>
      <c r="G3595" s="719"/>
      <c r="H3595" s="638">
        <f>SUMIF(F3591:F3593,"&lt;&gt;h",H3591:H3593)</f>
        <v>129.57</v>
      </c>
    </row>
    <row r="3596" spans="1:8" s="201" customFormat="1">
      <c r="A3596" s="582"/>
      <c r="B3596" s="582"/>
      <c r="C3596" s="212"/>
      <c r="D3596" s="718" t="s">
        <v>129</v>
      </c>
      <c r="E3596" s="718"/>
      <c r="F3596" s="718"/>
      <c r="G3596" s="718"/>
      <c r="H3596" s="213">
        <f>SUM(H3594:H3595)</f>
        <v>138.03</v>
      </c>
    </row>
    <row r="3597" spans="1:8" s="201" customFormat="1">
      <c r="A3597" s="582"/>
      <c r="B3597" s="582"/>
      <c r="C3597" s="212"/>
      <c r="D3597" s="719" t="s">
        <v>28</v>
      </c>
      <c r="E3597" s="719"/>
      <c r="F3597" s="719"/>
      <c r="G3597" s="719"/>
      <c r="H3597" s="639">
        <f>E3590</f>
        <v>43</v>
      </c>
    </row>
    <row r="3598" spans="1:8" s="201" customFormat="1">
      <c r="A3598" s="582"/>
      <c r="B3598" s="582"/>
      <c r="C3598" s="212"/>
      <c r="D3598" s="718" t="s">
        <v>130</v>
      </c>
      <c r="E3598" s="718"/>
      <c r="F3598" s="718"/>
      <c r="G3598" s="718"/>
      <c r="H3598" s="213">
        <f>ROUND(H3596*H3597,2)</f>
        <v>5935.29</v>
      </c>
    </row>
    <row r="3599" spans="1:8" s="201" customFormat="1">
      <c r="A3599" s="582"/>
      <c r="B3599" s="582"/>
      <c r="C3599" s="212"/>
      <c r="D3599" s="719" t="s">
        <v>15559</v>
      </c>
      <c r="E3599" s="719"/>
      <c r="F3599" s="719"/>
      <c r="G3599" s="719"/>
      <c r="H3599" s="638">
        <f>ROUND(H3596*$B$13,2)</f>
        <v>37.17</v>
      </c>
    </row>
    <row r="3600" spans="1:8">
      <c r="A3600" s="582"/>
      <c r="B3600" s="582"/>
      <c r="C3600" s="212"/>
      <c r="D3600" s="718" t="s">
        <v>9661</v>
      </c>
      <c r="E3600" s="718"/>
      <c r="F3600" s="718"/>
      <c r="G3600" s="718"/>
      <c r="H3600" s="213">
        <f>H3599+H3596</f>
        <v>175.2</v>
      </c>
    </row>
    <row r="3602" spans="1:8" s="201" customFormat="1">
      <c r="A3602" s="123" t="s">
        <v>6</v>
      </c>
      <c r="B3602" s="720" t="s">
        <v>7</v>
      </c>
      <c r="C3602" s="720"/>
      <c r="D3602" s="202" t="s">
        <v>124</v>
      </c>
      <c r="E3602" s="167" t="s">
        <v>6334</v>
      </c>
      <c r="F3602" s="202" t="s">
        <v>31</v>
      </c>
      <c r="G3602" s="203" t="s">
        <v>125</v>
      </c>
      <c r="H3602" s="204" t="s">
        <v>126</v>
      </c>
    </row>
    <row r="3603" spans="1:8" s="208" customFormat="1" ht="45">
      <c r="A3603" s="581" t="str">
        <f>'Orç - Urbanização'!A136</f>
        <v>06.01.405</v>
      </c>
      <c r="B3603" s="581" t="str">
        <f>'Orç - Urbanização'!B136</f>
        <v>SINAPI</v>
      </c>
      <c r="C3603" s="581" t="str">
        <f>'Orç - Urbanização'!C136</f>
        <v>73769/2 MOD</v>
      </c>
      <c r="D3603" s="205" t="s">
        <v>9239</v>
      </c>
      <c r="E3603" s="206">
        <v>13</v>
      </c>
      <c r="F3603" s="581" t="s">
        <v>6337</v>
      </c>
      <c r="G3603" s="207">
        <f>VLOOKUP("CUSTO TOTAL UNIT.:",D3604:$H$30004,5,FALSE)</f>
        <v>738.90000000000009</v>
      </c>
      <c r="H3603" s="637">
        <f>VLOOKUP("CUSTO TOTAL:",D3604:$H$30004,5,FALSE)</f>
        <v>9605.7000000000007</v>
      </c>
    </row>
    <row r="3604" spans="1:8" s="124" customFormat="1" ht="60">
      <c r="A3604" s="721">
        <v>5052</v>
      </c>
      <c r="B3604" s="721"/>
      <c r="C3604" s="200" t="s">
        <v>5256</v>
      </c>
      <c r="D3604" s="139" t="s">
        <v>13530</v>
      </c>
      <c r="E3604" s="209">
        <v>1</v>
      </c>
      <c r="F3604" s="577" t="s">
        <v>40</v>
      </c>
      <c r="G3604" s="210">
        <v>628.4547</v>
      </c>
      <c r="H3604" s="211">
        <f>ROUND(G3604*E3604,2)</f>
        <v>628.45000000000005</v>
      </c>
    </row>
    <row r="3605" spans="1:8" s="124" customFormat="1" ht="30">
      <c r="A3605" s="721">
        <v>88264</v>
      </c>
      <c r="B3605" s="721"/>
      <c r="C3605" s="200" t="s">
        <v>5256</v>
      </c>
      <c r="D3605" s="139" t="s">
        <v>84</v>
      </c>
      <c r="E3605" s="209">
        <v>7</v>
      </c>
      <c r="F3605" s="577" t="s">
        <v>67</v>
      </c>
      <c r="G3605" s="210">
        <v>15.778800000000002</v>
      </c>
      <c r="H3605" s="211">
        <f>ROUND(G3605*E3605,2)</f>
        <v>110.45</v>
      </c>
    </row>
    <row r="3606" spans="1:8" s="201" customFormat="1">
      <c r="A3606" s="582"/>
      <c r="B3606" s="582"/>
      <c r="C3606" s="212"/>
      <c r="D3606" s="719" t="s">
        <v>127</v>
      </c>
      <c r="E3606" s="719"/>
      <c r="F3606" s="719"/>
      <c r="G3606" s="719"/>
      <c r="H3606" s="638">
        <f>SUMIF(F3604:F3605,("h"),H3604:H3605)</f>
        <v>110.45</v>
      </c>
    </row>
    <row r="3607" spans="1:8" s="201" customFormat="1">
      <c r="A3607" s="582"/>
      <c r="B3607" s="582"/>
      <c r="C3607" s="212"/>
      <c r="D3607" s="719" t="s">
        <v>128</v>
      </c>
      <c r="E3607" s="719"/>
      <c r="F3607" s="719"/>
      <c r="G3607" s="719"/>
      <c r="H3607" s="638">
        <f>SUMIF(F3604:F3605,"&lt;&gt;h",H3604:H3605)</f>
        <v>628.45000000000005</v>
      </c>
    </row>
    <row r="3608" spans="1:8" s="201" customFormat="1">
      <c r="A3608" s="582"/>
      <c r="B3608" s="582"/>
      <c r="C3608" s="212"/>
      <c r="D3608" s="718" t="s">
        <v>129</v>
      </c>
      <c r="E3608" s="718"/>
      <c r="F3608" s="718"/>
      <c r="G3608" s="718"/>
      <c r="H3608" s="213">
        <f>SUM(H3606:H3607)</f>
        <v>738.90000000000009</v>
      </c>
    </row>
    <row r="3609" spans="1:8" s="201" customFormat="1">
      <c r="A3609" s="582"/>
      <c r="B3609" s="582"/>
      <c r="C3609" s="212"/>
      <c r="D3609" s="719" t="s">
        <v>28</v>
      </c>
      <c r="E3609" s="719"/>
      <c r="F3609" s="719"/>
      <c r="G3609" s="719"/>
      <c r="H3609" s="639">
        <f>E3603</f>
        <v>13</v>
      </c>
    </row>
    <row r="3610" spans="1:8" s="201" customFormat="1">
      <c r="A3610" s="582"/>
      <c r="B3610" s="582"/>
      <c r="C3610" s="212"/>
      <c r="D3610" s="718" t="s">
        <v>130</v>
      </c>
      <c r="E3610" s="718"/>
      <c r="F3610" s="718"/>
      <c r="G3610" s="718"/>
      <c r="H3610" s="213">
        <f>ROUND(H3608*H3609,2)</f>
        <v>9605.7000000000007</v>
      </c>
    </row>
    <row r="3611" spans="1:8" s="201" customFormat="1">
      <c r="A3611" s="582"/>
      <c r="B3611" s="582"/>
      <c r="C3611" s="212"/>
      <c r="D3611" s="719" t="s">
        <v>15559</v>
      </c>
      <c r="E3611" s="719"/>
      <c r="F3611" s="719"/>
      <c r="G3611" s="719"/>
      <c r="H3611" s="638">
        <f>ROUND(H3608*$B$13,2)</f>
        <v>198.99</v>
      </c>
    </row>
    <row r="3612" spans="1:8">
      <c r="A3612" s="582"/>
      <c r="B3612" s="582"/>
      <c r="C3612" s="212"/>
      <c r="D3612" s="718" t="s">
        <v>9661</v>
      </c>
      <c r="E3612" s="718"/>
      <c r="F3612" s="718"/>
      <c r="G3612" s="718"/>
      <c r="H3612" s="213">
        <f>H3611+H3608</f>
        <v>937.8900000000001</v>
      </c>
    </row>
    <row r="3614" spans="1:8" s="201" customFormat="1">
      <c r="A3614" s="123" t="s">
        <v>6</v>
      </c>
      <c r="B3614" s="720" t="s">
        <v>7</v>
      </c>
      <c r="C3614" s="720"/>
      <c r="D3614" s="202" t="s">
        <v>124</v>
      </c>
      <c r="E3614" s="167" t="s">
        <v>6334</v>
      </c>
      <c r="F3614" s="202" t="s">
        <v>31</v>
      </c>
      <c r="G3614" s="203" t="s">
        <v>125</v>
      </c>
      <c r="H3614" s="204" t="s">
        <v>126</v>
      </c>
    </row>
    <row r="3615" spans="1:8" s="208" customFormat="1" ht="30">
      <c r="A3615" s="581" t="str">
        <f>'Orç - Prédio'!A549</f>
        <v>06.01.415</v>
      </c>
      <c r="B3615" s="581" t="str">
        <f>'Orç - Prédio'!B549</f>
        <v>ORSE</v>
      </c>
      <c r="C3615" s="581">
        <f>'Orç - Prédio'!C549</f>
        <v>7384</v>
      </c>
      <c r="D3615" s="205" t="s">
        <v>8544</v>
      </c>
      <c r="E3615" s="206">
        <v>1502</v>
      </c>
      <c r="F3615" s="581" t="s">
        <v>6774</v>
      </c>
      <c r="G3615" s="207">
        <f>VLOOKUP("CUSTO TOTAL UNIT.:",D3616:$H$30004,5,FALSE)</f>
        <v>12.93</v>
      </c>
      <c r="H3615" s="637">
        <f>VLOOKUP("CUSTO TOTAL:",D3616:$H$30004,5,FALSE)</f>
        <v>19420.86</v>
      </c>
    </row>
    <row r="3616" spans="1:8" s="124" customFormat="1" ht="30">
      <c r="A3616" s="721">
        <v>2422</v>
      </c>
      <c r="B3616" s="721"/>
      <c r="C3616" s="184" t="s">
        <v>6333</v>
      </c>
      <c r="D3616" s="185" t="s">
        <v>8546</v>
      </c>
      <c r="E3616" s="209">
        <v>1</v>
      </c>
      <c r="F3616" s="577" t="s">
        <v>31</v>
      </c>
      <c r="G3616" s="174">
        <v>4.7142000000000008</v>
      </c>
      <c r="H3616" s="211">
        <f>ROUND(G3616*E3616,2)</f>
        <v>4.71</v>
      </c>
    </row>
    <row r="3617" spans="1:8" s="124" customFormat="1" ht="30">
      <c r="A3617" s="721">
        <v>88264</v>
      </c>
      <c r="B3617" s="721"/>
      <c r="C3617" s="200" t="s">
        <v>5256</v>
      </c>
      <c r="D3617" s="139" t="s">
        <v>84</v>
      </c>
      <c r="E3617" s="209">
        <v>0.3</v>
      </c>
      <c r="F3617" s="577" t="s">
        <v>67</v>
      </c>
      <c r="G3617" s="210">
        <v>15.778800000000002</v>
      </c>
      <c r="H3617" s="211">
        <f>ROUND(G3617*E3617,2)</f>
        <v>4.7300000000000004</v>
      </c>
    </row>
    <row r="3618" spans="1:8" s="124" customFormat="1" ht="30">
      <c r="A3618" s="721">
        <v>88316</v>
      </c>
      <c r="B3618" s="721"/>
      <c r="C3618" s="200" t="s">
        <v>5256</v>
      </c>
      <c r="D3618" s="139" t="s">
        <v>66</v>
      </c>
      <c r="E3618" s="209">
        <v>0.3</v>
      </c>
      <c r="F3618" s="577" t="s">
        <v>67</v>
      </c>
      <c r="G3618" s="210">
        <v>11.631600000000001</v>
      </c>
      <c r="H3618" s="211">
        <f>ROUND(G3618*E3618,2)</f>
        <v>3.49</v>
      </c>
    </row>
    <row r="3619" spans="1:8" s="201" customFormat="1">
      <c r="A3619" s="582"/>
      <c r="B3619" s="582"/>
      <c r="C3619" s="212"/>
      <c r="D3619" s="719" t="s">
        <v>127</v>
      </c>
      <c r="E3619" s="719"/>
      <c r="F3619" s="719"/>
      <c r="G3619" s="719"/>
      <c r="H3619" s="638">
        <f>SUMIF(F3616:F3618,("h"),H3616:H3618)</f>
        <v>8.2200000000000006</v>
      </c>
    </row>
    <row r="3620" spans="1:8" s="201" customFormat="1">
      <c r="A3620" s="582"/>
      <c r="B3620" s="582"/>
      <c r="C3620" s="212"/>
      <c r="D3620" s="719" t="s">
        <v>128</v>
      </c>
      <c r="E3620" s="719"/>
      <c r="F3620" s="719"/>
      <c r="G3620" s="719"/>
      <c r="H3620" s="638">
        <f>SUMIF(F3616:F3618,"&lt;&gt;h",H3616:H3618)</f>
        <v>4.71</v>
      </c>
    </row>
    <row r="3621" spans="1:8" s="201" customFormat="1">
      <c r="A3621" s="582"/>
      <c r="B3621" s="582"/>
      <c r="C3621" s="212"/>
      <c r="D3621" s="718" t="s">
        <v>129</v>
      </c>
      <c r="E3621" s="718"/>
      <c r="F3621" s="718"/>
      <c r="G3621" s="718"/>
      <c r="H3621" s="213">
        <f>SUM(H3619:H3620)</f>
        <v>12.93</v>
      </c>
    </row>
    <row r="3622" spans="1:8" s="201" customFormat="1">
      <c r="A3622" s="582"/>
      <c r="B3622" s="582"/>
      <c r="C3622" s="212"/>
      <c r="D3622" s="719" t="s">
        <v>28</v>
      </c>
      <c r="E3622" s="719"/>
      <c r="F3622" s="719"/>
      <c r="G3622" s="719"/>
      <c r="H3622" s="639">
        <f>E3615</f>
        <v>1502</v>
      </c>
    </row>
    <row r="3623" spans="1:8" s="201" customFormat="1">
      <c r="A3623" s="582"/>
      <c r="B3623" s="582"/>
      <c r="C3623" s="212"/>
      <c r="D3623" s="718" t="s">
        <v>130</v>
      </c>
      <c r="E3623" s="718"/>
      <c r="F3623" s="718"/>
      <c r="G3623" s="718"/>
      <c r="H3623" s="213">
        <f>ROUND(H3621*H3622,2)</f>
        <v>19420.86</v>
      </c>
    </row>
    <row r="3624" spans="1:8" s="201" customFormat="1">
      <c r="A3624" s="582"/>
      <c r="B3624" s="582"/>
      <c r="C3624" s="212"/>
      <c r="D3624" s="719" t="s">
        <v>15559</v>
      </c>
      <c r="E3624" s="719"/>
      <c r="F3624" s="719"/>
      <c r="G3624" s="719"/>
      <c r="H3624" s="638">
        <f>ROUND(H3621*$B$13,2)</f>
        <v>3.48</v>
      </c>
    </row>
    <row r="3625" spans="1:8">
      <c r="A3625" s="582"/>
      <c r="B3625" s="582"/>
      <c r="C3625" s="212"/>
      <c r="D3625" s="718" t="s">
        <v>9661</v>
      </c>
      <c r="E3625" s="718"/>
      <c r="F3625" s="718"/>
      <c r="G3625" s="718"/>
      <c r="H3625" s="213">
        <f>H3624+H3621</f>
        <v>16.41</v>
      </c>
    </row>
    <row r="3627" spans="1:8" s="201" customFormat="1">
      <c r="A3627" s="123" t="s">
        <v>6</v>
      </c>
      <c r="B3627" s="720" t="s">
        <v>7</v>
      </c>
      <c r="C3627" s="720"/>
      <c r="D3627" s="202" t="s">
        <v>124</v>
      </c>
      <c r="E3627" s="167" t="s">
        <v>6334</v>
      </c>
      <c r="F3627" s="202" t="s">
        <v>31</v>
      </c>
      <c r="G3627" s="203" t="s">
        <v>125</v>
      </c>
      <c r="H3627" s="204" t="s">
        <v>126</v>
      </c>
    </row>
    <row r="3628" spans="1:8" s="208" customFormat="1" ht="30">
      <c r="A3628" s="581" t="str">
        <f>'Orç - Prédio'!A550</f>
        <v>06.01.416</v>
      </c>
      <c r="B3628" s="581" t="str">
        <f>'Orç - Prédio'!B550</f>
        <v>ORSE</v>
      </c>
      <c r="C3628" s="581">
        <f>'Orç - Prédio'!C550</f>
        <v>723</v>
      </c>
      <c r="D3628" s="205" t="s">
        <v>8545</v>
      </c>
      <c r="E3628" s="206">
        <v>310</v>
      </c>
      <c r="F3628" s="581" t="s">
        <v>6337</v>
      </c>
      <c r="G3628" s="207">
        <f>VLOOKUP("CUSTO TOTAL UNIT.:",D3629:$H$30004,5,FALSE)</f>
        <v>3.19</v>
      </c>
      <c r="H3628" s="637">
        <f>VLOOKUP("CUSTO TOTAL:",D3629:$H$30004,5,FALSE)</f>
        <v>988.9</v>
      </c>
    </row>
    <row r="3629" spans="1:8" s="124" customFormat="1">
      <c r="A3629" s="721">
        <v>2003</v>
      </c>
      <c r="B3629" s="721"/>
      <c r="C3629" s="184" t="s">
        <v>6333</v>
      </c>
      <c r="D3629" s="185" t="s">
        <v>8547</v>
      </c>
      <c r="E3629" s="209">
        <v>1</v>
      </c>
      <c r="F3629" s="577" t="s">
        <v>31</v>
      </c>
      <c r="G3629" s="174">
        <v>1.5389999999999999</v>
      </c>
      <c r="H3629" s="211">
        <f>ROUND(G3629*E3629,2)</f>
        <v>1.54</v>
      </c>
    </row>
    <row r="3630" spans="1:8" s="124" customFormat="1" ht="30">
      <c r="A3630" s="721">
        <v>88264</v>
      </c>
      <c r="B3630" s="721"/>
      <c r="C3630" s="200" t="s">
        <v>5256</v>
      </c>
      <c r="D3630" s="139" t="s">
        <v>84</v>
      </c>
      <c r="E3630" s="209">
        <v>0.06</v>
      </c>
      <c r="F3630" s="577" t="s">
        <v>67</v>
      </c>
      <c r="G3630" s="210">
        <v>15.778800000000002</v>
      </c>
      <c r="H3630" s="211">
        <f>ROUND(G3630*E3630,2)</f>
        <v>0.95</v>
      </c>
    </row>
    <row r="3631" spans="1:8" s="124" customFormat="1" ht="30">
      <c r="A3631" s="721">
        <v>88316</v>
      </c>
      <c r="B3631" s="721"/>
      <c r="C3631" s="200" t="s">
        <v>5256</v>
      </c>
      <c r="D3631" s="139" t="s">
        <v>66</v>
      </c>
      <c r="E3631" s="209">
        <v>0.06</v>
      </c>
      <c r="F3631" s="577" t="s">
        <v>67</v>
      </c>
      <c r="G3631" s="210">
        <v>11.631600000000001</v>
      </c>
      <c r="H3631" s="211">
        <f>ROUND(G3631*E3631,2)</f>
        <v>0.7</v>
      </c>
    </row>
    <row r="3632" spans="1:8" s="201" customFormat="1">
      <c r="A3632" s="582"/>
      <c r="B3632" s="582"/>
      <c r="C3632" s="212"/>
      <c r="D3632" s="719" t="s">
        <v>127</v>
      </c>
      <c r="E3632" s="719"/>
      <c r="F3632" s="719"/>
      <c r="G3632" s="719"/>
      <c r="H3632" s="638">
        <f>SUMIF(F3629:F3631,("h"),H3629:H3631)</f>
        <v>1.65</v>
      </c>
    </row>
    <row r="3633" spans="1:9" s="201" customFormat="1">
      <c r="A3633" s="582"/>
      <c r="B3633" s="582"/>
      <c r="C3633" s="212"/>
      <c r="D3633" s="719" t="s">
        <v>128</v>
      </c>
      <c r="E3633" s="719"/>
      <c r="F3633" s="719"/>
      <c r="G3633" s="719"/>
      <c r="H3633" s="638">
        <f>SUMIF(F3629:F3631,"&lt;&gt;h",H3629:H3631)</f>
        <v>1.54</v>
      </c>
    </row>
    <row r="3634" spans="1:9" s="201" customFormat="1">
      <c r="A3634" s="582"/>
      <c r="B3634" s="582"/>
      <c r="C3634" s="212"/>
      <c r="D3634" s="718" t="s">
        <v>129</v>
      </c>
      <c r="E3634" s="718"/>
      <c r="F3634" s="718"/>
      <c r="G3634" s="718"/>
      <c r="H3634" s="213">
        <f>SUM(H3632:H3633)</f>
        <v>3.19</v>
      </c>
    </row>
    <row r="3635" spans="1:9" s="201" customFormat="1">
      <c r="A3635" s="582"/>
      <c r="B3635" s="582"/>
      <c r="C3635" s="212"/>
      <c r="D3635" s="719" t="s">
        <v>28</v>
      </c>
      <c r="E3635" s="719"/>
      <c r="F3635" s="719"/>
      <c r="G3635" s="719"/>
      <c r="H3635" s="639">
        <f>E3628</f>
        <v>310</v>
      </c>
    </row>
    <row r="3636" spans="1:9" s="201" customFormat="1">
      <c r="A3636" s="582"/>
      <c r="B3636" s="582"/>
      <c r="C3636" s="212"/>
      <c r="D3636" s="718" t="s">
        <v>130</v>
      </c>
      <c r="E3636" s="718"/>
      <c r="F3636" s="718"/>
      <c r="G3636" s="718"/>
      <c r="H3636" s="213">
        <f>ROUND(H3634*H3635,2)</f>
        <v>988.9</v>
      </c>
    </row>
    <row r="3637" spans="1:9" s="201" customFormat="1">
      <c r="A3637" s="582"/>
      <c r="B3637" s="582"/>
      <c r="C3637" s="212"/>
      <c r="D3637" s="719" t="s">
        <v>15559</v>
      </c>
      <c r="E3637" s="719"/>
      <c r="F3637" s="719"/>
      <c r="G3637" s="719"/>
      <c r="H3637" s="638">
        <f>ROUND(H3634*$B$13,2)</f>
        <v>0.86</v>
      </c>
    </row>
    <row r="3638" spans="1:9">
      <c r="A3638" s="582"/>
      <c r="B3638" s="582"/>
      <c r="C3638" s="212"/>
      <c r="D3638" s="718" t="s">
        <v>9661</v>
      </c>
      <c r="E3638" s="718"/>
      <c r="F3638" s="718"/>
      <c r="G3638" s="718"/>
      <c r="H3638" s="213">
        <f>H3637+H3634</f>
        <v>4.05</v>
      </c>
    </row>
    <row r="3640" spans="1:9" s="201" customFormat="1">
      <c r="A3640" s="123" t="s">
        <v>6</v>
      </c>
      <c r="B3640" s="720" t="s">
        <v>7</v>
      </c>
      <c r="C3640" s="720"/>
      <c r="D3640" s="202" t="s">
        <v>124</v>
      </c>
      <c r="E3640" s="167" t="s">
        <v>6334</v>
      </c>
      <c r="F3640" s="202" t="s">
        <v>31</v>
      </c>
      <c r="G3640" s="203" t="s">
        <v>125</v>
      </c>
      <c r="H3640" s="204" t="s">
        <v>126</v>
      </c>
    </row>
    <row r="3641" spans="1:9" s="208" customFormat="1" ht="30">
      <c r="A3641" s="581" t="str">
        <f>'Orç - Prédio'!A555</f>
        <v>06.01.504.01</v>
      </c>
      <c r="B3641" s="581" t="str">
        <f>'Orç - Prédio'!B555</f>
        <v>ORSE</v>
      </c>
      <c r="C3641" s="581" t="str">
        <f>'Orç - Prédio'!C555</f>
        <v>VEGAA 11814</v>
      </c>
      <c r="D3641" s="205" t="s">
        <v>7348</v>
      </c>
      <c r="E3641" s="206">
        <v>200</v>
      </c>
      <c r="F3641" s="581" t="s">
        <v>6774</v>
      </c>
      <c r="G3641" s="207">
        <f>VLOOKUP("CUSTO TOTAL UNIT.:",D3642:$H$30004,5,FALSE)</f>
        <v>3.18</v>
      </c>
      <c r="H3641" s="637">
        <f>VLOOKUP("CUSTO TOTAL:",D3642:$H$30004,5,FALSE)</f>
        <v>636</v>
      </c>
    </row>
    <row r="3642" spans="1:9" s="124" customFormat="1">
      <c r="A3642" s="721">
        <v>11094</v>
      </c>
      <c r="B3642" s="721"/>
      <c r="C3642" s="184" t="s">
        <v>6333</v>
      </c>
      <c r="D3642" s="185" t="s">
        <v>7355</v>
      </c>
      <c r="E3642" s="209">
        <v>1</v>
      </c>
      <c r="F3642" s="577" t="s">
        <v>139</v>
      </c>
      <c r="G3642" s="174">
        <v>0.94</v>
      </c>
      <c r="H3642" s="211">
        <f>ROUND(G3642*E3642,2)</f>
        <v>0.94</v>
      </c>
    </row>
    <row r="3643" spans="1:9" s="124" customFormat="1" ht="30">
      <c r="A3643" s="721">
        <v>88247</v>
      </c>
      <c r="B3643" s="721"/>
      <c r="C3643" s="200" t="s">
        <v>5256</v>
      </c>
      <c r="D3643" s="139" t="s">
        <v>74</v>
      </c>
      <c r="E3643" s="209">
        <v>0.18</v>
      </c>
      <c r="F3643" s="577" t="s">
        <v>67</v>
      </c>
      <c r="G3643" s="210">
        <v>12.425400000000002</v>
      </c>
      <c r="H3643" s="211">
        <f>ROUND(G3643*E3643,2)</f>
        <v>2.2400000000000002</v>
      </c>
    </row>
    <row r="3644" spans="1:9" s="201" customFormat="1">
      <c r="A3644" s="582"/>
      <c r="B3644" s="582"/>
      <c r="C3644" s="212"/>
      <c r="D3644" s="719" t="s">
        <v>127</v>
      </c>
      <c r="E3644" s="719"/>
      <c r="F3644" s="719"/>
      <c r="G3644" s="719"/>
      <c r="H3644" s="638">
        <f>SUMIF(F3642:F3643,("h"),H3642:H3643)</f>
        <v>2.2400000000000002</v>
      </c>
    </row>
    <row r="3645" spans="1:9" s="201" customFormat="1">
      <c r="A3645" s="582"/>
      <c r="B3645" s="582"/>
      <c r="C3645" s="212"/>
      <c r="D3645" s="719" t="s">
        <v>128</v>
      </c>
      <c r="E3645" s="719"/>
      <c r="F3645" s="719"/>
      <c r="G3645" s="719"/>
      <c r="H3645" s="638">
        <f>SUMIF(F3642:F3643,"&lt;&gt;h",H3642:H3643)</f>
        <v>0.94</v>
      </c>
      <c r="I3645" s="641"/>
    </row>
    <row r="3646" spans="1:9" s="201" customFormat="1">
      <c r="A3646" s="582"/>
      <c r="B3646" s="582"/>
      <c r="C3646" s="212"/>
      <c r="D3646" s="718" t="s">
        <v>129</v>
      </c>
      <c r="E3646" s="718"/>
      <c r="F3646" s="718"/>
      <c r="G3646" s="718"/>
      <c r="H3646" s="213">
        <f>SUM(H3644:H3645)</f>
        <v>3.18</v>
      </c>
    </row>
    <row r="3647" spans="1:9" s="201" customFormat="1">
      <c r="A3647" s="582"/>
      <c r="B3647" s="582"/>
      <c r="C3647" s="212"/>
      <c r="D3647" s="719" t="s">
        <v>28</v>
      </c>
      <c r="E3647" s="719"/>
      <c r="F3647" s="719"/>
      <c r="G3647" s="719"/>
      <c r="H3647" s="639">
        <f>E3641</f>
        <v>200</v>
      </c>
    </row>
    <row r="3648" spans="1:9" s="201" customFormat="1">
      <c r="A3648" s="582"/>
      <c r="B3648" s="582"/>
      <c r="C3648" s="212"/>
      <c r="D3648" s="718" t="s">
        <v>130</v>
      </c>
      <c r="E3648" s="718"/>
      <c r="F3648" s="718"/>
      <c r="G3648" s="718"/>
      <c r="H3648" s="213">
        <f>ROUND(H3646*H3647,2)</f>
        <v>636</v>
      </c>
    </row>
    <row r="3649" spans="1:8" s="201" customFormat="1">
      <c r="A3649" s="582"/>
      <c r="B3649" s="582"/>
      <c r="C3649" s="212"/>
      <c r="D3649" s="719" t="s">
        <v>15559</v>
      </c>
      <c r="E3649" s="719"/>
      <c r="F3649" s="719"/>
      <c r="G3649" s="719"/>
      <c r="H3649" s="638">
        <f>ROUND(H3646*$B$13,2)</f>
        <v>0.86</v>
      </c>
    </row>
    <row r="3650" spans="1:8">
      <c r="A3650" s="582"/>
      <c r="B3650" s="582"/>
      <c r="C3650" s="212"/>
      <c r="D3650" s="718" t="s">
        <v>9661</v>
      </c>
      <c r="E3650" s="718"/>
      <c r="F3650" s="718"/>
      <c r="G3650" s="718"/>
      <c r="H3650" s="213">
        <f>H3649+H3646</f>
        <v>4.04</v>
      </c>
    </row>
    <row r="3652" spans="1:8" s="201" customFormat="1">
      <c r="A3652" s="123" t="s">
        <v>6</v>
      </c>
      <c r="B3652" s="720" t="s">
        <v>7</v>
      </c>
      <c r="C3652" s="720"/>
      <c r="D3652" s="202" t="s">
        <v>124</v>
      </c>
      <c r="E3652" s="167" t="s">
        <v>6334</v>
      </c>
      <c r="F3652" s="202" t="s">
        <v>31</v>
      </c>
      <c r="G3652" s="203" t="s">
        <v>125</v>
      </c>
      <c r="H3652" s="204" t="s">
        <v>126</v>
      </c>
    </row>
    <row r="3653" spans="1:8" s="208" customFormat="1" ht="30">
      <c r="A3653" s="581" t="str">
        <f>'Orç - Prédio'!A558</f>
        <v>06.01.504.04</v>
      </c>
      <c r="B3653" s="216" t="str">
        <f>'Orç - Prédio'!B558</f>
        <v>SBC</v>
      </c>
      <c r="C3653" s="216">
        <f>'Orç - Prédio'!C558</f>
        <v>78051</v>
      </c>
      <c r="D3653" s="217" t="s">
        <v>7349</v>
      </c>
      <c r="E3653" s="206">
        <v>120</v>
      </c>
      <c r="F3653" s="216" t="s">
        <v>6337</v>
      </c>
      <c r="G3653" s="207">
        <f>VLOOKUP("CUSTO TOTAL UNIT.:",D3654:$H$30004,5,FALSE)</f>
        <v>33.130000000000003</v>
      </c>
      <c r="H3653" s="637">
        <f>VLOOKUP("CUSTO TOTAL:",D3654:$H$30004,5,FALSE)</f>
        <v>3975.6</v>
      </c>
    </row>
    <row r="3654" spans="1:8" s="124" customFormat="1">
      <c r="A3654" s="721">
        <v>12062</v>
      </c>
      <c r="B3654" s="721"/>
      <c r="C3654" s="184" t="s">
        <v>6799</v>
      </c>
      <c r="D3654" s="185" t="s">
        <v>7356</v>
      </c>
      <c r="E3654" s="209">
        <v>0.04</v>
      </c>
      <c r="F3654" s="577" t="s">
        <v>31</v>
      </c>
      <c r="G3654" s="210">
        <v>144.666</v>
      </c>
      <c r="H3654" s="211">
        <f t="shared" ref="H3654:H3659" si="92">ROUND(G3654*E3654,2)</f>
        <v>5.79</v>
      </c>
    </row>
    <row r="3655" spans="1:8" s="124" customFormat="1" ht="30">
      <c r="A3655" s="721">
        <v>71889</v>
      </c>
      <c r="B3655" s="721"/>
      <c r="C3655" s="184" t="s">
        <v>6799</v>
      </c>
      <c r="D3655" s="185" t="s">
        <v>7357</v>
      </c>
      <c r="E3655" s="209">
        <v>1</v>
      </c>
      <c r="F3655" s="577" t="s">
        <v>31</v>
      </c>
      <c r="G3655" s="210">
        <v>7.8813000000000013</v>
      </c>
      <c r="H3655" s="211">
        <f t="shared" si="92"/>
        <v>7.88</v>
      </c>
    </row>
    <row r="3656" spans="1:8" s="124" customFormat="1" ht="30">
      <c r="A3656" s="721">
        <v>87547</v>
      </c>
      <c r="B3656" s="721"/>
      <c r="C3656" s="184" t="s">
        <v>6799</v>
      </c>
      <c r="D3656" s="185" t="s">
        <v>7358</v>
      </c>
      <c r="E3656" s="209">
        <v>3.3000000000000002E-2</v>
      </c>
      <c r="F3656" s="577" t="s">
        <v>31</v>
      </c>
      <c r="G3656" s="210">
        <v>68.040000000000006</v>
      </c>
      <c r="H3656" s="211">
        <f t="shared" si="92"/>
        <v>2.25</v>
      </c>
    </row>
    <row r="3657" spans="1:8" s="124" customFormat="1">
      <c r="A3657" s="721">
        <v>163358</v>
      </c>
      <c r="B3657" s="721"/>
      <c r="C3657" s="184" t="s">
        <v>6799</v>
      </c>
      <c r="D3657" s="185" t="s">
        <v>7359</v>
      </c>
      <c r="E3657" s="209">
        <v>1.0660000000000001</v>
      </c>
      <c r="F3657" s="577" t="s">
        <v>31</v>
      </c>
      <c r="G3657" s="210">
        <v>2.0412000000000003</v>
      </c>
      <c r="H3657" s="211">
        <f t="shared" si="92"/>
        <v>2.1800000000000002</v>
      </c>
    </row>
    <row r="3658" spans="1:8" s="124" customFormat="1" ht="30">
      <c r="A3658" s="721">
        <v>88264</v>
      </c>
      <c r="B3658" s="721"/>
      <c r="C3658" s="200" t="s">
        <v>5256</v>
      </c>
      <c r="D3658" s="139" t="s">
        <v>84</v>
      </c>
      <c r="E3658" s="209">
        <v>0.53300000000000003</v>
      </c>
      <c r="F3658" s="577" t="s">
        <v>67</v>
      </c>
      <c r="G3658" s="210">
        <v>15.778800000000002</v>
      </c>
      <c r="H3658" s="211">
        <f t="shared" si="92"/>
        <v>8.41</v>
      </c>
    </row>
    <row r="3659" spans="1:8" s="124" customFormat="1" ht="30">
      <c r="A3659" s="721">
        <v>88247</v>
      </c>
      <c r="B3659" s="721"/>
      <c r="C3659" s="200" t="s">
        <v>5256</v>
      </c>
      <c r="D3659" s="139" t="s">
        <v>74</v>
      </c>
      <c r="E3659" s="209">
        <v>0.53300000000000003</v>
      </c>
      <c r="F3659" s="577" t="s">
        <v>67</v>
      </c>
      <c r="G3659" s="210">
        <v>12.425400000000002</v>
      </c>
      <c r="H3659" s="211">
        <f t="shared" si="92"/>
        <v>6.62</v>
      </c>
    </row>
    <row r="3660" spans="1:8" s="201" customFormat="1">
      <c r="A3660" s="582"/>
      <c r="B3660" s="582"/>
      <c r="C3660" s="212"/>
      <c r="D3660" s="719" t="s">
        <v>127</v>
      </c>
      <c r="E3660" s="719"/>
      <c r="F3660" s="719"/>
      <c r="G3660" s="719"/>
      <c r="H3660" s="638">
        <f>SUMIF(F3654:F3659,("h"),H3654:H3659)</f>
        <v>15.030000000000001</v>
      </c>
    </row>
    <row r="3661" spans="1:8" s="201" customFormat="1">
      <c r="A3661" s="582"/>
      <c r="B3661" s="582"/>
      <c r="C3661" s="212"/>
      <c r="D3661" s="719" t="s">
        <v>128</v>
      </c>
      <c r="E3661" s="719"/>
      <c r="F3661" s="719"/>
      <c r="G3661" s="719"/>
      <c r="H3661" s="638">
        <f>SUMIF(F3654:F3659,"&lt;&gt;h",H3654:H3659)</f>
        <v>18.100000000000001</v>
      </c>
    </row>
    <row r="3662" spans="1:8" s="201" customFormat="1">
      <c r="A3662" s="582"/>
      <c r="B3662" s="582"/>
      <c r="C3662" s="212"/>
      <c r="D3662" s="718" t="s">
        <v>129</v>
      </c>
      <c r="E3662" s="718"/>
      <c r="F3662" s="718"/>
      <c r="G3662" s="718"/>
      <c r="H3662" s="213">
        <f>SUM(H3660:H3661)</f>
        <v>33.130000000000003</v>
      </c>
    </row>
    <row r="3663" spans="1:8" s="201" customFormat="1">
      <c r="A3663" s="582"/>
      <c r="B3663" s="582"/>
      <c r="C3663" s="212"/>
      <c r="D3663" s="719" t="s">
        <v>28</v>
      </c>
      <c r="E3663" s="719"/>
      <c r="F3663" s="719"/>
      <c r="G3663" s="719"/>
      <c r="H3663" s="639">
        <f>E3653</f>
        <v>120</v>
      </c>
    </row>
    <row r="3664" spans="1:8" s="201" customFormat="1">
      <c r="A3664" s="582"/>
      <c r="B3664" s="582"/>
      <c r="C3664" s="212"/>
      <c r="D3664" s="718" t="s">
        <v>130</v>
      </c>
      <c r="E3664" s="718"/>
      <c r="F3664" s="718"/>
      <c r="G3664" s="718"/>
      <c r="H3664" s="213">
        <f>ROUND(H3662*H3663,2)</f>
        <v>3975.6</v>
      </c>
    </row>
    <row r="3665" spans="1:8" s="201" customFormat="1">
      <c r="A3665" s="582"/>
      <c r="B3665" s="582"/>
      <c r="C3665" s="212"/>
      <c r="D3665" s="719" t="s">
        <v>15559</v>
      </c>
      <c r="E3665" s="719"/>
      <c r="F3665" s="719"/>
      <c r="G3665" s="719"/>
      <c r="H3665" s="638">
        <f>ROUND(H3662*$B$13,2)</f>
        <v>8.92</v>
      </c>
    </row>
    <row r="3666" spans="1:8">
      <c r="A3666" s="582"/>
      <c r="B3666" s="582"/>
      <c r="C3666" s="212"/>
      <c r="D3666" s="718" t="s">
        <v>9661</v>
      </c>
      <c r="E3666" s="718"/>
      <c r="F3666" s="718"/>
      <c r="G3666" s="718"/>
      <c r="H3666" s="213">
        <f>H3665+H3662</f>
        <v>42.050000000000004</v>
      </c>
    </row>
    <row r="3668" spans="1:8" s="201" customFormat="1">
      <c r="A3668" s="123" t="s">
        <v>6</v>
      </c>
      <c r="B3668" s="720" t="s">
        <v>7</v>
      </c>
      <c r="C3668" s="720"/>
      <c r="D3668" s="202" t="s">
        <v>124</v>
      </c>
      <c r="E3668" s="167" t="s">
        <v>6334</v>
      </c>
      <c r="F3668" s="202" t="s">
        <v>31</v>
      </c>
      <c r="G3668" s="203" t="s">
        <v>125</v>
      </c>
      <c r="H3668" s="204" t="s">
        <v>126</v>
      </c>
    </row>
    <row r="3669" spans="1:8" s="208" customFormat="1" ht="30">
      <c r="A3669" s="581" t="str">
        <f>'Orç - Urbanização'!A138</f>
        <v>06.01.506</v>
      </c>
      <c r="B3669" s="581" t="str">
        <f>'Orç - Urbanização'!B138</f>
        <v>SINAPI</v>
      </c>
      <c r="C3669" s="581" t="str">
        <f>'Orç - Urbanização'!C138</f>
        <v>96986 MOD</v>
      </c>
      <c r="D3669" s="205" t="s">
        <v>9243</v>
      </c>
      <c r="E3669" s="206">
        <v>13</v>
      </c>
      <c r="F3669" s="581" t="s">
        <v>6337</v>
      </c>
      <c r="G3669" s="207">
        <f>VLOOKUP("CUSTO TOTAL UNIT.:",D3670:$H$30004,5,FALSE)</f>
        <v>47.6</v>
      </c>
      <c r="H3669" s="637">
        <f>VLOOKUP("CUSTO TOTAL:",D3670:$H$30004,5,FALSE)</f>
        <v>618.79999999999995</v>
      </c>
    </row>
    <row r="3670" spans="1:8" s="124" customFormat="1">
      <c r="A3670" s="721">
        <v>47781</v>
      </c>
      <c r="B3670" s="721"/>
      <c r="C3670" s="200" t="s">
        <v>6799</v>
      </c>
      <c r="D3670" s="139" t="s">
        <v>9244</v>
      </c>
      <c r="E3670" s="209">
        <v>1</v>
      </c>
      <c r="F3670" s="577" t="s">
        <v>31</v>
      </c>
      <c r="G3670" s="210">
        <v>36.450000000000003</v>
      </c>
      <c r="H3670" s="211">
        <f>ROUND(G3670*E3670,2)</f>
        <v>36.450000000000003</v>
      </c>
    </row>
    <row r="3671" spans="1:8" s="124" customFormat="1" ht="30">
      <c r="A3671" s="721">
        <v>88247</v>
      </c>
      <c r="B3671" s="721"/>
      <c r="C3671" s="200" t="s">
        <v>5256</v>
      </c>
      <c r="D3671" s="139" t="s">
        <v>74</v>
      </c>
      <c r="E3671" s="209">
        <v>0.39550000000000002</v>
      </c>
      <c r="F3671" s="577" t="s">
        <v>67</v>
      </c>
      <c r="G3671" s="210">
        <v>12.425400000000002</v>
      </c>
      <c r="H3671" s="211">
        <f>ROUND(G3671*E3671,2)</f>
        <v>4.91</v>
      </c>
    </row>
    <row r="3672" spans="1:8" s="124" customFormat="1" ht="30">
      <c r="A3672" s="721">
        <v>88264</v>
      </c>
      <c r="B3672" s="721"/>
      <c r="C3672" s="200" t="s">
        <v>5256</v>
      </c>
      <c r="D3672" s="139" t="s">
        <v>84</v>
      </c>
      <c r="E3672" s="209">
        <v>0.39550000000000002</v>
      </c>
      <c r="F3672" s="577" t="s">
        <v>67</v>
      </c>
      <c r="G3672" s="210">
        <v>15.778800000000002</v>
      </c>
      <c r="H3672" s="211">
        <f>ROUND(G3672*E3672,2)</f>
        <v>6.24</v>
      </c>
    </row>
    <row r="3673" spans="1:8" s="201" customFormat="1">
      <c r="A3673" s="582"/>
      <c r="B3673" s="582"/>
      <c r="C3673" s="212"/>
      <c r="D3673" s="719" t="s">
        <v>127</v>
      </c>
      <c r="E3673" s="719"/>
      <c r="F3673" s="719"/>
      <c r="G3673" s="719"/>
      <c r="H3673" s="638">
        <f>SUMIF(F3670:F3672,("h"),H3670:H3672)</f>
        <v>11.15</v>
      </c>
    </row>
    <row r="3674" spans="1:8" s="201" customFormat="1">
      <c r="A3674" s="582"/>
      <c r="B3674" s="582"/>
      <c r="C3674" s="212"/>
      <c r="D3674" s="719" t="s">
        <v>128</v>
      </c>
      <c r="E3674" s="719"/>
      <c r="F3674" s="719"/>
      <c r="G3674" s="719"/>
      <c r="H3674" s="638">
        <f>SUMIF(F3670:F3672,"&lt;&gt;h",H3670:H3672)</f>
        <v>36.450000000000003</v>
      </c>
    </row>
    <row r="3675" spans="1:8" s="201" customFormat="1">
      <c r="A3675" s="582"/>
      <c r="B3675" s="582"/>
      <c r="C3675" s="212"/>
      <c r="D3675" s="718" t="s">
        <v>129</v>
      </c>
      <c r="E3675" s="718"/>
      <c r="F3675" s="718"/>
      <c r="G3675" s="718"/>
      <c r="H3675" s="213">
        <f>SUM(H3673:H3674)</f>
        <v>47.6</v>
      </c>
    </row>
    <row r="3676" spans="1:8" s="201" customFormat="1">
      <c r="A3676" s="582"/>
      <c r="B3676" s="582"/>
      <c r="C3676" s="212"/>
      <c r="D3676" s="719" t="s">
        <v>28</v>
      </c>
      <c r="E3676" s="719"/>
      <c r="F3676" s="719"/>
      <c r="G3676" s="719"/>
      <c r="H3676" s="639">
        <f>E3669</f>
        <v>13</v>
      </c>
    </row>
    <row r="3677" spans="1:8" s="201" customFormat="1">
      <c r="A3677" s="582"/>
      <c r="B3677" s="582"/>
      <c r="C3677" s="212"/>
      <c r="D3677" s="718" t="s">
        <v>130</v>
      </c>
      <c r="E3677" s="718"/>
      <c r="F3677" s="718"/>
      <c r="G3677" s="718"/>
      <c r="H3677" s="213">
        <f>ROUND(H3675*H3676,2)</f>
        <v>618.79999999999995</v>
      </c>
    </row>
    <row r="3678" spans="1:8" s="201" customFormat="1">
      <c r="A3678" s="582"/>
      <c r="B3678" s="582"/>
      <c r="C3678" s="212"/>
      <c r="D3678" s="719" t="s">
        <v>15559</v>
      </c>
      <c r="E3678" s="719"/>
      <c r="F3678" s="719"/>
      <c r="G3678" s="719"/>
      <c r="H3678" s="638">
        <f>ROUND(H3675*$B$13,2)</f>
        <v>12.82</v>
      </c>
    </row>
    <row r="3679" spans="1:8">
      <c r="A3679" s="582"/>
      <c r="B3679" s="582"/>
      <c r="C3679" s="212"/>
      <c r="D3679" s="718" t="s">
        <v>9661</v>
      </c>
      <c r="E3679" s="718"/>
      <c r="F3679" s="718"/>
      <c r="G3679" s="718"/>
      <c r="H3679" s="213">
        <f>H3678+H3675</f>
        <v>60.42</v>
      </c>
    </row>
    <row r="3681" spans="1:8" s="201" customFormat="1">
      <c r="A3681" s="123" t="s">
        <v>6</v>
      </c>
      <c r="B3681" s="720" t="s">
        <v>7</v>
      </c>
      <c r="C3681" s="720"/>
      <c r="D3681" s="202" t="s">
        <v>124</v>
      </c>
      <c r="E3681" s="167" t="s">
        <v>6334</v>
      </c>
      <c r="F3681" s="202" t="s">
        <v>31</v>
      </c>
      <c r="G3681" s="203" t="s">
        <v>125</v>
      </c>
      <c r="H3681" s="204" t="s">
        <v>126</v>
      </c>
    </row>
    <row r="3682" spans="1:8" s="208" customFormat="1" ht="30">
      <c r="A3682" s="581" t="str">
        <f>'Orç - Prédio'!A560</f>
        <v>06.01.508</v>
      </c>
      <c r="B3682" s="581" t="str">
        <f>'Orç - Prédio'!B560</f>
        <v>SBC</v>
      </c>
      <c r="C3682" s="581">
        <f>'Orç - Prédio'!C560</f>
        <v>78850</v>
      </c>
      <c r="D3682" s="205" t="s">
        <v>7352</v>
      </c>
      <c r="E3682" s="206">
        <v>1</v>
      </c>
      <c r="F3682" s="581" t="s">
        <v>6337</v>
      </c>
      <c r="G3682" s="207">
        <f>VLOOKUP("CUSTO TOTAL UNIT.:",D3683:$H$30004,5,FALSE)</f>
        <v>637.04999999999995</v>
      </c>
      <c r="H3682" s="637">
        <f>VLOOKUP("CUSTO TOTAL:",D3683:$H$30004,5,FALSE)</f>
        <v>637.04999999999995</v>
      </c>
    </row>
    <row r="3683" spans="1:8" s="124" customFormat="1" ht="30">
      <c r="A3683" s="721">
        <v>91677</v>
      </c>
      <c r="B3683" s="721"/>
      <c r="C3683" s="200" t="s">
        <v>5256</v>
      </c>
      <c r="D3683" s="139" t="s">
        <v>5155</v>
      </c>
      <c r="E3683" s="209">
        <v>9.0649999999999995</v>
      </c>
      <c r="F3683" s="577" t="s">
        <v>67</v>
      </c>
      <c r="G3683" s="210">
        <v>70.275600000000011</v>
      </c>
      <c r="H3683" s="211">
        <f>ROUND(G3683*E3683,2)</f>
        <v>637.04999999999995</v>
      </c>
    </row>
    <row r="3684" spans="1:8" s="201" customFormat="1">
      <c r="A3684" s="582"/>
      <c r="B3684" s="582"/>
      <c r="C3684" s="212"/>
      <c r="D3684" s="719" t="s">
        <v>127</v>
      </c>
      <c r="E3684" s="719"/>
      <c r="F3684" s="719"/>
      <c r="G3684" s="719"/>
      <c r="H3684" s="638">
        <f>SUMIF(F3683:F3683,("h"),H3683:H3683)</f>
        <v>637.04999999999995</v>
      </c>
    </row>
    <row r="3685" spans="1:8" s="201" customFormat="1">
      <c r="A3685" s="582"/>
      <c r="B3685" s="582"/>
      <c r="C3685" s="212"/>
      <c r="D3685" s="719" t="s">
        <v>128</v>
      </c>
      <c r="E3685" s="719"/>
      <c r="F3685" s="719"/>
      <c r="G3685" s="719"/>
      <c r="H3685" s="638">
        <f>SUMIF(F3683:F3683,"&lt;&gt;h",H3683:H3683)</f>
        <v>0</v>
      </c>
    </row>
    <row r="3686" spans="1:8" s="201" customFormat="1">
      <c r="A3686" s="582"/>
      <c r="B3686" s="582"/>
      <c r="C3686" s="212"/>
      <c r="D3686" s="718" t="s">
        <v>129</v>
      </c>
      <c r="E3686" s="718"/>
      <c r="F3686" s="718"/>
      <c r="G3686" s="718"/>
      <c r="H3686" s="213">
        <f>SUM(H3684:H3685)</f>
        <v>637.04999999999995</v>
      </c>
    </row>
    <row r="3687" spans="1:8" s="201" customFormat="1">
      <c r="A3687" s="582"/>
      <c r="B3687" s="582"/>
      <c r="C3687" s="212"/>
      <c r="D3687" s="719" t="s">
        <v>28</v>
      </c>
      <c r="E3687" s="719"/>
      <c r="F3687" s="719"/>
      <c r="G3687" s="719"/>
      <c r="H3687" s="639">
        <f>E3682</f>
        <v>1</v>
      </c>
    </row>
    <row r="3688" spans="1:8" s="201" customFormat="1">
      <c r="A3688" s="582"/>
      <c r="B3688" s="582"/>
      <c r="C3688" s="212"/>
      <c r="D3688" s="718" t="s">
        <v>130</v>
      </c>
      <c r="E3688" s="718"/>
      <c r="F3688" s="718"/>
      <c r="G3688" s="718"/>
      <c r="H3688" s="213">
        <f>ROUND(H3686*H3687,2)</f>
        <v>637.04999999999995</v>
      </c>
    </row>
    <row r="3689" spans="1:8" s="201" customFormat="1">
      <c r="A3689" s="582"/>
      <c r="B3689" s="582"/>
      <c r="C3689" s="212"/>
      <c r="D3689" s="719" t="s">
        <v>15559</v>
      </c>
      <c r="E3689" s="719"/>
      <c r="F3689" s="719"/>
      <c r="G3689" s="719"/>
      <c r="H3689" s="638">
        <f>ROUND(H3686*$B$13,2)</f>
        <v>171.56</v>
      </c>
    </row>
    <row r="3690" spans="1:8">
      <c r="A3690" s="582"/>
      <c r="B3690" s="582"/>
      <c r="C3690" s="212"/>
      <c r="D3690" s="718" t="s">
        <v>9661</v>
      </c>
      <c r="E3690" s="718"/>
      <c r="F3690" s="718"/>
      <c r="G3690" s="718"/>
      <c r="H3690" s="213">
        <f>H3689+H3686</f>
        <v>808.6099999999999</v>
      </c>
    </row>
    <row r="3692" spans="1:8" s="201" customFormat="1">
      <c r="A3692" s="123" t="s">
        <v>6</v>
      </c>
      <c r="B3692" s="720" t="s">
        <v>7</v>
      </c>
      <c r="C3692" s="720"/>
      <c r="D3692" s="202" t="s">
        <v>124</v>
      </c>
      <c r="E3692" s="167" t="s">
        <v>6334</v>
      </c>
      <c r="F3692" s="202" t="s">
        <v>31</v>
      </c>
      <c r="G3692" s="203" t="s">
        <v>125</v>
      </c>
      <c r="H3692" s="204" t="s">
        <v>126</v>
      </c>
    </row>
    <row r="3693" spans="1:8" s="208" customFormat="1" ht="45">
      <c r="A3693" s="581" t="str">
        <f>'Orç - Prédio'!A565</f>
        <v>06.03.201</v>
      </c>
      <c r="B3693" s="581" t="str">
        <f>'Orç - Prédio'!B565</f>
        <v>ORSE</v>
      </c>
      <c r="C3693" s="581">
        <f>'Orç - Prédio'!C565</f>
        <v>8058</v>
      </c>
      <c r="D3693" s="205" t="s">
        <v>7364</v>
      </c>
      <c r="E3693" s="206">
        <v>2</v>
      </c>
      <c r="F3693" s="581" t="s">
        <v>6337</v>
      </c>
      <c r="G3693" s="207">
        <f>VLOOKUP("CUSTO TOTAL UNIT.:",D3694:$H$30004,5,FALSE)</f>
        <v>253.67</v>
      </c>
      <c r="H3693" s="637">
        <f>VLOOKUP("CUSTO TOTAL:",D3694:$H$30004,5,FALSE)</f>
        <v>507.34</v>
      </c>
    </row>
    <row r="3694" spans="1:8" s="124" customFormat="1" ht="60">
      <c r="A3694" s="721">
        <v>7627</v>
      </c>
      <c r="B3694" s="721"/>
      <c r="C3694" s="200" t="s">
        <v>6333</v>
      </c>
      <c r="D3694" s="185" t="s">
        <v>7372</v>
      </c>
      <c r="E3694" s="209">
        <v>1</v>
      </c>
      <c r="F3694" s="577" t="s">
        <v>31</v>
      </c>
      <c r="G3694" s="174">
        <v>245.77830000000003</v>
      </c>
      <c r="H3694" s="211">
        <f>ROUND(G3694*E3694,2)</f>
        <v>245.78</v>
      </c>
    </row>
    <row r="3695" spans="1:8" s="124" customFormat="1" ht="30">
      <c r="A3695" s="721">
        <v>88264</v>
      </c>
      <c r="B3695" s="721"/>
      <c r="C3695" s="200" t="s">
        <v>5256</v>
      </c>
      <c r="D3695" s="139" t="s">
        <v>84</v>
      </c>
      <c r="E3695" s="209">
        <v>0.5</v>
      </c>
      <c r="F3695" s="577" t="s">
        <v>67</v>
      </c>
      <c r="G3695" s="210">
        <v>15.778800000000002</v>
      </c>
      <c r="H3695" s="211">
        <f>ROUND(G3695*E3695,2)</f>
        <v>7.89</v>
      </c>
    </row>
    <row r="3696" spans="1:8" s="201" customFormat="1">
      <c r="A3696" s="582"/>
      <c r="B3696" s="582"/>
      <c r="C3696" s="212"/>
      <c r="D3696" s="719" t="s">
        <v>127</v>
      </c>
      <c r="E3696" s="719"/>
      <c r="F3696" s="719"/>
      <c r="G3696" s="719"/>
      <c r="H3696" s="638">
        <f>SUMIF(F3694:F3695,("h"),H3694:H3695)</f>
        <v>7.89</v>
      </c>
    </row>
    <row r="3697" spans="1:8" s="201" customFormat="1">
      <c r="A3697" s="582"/>
      <c r="B3697" s="582"/>
      <c r="C3697" s="212"/>
      <c r="D3697" s="719" t="s">
        <v>128</v>
      </c>
      <c r="E3697" s="719"/>
      <c r="F3697" s="719"/>
      <c r="G3697" s="719"/>
      <c r="H3697" s="638">
        <f>SUMIF(F3694:F3695,"&lt;&gt;h",H3694:H3695)</f>
        <v>245.78</v>
      </c>
    </row>
    <row r="3698" spans="1:8" s="201" customFormat="1">
      <c r="A3698" s="582"/>
      <c r="B3698" s="582"/>
      <c r="C3698" s="212"/>
      <c r="D3698" s="718" t="s">
        <v>129</v>
      </c>
      <c r="E3698" s="718"/>
      <c r="F3698" s="718"/>
      <c r="G3698" s="718"/>
      <c r="H3698" s="213">
        <f>SUM(H3696:H3697)</f>
        <v>253.67</v>
      </c>
    </row>
    <row r="3699" spans="1:8" s="201" customFormat="1">
      <c r="A3699" s="582"/>
      <c r="B3699" s="582"/>
      <c r="C3699" s="212"/>
      <c r="D3699" s="719" t="s">
        <v>28</v>
      </c>
      <c r="E3699" s="719"/>
      <c r="F3699" s="719"/>
      <c r="G3699" s="719"/>
      <c r="H3699" s="639">
        <f>E3693</f>
        <v>2</v>
      </c>
    </row>
    <row r="3700" spans="1:8" s="201" customFormat="1">
      <c r="A3700" s="582"/>
      <c r="B3700" s="582"/>
      <c r="C3700" s="212"/>
      <c r="D3700" s="718" t="s">
        <v>130</v>
      </c>
      <c r="E3700" s="718"/>
      <c r="F3700" s="718"/>
      <c r="G3700" s="718"/>
      <c r="H3700" s="213">
        <f>ROUND(H3698*H3699,2)</f>
        <v>507.34</v>
      </c>
    </row>
    <row r="3701" spans="1:8" s="201" customFormat="1">
      <c r="A3701" s="582"/>
      <c r="B3701" s="582"/>
      <c r="C3701" s="212"/>
      <c r="D3701" s="719" t="s">
        <v>15559</v>
      </c>
      <c r="E3701" s="719"/>
      <c r="F3701" s="719"/>
      <c r="G3701" s="719"/>
      <c r="H3701" s="638">
        <f>ROUND(H3698*$B$13,2)</f>
        <v>68.31</v>
      </c>
    </row>
    <row r="3702" spans="1:8">
      <c r="A3702" s="582"/>
      <c r="B3702" s="582"/>
      <c r="C3702" s="212"/>
      <c r="D3702" s="718" t="s">
        <v>9661</v>
      </c>
      <c r="E3702" s="718"/>
      <c r="F3702" s="718"/>
      <c r="G3702" s="718"/>
      <c r="H3702" s="213">
        <f>H3701+H3698</f>
        <v>321.98</v>
      </c>
    </row>
    <row r="3704" spans="1:8" s="201" customFormat="1">
      <c r="A3704" s="123" t="s">
        <v>6</v>
      </c>
      <c r="B3704" s="720" t="s">
        <v>7</v>
      </c>
      <c r="C3704" s="720"/>
      <c r="D3704" s="202" t="s">
        <v>124</v>
      </c>
      <c r="E3704" s="167" t="s">
        <v>6334</v>
      </c>
      <c r="F3704" s="202" t="s">
        <v>31</v>
      </c>
      <c r="G3704" s="203" t="s">
        <v>125</v>
      </c>
      <c r="H3704" s="204" t="s">
        <v>126</v>
      </c>
    </row>
    <row r="3705" spans="1:8" s="208" customFormat="1" ht="30">
      <c r="A3705" s="581" t="str">
        <f>'Orç - Prédio'!A566</f>
        <v>06.03.202</v>
      </c>
      <c r="B3705" s="581" t="str">
        <f>'Orç - Prédio'!B566</f>
        <v>ORSE</v>
      </c>
      <c r="C3705" s="581">
        <f>'Orç - Prédio'!C566</f>
        <v>7861</v>
      </c>
      <c r="D3705" s="205" t="s">
        <v>7365</v>
      </c>
      <c r="E3705" s="206">
        <v>4</v>
      </c>
      <c r="F3705" s="581" t="s">
        <v>6337</v>
      </c>
      <c r="G3705" s="207">
        <f>VLOOKUP("CUSTO TOTAL UNIT.:",D3706:$H$30004,5,FALSE)</f>
        <v>85.5</v>
      </c>
      <c r="H3705" s="637">
        <f>VLOOKUP("CUSTO TOTAL:",D3706:$H$30004,5,FALSE)</f>
        <v>342</v>
      </c>
    </row>
    <row r="3706" spans="1:8" s="124" customFormat="1" ht="30">
      <c r="A3706" s="721">
        <v>7611</v>
      </c>
      <c r="B3706" s="721"/>
      <c r="C3706" s="200" t="s">
        <v>6333</v>
      </c>
      <c r="D3706" s="185" t="s">
        <v>7373</v>
      </c>
      <c r="E3706" s="209">
        <v>1</v>
      </c>
      <c r="F3706" s="577" t="s">
        <v>31</v>
      </c>
      <c r="G3706" s="174">
        <v>71.790300000000002</v>
      </c>
      <c r="H3706" s="211">
        <f>ROUND(G3706*E3706,2)</f>
        <v>71.790000000000006</v>
      </c>
    </row>
    <row r="3707" spans="1:8" s="124" customFormat="1" ht="30">
      <c r="A3707" s="721">
        <v>88264</v>
      </c>
      <c r="B3707" s="721"/>
      <c r="C3707" s="200" t="s">
        <v>5256</v>
      </c>
      <c r="D3707" s="139" t="s">
        <v>84</v>
      </c>
      <c r="E3707" s="209">
        <v>0.5</v>
      </c>
      <c r="F3707" s="577" t="s">
        <v>67</v>
      </c>
      <c r="G3707" s="210">
        <v>15.778800000000002</v>
      </c>
      <c r="H3707" s="211">
        <f>ROUND(G3707*E3707,2)</f>
        <v>7.89</v>
      </c>
    </row>
    <row r="3708" spans="1:8" s="124" customFormat="1" ht="30">
      <c r="A3708" s="721">
        <v>88316</v>
      </c>
      <c r="B3708" s="721"/>
      <c r="C3708" s="200" t="s">
        <v>5256</v>
      </c>
      <c r="D3708" s="139" t="s">
        <v>66</v>
      </c>
      <c r="E3708" s="209">
        <v>0.5</v>
      </c>
      <c r="F3708" s="577" t="s">
        <v>67</v>
      </c>
      <c r="G3708" s="210">
        <v>11.631600000000001</v>
      </c>
      <c r="H3708" s="211">
        <f>ROUND(G3708*E3708,2)</f>
        <v>5.82</v>
      </c>
    </row>
    <row r="3709" spans="1:8" s="201" customFormat="1">
      <c r="A3709" s="582"/>
      <c r="B3709" s="582"/>
      <c r="C3709" s="212"/>
      <c r="D3709" s="719" t="s">
        <v>127</v>
      </c>
      <c r="E3709" s="719"/>
      <c r="F3709" s="719"/>
      <c r="G3709" s="719"/>
      <c r="H3709" s="638">
        <f>SUMIF(F3706:F3708,("h"),H3706:H3708)</f>
        <v>13.71</v>
      </c>
    </row>
    <row r="3710" spans="1:8" s="201" customFormat="1">
      <c r="A3710" s="582"/>
      <c r="B3710" s="582"/>
      <c r="C3710" s="212"/>
      <c r="D3710" s="719" t="s">
        <v>128</v>
      </c>
      <c r="E3710" s="719"/>
      <c r="F3710" s="719"/>
      <c r="G3710" s="719"/>
      <c r="H3710" s="638">
        <f>SUMIF(F3706:F3708,"&lt;&gt;h",H3706:H3708)</f>
        <v>71.790000000000006</v>
      </c>
    </row>
    <row r="3711" spans="1:8" s="201" customFormat="1">
      <c r="A3711" s="582"/>
      <c r="B3711" s="582"/>
      <c r="C3711" s="212"/>
      <c r="D3711" s="718" t="s">
        <v>129</v>
      </c>
      <c r="E3711" s="718"/>
      <c r="F3711" s="718"/>
      <c r="G3711" s="718"/>
      <c r="H3711" s="213">
        <f>SUM(H3709:H3710)</f>
        <v>85.5</v>
      </c>
    </row>
    <row r="3712" spans="1:8" s="201" customFormat="1">
      <c r="A3712" s="582"/>
      <c r="B3712" s="582"/>
      <c r="C3712" s="212"/>
      <c r="D3712" s="719" t="s">
        <v>28</v>
      </c>
      <c r="E3712" s="719"/>
      <c r="F3712" s="719"/>
      <c r="G3712" s="719"/>
      <c r="H3712" s="639">
        <f>E3705</f>
        <v>4</v>
      </c>
    </row>
    <row r="3713" spans="1:8" s="201" customFormat="1">
      <c r="A3713" s="582"/>
      <c r="B3713" s="582"/>
      <c r="C3713" s="212"/>
      <c r="D3713" s="718" t="s">
        <v>130</v>
      </c>
      <c r="E3713" s="718"/>
      <c r="F3713" s="718"/>
      <c r="G3713" s="718"/>
      <c r="H3713" s="213">
        <f>ROUND(H3711*H3712,2)</f>
        <v>342</v>
      </c>
    </row>
    <row r="3714" spans="1:8" s="201" customFormat="1">
      <c r="A3714" s="582"/>
      <c r="B3714" s="582"/>
      <c r="C3714" s="212"/>
      <c r="D3714" s="719" t="s">
        <v>15559</v>
      </c>
      <c r="E3714" s="719"/>
      <c r="F3714" s="719"/>
      <c r="G3714" s="719"/>
      <c r="H3714" s="638">
        <f>ROUND(H3711*$B$13,2)</f>
        <v>23.03</v>
      </c>
    </row>
    <row r="3715" spans="1:8">
      <c r="A3715" s="582"/>
      <c r="B3715" s="582"/>
      <c r="C3715" s="212"/>
      <c r="D3715" s="718" t="s">
        <v>9661</v>
      </c>
      <c r="E3715" s="718"/>
      <c r="F3715" s="718"/>
      <c r="G3715" s="718"/>
      <c r="H3715" s="213">
        <f>H3714+H3711</f>
        <v>108.53</v>
      </c>
    </row>
    <row r="3717" spans="1:8" s="201" customFormat="1">
      <c r="A3717" s="123" t="s">
        <v>6</v>
      </c>
      <c r="B3717" s="720" t="s">
        <v>7</v>
      </c>
      <c r="C3717" s="720"/>
      <c r="D3717" s="202" t="s">
        <v>124</v>
      </c>
      <c r="E3717" s="167" t="s">
        <v>6334</v>
      </c>
      <c r="F3717" s="202" t="s">
        <v>31</v>
      </c>
      <c r="G3717" s="203" t="s">
        <v>125</v>
      </c>
      <c r="H3717" s="204" t="s">
        <v>126</v>
      </c>
    </row>
    <row r="3718" spans="1:8" s="208" customFormat="1" ht="30">
      <c r="A3718" s="581" t="str">
        <f>'Orç - Prédio'!A567</f>
        <v>06.03.203</v>
      </c>
      <c r="B3718" s="581" t="str">
        <f>'Orç - Prédio'!B567</f>
        <v>ORSE</v>
      </c>
      <c r="C3718" s="581">
        <f>'Orç - Prédio'!C567</f>
        <v>11824</v>
      </c>
      <c r="D3718" s="205" t="s">
        <v>7366</v>
      </c>
      <c r="E3718" s="206">
        <v>6</v>
      </c>
      <c r="F3718" s="581" t="s">
        <v>6337</v>
      </c>
      <c r="G3718" s="207">
        <f>VLOOKUP("CUSTO TOTAL UNIT.:",D3719:$H$30004,5,FALSE)</f>
        <v>129.76</v>
      </c>
      <c r="H3718" s="637">
        <f>VLOOKUP("CUSTO TOTAL:",D3719:$H$30004,5,FALSE)</f>
        <v>778.56</v>
      </c>
    </row>
    <row r="3719" spans="1:8" s="124" customFormat="1" ht="30">
      <c r="A3719" s="721">
        <v>12665</v>
      </c>
      <c r="B3719" s="721"/>
      <c r="C3719" s="200" t="s">
        <v>6333</v>
      </c>
      <c r="D3719" s="185" t="s">
        <v>7374</v>
      </c>
      <c r="E3719" s="209">
        <v>1</v>
      </c>
      <c r="F3719" s="577" t="s">
        <v>31</v>
      </c>
      <c r="G3719" s="174">
        <v>110.56500000000001</v>
      </c>
      <c r="H3719" s="211">
        <f>ROUND(G3719*E3719,2)</f>
        <v>110.57</v>
      </c>
    </row>
    <row r="3720" spans="1:8" s="124" customFormat="1" ht="30">
      <c r="A3720" s="721">
        <v>88264</v>
      </c>
      <c r="B3720" s="721"/>
      <c r="C3720" s="200" t="s">
        <v>5256</v>
      </c>
      <c r="D3720" s="139" t="s">
        <v>84</v>
      </c>
      <c r="E3720" s="209">
        <v>0.7</v>
      </c>
      <c r="F3720" s="577" t="s">
        <v>67</v>
      </c>
      <c r="G3720" s="210">
        <v>15.778800000000002</v>
      </c>
      <c r="H3720" s="211">
        <f>ROUND(G3720*E3720,2)</f>
        <v>11.05</v>
      </c>
    </row>
    <row r="3721" spans="1:8" s="124" customFormat="1" ht="30">
      <c r="A3721" s="721">
        <v>88316</v>
      </c>
      <c r="B3721" s="721"/>
      <c r="C3721" s="200" t="s">
        <v>5256</v>
      </c>
      <c r="D3721" s="139" t="s">
        <v>66</v>
      </c>
      <c r="E3721" s="209">
        <v>0.7</v>
      </c>
      <c r="F3721" s="577" t="s">
        <v>67</v>
      </c>
      <c r="G3721" s="210">
        <v>11.631600000000001</v>
      </c>
      <c r="H3721" s="211">
        <f>ROUND(G3721*E3721,2)</f>
        <v>8.14</v>
      </c>
    </row>
    <row r="3722" spans="1:8" s="201" customFormat="1">
      <c r="A3722" s="582"/>
      <c r="B3722" s="582"/>
      <c r="C3722" s="212"/>
      <c r="D3722" s="719" t="s">
        <v>127</v>
      </c>
      <c r="E3722" s="719"/>
      <c r="F3722" s="719"/>
      <c r="G3722" s="719"/>
      <c r="H3722" s="638">
        <f>SUMIF(F3719:F3721,("h"),H3719:H3721)</f>
        <v>19.190000000000001</v>
      </c>
    </row>
    <row r="3723" spans="1:8" s="201" customFormat="1">
      <c r="A3723" s="582"/>
      <c r="B3723" s="582"/>
      <c r="C3723" s="212"/>
      <c r="D3723" s="719" t="s">
        <v>128</v>
      </c>
      <c r="E3723" s="719"/>
      <c r="F3723" s="719"/>
      <c r="G3723" s="719"/>
      <c r="H3723" s="638">
        <f>SUMIF(F3719:F3721,"&lt;&gt;h",H3719:H3721)</f>
        <v>110.57</v>
      </c>
    </row>
    <row r="3724" spans="1:8" s="201" customFormat="1">
      <c r="A3724" s="582"/>
      <c r="B3724" s="582"/>
      <c r="C3724" s="212"/>
      <c r="D3724" s="718" t="s">
        <v>129</v>
      </c>
      <c r="E3724" s="718"/>
      <c r="F3724" s="718"/>
      <c r="G3724" s="718"/>
      <c r="H3724" s="213">
        <f>SUM(H3722:H3723)</f>
        <v>129.76</v>
      </c>
    </row>
    <row r="3725" spans="1:8" s="201" customFormat="1">
      <c r="A3725" s="582"/>
      <c r="B3725" s="582"/>
      <c r="C3725" s="212"/>
      <c r="D3725" s="719" t="s">
        <v>28</v>
      </c>
      <c r="E3725" s="719"/>
      <c r="F3725" s="719"/>
      <c r="G3725" s="719"/>
      <c r="H3725" s="639">
        <f>E3718</f>
        <v>6</v>
      </c>
    </row>
    <row r="3726" spans="1:8" s="201" customFormat="1">
      <c r="A3726" s="582"/>
      <c r="B3726" s="582"/>
      <c r="C3726" s="212"/>
      <c r="D3726" s="718" t="s">
        <v>130</v>
      </c>
      <c r="E3726" s="718"/>
      <c r="F3726" s="718"/>
      <c r="G3726" s="718"/>
      <c r="H3726" s="213">
        <f>ROUND(H3724*H3725,2)</f>
        <v>778.56</v>
      </c>
    </row>
    <row r="3727" spans="1:8" s="201" customFormat="1">
      <c r="A3727" s="582"/>
      <c r="B3727" s="582"/>
      <c r="C3727" s="212"/>
      <c r="D3727" s="719" t="s">
        <v>15559</v>
      </c>
      <c r="E3727" s="719"/>
      <c r="F3727" s="719"/>
      <c r="G3727" s="719"/>
      <c r="H3727" s="638">
        <f>ROUND(H3724*$B$13,2)</f>
        <v>34.94</v>
      </c>
    </row>
    <row r="3728" spans="1:8">
      <c r="A3728" s="582"/>
      <c r="B3728" s="582"/>
      <c r="C3728" s="212"/>
      <c r="D3728" s="718" t="s">
        <v>9661</v>
      </c>
      <c r="E3728" s="718"/>
      <c r="F3728" s="718"/>
      <c r="G3728" s="718"/>
      <c r="H3728" s="213">
        <f>H3727+H3724</f>
        <v>164.7</v>
      </c>
    </row>
    <row r="3730" spans="1:8" s="201" customFormat="1">
      <c r="A3730" s="123" t="s">
        <v>6</v>
      </c>
      <c r="B3730" s="720" t="s">
        <v>7</v>
      </c>
      <c r="C3730" s="720"/>
      <c r="D3730" s="202" t="s">
        <v>124</v>
      </c>
      <c r="E3730" s="167" t="s">
        <v>6334</v>
      </c>
      <c r="F3730" s="202" t="s">
        <v>31</v>
      </c>
      <c r="G3730" s="203" t="s">
        <v>125</v>
      </c>
      <c r="H3730" s="204" t="s">
        <v>126</v>
      </c>
    </row>
    <row r="3731" spans="1:8" s="208" customFormat="1">
      <c r="A3731" s="581" t="str">
        <f>'Orç - Prédio'!A568</f>
        <v>06.03.204.01</v>
      </c>
      <c r="B3731" s="216" t="str">
        <f>'Orç - Prédio'!B568</f>
        <v>ORSE</v>
      </c>
      <c r="C3731" s="216">
        <f>'Orç - Prédio'!C568</f>
        <v>12018</v>
      </c>
      <c r="D3731" s="217" t="s">
        <v>7367</v>
      </c>
      <c r="E3731" s="206">
        <v>9</v>
      </c>
      <c r="F3731" s="216" t="s">
        <v>6337</v>
      </c>
      <c r="G3731" s="207">
        <f>VLOOKUP("CUSTO TOTAL UNIT.:",D3732:$H$30004,5,FALSE)</f>
        <v>147.04000000000002</v>
      </c>
      <c r="H3731" s="637">
        <f>VLOOKUP("CUSTO TOTAL:",D3732:$H$30004,5,FALSE)</f>
        <v>1323.36</v>
      </c>
    </row>
    <row r="3732" spans="1:8" s="124" customFormat="1" ht="30">
      <c r="A3732" s="721">
        <v>12883</v>
      </c>
      <c r="B3732" s="721"/>
      <c r="C3732" s="200" t="s">
        <v>6333</v>
      </c>
      <c r="D3732" s="185" t="s">
        <v>7375</v>
      </c>
      <c r="E3732" s="209">
        <v>1</v>
      </c>
      <c r="F3732" s="577" t="s">
        <v>31</v>
      </c>
      <c r="G3732" s="174">
        <v>133.33410000000001</v>
      </c>
      <c r="H3732" s="211">
        <f>ROUND(G3732*E3732,2)</f>
        <v>133.33000000000001</v>
      </c>
    </row>
    <row r="3733" spans="1:8" s="124" customFormat="1" ht="30">
      <c r="A3733" s="721">
        <v>88264</v>
      </c>
      <c r="B3733" s="721"/>
      <c r="C3733" s="200" t="s">
        <v>5256</v>
      </c>
      <c r="D3733" s="139" t="s">
        <v>84</v>
      </c>
      <c r="E3733" s="209">
        <v>0.5</v>
      </c>
      <c r="F3733" s="577" t="s">
        <v>67</v>
      </c>
      <c r="G3733" s="210">
        <v>15.778800000000002</v>
      </c>
      <c r="H3733" s="211">
        <f>ROUND(G3733*E3733,2)</f>
        <v>7.89</v>
      </c>
    </row>
    <row r="3734" spans="1:8" s="124" customFormat="1" ht="30">
      <c r="A3734" s="721">
        <v>88316</v>
      </c>
      <c r="B3734" s="721"/>
      <c r="C3734" s="200" t="s">
        <v>5256</v>
      </c>
      <c r="D3734" s="139" t="s">
        <v>66</v>
      </c>
      <c r="E3734" s="209">
        <v>0.5</v>
      </c>
      <c r="F3734" s="577" t="s">
        <v>67</v>
      </c>
      <c r="G3734" s="210">
        <v>11.631600000000001</v>
      </c>
      <c r="H3734" s="211">
        <f>ROUND(G3734*E3734,2)</f>
        <v>5.82</v>
      </c>
    </row>
    <row r="3735" spans="1:8" s="201" customFormat="1">
      <c r="A3735" s="582"/>
      <c r="B3735" s="582"/>
      <c r="C3735" s="212"/>
      <c r="D3735" s="719" t="s">
        <v>127</v>
      </c>
      <c r="E3735" s="719"/>
      <c r="F3735" s="719"/>
      <c r="G3735" s="719"/>
      <c r="H3735" s="638">
        <f>SUMIF(F3732:F3734,("h"),H3732:H3734)</f>
        <v>13.71</v>
      </c>
    </row>
    <row r="3736" spans="1:8" s="201" customFormat="1">
      <c r="A3736" s="582"/>
      <c r="B3736" s="582"/>
      <c r="C3736" s="212"/>
      <c r="D3736" s="719" t="s">
        <v>128</v>
      </c>
      <c r="E3736" s="719"/>
      <c r="F3736" s="719"/>
      <c r="G3736" s="719"/>
      <c r="H3736" s="638">
        <f>SUMIF(F3732:F3734,"&lt;&gt;h",H3732:H3734)</f>
        <v>133.33000000000001</v>
      </c>
    </row>
    <row r="3737" spans="1:8" s="201" customFormat="1">
      <c r="A3737" s="582"/>
      <c r="B3737" s="582"/>
      <c r="C3737" s="212"/>
      <c r="D3737" s="718" t="s">
        <v>129</v>
      </c>
      <c r="E3737" s="718"/>
      <c r="F3737" s="718"/>
      <c r="G3737" s="718"/>
      <c r="H3737" s="213">
        <f>SUM(H3735:H3736)</f>
        <v>147.04000000000002</v>
      </c>
    </row>
    <row r="3738" spans="1:8" s="201" customFormat="1">
      <c r="A3738" s="582"/>
      <c r="B3738" s="582"/>
      <c r="C3738" s="212"/>
      <c r="D3738" s="719" t="s">
        <v>28</v>
      </c>
      <c r="E3738" s="719"/>
      <c r="F3738" s="719"/>
      <c r="G3738" s="719"/>
      <c r="H3738" s="639">
        <f>E3731</f>
        <v>9</v>
      </c>
    </row>
    <row r="3739" spans="1:8" s="201" customFormat="1">
      <c r="A3739" s="582"/>
      <c r="B3739" s="582"/>
      <c r="C3739" s="212"/>
      <c r="D3739" s="718" t="s">
        <v>130</v>
      </c>
      <c r="E3739" s="718"/>
      <c r="F3739" s="718"/>
      <c r="G3739" s="718"/>
      <c r="H3739" s="213">
        <f>ROUND(H3737*H3738,2)</f>
        <v>1323.36</v>
      </c>
    </row>
    <row r="3740" spans="1:8" s="201" customFormat="1">
      <c r="A3740" s="582"/>
      <c r="B3740" s="582"/>
      <c r="C3740" s="212"/>
      <c r="D3740" s="719" t="s">
        <v>15559</v>
      </c>
      <c r="E3740" s="719"/>
      <c r="F3740" s="719"/>
      <c r="G3740" s="719"/>
      <c r="H3740" s="638">
        <f>ROUND(H3737*$B$13,2)</f>
        <v>39.6</v>
      </c>
    </row>
    <row r="3741" spans="1:8">
      <c r="A3741" s="582"/>
      <c r="B3741" s="582"/>
      <c r="C3741" s="212"/>
      <c r="D3741" s="718" t="s">
        <v>9661</v>
      </c>
      <c r="E3741" s="718"/>
      <c r="F3741" s="718"/>
      <c r="G3741" s="718"/>
      <c r="H3741" s="213">
        <f>H3740+H3737</f>
        <v>186.64000000000001</v>
      </c>
    </row>
    <row r="3743" spans="1:8" s="201" customFormat="1">
      <c r="A3743" s="123" t="s">
        <v>6</v>
      </c>
      <c r="B3743" s="720" t="s">
        <v>7</v>
      </c>
      <c r="C3743" s="720"/>
      <c r="D3743" s="202" t="s">
        <v>124</v>
      </c>
      <c r="E3743" s="167" t="s">
        <v>6334</v>
      </c>
      <c r="F3743" s="202" t="s">
        <v>31</v>
      </c>
      <c r="G3743" s="203" t="s">
        <v>125</v>
      </c>
      <c r="H3743" s="204" t="s">
        <v>126</v>
      </c>
    </row>
    <row r="3744" spans="1:8" s="208" customFormat="1" ht="30">
      <c r="A3744" s="581" t="str">
        <f>'Orç - Prédio'!A569</f>
        <v>06.03.204.02</v>
      </c>
      <c r="B3744" s="216" t="str">
        <f>'Orç - Prédio'!B569</f>
        <v>ORSE</v>
      </c>
      <c r="C3744" s="216">
        <f>'Orç - Prédio'!C569</f>
        <v>12017</v>
      </c>
      <c r="D3744" s="217" t="s">
        <v>7368</v>
      </c>
      <c r="E3744" s="206">
        <v>53</v>
      </c>
      <c r="F3744" s="216" t="s">
        <v>6337</v>
      </c>
      <c r="G3744" s="207">
        <f>VLOOKUP("CUSTO TOTAL UNIT.:",D3745:$H$30004,5,FALSE)</f>
        <v>147.04000000000002</v>
      </c>
      <c r="H3744" s="637">
        <f>VLOOKUP("CUSTO TOTAL:",D3745:$H$30004,5,FALSE)</f>
        <v>7793.12</v>
      </c>
    </row>
    <row r="3745" spans="1:8" s="124" customFormat="1">
      <c r="A3745" s="721">
        <v>12882</v>
      </c>
      <c r="B3745" s="721"/>
      <c r="C3745" s="200" t="s">
        <v>6333</v>
      </c>
      <c r="D3745" s="185" t="s">
        <v>7376</v>
      </c>
      <c r="E3745" s="209">
        <v>1</v>
      </c>
      <c r="F3745" s="577" t="s">
        <v>31</v>
      </c>
      <c r="G3745" s="174">
        <v>133.33410000000001</v>
      </c>
      <c r="H3745" s="211">
        <f>ROUND(G3745*E3745,2)</f>
        <v>133.33000000000001</v>
      </c>
    </row>
    <row r="3746" spans="1:8" s="124" customFormat="1" ht="30">
      <c r="A3746" s="721">
        <v>88264</v>
      </c>
      <c r="B3746" s="721"/>
      <c r="C3746" s="200" t="s">
        <v>5256</v>
      </c>
      <c r="D3746" s="139" t="s">
        <v>84</v>
      </c>
      <c r="E3746" s="209">
        <v>0.5</v>
      </c>
      <c r="F3746" s="577" t="s">
        <v>67</v>
      </c>
      <c r="G3746" s="210">
        <v>15.778800000000002</v>
      </c>
      <c r="H3746" s="211">
        <f>ROUND(G3746*E3746,2)</f>
        <v>7.89</v>
      </c>
    </row>
    <row r="3747" spans="1:8" s="124" customFormat="1" ht="30">
      <c r="A3747" s="721">
        <v>88316</v>
      </c>
      <c r="B3747" s="721"/>
      <c r="C3747" s="200" t="s">
        <v>5256</v>
      </c>
      <c r="D3747" s="139" t="s">
        <v>66</v>
      </c>
      <c r="E3747" s="209">
        <v>0.5</v>
      </c>
      <c r="F3747" s="577" t="s">
        <v>67</v>
      </c>
      <c r="G3747" s="210">
        <v>11.631600000000001</v>
      </c>
      <c r="H3747" s="211">
        <f>ROUND(G3747*E3747,2)</f>
        <v>5.82</v>
      </c>
    </row>
    <row r="3748" spans="1:8" s="201" customFormat="1">
      <c r="A3748" s="582"/>
      <c r="B3748" s="582"/>
      <c r="C3748" s="212"/>
      <c r="D3748" s="719" t="s">
        <v>127</v>
      </c>
      <c r="E3748" s="719"/>
      <c r="F3748" s="719"/>
      <c r="G3748" s="719"/>
      <c r="H3748" s="638">
        <f>SUMIF(F3745:F3747,("h"),H3745:H3747)</f>
        <v>13.71</v>
      </c>
    </row>
    <row r="3749" spans="1:8" s="201" customFormat="1">
      <c r="A3749" s="582"/>
      <c r="B3749" s="582"/>
      <c r="C3749" s="212"/>
      <c r="D3749" s="719" t="s">
        <v>128</v>
      </c>
      <c r="E3749" s="719"/>
      <c r="F3749" s="719"/>
      <c r="G3749" s="719"/>
      <c r="H3749" s="638">
        <f>SUMIF(F3745:F3747,"&lt;&gt;h",H3745:H3747)</f>
        <v>133.33000000000001</v>
      </c>
    </row>
    <row r="3750" spans="1:8" s="201" customFormat="1">
      <c r="A3750" s="582"/>
      <c r="B3750" s="582"/>
      <c r="C3750" s="212"/>
      <c r="D3750" s="718" t="s">
        <v>129</v>
      </c>
      <c r="E3750" s="718"/>
      <c r="F3750" s="718"/>
      <c r="G3750" s="718"/>
      <c r="H3750" s="213">
        <f>SUM(H3748:H3749)</f>
        <v>147.04000000000002</v>
      </c>
    </row>
    <row r="3751" spans="1:8" s="201" customFormat="1">
      <c r="A3751" s="582"/>
      <c r="B3751" s="582"/>
      <c r="C3751" s="212"/>
      <c r="D3751" s="719" t="s">
        <v>28</v>
      </c>
      <c r="E3751" s="719"/>
      <c r="F3751" s="719"/>
      <c r="G3751" s="719"/>
      <c r="H3751" s="639">
        <f>E3744</f>
        <v>53</v>
      </c>
    </row>
    <row r="3752" spans="1:8" s="201" customFormat="1">
      <c r="A3752" s="582"/>
      <c r="B3752" s="582"/>
      <c r="C3752" s="212"/>
      <c r="D3752" s="718" t="s">
        <v>130</v>
      </c>
      <c r="E3752" s="718"/>
      <c r="F3752" s="718"/>
      <c r="G3752" s="718"/>
      <c r="H3752" s="213">
        <f>ROUND(H3750*H3751,2)</f>
        <v>7793.12</v>
      </c>
    </row>
    <row r="3753" spans="1:8" s="201" customFormat="1">
      <c r="A3753" s="582"/>
      <c r="B3753" s="582"/>
      <c r="C3753" s="212"/>
      <c r="D3753" s="719" t="s">
        <v>15559</v>
      </c>
      <c r="E3753" s="719"/>
      <c r="F3753" s="719"/>
      <c r="G3753" s="719"/>
      <c r="H3753" s="638">
        <f>ROUND(H3750*$B$13,2)</f>
        <v>39.6</v>
      </c>
    </row>
    <row r="3754" spans="1:8">
      <c r="A3754" s="582"/>
      <c r="B3754" s="582"/>
      <c r="C3754" s="212"/>
      <c r="D3754" s="718" t="s">
        <v>9661</v>
      </c>
      <c r="E3754" s="718"/>
      <c r="F3754" s="718"/>
      <c r="G3754" s="718"/>
      <c r="H3754" s="213">
        <f>H3753+H3750</f>
        <v>186.64000000000001</v>
      </c>
    </row>
    <row r="3756" spans="1:8" s="201" customFormat="1">
      <c r="A3756" s="123" t="s">
        <v>6</v>
      </c>
      <c r="B3756" s="720" t="s">
        <v>7</v>
      </c>
      <c r="C3756" s="720"/>
      <c r="D3756" s="202" t="s">
        <v>124</v>
      </c>
      <c r="E3756" s="167" t="s">
        <v>6334</v>
      </c>
      <c r="F3756" s="202" t="s">
        <v>31</v>
      </c>
      <c r="G3756" s="203" t="s">
        <v>125</v>
      </c>
      <c r="H3756" s="204" t="s">
        <v>126</v>
      </c>
    </row>
    <row r="3757" spans="1:8" s="208" customFormat="1" ht="30">
      <c r="A3757" s="581" t="str">
        <f>'Orç - Prédio'!A574</f>
        <v>06.03.401</v>
      </c>
      <c r="B3757" s="581" t="str">
        <f>'Orç - Prédio'!B574</f>
        <v>ORSE</v>
      </c>
      <c r="C3757" s="581">
        <f>'Orç - Prédio'!C574</f>
        <v>8749</v>
      </c>
      <c r="D3757" s="205" t="s">
        <v>7380</v>
      </c>
      <c r="E3757" s="206">
        <v>429</v>
      </c>
      <c r="F3757" s="581" t="s">
        <v>6774</v>
      </c>
      <c r="G3757" s="207">
        <f>VLOOKUP("CUSTO TOTAL UNIT.:",D3758:$H$30004,5,FALSE)</f>
        <v>6.4799999999999995</v>
      </c>
      <c r="H3757" s="637">
        <f>VLOOKUP("CUSTO TOTAL:",D3758:$H$30004,5,FALSE)</f>
        <v>2779.92</v>
      </c>
    </row>
    <row r="3758" spans="1:8" s="124" customFormat="1" ht="30">
      <c r="A3758" s="721">
        <v>8995</v>
      </c>
      <c r="B3758" s="721"/>
      <c r="C3758" s="200" t="s">
        <v>6333</v>
      </c>
      <c r="D3758" s="185" t="s">
        <v>7384</v>
      </c>
      <c r="E3758" s="209">
        <v>1.02</v>
      </c>
      <c r="F3758" s="577" t="s">
        <v>139</v>
      </c>
      <c r="G3758" s="174">
        <v>2.8674000000000004</v>
      </c>
      <c r="H3758" s="211">
        <f>ROUND(G3758*E3758,2)</f>
        <v>2.92</v>
      </c>
    </row>
    <row r="3759" spans="1:8" s="124" customFormat="1" ht="30">
      <c r="A3759" s="721">
        <v>88264</v>
      </c>
      <c r="B3759" s="721"/>
      <c r="C3759" s="200" t="s">
        <v>5256</v>
      </c>
      <c r="D3759" s="139" t="s">
        <v>84</v>
      </c>
      <c r="E3759" s="209">
        <v>0.13</v>
      </c>
      <c r="F3759" s="577" t="s">
        <v>67</v>
      </c>
      <c r="G3759" s="210">
        <v>15.778800000000002</v>
      </c>
      <c r="H3759" s="211">
        <f>ROUND(G3759*E3759,2)</f>
        <v>2.0499999999999998</v>
      </c>
    </row>
    <row r="3760" spans="1:8" s="124" customFormat="1" ht="30">
      <c r="A3760" s="721">
        <v>88316</v>
      </c>
      <c r="B3760" s="721"/>
      <c r="C3760" s="200" t="s">
        <v>5256</v>
      </c>
      <c r="D3760" s="139" t="s">
        <v>66</v>
      </c>
      <c r="E3760" s="209">
        <v>0.13</v>
      </c>
      <c r="F3760" s="577" t="s">
        <v>67</v>
      </c>
      <c r="G3760" s="210">
        <v>11.631600000000001</v>
      </c>
      <c r="H3760" s="211">
        <f>ROUND(G3760*E3760,2)</f>
        <v>1.51</v>
      </c>
    </row>
    <row r="3761" spans="1:8" s="201" customFormat="1">
      <c r="A3761" s="582"/>
      <c r="B3761" s="582"/>
      <c r="C3761" s="212"/>
      <c r="D3761" s="719" t="s">
        <v>127</v>
      </c>
      <c r="E3761" s="719"/>
      <c r="F3761" s="719"/>
      <c r="G3761" s="719"/>
      <c r="H3761" s="638">
        <f>SUMIF(F3758:F3760,("h"),H3758:H3760)</f>
        <v>3.5599999999999996</v>
      </c>
    </row>
    <row r="3762" spans="1:8" s="201" customFormat="1">
      <c r="A3762" s="582"/>
      <c r="B3762" s="582"/>
      <c r="C3762" s="212"/>
      <c r="D3762" s="719" t="s">
        <v>128</v>
      </c>
      <c r="E3762" s="719"/>
      <c r="F3762" s="719"/>
      <c r="G3762" s="719"/>
      <c r="H3762" s="638">
        <f>SUMIF(F3758:F3760,"&lt;&gt;h",H3758:H3760)</f>
        <v>2.92</v>
      </c>
    </row>
    <row r="3763" spans="1:8" s="201" customFormat="1">
      <c r="A3763" s="582"/>
      <c r="B3763" s="582"/>
      <c r="C3763" s="212"/>
      <c r="D3763" s="718" t="s">
        <v>129</v>
      </c>
      <c r="E3763" s="718"/>
      <c r="F3763" s="718"/>
      <c r="G3763" s="718"/>
      <c r="H3763" s="213">
        <f>SUM(H3761:H3762)</f>
        <v>6.4799999999999995</v>
      </c>
    </row>
    <row r="3764" spans="1:8" s="201" customFormat="1">
      <c r="A3764" s="582"/>
      <c r="B3764" s="582"/>
      <c r="C3764" s="212"/>
      <c r="D3764" s="719" t="s">
        <v>28</v>
      </c>
      <c r="E3764" s="719"/>
      <c r="F3764" s="719"/>
      <c r="G3764" s="719"/>
      <c r="H3764" s="639">
        <f>E3757</f>
        <v>429</v>
      </c>
    </row>
    <row r="3765" spans="1:8" s="201" customFormat="1">
      <c r="A3765" s="582"/>
      <c r="B3765" s="582"/>
      <c r="C3765" s="212"/>
      <c r="D3765" s="718" t="s">
        <v>130</v>
      </c>
      <c r="E3765" s="718"/>
      <c r="F3765" s="718"/>
      <c r="G3765" s="718"/>
      <c r="H3765" s="213">
        <f>ROUND(H3763*H3764,2)</f>
        <v>2779.92</v>
      </c>
    </row>
    <row r="3766" spans="1:8" s="201" customFormat="1">
      <c r="A3766" s="582"/>
      <c r="B3766" s="582"/>
      <c r="C3766" s="212"/>
      <c r="D3766" s="719" t="s">
        <v>15559</v>
      </c>
      <c r="E3766" s="719"/>
      <c r="F3766" s="719"/>
      <c r="G3766" s="719"/>
      <c r="H3766" s="638">
        <f>ROUND(H3763*$B$13,2)</f>
        <v>1.75</v>
      </c>
    </row>
    <row r="3767" spans="1:8">
      <c r="A3767" s="582"/>
      <c r="B3767" s="582"/>
      <c r="C3767" s="212"/>
      <c r="D3767" s="718" t="s">
        <v>9661</v>
      </c>
      <c r="E3767" s="718"/>
      <c r="F3767" s="718"/>
      <c r="G3767" s="718"/>
      <c r="H3767" s="213">
        <f>H3766+H3763</f>
        <v>8.23</v>
      </c>
    </row>
    <row r="3769" spans="1:8" s="201" customFormat="1">
      <c r="A3769" s="123" t="s">
        <v>6</v>
      </c>
      <c r="B3769" s="720" t="s">
        <v>7</v>
      </c>
      <c r="C3769" s="720"/>
      <c r="D3769" s="202" t="s">
        <v>124</v>
      </c>
      <c r="E3769" s="167" t="s">
        <v>6334</v>
      </c>
      <c r="F3769" s="202" t="s">
        <v>31</v>
      </c>
      <c r="G3769" s="203" t="s">
        <v>125</v>
      </c>
      <c r="H3769" s="204" t="s">
        <v>126</v>
      </c>
    </row>
    <row r="3770" spans="1:8" s="208" customFormat="1" ht="45">
      <c r="A3770" s="205" t="str">
        <f>'Orç - Prédio'!A579</f>
        <v>06.07.101.01</v>
      </c>
      <c r="B3770" s="581" t="str">
        <f>'Orç - Prédio'!B579</f>
        <v>CPOS</v>
      </c>
      <c r="C3770" s="581" t="str">
        <f>'Orç - Prédio'!C579</f>
        <v>66.20.225</v>
      </c>
      <c r="D3770" s="205" t="s">
        <v>15408</v>
      </c>
      <c r="E3770" s="206">
        <v>2</v>
      </c>
      <c r="F3770" s="581" t="s">
        <v>6337</v>
      </c>
      <c r="G3770" s="207">
        <f>VLOOKUP("CUSTO TOTAL UNIT.:",D3771:$H$30004,5,FALSE)</f>
        <v>2029.49</v>
      </c>
      <c r="H3770" s="637">
        <f>VLOOKUP("CUSTO TOTAL:",D3771:$H$30004,5,FALSE)</f>
        <v>4058.98</v>
      </c>
    </row>
    <row r="3771" spans="1:8" s="124" customFormat="1" ht="60">
      <c r="A3771" s="722" t="s">
        <v>15407</v>
      </c>
      <c r="B3771" s="722"/>
      <c r="C3771" s="184" t="s">
        <v>6753</v>
      </c>
      <c r="D3771" s="185" t="s">
        <v>7395</v>
      </c>
      <c r="E3771" s="209">
        <v>1</v>
      </c>
      <c r="F3771" s="577" t="s">
        <v>31</v>
      </c>
      <c r="G3771" s="174">
        <v>2021.9058</v>
      </c>
      <c r="H3771" s="211">
        <f>ROUND(G3771*E3771,2)</f>
        <v>2021.91</v>
      </c>
    </row>
    <row r="3772" spans="1:8" s="124" customFormat="1" ht="30">
      <c r="A3772" s="721">
        <v>100307</v>
      </c>
      <c r="B3772" s="721"/>
      <c r="C3772" s="200" t="s">
        <v>5256</v>
      </c>
      <c r="D3772" s="139" t="s">
        <v>15353</v>
      </c>
      <c r="E3772" s="209">
        <v>0.5</v>
      </c>
      <c r="F3772" s="577" t="s">
        <v>67</v>
      </c>
      <c r="G3772" s="210">
        <v>15.1632</v>
      </c>
      <c r="H3772" s="211">
        <f>ROUND(G3772*E3772,2)</f>
        <v>7.58</v>
      </c>
    </row>
    <row r="3773" spans="1:8" s="201" customFormat="1">
      <c r="A3773" s="582"/>
      <c r="B3773" s="582"/>
      <c r="C3773" s="212"/>
      <c r="D3773" s="719" t="s">
        <v>127</v>
      </c>
      <c r="E3773" s="719"/>
      <c r="F3773" s="719"/>
      <c r="G3773" s="719"/>
      <c r="H3773" s="638">
        <f>SUMIF(F3771:F3772,("h"),H3771:H3772)</f>
        <v>7.58</v>
      </c>
    </row>
    <row r="3774" spans="1:8" s="201" customFormat="1">
      <c r="A3774" s="582"/>
      <c r="B3774" s="582"/>
      <c r="C3774" s="212"/>
      <c r="D3774" s="719" t="s">
        <v>128</v>
      </c>
      <c r="E3774" s="719"/>
      <c r="F3774" s="719"/>
      <c r="G3774" s="719"/>
      <c r="H3774" s="638">
        <f>SUMIF(F3771:F3772,"&lt;&gt;h",H3771:H3772)</f>
        <v>2021.91</v>
      </c>
    </row>
    <row r="3775" spans="1:8" s="201" customFormat="1">
      <c r="A3775" s="582"/>
      <c r="B3775" s="582"/>
      <c r="C3775" s="212"/>
      <c r="D3775" s="718" t="s">
        <v>129</v>
      </c>
      <c r="E3775" s="718"/>
      <c r="F3775" s="718"/>
      <c r="G3775" s="718"/>
      <c r="H3775" s="213">
        <f>SUM(H3773:H3774)</f>
        <v>2029.49</v>
      </c>
    </row>
    <row r="3776" spans="1:8" s="201" customFormat="1">
      <c r="A3776" s="582"/>
      <c r="B3776" s="582"/>
      <c r="C3776" s="212"/>
      <c r="D3776" s="719" t="s">
        <v>28</v>
      </c>
      <c r="E3776" s="719"/>
      <c r="F3776" s="719"/>
      <c r="G3776" s="719"/>
      <c r="H3776" s="639">
        <f>E3770</f>
        <v>2</v>
      </c>
    </row>
    <row r="3777" spans="1:8" s="201" customFormat="1">
      <c r="A3777" s="582"/>
      <c r="B3777" s="582"/>
      <c r="C3777" s="212"/>
      <c r="D3777" s="718" t="s">
        <v>130</v>
      </c>
      <c r="E3777" s="718"/>
      <c r="F3777" s="718"/>
      <c r="G3777" s="718"/>
      <c r="H3777" s="213">
        <f>ROUND(H3775*H3776,2)</f>
        <v>4058.98</v>
      </c>
    </row>
    <row r="3778" spans="1:8" s="201" customFormat="1">
      <c r="A3778" s="582"/>
      <c r="B3778" s="582"/>
      <c r="C3778" s="212"/>
      <c r="D3778" s="719" t="s">
        <v>15559</v>
      </c>
      <c r="E3778" s="719"/>
      <c r="F3778" s="719"/>
      <c r="G3778" s="719"/>
      <c r="H3778" s="638">
        <f>ROUND(H3775*$B$13,2)</f>
        <v>546.54</v>
      </c>
    </row>
    <row r="3779" spans="1:8">
      <c r="A3779" s="582"/>
      <c r="B3779" s="582"/>
      <c r="C3779" s="212"/>
      <c r="D3779" s="718" t="s">
        <v>9661</v>
      </c>
      <c r="E3779" s="718"/>
      <c r="F3779" s="718"/>
      <c r="G3779" s="718"/>
      <c r="H3779" s="213">
        <f>H3778+H3775</f>
        <v>2576.0299999999997</v>
      </c>
    </row>
    <row r="3781" spans="1:8" s="201" customFormat="1">
      <c r="A3781" s="123" t="s">
        <v>6</v>
      </c>
      <c r="B3781" s="720" t="s">
        <v>7</v>
      </c>
      <c r="C3781" s="720"/>
      <c r="D3781" s="202" t="s">
        <v>124</v>
      </c>
      <c r="E3781" s="167" t="s">
        <v>6334</v>
      </c>
      <c r="F3781" s="202" t="s">
        <v>31</v>
      </c>
      <c r="G3781" s="203" t="s">
        <v>125</v>
      </c>
      <c r="H3781" s="204" t="s">
        <v>126</v>
      </c>
    </row>
    <row r="3782" spans="1:8" s="208" customFormat="1" ht="30">
      <c r="A3782" s="581" t="str">
        <f>'Orç - Prédio'!A580</f>
        <v>06.07.102</v>
      </c>
      <c r="B3782" s="581" t="str">
        <f>'Orç - Prédio'!B580</f>
        <v>ORSE</v>
      </c>
      <c r="C3782" s="581">
        <f>'Orç - Prédio'!C580</f>
        <v>520</v>
      </c>
      <c r="D3782" s="205" t="s">
        <v>7387</v>
      </c>
      <c r="E3782" s="206">
        <v>8</v>
      </c>
      <c r="F3782" s="581" t="s">
        <v>6337</v>
      </c>
      <c r="G3782" s="207">
        <f>VLOOKUP("CUSTO TOTAL UNIT.:",D3783:$H$30004,5,FALSE)</f>
        <v>12.88</v>
      </c>
      <c r="H3782" s="637">
        <f>VLOOKUP("CUSTO TOTAL:",D3783:$H$30004,5,FALSE)</f>
        <v>103.04</v>
      </c>
    </row>
    <row r="3783" spans="1:8" s="124" customFormat="1">
      <c r="A3783" s="722">
        <v>1090</v>
      </c>
      <c r="B3783" s="722"/>
      <c r="C3783" s="184" t="s">
        <v>6333</v>
      </c>
      <c r="D3783" s="185" t="s">
        <v>8998</v>
      </c>
      <c r="E3783" s="209">
        <v>1</v>
      </c>
      <c r="F3783" s="577" t="s">
        <v>31</v>
      </c>
      <c r="G3783" s="174">
        <v>9.7200000000000006</v>
      </c>
      <c r="H3783" s="211">
        <f>ROUND(G3783*E3783,2)</f>
        <v>9.7200000000000006</v>
      </c>
    </row>
    <row r="3784" spans="1:8" s="124" customFormat="1" ht="30">
      <c r="A3784" s="721">
        <v>88264</v>
      </c>
      <c r="B3784" s="721"/>
      <c r="C3784" s="200" t="s">
        <v>5256</v>
      </c>
      <c r="D3784" s="139" t="s">
        <v>84</v>
      </c>
      <c r="E3784" s="209">
        <v>0.2</v>
      </c>
      <c r="F3784" s="577" t="s">
        <v>67</v>
      </c>
      <c r="G3784" s="210">
        <v>15.778800000000002</v>
      </c>
      <c r="H3784" s="211">
        <f>ROUND(G3784*E3784,2)</f>
        <v>3.16</v>
      </c>
    </row>
    <row r="3785" spans="1:8" s="201" customFormat="1">
      <c r="A3785" s="582"/>
      <c r="B3785" s="582"/>
      <c r="C3785" s="212"/>
      <c r="D3785" s="719">
        <v>0</v>
      </c>
      <c r="E3785" s="719"/>
      <c r="F3785" s="719"/>
      <c r="G3785" s="719"/>
      <c r="H3785" s="638">
        <f>SUMIF(F3783:F3784,("h"),H3783:H3784)</f>
        <v>3.16</v>
      </c>
    </row>
    <row r="3786" spans="1:8" s="201" customFormat="1">
      <c r="A3786" s="582"/>
      <c r="B3786" s="582"/>
      <c r="C3786" s="212"/>
      <c r="D3786" s="719" t="s">
        <v>128</v>
      </c>
      <c r="E3786" s="719"/>
      <c r="F3786" s="719"/>
      <c r="G3786" s="719"/>
      <c r="H3786" s="638">
        <f>SUMIF(F3783:F3784,"&lt;&gt;h",H3783:H3784)</f>
        <v>9.7200000000000006</v>
      </c>
    </row>
    <row r="3787" spans="1:8" s="201" customFormat="1">
      <c r="A3787" s="582"/>
      <c r="B3787" s="582"/>
      <c r="C3787" s="212"/>
      <c r="D3787" s="718" t="s">
        <v>129</v>
      </c>
      <c r="E3787" s="718"/>
      <c r="F3787" s="718"/>
      <c r="G3787" s="718"/>
      <c r="H3787" s="213">
        <f>SUM(H3785:H3786)</f>
        <v>12.88</v>
      </c>
    </row>
    <row r="3788" spans="1:8" s="201" customFormat="1">
      <c r="A3788" s="582"/>
      <c r="B3788" s="582"/>
      <c r="C3788" s="212"/>
      <c r="D3788" s="719" t="s">
        <v>28</v>
      </c>
      <c r="E3788" s="719"/>
      <c r="F3788" s="719"/>
      <c r="G3788" s="719"/>
      <c r="H3788" s="639">
        <f>E3782</f>
        <v>8</v>
      </c>
    </row>
    <row r="3789" spans="1:8" s="201" customFormat="1">
      <c r="A3789" s="582"/>
      <c r="B3789" s="582"/>
      <c r="C3789" s="212"/>
      <c r="D3789" s="718" t="s">
        <v>130</v>
      </c>
      <c r="E3789" s="718"/>
      <c r="F3789" s="718"/>
      <c r="G3789" s="718"/>
      <c r="H3789" s="213">
        <f>ROUND(H3787*H3788,2)</f>
        <v>103.04</v>
      </c>
    </row>
    <row r="3790" spans="1:8" s="201" customFormat="1">
      <c r="A3790" s="582"/>
      <c r="B3790" s="582"/>
      <c r="C3790" s="212"/>
      <c r="D3790" s="719" t="s">
        <v>15559</v>
      </c>
      <c r="E3790" s="719"/>
      <c r="F3790" s="719"/>
      <c r="G3790" s="719"/>
      <c r="H3790" s="638">
        <f>ROUND(H3787*$B$13,2)</f>
        <v>3.47</v>
      </c>
    </row>
    <row r="3791" spans="1:8">
      <c r="A3791" s="582"/>
      <c r="B3791" s="582"/>
      <c r="C3791" s="212"/>
      <c r="D3791" s="718" t="s">
        <v>9661</v>
      </c>
      <c r="E3791" s="718"/>
      <c r="F3791" s="718"/>
      <c r="G3791" s="718"/>
      <c r="H3791" s="213">
        <f>H3790+H3787</f>
        <v>16.350000000000001</v>
      </c>
    </row>
    <row r="3793" spans="1:8" s="201" customFormat="1">
      <c r="A3793" s="123" t="s">
        <v>6</v>
      </c>
      <c r="B3793" s="720" t="s">
        <v>7</v>
      </c>
      <c r="C3793" s="720"/>
      <c r="D3793" s="202" t="s">
        <v>124</v>
      </c>
      <c r="E3793" s="167" t="s">
        <v>6334</v>
      </c>
      <c r="F3793" s="202" t="s">
        <v>31</v>
      </c>
      <c r="G3793" s="203" t="s">
        <v>125</v>
      </c>
      <c r="H3793" s="204" t="s">
        <v>126</v>
      </c>
    </row>
    <row r="3794" spans="1:8" s="208" customFormat="1" ht="30">
      <c r="A3794" s="581" t="str">
        <f>'Orç - Prédio'!A581</f>
        <v>06.07.103</v>
      </c>
      <c r="B3794" s="581" t="str">
        <f>'Orç - Prédio'!B581</f>
        <v>ORSE</v>
      </c>
      <c r="C3794" s="581">
        <f>'Orç - Prédio'!C581</f>
        <v>11307</v>
      </c>
      <c r="D3794" s="205" t="s">
        <v>7388</v>
      </c>
      <c r="E3794" s="206">
        <v>2</v>
      </c>
      <c r="F3794" s="581" t="s">
        <v>6337</v>
      </c>
      <c r="G3794" s="207">
        <f>VLOOKUP("CUSTO TOTAL UNIT.:",D3795:$H$30004,5,FALSE)</f>
        <v>687.12</v>
      </c>
      <c r="H3794" s="637">
        <f>VLOOKUP("CUSTO TOTAL:",D3795:$H$30004,5,FALSE)</f>
        <v>1374.24</v>
      </c>
    </row>
    <row r="3795" spans="1:8" s="124" customFormat="1">
      <c r="A3795" s="722">
        <v>12167</v>
      </c>
      <c r="B3795" s="722"/>
      <c r="C3795" s="184" t="s">
        <v>6333</v>
      </c>
      <c r="D3795" s="185" t="s">
        <v>7396</v>
      </c>
      <c r="E3795" s="209">
        <v>1</v>
      </c>
      <c r="F3795" s="577" t="s">
        <v>31</v>
      </c>
      <c r="G3795" s="174">
        <v>673.40970000000004</v>
      </c>
      <c r="H3795" s="211">
        <f>ROUND(G3795*E3795,2)</f>
        <v>673.41</v>
      </c>
    </row>
    <row r="3796" spans="1:8" s="124" customFormat="1" ht="30">
      <c r="A3796" s="721">
        <v>88264</v>
      </c>
      <c r="B3796" s="721"/>
      <c r="C3796" s="200" t="s">
        <v>5256</v>
      </c>
      <c r="D3796" s="139" t="s">
        <v>84</v>
      </c>
      <c r="E3796" s="209">
        <v>0.5</v>
      </c>
      <c r="F3796" s="577" t="s">
        <v>67</v>
      </c>
      <c r="G3796" s="210">
        <v>15.778800000000002</v>
      </c>
      <c r="H3796" s="211">
        <f>ROUND(G3796*E3796,2)</f>
        <v>7.89</v>
      </c>
    </row>
    <row r="3797" spans="1:8" s="124" customFormat="1" ht="30">
      <c r="A3797" s="721">
        <v>88316</v>
      </c>
      <c r="B3797" s="721"/>
      <c r="C3797" s="200" t="s">
        <v>5256</v>
      </c>
      <c r="D3797" s="139" t="s">
        <v>66</v>
      </c>
      <c r="E3797" s="209">
        <v>0.5</v>
      </c>
      <c r="F3797" s="577" t="s">
        <v>67</v>
      </c>
      <c r="G3797" s="210">
        <v>11.631600000000001</v>
      </c>
      <c r="H3797" s="211">
        <f>ROUND(G3797*E3797,2)</f>
        <v>5.82</v>
      </c>
    </row>
    <row r="3798" spans="1:8" s="201" customFormat="1">
      <c r="A3798" s="582"/>
      <c r="B3798" s="582"/>
      <c r="C3798" s="212"/>
      <c r="D3798" s="719" t="s">
        <v>127</v>
      </c>
      <c r="E3798" s="719"/>
      <c r="F3798" s="719"/>
      <c r="G3798" s="719"/>
      <c r="H3798" s="638">
        <f>SUMIF(F3795:F3797,("h"),H3795:H3797)</f>
        <v>13.71</v>
      </c>
    </row>
    <row r="3799" spans="1:8" s="201" customFormat="1">
      <c r="A3799" s="582"/>
      <c r="B3799" s="582"/>
      <c r="C3799" s="212"/>
      <c r="D3799" s="719" t="s">
        <v>128</v>
      </c>
      <c r="E3799" s="719"/>
      <c r="F3799" s="719"/>
      <c r="G3799" s="719"/>
      <c r="H3799" s="638">
        <f>SUMIF(F3795:F3797,"&lt;&gt;h",H3795:H3797)</f>
        <v>673.41</v>
      </c>
    </row>
    <row r="3800" spans="1:8" s="201" customFormat="1">
      <c r="A3800" s="582"/>
      <c r="B3800" s="582"/>
      <c r="C3800" s="212"/>
      <c r="D3800" s="718" t="s">
        <v>129</v>
      </c>
      <c r="E3800" s="718"/>
      <c r="F3800" s="718"/>
      <c r="G3800" s="718"/>
      <c r="H3800" s="213">
        <f>SUM(H3798:H3799)</f>
        <v>687.12</v>
      </c>
    </row>
    <row r="3801" spans="1:8" s="201" customFormat="1">
      <c r="A3801" s="582"/>
      <c r="B3801" s="582"/>
      <c r="C3801" s="212"/>
      <c r="D3801" s="719" t="s">
        <v>28</v>
      </c>
      <c r="E3801" s="719"/>
      <c r="F3801" s="719"/>
      <c r="G3801" s="719"/>
      <c r="H3801" s="639">
        <f>E3794</f>
        <v>2</v>
      </c>
    </row>
    <row r="3802" spans="1:8" s="201" customFormat="1">
      <c r="A3802" s="582"/>
      <c r="B3802" s="582"/>
      <c r="C3802" s="212"/>
      <c r="D3802" s="718" t="s">
        <v>130</v>
      </c>
      <c r="E3802" s="718"/>
      <c r="F3802" s="718"/>
      <c r="G3802" s="718"/>
      <c r="H3802" s="213">
        <f>ROUND(H3800*H3801,2)</f>
        <v>1374.24</v>
      </c>
    </row>
    <row r="3803" spans="1:8" s="201" customFormat="1">
      <c r="A3803" s="582"/>
      <c r="B3803" s="582"/>
      <c r="C3803" s="212"/>
      <c r="D3803" s="719" t="s">
        <v>15559</v>
      </c>
      <c r="E3803" s="719"/>
      <c r="F3803" s="719"/>
      <c r="G3803" s="719"/>
      <c r="H3803" s="638">
        <f>ROUND(H3800*$B$13,2)</f>
        <v>185.04</v>
      </c>
    </row>
    <row r="3804" spans="1:8">
      <c r="A3804" s="582"/>
      <c r="B3804" s="582"/>
      <c r="C3804" s="212"/>
      <c r="D3804" s="718" t="s">
        <v>9661</v>
      </c>
      <c r="E3804" s="718"/>
      <c r="F3804" s="718"/>
      <c r="G3804" s="718"/>
      <c r="H3804" s="213">
        <f>H3803+H3800</f>
        <v>872.16</v>
      </c>
    </row>
    <row r="3806" spans="1:8" s="201" customFormat="1">
      <c r="A3806" s="123" t="s">
        <v>6</v>
      </c>
      <c r="B3806" s="720" t="s">
        <v>7</v>
      </c>
      <c r="C3806" s="720"/>
      <c r="D3806" s="202" t="s">
        <v>124</v>
      </c>
      <c r="E3806" s="167" t="s">
        <v>6334</v>
      </c>
      <c r="F3806" s="202" t="s">
        <v>31</v>
      </c>
      <c r="G3806" s="203" t="s">
        <v>125</v>
      </c>
      <c r="H3806" s="204" t="s">
        <v>126</v>
      </c>
    </row>
    <row r="3807" spans="1:8" s="208" customFormat="1" ht="60">
      <c r="A3807" s="581" t="str">
        <f>'Orç - Prédio'!A582</f>
        <v>06.07.104</v>
      </c>
      <c r="B3807" s="581" t="str">
        <f>'Orç - Prédio'!B582</f>
        <v>CPOS</v>
      </c>
      <c r="C3807" s="581" t="str">
        <f>'Orç - Prédio'!C582</f>
        <v>66.08.610</v>
      </c>
      <c r="D3807" s="205" t="s">
        <v>7389</v>
      </c>
      <c r="E3807" s="206">
        <v>2</v>
      </c>
      <c r="F3807" s="581" t="s">
        <v>6337</v>
      </c>
      <c r="G3807" s="207">
        <f>VLOOKUP("CUSTO TOTAL UNIT.:",D3808:$H$30004,5,FALSE)</f>
        <v>1257.9499999999998</v>
      </c>
      <c r="H3807" s="637">
        <f>VLOOKUP("CUSTO TOTAL:",D3808:$H$30004,5,FALSE)</f>
        <v>2515.9</v>
      </c>
    </row>
    <row r="3808" spans="1:8" s="124" customFormat="1" ht="75">
      <c r="A3808" s="722" t="s">
        <v>7397</v>
      </c>
      <c r="B3808" s="722"/>
      <c r="C3808" s="184" t="s">
        <v>6753</v>
      </c>
      <c r="D3808" s="185" t="s">
        <v>7398</v>
      </c>
      <c r="E3808" s="209">
        <v>1</v>
      </c>
      <c r="F3808" s="577" t="s">
        <v>31</v>
      </c>
      <c r="G3808" s="174">
        <v>1131.5943</v>
      </c>
      <c r="H3808" s="211">
        <f>ROUND(G3808*E3808,2)</f>
        <v>1131.5899999999999</v>
      </c>
    </row>
    <row r="3809" spans="1:8" s="124" customFormat="1" ht="30">
      <c r="A3809" s="721">
        <v>88266</v>
      </c>
      <c r="B3809" s="721"/>
      <c r="C3809" s="200" t="s">
        <v>5256</v>
      </c>
      <c r="D3809" s="139" t="s">
        <v>5102</v>
      </c>
      <c r="E3809" s="209">
        <v>6</v>
      </c>
      <c r="F3809" s="577" t="s">
        <v>67</v>
      </c>
      <c r="G3809" s="210">
        <v>21.060000000000002</v>
      </c>
      <c r="H3809" s="211">
        <f>ROUND(G3809*E3809,2)</f>
        <v>126.36</v>
      </c>
    </row>
    <row r="3810" spans="1:8" s="201" customFormat="1">
      <c r="A3810" s="582"/>
      <c r="B3810" s="582"/>
      <c r="C3810" s="212"/>
      <c r="D3810" s="719" t="s">
        <v>127</v>
      </c>
      <c r="E3810" s="719"/>
      <c r="F3810" s="719"/>
      <c r="G3810" s="719"/>
      <c r="H3810" s="638">
        <f>SUMIF(F3808:F3809,("h"),H3808:H3809)</f>
        <v>126.36</v>
      </c>
    </row>
    <row r="3811" spans="1:8" s="201" customFormat="1">
      <c r="A3811" s="582"/>
      <c r="B3811" s="582"/>
      <c r="C3811" s="212"/>
      <c r="D3811" s="719" t="s">
        <v>128</v>
      </c>
      <c r="E3811" s="719"/>
      <c r="F3811" s="719"/>
      <c r="G3811" s="719"/>
      <c r="H3811" s="638">
        <f>SUMIF(F3808:F3809,"&lt;&gt;h",H3808:H3809)</f>
        <v>1131.5899999999999</v>
      </c>
    </row>
    <row r="3812" spans="1:8" s="201" customFormat="1">
      <c r="A3812" s="582"/>
      <c r="B3812" s="582"/>
      <c r="C3812" s="212"/>
      <c r="D3812" s="718" t="s">
        <v>129</v>
      </c>
      <c r="E3812" s="718"/>
      <c r="F3812" s="718"/>
      <c r="G3812" s="718"/>
      <c r="H3812" s="213">
        <f>SUM(H3810:H3811)</f>
        <v>1257.9499999999998</v>
      </c>
    </row>
    <row r="3813" spans="1:8" s="201" customFormat="1">
      <c r="A3813" s="582"/>
      <c r="B3813" s="582"/>
      <c r="C3813" s="212"/>
      <c r="D3813" s="719" t="s">
        <v>28</v>
      </c>
      <c r="E3813" s="719"/>
      <c r="F3813" s="719"/>
      <c r="G3813" s="719"/>
      <c r="H3813" s="639">
        <f>E3807</f>
        <v>2</v>
      </c>
    </row>
    <row r="3814" spans="1:8" s="201" customFormat="1">
      <c r="A3814" s="582"/>
      <c r="B3814" s="582"/>
      <c r="C3814" s="212"/>
      <c r="D3814" s="718" t="s">
        <v>130</v>
      </c>
      <c r="E3814" s="718"/>
      <c r="F3814" s="718"/>
      <c r="G3814" s="718"/>
      <c r="H3814" s="213">
        <f>ROUND(H3812*H3813,2)</f>
        <v>2515.9</v>
      </c>
    </row>
    <row r="3815" spans="1:8" s="201" customFormat="1">
      <c r="A3815" s="582"/>
      <c r="B3815" s="582"/>
      <c r="C3815" s="212"/>
      <c r="D3815" s="719" t="s">
        <v>15559</v>
      </c>
      <c r="E3815" s="719"/>
      <c r="F3815" s="719"/>
      <c r="G3815" s="719"/>
      <c r="H3815" s="638">
        <f>ROUND(H3812*$B$13,2)</f>
        <v>338.77</v>
      </c>
    </row>
    <row r="3816" spans="1:8">
      <c r="A3816" s="582"/>
      <c r="B3816" s="582"/>
      <c r="C3816" s="212"/>
      <c r="D3816" s="718" t="s">
        <v>9661</v>
      </c>
      <c r="E3816" s="718"/>
      <c r="F3816" s="718"/>
      <c r="G3816" s="718"/>
      <c r="H3816" s="213">
        <f>H3815+H3812</f>
        <v>1596.7199999999998</v>
      </c>
    </row>
    <row r="3818" spans="1:8" s="201" customFormat="1">
      <c r="A3818" s="123" t="s">
        <v>6</v>
      </c>
      <c r="B3818" s="720" t="s">
        <v>7</v>
      </c>
      <c r="C3818" s="720"/>
      <c r="D3818" s="202" t="s">
        <v>124</v>
      </c>
      <c r="E3818" s="167" t="s">
        <v>6334</v>
      </c>
      <c r="F3818" s="202" t="s">
        <v>31</v>
      </c>
      <c r="G3818" s="203" t="s">
        <v>125</v>
      </c>
      <c r="H3818" s="204" t="s">
        <v>126</v>
      </c>
    </row>
    <row r="3819" spans="1:8" s="208" customFormat="1" ht="45">
      <c r="A3819" s="581" t="str">
        <f>'Orç - Prédio'!A584</f>
        <v>06.07.201</v>
      </c>
      <c r="B3819" s="581" t="str">
        <f>'Orç - Prédio'!B584</f>
        <v>ORSE</v>
      </c>
      <c r="C3819" s="581">
        <f>'Orç - Prédio'!C584</f>
        <v>8680</v>
      </c>
      <c r="D3819" s="205" t="s">
        <v>7401</v>
      </c>
      <c r="E3819" s="206">
        <v>23</v>
      </c>
      <c r="F3819" s="581" t="s">
        <v>6337</v>
      </c>
      <c r="G3819" s="207">
        <f>VLOOKUP("CUSTO TOTAL UNIT.:",D3820:$H$30004,5,FALSE)</f>
        <v>694.98</v>
      </c>
      <c r="H3819" s="637">
        <f>VLOOKUP("CUSTO TOTAL:",D3820:$H$30004,5,FALSE)</f>
        <v>15984.54</v>
      </c>
    </row>
    <row r="3820" spans="1:8" s="124" customFormat="1" ht="45">
      <c r="A3820" s="722">
        <v>11609</v>
      </c>
      <c r="B3820" s="722"/>
      <c r="C3820" s="184" t="s">
        <v>6333</v>
      </c>
      <c r="D3820" s="185" t="s">
        <v>7441</v>
      </c>
      <c r="E3820" s="209">
        <v>1</v>
      </c>
      <c r="F3820" s="577" t="s">
        <v>31</v>
      </c>
      <c r="G3820" s="174">
        <v>526.5</v>
      </c>
      <c r="H3820" s="211">
        <f>ROUND(G3820*E3820,2)</f>
        <v>526.5</v>
      </c>
    </row>
    <row r="3821" spans="1:8" s="124" customFormat="1" ht="30">
      <c r="A3821" s="721">
        <v>88266</v>
      </c>
      <c r="B3821" s="721"/>
      <c r="C3821" s="200" t="s">
        <v>5256</v>
      </c>
      <c r="D3821" s="139" t="s">
        <v>5102</v>
      </c>
      <c r="E3821" s="209">
        <v>8</v>
      </c>
      <c r="F3821" s="577" t="s">
        <v>67</v>
      </c>
      <c r="G3821" s="210">
        <v>21.060000000000002</v>
      </c>
      <c r="H3821" s="211">
        <f>ROUND(G3821*E3821,2)</f>
        <v>168.48</v>
      </c>
    </row>
    <row r="3822" spans="1:8" s="201" customFormat="1">
      <c r="A3822" s="582"/>
      <c r="B3822" s="582"/>
      <c r="C3822" s="212"/>
      <c r="D3822" s="719" t="s">
        <v>127</v>
      </c>
      <c r="E3822" s="719"/>
      <c r="F3822" s="719"/>
      <c r="G3822" s="719"/>
      <c r="H3822" s="638">
        <f>SUMIF(F3820:F3821,("h"),H3820:H3821)</f>
        <v>168.48</v>
      </c>
    </row>
    <row r="3823" spans="1:8" s="201" customFormat="1">
      <c r="A3823" s="582"/>
      <c r="B3823" s="582"/>
      <c r="C3823" s="212"/>
      <c r="D3823" s="719" t="s">
        <v>128</v>
      </c>
      <c r="E3823" s="719"/>
      <c r="F3823" s="719"/>
      <c r="G3823" s="719"/>
      <c r="H3823" s="638">
        <f>SUMIF(F3820:F3821,"&lt;&gt;h",H3820:H3821)</f>
        <v>526.5</v>
      </c>
    </row>
    <row r="3824" spans="1:8" s="201" customFormat="1">
      <c r="A3824" s="582"/>
      <c r="B3824" s="582"/>
      <c r="C3824" s="212"/>
      <c r="D3824" s="718" t="s">
        <v>129</v>
      </c>
      <c r="E3824" s="718"/>
      <c r="F3824" s="718"/>
      <c r="G3824" s="718"/>
      <c r="H3824" s="213">
        <f>SUM(H3822:H3823)</f>
        <v>694.98</v>
      </c>
    </row>
    <row r="3825" spans="1:8" s="201" customFormat="1">
      <c r="A3825" s="582"/>
      <c r="B3825" s="582"/>
      <c r="C3825" s="212"/>
      <c r="D3825" s="719" t="s">
        <v>28</v>
      </c>
      <c r="E3825" s="719"/>
      <c r="F3825" s="719"/>
      <c r="G3825" s="719"/>
      <c r="H3825" s="639">
        <f>E3819</f>
        <v>23</v>
      </c>
    </row>
    <row r="3826" spans="1:8" s="201" customFormat="1">
      <c r="A3826" s="582"/>
      <c r="B3826" s="582"/>
      <c r="C3826" s="212"/>
      <c r="D3826" s="718" t="s">
        <v>130</v>
      </c>
      <c r="E3826" s="718"/>
      <c r="F3826" s="718"/>
      <c r="G3826" s="718"/>
      <c r="H3826" s="213">
        <f>ROUND(H3824*H3825,2)</f>
        <v>15984.54</v>
      </c>
    </row>
    <row r="3827" spans="1:8" s="201" customFormat="1">
      <c r="A3827" s="582"/>
      <c r="B3827" s="582"/>
      <c r="C3827" s="212"/>
      <c r="D3827" s="719" t="s">
        <v>15559</v>
      </c>
      <c r="E3827" s="719"/>
      <c r="F3827" s="719"/>
      <c r="G3827" s="719"/>
      <c r="H3827" s="638">
        <f>ROUND(H3824*$B$13,2)</f>
        <v>187.16</v>
      </c>
    </row>
    <row r="3828" spans="1:8">
      <c r="A3828" s="582"/>
      <c r="B3828" s="582"/>
      <c r="C3828" s="212"/>
      <c r="D3828" s="718" t="s">
        <v>9661</v>
      </c>
      <c r="E3828" s="718"/>
      <c r="F3828" s="718"/>
      <c r="G3828" s="718"/>
      <c r="H3828" s="213">
        <f>H3827+H3824</f>
        <v>882.14</v>
      </c>
    </row>
    <row r="3830" spans="1:8" s="201" customFormat="1">
      <c r="A3830" s="123" t="s">
        <v>6</v>
      </c>
      <c r="B3830" s="720" t="s">
        <v>7</v>
      </c>
      <c r="C3830" s="720"/>
      <c r="D3830" s="202" t="s">
        <v>124</v>
      </c>
      <c r="E3830" s="167" t="s">
        <v>6334</v>
      </c>
      <c r="F3830" s="202" t="s">
        <v>31</v>
      </c>
      <c r="G3830" s="203" t="s">
        <v>125</v>
      </c>
      <c r="H3830" s="204" t="s">
        <v>126</v>
      </c>
    </row>
    <row r="3831" spans="1:8" s="208" customFormat="1" ht="45">
      <c r="A3831" s="581" t="str">
        <f>'Orç - Prédio'!A586</f>
        <v>06.07.301.01</v>
      </c>
      <c r="B3831" s="581" t="str">
        <f>'Orç - Prédio'!B586</f>
        <v>SINAPI</v>
      </c>
      <c r="C3831" s="581" t="str">
        <f>'Orç - Prédio'!C586</f>
        <v>95730 MOD</v>
      </c>
      <c r="D3831" s="205" t="s">
        <v>8616</v>
      </c>
      <c r="E3831" s="206">
        <v>80</v>
      </c>
      <c r="F3831" s="581" t="s">
        <v>6774</v>
      </c>
      <c r="G3831" s="207">
        <f>VLOOKUP("CUSTO TOTAL UNIT.:",D3832:$H$30004,5,FALSE)</f>
        <v>6.38</v>
      </c>
      <c r="H3831" s="637">
        <f>VLOOKUP("CUSTO TOTAL:",D3832:$H$30004,5,FALSE)</f>
        <v>510.4</v>
      </c>
    </row>
    <row r="3832" spans="1:8" s="124" customFormat="1" ht="30">
      <c r="A3832" s="721">
        <v>2674</v>
      </c>
      <c r="B3832" s="721"/>
      <c r="C3832" s="200" t="s">
        <v>5256</v>
      </c>
      <c r="D3832" s="139" t="s">
        <v>11660</v>
      </c>
      <c r="E3832" s="209">
        <v>1.0481</v>
      </c>
      <c r="F3832" s="577" t="s">
        <v>48</v>
      </c>
      <c r="G3832" s="210">
        <v>2.2599</v>
      </c>
      <c r="H3832" s="211">
        <f>ROUND(G3832*E3832,2)</f>
        <v>2.37</v>
      </c>
    </row>
    <row r="3833" spans="1:8" s="124" customFormat="1" ht="30">
      <c r="A3833" s="721">
        <v>88247</v>
      </c>
      <c r="B3833" s="721"/>
      <c r="C3833" s="200" t="s">
        <v>5256</v>
      </c>
      <c r="D3833" s="139" t="s">
        <v>74</v>
      </c>
      <c r="E3833" s="209">
        <v>8.1100000000000005E-2</v>
      </c>
      <c r="F3833" s="577" t="s">
        <v>67</v>
      </c>
      <c r="G3833" s="210">
        <v>12.425400000000002</v>
      </c>
      <c r="H3833" s="211">
        <f>ROUND(G3833*E3833,2)</f>
        <v>1.01</v>
      </c>
    </row>
    <row r="3834" spans="1:8" s="124" customFormat="1" ht="30">
      <c r="A3834" s="721">
        <v>88264</v>
      </c>
      <c r="B3834" s="721"/>
      <c r="C3834" s="200" t="s">
        <v>5256</v>
      </c>
      <c r="D3834" s="139" t="s">
        <v>84</v>
      </c>
      <c r="E3834" s="209">
        <v>8.1100000000000005E-2</v>
      </c>
      <c r="F3834" s="577" t="s">
        <v>67</v>
      </c>
      <c r="G3834" s="210">
        <v>15.778800000000002</v>
      </c>
      <c r="H3834" s="211">
        <f>ROUND(G3834*E3834,2)</f>
        <v>1.28</v>
      </c>
    </row>
    <row r="3835" spans="1:8" s="124" customFormat="1" ht="75">
      <c r="A3835" s="721">
        <v>91173</v>
      </c>
      <c r="B3835" s="721"/>
      <c r="C3835" s="200" t="s">
        <v>5256</v>
      </c>
      <c r="D3835" s="139" t="s">
        <v>3818</v>
      </c>
      <c r="E3835" s="209">
        <v>2</v>
      </c>
      <c r="F3835" s="577" t="s">
        <v>139</v>
      </c>
      <c r="G3835" s="210">
        <v>0.85860000000000014</v>
      </c>
      <c r="H3835" s="211">
        <f>ROUND(G3835*E3835,2)</f>
        <v>1.72</v>
      </c>
    </row>
    <row r="3836" spans="1:8" s="201" customFormat="1">
      <c r="A3836" s="582"/>
      <c r="B3836" s="582"/>
      <c r="C3836" s="212"/>
      <c r="D3836" s="719" t="s">
        <v>127</v>
      </c>
      <c r="E3836" s="719"/>
      <c r="F3836" s="719"/>
      <c r="G3836" s="719"/>
      <c r="H3836" s="638">
        <f>SUMIF(F3832:F3835,("h"),H3832:H3835)</f>
        <v>2.29</v>
      </c>
    </row>
    <row r="3837" spans="1:8" s="201" customFormat="1">
      <c r="A3837" s="582"/>
      <c r="B3837" s="582"/>
      <c r="C3837" s="212"/>
      <c r="D3837" s="719" t="s">
        <v>128</v>
      </c>
      <c r="E3837" s="719"/>
      <c r="F3837" s="719"/>
      <c r="G3837" s="719"/>
      <c r="H3837" s="638">
        <f>SUMIF(F3832:F3835,"&lt;&gt;h",H3832:H3835)</f>
        <v>4.09</v>
      </c>
    </row>
    <row r="3838" spans="1:8" s="201" customFormat="1">
      <c r="A3838" s="582"/>
      <c r="B3838" s="582"/>
      <c r="C3838" s="212"/>
      <c r="D3838" s="718" t="s">
        <v>129</v>
      </c>
      <c r="E3838" s="718"/>
      <c r="F3838" s="718"/>
      <c r="G3838" s="718"/>
      <c r="H3838" s="213">
        <f>SUM(H3836:H3837)</f>
        <v>6.38</v>
      </c>
    </row>
    <row r="3839" spans="1:8" s="201" customFormat="1">
      <c r="A3839" s="582"/>
      <c r="B3839" s="582"/>
      <c r="C3839" s="212"/>
      <c r="D3839" s="719" t="s">
        <v>28</v>
      </c>
      <c r="E3839" s="719"/>
      <c r="F3839" s="719"/>
      <c r="G3839" s="719"/>
      <c r="H3839" s="639">
        <f>E3831</f>
        <v>80</v>
      </c>
    </row>
    <row r="3840" spans="1:8" s="201" customFormat="1">
      <c r="A3840" s="582"/>
      <c r="B3840" s="582"/>
      <c r="C3840" s="212"/>
      <c r="D3840" s="718" t="s">
        <v>130</v>
      </c>
      <c r="E3840" s="718"/>
      <c r="F3840" s="718"/>
      <c r="G3840" s="718"/>
      <c r="H3840" s="213">
        <f>ROUND(H3838*H3839,2)</f>
        <v>510.4</v>
      </c>
    </row>
    <row r="3841" spans="1:8" s="201" customFormat="1">
      <c r="A3841" s="582"/>
      <c r="B3841" s="582"/>
      <c r="C3841" s="212"/>
      <c r="D3841" s="719" t="s">
        <v>15559</v>
      </c>
      <c r="E3841" s="719"/>
      <c r="F3841" s="719"/>
      <c r="G3841" s="719"/>
      <c r="H3841" s="638">
        <f>ROUND(H3838*$B$13,2)</f>
        <v>1.72</v>
      </c>
    </row>
    <row r="3842" spans="1:8">
      <c r="A3842" s="582"/>
      <c r="B3842" s="582"/>
      <c r="C3842" s="212"/>
      <c r="D3842" s="718" t="s">
        <v>9661</v>
      </c>
      <c r="E3842" s="718"/>
      <c r="F3842" s="718"/>
      <c r="G3842" s="718"/>
      <c r="H3842" s="213">
        <f>H3841+H3838</f>
        <v>8.1</v>
      </c>
    </row>
    <row r="3844" spans="1:8" s="201" customFormat="1">
      <c r="A3844" s="123" t="s">
        <v>6</v>
      </c>
      <c r="B3844" s="720" t="s">
        <v>7</v>
      </c>
      <c r="C3844" s="720"/>
      <c r="D3844" s="202" t="s">
        <v>124</v>
      </c>
      <c r="E3844" s="167" t="s">
        <v>6334</v>
      </c>
      <c r="F3844" s="202" t="s">
        <v>31</v>
      </c>
      <c r="G3844" s="203" t="s">
        <v>125</v>
      </c>
      <c r="H3844" s="204" t="s">
        <v>126</v>
      </c>
    </row>
    <row r="3845" spans="1:8" s="208" customFormat="1" ht="30">
      <c r="A3845" s="581" t="str">
        <f>'Orç - Prédio'!A591</f>
        <v>06.07.402</v>
      </c>
      <c r="B3845" s="581" t="str">
        <f>'Orç - Prédio'!B591</f>
        <v>ORSE</v>
      </c>
      <c r="C3845" s="581">
        <f>'Orç - Prédio'!C591</f>
        <v>8690</v>
      </c>
      <c r="D3845" s="205" t="s">
        <v>7407</v>
      </c>
      <c r="E3845" s="206">
        <v>50</v>
      </c>
      <c r="F3845" s="581" t="s">
        <v>6774</v>
      </c>
      <c r="G3845" s="207">
        <f>VLOOKUP("CUSTO TOTAL UNIT.:",D3846:$H$30004,5,FALSE)</f>
        <v>10.149999999999999</v>
      </c>
      <c r="H3845" s="637">
        <f>VLOOKUP("CUSTO TOTAL:",D3846:$H$30004,5,FALSE)</f>
        <v>507.5</v>
      </c>
    </row>
    <row r="3846" spans="1:8" s="124" customFormat="1" ht="30">
      <c r="A3846" s="722">
        <v>3881</v>
      </c>
      <c r="B3846" s="722"/>
      <c r="C3846" s="184" t="s">
        <v>6333</v>
      </c>
      <c r="D3846" s="185" t="s">
        <v>7410</v>
      </c>
      <c r="E3846" s="209">
        <v>1</v>
      </c>
      <c r="F3846" s="577" t="s">
        <v>139</v>
      </c>
      <c r="G3846" s="174">
        <v>6.3099000000000007</v>
      </c>
      <c r="H3846" s="211">
        <f>ROUND(G3846*E3846,2)</f>
        <v>6.31</v>
      </c>
    </row>
    <row r="3847" spans="1:8" s="124" customFormat="1" ht="30">
      <c r="A3847" s="721">
        <v>88264</v>
      </c>
      <c r="B3847" s="721"/>
      <c r="C3847" s="200" t="s">
        <v>5256</v>
      </c>
      <c r="D3847" s="139" t="s">
        <v>84</v>
      </c>
      <c r="E3847" s="209">
        <v>0.14000000000000001</v>
      </c>
      <c r="F3847" s="577" t="s">
        <v>67</v>
      </c>
      <c r="G3847" s="210">
        <v>15.778800000000002</v>
      </c>
      <c r="H3847" s="211">
        <f>ROUND(G3847*E3847,2)</f>
        <v>2.21</v>
      </c>
    </row>
    <row r="3848" spans="1:8" s="124" customFormat="1" ht="30">
      <c r="A3848" s="721">
        <v>88316</v>
      </c>
      <c r="B3848" s="721"/>
      <c r="C3848" s="200" t="s">
        <v>5256</v>
      </c>
      <c r="D3848" s="139" t="s">
        <v>66</v>
      </c>
      <c r="E3848" s="209">
        <v>0.14000000000000001</v>
      </c>
      <c r="F3848" s="577" t="s">
        <v>67</v>
      </c>
      <c r="G3848" s="210">
        <v>11.631600000000001</v>
      </c>
      <c r="H3848" s="211">
        <f>ROUND(G3848*E3848,2)</f>
        <v>1.63</v>
      </c>
    </row>
    <row r="3849" spans="1:8" s="201" customFormat="1">
      <c r="A3849" s="582"/>
      <c r="B3849" s="582"/>
      <c r="C3849" s="212"/>
      <c r="D3849" s="719" t="s">
        <v>127</v>
      </c>
      <c r="E3849" s="719"/>
      <c r="F3849" s="719"/>
      <c r="G3849" s="719"/>
      <c r="H3849" s="638">
        <f>SUMIF(F3846:F3848,("h"),H3846:H3848)</f>
        <v>3.84</v>
      </c>
    </row>
    <row r="3850" spans="1:8" s="201" customFormat="1">
      <c r="A3850" s="582"/>
      <c r="B3850" s="582"/>
      <c r="C3850" s="212"/>
      <c r="D3850" s="719" t="s">
        <v>128</v>
      </c>
      <c r="E3850" s="719"/>
      <c r="F3850" s="719"/>
      <c r="G3850" s="719"/>
      <c r="H3850" s="638">
        <f>SUMIF(F3846:F3848,"&lt;&gt;h",H3846:H3848)</f>
        <v>6.31</v>
      </c>
    </row>
    <row r="3851" spans="1:8" s="201" customFormat="1">
      <c r="A3851" s="582"/>
      <c r="B3851" s="582"/>
      <c r="C3851" s="212"/>
      <c r="D3851" s="718" t="s">
        <v>129</v>
      </c>
      <c r="E3851" s="718"/>
      <c r="F3851" s="718"/>
      <c r="G3851" s="718"/>
      <c r="H3851" s="213">
        <f>SUM(H3849:H3850)</f>
        <v>10.149999999999999</v>
      </c>
    </row>
    <row r="3852" spans="1:8" s="201" customFormat="1">
      <c r="A3852" s="582"/>
      <c r="B3852" s="582"/>
      <c r="C3852" s="212"/>
      <c r="D3852" s="719" t="s">
        <v>28</v>
      </c>
      <c r="E3852" s="719"/>
      <c r="F3852" s="719"/>
      <c r="G3852" s="719"/>
      <c r="H3852" s="639">
        <f>E3845</f>
        <v>50</v>
      </c>
    </row>
    <row r="3853" spans="1:8" s="201" customFormat="1">
      <c r="A3853" s="582"/>
      <c r="B3853" s="582"/>
      <c r="C3853" s="212"/>
      <c r="D3853" s="718" t="s">
        <v>130</v>
      </c>
      <c r="E3853" s="718"/>
      <c r="F3853" s="718"/>
      <c r="G3853" s="718"/>
      <c r="H3853" s="213">
        <f>ROUND(H3851*H3852,2)</f>
        <v>507.5</v>
      </c>
    </row>
    <row r="3854" spans="1:8" s="201" customFormat="1">
      <c r="A3854" s="582"/>
      <c r="B3854" s="582"/>
      <c r="C3854" s="212"/>
      <c r="D3854" s="719" t="s">
        <v>15559</v>
      </c>
      <c r="E3854" s="719"/>
      <c r="F3854" s="719"/>
      <c r="G3854" s="719"/>
      <c r="H3854" s="638">
        <f>ROUND(H3851*$B$13,2)</f>
        <v>2.73</v>
      </c>
    </row>
    <row r="3855" spans="1:8">
      <c r="A3855" s="582"/>
      <c r="B3855" s="582"/>
      <c r="C3855" s="212"/>
      <c r="D3855" s="718" t="s">
        <v>9661</v>
      </c>
      <c r="E3855" s="718"/>
      <c r="F3855" s="718"/>
      <c r="G3855" s="718"/>
      <c r="H3855" s="213">
        <f>H3854+H3851</f>
        <v>12.879999999999999</v>
      </c>
    </row>
    <row r="3857" spans="1:8" s="201" customFormat="1">
      <c r="A3857" s="123" t="s">
        <v>6</v>
      </c>
      <c r="B3857" s="720" t="s">
        <v>7</v>
      </c>
      <c r="C3857" s="720"/>
      <c r="D3857" s="202" t="s">
        <v>124</v>
      </c>
      <c r="E3857" s="167" t="s">
        <v>6334</v>
      </c>
      <c r="F3857" s="202" t="s">
        <v>31</v>
      </c>
      <c r="G3857" s="203" t="s">
        <v>125</v>
      </c>
      <c r="H3857" s="204" t="s">
        <v>126</v>
      </c>
    </row>
    <row r="3858" spans="1:8" s="208" customFormat="1">
      <c r="A3858" s="581" t="str">
        <f>'Orç - Prédio'!A593</f>
        <v>06.07.502</v>
      </c>
      <c r="B3858" s="581" t="str">
        <f>'Orç - Prédio'!B593</f>
        <v>ORSE</v>
      </c>
      <c r="C3858" s="581">
        <f>'Orç - Prédio'!C593</f>
        <v>10332</v>
      </c>
      <c r="D3858" s="205" t="s">
        <v>7414</v>
      </c>
      <c r="E3858" s="206">
        <v>23</v>
      </c>
      <c r="F3858" s="206" t="s">
        <v>6337</v>
      </c>
      <c r="G3858" s="207">
        <f>VLOOKUP("CUSTO TOTAL UNIT.:",D3859:$H$30004,5,FALSE)</f>
        <v>19.18</v>
      </c>
      <c r="H3858" s="637">
        <f>VLOOKUP("CUSTO TOTAL:",D3859:$H$30004,5,FALSE)</f>
        <v>441.14</v>
      </c>
    </row>
    <row r="3859" spans="1:8" s="124" customFormat="1" ht="30">
      <c r="A3859" s="722">
        <v>10322</v>
      </c>
      <c r="B3859" s="722"/>
      <c r="C3859" s="184" t="s">
        <v>6333</v>
      </c>
      <c r="D3859" s="185" t="s">
        <v>15409</v>
      </c>
      <c r="E3859" s="209">
        <v>1</v>
      </c>
      <c r="F3859" s="577" t="s">
        <v>31</v>
      </c>
      <c r="G3859" s="174">
        <v>19.180800000000001</v>
      </c>
      <c r="H3859" s="211">
        <f>ROUND(G3859*E3859,2)</f>
        <v>19.18</v>
      </c>
    </row>
    <row r="3860" spans="1:8" s="201" customFormat="1">
      <c r="A3860" s="582"/>
      <c r="B3860" s="582"/>
      <c r="C3860" s="212"/>
      <c r="D3860" s="719" t="s">
        <v>127</v>
      </c>
      <c r="E3860" s="719"/>
      <c r="F3860" s="719"/>
      <c r="G3860" s="719"/>
      <c r="H3860" s="638">
        <f>SUMIF(F3859:F3859,("h"),H3859:H3859)</f>
        <v>0</v>
      </c>
    </row>
    <row r="3861" spans="1:8" s="201" customFormat="1">
      <c r="A3861" s="582"/>
      <c r="B3861" s="582"/>
      <c r="C3861" s="212"/>
      <c r="D3861" s="719" t="s">
        <v>128</v>
      </c>
      <c r="E3861" s="719"/>
      <c r="F3861" s="719"/>
      <c r="G3861" s="719"/>
      <c r="H3861" s="638">
        <f>SUMIF(F3859:F3859,"&lt;&gt;h",H3859:H3859)</f>
        <v>19.18</v>
      </c>
    </row>
    <row r="3862" spans="1:8" s="201" customFormat="1">
      <c r="A3862" s="582"/>
      <c r="B3862" s="582"/>
      <c r="C3862" s="212"/>
      <c r="D3862" s="718" t="s">
        <v>129</v>
      </c>
      <c r="E3862" s="718"/>
      <c r="F3862" s="718"/>
      <c r="G3862" s="718"/>
      <c r="H3862" s="213">
        <f>SUM(H3860:H3861)</f>
        <v>19.18</v>
      </c>
    </row>
    <row r="3863" spans="1:8" s="201" customFormat="1">
      <c r="A3863" s="582"/>
      <c r="B3863" s="582"/>
      <c r="C3863" s="212"/>
      <c r="D3863" s="719" t="s">
        <v>28</v>
      </c>
      <c r="E3863" s="719"/>
      <c r="F3863" s="719"/>
      <c r="G3863" s="719"/>
      <c r="H3863" s="639">
        <f>E3858</f>
        <v>23</v>
      </c>
    </row>
    <row r="3864" spans="1:8" s="201" customFormat="1">
      <c r="A3864" s="582"/>
      <c r="B3864" s="582"/>
      <c r="C3864" s="212"/>
      <c r="D3864" s="718" t="s">
        <v>130</v>
      </c>
      <c r="E3864" s="718"/>
      <c r="F3864" s="718"/>
      <c r="G3864" s="718"/>
      <c r="H3864" s="213">
        <f>ROUND(H3862*H3863,2)</f>
        <v>441.14</v>
      </c>
    </row>
    <row r="3865" spans="1:8" s="201" customFormat="1">
      <c r="A3865" s="582"/>
      <c r="B3865" s="582"/>
      <c r="C3865" s="212"/>
      <c r="D3865" s="719" t="s">
        <v>15559</v>
      </c>
      <c r="E3865" s="719"/>
      <c r="F3865" s="719"/>
      <c r="G3865" s="719"/>
      <c r="H3865" s="638">
        <f>ROUND(H3862*$B$13,2)</f>
        <v>5.17</v>
      </c>
    </row>
    <row r="3866" spans="1:8">
      <c r="A3866" s="582"/>
      <c r="B3866" s="582"/>
      <c r="C3866" s="212"/>
      <c r="D3866" s="718" t="s">
        <v>9661</v>
      </c>
      <c r="E3866" s="718"/>
      <c r="F3866" s="718"/>
      <c r="G3866" s="718"/>
      <c r="H3866" s="213">
        <f>H3865+H3862</f>
        <v>24.35</v>
      </c>
    </row>
    <row r="3868" spans="1:8" s="201" customFormat="1">
      <c r="A3868" s="123" t="s">
        <v>6</v>
      </c>
      <c r="B3868" s="720" t="s">
        <v>7</v>
      </c>
      <c r="C3868" s="720"/>
      <c r="D3868" s="202" t="s">
        <v>124</v>
      </c>
      <c r="E3868" s="167" t="s">
        <v>6334</v>
      </c>
      <c r="F3868" s="202" t="s">
        <v>31</v>
      </c>
      <c r="G3868" s="203" t="s">
        <v>125</v>
      </c>
      <c r="H3868" s="204" t="s">
        <v>126</v>
      </c>
    </row>
    <row r="3869" spans="1:8" s="484" customFormat="1" ht="45">
      <c r="A3869" s="581" t="str">
        <f>'Orç - Prédio'!A597</f>
        <v>06.09.101.01</v>
      </c>
      <c r="B3869" s="581" t="str">
        <f>'Orç - Prédio'!B597</f>
        <v>CPOS</v>
      </c>
      <c r="C3869" s="581" t="str">
        <f>'Orç - Prédio'!C597</f>
        <v>66.20.225</v>
      </c>
      <c r="D3869" s="205" t="s">
        <v>15408</v>
      </c>
      <c r="E3869" s="206">
        <v>4</v>
      </c>
      <c r="F3869" s="581" t="s">
        <v>6337</v>
      </c>
      <c r="G3869" s="318">
        <f>VLOOKUP("CUSTO TOTAL UNIT.:",D3870:$H$30004,5,FALSE)</f>
        <v>2029.49</v>
      </c>
      <c r="H3869" s="640">
        <f>VLOOKUP("CUSTO TOTAL:",D3870:$H$30004,5,FALSE)</f>
        <v>8117.96</v>
      </c>
    </row>
    <row r="3870" spans="1:8" s="124" customFormat="1" ht="60">
      <c r="A3870" s="722" t="s">
        <v>15407</v>
      </c>
      <c r="B3870" s="722"/>
      <c r="C3870" s="184" t="s">
        <v>6753</v>
      </c>
      <c r="D3870" s="185" t="s">
        <v>7395</v>
      </c>
      <c r="E3870" s="209">
        <v>1</v>
      </c>
      <c r="F3870" s="577" t="s">
        <v>31</v>
      </c>
      <c r="G3870" s="174">
        <v>2021.9058</v>
      </c>
      <c r="H3870" s="211">
        <f>ROUND(G3870*E3870,2)</f>
        <v>2021.91</v>
      </c>
    </row>
    <row r="3871" spans="1:8" s="124" customFormat="1" ht="30">
      <c r="A3871" s="721">
        <v>100307</v>
      </c>
      <c r="B3871" s="721"/>
      <c r="C3871" s="200" t="s">
        <v>5256</v>
      </c>
      <c r="D3871" s="139" t="s">
        <v>15353</v>
      </c>
      <c r="E3871" s="209">
        <v>0.5</v>
      </c>
      <c r="F3871" s="577" t="s">
        <v>67</v>
      </c>
      <c r="G3871" s="210">
        <v>15.1632</v>
      </c>
      <c r="H3871" s="211">
        <f>ROUND(G3871*E3871,2)</f>
        <v>7.58</v>
      </c>
    </row>
    <row r="3872" spans="1:8" s="201" customFormat="1">
      <c r="A3872" s="582"/>
      <c r="B3872" s="582"/>
      <c r="C3872" s="212"/>
      <c r="D3872" s="719" t="s">
        <v>127</v>
      </c>
      <c r="E3872" s="719"/>
      <c r="F3872" s="719"/>
      <c r="G3872" s="719"/>
      <c r="H3872" s="638">
        <f>SUMIF(F3870:F3871,("h"),H3870:H3871)</f>
        <v>7.58</v>
      </c>
    </row>
    <row r="3873" spans="1:8" s="201" customFormat="1">
      <c r="A3873" s="582"/>
      <c r="B3873" s="582"/>
      <c r="C3873" s="212"/>
      <c r="D3873" s="719" t="s">
        <v>128</v>
      </c>
      <c r="E3873" s="719"/>
      <c r="F3873" s="719"/>
      <c r="G3873" s="719"/>
      <c r="H3873" s="638">
        <f>SUMIF(F3870:F3871,"&lt;&gt;h",H3870:H3871)</f>
        <v>2021.91</v>
      </c>
    </row>
    <row r="3874" spans="1:8" s="201" customFormat="1">
      <c r="A3874" s="582"/>
      <c r="B3874" s="582"/>
      <c r="C3874" s="212"/>
      <c r="D3874" s="718" t="s">
        <v>129</v>
      </c>
      <c r="E3874" s="718"/>
      <c r="F3874" s="718"/>
      <c r="G3874" s="718"/>
      <c r="H3874" s="213">
        <f>SUM(H3872:H3873)</f>
        <v>2029.49</v>
      </c>
    </row>
    <row r="3875" spans="1:8" s="201" customFormat="1">
      <c r="A3875" s="582"/>
      <c r="B3875" s="582"/>
      <c r="C3875" s="212"/>
      <c r="D3875" s="719" t="s">
        <v>28</v>
      </c>
      <c r="E3875" s="719"/>
      <c r="F3875" s="719"/>
      <c r="G3875" s="719"/>
      <c r="H3875" s="639">
        <f>E3869</f>
        <v>4</v>
      </c>
    </row>
    <row r="3876" spans="1:8" s="201" customFormat="1">
      <c r="A3876" s="582"/>
      <c r="B3876" s="582"/>
      <c r="C3876" s="212"/>
      <c r="D3876" s="718" t="s">
        <v>130</v>
      </c>
      <c r="E3876" s="718"/>
      <c r="F3876" s="718"/>
      <c r="G3876" s="718"/>
      <c r="H3876" s="213">
        <f>ROUND(H3874*H3875,2)</f>
        <v>8117.96</v>
      </c>
    </row>
    <row r="3877" spans="1:8" s="201" customFormat="1">
      <c r="A3877" s="582"/>
      <c r="B3877" s="582"/>
      <c r="C3877" s="212"/>
      <c r="D3877" s="719" t="s">
        <v>15559</v>
      </c>
      <c r="E3877" s="719"/>
      <c r="F3877" s="719"/>
      <c r="G3877" s="719"/>
      <c r="H3877" s="638">
        <f>ROUND(H3874*$B$13,2)</f>
        <v>546.54</v>
      </c>
    </row>
    <row r="3878" spans="1:8">
      <c r="A3878" s="582"/>
      <c r="B3878" s="582"/>
      <c r="C3878" s="212"/>
      <c r="D3878" s="718" t="s">
        <v>9661</v>
      </c>
      <c r="E3878" s="718"/>
      <c r="F3878" s="718"/>
      <c r="G3878" s="718"/>
      <c r="H3878" s="213">
        <f>H3877+H3874</f>
        <v>2576.0299999999997</v>
      </c>
    </row>
    <row r="3880" spans="1:8" s="201" customFormat="1">
      <c r="A3880" s="123" t="s">
        <v>6</v>
      </c>
      <c r="B3880" s="720" t="s">
        <v>7</v>
      </c>
      <c r="C3880" s="720"/>
      <c r="D3880" s="202" t="s">
        <v>124</v>
      </c>
      <c r="E3880" s="167" t="s">
        <v>6334</v>
      </c>
      <c r="F3880" s="202" t="s">
        <v>31</v>
      </c>
      <c r="G3880" s="203" t="s">
        <v>125</v>
      </c>
      <c r="H3880" s="204" t="s">
        <v>126</v>
      </c>
    </row>
    <row r="3881" spans="1:8" s="208" customFormat="1">
      <c r="A3881" s="581" t="str">
        <f>'Orç - Prédio'!A598</f>
        <v>06.09.002.01</v>
      </c>
      <c r="B3881" s="216" t="str">
        <f>'Orç - Prédio'!B599</f>
        <v>ORSE</v>
      </c>
      <c r="C3881" s="216">
        <f>'Orç - Prédio'!C599</f>
        <v>10727</v>
      </c>
      <c r="D3881" s="217" t="s">
        <v>7419</v>
      </c>
      <c r="E3881" s="206">
        <v>4</v>
      </c>
      <c r="F3881" s="216" t="s">
        <v>6337</v>
      </c>
      <c r="G3881" s="207">
        <f>VLOOKUP("CUSTO TOTAL UNIT.:",D3882:$H$30004,5,FALSE)</f>
        <v>240.65</v>
      </c>
      <c r="H3881" s="637">
        <f>VLOOKUP("CUSTO TOTAL:",D3882:$H$30004,5,FALSE)</f>
        <v>962.6</v>
      </c>
    </row>
    <row r="3882" spans="1:8" s="124" customFormat="1">
      <c r="A3882" s="722">
        <v>11482</v>
      </c>
      <c r="B3882" s="722"/>
      <c r="C3882" s="184" t="s">
        <v>6333</v>
      </c>
      <c r="D3882" s="185" t="s">
        <v>7425</v>
      </c>
      <c r="E3882" s="209">
        <v>1</v>
      </c>
      <c r="F3882" s="577" t="s">
        <v>31</v>
      </c>
      <c r="G3882" s="174">
        <v>212.43870000000001</v>
      </c>
      <c r="H3882" s="211">
        <f>ROUND(G3882*E3882,2)</f>
        <v>212.44</v>
      </c>
    </row>
    <row r="3883" spans="1:8" s="124" customFormat="1" ht="30">
      <c r="A3883" s="721">
        <v>88264</v>
      </c>
      <c r="B3883" s="721"/>
      <c r="C3883" s="200" t="s">
        <v>5256</v>
      </c>
      <c r="D3883" s="139" t="s">
        <v>84</v>
      </c>
      <c r="E3883" s="209">
        <v>1</v>
      </c>
      <c r="F3883" s="577" t="s">
        <v>67</v>
      </c>
      <c r="G3883" s="210">
        <v>15.778800000000002</v>
      </c>
      <c r="H3883" s="211">
        <f>ROUND(G3883*E3883,2)</f>
        <v>15.78</v>
      </c>
    </row>
    <row r="3884" spans="1:8" s="124" customFormat="1" ht="30">
      <c r="A3884" s="721">
        <v>88247</v>
      </c>
      <c r="B3884" s="721"/>
      <c r="C3884" s="200" t="s">
        <v>5256</v>
      </c>
      <c r="D3884" s="139" t="s">
        <v>74</v>
      </c>
      <c r="E3884" s="209">
        <v>1</v>
      </c>
      <c r="F3884" s="577" t="s">
        <v>67</v>
      </c>
      <c r="G3884" s="210">
        <v>12.425400000000002</v>
      </c>
      <c r="H3884" s="211">
        <f>ROUND(G3884*E3884,2)</f>
        <v>12.43</v>
      </c>
    </row>
    <row r="3885" spans="1:8" s="201" customFormat="1">
      <c r="A3885" s="582"/>
      <c r="B3885" s="582"/>
      <c r="C3885" s="212"/>
      <c r="D3885" s="719" t="s">
        <v>127</v>
      </c>
      <c r="E3885" s="719"/>
      <c r="F3885" s="719"/>
      <c r="G3885" s="719"/>
      <c r="H3885" s="638">
        <f>SUMIF(F3882:F3884,("h"),H3882:H3884)</f>
        <v>28.21</v>
      </c>
    </row>
    <row r="3886" spans="1:8" s="201" customFormat="1">
      <c r="A3886" s="582"/>
      <c r="B3886" s="582"/>
      <c r="C3886" s="212"/>
      <c r="D3886" s="719" t="s">
        <v>128</v>
      </c>
      <c r="E3886" s="719"/>
      <c r="F3886" s="719"/>
      <c r="G3886" s="719"/>
      <c r="H3886" s="638">
        <f>SUMIF(F3882:F3884,"&lt;&gt;h",H3882:H3884)</f>
        <v>212.44</v>
      </c>
    </row>
    <row r="3887" spans="1:8" s="201" customFormat="1">
      <c r="A3887" s="582"/>
      <c r="B3887" s="582"/>
      <c r="C3887" s="212"/>
      <c r="D3887" s="718" t="s">
        <v>129</v>
      </c>
      <c r="E3887" s="718"/>
      <c r="F3887" s="718"/>
      <c r="G3887" s="718"/>
      <c r="H3887" s="213">
        <f>SUM(H3885:H3886)</f>
        <v>240.65</v>
      </c>
    </row>
    <row r="3888" spans="1:8" s="201" customFormat="1">
      <c r="A3888" s="582"/>
      <c r="B3888" s="582"/>
      <c r="C3888" s="212"/>
      <c r="D3888" s="719" t="s">
        <v>28</v>
      </c>
      <c r="E3888" s="719"/>
      <c r="F3888" s="719"/>
      <c r="G3888" s="719"/>
      <c r="H3888" s="639">
        <f>E3881</f>
        <v>4</v>
      </c>
    </row>
    <row r="3889" spans="1:8" s="201" customFormat="1">
      <c r="A3889" s="582"/>
      <c r="B3889" s="582"/>
      <c r="C3889" s="212"/>
      <c r="D3889" s="718" t="s">
        <v>130</v>
      </c>
      <c r="E3889" s="718"/>
      <c r="F3889" s="718"/>
      <c r="G3889" s="718"/>
      <c r="H3889" s="213">
        <f>ROUND(H3887*H3888,2)</f>
        <v>962.6</v>
      </c>
    </row>
    <row r="3890" spans="1:8" s="201" customFormat="1">
      <c r="A3890" s="582"/>
      <c r="B3890" s="582"/>
      <c r="C3890" s="212"/>
      <c r="D3890" s="719" t="s">
        <v>15559</v>
      </c>
      <c r="E3890" s="719"/>
      <c r="F3890" s="719"/>
      <c r="G3890" s="719"/>
      <c r="H3890" s="638">
        <f>ROUND(H3887*$B$13,2)</f>
        <v>64.81</v>
      </c>
    </row>
    <row r="3891" spans="1:8">
      <c r="A3891" s="582"/>
      <c r="B3891" s="582"/>
      <c r="C3891" s="212"/>
      <c r="D3891" s="718" t="s">
        <v>9661</v>
      </c>
      <c r="E3891" s="718"/>
      <c r="F3891" s="718"/>
      <c r="G3891" s="718"/>
      <c r="H3891" s="213">
        <f>H3890+H3887</f>
        <v>305.46000000000004</v>
      </c>
    </row>
    <row r="3893" spans="1:8" s="201" customFormat="1">
      <c r="A3893" s="123" t="s">
        <v>6</v>
      </c>
      <c r="B3893" s="720" t="s">
        <v>7</v>
      </c>
      <c r="C3893" s="720"/>
      <c r="D3893" s="202" t="s">
        <v>124</v>
      </c>
      <c r="E3893" s="167" t="s">
        <v>6334</v>
      </c>
      <c r="F3893" s="202" t="s">
        <v>31</v>
      </c>
      <c r="G3893" s="203" t="s">
        <v>125</v>
      </c>
      <c r="H3893" s="204" t="s">
        <v>126</v>
      </c>
    </row>
    <row r="3894" spans="1:8" s="208" customFormat="1" ht="180">
      <c r="A3894" s="581" t="str">
        <f>'Orç - Prédio'!A600</f>
        <v>06.09.002.03</v>
      </c>
      <c r="B3894" s="216" t="str">
        <f>'Orç - Prédio'!B600</f>
        <v>ORSE</v>
      </c>
      <c r="C3894" s="216">
        <f>'Orç - Prédio'!C600</f>
        <v>11228</v>
      </c>
      <c r="D3894" s="217" t="s">
        <v>7420</v>
      </c>
      <c r="E3894" s="206">
        <v>2</v>
      </c>
      <c r="F3894" s="216" t="s">
        <v>6337</v>
      </c>
      <c r="G3894" s="207">
        <f>VLOOKUP("CUSTO TOTAL UNIT.:",D3895:$H$30004,5,FALSE)</f>
        <v>5313.26</v>
      </c>
      <c r="H3894" s="637">
        <f>VLOOKUP("CUSTO TOTAL:",D3895:$H$30004,5,FALSE)</f>
        <v>10626.52</v>
      </c>
    </row>
    <row r="3895" spans="1:8" s="124" customFormat="1" ht="30">
      <c r="A3895" s="723">
        <v>11578</v>
      </c>
      <c r="B3895" s="723"/>
      <c r="C3895" s="184" t="s">
        <v>6333</v>
      </c>
      <c r="D3895" s="185" t="s">
        <v>7442</v>
      </c>
      <c r="E3895" s="209">
        <v>1</v>
      </c>
      <c r="F3895" s="577" t="s">
        <v>31</v>
      </c>
      <c r="G3895" s="174">
        <v>4985.2503000000006</v>
      </c>
      <c r="H3895" s="211">
        <f>ROUND(G3895*E3895,2)</f>
        <v>4985.25</v>
      </c>
    </row>
    <row r="3896" spans="1:8" s="124" customFormat="1" ht="30">
      <c r="A3896" s="721">
        <v>88264</v>
      </c>
      <c r="B3896" s="721"/>
      <c r="C3896" s="200" t="s">
        <v>5256</v>
      </c>
      <c r="D3896" s="139" t="s">
        <v>84</v>
      </c>
      <c r="E3896" s="209">
        <v>20</v>
      </c>
      <c r="F3896" s="577" t="s">
        <v>67</v>
      </c>
      <c r="G3896" s="210">
        <v>15.778800000000002</v>
      </c>
      <c r="H3896" s="211">
        <f>ROUND(G3896*E3896,2)</f>
        <v>315.58</v>
      </c>
    </row>
    <row r="3897" spans="1:8" s="124" customFormat="1" ht="30">
      <c r="A3897" s="721">
        <v>88247</v>
      </c>
      <c r="B3897" s="721"/>
      <c r="C3897" s="200" t="s">
        <v>5256</v>
      </c>
      <c r="D3897" s="139" t="s">
        <v>74</v>
      </c>
      <c r="E3897" s="209">
        <v>1</v>
      </c>
      <c r="F3897" s="577" t="s">
        <v>67</v>
      </c>
      <c r="G3897" s="210">
        <v>12.425400000000002</v>
      </c>
      <c r="H3897" s="211">
        <f>ROUND(G3897*E3897,2)</f>
        <v>12.43</v>
      </c>
    </row>
    <row r="3898" spans="1:8" s="201" customFormat="1">
      <c r="A3898" s="582"/>
      <c r="B3898" s="582"/>
      <c r="C3898" s="212"/>
      <c r="D3898" s="719" t="s">
        <v>127</v>
      </c>
      <c r="E3898" s="719"/>
      <c r="F3898" s="719"/>
      <c r="G3898" s="719"/>
      <c r="H3898" s="638">
        <f>SUMIF(F3895:F3897,("h"),H3895:H3897)</f>
        <v>328.01</v>
      </c>
    </row>
    <row r="3899" spans="1:8" s="201" customFormat="1">
      <c r="A3899" s="582"/>
      <c r="B3899" s="582"/>
      <c r="C3899" s="212"/>
      <c r="D3899" s="719" t="s">
        <v>128</v>
      </c>
      <c r="E3899" s="719"/>
      <c r="F3899" s="719"/>
      <c r="G3899" s="719"/>
      <c r="H3899" s="638">
        <f>SUMIF(F3895:F3897,"&lt;&gt;h",H3895:H3897)</f>
        <v>4985.25</v>
      </c>
    </row>
    <row r="3900" spans="1:8" s="201" customFormat="1">
      <c r="A3900" s="582"/>
      <c r="B3900" s="582"/>
      <c r="C3900" s="212"/>
      <c r="D3900" s="718" t="s">
        <v>129</v>
      </c>
      <c r="E3900" s="718"/>
      <c r="F3900" s="718"/>
      <c r="G3900" s="718"/>
      <c r="H3900" s="213">
        <f>SUM(H3898:H3899)</f>
        <v>5313.26</v>
      </c>
    </row>
    <row r="3901" spans="1:8" s="201" customFormat="1">
      <c r="A3901" s="582"/>
      <c r="B3901" s="582"/>
      <c r="C3901" s="212"/>
      <c r="D3901" s="719" t="s">
        <v>28</v>
      </c>
      <c r="E3901" s="719"/>
      <c r="F3901" s="719"/>
      <c r="G3901" s="719"/>
      <c r="H3901" s="639">
        <f>E3894</f>
        <v>2</v>
      </c>
    </row>
    <row r="3902" spans="1:8" s="201" customFormat="1">
      <c r="A3902" s="582"/>
      <c r="B3902" s="582"/>
      <c r="C3902" s="212"/>
      <c r="D3902" s="718" t="s">
        <v>130</v>
      </c>
      <c r="E3902" s="718"/>
      <c r="F3902" s="718"/>
      <c r="G3902" s="718"/>
      <c r="H3902" s="213">
        <f>ROUND(H3900*H3901,2)</f>
        <v>10626.52</v>
      </c>
    </row>
    <row r="3903" spans="1:8" s="201" customFormat="1">
      <c r="A3903" s="582"/>
      <c r="B3903" s="582"/>
      <c r="C3903" s="212"/>
      <c r="D3903" s="719" t="s">
        <v>15559</v>
      </c>
      <c r="E3903" s="719"/>
      <c r="F3903" s="719"/>
      <c r="G3903" s="719"/>
      <c r="H3903" s="638">
        <f>ROUND(H3900*$B$13,2)</f>
        <v>1430.86</v>
      </c>
    </row>
    <row r="3904" spans="1:8">
      <c r="A3904" s="582"/>
      <c r="B3904" s="582"/>
      <c r="C3904" s="212"/>
      <c r="D3904" s="718" t="s">
        <v>9661</v>
      </c>
      <c r="E3904" s="718"/>
      <c r="F3904" s="718"/>
      <c r="G3904" s="718"/>
      <c r="H3904" s="213">
        <f>H3903+H3900</f>
        <v>6744.12</v>
      </c>
    </row>
    <row r="3906" spans="1:8" s="201" customFormat="1">
      <c r="A3906" s="123" t="s">
        <v>6</v>
      </c>
      <c r="B3906" s="720" t="s">
        <v>7</v>
      </c>
      <c r="C3906" s="720"/>
      <c r="D3906" s="202" t="s">
        <v>124</v>
      </c>
      <c r="E3906" s="167" t="s">
        <v>6334</v>
      </c>
      <c r="F3906" s="202" t="s">
        <v>31</v>
      </c>
      <c r="G3906" s="203" t="s">
        <v>125</v>
      </c>
      <c r="H3906" s="204" t="s">
        <v>126</v>
      </c>
    </row>
    <row r="3907" spans="1:8" s="208" customFormat="1" ht="30">
      <c r="A3907" s="581" t="str">
        <f>'Orç - Prédio'!A598</f>
        <v>06.09.002.01</v>
      </c>
      <c r="B3907" s="216" t="str">
        <f>'Orç - Prédio'!B601</f>
        <v>ORSE</v>
      </c>
      <c r="C3907" s="216">
        <f>'Orç - Prédio'!C601</f>
        <v>520</v>
      </c>
      <c r="D3907" s="217" t="s">
        <v>7387</v>
      </c>
      <c r="E3907" s="206">
        <v>17</v>
      </c>
      <c r="F3907" s="216" t="s">
        <v>6337</v>
      </c>
      <c r="G3907" s="207">
        <f>VLOOKUP("CUSTO TOTAL UNIT.:",D3908:$H$30004,5,FALSE)</f>
        <v>12.88</v>
      </c>
      <c r="H3907" s="637">
        <f>VLOOKUP("CUSTO TOTAL:",D3908:$H$30004,5,FALSE)</f>
        <v>218.96</v>
      </c>
    </row>
    <row r="3908" spans="1:8" s="124" customFormat="1">
      <c r="A3908" s="722">
        <v>1090</v>
      </c>
      <c r="B3908" s="722"/>
      <c r="C3908" s="184" t="s">
        <v>6333</v>
      </c>
      <c r="D3908" s="185" t="s">
        <v>8998</v>
      </c>
      <c r="E3908" s="209">
        <v>1</v>
      </c>
      <c r="F3908" s="577" t="s">
        <v>31</v>
      </c>
      <c r="G3908" s="174">
        <v>9.7200000000000006</v>
      </c>
      <c r="H3908" s="211">
        <f>ROUND(G3908*E3908,2)</f>
        <v>9.7200000000000006</v>
      </c>
    </row>
    <row r="3909" spans="1:8" s="124" customFormat="1" ht="30">
      <c r="A3909" s="721">
        <v>88264</v>
      </c>
      <c r="B3909" s="721"/>
      <c r="C3909" s="200" t="s">
        <v>5256</v>
      </c>
      <c r="D3909" s="139" t="s">
        <v>84</v>
      </c>
      <c r="E3909" s="209">
        <v>0.2</v>
      </c>
      <c r="F3909" s="577" t="s">
        <v>67</v>
      </c>
      <c r="G3909" s="210">
        <v>15.778800000000002</v>
      </c>
      <c r="H3909" s="211">
        <f>ROUND(G3909*E3909,2)</f>
        <v>3.16</v>
      </c>
    </row>
    <row r="3910" spans="1:8" s="201" customFormat="1">
      <c r="A3910" s="582"/>
      <c r="B3910" s="582"/>
      <c r="C3910" s="212"/>
      <c r="D3910" s="719" t="s">
        <v>127</v>
      </c>
      <c r="E3910" s="719"/>
      <c r="F3910" s="719"/>
      <c r="G3910" s="719"/>
      <c r="H3910" s="638">
        <f>SUMIF(F3908:F3909,("h"),H3908:H3909)</f>
        <v>3.16</v>
      </c>
    </row>
    <row r="3911" spans="1:8" s="201" customFormat="1">
      <c r="A3911" s="582"/>
      <c r="B3911" s="582"/>
      <c r="C3911" s="212"/>
      <c r="D3911" s="719" t="s">
        <v>128</v>
      </c>
      <c r="E3911" s="719"/>
      <c r="F3911" s="719"/>
      <c r="G3911" s="719"/>
      <c r="H3911" s="638">
        <f>SUMIF(F3908:F3909,"&lt;&gt;h",H3908:H3909)</f>
        <v>9.7200000000000006</v>
      </c>
    </row>
    <row r="3912" spans="1:8" s="201" customFormat="1">
      <c r="A3912" s="582"/>
      <c r="B3912" s="582"/>
      <c r="C3912" s="212"/>
      <c r="D3912" s="718" t="s">
        <v>129</v>
      </c>
      <c r="E3912" s="718"/>
      <c r="F3912" s="718"/>
      <c r="G3912" s="718"/>
      <c r="H3912" s="213">
        <f>SUM(H3910:H3911)</f>
        <v>12.88</v>
      </c>
    </row>
    <row r="3913" spans="1:8" s="201" customFormat="1">
      <c r="A3913" s="582"/>
      <c r="B3913" s="582"/>
      <c r="C3913" s="212"/>
      <c r="D3913" s="719" t="s">
        <v>28</v>
      </c>
      <c r="E3913" s="719"/>
      <c r="F3913" s="719"/>
      <c r="G3913" s="719"/>
      <c r="H3913" s="639">
        <f>E3907</f>
        <v>17</v>
      </c>
    </row>
    <row r="3914" spans="1:8" s="201" customFormat="1">
      <c r="A3914" s="582"/>
      <c r="B3914" s="582"/>
      <c r="C3914" s="212"/>
      <c r="D3914" s="718" t="s">
        <v>130</v>
      </c>
      <c r="E3914" s="718"/>
      <c r="F3914" s="718"/>
      <c r="G3914" s="718"/>
      <c r="H3914" s="213">
        <f>ROUND(H3912*H3913,2)</f>
        <v>218.96</v>
      </c>
    </row>
    <row r="3915" spans="1:8" s="201" customFormat="1">
      <c r="A3915" s="582"/>
      <c r="B3915" s="582"/>
      <c r="C3915" s="212"/>
      <c r="D3915" s="719" t="s">
        <v>15562</v>
      </c>
      <c r="E3915" s="719"/>
      <c r="F3915" s="719"/>
      <c r="G3915" s="719"/>
      <c r="H3915" s="638">
        <f>ROUND(H3914*$B$13,2)</f>
        <v>58.97</v>
      </c>
    </row>
    <row r="3916" spans="1:8">
      <c r="A3916" s="582"/>
      <c r="B3916" s="582"/>
      <c r="C3916" s="212"/>
      <c r="D3916" s="718" t="s">
        <v>68</v>
      </c>
      <c r="E3916" s="718"/>
      <c r="F3916" s="718"/>
      <c r="G3916" s="718"/>
      <c r="H3916" s="213">
        <f>H3915+H3914</f>
        <v>277.93</v>
      </c>
    </row>
    <row r="3918" spans="1:8" s="201" customFormat="1">
      <c r="A3918" s="123" t="s">
        <v>6</v>
      </c>
      <c r="B3918" s="720" t="s">
        <v>7</v>
      </c>
      <c r="C3918" s="720"/>
      <c r="D3918" s="202" t="s">
        <v>124</v>
      </c>
      <c r="E3918" s="167" t="s">
        <v>6334</v>
      </c>
      <c r="F3918" s="202" t="s">
        <v>31</v>
      </c>
      <c r="G3918" s="203" t="s">
        <v>125</v>
      </c>
      <c r="H3918" s="204" t="s">
        <v>126</v>
      </c>
    </row>
    <row r="3919" spans="1:8" s="208" customFormat="1" ht="30">
      <c r="A3919" s="581" t="str">
        <f>'Orç - Prédio'!A602</f>
        <v>06.09.003</v>
      </c>
      <c r="B3919" s="581" t="str">
        <f>'Orç - Prédio'!B602</f>
        <v>ORSE</v>
      </c>
      <c r="C3919" s="581">
        <f>'Orç - Prédio'!C602</f>
        <v>11307</v>
      </c>
      <c r="D3919" s="205" t="s">
        <v>7388</v>
      </c>
      <c r="E3919" s="206">
        <v>2</v>
      </c>
      <c r="F3919" s="581" t="s">
        <v>6337</v>
      </c>
      <c r="G3919" s="207">
        <f>VLOOKUP("CUSTO TOTAL UNIT.:",D3920:$H$30004,5,FALSE)</f>
        <v>687.12</v>
      </c>
      <c r="H3919" s="637">
        <f>VLOOKUP("CUSTO TOTAL:",D3920:$H$30004,5,FALSE)</f>
        <v>1374.24</v>
      </c>
    </row>
    <row r="3920" spans="1:8" s="124" customFormat="1">
      <c r="A3920" s="722">
        <v>12167</v>
      </c>
      <c r="B3920" s="722"/>
      <c r="C3920" s="184" t="s">
        <v>6333</v>
      </c>
      <c r="D3920" s="185" t="s">
        <v>7396</v>
      </c>
      <c r="E3920" s="209">
        <v>1</v>
      </c>
      <c r="F3920" s="577" t="s">
        <v>31</v>
      </c>
      <c r="G3920" s="174">
        <v>673.40970000000004</v>
      </c>
      <c r="H3920" s="211">
        <f>ROUND(G3920*E3920,2)</f>
        <v>673.41</v>
      </c>
    </row>
    <row r="3921" spans="1:8" s="124" customFormat="1" ht="30">
      <c r="A3921" s="721">
        <v>88264</v>
      </c>
      <c r="B3921" s="721"/>
      <c r="C3921" s="200" t="s">
        <v>5256</v>
      </c>
      <c r="D3921" s="139" t="s">
        <v>84</v>
      </c>
      <c r="E3921" s="209">
        <v>0.5</v>
      </c>
      <c r="F3921" s="577" t="s">
        <v>67</v>
      </c>
      <c r="G3921" s="210">
        <v>15.778800000000002</v>
      </c>
      <c r="H3921" s="211">
        <f>ROUND(G3921*E3921,2)</f>
        <v>7.89</v>
      </c>
    </row>
    <row r="3922" spans="1:8" s="124" customFormat="1" ht="30">
      <c r="A3922" s="721">
        <v>88316</v>
      </c>
      <c r="B3922" s="721"/>
      <c r="C3922" s="200" t="s">
        <v>5256</v>
      </c>
      <c r="D3922" s="139" t="s">
        <v>66</v>
      </c>
      <c r="E3922" s="209">
        <v>0.5</v>
      </c>
      <c r="F3922" s="577" t="s">
        <v>67</v>
      </c>
      <c r="G3922" s="210">
        <v>11.631600000000001</v>
      </c>
      <c r="H3922" s="211">
        <f>ROUND(G3922*E3922,2)</f>
        <v>5.82</v>
      </c>
    </row>
    <row r="3923" spans="1:8" s="201" customFormat="1">
      <c r="A3923" s="582"/>
      <c r="B3923" s="582"/>
      <c r="C3923" s="212"/>
      <c r="D3923" s="719" t="s">
        <v>127</v>
      </c>
      <c r="E3923" s="719"/>
      <c r="F3923" s="719"/>
      <c r="G3923" s="719"/>
      <c r="H3923" s="638">
        <f>SUMIF(F3920:F3922,("h"),H3920:H3922)</f>
        <v>13.71</v>
      </c>
    </row>
    <row r="3924" spans="1:8" s="201" customFormat="1">
      <c r="A3924" s="582"/>
      <c r="B3924" s="582"/>
      <c r="C3924" s="212"/>
      <c r="D3924" s="719" t="s">
        <v>128</v>
      </c>
      <c r="E3924" s="719"/>
      <c r="F3924" s="719"/>
      <c r="G3924" s="719"/>
      <c r="H3924" s="638">
        <f>SUMIF(F3920:F3922,"&lt;&gt;h",H3920:H3922)</f>
        <v>673.41</v>
      </c>
    </row>
    <row r="3925" spans="1:8" s="201" customFormat="1">
      <c r="A3925" s="582"/>
      <c r="B3925" s="582"/>
      <c r="C3925" s="212"/>
      <c r="D3925" s="718" t="s">
        <v>129</v>
      </c>
      <c r="E3925" s="718"/>
      <c r="F3925" s="718"/>
      <c r="G3925" s="718"/>
      <c r="H3925" s="213">
        <f>SUM(H3923:H3924)</f>
        <v>687.12</v>
      </c>
    </row>
    <row r="3926" spans="1:8" s="201" customFormat="1">
      <c r="A3926" s="582"/>
      <c r="B3926" s="582"/>
      <c r="C3926" s="212"/>
      <c r="D3926" s="719" t="s">
        <v>28</v>
      </c>
      <c r="E3926" s="719"/>
      <c r="F3926" s="719"/>
      <c r="G3926" s="719"/>
      <c r="H3926" s="639">
        <f>E3919</f>
        <v>2</v>
      </c>
    </row>
    <row r="3927" spans="1:8" s="201" customFormat="1">
      <c r="A3927" s="582"/>
      <c r="B3927" s="582"/>
      <c r="C3927" s="212"/>
      <c r="D3927" s="718" t="s">
        <v>130</v>
      </c>
      <c r="E3927" s="718"/>
      <c r="F3927" s="718"/>
      <c r="G3927" s="718"/>
      <c r="H3927" s="213">
        <f>ROUND(H3925*H3926,2)</f>
        <v>1374.24</v>
      </c>
    </row>
    <row r="3928" spans="1:8" s="201" customFormat="1">
      <c r="A3928" s="582"/>
      <c r="B3928" s="582"/>
      <c r="C3928" s="212"/>
      <c r="D3928" s="719" t="s">
        <v>15559</v>
      </c>
      <c r="E3928" s="719"/>
      <c r="F3928" s="719"/>
      <c r="G3928" s="719"/>
      <c r="H3928" s="638">
        <f>ROUND(H3925*$B$13,2)</f>
        <v>185.04</v>
      </c>
    </row>
    <row r="3929" spans="1:8">
      <c r="A3929" s="582"/>
      <c r="B3929" s="582"/>
      <c r="C3929" s="212"/>
      <c r="D3929" s="718" t="s">
        <v>9661</v>
      </c>
      <c r="E3929" s="718"/>
      <c r="F3929" s="718"/>
      <c r="G3929" s="718"/>
      <c r="H3929" s="213">
        <f>H3928+H3925</f>
        <v>872.16</v>
      </c>
    </row>
    <row r="3931" spans="1:8" s="201" customFormat="1">
      <c r="A3931" s="123" t="s">
        <v>6</v>
      </c>
      <c r="B3931" s="720" t="s">
        <v>7</v>
      </c>
      <c r="C3931" s="720"/>
      <c r="D3931" s="202" t="s">
        <v>124</v>
      </c>
      <c r="E3931" s="167" t="s">
        <v>6334</v>
      </c>
      <c r="F3931" s="202" t="s">
        <v>31</v>
      </c>
      <c r="G3931" s="203" t="s">
        <v>125</v>
      </c>
      <c r="H3931" s="204" t="s">
        <v>126</v>
      </c>
    </row>
    <row r="3932" spans="1:8" s="208" customFormat="1" ht="30">
      <c r="A3932" s="581" t="str">
        <f>'Orç - Prédio'!A603</f>
        <v>06.09.004</v>
      </c>
      <c r="B3932" s="581" t="str">
        <f>'Orç - Prédio'!B603</f>
        <v>SINAPI</v>
      </c>
      <c r="C3932" s="581" t="str">
        <f>'Orç - Prédio'!C603</f>
        <v>98402 MOD</v>
      </c>
      <c r="D3932" s="205" t="s">
        <v>7421</v>
      </c>
      <c r="E3932" s="206">
        <v>250</v>
      </c>
      <c r="F3932" s="581" t="s">
        <v>6774</v>
      </c>
      <c r="G3932" s="207">
        <f>VLOOKUP("CUSTO TOTAL UNIT.:",D3933:$H$30004,5,FALSE)</f>
        <v>17.96</v>
      </c>
      <c r="H3932" s="637">
        <f>VLOOKUP("CUSTO TOTAL:",D3933:$H$30004,5,FALSE)</f>
        <v>4490</v>
      </c>
    </row>
    <row r="3933" spans="1:8" s="124" customFormat="1">
      <c r="A3933" s="722">
        <v>8886</v>
      </c>
      <c r="B3933" s="722"/>
      <c r="C3933" s="184" t="s">
        <v>6333</v>
      </c>
      <c r="D3933" s="185" t="s">
        <v>7428</v>
      </c>
      <c r="E3933" s="209">
        <v>1</v>
      </c>
      <c r="F3933" s="577" t="s">
        <v>139</v>
      </c>
      <c r="G3933" s="174">
        <v>14.742000000000001</v>
      </c>
      <c r="H3933" s="211">
        <f>ROUND(G3933*E3933,2)</f>
        <v>14.74</v>
      </c>
    </row>
    <row r="3934" spans="1:8" s="124" customFormat="1" ht="30">
      <c r="A3934" s="721">
        <v>88247</v>
      </c>
      <c r="B3934" s="721"/>
      <c r="C3934" s="200" t="s">
        <v>5256</v>
      </c>
      <c r="D3934" s="139" t="s">
        <v>74</v>
      </c>
      <c r="E3934" s="209">
        <v>0.1143</v>
      </c>
      <c r="F3934" s="577" t="s">
        <v>67</v>
      </c>
      <c r="G3934" s="210">
        <v>12.425400000000002</v>
      </c>
      <c r="H3934" s="211">
        <f>ROUND(G3934*E3934,2)</f>
        <v>1.42</v>
      </c>
    </row>
    <row r="3935" spans="1:8" s="124" customFormat="1" ht="30">
      <c r="A3935" s="721">
        <v>88264</v>
      </c>
      <c r="B3935" s="721"/>
      <c r="C3935" s="200" t="s">
        <v>5256</v>
      </c>
      <c r="D3935" s="139" t="s">
        <v>84</v>
      </c>
      <c r="E3935" s="209">
        <v>0.1143</v>
      </c>
      <c r="F3935" s="577" t="s">
        <v>67</v>
      </c>
      <c r="G3935" s="210">
        <v>15.778800000000002</v>
      </c>
      <c r="H3935" s="211">
        <f>ROUND(G3935*E3935,2)</f>
        <v>1.8</v>
      </c>
    </row>
    <row r="3936" spans="1:8" s="201" customFormat="1">
      <c r="A3936" s="582"/>
      <c r="B3936" s="582"/>
      <c r="C3936" s="212"/>
      <c r="D3936" s="719" t="s">
        <v>127</v>
      </c>
      <c r="E3936" s="719"/>
      <c r="F3936" s="719"/>
      <c r="G3936" s="719"/>
      <c r="H3936" s="638">
        <f>SUMIF(F3933:F3935,("h"),H3933:H3935)</f>
        <v>3.2199999999999998</v>
      </c>
    </row>
    <row r="3937" spans="1:8" s="201" customFormat="1">
      <c r="A3937" s="582"/>
      <c r="B3937" s="582"/>
      <c r="C3937" s="212"/>
      <c r="D3937" s="719" t="s">
        <v>128</v>
      </c>
      <c r="E3937" s="719"/>
      <c r="F3937" s="719"/>
      <c r="G3937" s="719"/>
      <c r="H3937" s="638">
        <f>SUMIF(F3933:F3935,"&lt;&gt;h",H3933:H3935)</f>
        <v>14.74</v>
      </c>
    </row>
    <row r="3938" spans="1:8" s="201" customFormat="1">
      <c r="A3938" s="582"/>
      <c r="B3938" s="582"/>
      <c r="C3938" s="212"/>
      <c r="D3938" s="718" t="s">
        <v>129</v>
      </c>
      <c r="E3938" s="718"/>
      <c r="F3938" s="718"/>
      <c r="G3938" s="718"/>
      <c r="H3938" s="213">
        <f>SUM(H3936:H3937)</f>
        <v>17.96</v>
      </c>
    </row>
    <row r="3939" spans="1:8" s="201" customFormat="1">
      <c r="A3939" s="582"/>
      <c r="B3939" s="582"/>
      <c r="C3939" s="212"/>
      <c r="D3939" s="719" t="s">
        <v>28</v>
      </c>
      <c r="E3939" s="719"/>
      <c r="F3939" s="719"/>
      <c r="G3939" s="719"/>
      <c r="H3939" s="639">
        <f>E3932</f>
        <v>250</v>
      </c>
    </row>
    <row r="3940" spans="1:8" s="201" customFormat="1">
      <c r="A3940" s="582"/>
      <c r="B3940" s="582"/>
      <c r="C3940" s="212"/>
      <c r="D3940" s="718" t="s">
        <v>130</v>
      </c>
      <c r="E3940" s="718"/>
      <c r="F3940" s="718"/>
      <c r="G3940" s="718"/>
      <c r="H3940" s="213">
        <f>ROUND(H3938*H3939,2)</f>
        <v>4490</v>
      </c>
    </row>
    <row r="3941" spans="1:8" s="201" customFormat="1">
      <c r="A3941" s="582"/>
      <c r="B3941" s="582"/>
      <c r="C3941" s="212"/>
      <c r="D3941" s="719" t="s">
        <v>15559</v>
      </c>
      <c r="E3941" s="719"/>
      <c r="F3941" s="719"/>
      <c r="G3941" s="719"/>
      <c r="H3941" s="638">
        <f>ROUND(H3938*$B$13,2)</f>
        <v>4.84</v>
      </c>
    </row>
    <row r="3942" spans="1:8">
      <c r="A3942" s="582"/>
      <c r="B3942" s="582"/>
      <c r="C3942" s="212"/>
      <c r="D3942" s="718" t="s">
        <v>9661</v>
      </c>
      <c r="E3942" s="718"/>
      <c r="F3942" s="718"/>
      <c r="G3942" s="718"/>
      <c r="H3942" s="213">
        <f>H3941+H3938</f>
        <v>22.8</v>
      </c>
    </row>
    <row r="3944" spans="1:8" s="201" customFormat="1">
      <c r="A3944" s="123" t="s">
        <v>6</v>
      </c>
      <c r="B3944" s="720" t="s">
        <v>7</v>
      </c>
      <c r="C3944" s="720"/>
      <c r="D3944" s="202" t="s">
        <v>124</v>
      </c>
      <c r="E3944" s="167" t="s">
        <v>6334</v>
      </c>
      <c r="F3944" s="202" t="s">
        <v>31</v>
      </c>
      <c r="G3944" s="203" t="s">
        <v>125</v>
      </c>
      <c r="H3944" s="204" t="s">
        <v>126</v>
      </c>
    </row>
    <row r="3945" spans="1:8" s="208" customFormat="1" ht="30">
      <c r="A3945" s="581" t="str">
        <f>'Orç - Prédio'!A604</f>
        <v>06.09.005</v>
      </c>
      <c r="B3945" s="581" t="str">
        <f>'Orç - Prédio'!B604</f>
        <v>ORSE</v>
      </c>
      <c r="C3945" s="581">
        <f>'Orç - Prédio'!C604</f>
        <v>8690</v>
      </c>
      <c r="D3945" s="205" t="s">
        <v>7407</v>
      </c>
      <c r="E3945" s="206">
        <v>250</v>
      </c>
      <c r="F3945" s="581" t="s">
        <v>6774</v>
      </c>
      <c r="G3945" s="207">
        <f>VLOOKUP("CUSTO TOTAL UNIT.:",D3946:$H$30004,5,FALSE)</f>
        <v>10.149999999999999</v>
      </c>
      <c r="H3945" s="637">
        <f>VLOOKUP("CUSTO TOTAL:",D3946:$H$30004,5,FALSE)</f>
        <v>2537.5</v>
      </c>
    </row>
    <row r="3946" spans="1:8" s="124" customFormat="1" ht="30">
      <c r="A3946" s="722">
        <v>3881</v>
      </c>
      <c r="B3946" s="722"/>
      <c r="C3946" s="184" t="s">
        <v>6333</v>
      </c>
      <c r="D3946" s="185" t="s">
        <v>7410</v>
      </c>
      <c r="E3946" s="209">
        <v>1</v>
      </c>
      <c r="F3946" s="577" t="s">
        <v>139</v>
      </c>
      <c r="G3946" s="174">
        <v>6.3099000000000007</v>
      </c>
      <c r="H3946" s="211">
        <f>ROUND(G3946*E3946,2)</f>
        <v>6.31</v>
      </c>
    </row>
    <row r="3947" spans="1:8" s="124" customFormat="1" ht="30">
      <c r="A3947" s="721">
        <v>88264</v>
      </c>
      <c r="B3947" s="721"/>
      <c r="C3947" s="200" t="s">
        <v>5256</v>
      </c>
      <c r="D3947" s="139" t="s">
        <v>84</v>
      </c>
      <c r="E3947" s="209">
        <v>0.14000000000000001</v>
      </c>
      <c r="F3947" s="577" t="s">
        <v>67</v>
      </c>
      <c r="G3947" s="210">
        <v>15.778800000000002</v>
      </c>
      <c r="H3947" s="211">
        <f>ROUND(G3947*E3947,2)</f>
        <v>2.21</v>
      </c>
    </row>
    <row r="3948" spans="1:8" s="124" customFormat="1" ht="30">
      <c r="A3948" s="721">
        <v>88316</v>
      </c>
      <c r="B3948" s="721"/>
      <c r="C3948" s="200" t="s">
        <v>5256</v>
      </c>
      <c r="D3948" s="139" t="s">
        <v>66</v>
      </c>
      <c r="E3948" s="209">
        <v>0.14000000000000001</v>
      </c>
      <c r="F3948" s="577" t="s">
        <v>67</v>
      </c>
      <c r="G3948" s="210">
        <v>11.631600000000001</v>
      </c>
      <c r="H3948" s="211">
        <f>ROUND(G3948*E3948,2)</f>
        <v>1.63</v>
      </c>
    </row>
    <row r="3949" spans="1:8" s="201" customFormat="1">
      <c r="A3949" s="582"/>
      <c r="B3949" s="582"/>
      <c r="C3949" s="212"/>
      <c r="D3949" s="719" t="s">
        <v>127</v>
      </c>
      <c r="E3949" s="719"/>
      <c r="F3949" s="719"/>
      <c r="G3949" s="719"/>
      <c r="H3949" s="638">
        <f>SUMIF(F3946:F3948,("h"),H3946:H3948)</f>
        <v>3.84</v>
      </c>
    </row>
    <row r="3950" spans="1:8" s="201" customFormat="1">
      <c r="A3950" s="582"/>
      <c r="B3950" s="582"/>
      <c r="C3950" s="212"/>
      <c r="D3950" s="719" t="s">
        <v>128</v>
      </c>
      <c r="E3950" s="719"/>
      <c r="F3950" s="719"/>
      <c r="G3950" s="719"/>
      <c r="H3950" s="638">
        <f>SUMIF(F3946:F3948,"&lt;&gt;h",H3946:H3948)</f>
        <v>6.31</v>
      </c>
    </row>
    <row r="3951" spans="1:8" s="201" customFormat="1">
      <c r="A3951" s="582"/>
      <c r="B3951" s="582"/>
      <c r="C3951" s="212"/>
      <c r="D3951" s="718" t="s">
        <v>129</v>
      </c>
      <c r="E3951" s="718"/>
      <c r="F3951" s="718"/>
      <c r="G3951" s="718"/>
      <c r="H3951" s="213">
        <f>SUM(H3949:H3950)</f>
        <v>10.149999999999999</v>
      </c>
    </row>
    <row r="3952" spans="1:8" s="201" customFormat="1">
      <c r="A3952" s="582"/>
      <c r="B3952" s="582"/>
      <c r="C3952" s="212"/>
      <c r="D3952" s="719" t="s">
        <v>28</v>
      </c>
      <c r="E3952" s="719"/>
      <c r="F3952" s="719"/>
      <c r="G3952" s="719"/>
      <c r="H3952" s="639">
        <f>E3945</f>
        <v>250</v>
      </c>
    </row>
    <row r="3953" spans="1:8" s="201" customFormat="1">
      <c r="A3953" s="582"/>
      <c r="B3953" s="582"/>
      <c r="C3953" s="212"/>
      <c r="D3953" s="718" t="s">
        <v>130</v>
      </c>
      <c r="E3953" s="718"/>
      <c r="F3953" s="718"/>
      <c r="G3953" s="718"/>
      <c r="H3953" s="213">
        <f>ROUND(H3951*H3952,2)</f>
        <v>2537.5</v>
      </c>
    </row>
    <row r="3954" spans="1:8" s="201" customFormat="1">
      <c r="A3954" s="582"/>
      <c r="B3954" s="582"/>
      <c r="C3954" s="212"/>
      <c r="D3954" s="719" t="s">
        <v>15559</v>
      </c>
      <c r="E3954" s="719"/>
      <c r="F3954" s="719"/>
      <c r="G3954" s="719"/>
      <c r="H3954" s="638">
        <f>ROUND(H3951*$B$13,2)</f>
        <v>2.73</v>
      </c>
    </row>
    <row r="3955" spans="1:8">
      <c r="A3955" s="582"/>
      <c r="B3955" s="582"/>
      <c r="C3955" s="212"/>
      <c r="D3955" s="718" t="s">
        <v>9661</v>
      </c>
      <c r="E3955" s="718"/>
      <c r="F3955" s="718"/>
      <c r="G3955" s="718"/>
      <c r="H3955" s="213">
        <f>H3954+H3951</f>
        <v>12.879999999999999</v>
      </c>
    </row>
    <row r="3957" spans="1:8" s="201" customFormat="1">
      <c r="A3957" s="123" t="s">
        <v>6</v>
      </c>
      <c r="B3957" s="720" t="s">
        <v>7</v>
      </c>
      <c r="C3957" s="720"/>
      <c r="D3957" s="202" t="s">
        <v>124</v>
      </c>
      <c r="E3957" s="167" t="s">
        <v>6334</v>
      </c>
      <c r="F3957" s="202" t="s">
        <v>31</v>
      </c>
      <c r="G3957" s="203" t="s">
        <v>125</v>
      </c>
      <c r="H3957" s="204" t="s">
        <v>126</v>
      </c>
    </row>
    <row r="3958" spans="1:8" s="208" customFormat="1" ht="30">
      <c r="A3958" s="581" t="str">
        <f>'Orç - Prédio'!A605</f>
        <v>06.09.006.01</v>
      </c>
      <c r="B3958" s="216" t="str">
        <f>'Orç - Prédio'!B606</f>
        <v>AGETOP</v>
      </c>
      <c r="C3958" s="216">
        <f>'Orç - Prédio'!C606</f>
        <v>71886</v>
      </c>
      <c r="D3958" s="217" t="s">
        <v>7422</v>
      </c>
      <c r="E3958" s="206">
        <v>225</v>
      </c>
      <c r="F3958" s="216" t="s">
        <v>6337</v>
      </c>
      <c r="G3958" s="207">
        <f>VLOOKUP("CUSTO TOTAL UNIT.:",D3959:$H$30004,5,FALSE)</f>
        <v>17.759999999999998</v>
      </c>
      <c r="H3958" s="637">
        <f>VLOOKUP("CUSTO TOTAL:",D3959:$H$30004,5,FALSE)</f>
        <v>3996</v>
      </c>
    </row>
    <row r="3959" spans="1:8" s="124" customFormat="1" ht="30">
      <c r="A3959" s="722">
        <v>39607</v>
      </c>
      <c r="B3959" s="722"/>
      <c r="C3959" s="184" t="s">
        <v>5256</v>
      </c>
      <c r="D3959" s="139" t="s">
        <v>13257</v>
      </c>
      <c r="E3959" s="209">
        <v>1</v>
      </c>
      <c r="F3959" s="577" t="s">
        <v>40</v>
      </c>
      <c r="G3959" s="210">
        <v>14.199300000000003</v>
      </c>
      <c r="H3959" s="211">
        <f>ROUND(G3959*E3959,2)</f>
        <v>14.2</v>
      </c>
    </row>
    <row r="3960" spans="1:8" s="124" customFormat="1" ht="30">
      <c r="A3960" s="721">
        <v>88264</v>
      </c>
      <c r="B3960" s="721"/>
      <c r="C3960" s="200" t="s">
        <v>5256</v>
      </c>
      <c r="D3960" s="139" t="s">
        <v>84</v>
      </c>
      <c r="E3960" s="209">
        <v>0.13</v>
      </c>
      <c r="F3960" s="577" t="s">
        <v>67</v>
      </c>
      <c r="G3960" s="210">
        <v>15.778800000000002</v>
      </c>
      <c r="H3960" s="211">
        <f>ROUND(G3960*E3960,2)</f>
        <v>2.0499999999999998</v>
      </c>
    </row>
    <row r="3961" spans="1:8" s="124" customFormat="1" ht="30">
      <c r="A3961" s="721">
        <v>88316</v>
      </c>
      <c r="B3961" s="721"/>
      <c r="C3961" s="200" t="s">
        <v>5256</v>
      </c>
      <c r="D3961" s="139" t="s">
        <v>66</v>
      </c>
      <c r="E3961" s="209">
        <v>0.13</v>
      </c>
      <c r="F3961" s="577" t="s">
        <v>67</v>
      </c>
      <c r="G3961" s="210">
        <v>11.631600000000001</v>
      </c>
      <c r="H3961" s="211">
        <f>ROUND(G3961*E3961,2)</f>
        <v>1.51</v>
      </c>
    </row>
    <row r="3962" spans="1:8" s="201" customFormat="1">
      <c r="A3962" s="582"/>
      <c r="B3962" s="582"/>
      <c r="C3962" s="212"/>
      <c r="D3962" s="719" t="s">
        <v>127</v>
      </c>
      <c r="E3962" s="719"/>
      <c r="F3962" s="719"/>
      <c r="G3962" s="719"/>
      <c r="H3962" s="638">
        <f>SUMIF(F3959:F3961,("h"),H3959:H3961)</f>
        <v>3.5599999999999996</v>
      </c>
    </row>
    <row r="3963" spans="1:8" s="201" customFormat="1">
      <c r="A3963" s="582"/>
      <c r="B3963" s="582"/>
      <c r="C3963" s="212"/>
      <c r="D3963" s="719" t="s">
        <v>128</v>
      </c>
      <c r="E3963" s="719"/>
      <c r="F3963" s="719"/>
      <c r="G3963" s="719"/>
      <c r="H3963" s="638">
        <f>SUMIF(F3959:F3961,"&lt;&gt;h",H3959:H3961)</f>
        <v>14.2</v>
      </c>
    </row>
    <row r="3964" spans="1:8" s="201" customFormat="1">
      <c r="A3964" s="582"/>
      <c r="B3964" s="582"/>
      <c r="C3964" s="212"/>
      <c r="D3964" s="718" t="s">
        <v>129</v>
      </c>
      <c r="E3964" s="718"/>
      <c r="F3964" s="718"/>
      <c r="G3964" s="718"/>
      <c r="H3964" s="213">
        <f>SUM(H3962:H3963)</f>
        <v>17.759999999999998</v>
      </c>
    </row>
    <row r="3965" spans="1:8" s="201" customFormat="1">
      <c r="A3965" s="582"/>
      <c r="B3965" s="582"/>
      <c r="C3965" s="212"/>
      <c r="D3965" s="719" t="s">
        <v>28</v>
      </c>
      <c r="E3965" s="719"/>
      <c r="F3965" s="719"/>
      <c r="G3965" s="719"/>
      <c r="H3965" s="639">
        <f>E3958</f>
        <v>225</v>
      </c>
    </row>
    <row r="3966" spans="1:8" s="201" customFormat="1">
      <c r="A3966" s="582"/>
      <c r="B3966" s="582"/>
      <c r="C3966" s="212"/>
      <c r="D3966" s="718" t="s">
        <v>130</v>
      </c>
      <c r="E3966" s="718"/>
      <c r="F3966" s="718"/>
      <c r="G3966" s="718"/>
      <c r="H3966" s="213">
        <f>ROUND(H3964*H3965,2)</f>
        <v>3996</v>
      </c>
    </row>
    <row r="3967" spans="1:8" s="201" customFormat="1">
      <c r="A3967" s="582"/>
      <c r="B3967" s="582"/>
      <c r="C3967" s="212"/>
      <c r="D3967" s="719" t="s">
        <v>15559</v>
      </c>
      <c r="E3967" s="719"/>
      <c r="F3967" s="719"/>
      <c r="G3967" s="719"/>
      <c r="H3967" s="638">
        <f>ROUND(H3964*$B$13,2)</f>
        <v>4.78</v>
      </c>
    </row>
    <row r="3968" spans="1:8">
      <c r="A3968" s="582"/>
      <c r="B3968" s="582"/>
      <c r="C3968" s="212"/>
      <c r="D3968" s="718" t="s">
        <v>9661</v>
      </c>
      <c r="E3968" s="718"/>
      <c r="F3968" s="718"/>
      <c r="G3968" s="718"/>
      <c r="H3968" s="213">
        <f>H3967+H3964</f>
        <v>22.54</v>
      </c>
    </row>
    <row r="3970" spans="1:8" s="201" customFormat="1">
      <c r="A3970" s="123" t="s">
        <v>6</v>
      </c>
      <c r="B3970" s="720" t="s">
        <v>7</v>
      </c>
      <c r="C3970" s="720"/>
      <c r="D3970" s="202" t="s">
        <v>124</v>
      </c>
      <c r="E3970" s="167" t="s">
        <v>6334</v>
      </c>
      <c r="F3970" s="202" t="s">
        <v>31</v>
      </c>
      <c r="G3970" s="203" t="s">
        <v>125</v>
      </c>
      <c r="H3970" s="204" t="s">
        <v>126</v>
      </c>
    </row>
    <row r="3971" spans="1:8" s="208" customFormat="1" ht="30">
      <c r="A3971" s="581" t="str">
        <f>'Orç - Prédio'!A612</f>
        <v>06.09.009.01</v>
      </c>
      <c r="B3971" s="581" t="str">
        <f>'Orç - Prédio'!B612</f>
        <v>SINAPI</v>
      </c>
      <c r="C3971" s="581" t="str">
        <f>'Orç - Prédio'!C612</f>
        <v>95730 MOD</v>
      </c>
      <c r="D3971" s="205" t="s">
        <v>7240</v>
      </c>
      <c r="E3971" s="206">
        <v>555</v>
      </c>
      <c r="F3971" s="581" t="s">
        <v>6774</v>
      </c>
      <c r="G3971" s="207">
        <f>VLOOKUP("CUSTO TOTAL UNIT.:",D3972:$H$30004,5,FALSE)</f>
        <v>6.38</v>
      </c>
      <c r="H3971" s="637">
        <f>VLOOKUP("CUSTO TOTAL:",D3972:$H$30004,5,FALSE)</f>
        <v>3540.9</v>
      </c>
    </row>
    <row r="3972" spans="1:8" s="124" customFormat="1" ht="30">
      <c r="A3972" s="721">
        <v>2674</v>
      </c>
      <c r="B3972" s="721"/>
      <c r="C3972" s="200" t="s">
        <v>5256</v>
      </c>
      <c r="D3972" s="139" t="s">
        <v>11660</v>
      </c>
      <c r="E3972" s="209">
        <v>1.0481</v>
      </c>
      <c r="F3972" s="577" t="s">
        <v>48</v>
      </c>
      <c r="G3972" s="210">
        <v>2.2599</v>
      </c>
      <c r="H3972" s="211">
        <f>ROUND(G3972*E3972,2)</f>
        <v>2.37</v>
      </c>
    </row>
    <row r="3973" spans="1:8" s="124" customFormat="1" ht="30">
      <c r="A3973" s="721">
        <v>88247</v>
      </c>
      <c r="B3973" s="721"/>
      <c r="C3973" s="200" t="s">
        <v>5256</v>
      </c>
      <c r="D3973" s="139" t="s">
        <v>74</v>
      </c>
      <c r="E3973" s="209">
        <v>8.1100000000000005E-2</v>
      </c>
      <c r="F3973" s="577" t="s">
        <v>67</v>
      </c>
      <c r="G3973" s="210">
        <v>12.425400000000002</v>
      </c>
      <c r="H3973" s="211">
        <f>ROUND(G3973*E3973,2)</f>
        <v>1.01</v>
      </c>
    </row>
    <row r="3974" spans="1:8" s="124" customFormat="1" ht="30">
      <c r="A3974" s="721">
        <v>88264</v>
      </c>
      <c r="B3974" s="721"/>
      <c r="C3974" s="200" t="s">
        <v>5256</v>
      </c>
      <c r="D3974" s="139" t="s">
        <v>84</v>
      </c>
      <c r="E3974" s="209">
        <v>8.1100000000000005E-2</v>
      </c>
      <c r="F3974" s="577" t="s">
        <v>67</v>
      </c>
      <c r="G3974" s="210">
        <v>15.778800000000002</v>
      </c>
      <c r="H3974" s="211">
        <f>ROUND(G3974*E3974,2)</f>
        <v>1.28</v>
      </c>
    </row>
    <row r="3975" spans="1:8" s="124" customFormat="1" ht="75">
      <c r="A3975" s="721">
        <v>91173</v>
      </c>
      <c r="B3975" s="721"/>
      <c r="C3975" s="200" t="s">
        <v>5256</v>
      </c>
      <c r="D3975" s="139" t="s">
        <v>3818</v>
      </c>
      <c r="E3975" s="209">
        <v>2</v>
      </c>
      <c r="F3975" s="577" t="s">
        <v>139</v>
      </c>
      <c r="G3975" s="210">
        <v>0.85860000000000014</v>
      </c>
      <c r="H3975" s="211">
        <f>ROUND(G3975*E3975,2)</f>
        <v>1.72</v>
      </c>
    </row>
    <row r="3976" spans="1:8" s="201" customFormat="1">
      <c r="A3976" s="582"/>
      <c r="B3976" s="582"/>
      <c r="C3976" s="212"/>
      <c r="D3976" s="719" t="s">
        <v>127</v>
      </c>
      <c r="E3976" s="719"/>
      <c r="F3976" s="719"/>
      <c r="G3976" s="719"/>
      <c r="H3976" s="638">
        <f>SUMIF(F3972:F3975,("h"),H3972:H3975)</f>
        <v>2.29</v>
      </c>
    </row>
    <row r="3977" spans="1:8" s="201" customFormat="1">
      <c r="A3977" s="582"/>
      <c r="B3977" s="582"/>
      <c r="C3977" s="212"/>
      <c r="D3977" s="719" t="s">
        <v>128</v>
      </c>
      <c r="E3977" s="719"/>
      <c r="F3977" s="719"/>
      <c r="G3977" s="719"/>
      <c r="H3977" s="638">
        <f>SUMIF(F3972:F3975,"&lt;&gt;h",H3972:H3975)</f>
        <v>4.09</v>
      </c>
    </row>
    <row r="3978" spans="1:8" s="201" customFormat="1">
      <c r="A3978" s="582"/>
      <c r="B3978" s="582"/>
      <c r="C3978" s="212"/>
      <c r="D3978" s="718" t="s">
        <v>129</v>
      </c>
      <c r="E3978" s="718"/>
      <c r="F3978" s="718"/>
      <c r="G3978" s="718"/>
      <c r="H3978" s="213">
        <f>SUM(H3976:H3977)</f>
        <v>6.38</v>
      </c>
    </row>
    <row r="3979" spans="1:8" s="201" customFormat="1">
      <c r="A3979" s="582"/>
      <c r="B3979" s="582"/>
      <c r="C3979" s="212"/>
      <c r="D3979" s="719" t="s">
        <v>28</v>
      </c>
      <c r="E3979" s="719"/>
      <c r="F3979" s="719"/>
      <c r="G3979" s="719"/>
      <c r="H3979" s="639">
        <f>E3971</f>
        <v>555</v>
      </c>
    </row>
    <row r="3980" spans="1:8" s="201" customFormat="1">
      <c r="A3980" s="582"/>
      <c r="B3980" s="582"/>
      <c r="C3980" s="212"/>
      <c r="D3980" s="718" t="s">
        <v>130</v>
      </c>
      <c r="E3980" s="718"/>
      <c r="F3980" s="718"/>
      <c r="G3980" s="718"/>
      <c r="H3980" s="213">
        <f>ROUND(H3978*H3979,2)</f>
        <v>3540.9</v>
      </c>
    </row>
    <row r="3981" spans="1:8" s="201" customFormat="1">
      <c r="A3981" s="582"/>
      <c r="B3981" s="582"/>
      <c r="C3981" s="212"/>
      <c r="D3981" s="719" t="s">
        <v>15559</v>
      </c>
      <c r="E3981" s="719"/>
      <c r="F3981" s="719"/>
      <c r="G3981" s="719"/>
      <c r="H3981" s="638">
        <f>ROUND(H3978*$B$13,2)</f>
        <v>1.72</v>
      </c>
    </row>
    <row r="3982" spans="1:8">
      <c r="A3982" s="582"/>
      <c r="B3982" s="582"/>
      <c r="C3982" s="212"/>
      <c r="D3982" s="718" t="s">
        <v>9661</v>
      </c>
      <c r="E3982" s="718"/>
      <c r="F3982" s="718"/>
      <c r="G3982" s="718"/>
      <c r="H3982" s="213">
        <f>H3981+H3978</f>
        <v>8.1</v>
      </c>
    </row>
    <row r="3984" spans="1:8" s="201" customFormat="1">
      <c r="A3984" s="123" t="s">
        <v>6</v>
      </c>
      <c r="B3984" s="720" t="s">
        <v>7</v>
      </c>
      <c r="C3984" s="720"/>
      <c r="D3984" s="202" t="s">
        <v>124</v>
      </c>
      <c r="E3984" s="167" t="s">
        <v>6334</v>
      </c>
      <c r="F3984" s="202" t="s">
        <v>31</v>
      </c>
      <c r="G3984" s="203" t="s">
        <v>125</v>
      </c>
      <c r="H3984" s="204" t="s">
        <v>126</v>
      </c>
    </row>
    <row r="3985" spans="1:8" s="208" customFormat="1" ht="30">
      <c r="A3985" s="581" t="str">
        <f>'Orç - Prédio'!A613</f>
        <v>06.09.009.02</v>
      </c>
      <c r="B3985" s="581" t="str">
        <f>'Orç - Prédio'!B613</f>
        <v>SINAPI</v>
      </c>
      <c r="C3985" s="581" t="str">
        <f>'Orç - Prédio'!C613</f>
        <v>95731 MOD</v>
      </c>
      <c r="D3985" s="205" t="s">
        <v>7241</v>
      </c>
      <c r="E3985" s="206">
        <v>15</v>
      </c>
      <c r="F3985" s="581" t="s">
        <v>6774</v>
      </c>
      <c r="G3985" s="207">
        <f>VLOOKUP("CUSTO TOTAL UNIT.:",D3986:$H$30004,5,FALSE)</f>
        <v>8.0299999999999994</v>
      </c>
      <c r="H3985" s="637">
        <f>VLOOKUP("CUSTO TOTAL:",D3986:$H$30004,5,FALSE)</f>
        <v>120.45</v>
      </c>
    </row>
    <row r="3986" spans="1:8" s="124" customFormat="1" ht="30">
      <c r="A3986" s="721">
        <v>2685</v>
      </c>
      <c r="B3986" s="721"/>
      <c r="C3986" s="200" t="s">
        <v>5256</v>
      </c>
      <c r="D3986" s="139" t="s">
        <v>11653</v>
      </c>
      <c r="E3986" s="209">
        <v>1.0481</v>
      </c>
      <c r="F3986" s="577" t="s">
        <v>48</v>
      </c>
      <c r="G3986" s="210">
        <v>3.5316000000000005</v>
      </c>
      <c r="H3986" s="211">
        <f>ROUND(G3986*E3986,2)</f>
        <v>3.7</v>
      </c>
    </row>
    <row r="3987" spans="1:8" s="124" customFormat="1" ht="30">
      <c r="A3987" s="721">
        <v>88247</v>
      </c>
      <c r="B3987" s="721"/>
      <c r="C3987" s="200" t="s">
        <v>5256</v>
      </c>
      <c r="D3987" s="139" t="s">
        <v>74</v>
      </c>
      <c r="E3987" s="209">
        <v>9.2600000000000002E-2</v>
      </c>
      <c r="F3987" s="577" t="s">
        <v>67</v>
      </c>
      <c r="G3987" s="210">
        <v>12.425400000000002</v>
      </c>
      <c r="H3987" s="211">
        <f>ROUND(G3987*E3987,2)</f>
        <v>1.1499999999999999</v>
      </c>
    </row>
    <row r="3988" spans="1:8" s="124" customFormat="1" ht="30">
      <c r="A3988" s="721">
        <v>88264</v>
      </c>
      <c r="B3988" s="721"/>
      <c r="C3988" s="200" t="s">
        <v>5256</v>
      </c>
      <c r="D3988" s="139" t="s">
        <v>84</v>
      </c>
      <c r="E3988" s="209">
        <v>9.2600000000000002E-2</v>
      </c>
      <c r="F3988" s="577" t="s">
        <v>67</v>
      </c>
      <c r="G3988" s="210">
        <v>15.778800000000002</v>
      </c>
      <c r="H3988" s="211">
        <f>ROUND(G3988*E3988,2)</f>
        <v>1.46</v>
      </c>
    </row>
    <row r="3989" spans="1:8" s="124" customFormat="1" ht="75">
      <c r="A3989" s="721">
        <v>91173</v>
      </c>
      <c r="B3989" s="721"/>
      <c r="C3989" s="200" t="s">
        <v>5256</v>
      </c>
      <c r="D3989" s="139" t="s">
        <v>3818</v>
      </c>
      <c r="E3989" s="209">
        <v>2</v>
      </c>
      <c r="F3989" s="577" t="s">
        <v>139</v>
      </c>
      <c r="G3989" s="210">
        <v>0.85860000000000014</v>
      </c>
      <c r="H3989" s="211">
        <f>ROUND(G3989*E3989,2)</f>
        <v>1.72</v>
      </c>
    </row>
    <row r="3990" spans="1:8" s="201" customFormat="1">
      <c r="A3990" s="582"/>
      <c r="B3990" s="582"/>
      <c r="C3990" s="212"/>
      <c r="D3990" s="719" t="s">
        <v>127</v>
      </c>
      <c r="E3990" s="719"/>
      <c r="F3990" s="719"/>
      <c r="G3990" s="719"/>
      <c r="H3990" s="638">
        <f>SUMIF(F3986:F3989,("h"),H3986:H3989)</f>
        <v>2.61</v>
      </c>
    </row>
    <row r="3991" spans="1:8" s="201" customFormat="1">
      <c r="A3991" s="582"/>
      <c r="B3991" s="582"/>
      <c r="C3991" s="212"/>
      <c r="D3991" s="719" t="s">
        <v>128</v>
      </c>
      <c r="E3991" s="719"/>
      <c r="F3991" s="719"/>
      <c r="G3991" s="719"/>
      <c r="H3991" s="638">
        <f>SUMIF(F3986:F3989,"&lt;&gt;h",H3986:H3989)</f>
        <v>5.42</v>
      </c>
    </row>
    <row r="3992" spans="1:8" s="201" customFormat="1">
      <c r="A3992" s="582"/>
      <c r="B3992" s="582"/>
      <c r="C3992" s="212"/>
      <c r="D3992" s="718" t="s">
        <v>129</v>
      </c>
      <c r="E3992" s="718"/>
      <c r="F3992" s="718"/>
      <c r="G3992" s="718"/>
      <c r="H3992" s="213">
        <f>SUM(H3990:H3991)</f>
        <v>8.0299999999999994</v>
      </c>
    </row>
    <row r="3993" spans="1:8" s="201" customFormat="1">
      <c r="A3993" s="582"/>
      <c r="B3993" s="582"/>
      <c r="C3993" s="212"/>
      <c r="D3993" s="719" t="s">
        <v>28</v>
      </c>
      <c r="E3993" s="719"/>
      <c r="F3993" s="719"/>
      <c r="G3993" s="719"/>
      <c r="H3993" s="639">
        <f>E3985</f>
        <v>15</v>
      </c>
    </row>
    <row r="3994" spans="1:8" s="201" customFormat="1">
      <c r="A3994" s="582"/>
      <c r="B3994" s="582"/>
      <c r="C3994" s="212"/>
      <c r="D3994" s="718" t="s">
        <v>130</v>
      </c>
      <c r="E3994" s="718"/>
      <c r="F3994" s="718"/>
      <c r="G3994" s="718"/>
      <c r="H3994" s="213">
        <f>ROUND(H3992*H3993,2)</f>
        <v>120.45</v>
      </c>
    </row>
    <row r="3995" spans="1:8" s="201" customFormat="1">
      <c r="A3995" s="582"/>
      <c r="B3995" s="582"/>
      <c r="C3995" s="212"/>
      <c r="D3995" s="719" t="s">
        <v>15559</v>
      </c>
      <c r="E3995" s="719"/>
      <c r="F3995" s="719"/>
      <c r="G3995" s="719"/>
      <c r="H3995" s="638">
        <f>ROUND(H3992*$B$13,2)</f>
        <v>2.16</v>
      </c>
    </row>
    <row r="3996" spans="1:8">
      <c r="A3996" s="582"/>
      <c r="B3996" s="582"/>
      <c r="C3996" s="212"/>
      <c r="D3996" s="718" t="s">
        <v>9661</v>
      </c>
      <c r="E3996" s="718"/>
      <c r="F3996" s="718"/>
      <c r="G3996" s="718"/>
      <c r="H3996" s="213">
        <f>H3995+H3992</f>
        <v>10.19</v>
      </c>
    </row>
    <row r="3998" spans="1:8" s="201" customFormat="1">
      <c r="A3998" s="123" t="s">
        <v>6</v>
      </c>
      <c r="B3998" s="720" t="s">
        <v>7</v>
      </c>
      <c r="C3998" s="720"/>
      <c r="D3998" s="202" t="s">
        <v>124</v>
      </c>
      <c r="E3998" s="167" t="s">
        <v>6334</v>
      </c>
      <c r="F3998" s="202" t="s">
        <v>31</v>
      </c>
      <c r="G3998" s="203" t="s">
        <v>125</v>
      </c>
      <c r="H3998" s="204" t="s">
        <v>126</v>
      </c>
    </row>
    <row r="3999" spans="1:8" s="208" customFormat="1" ht="30">
      <c r="A3999" s="581" t="str">
        <f>'Orç - Prédio'!A621</f>
        <v>06.09.011.01</v>
      </c>
      <c r="B3999" s="581" t="str">
        <f>'Orç - Prédio'!B621</f>
        <v>ORSE</v>
      </c>
      <c r="C3999" s="581">
        <f>'Orç - Prédio'!C621</f>
        <v>8684</v>
      </c>
      <c r="D3999" s="205" t="s">
        <v>8574</v>
      </c>
      <c r="E3999" s="206">
        <v>150</v>
      </c>
      <c r="F3999" s="581" t="s">
        <v>6774</v>
      </c>
      <c r="G3999" s="207">
        <f>VLOOKUP("CUSTO TOTAL UNIT.:",D4000:$H$30004,5,FALSE)</f>
        <v>24.43</v>
      </c>
      <c r="H3999" s="637">
        <f>VLOOKUP("CUSTO TOTAL:",D4000:$H$30004,5,FALSE)</f>
        <v>3664.5</v>
      </c>
    </row>
    <row r="4000" spans="1:8" s="124" customFormat="1" ht="30">
      <c r="A4000" s="722">
        <v>3633</v>
      </c>
      <c r="B4000" s="722"/>
      <c r="C4000" s="184" t="s">
        <v>6333</v>
      </c>
      <c r="D4000" s="185" t="s">
        <v>7433</v>
      </c>
      <c r="E4000" s="209">
        <v>1</v>
      </c>
      <c r="F4000" s="577" t="s">
        <v>139</v>
      </c>
      <c r="G4000" s="174">
        <v>13.473000000000001</v>
      </c>
      <c r="H4000" s="211">
        <f>ROUND(G4000*E4000,2)</f>
        <v>13.47</v>
      </c>
    </row>
    <row r="4001" spans="1:8" s="124" customFormat="1" ht="30">
      <c r="A4001" s="721">
        <v>88264</v>
      </c>
      <c r="B4001" s="721"/>
      <c r="C4001" s="200" t="s">
        <v>5256</v>
      </c>
      <c r="D4001" s="139" t="s">
        <v>84</v>
      </c>
      <c r="E4001" s="209">
        <v>0.4</v>
      </c>
      <c r="F4001" s="577" t="s">
        <v>67</v>
      </c>
      <c r="G4001" s="210">
        <v>15.778800000000002</v>
      </c>
      <c r="H4001" s="211">
        <f>ROUND(G4001*E4001,2)</f>
        <v>6.31</v>
      </c>
    </row>
    <row r="4002" spans="1:8" s="124" customFormat="1" ht="30">
      <c r="A4002" s="721">
        <v>88316</v>
      </c>
      <c r="B4002" s="721"/>
      <c r="C4002" s="200" t="s">
        <v>5256</v>
      </c>
      <c r="D4002" s="139" t="s">
        <v>66</v>
      </c>
      <c r="E4002" s="209">
        <v>0.4</v>
      </c>
      <c r="F4002" s="577" t="s">
        <v>67</v>
      </c>
      <c r="G4002" s="210">
        <v>11.631600000000001</v>
      </c>
      <c r="H4002" s="211">
        <f>ROUND(G4002*E4002,2)</f>
        <v>4.6500000000000004</v>
      </c>
    </row>
    <row r="4003" spans="1:8" s="201" customFormat="1">
      <c r="A4003" s="582"/>
      <c r="B4003" s="582"/>
      <c r="C4003" s="212"/>
      <c r="D4003" s="719" t="s">
        <v>127</v>
      </c>
      <c r="E4003" s="719"/>
      <c r="F4003" s="719"/>
      <c r="G4003" s="719"/>
      <c r="H4003" s="638">
        <f>SUMIF(F4000:F4002,("h"),H4000:H4002)</f>
        <v>10.96</v>
      </c>
    </row>
    <row r="4004" spans="1:8" s="201" customFormat="1">
      <c r="A4004" s="582"/>
      <c r="B4004" s="582"/>
      <c r="C4004" s="212"/>
      <c r="D4004" s="719" t="s">
        <v>128</v>
      </c>
      <c r="E4004" s="719"/>
      <c r="F4004" s="719"/>
      <c r="G4004" s="719"/>
      <c r="H4004" s="638">
        <f>SUMIF(F4000:F4002,"&lt;&gt;h",H4000:H4002)</f>
        <v>13.47</v>
      </c>
    </row>
    <row r="4005" spans="1:8" s="201" customFormat="1">
      <c r="A4005" s="582"/>
      <c r="B4005" s="582"/>
      <c r="C4005" s="212"/>
      <c r="D4005" s="718" t="s">
        <v>129</v>
      </c>
      <c r="E4005" s="718"/>
      <c r="F4005" s="718"/>
      <c r="G4005" s="718"/>
      <c r="H4005" s="213">
        <f>SUM(H4003:H4004)</f>
        <v>24.43</v>
      </c>
    </row>
    <row r="4006" spans="1:8" s="201" customFormat="1">
      <c r="A4006" s="582"/>
      <c r="B4006" s="582"/>
      <c r="C4006" s="212"/>
      <c r="D4006" s="719" t="s">
        <v>28</v>
      </c>
      <c r="E4006" s="719"/>
      <c r="F4006" s="719"/>
      <c r="G4006" s="719"/>
      <c r="H4006" s="639">
        <f>E3999</f>
        <v>150</v>
      </c>
    </row>
    <row r="4007" spans="1:8" s="201" customFormat="1">
      <c r="A4007" s="582"/>
      <c r="B4007" s="582"/>
      <c r="C4007" s="212"/>
      <c r="D4007" s="718" t="s">
        <v>130</v>
      </c>
      <c r="E4007" s="718"/>
      <c r="F4007" s="718"/>
      <c r="G4007" s="718"/>
      <c r="H4007" s="213">
        <f>ROUND(H4005*H4006,2)</f>
        <v>3664.5</v>
      </c>
    </row>
    <row r="4008" spans="1:8" s="201" customFormat="1">
      <c r="A4008" s="582"/>
      <c r="B4008" s="582"/>
      <c r="C4008" s="212"/>
      <c r="D4008" s="719" t="s">
        <v>15559</v>
      </c>
      <c r="E4008" s="719"/>
      <c r="F4008" s="719"/>
      <c r="G4008" s="719"/>
      <c r="H4008" s="638">
        <f>ROUND(H4005*$B$13,2)</f>
        <v>6.58</v>
      </c>
    </row>
    <row r="4009" spans="1:8">
      <c r="A4009" s="582"/>
      <c r="B4009" s="582"/>
      <c r="C4009" s="212"/>
      <c r="D4009" s="718" t="s">
        <v>9661</v>
      </c>
      <c r="E4009" s="718"/>
      <c r="F4009" s="718"/>
      <c r="G4009" s="718"/>
      <c r="H4009" s="213">
        <f>H4008+H4005</f>
        <v>31.009999999999998</v>
      </c>
    </row>
    <row r="4011" spans="1:8" s="201" customFormat="1">
      <c r="A4011" s="123" t="s">
        <v>6</v>
      </c>
      <c r="B4011" s="720" t="s">
        <v>7</v>
      </c>
      <c r="C4011" s="720"/>
      <c r="D4011" s="202" t="s">
        <v>124</v>
      </c>
      <c r="E4011" s="167" t="s">
        <v>6334</v>
      </c>
      <c r="F4011" s="202" t="s">
        <v>31</v>
      </c>
      <c r="G4011" s="203" t="s">
        <v>125</v>
      </c>
      <c r="H4011" s="204" t="s">
        <v>126</v>
      </c>
    </row>
    <row r="4012" spans="1:8" s="208" customFormat="1" ht="30">
      <c r="A4012" s="216" t="str">
        <f>'Orç - Prédio'!A622</f>
        <v>06.09.011.02</v>
      </c>
      <c r="B4012" s="216" t="str">
        <f>'Orç - Prédio'!B622</f>
        <v>ORSE</v>
      </c>
      <c r="C4012" s="216">
        <f>'Orç - Prédio'!C622</f>
        <v>8701</v>
      </c>
      <c r="D4012" s="217" t="s">
        <v>8476</v>
      </c>
      <c r="E4012" s="206">
        <v>2</v>
      </c>
      <c r="F4012" s="216" t="s">
        <v>6337</v>
      </c>
      <c r="G4012" s="207">
        <f>VLOOKUP("CUSTO TOTAL UNIT.:",D4013:$H$30004,5,FALSE)</f>
        <v>27.51</v>
      </c>
      <c r="H4012" s="637">
        <f>VLOOKUP("CUSTO TOTAL:",D4013:$H$30004,5,FALSE)</f>
        <v>55.02</v>
      </c>
    </row>
    <row r="4013" spans="1:8" s="124" customFormat="1" ht="30">
      <c r="A4013" s="721">
        <v>4015</v>
      </c>
      <c r="B4013" s="721"/>
      <c r="C4013" s="200" t="s">
        <v>6333</v>
      </c>
      <c r="D4013" s="139" t="s">
        <v>8517</v>
      </c>
      <c r="E4013" s="209">
        <v>1</v>
      </c>
      <c r="F4013" s="577" t="s">
        <v>31</v>
      </c>
      <c r="G4013" s="174">
        <v>16.548300000000001</v>
      </c>
      <c r="H4013" s="211">
        <f>ROUND(G4013*E4013,2)</f>
        <v>16.55</v>
      </c>
    </row>
    <row r="4014" spans="1:8" s="124" customFormat="1" ht="30">
      <c r="A4014" s="721">
        <v>88264</v>
      </c>
      <c r="B4014" s="721"/>
      <c r="C4014" s="200" t="s">
        <v>5256</v>
      </c>
      <c r="D4014" s="139" t="s">
        <v>84</v>
      </c>
      <c r="E4014" s="209">
        <v>0.4</v>
      </c>
      <c r="F4014" s="577" t="s">
        <v>67</v>
      </c>
      <c r="G4014" s="210">
        <v>15.778800000000002</v>
      </c>
      <c r="H4014" s="211">
        <f>ROUND(G4014*E4014,2)</f>
        <v>6.31</v>
      </c>
    </row>
    <row r="4015" spans="1:8" s="124" customFormat="1" ht="30">
      <c r="A4015" s="721">
        <v>88316</v>
      </c>
      <c r="B4015" s="721"/>
      <c r="C4015" s="200" t="s">
        <v>5256</v>
      </c>
      <c r="D4015" s="139" t="s">
        <v>66</v>
      </c>
      <c r="E4015" s="209">
        <v>0.4</v>
      </c>
      <c r="F4015" s="577" t="s">
        <v>67</v>
      </c>
      <c r="G4015" s="210">
        <v>11.631600000000001</v>
      </c>
      <c r="H4015" s="211">
        <f>ROUND(G4015*E4015,2)</f>
        <v>4.6500000000000004</v>
      </c>
    </row>
    <row r="4016" spans="1:8" s="201" customFormat="1">
      <c r="A4016" s="582"/>
      <c r="B4016" s="582"/>
      <c r="C4016" s="212"/>
      <c r="D4016" s="719" t="s">
        <v>127</v>
      </c>
      <c r="E4016" s="719"/>
      <c r="F4016" s="719"/>
      <c r="G4016" s="719"/>
      <c r="H4016" s="638">
        <f>SUMIF(F4013:F4015,("h"),H4013:H4015)</f>
        <v>10.96</v>
      </c>
    </row>
    <row r="4017" spans="1:8" s="201" customFormat="1">
      <c r="A4017" s="582"/>
      <c r="B4017" s="582"/>
      <c r="C4017" s="212"/>
      <c r="D4017" s="719" t="s">
        <v>128</v>
      </c>
      <c r="E4017" s="719"/>
      <c r="F4017" s="719"/>
      <c r="G4017" s="719"/>
      <c r="H4017" s="638">
        <f>SUMIF(F4013:F4015,"&lt;&gt;h",H4013:H4015)</f>
        <v>16.55</v>
      </c>
    </row>
    <row r="4018" spans="1:8" s="201" customFormat="1">
      <c r="A4018" s="582"/>
      <c r="B4018" s="582"/>
      <c r="C4018" s="212"/>
      <c r="D4018" s="718" t="s">
        <v>129</v>
      </c>
      <c r="E4018" s="718"/>
      <c r="F4018" s="718"/>
      <c r="G4018" s="718"/>
      <c r="H4018" s="213">
        <f>SUM(H4016:H4017)</f>
        <v>27.51</v>
      </c>
    </row>
    <row r="4019" spans="1:8" s="201" customFormat="1">
      <c r="A4019" s="582"/>
      <c r="B4019" s="582"/>
      <c r="C4019" s="212"/>
      <c r="D4019" s="719" t="s">
        <v>28</v>
      </c>
      <c r="E4019" s="719"/>
      <c r="F4019" s="719"/>
      <c r="G4019" s="719"/>
      <c r="H4019" s="639">
        <f>E4012</f>
        <v>2</v>
      </c>
    </row>
    <row r="4020" spans="1:8" s="201" customFormat="1">
      <c r="A4020" s="582"/>
      <c r="B4020" s="582"/>
      <c r="C4020" s="212"/>
      <c r="D4020" s="718" t="s">
        <v>130</v>
      </c>
      <c r="E4020" s="718"/>
      <c r="F4020" s="718"/>
      <c r="G4020" s="718"/>
      <c r="H4020" s="213">
        <f>ROUND(H4018*H4019,2)</f>
        <v>55.02</v>
      </c>
    </row>
    <row r="4021" spans="1:8" s="201" customFormat="1">
      <c r="A4021" s="582"/>
      <c r="B4021" s="582"/>
      <c r="C4021" s="212"/>
      <c r="D4021" s="719" t="s">
        <v>15559</v>
      </c>
      <c r="E4021" s="719"/>
      <c r="F4021" s="719"/>
      <c r="G4021" s="719"/>
      <c r="H4021" s="638">
        <f>ROUND(H4018*$B$13,2)</f>
        <v>7.41</v>
      </c>
    </row>
    <row r="4022" spans="1:8">
      <c r="A4022" s="582"/>
      <c r="B4022" s="582"/>
      <c r="C4022" s="212"/>
      <c r="D4022" s="718" t="s">
        <v>9661</v>
      </c>
      <c r="E4022" s="718"/>
      <c r="F4022" s="718"/>
      <c r="G4022" s="718"/>
      <c r="H4022" s="213">
        <f>H4021+H4018</f>
        <v>34.92</v>
      </c>
    </row>
    <row r="4024" spans="1:8" s="201" customFormat="1">
      <c r="A4024" s="123" t="s">
        <v>6</v>
      </c>
      <c r="B4024" s="720" t="s">
        <v>7</v>
      </c>
      <c r="C4024" s="720"/>
      <c r="D4024" s="202" t="s">
        <v>124</v>
      </c>
      <c r="E4024" s="167" t="s">
        <v>6334</v>
      </c>
      <c r="F4024" s="202" t="s">
        <v>31</v>
      </c>
      <c r="G4024" s="203" t="s">
        <v>125</v>
      </c>
      <c r="H4024" s="204" t="s">
        <v>126</v>
      </c>
    </row>
    <row r="4025" spans="1:8" s="208" customFormat="1" ht="30">
      <c r="A4025" s="216" t="str">
        <f>'Orç - Prédio'!A623</f>
        <v>06.09.011.03</v>
      </c>
      <c r="B4025" s="216" t="str">
        <f>'Orç - Prédio'!B623</f>
        <v>ORSE</v>
      </c>
      <c r="C4025" s="216">
        <f>'Orç - Prédio'!C623</f>
        <v>8687</v>
      </c>
      <c r="D4025" s="217" t="s">
        <v>8483</v>
      </c>
      <c r="E4025" s="206">
        <v>3</v>
      </c>
      <c r="F4025" s="216" t="s">
        <v>6337</v>
      </c>
      <c r="G4025" s="318">
        <f>VLOOKUP("CUSTO TOTAL UNIT.:",D4026:$H$30004,5,FALSE)</f>
        <v>31.82</v>
      </c>
      <c r="H4025" s="637">
        <f>VLOOKUP("CUSTO TOTAL:",D4026:$H$30004,5,FALSE)</f>
        <v>95.46</v>
      </c>
    </row>
    <row r="4026" spans="1:8" s="124" customFormat="1" ht="30">
      <c r="A4026" s="721">
        <v>4096</v>
      </c>
      <c r="B4026" s="721"/>
      <c r="C4026" s="200" t="s">
        <v>6333</v>
      </c>
      <c r="D4026" s="139" t="s">
        <v>8524</v>
      </c>
      <c r="E4026" s="209">
        <v>1</v>
      </c>
      <c r="F4026" s="577" t="s">
        <v>31</v>
      </c>
      <c r="G4026" s="174">
        <v>26.325000000000003</v>
      </c>
      <c r="H4026" s="211">
        <f>ROUND(G4026*E4026,2)</f>
        <v>26.33</v>
      </c>
    </row>
    <row r="4027" spans="1:8" s="124" customFormat="1" ht="30">
      <c r="A4027" s="721">
        <v>88264</v>
      </c>
      <c r="B4027" s="721"/>
      <c r="C4027" s="200" t="s">
        <v>5256</v>
      </c>
      <c r="D4027" s="139" t="s">
        <v>84</v>
      </c>
      <c r="E4027" s="209">
        <v>0.2</v>
      </c>
      <c r="F4027" s="577" t="s">
        <v>67</v>
      </c>
      <c r="G4027" s="210">
        <v>15.778800000000002</v>
      </c>
      <c r="H4027" s="211">
        <f>ROUND(G4027*E4027,2)</f>
        <v>3.16</v>
      </c>
    </row>
    <row r="4028" spans="1:8" s="124" customFormat="1" ht="30">
      <c r="A4028" s="721">
        <v>88316</v>
      </c>
      <c r="B4028" s="721"/>
      <c r="C4028" s="200" t="s">
        <v>5256</v>
      </c>
      <c r="D4028" s="139" t="s">
        <v>66</v>
      </c>
      <c r="E4028" s="209">
        <v>0.2</v>
      </c>
      <c r="F4028" s="577" t="s">
        <v>67</v>
      </c>
      <c r="G4028" s="210">
        <v>11.631600000000001</v>
      </c>
      <c r="H4028" s="211">
        <f>ROUND(G4028*E4028,2)</f>
        <v>2.33</v>
      </c>
    </row>
    <row r="4029" spans="1:8" s="201" customFormat="1">
      <c r="A4029" s="582"/>
      <c r="B4029" s="582"/>
      <c r="C4029" s="212"/>
      <c r="D4029" s="719" t="s">
        <v>127</v>
      </c>
      <c r="E4029" s="719"/>
      <c r="F4029" s="719"/>
      <c r="G4029" s="719"/>
      <c r="H4029" s="638">
        <f>SUMIF(F4026:F4028,("h"),H4026:H4028)</f>
        <v>5.49</v>
      </c>
    </row>
    <row r="4030" spans="1:8" s="201" customFormat="1">
      <c r="A4030" s="582"/>
      <c r="B4030" s="582"/>
      <c r="C4030" s="212"/>
      <c r="D4030" s="719" t="s">
        <v>128</v>
      </c>
      <c r="E4030" s="719"/>
      <c r="F4030" s="719"/>
      <c r="G4030" s="719"/>
      <c r="H4030" s="638">
        <f>SUMIF(F4026:F4028,"&lt;&gt;h",H4026:H4028)</f>
        <v>26.33</v>
      </c>
    </row>
    <row r="4031" spans="1:8" s="201" customFormat="1">
      <c r="A4031" s="582"/>
      <c r="B4031" s="582"/>
      <c r="C4031" s="212"/>
      <c r="D4031" s="718" t="s">
        <v>129</v>
      </c>
      <c r="E4031" s="718"/>
      <c r="F4031" s="718"/>
      <c r="G4031" s="718"/>
      <c r="H4031" s="213">
        <f>SUM(H4029:H4030)</f>
        <v>31.82</v>
      </c>
    </row>
    <row r="4032" spans="1:8" s="201" customFormat="1">
      <c r="A4032" s="582"/>
      <c r="B4032" s="582"/>
      <c r="C4032" s="212"/>
      <c r="D4032" s="719" t="s">
        <v>28</v>
      </c>
      <c r="E4032" s="719"/>
      <c r="F4032" s="719"/>
      <c r="G4032" s="719"/>
      <c r="H4032" s="639">
        <f>E4025</f>
        <v>3</v>
      </c>
    </row>
    <row r="4033" spans="1:8" s="201" customFormat="1">
      <c r="A4033" s="582"/>
      <c r="B4033" s="582"/>
      <c r="C4033" s="212"/>
      <c r="D4033" s="718" t="s">
        <v>130</v>
      </c>
      <c r="E4033" s="718"/>
      <c r="F4033" s="718"/>
      <c r="G4033" s="718"/>
      <c r="H4033" s="213">
        <f>ROUND(H4031*H4032,2)</f>
        <v>95.46</v>
      </c>
    </row>
    <row r="4034" spans="1:8" s="201" customFormat="1">
      <c r="A4034" s="582"/>
      <c r="B4034" s="582"/>
      <c r="C4034" s="212"/>
      <c r="D4034" s="719" t="s">
        <v>15559</v>
      </c>
      <c r="E4034" s="719"/>
      <c r="F4034" s="719"/>
      <c r="G4034" s="719"/>
      <c r="H4034" s="638">
        <f>ROUND(H4031*$B$13,2)</f>
        <v>8.57</v>
      </c>
    </row>
    <row r="4035" spans="1:8">
      <c r="A4035" s="582"/>
      <c r="B4035" s="582"/>
      <c r="C4035" s="212"/>
      <c r="D4035" s="718" t="s">
        <v>9661</v>
      </c>
      <c r="E4035" s="718"/>
      <c r="F4035" s="718"/>
      <c r="G4035" s="718"/>
      <c r="H4035" s="213">
        <f>H4034+H4031</f>
        <v>40.39</v>
      </c>
    </row>
    <row r="4037" spans="1:8" s="201" customFormat="1">
      <c r="A4037" s="123" t="s">
        <v>6</v>
      </c>
      <c r="B4037" s="720" t="s">
        <v>7</v>
      </c>
      <c r="C4037" s="720"/>
      <c r="D4037" s="202" t="s">
        <v>124</v>
      </c>
      <c r="E4037" s="167" t="s">
        <v>6334</v>
      </c>
      <c r="F4037" s="202" t="s">
        <v>31</v>
      </c>
      <c r="G4037" s="203" t="s">
        <v>125</v>
      </c>
      <c r="H4037" s="204" t="s">
        <v>126</v>
      </c>
    </row>
    <row r="4038" spans="1:8" s="208" customFormat="1" ht="30">
      <c r="A4038" s="216" t="str">
        <f>'Orç - Prédio'!A624</f>
        <v>06.09.011.04</v>
      </c>
      <c r="B4038" s="216" t="str">
        <f>'Orç - Prédio'!B624</f>
        <v>ORSE</v>
      </c>
      <c r="C4038" s="216" t="str">
        <f>'Orç - Prédio'!C624</f>
        <v>VEG 8695</v>
      </c>
      <c r="D4038" s="217" t="s">
        <v>8486</v>
      </c>
      <c r="E4038" s="206">
        <v>90</v>
      </c>
      <c r="F4038" s="216" t="s">
        <v>6337</v>
      </c>
      <c r="G4038" s="318">
        <f>VLOOKUP("CUSTO TOTAL UNIT.:",D4039:$H$30004,5,FALSE)</f>
        <v>9.14</v>
      </c>
      <c r="H4038" s="637">
        <f>VLOOKUP("CUSTO TOTAL:",D4039:$H$30004,5,FALSE)</f>
        <v>822.6</v>
      </c>
    </row>
    <row r="4039" spans="1:8" s="124" customFormat="1" ht="30">
      <c r="A4039" s="721">
        <v>3640</v>
      </c>
      <c r="B4039" s="721"/>
      <c r="C4039" s="200" t="s">
        <v>6333</v>
      </c>
      <c r="D4039" s="139" t="s">
        <v>8529</v>
      </c>
      <c r="E4039" s="209">
        <v>1</v>
      </c>
      <c r="F4039" s="577" t="s">
        <v>31</v>
      </c>
      <c r="G4039" s="174">
        <v>3.6450000000000005</v>
      </c>
      <c r="H4039" s="211">
        <f>ROUND(G4039*E4039,2)</f>
        <v>3.65</v>
      </c>
    </row>
    <row r="4040" spans="1:8" s="124" customFormat="1" ht="30">
      <c r="A4040" s="721">
        <v>88264</v>
      </c>
      <c r="B4040" s="721"/>
      <c r="C4040" s="200" t="s">
        <v>5256</v>
      </c>
      <c r="D4040" s="139" t="s">
        <v>84</v>
      </c>
      <c r="E4040" s="209">
        <v>0.2</v>
      </c>
      <c r="F4040" s="577" t="s">
        <v>67</v>
      </c>
      <c r="G4040" s="210">
        <v>15.778800000000002</v>
      </c>
      <c r="H4040" s="211">
        <f>ROUND(G4040*E4040,2)</f>
        <v>3.16</v>
      </c>
    </row>
    <row r="4041" spans="1:8" s="124" customFormat="1" ht="30">
      <c r="A4041" s="721">
        <v>88316</v>
      </c>
      <c r="B4041" s="721"/>
      <c r="C4041" s="200" t="s">
        <v>5256</v>
      </c>
      <c r="D4041" s="139" t="s">
        <v>66</v>
      </c>
      <c r="E4041" s="209">
        <v>0.2</v>
      </c>
      <c r="F4041" s="577" t="s">
        <v>67</v>
      </c>
      <c r="G4041" s="210">
        <v>11.631600000000001</v>
      </c>
      <c r="H4041" s="211">
        <f>ROUND(G4041*E4041,2)</f>
        <v>2.33</v>
      </c>
    </row>
    <row r="4042" spans="1:8" s="201" customFormat="1">
      <c r="A4042" s="582"/>
      <c r="B4042" s="582"/>
      <c r="C4042" s="212"/>
      <c r="D4042" s="719" t="s">
        <v>127</v>
      </c>
      <c r="E4042" s="719"/>
      <c r="F4042" s="719"/>
      <c r="G4042" s="719"/>
      <c r="H4042" s="638">
        <f>SUMIF(F4039:F4041,("h"),H4039:H4041)</f>
        <v>5.49</v>
      </c>
    </row>
    <row r="4043" spans="1:8" s="201" customFormat="1">
      <c r="A4043" s="582"/>
      <c r="B4043" s="582"/>
      <c r="C4043" s="212"/>
      <c r="D4043" s="719" t="s">
        <v>128</v>
      </c>
      <c r="E4043" s="719"/>
      <c r="F4043" s="719"/>
      <c r="G4043" s="719"/>
      <c r="H4043" s="638">
        <f>SUMIF(F4039:F4041,"&lt;&gt;h",H4039:H4041)</f>
        <v>3.65</v>
      </c>
    </row>
    <row r="4044" spans="1:8" s="201" customFormat="1">
      <c r="A4044" s="582"/>
      <c r="B4044" s="582"/>
      <c r="C4044" s="212"/>
      <c r="D4044" s="718" t="s">
        <v>129</v>
      </c>
      <c r="E4044" s="718"/>
      <c r="F4044" s="718"/>
      <c r="G4044" s="718"/>
      <c r="H4044" s="213">
        <f>SUM(H4042:H4043)</f>
        <v>9.14</v>
      </c>
    </row>
    <row r="4045" spans="1:8" s="201" customFormat="1">
      <c r="A4045" s="582"/>
      <c r="B4045" s="582"/>
      <c r="C4045" s="212"/>
      <c r="D4045" s="719" t="s">
        <v>28</v>
      </c>
      <c r="E4045" s="719"/>
      <c r="F4045" s="719"/>
      <c r="G4045" s="719"/>
      <c r="H4045" s="639">
        <f>E4038</f>
        <v>90</v>
      </c>
    </row>
    <row r="4046" spans="1:8" s="201" customFormat="1">
      <c r="A4046" s="582"/>
      <c r="B4046" s="582"/>
      <c r="C4046" s="212"/>
      <c r="D4046" s="718" t="s">
        <v>130</v>
      </c>
      <c r="E4046" s="718"/>
      <c r="F4046" s="718"/>
      <c r="G4046" s="718"/>
      <c r="H4046" s="213">
        <f>ROUND(H4044*H4045,2)</f>
        <v>822.6</v>
      </c>
    </row>
    <row r="4047" spans="1:8" s="201" customFormat="1">
      <c r="A4047" s="582"/>
      <c r="B4047" s="582"/>
      <c r="C4047" s="212"/>
      <c r="D4047" s="719" t="s">
        <v>15559</v>
      </c>
      <c r="E4047" s="719"/>
      <c r="F4047" s="719"/>
      <c r="G4047" s="719"/>
      <c r="H4047" s="638">
        <f>ROUND(H4044*$B$13,2)</f>
        <v>2.46</v>
      </c>
    </row>
    <row r="4048" spans="1:8">
      <c r="A4048" s="582"/>
      <c r="B4048" s="582"/>
      <c r="C4048" s="212"/>
      <c r="D4048" s="718" t="s">
        <v>9661</v>
      </c>
      <c r="E4048" s="718"/>
      <c r="F4048" s="718"/>
      <c r="G4048" s="718"/>
      <c r="H4048" s="213">
        <f>H4047+H4044</f>
        <v>11.600000000000001</v>
      </c>
    </row>
    <row r="4050" spans="1:8" s="201" customFormat="1">
      <c r="A4050" s="123" t="s">
        <v>6</v>
      </c>
      <c r="B4050" s="720" t="s">
        <v>7</v>
      </c>
      <c r="C4050" s="720"/>
      <c r="D4050" s="202" t="s">
        <v>124</v>
      </c>
      <c r="E4050" s="167" t="s">
        <v>6334</v>
      </c>
      <c r="F4050" s="202" t="s">
        <v>31</v>
      </c>
      <c r="G4050" s="203" t="s">
        <v>125</v>
      </c>
      <c r="H4050" s="204" t="s">
        <v>126</v>
      </c>
    </row>
    <row r="4051" spans="1:8" s="208" customFormat="1" ht="30">
      <c r="A4051" s="216" t="str">
        <f>'Orç - Prédio'!A625</f>
        <v>06.09.011.05</v>
      </c>
      <c r="B4051" s="216" t="str">
        <f>'Orç - Prédio'!B625</f>
        <v>ORSE</v>
      </c>
      <c r="C4051" s="216">
        <f>'Orç - Prédio'!C625</f>
        <v>11848</v>
      </c>
      <c r="D4051" s="217" t="s">
        <v>8490</v>
      </c>
      <c r="E4051" s="206">
        <v>63</v>
      </c>
      <c r="F4051" s="216" t="s">
        <v>6337</v>
      </c>
      <c r="G4051" s="318">
        <f>VLOOKUP("CUSTO TOTAL UNIT.:",D4052:$H$30004,5,FALSE)</f>
        <v>8.65</v>
      </c>
      <c r="H4051" s="637">
        <f>VLOOKUP("CUSTO TOTAL:",D4052:$H$30004,5,FALSE)</f>
        <v>544.95000000000005</v>
      </c>
    </row>
    <row r="4052" spans="1:8" s="124" customFormat="1" ht="30">
      <c r="A4052" s="721">
        <v>4034</v>
      </c>
      <c r="B4052" s="721"/>
      <c r="C4052" s="200" t="s">
        <v>6333</v>
      </c>
      <c r="D4052" s="139" t="s">
        <v>8533</v>
      </c>
      <c r="E4052" s="209">
        <v>1</v>
      </c>
      <c r="F4052" s="577" t="s">
        <v>31</v>
      </c>
      <c r="G4052" s="174">
        <v>3.1590000000000003</v>
      </c>
      <c r="H4052" s="211">
        <f>ROUND(G4052*E4052,2)</f>
        <v>3.16</v>
      </c>
    </row>
    <row r="4053" spans="1:8" s="124" customFormat="1" ht="30">
      <c r="A4053" s="721">
        <v>88264</v>
      </c>
      <c r="B4053" s="721"/>
      <c r="C4053" s="200" t="s">
        <v>5256</v>
      </c>
      <c r="D4053" s="139" t="s">
        <v>84</v>
      </c>
      <c r="E4053" s="209">
        <v>0.2</v>
      </c>
      <c r="F4053" s="577" t="s">
        <v>67</v>
      </c>
      <c r="G4053" s="210">
        <v>15.778800000000002</v>
      </c>
      <c r="H4053" s="211">
        <f>ROUND(G4053*E4053,2)</f>
        <v>3.16</v>
      </c>
    </row>
    <row r="4054" spans="1:8" s="124" customFormat="1" ht="30">
      <c r="A4054" s="721">
        <v>88316</v>
      </c>
      <c r="B4054" s="721"/>
      <c r="C4054" s="200" t="s">
        <v>5256</v>
      </c>
      <c r="D4054" s="139" t="s">
        <v>66</v>
      </c>
      <c r="E4054" s="209">
        <v>0.2</v>
      </c>
      <c r="F4054" s="577" t="s">
        <v>67</v>
      </c>
      <c r="G4054" s="210">
        <v>11.631600000000001</v>
      </c>
      <c r="H4054" s="211">
        <f>ROUND(G4054*E4054,2)</f>
        <v>2.33</v>
      </c>
    </row>
    <row r="4055" spans="1:8" s="201" customFormat="1">
      <c r="A4055" s="582"/>
      <c r="B4055" s="582"/>
      <c r="C4055" s="212"/>
      <c r="D4055" s="719" t="s">
        <v>127</v>
      </c>
      <c r="E4055" s="719"/>
      <c r="F4055" s="719"/>
      <c r="G4055" s="719"/>
      <c r="H4055" s="638">
        <f>SUMIF(F4052:F4054,("h"),H4052:H4054)</f>
        <v>5.49</v>
      </c>
    </row>
    <row r="4056" spans="1:8" s="201" customFormat="1">
      <c r="A4056" s="582"/>
      <c r="B4056" s="582"/>
      <c r="C4056" s="212"/>
      <c r="D4056" s="719" t="s">
        <v>128</v>
      </c>
      <c r="E4056" s="719"/>
      <c r="F4056" s="719"/>
      <c r="G4056" s="719"/>
      <c r="H4056" s="638">
        <f>SUMIF(F4052:F4054,"&lt;&gt;h",H4052:H4054)</f>
        <v>3.16</v>
      </c>
    </row>
    <row r="4057" spans="1:8" s="201" customFormat="1">
      <c r="A4057" s="582"/>
      <c r="B4057" s="582"/>
      <c r="C4057" s="212"/>
      <c r="D4057" s="718" t="s">
        <v>129</v>
      </c>
      <c r="E4057" s="718"/>
      <c r="F4057" s="718"/>
      <c r="G4057" s="718"/>
      <c r="H4057" s="213">
        <f>SUM(H4055:H4056)</f>
        <v>8.65</v>
      </c>
    </row>
    <row r="4058" spans="1:8" s="201" customFormat="1">
      <c r="A4058" s="582"/>
      <c r="B4058" s="582"/>
      <c r="C4058" s="212"/>
      <c r="D4058" s="719" t="s">
        <v>28</v>
      </c>
      <c r="E4058" s="719"/>
      <c r="F4058" s="719"/>
      <c r="G4058" s="719"/>
      <c r="H4058" s="639">
        <f>E4051</f>
        <v>63</v>
      </c>
    </row>
    <row r="4059" spans="1:8" s="201" customFormat="1">
      <c r="A4059" s="582"/>
      <c r="B4059" s="582"/>
      <c r="C4059" s="212"/>
      <c r="D4059" s="718" t="s">
        <v>130</v>
      </c>
      <c r="E4059" s="718"/>
      <c r="F4059" s="718"/>
      <c r="G4059" s="718"/>
      <c r="H4059" s="213">
        <f>ROUND(H4057*H4058,2)</f>
        <v>544.95000000000005</v>
      </c>
    </row>
    <row r="4060" spans="1:8" s="201" customFormat="1">
      <c r="A4060" s="582"/>
      <c r="B4060" s="582"/>
      <c r="C4060" s="212"/>
      <c r="D4060" s="719" t="s">
        <v>15559</v>
      </c>
      <c r="E4060" s="719"/>
      <c r="F4060" s="719"/>
      <c r="G4060" s="719"/>
      <c r="H4060" s="638">
        <f>ROUND(H4057*$B$13,2)</f>
        <v>2.33</v>
      </c>
    </row>
    <row r="4061" spans="1:8">
      <c r="A4061" s="582"/>
      <c r="B4061" s="582"/>
      <c r="C4061" s="212"/>
      <c r="D4061" s="718" t="s">
        <v>9661</v>
      </c>
      <c r="E4061" s="718"/>
      <c r="F4061" s="718"/>
      <c r="G4061" s="718"/>
      <c r="H4061" s="213">
        <f>H4060+H4057</f>
        <v>10.98</v>
      </c>
    </row>
    <row r="4063" spans="1:8" s="201" customFormat="1">
      <c r="A4063" s="123" t="s">
        <v>6</v>
      </c>
      <c r="B4063" s="720" t="s">
        <v>7</v>
      </c>
      <c r="C4063" s="720"/>
      <c r="D4063" s="202" t="s">
        <v>124</v>
      </c>
      <c r="E4063" s="167" t="s">
        <v>6334</v>
      </c>
      <c r="F4063" s="202" t="s">
        <v>31</v>
      </c>
      <c r="G4063" s="203" t="s">
        <v>125</v>
      </c>
      <c r="H4063" s="204" t="s">
        <v>126</v>
      </c>
    </row>
    <row r="4064" spans="1:8" s="208" customFormat="1" ht="30">
      <c r="A4064" s="216" t="str">
        <f>'Orç - Prédio'!A626</f>
        <v>06.09.011.06</v>
      </c>
      <c r="B4064" s="216" t="str">
        <f>'Orç - Prédio'!B626</f>
        <v>ORSE</v>
      </c>
      <c r="C4064" s="216" t="str">
        <f>'Orç - Prédio'!C626</f>
        <v>VEG 9527 MOD 3</v>
      </c>
      <c r="D4064" s="217" t="s">
        <v>8493</v>
      </c>
      <c r="E4064" s="206">
        <v>2</v>
      </c>
      <c r="F4064" s="216" t="s">
        <v>6337</v>
      </c>
      <c r="G4064" s="318">
        <f>VLOOKUP("CUSTO TOTAL UNIT.:",D4065:$H$30004,5,FALSE)</f>
        <v>30.6</v>
      </c>
      <c r="H4064" s="637">
        <f>VLOOKUP("CUSTO TOTAL:",D4065:$H$30004,5,FALSE)</f>
        <v>61.2</v>
      </c>
    </row>
    <row r="4065" spans="1:8" s="124" customFormat="1" ht="30">
      <c r="A4065" s="721">
        <v>3460</v>
      </c>
      <c r="B4065" s="721"/>
      <c r="C4065" s="200" t="s">
        <v>6333</v>
      </c>
      <c r="D4065" s="139" t="s">
        <v>8540</v>
      </c>
      <c r="E4065" s="209">
        <v>1</v>
      </c>
      <c r="F4065" s="577" t="s">
        <v>31</v>
      </c>
      <c r="G4065" s="174">
        <v>25.110000000000003</v>
      </c>
      <c r="H4065" s="211">
        <f>ROUND(G4065*E4065,2)</f>
        <v>25.11</v>
      </c>
    </row>
    <row r="4066" spans="1:8" s="124" customFormat="1" ht="30">
      <c r="A4066" s="721">
        <v>88264</v>
      </c>
      <c r="B4066" s="721"/>
      <c r="C4066" s="200" t="s">
        <v>5256</v>
      </c>
      <c r="D4066" s="139" t="s">
        <v>84</v>
      </c>
      <c r="E4066" s="209">
        <v>0.2</v>
      </c>
      <c r="F4066" s="577" t="s">
        <v>67</v>
      </c>
      <c r="G4066" s="210">
        <v>15.778800000000002</v>
      </c>
      <c r="H4066" s="211">
        <f>ROUND(G4066*E4066,2)</f>
        <v>3.16</v>
      </c>
    </row>
    <row r="4067" spans="1:8" s="124" customFormat="1" ht="30">
      <c r="A4067" s="721">
        <v>88316</v>
      </c>
      <c r="B4067" s="721"/>
      <c r="C4067" s="200" t="s">
        <v>5256</v>
      </c>
      <c r="D4067" s="139" t="s">
        <v>66</v>
      </c>
      <c r="E4067" s="209">
        <v>0.2</v>
      </c>
      <c r="F4067" s="577" t="s">
        <v>67</v>
      </c>
      <c r="G4067" s="210">
        <v>11.631600000000001</v>
      </c>
      <c r="H4067" s="211">
        <f>ROUND(G4067*E4067,2)</f>
        <v>2.33</v>
      </c>
    </row>
    <row r="4068" spans="1:8" s="201" customFormat="1">
      <c r="A4068" s="582"/>
      <c r="B4068" s="582"/>
      <c r="C4068" s="212"/>
      <c r="D4068" s="719" t="s">
        <v>127</v>
      </c>
      <c r="E4068" s="719"/>
      <c r="F4068" s="719"/>
      <c r="G4068" s="719"/>
      <c r="H4068" s="638">
        <f>SUMIF(F4065:F4067,("h"),H4065:H4067)</f>
        <v>5.49</v>
      </c>
    </row>
    <row r="4069" spans="1:8" s="201" customFormat="1">
      <c r="A4069" s="582"/>
      <c r="B4069" s="582"/>
      <c r="C4069" s="212"/>
      <c r="D4069" s="719" t="s">
        <v>128</v>
      </c>
      <c r="E4069" s="719"/>
      <c r="F4069" s="719"/>
      <c r="G4069" s="719"/>
      <c r="H4069" s="638">
        <f>SUMIF(F4065:F4067,"&lt;&gt;h",H4065:H4067)</f>
        <v>25.11</v>
      </c>
    </row>
    <row r="4070" spans="1:8" s="201" customFormat="1">
      <c r="A4070" s="582"/>
      <c r="B4070" s="582"/>
      <c r="C4070" s="212"/>
      <c r="D4070" s="718" t="s">
        <v>129</v>
      </c>
      <c r="E4070" s="718"/>
      <c r="F4070" s="718"/>
      <c r="G4070" s="718"/>
      <c r="H4070" s="213">
        <f>SUM(H4068:H4069)</f>
        <v>30.6</v>
      </c>
    </row>
    <row r="4071" spans="1:8" s="201" customFormat="1">
      <c r="A4071" s="582"/>
      <c r="B4071" s="582"/>
      <c r="C4071" s="212"/>
      <c r="D4071" s="719" t="s">
        <v>28</v>
      </c>
      <c r="E4071" s="719"/>
      <c r="F4071" s="719"/>
      <c r="G4071" s="719"/>
      <c r="H4071" s="639">
        <f>E4064</f>
        <v>2</v>
      </c>
    </row>
    <row r="4072" spans="1:8" s="201" customFormat="1">
      <c r="A4072" s="582"/>
      <c r="B4072" s="582"/>
      <c r="C4072" s="212"/>
      <c r="D4072" s="718" t="s">
        <v>130</v>
      </c>
      <c r="E4072" s="718"/>
      <c r="F4072" s="718"/>
      <c r="G4072" s="718"/>
      <c r="H4072" s="213">
        <f>ROUND(H4070*H4071,2)</f>
        <v>61.2</v>
      </c>
    </row>
    <row r="4073" spans="1:8" s="201" customFormat="1">
      <c r="A4073" s="582"/>
      <c r="B4073" s="582"/>
      <c r="C4073" s="212"/>
      <c r="D4073" s="719" t="s">
        <v>15559</v>
      </c>
      <c r="E4073" s="719"/>
      <c r="F4073" s="719"/>
      <c r="G4073" s="719"/>
      <c r="H4073" s="638">
        <f>ROUND(H4070*$B$13,2)</f>
        <v>8.24</v>
      </c>
    </row>
    <row r="4074" spans="1:8">
      <c r="A4074" s="582"/>
      <c r="B4074" s="582"/>
      <c r="C4074" s="212"/>
      <c r="D4074" s="718" t="s">
        <v>9661</v>
      </c>
      <c r="E4074" s="718"/>
      <c r="F4074" s="718"/>
      <c r="G4074" s="718"/>
      <c r="H4074" s="213">
        <f>H4073+H4070</f>
        <v>38.840000000000003</v>
      </c>
    </row>
    <row r="4076" spans="1:8" s="201" customFormat="1">
      <c r="A4076" s="123" t="s">
        <v>6</v>
      </c>
      <c r="B4076" s="720" t="s">
        <v>7</v>
      </c>
      <c r="C4076" s="720"/>
      <c r="D4076" s="202" t="s">
        <v>124</v>
      </c>
      <c r="E4076" s="167" t="s">
        <v>6334</v>
      </c>
      <c r="F4076" s="202" t="s">
        <v>31</v>
      </c>
      <c r="G4076" s="203" t="s">
        <v>125</v>
      </c>
      <c r="H4076" s="204" t="s">
        <v>126</v>
      </c>
    </row>
    <row r="4077" spans="1:8" s="208" customFormat="1" ht="30">
      <c r="A4077" s="581" t="str">
        <f>'Orç - Prédio'!A627</f>
        <v>06.09.011.07</v>
      </c>
      <c r="B4077" s="581" t="str">
        <f>'Orç - Prédio'!B627</f>
        <v>ORSE</v>
      </c>
      <c r="C4077" s="581">
        <f>'Orç - Prédio'!C627</f>
        <v>7384</v>
      </c>
      <c r="D4077" s="205" t="s">
        <v>8544</v>
      </c>
      <c r="E4077" s="206">
        <v>252</v>
      </c>
      <c r="F4077" s="581" t="s">
        <v>6774</v>
      </c>
      <c r="G4077" s="207">
        <f>VLOOKUP("CUSTO TOTAL UNIT.:",D4078:$H$30004,5,FALSE)</f>
        <v>12.93</v>
      </c>
      <c r="H4077" s="637">
        <f>VLOOKUP("CUSTO TOTAL:",D4078:$H$30004,5,FALSE)</f>
        <v>3258.36</v>
      </c>
    </row>
    <row r="4078" spans="1:8" s="124" customFormat="1" ht="30">
      <c r="A4078" s="721">
        <v>2422</v>
      </c>
      <c r="B4078" s="721"/>
      <c r="C4078" s="184" t="s">
        <v>6333</v>
      </c>
      <c r="D4078" s="185" t="s">
        <v>8546</v>
      </c>
      <c r="E4078" s="209">
        <v>1</v>
      </c>
      <c r="F4078" s="577" t="s">
        <v>31</v>
      </c>
      <c r="G4078" s="174">
        <v>4.7142000000000008</v>
      </c>
      <c r="H4078" s="211">
        <f>ROUND(G4078*E4078,2)</f>
        <v>4.71</v>
      </c>
    </row>
    <row r="4079" spans="1:8" s="124" customFormat="1" ht="30">
      <c r="A4079" s="721">
        <v>88264</v>
      </c>
      <c r="B4079" s="721"/>
      <c r="C4079" s="200" t="s">
        <v>5256</v>
      </c>
      <c r="D4079" s="139" t="s">
        <v>84</v>
      </c>
      <c r="E4079" s="209">
        <v>0.3</v>
      </c>
      <c r="F4079" s="577" t="s">
        <v>67</v>
      </c>
      <c r="G4079" s="210">
        <v>15.778800000000002</v>
      </c>
      <c r="H4079" s="211">
        <f>ROUND(G4079*E4079,2)</f>
        <v>4.7300000000000004</v>
      </c>
    </row>
    <row r="4080" spans="1:8" s="124" customFormat="1" ht="30">
      <c r="A4080" s="721">
        <v>88316</v>
      </c>
      <c r="B4080" s="721"/>
      <c r="C4080" s="200" t="s">
        <v>5256</v>
      </c>
      <c r="D4080" s="139" t="s">
        <v>66</v>
      </c>
      <c r="E4080" s="209">
        <v>0.3</v>
      </c>
      <c r="F4080" s="577" t="s">
        <v>67</v>
      </c>
      <c r="G4080" s="210">
        <v>11.631600000000001</v>
      </c>
      <c r="H4080" s="211">
        <f>ROUND(G4080*E4080,2)</f>
        <v>3.49</v>
      </c>
    </row>
    <row r="4081" spans="1:8" s="201" customFormat="1">
      <c r="A4081" s="582"/>
      <c r="B4081" s="582"/>
      <c r="C4081" s="212"/>
      <c r="D4081" s="719" t="s">
        <v>127</v>
      </c>
      <c r="E4081" s="719"/>
      <c r="F4081" s="719"/>
      <c r="G4081" s="719"/>
      <c r="H4081" s="638">
        <f>SUMIF(F4078:F4080,("h"),H4078:H4080)</f>
        <v>8.2200000000000006</v>
      </c>
    </row>
    <row r="4082" spans="1:8" s="201" customFormat="1">
      <c r="A4082" s="582"/>
      <c r="B4082" s="582"/>
      <c r="C4082" s="212"/>
      <c r="D4082" s="719" t="s">
        <v>128</v>
      </c>
      <c r="E4082" s="719"/>
      <c r="F4082" s="719"/>
      <c r="G4082" s="719"/>
      <c r="H4082" s="638">
        <f>SUMIF(F4078:F4080,"&lt;&gt;h",H4078:H4080)</f>
        <v>4.71</v>
      </c>
    </row>
    <row r="4083" spans="1:8" s="201" customFormat="1">
      <c r="A4083" s="582"/>
      <c r="B4083" s="582"/>
      <c r="C4083" s="212"/>
      <c r="D4083" s="718" t="s">
        <v>129</v>
      </c>
      <c r="E4083" s="718"/>
      <c r="F4083" s="718"/>
      <c r="G4083" s="718"/>
      <c r="H4083" s="213">
        <f>SUM(H4081:H4082)</f>
        <v>12.93</v>
      </c>
    </row>
    <row r="4084" spans="1:8" s="201" customFormat="1">
      <c r="A4084" s="582"/>
      <c r="B4084" s="582"/>
      <c r="C4084" s="212"/>
      <c r="D4084" s="719" t="s">
        <v>28</v>
      </c>
      <c r="E4084" s="719"/>
      <c r="F4084" s="719"/>
      <c r="G4084" s="719"/>
      <c r="H4084" s="639">
        <f>E4077</f>
        <v>252</v>
      </c>
    </row>
    <row r="4085" spans="1:8" s="201" customFormat="1">
      <c r="A4085" s="582"/>
      <c r="B4085" s="582"/>
      <c r="C4085" s="212"/>
      <c r="D4085" s="718" t="s">
        <v>130</v>
      </c>
      <c r="E4085" s="718"/>
      <c r="F4085" s="718"/>
      <c r="G4085" s="718"/>
      <c r="H4085" s="213">
        <f>ROUND(H4083*H4084,2)</f>
        <v>3258.36</v>
      </c>
    </row>
    <row r="4086" spans="1:8" s="201" customFormat="1">
      <c r="A4086" s="582"/>
      <c r="B4086" s="582"/>
      <c r="C4086" s="212"/>
      <c r="D4086" s="719" t="s">
        <v>15559</v>
      </c>
      <c r="E4086" s="719"/>
      <c r="F4086" s="719"/>
      <c r="G4086" s="719"/>
      <c r="H4086" s="638">
        <f>ROUND(H4083*$B$13,2)</f>
        <v>3.48</v>
      </c>
    </row>
    <row r="4087" spans="1:8">
      <c r="A4087" s="582"/>
      <c r="B4087" s="582"/>
      <c r="C4087" s="212"/>
      <c r="D4087" s="718" t="s">
        <v>9661</v>
      </c>
      <c r="E4087" s="718"/>
      <c r="F4087" s="718"/>
      <c r="G4087" s="718"/>
      <c r="H4087" s="213">
        <f>H4086+H4083</f>
        <v>16.41</v>
      </c>
    </row>
    <row r="4089" spans="1:8" s="201" customFormat="1">
      <c r="A4089" s="123" t="s">
        <v>6</v>
      </c>
      <c r="B4089" s="720" t="s">
        <v>7</v>
      </c>
      <c r="C4089" s="720"/>
      <c r="D4089" s="202" t="s">
        <v>124</v>
      </c>
      <c r="E4089" s="167" t="s">
        <v>6334</v>
      </c>
      <c r="F4089" s="202" t="s">
        <v>31</v>
      </c>
      <c r="G4089" s="203" t="s">
        <v>125</v>
      </c>
      <c r="H4089" s="204" t="s">
        <v>126</v>
      </c>
    </row>
    <row r="4090" spans="1:8" s="208" customFormat="1" ht="30">
      <c r="A4090" s="581" t="str">
        <f>'Orç - Prédio'!A628</f>
        <v>06.09.011.08</v>
      </c>
      <c r="B4090" s="581" t="str">
        <f>'Orç - Prédio'!B628</f>
        <v>ORSE</v>
      </c>
      <c r="C4090" s="581">
        <f>'Orç - Prédio'!C628</f>
        <v>723</v>
      </c>
      <c r="D4090" s="205" t="s">
        <v>8545</v>
      </c>
      <c r="E4090" s="206">
        <v>50</v>
      </c>
      <c r="F4090" s="581" t="s">
        <v>6337</v>
      </c>
      <c r="G4090" s="207">
        <f>VLOOKUP("CUSTO TOTAL UNIT.:",D4091:$H$30004,5,FALSE)</f>
        <v>3.19</v>
      </c>
      <c r="H4090" s="637">
        <f>VLOOKUP("CUSTO TOTAL:",D4091:$H$30004,5,FALSE)</f>
        <v>159.5</v>
      </c>
    </row>
    <row r="4091" spans="1:8" s="124" customFormat="1">
      <c r="A4091" s="721">
        <v>2003</v>
      </c>
      <c r="B4091" s="721"/>
      <c r="C4091" s="184" t="s">
        <v>6333</v>
      </c>
      <c r="D4091" s="185" t="s">
        <v>8547</v>
      </c>
      <c r="E4091" s="209">
        <v>1</v>
      </c>
      <c r="F4091" s="577" t="s">
        <v>31</v>
      </c>
      <c r="G4091" s="174">
        <v>1.5389999999999999</v>
      </c>
      <c r="H4091" s="211">
        <f>ROUND(G4091*E4091,2)</f>
        <v>1.54</v>
      </c>
    </row>
    <row r="4092" spans="1:8" s="124" customFormat="1" ht="30">
      <c r="A4092" s="721">
        <v>88264</v>
      </c>
      <c r="B4092" s="721"/>
      <c r="C4092" s="200" t="s">
        <v>5256</v>
      </c>
      <c r="D4092" s="139" t="s">
        <v>84</v>
      </c>
      <c r="E4092" s="209">
        <v>0.06</v>
      </c>
      <c r="F4092" s="577" t="s">
        <v>67</v>
      </c>
      <c r="G4092" s="210">
        <v>15.778800000000002</v>
      </c>
      <c r="H4092" s="211">
        <f>ROUND(G4092*E4092,2)</f>
        <v>0.95</v>
      </c>
    </row>
    <row r="4093" spans="1:8" s="124" customFormat="1" ht="30">
      <c r="A4093" s="721">
        <v>88316</v>
      </c>
      <c r="B4093" s="721"/>
      <c r="C4093" s="200" t="s">
        <v>5256</v>
      </c>
      <c r="D4093" s="139" t="s">
        <v>66</v>
      </c>
      <c r="E4093" s="209">
        <v>0.06</v>
      </c>
      <c r="F4093" s="577" t="s">
        <v>67</v>
      </c>
      <c r="G4093" s="210">
        <v>11.631600000000001</v>
      </c>
      <c r="H4093" s="211">
        <f>ROUND(G4093*E4093,2)</f>
        <v>0.7</v>
      </c>
    </row>
    <row r="4094" spans="1:8" s="201" customFormat="1">
      <c r="A4094" s="582"/>
      <c r="B4094" s="582"/>
      <c r="C4094" s="212"/>
      <c r="D4094" s="719" t="s">
        <v>127</v>
      </c>
      <c r="E4094" s="719"/>
      <c r="F4094" s="719"/>
      <c r="G4094" s="719"/>
      <c r="H4094" s="638">
        <f>SUMIF(F4091:F4093,("h"),H4091:H4093)</f>
        <v>1.65</v>
      </c>
    </row>
    <row r="4095" spans="1:8" s="201" customFormat="1">
      <c r="A4095" s="582"/>
      <c r="B4095" s="582"/>
      <c r="C4095" s="212"/>
      <c r="D4095" s="719" t="s">
        <v>128</v>
      </c>
      <c r="E4095" s="719"/>
      <c r="F4095" s="719"/>
      <c r="G4095" s="719"/>
      <c r="H4095" s="638">
        <f>SUMIF(F4091:F4093,"&lt;&gt;h",H4091:H4093)</f>
        <v>1.54</v>
      </c>
    </row>
    <row r="4096" spans="1:8" s="201" customFormat="1">
      <c r="A4096" s="582"/>
      <c r="B4096" s="582"/>
      <c r="C4096" s="212"/>
      <c r="D4096" s="718" t="s">
        <v>129</v>
      </c>
      <c r="E4096" s="718"/>
      <c r="F4096" s="718"/>
      <c r="G4096" s="718"/>
      <c r="H4096" s="213">
        <f>SUM(H4094:H4095)</f>
        <v>3.19</v>
      </c>
    </row>
    <row r="4097" spans="1:8" s="201" customFormat="1">
      <c r="A4097" s="582"/>
      <c r="B4097" s="582"/>
      <c r="C4097" s="212"/>
      <c r="D4097" s="719" t="s">
        <v>28</v>
      </c>
      <c r="E4097" s="719"/>
      <c r="F4097" s="719"/>
      <c r="G4097" s="719"/>
      <c r="H4097" s="639">
        <f>E4090</f>
        <v>50</v>
      </c>
    </row>
    <row r="4098" spans="1:8" s="201" customFormat="1">
      <c r="A4098" s="582"/>
      <c r="B4098" s="582"/>
      <c r="C4098" s="212"/>
      <c r="D4098" s="718" t="s">
        <v>130</v>
      </c>
      <c r="E4098" s="718"/>
      <c r="F4098" s="718"/>
      <c r="G4098" s="718"/>
      <c r="H4098" s="213">
        <f>ROUND(H4096*H4097,2)</f>
        <v>159.5</v>
      </c>
    </row>
    <row r="4099" spans="1:8" s="201" customFormat="1">
      <c r="A4099" s="582"/>
      <c r="B4099" s="582"/>
      <c r="C4099" s="212"/>
      <c r="D4099" s="719" t="s">
        <v>15559</v>
      </c>
      <c r="E4099" s="719"/>
      <c r="F4099" s="719"/>
      <c r="G4099" s="719"/>
      <c r="H4099" s="638">
        <f>ROUND(H4096*$B$13,2)</f>
        <v>0.86</v>
      </c>
    </row>
    <row r="4100" spans="1:8">
      <c r="A4100" s="582"/>
      <c r="B4100" s="582"/>
      <c r="C4100" s="212"/>
      <c r="D4100" s="718" t="s">
        <v>9661</v>
      </c>
      <c r="E4100" s="718"/>
      <c r="F4100" s="718"/>
      <c r="G4100" s="718"/>
      <c r="H4100" s="213">
        <f>H4099+H4096</f>
        <v>4.05</v>
      </c>
    </row>
    <row r="4102" spans="1:8" s="201" customFormat="1">
      <c r="A4102" s="123" t="s">
        <v>6</v>
      </c>
      <c r="B4102" s="720" t="s">
        <v>7</v>
      </c>
      <c r="C4102" s="720"/>
      <c r="D4102" s="202" t="s">
        <v>124</v>
      </c>
      <c r="E4102" s="167" t="s">
        <v>6334</v>
      </c>
      <c r="F4102" s="202" t="s">
        <v>31</v>
      </c>
      <c r="G4102" s="203" t="s">
        <v>125</v>
      </c>
      <c r="H4102" s="204" t="s">
        <v>126</v>
      </c>
    </row>
    <row r="4103" spans="1:8" s="208" customFormat="1" ht="30">
      <c r="A4103" s="216" t="str">
        <f>'Orç - Prédio'!A629</f>
        <v>06.09.012.01</v>
      </c>
      <c r="B4103" s="216" t="str">
        <f>'Orç - Prédio'!B629</f>
        <v>CPOS</v>
      </c>
      <c r="C4103" s="216" t="str">
        <f>'Orç - Prédio'!C629</f>
        <v>38.16.030</v>
      </c>
      <c r="D4103" s="217" t="s">
        <v>8594</v>
      </c>
      <c r="E4103" s="206">
        <v>35</v>
      </c>
      <c r="F4103" s="216" t="s">
        <v>6774</v>
      </c>
      <c r="G4103" s="318">
        <f>VLOOKUP("CUSTO TOTAL UNIT.:",D4104:$H$30004,5,FALSE)</f>
        <v>39.620000000000005</v>
      </c>
      <c r="H4103" s="637">
        <f>VLOOKUP("CUSTO TOTAL:",D4104:$H$30004,5,FALSE)</f>
        <v>1386.7</v>
      </c>
    </row>
    <row r="4104" spans="1:8" s="124" customFormat="1" ht="30">
      <c r="A4104" s="721" t="s">
        <v>8597</v>
      </c>
      <c r="B4104" s="721"/>
      <c r="C4104" s="200" t="s">
        <v>6753</v>
      </c>
      <c r="D4104" s="139" t="s">
        <v>8596</v>
      </c>
      <c r="E4104" s="209">
        <v>1.02</v>
      </c>
      <c r="F4104" s="577" t="s">
        <v>139</v>
      </c>
      <c r="G4104" s="174">
        <v>30.5532</v>
      </c>
      <c r="H4104" s="211">
        <f>ROUND(G4104*E4104,2)</f>
        <v>31.16</v>
      </c>
    </row>
    <row r="4105" spans="1:8" s="124" customFormat="1" ht="30">
      <c r="A4105" s="721">
        <v>88264</v>
      </c>
      <c r="B4105" s="721"/>
      <c r="C4105" s="200" t="s">
        <v>5256</v>
      </c>
      <c r="D4105" s="139" t="s">
        <v>84</v>
      </c>
      <c r="E4105" s="209">
        <v>0.3</v>
      </c>
      <c r="F4105" s="577" t="s">
        <v>67</v>
      </c>
      <c r="G4105" s="210">
        <v>15.778800000000002</v>
      </c>
      <c r="H4105" s="211">
        <f>ROUND(G4105*E4105,2)</f>
        <v>4.7300000000000004</v>
      </c>
    </row>
    <row r="4106" spans="1:8" s="124" customFormat="1" ht="30">
      <c r="A4106" s="721">
        <v>88247</v>
      </c>
      <c r="B4106" s="721"/>
      <c r="C4106" s="200" t="s">
        <v>5256</v>
      </c>
      <c r="D4106" s="139" t="s">
        <v>74</v>
      </c>
      <c r="E4106" s="209">
        <v>0.3</v>
      </c>
      <c r="F4106" s="577" t="s">
        <v>67</v>
      </c>
      <c r="G4106" s="210">
        <v>12.425400000000002</v>
      </c>
      <c r="H4106" s="211">
        <f>ROUND(G4106*E4106,2)</f>
        <v>3.73</v>
      </c>
    </row>
    <row r="4107" spans="1:8" s="201" customFormat="1">
      <c r="A4107" s="582"/>
      <c r="B4107" s="582"/>
      <c r="C4107" s="212"/>
      <c r="D4107" s="719" t="s">
        <v>127</v>
      </c>
      <c r="E4107" s="719"/>
      <c r="F4107" s="719"/>
      <c r="G4107" s="719"/>
      <c r="H4107" s="638">
        <f>SUMIF(F4104:F4106,("h"),H4104:H4106)</f>
        <v>8.4600000000000009</v>
      </c>
    </row>
    <row r="4108" spans="1:8" s="201" customFormat="1">
      <c r="A4108" s="582"/>
      <c r="B4108" s="582"/>
      <c r="C4108" s="212"/>
      <c r="D4108" s="719" t="s">
        <v>128</v>
      </c>
      <c r="E4108" s="719"/>
      <c r="F4108" s="719"/>
      <c r="G4108" s="719"/>
      <c r="H4108" s="638">
        <f>SUMIF(F4104:F4106,"&lt;&gt;h",H4104:H4106)</f>
        <v>31.16</v>
      </c>
    </row>
    <row r="4109" spans="1:8" s="201" customFormat="1">
      <c r="A4109" s="582"/>
      <c r="B4109" s="582"/>
      <c r="C4109" s="212"/>
      <c r="D4109" s="718" t="s">
        <v>129</v>
      </c>
      <c r="E4109" s="718"/>
      <c r="F4109" s="718"/>
      <c r="G4109" s="718"/>
      <c r="H4109" s="213">
        <f>SUM(H4107:H4108)</f>
        <v>39.620000000000005</v>
      </c>
    </row>
    <row r="4110" spans="1:8" s="201" customFormat="1">
      <c r="A4110" s="582"/>
      <c r="B4110" s="582"/>
      <c r="C4110" s="212"/>
      <c r="D4110" s="719" t="s">
        <v>28</v>
      </c>
      <c r="E4110" s="719"/>
      <c r="F4110" s="719"/>
      <c r="G4110" s="719"/>
      <c r="H4110" s="639">
        <f>E4103</f>
        <v>35</v>
      </c>
    </row>
    <row r="4111" spans="1:8" s="201" customFormat="1">
      <c r="A4111" s="582"/>
      <c r="B4111" s="582"/>
      <c r="C4111" s="212"/>
      <c r="D4111" s="718" t="s">
        <v>130</v>
      </c>
      <c r="E4111" s="718"/>
      <c r="F4111" s="718"/>
      <c r="G4111" s="718"/>
      <c r="H4111" s="213">
        <f>ROUND(H4109*H4110,2)</f>
        <v>1386.7</v>
      </c>
    </row>
    <row r="4112" spans="1:8" s="201" customFormat="1">
      <c r="A4112" s="582"/>
      <c r="B4112" s="582"/>
      <c r="C4112" s="212"/>
      <c r="D4112" s="719" t="s">
        <v>15559</v>
      </c>
      <c r="E4112" s="719"/>
      <c r="F4112" s="719"/>
      <c r="G4112" s="719"/>
      <c r="H4112" s="638">
        <f>ROUND(H4109*$B$13,2)</f>
        <v>10.67</v>
      </c>
    </row>
    <row r="4113" spans="1:8">
      <c r="A4113" s="582"/>
      <c r="B4113" s="582"/>
      <c r="C4113" s="212"/>
      <c r="D4113" s="718" t="s">
        <v>9661</v>
      </c>
      <c r="E4113" s="718"/>
      <c r="F4113" s="718"/>
      <c r="G4113" s="718"/>
      <c r="H4113" s="213">
        <f>H4112+H4109</f>
        <v>50.290000000000006</v>
      </c>
    </row>
    <row r="4115" spans="1:8" s="201" customFormat="1">
      <c r="A4115" s="123" t="s">
        <v>6</v>
      </c>
      <c r="B4115" s="720" t="s">
        <v>7</v>
      </c>
      <c r="C4115" s="720"/>
      <c r="D4115" s="202" t="s">
        <v>124</v>
      </c>
      <c r="E4115" s="167" t="s">
        <v>6334</v>
      </c>
      <c r="F4115" s="202" t="s">
        <v>31</v>
      </c>
      <c r="G4115" s="203" t="s">
        <v>125</v>
      </c>
      <c r="H4115" s="204" t="s">
        <v>126</v>
      </c>
    </row>
    <row r="4116" spans="1:8" s="208" customFormat="1" ht="30">
      <c r="A4116" s="216" t="str">
        <f>'Orç - Prédio'!A630</f>
        <v>06.09.012.02</v>
      </c>
      <c r="B4116" s="216" t="str">
        <f>'Orç - Prédio'!B630</f>
        <v>CPOS</v>
      </c>
      <c r="C4116" s="216" t="str">
        <f>'Orç - Prédio'!C630</f>
        <v>38.16.090</v>
      </c>
      <c r="D4116" s="217" t="s">
        <v>8600</v>
      </c>
      <c r="E4116" s="206">
        <v>13</v>
      </c>
      <c r="F4116" s="216" t="s">
        <v>6337</v>
      </c>
      <c r="G4116" s="318">
        <f>VLOOKUP("CUSTO TOTAL UNIT.:",D4117:$H$30004,5,FALSE)</f>
        <v>13.51</v>
      </c>
      <c r="H4116" s="637">
        <f>VLOOKUP("CUSTO TOTAL:",D4117:$H$30004,5,FALSE)</f>
        <v>175.63</v>
      </c>
    </row>
    <row r="4117" spans="1:8" s="124" customFormat="1" ht="45">
      <c r="A4117" s="721" t="s">
        <v>8602</v>
      </c>
      <c r="B4117" s="721"/>
      <c r="C4117" s="200" t="s">
        <v>6753</v>
      </c>
      <c r="D4117" s="139" t="s">
        <v>8603</v>
      </c>
      <c r="E4117" s="209">
        <v>1</v>
      </c>
      <c r="F4117" s="577" t="s">
        <v>31</v>
      </c>
      <c r="G4117" s="174">
        <v>8.0271000000000008</v>
      </c>
      <c r="H4117" s="211">
        <f>ROUND(G4117*E4117,2)</f>
        <v>8.0299999999999994</v>
      </c>
    </row>
    <row r="4118" spans="1:8" s="124" customFormat="1" ht="30">
      <c r="A4118" s="721">
        <v>88264</v>
      </c>
      <c r="B4118" s="721"/>
      <c r="C4118" s="200" t="s">
        <v>5256</v>
      </c>
      <c r="D4118" s="139" t="s">
        <v>84</v>
      </c>
      <c r="E4118" s="209">
        <v>0.15</v>
      </c>
      <c r="F4118" s="577" t="s">
        <v>67</v>
      </c>
      <c r="G4118" s="210">
        <v>15.778800000000002</v>
      </c>
      <c r="H4118" s="211">
        <f>ROUND(G4118*E4118,2)</f>
        <v>2.37</v>
      </c>
    </row>
    <row r="4119" spans="1:8" s="124" customFormat="1" ht="30">
      <c r="A4119" s="721">
        <v>88247</v>
      </c>
      <c r="B4119" s="721"/>
      <c r="C4119" s="200" t="s">
        <v>5256</v>
      </c>
      <c r="D4119" s="139" t="s">
        <v>74</v>
      </c>
      <c r="E4119" s="209">
        <v>0.25</v>
      </c>
      <c r="F4119" s="577" t="s">
        <v>67</v>
      </c>
      <c r="G4119" s="210">
        <v>12.425400000000002</v>
      </c>
      <c r="H4119" s="211">
        <f>ROUND(G4119*E4119,2)</f>
        <v>3.11</v>
      </c>
    </row>
    <row r="4120" spans="1:8" s="201" customFormat="1">
      <c r="A4120" s="582"/>
      <c r="B4120" s="582"/>
      <c r="C4120" s="212"/>
      <c r="D4120" s="719" t="s">
        <v>127</v>
      </c>
      <c r="E4120" s="719"/>
      <c r="F4120" s="719"/>
      <c r="G4120" s="719"/>
      <c r="H4120" s="638">
        <f>SUMIF(F4117:F4119,("h"),H4117:H4119)</f>
        <v>5.48</v>
      </c>
    </row>
    <row r="4121" spans="1:8" s="201" customFormat="1">
      <c r="A4121" s="582"/>
      <c r="B4121" s="582"/>
      <c r="C4121" s="212"/>
      <c r="D4121" s="719" t="s">
        <v>128</v>
      </c>
      <c r="E4121" s="719"/>
      <c r="F4121" s="719"/>
      <c r="G4121" s="719"/>
      <c r="H4121" s="638">
        <f>SUMIF(F4117:F4119,"&lt;&gt;h",H4117:H4119)</f>
        <v>8.0299999999999994</v>
      </c>
    </row>
    <row r="4122" spans="1:8" s="201" customFormat="1">
      <c r="A4122" s="582"/>
      <c r="B4122" s="582"/>
      <c r="C4122" s="212"/>
      <c r="D4122" s="718" t="s">
        <v>129</v>
      </c>
      <c r="E4122" s="718"/>
      <c r="F4122" s="718"/>
      <c r="G4122" s="718"/>
      <c r="H4122" s="213">
        <f>SUM(H4120:H4121)</f>
        <v>13.51</v>
      </c>
    </row>
    <row r="4123" spans="1:8" s="201" customFormat="1">
      <c r="A4123" s="582"/>
      <c r="B4123" s="582"/>
      <c r="C4123" s="212"/>
      <c r="D4123" s="719" t="s">
        <v>28</v>
      </c>
      <c r="E4123" s="719"/>
      <c r="F4123" s="719"/>
      <c r="G4123" s="719"/>
      <c r="H4123" s="639">
        <f>E4116</f>
        <v>13</v>
      </c>
    </row>
    <row r="4124" spans="1:8" s="201" customFormat="1">
      <c r="A4124" s="582"/>
      <c r="B4124" s="582"/>
      <c r="C4124" s="212"/>
      <c r="D4124" s="718" t="s">
        <v>130</v>
      </c>
      <c r="E4124" s="718"/>
      <c r="F4124" s="718"/>
      <c r="G4124" s="718"/>
      <c r="H4124" s="213">
        <f>ROUND(H4122*H4123,2)</f>
        <v>175.63</v>
      </c>
    </row>
    <row r="4125" spans="1:8" s="201" customFormat="1">
      <c r="A4125" s="582"/>
      <c r="B4125" s="582"/>
      <c r="C4125" s="212"/>
      <c r="D4125" s="719" t="s">
        <v>15559</v>
      </c>
      <c r="E4125" s="719"/>
      <c r="F4125" s="719"/>
      <c r="G4125" s="719"/>
      <c r="H4125" s="638">
        <f>ROUND(H4122*$B$13,2)</f>
        <v>3.64</v>
      </c>
    </row>
    <row r="4126" spans="1:8">
      <c r="A4126" s="582"/>
      <c r="B4126" s="582"/>
      <c r="C4126" s="212"/>
      <c r="D4126" s="718" t="s">
        <v>9661</v>
      </c>
      <c r="E4126" s="718"/>
      <c r="F4126" s="718"/>
      <c r="G4126" s="718"/>
      <c r="H4126" s="213">
        <f>H4125+H4122</f>
        <v>17.149999999999999</v>
      </c>
    </row>
    <row r="4128" spans="1:8" s="201" customFormat="1">
      <c r="A4128" s="123" t="s">
        <v>6</v>
      </c>
      <c r="B4128" s="720" t="s">
        <v>7</v>
      </c>
      <c r="C4128" s="720"/>
      <c r="D4128" s="202" t="s">
        <v>124</v>
      </c>
      <c r="E4128" s="167" t="s">
        <v>6334</v>
      </c>
      <c r="F4128" s="202" t="s">
        <v>31</v>
      </c>
      <c r="G4128" s="203" t="s">
        <v>125</v>
      </c>
      <c r="H4128" s="204" t="s">
        <v>126</v>
      </c>
    </row>
    <row r="4129" spans="1:8" s="208" customFormat="1">
      <c r="A4129" s="581" t="str">
        <f>'Orç - Prédio'!A631</f>
        <v>06.09.013</v>
      </c>
      <c r="B4129" s="216" t="str">
        <f>'Orç - Prédio'!B631</f>
        <v>ORSE</v>
      </c>
      <c r="C4129" s="216">
        <f>'Orç - Prédio'!C631</f>
        <v>10332</v>
      </c>
      <c r="D4129" s="217" t="s">
        <v>7414</v>
      </c>
      <c r="E4129" s="206">
        <v>149</v>
      </c>
      <c r="F4129" s="216" t="s">
        <v>6337</v>
      </c>
      <c r="G4129" s="207">
        <f>VLOOKUP("CUSTO TOTAL UNIT.:",D4130:$H$30004,5,FALSE)</f>
        <v>19.18</v>
      </c>
      <c r="H4129" s="637">
        <f>VLOOKUP("CUSTO TOTAL:",D4130:$H$30004,5,FALSE)</f>
        <v>2857.82</v>
      </c>
    </row>
    <row r="4130" spans="1:8" s="124" customFormat="1">
      <c r="A4130" s="722">
        <v>10332</v>
      </c>
      <c r="B4130" s="722"/>
      <c r="C4130" s="184" t="s">
        <v>6333</v>
      </c>
      <c r="D4130" s="185" t="s">
        <v>7416</v>
      </c>
      <c r="E4130" s="209">
        <v>1</v>
      </c>
      <c r="F4130" s="577" t="s">
        <v>31</v>
      </c>
      <c r="G4130" s="174">
        <v>19.180800000000001</v>
      </c>
      <c r="H4130" s="211">
        <f>ROUND(G4130*E4130,2)</f>
        <v>19.18</v>
      </c>
    </row>
    <row r="4131" spans="1:8" s="201" customFormat="1">
      <c r="A4131" s="582"/>
      <c r="B4131" s="582"/>
      <c r="C4131" s="212"/>
      <c r="D4131" s="719" t="s">
        <v>127</v>
      </c>
      <c r="E4131" s="719"/>
      <c r="F4131" s="719"/>
      <c r="G4131" s="719"/>
      <c r="H4131" s="638">
        <f>SUMIF(F4130:F4130,("h"),H4130:H4130)</f>
        <v>0</v>
      </c>
    </row>
    <row r="4132" spans="1:8" s="201" customFormat="1">
      <c r="A4132" s="582"/>
      <c r="B4132" s="582"/>
      <c r="C4132" s="212"/>
      <c r="D4132" s="719" t="s">
        <v>128</v>
      </c>
      <c r="E4132" s="719"/>
      <c r="F4132" s="719"/>
      <c r="G4132" s="719"/>
      <c r="H4132" s="638">
        <f>SUMIF(F4130:F4130,"&lt;&gt;h",H4130:H4130)</f>
        <v>19.18</v>
      </c>
    </row>
    <row r="4133" spans="1:8" s="201" customFormat="1">
      <c r="A4133" s="582"/>
      <c r="B4133" s="582"/>
      <c r="C4133" s="212"/>
      <c r="D4133" s="718" t="s">
        <v>129</v>
      </c>
      <c r="E4133" s="718"/>
      <c r="F4133" s="718"/>
      <c r="G4133" s="718"/>
      <c r="H4133" s="213">
        <f>SUM(H4131:H4132)</f>
        <v>19.18</v>
      </c>
    </row>
    <row r="4134" spans="1:8" s="201" customFormat="1">
      <c r="A4134" s="582"/>
      <c r="B4134" s="582"/>
      <c r="C4134" s="212"/>
      <c r="D4134" s="719" t="s">
        <v>28</v>
      </c>
      <c r="E4134" s="719"/>
      <c r="F4134" s="719"/>
      <c r="G4134" s="719"/>
      <c r="H4134" s="639">
        <f>E4129</f>
        <v>149</v>
      </c>
    </row>
    <row r="4135" spans="1:8" s="201" customFormat="1">
      <c r="A4135" s="582"/>
      <c r="B4135" s="582"/>
      <c r="C4135" s="212"/>
      <c r="D4135" s="718" t="s">
        <v>130</v>
      </c>
      <c r="E4135" s="718"/>
      <c r="F4135" s="718"/>
      <c r="G4135" s="718"/>
      <c r="H4135" s="213">
        <f>ROUND(H4133*H4134,2)</f>
        <v>2857.82</v>
      </c>
    </row>
    <row r="4136" spans="1:8" s="201" customFormat="1">
      <c r="A4136" s="582"/>
      <c r="B4136" s="582"/>
      <c r="C4136" s="212"/>
      <c r="D4136" s="719" t="s">
        <v>15559</v>
      </c>
      <c r="E4136" s="719"/>
      <c r="F4136" s="719"/>
      <c r="G4136" s="719"/>
      <c r="H4136" s="638">
        <f>ROUND(H4133*$B$13,2)</f>
        <v>5.17</v>
      </c>
    </row>
    <row r="4137" spans="1:8">
      <c r="A4137" s="582"/>
      <c r="B4137" s="582"/>
      <c r="C4137" s="212"/>
      <c r="D4137" s="718" t="s">
        <v>9661</v>
      </c>
      <c r="E4137" s="718"/>
      <c r="F4137" s="718"/>
      <c r="G4137" s="718"/>
      <c r="H4137" s="213">
        <f>H4136+H4133</f>
        <v>24.35</v>
      </c>
    </row>
    <row r="4139" spans="1:8" s="201" customFormat="1">
      <c r="A4139" s="123" t="s">
        <v>6</v>
      </c>
      <c r="B4139" s="720" t="s">
        <v>7</v>
      </c>
      <c r="C4139" s="720"/>
      <c r="D4139" s="202" t="s">
        <v>124</v>
      </c>
      <c r="E4139" s="167" t="s">
        <v>6334</v>
      </c>
      <c r="F4139" s="202" t="s">
        <v>31</v>
      </c>
      <c r="G4139" s="203" t="s">
        <v>125</v>
      </c>
      <c r="H4139" s="204" t="s">
        <v>126</v>
      </c>
    </row>
    <row r="4140" spans="1:8" s="208" customFormat="1" ht="30">
      <c r="A4140" s="581" t="str">
        <f>'Orç - Prédio'!A632</f>
        <v>06.09.014</v>
      </c>
      <c r="B4140" s="581" t="str">
        <f>'Orç - Prédio'!B632</f>
        <v>Comp. Montada</v>
      </c>
      <c r="C4140" s="581">
        <f>'Orç - Prédio'!C632</f>
        <v>14</v>
      </c>
      <c r="D4140" s="205" t="s">
        <v>8605</v>
      </c>
      <c r="E4140" s="206">
        <v>4</v>
      </c>
      <c r="F4140" s="581" t="s">
        <v>9002</v>
      </c>
      <c r="G4140" s="207">
        <f>VLOOKUP("CUSTO TOTAL UNIT.:",D4141:$H$30004,5,FALSE)</f>
        <v>66.12</v>
      </c>
      <c r="H4140" s="637">
        <f>VLOOKUP("CUSTO TOTAL:",D4141:$H$30004,5,FALSE)</f>
        <v>264.48</v>
      </c>
    </row>
    <row r="4141" spans="1:8" s="124" customFormat="1" ht="30" customHeight="1">
      <c r="A4141" s="722" t="s">
        <v>7394</v>
      </c>
      <c r="B4141" s="722"/>
      <c r="C4141" s="184" t="s">
        <v>8096</v>
      </c>
      <c r="D4141" s="185" t="s">
        <v>9006</v>
      </c>
      <c r="E4141" s="209">
        <v>1</v>
      </c>
      <c r="F4141" s="578" t="s">
        <v>9007</v>
      </c>
      <c r="G4141" s="174">
        <v>66.116250000000008</v>
      </c>
      <c r="H4141" s="211">
        <f>ROUND(G4141*E4141,2)</f>
        <v>66.12</v>
      </c>
    </row>
    <row r="4142" spans="1:8" s="201" customFormat="1">
      <c r="A4142" s="582"/>
      <c r="B4142" s="582"/>
      <c r="C4142" s="212"/>
      <c r="D4142" s="719" t="s">
        <v>127</v>
      </c>
      <c r="E4142" s="719"/>
      <c r="F4142" s="719"/>
      <c r="G4142" s="719"/>
      <c r="H4142" s="638">
        <f>SUMIF(F4141:F4141,("h"),H4141:H4141)</f>
        <v>0</v>
      </c>
    </row>
    <row r="4143" spans="1:8" s="201" customFormat="1">
      <c r="A4143" s="582"/>
      <c r="B4143" s="582"/>
      <c r="C4143" s="212"/>
      <c r="D4143" s="719" t="s">
        <v>128</v>
      </c>
      <c r="E4143" s="719"/>
      <c r="F4143" s="719"/>
      <c r="G4143" s="719"/>
      <c r="H4143" s="638">
        <f>SUMIF(F4141:F4141,"&lt;&gt;h",H4141:H4141)</f>
        <v>66.12</v>
      </c>
    </row>
    <row r="4144" spans="1:8" s="201" customFormat="1">
      <c r="A4144" s="582"/>
      <c r="B4144" s="582"/>
      <c r="C4144" s="212"/>
      <c r="D4144" s="718" t="s">
        <v>129</v>
      </c>
      <c r="E4144" s="718"/>
      <c r="F4144" s="718"/>
      <c r="G4144" s="718"/>
      <c r="H4144" s="213">
        <f>SUM(H4142:H4143)</f>
        <v>66.12</v>
      </c>
    </row>
    <row r="4145" spans="1:8" s="201" customFormat="1">
      <c r="A4145" s="582"/>
      <c r="B4145" s="582"/>
      <c r="C4145" s="212"/>
      <c r="D4145" s="719" t="s">
        <v>28</v>
      </c>
      <c r="E4145" s="719"/>
      <c r="F4145" s="719"/>
      <c r="G4145" s="719"/>
      <c r="H4145" s="639">
        <f>E4140</f>
        <v>4</v>
      </c>
    </row>
    <row r="4146" spans="1:8" s="201" customFormat="1">
      <c r="A4146" s="582"/>
      <c r="B4146" s="582"/>
      <c r="C4146" s="212"/>
      <c r="D4146" s="718" t="s">
        <v>130</v>
      </c>
      <c r="E4146" s="718"/>
      <c r="F4146" s="718"/>
      <c r="G4146" s="718"/>
      <c r="H4146" s="213">
        <f>ROUND(H4144*H4145,2)</f>
        <v>264.48</v>
      </c>
    </row>
    <row r="4147" spans="1:8" s="201" customFormat="1">
      <c r="A4147" s="582"/>
      <c r="B4147" s="582"/>
      <c r="C4147" s="212"/>
      <c r="D4147" s="719" t="s">
        <v>15559</v>
      </c>
      <c r="E4147" s="719"/>
      <c r="F4147" s="719"/>
      <c r="G4147" s="719"/>
      <c r="H4147" s="638">
        <f>ROUND(H4144*$B$13,2)</f>
        <v>17.809999999999999</v>
      </c>
    </row>
    <row r="4148" spans="1:8">
      <c r="A4148" s="582"/>
      <c r="B4148" s="582"/>
      <c r="C4148" s="212"/>
      <c r="D4148" s="718" t="s">
        <v>9661</v>
      </c>
      <c r="E4148" s="718"/>
      <c r="F4148" s="718"/>
      <c r="G4148" s="718"/>
      <c r="H4148" s="213">
        <f>H4147+H4144</f>
        <v>83.93</v>
      </c>
    </row>
    <row r="4150" spans="1:8" s="201" customFormat="1">
      <c r="A4150" s="123" t="s">
        <v>6</v>
      </c>
      <c r="B4150" s="720" t="s">
        <v>7</v>
      </c>
      <c r="C4150" s="720"/>
      <c r="D4150" s="202" t="s">
        <v>124</v>
      </c>
      <c r="E4150" s="167" t="s">
        <v>6334</v>
      </c>
      <c r="F4150" s="202" t="s">
        <v>31</v>
      </c>
      <c r="G4150" s="203" t="s">
        <v>125</v>
      </c>
      <c r="H4150" s="204" t="s">
        <v>126</v>
      </c>
    </row>
    <row r="4151" spans="1:8" s="208" customFormat="1" ht="45">
      <c r="A4151" s="581" t="str">
        <f>'Orç - Prédio'!A642</f>
        <v>06.10.301.03</v>
      </c>
      <c r="B4151" s="581" t="str">
        <f>'Orç - Prédio'!B642</f>
        <v>ORSE</v>
      </c>
      <c r="C4151" s="581">
        <f>'Orç - Prédio'!C642</f>
        <v>2815</v>
      </c>
      <c r="D4151" s="205" t="s">
        <v>8856</v>
      </c>
      <c r="E4151" s="206">
        <v>1</v>
      </c>
      <c r="F4151" s="581" t="s">
        <v>6337</v>
      </c>
      <c r="G4151" s="207">
        <f>VLOOKUP("CUSTO TOTAL UNIT.:",D4152:$H$30004,5,FALSE)</f>
        <v>154.98000000000002</v>
      </c>
      <c r="H4151" s="637">
        <f>VLOOKUP("CUSTO TOTAL:",D4152:$H$30004,5,FALSE)</f>
        <v>154.97999999999999</v>
      </c>
    </row>
    <row r="4152" spans="1:8" s="124" customFormat="1" ht="75">
      <c r="A4152" s="721">
        <v>96537</v>
      </c>
      <c r="B4152" s="721"/>
      <c r="C4152" s="200" t="s">
        <v>5256</v>
      </c>
      <c r="D4152" s="139" t="s">
        <v>1866</v>
      </c>
      <c r="E4152" s="209">
        <v>0.30599999999999999</v>
      </c>
      <c r="F4152" s="577" t="s">
        <v>322</v>
      </c>
      <c r="G4152" s="210">
        <v>93.538800000000009</v>
      </c>
      <c r="H4152" s="211">
        <f t="shared" ref="H4152:H4158" si="93">ROUND(G4152*E4152,2)</f>
        <v>28.62</v>
      </c>
    </row>
    <row r="4153" spans="1:8" s="124" customFormat="1" ht="60">
      <c r="A4153" s="721">
        <v>94963</v>
      </c>
      <c r="B4153" s="721"/>
      <c r="C4153" s="200" t="s">
        <v>5256</v>
      </c>
      <c r="D4153" s="139" t="s">
        <v>2019</v>
      </c>
      <c r="E4153" s="209">
        <v>3.7999999999999999E-2</v>
      </c>
      <c r="F4153" s="577" t="s">
        <v>1261</v>
      </c>
      <c r="G4153" s="210">
        <v>232.35660000000001</v>
      </c>
      <c r="H4153" s="211">
        <f t="shared" si="93"/>
        <v>8.83</v>
      </c>
    </row>
    <row r="4154" spans="1:8" s="124" customFormat="1" ht="45">
      <c r="A4154" s="721">
        <v>96543</v>
      </c>
      <c r="B4154" s="721"/>
      <c r="C4154" s="200" t="s">
        <v>5256</v>
      </c>
      <c r="D4154" s="139" t="s">
        <v>1872</v>
      </c>
      <c r="E4154" s="209">
        <v>0.77</v>
      </c>
      <c r="F4154" s="577" t="s">
        <v>315</v>
      </c>
      <c r="G4154" s="210">
        <v>9.6714000000000002</v>
      </c>
      <c r="H4154" s="211">
        <f t="shared" si="93"/>
        <v>7.45</v>
      </c>
    </row>
    <row r="4155" spans="1:8" s="124" customFormat="1" ht="60">
      <c r="A4155" s="721">
        <v>72132</v>
      </c>
      <c r="B4155" s="721"/>
      <c r="C4155" s="200" t="s">
        <v>5256</v>
      </c>
      <c r="D4155" s="139" t="s">
        <v>4109</v>
      </c>
      <c r="E4155" s="209">
        <v>0.64</v>
      </c>
      <c r="F4155" s="577" t="s">
        <v>322</v>
      </c>
      <c r="G4155" s="210">
        <v>47.222999999999999</v>
      </c>
      <c r="H4155" s="211">
        <f t="shared" si="93"/>
        <v>30.22</v>
      </c>
    </row>
    <row r="4156" spans="1:8" s="124" customFormat="1" ht="75">
      <c r="A4156" s="721">
        <v>87879</v>
      </c>
      <c r="B4156" s="721"/>
      <c r="C4156" s="200" t="s">
        <v>5256</v>
      </c>
      <c r="D4156" s="139" t="s">
        <v>4657</v>
      </c>
      <c r="E4156" s="209">
        <v>0.48</v>
      </c>
      <c r="F4156" s="577" t="s">
        <v>322</v>
      </c>
      <c r="G4156" s="210">
        <v>2.3652000000000002</v>
      </c>
      <c r="H4156" s="211">
        <f t="shared" si="93"/>
        <v>1.1399999999999999</v>
      </c>
    </row>
    <row r="4157" spans="1:8" s="124" customFormat="1" ht="75">
      <c r="A4157" s="721">
        <v>87777</v>
      </c>
      <c r="B4157" s="721"/>
      <c r="C4157" s="200" t="s">
        <v>5256</v>
      </c>
      <c r="D4157" s="139" t="s">
        <v>4745</v>
      </c>
      <c r="E4157" s="209">
        <v>0.48</v>
      </c>
      <c r="F4157" s="577" t="s">
        <v>322</v>
      </c>
      <c r="G4157" s="210">
        <v>35.016300000000001</v>
      </c>
      <c r="H4157" s="211">
        <f t="shared" si="93"/>
        <v>16.809999999999999</v>
      </c>
    </row>
    <row r="4158" spans="1:8" s="124" customFormat="1" ht="45">
      <c r="A4158" s="721">
        <v>11315</v>
      </c>
      <c r="B4158" s="721"/>
      <c r="C4158" s="200" t="s">
        <v>5256</v>
      </c>
      <c r="D4158" s="139" t="s">
        <v>13964</v>
      </c>
      <c r="E4158" s="209">
        <v>1</v>
      </c>
      <c r="F4158" s="577" t="s">
        <v>40</v>
      </c>
      <c r="G4158" s="210">
        <v>61.908300000000011</v>
      </c>
      <c r="H4158" s="211">
        <f t="shared" si="93"/>
        <v>61.91</v>
      </c>
    </row>
    <row r="4159" spans="1:8" s="201" customFormat="1">
      <c r="A4159" s="582"/>
      <c r="B4159" s="582"/>
      <c r="C4159" s="212"/>
      <c r="D4159" s="719" t="s">
        <v>127</v>
      </c>
      <c r="E4159" s="719"/>
      <c r="F4159" s="719"/>
      <c r="G4159" s="719"/>
      <c r="H4159" s="638">
        <f>SUMIF(F4152:F4158,("h"),H4152:H4158)</f>
        <v>0</v>
      </c>
    </row>
    <row r="4160" spans="1:8" s="201" customFormat="1">
      <c r="A4160" s="582"/>
      <c r="B4160" s="582"/>
      <c r="C4160" s="212"/>
      <c r="D4160" s="719" t="s">
        <v>128</v>
      </c>
      <c r="E4160" s="719"/>
      <c r="F4160" s="719"/>
      <c r="G4160" s="719"/>
      <c r="H4160" s="638">
        <f>SUMIF(F4152:F4158,"&lt;&gt;h",H4152:H4158)</f>
        <v>154.98000000000002</v>
      </c>
    </row>
    <row r="4161" spans="1:8" s="201" customFormat="1">
      <c r="A4161" s="582"/>
      <c r="B4161" s="582"/>
      <c r="C4161" s="212"/>
      <c r="D4161" s="718" t="s">
        <v>129</v>
      </c>
      <c r="E4161" s="718"/>
      <c r="F4161" s="718"/>
      <c r="G4161" s="718"/>
      <c r="H4161" s="213">
        <f>SUM(H4159:H4160)</f>
        <v>154.98000000000002</v>
      </c>
    </row>
    <row r="4162" spans="1:8" s="201" customFormat="1">
      <c r="A4162" s="582"/>
      <c r="B4162" s="582"/>
      <c r="C4162" s="212"/>
      <c r="D4162" s="719" t="s">
        <v>28</v>
      </c>
      <c r="E4162" s="719"/>
      <c r="F4162" s="719"/>
      <c r="G4162" s="719"/>
      <c r="H4162" s="639">
        <f>E4151</f>
        <v>1</v>
      </c>
    </row>
    <row r="4163" spans="1:8" s="201" customFormat="1">
      <c r="A4163" s="582"/>
      <c r="B4163" s="582"/>
      <c r="C4163" s="212"/>
      <c r="D4163" s="718" t="s">
        <v>130</v>
      </c>
      <c r="E4163" s="718"/>
      <c r="F4163" s="718"/>
      <c r="G4163" s="718"/>
      <c r="H4163" s="213">
        <f>ROUND(H4161*H4162,2)</f>
        <v>154.97999999999999</v>
      </c>
    </row>
    <row r="4164" spans="1:8" s="201" customFormat="1">
      <c r="A4164" s="582"/>
      <c r="B4164" s="582"/>
      <c r="C4164" s="212"/>
      <c r="D4164" s="719" t="s">
        <v>15559</v>
      </c>
      <c r="E4164" s="719"/>
      <c r="F4164" s="719"/>
      <c r="G4164" s="719"/>
      <c r="H4164" s="638">
        <f>ROUND(H4161*$B$13,2)</f>
        <v>41.74</v>
      </c>
    </row>
    <row r="4165" spans="1:8">
      <c r="A4165" s="582"/>
      <c r="B4165" s="582"/>
      <c r="C4165" s="212"/>
      <c r="D4165" s="718" t="s">
        <v>9661</v>
      </c>
      <c r="E4165" s="718"/>
      <c r="F4165" s="718"/>
      <c r="G4165" s="718"/>
      <c r="H4165" s="213">
        <f>H4164+H4161</f>
        <v>196.72000000000003</v>
      </c>
    </row>
    <row r="4167" spans="1:8" s="201" customFormat="1">
      <c r="A4167" s="123" t="s">
        <v>6</v>
      </c>
      <c r="B4167" s="720" t="s">
        <v>7</v>
      </c>
      <c r="C4167" s="720"/>
      <c r="D4167" s="202" t="s">
        <v>124</v>
      </c>
      <c r="E4167" s="167" t="s">
        <v>6334</v>
      </c>
      <c r="F4167" s="202" t="s">
        <v>31</v>
      </c>
      <c r="G4167" s="203" t="s">
        <v>125</v>
      </c>
      <c r="H4167" s="204" t="s">
        <v>126</v>
      </c>
    </row>
    <row r="4168" spans="1:8" s="208" customFormat="1" ht="90">
      <c r="A4168" s="581" t="str">
        <f>'Orç - Prédio'!A651</f>
        <v>07.01.101</v>
      </c>
      <c r="B4168" s="581" t="str">
        <f>'Orç - Prédio'!B651</f>
        <v>Comp. Montada</v>
      </c>
      <c r="C4168" s="581">
        <f>'Orç - Prédio'!C651</f>
        <v>15</v>
      </c>
      <c r="D4168" s="205" t="s">
        <v>9008</v>
      </c>
      <c r="E4168" s="206">
        <v>1</v>
      </c>
      <c r="F4168" s="581" t="s">
        <v>6337</v>
      </c>
      <c r="G4168" s="207">
        <f>VLOOKUP("CUSTO TOTAL UNIT.:",D4169:$H$30004,5,FALSE)</f>
        <v>51684.76</v>
      </c>
      <c r="H4168" s="637">
        <f>VLOOKUP("CUSTO TOTAL:",D4169:$H$30004,5,FALSE)</f>
        <v>51684.76</v>
      </c>
    </row>
    <row r="4169" spans="1:8" s="124" customFormat="1" ht="30" customHeight="1">
      <c r="A4169" s="722" t="s">
        <v>7394</v>
      </c>
      <c r="B4169" s="722"/>
      <c r="C4169" s="184" t="s">
        <v>8096</v>
      </c>
      <c r="D4169" s="139" t="s">
        <v>9014</v>
      </c>
      <c r="E4169" s="209">
        <v>1</v>
      </c>
      <c r="F4169" s="577" t="s">
        <v>31</v>
      </c>
      <c r="G4169" s="210">
        <v>51684.763500000001</v>
      </c>
      <c r="H4169" s="211">
        <f>ROUND(G4169*E4169,2)</f>
        <v>51684.76</v>
      </c>
    </row>
    <row r="4170" spans="1:8" s="201" customFormat="1">
      <c r="A4170" s="582"/>
      <c r="B4170" s="582"/>
      <c r="C4170" s="212"/>
      <c r="D4170" s="719" t="s">
        <v>127</v>
      </c>
      <c r="E4170" s="719"/>
      <c r="F4170" s="719"/>
      <c r="G4170" s="719"/>
      <c r="H4170" s="638">
        <f>SUMIF(F4169:F4169,("h"),H4169:H4169)</f>
        <v>0</v>
      </c>
    </row>
    <row r="4171" spans="1:8" s="201" customFormat="1">
      <c r="A4171" s="582"/>
      <c r="B4171" s="582"/>
      <c r="C4171" s="212"/>
      <c r="D4171" s="719" t="s">
        <v>128</v>
      </c>
      <c r="E4171" s="719"/>
      <c r="F4171" s="719"/>
      <c r="G4171" s="719"/>
      <c r="H4171" s="638">
        <f>SUMIF(F4169:F4169,"&lt;&gt;h",H4169:H4169)</f>
        <v>51684.76</v>
      </c>
    </row>
    <row r="4172" spans="1:8" s="201" customFormat="1">
      <c r="A4172" s="582"/>
      <c r="B4172" s="582"/>
      <c r="C4172" s="212"/>
      <c r="D4172" s="718" t="s">
        <v>129</v>
      </c>
      <c r="E4172" s="718"/>
      <c r="F4172" s="718"/>
      <c r="G4172" s="718"/>
      <c r="H4172" s="213">
        <f>SUM(H4170:H4171)</f>
        <v>51684.76</v>
      </c>
    </row>
    <row r="4173" spans="1:8" s="201" customFormat="1">
      <c r="A4173" s="582"/>
      <c r="B4173" s="582"/>
      <c r="C4173" s="212"/>
      <c r="D4173" s="719" t="s">
        <v>28</v>
      </c>
      <c r="E4173" s="719"/>
      <c r="F4173" s="719"/>
      <c r="G4173" s="719"/>
      <c r="H4173" s="639">
        <f>E4168</f>
        <v>1</v>
      </c>
    </row>
    <row r="4174" spans="1:8" s="201" customFormat="1">
      <c r="A4174" s="582"/>
      <c r="B4174" s="582"/>
      <c r="C4174" s="212"/>
      <c r="D4174" s="718" t="s">
        <v>130</v>
      </c>
      <c r="E4174" s="718"/>
      <c r="F4174" s="718"/>
      <c r="G4174" s="718"/>
      <c r="H4174" s="213">
        <f>ROUND(H4172*H4173,2)</f>
        <v>51684.76</v>
      </c>
    </row>
    <row r="4175" spans="1:8" s="201" customFormat="1">
      <c r="A4175" s="582"/>
      <c r="B4175" s="582"/>
      <c r="C4175" s="212"/>
      <c r="D4175" s="719" t="s">
        <v>15560</v>
      </c>
      <c r="E4175" s="719"/>
      <c r="F4175" s="719"/>
      <c r="G4175" s="719"/>
      <c r="H4175" s="638">
        <f>ROUND(H4172*$B$14,2)</f>
        <v>10817.62</v>
      </c>
    </row>
    <row r="4176" spans="1:8">
      <c r="A4176" s="582"/>
      <c r="B4176" s="582"/>
      <c r="C4176" s="212"/>
      <c r="D4176" s="718" t="s">
        <v>9661</v>
      </c>
      <c r="E4176" s="718"/>
      <c r="F4176" s="718"/>
      <c r="G4176" s="718"/>
      <c r="H4176" s="213">
        <f>H4175+H4172</f>
        <v>62502.380000000005</v>
      </c>
    </row>
    <row r="4178" spans="1:8" s="201" customFormat="1">
      <c r="A4178" s="123" t="s">
        <v>6</v>
      </c>
      <c r="B4178" s="720" t="s">
        <v>7</v>
      </c>
      <c r="C4178" s="720"/>
      <c r="D4178" s="202" t="s">
        <v>124</v>
      </c>
      <c r="E4178" s="167" t="s">
        <v>6334</v>
      </c>
      <c r="F4178" s="202" t="s">
        <v>31</v>
      </c>
      <c r="G4178" s="203" t="s">
        <v>125</v>
      </c>
      <c r="H4178" s="204" t="s">
        <v>126</v>
      </c>
    </row>
    <row r="4179" spans="1:8" s="208" customFormat="1" ht="30">
      <c r="A4179" s="581" t="str">
        <f>'Orç - Prédio'!A656</f>
        <v>07.02.002</v>
      </c>
      <c r="B4179" s="581" t="str">
        <f>'Orç - Prédio'!B656</f>
        <v>CPOS</v>
      </c>
      <c r="C4179" s="581" t="str">
        <f>'Orç - Prédio'!C656</f>
        <v>43.08.004 MOD</v>
      </c>
      <c r="D4179" s="205" t="s">
        <v>9027</v>
      </c>
      <c r="E4179" s="206">
        <v>6</v>
      </c>
      <c r="F4179" s="581" t="s">
        <v>6337</v>
      </c>
      <c r="G4179" s="207">
        <f>VLOOKUP("CUSTO TOTAL UNIT.:",D4180:$H$30004,5,FALSE)</f>
        <v>394.11</v>
      </c>
      <c r="H4179" s="637">
        <f>VLOOKUP("CUSTO TOTAL:",D4180:$H$30004,5,FALSE)</f>
        <v>2364.66</v>
      </c>
    </row>
    <row r="4180" spans="1:8" s="124" customFormat="1" ht="30">
      <c r="A4180" s="721">
        <v>88264</v>
      </c>
      <c r="B4180" s="721"/>
      <c r="C4180" s="200" t="s">
        <v>5256</v>
      </c>
      <c r="D4180" s="139" t="s">
        <v>84</v>
      </c>
      <c r="E4180" s="209">
        <v>8</v>
      </c>
      <c r="F4180" s="577" t="s">
        <v>67</v>
      </c>
      <c r="G4180" s="210">
        <v>15.778800000000002</v>
      </c>
      <c r="H4180" s="211">
        <f>ROUND(G4180*E4180,2)</f>
        <v>126.23</v>
      </c>
    </row>
    <row r="4181" spans="1:8" s="124" customFormat="1" ht="30">
      <c r="A4181" s="721">
        <v>88247</v>
      </c>
      <c r="B4181" s="721"/>
      <c r="C4181" s="200" t="s">
        <v>5256</v>
      </c>
      <c r="D4181" s="139" t="s">
        <v>74</v>
      </c>
      <c r="E4181" s="209">
        <v>8</v>
      </c>
      <c r="F4181" s="577" t="s">
        <v>67</v>
      </c>
      <c r="G4181" s="210">
        <v>12.425400000000002</v>
      </c>
      <c r="H4181" s="211">
        <f>ROUND(G4181*E4181,2)</f>
        <v>99.4</v>
      </c>
    </row>
    <row r="4182" spans="1:8" s="124" customFormat="1" ht="30">
      <c r="A4182" s="721">
        <v>88266</v>
      </c>
      <c r="B4182" s="721"/>
      <c r="C4182" s="200" t="s">
        <v>5256</v>
      </c>
      <c r="D4182" s="139" t="s">
        <v>5102</v>
      </c>
      <c r="E4182" s="209">
        <v>8</v>
      </c>
      <c r="F4182" s="577" t="s">
        <v>67</v>
      </c>
      <c r="G4182" s="210">
        <v>21.060000000000002</v>
      </c>
      <c r="H4182" s="211">
        <f>ROUND(G4182*E4182,2)</f>
        <v>168.48</v>
      </c>
    </row>
    <row r="4183" spans="1:8" s="201" customFormat="1">
      <c r="A4183" s="582"/>
      <c r="B4183" s="582"/>
      <c r="C4183" s="212"/>
      <c r="D4183" s="719" t="s">
        <v>127</v>
      </c>
      <c r="E4183" s="719"/>
      <c r="F4183" s="719"/>
      <c r="G4183" s="719"/>
      <c r="H4183" s="638">
        <f>SUMIF(F4180:F4182,("h"),H4180:H4182)</f>
        <v>394.11</v>
      </c>
    </row>
    <row r="4184" spans="1:8" s="201" customFormat="1">
      <c r="A4184" s="582"/>
      <c r="B4184" s="582"/>
      <c r="C4184" s="212"/>
      <c r="D4184" s="719" t="s">
        <v>128</v>
      </c>
      <c r="E4184" s="719"/>
      <c r="F4184" s="719"/>
      <c r="G4184" s="719"/>
      <c r="H4184" s="638">
        <f>SUMIF(F4180:F4182,"&lt;&gt;h",H4180:H4182)</f>
        <v>0</v>
      </c>
    </row>
    <row r="4185" spans="1:8" s="201" customFormat="1">
      <c r="A4185" s="582"/>
      <c r="B4185" s="582"/>
      <c r="C4185" s="212"/>
      <c r="D4185" s="718" t="s">
        <v>129</v>
      </c>
      <c r="E4185" s="718"/>
      <c r="F4185" s="718"/>
      <c r="G4185" s="718"/>
      <c r="H4185" s="213">
        <f>SUM(H4183:H4184)</f>
        <v>394.11</v>
      </c>
    </row>
    <row r="4186" spans="1:8" s="201" customFormat="1">
      <c r="A4186" s="582"/>
      <c r="B4186" s="582"/>
      <c r="C4186" s="212"/>
      <c r="D4186" s="719" t="s">
        <v>28</v>
      </c>
      <c r="E4186" s="719"/>
      <c r="F4186" s="719"/>
      <c r="G4186" s="719"/>
      <c r="H4186" s="639">
        <f>E4179</f>
        <v>6</v>
      </c>
    </row>
    <row r="4187" spans="1:8" s="201" customFormat="1">
      <c r="A4187" s="582"/>
      <c r="B4187" s="582"/>
      <c r="C4187" s="212"/>
      <c r="D4187" s="718" t="s">
        <v>130</v>
      </c>
      <c r="E4187" s="718"/>
      <c r="F4187" s="718"/>
      <c r="G4187" s="718"/>
      <c r="H4187" s="213">
        <f>ROUND(H4185*H4186,2)</f>
        <v>2364.66</v>
      </c>
    </row>
    <row r="4188" spans="1:8" s="201" customFormat="1">
      <c r="A4188" s="582"/>
      <c r="B4188" s="582"/>
      <c r="C4188" s="212"/>
      <c r="D4188" s="719" t="s">
        <v>15559</v>
      </c>
      <c r="E4188" s="719"/>
      <c r="F4188" s="719"/>
      <c r="G4188" s="719"/>
      <c r="H4188" s="638">
        <f>ROUND(H4185*$B$13,2)</f>
        <v>106.13</v>
      </c>
    </row>
    <row r="4189" spans="1:8">
      <c r="A4189" s="582"/>
      <c r="B4189" s="582"/>
      <c r="C4189" s="212"/>
      <c r="D4189" s="718" t="s">
        <v>9661</v>
      </c>
      <c r="E4189" s="718"/>
      <c r="F4189" s="718"/>
      <c r="G4189" s="718"/>
      <c r="H4189" s="213">
        <f>H4188+H4185</f>
        <v>500.24</v>
      </c>
    </row>
    <row r="4191" spans="1:8" s="201" customFormat="1">
      <c r="A4191" s="123" t="s">
        <v>6</v>
      </c>
      <c r="B4191" s="720" t="s">
        <v>7</v>
      </c>
      <c r="C4191" s="720"/>
      <c r="D4191" s="202" t="s">
        <v>124</v>
      </c>
      <c r="E4191" s="167" t="s">
        <v>6334</v>
      </c>
      <c r="F4191" s="202" t="s">
        <v>31</v>
      </c>
      <c r="G4191" s="203" t="s">
        <v>125</v>
      </c>
      <c r="H4191" s="204" t="s">
        <v>126</v>
      </c>
    </row>
    <row r="4192" spans="1:8" s="208" customFormat="1" ht="30">
      <c r="A4192" s="581" t="str">
        <f>'Orç - Prédio'!A657</f>
        <v>07.02.003</v>
      </c>
      <c r="B4192" s="581" t="str">
        <f>'Orç - Prédio'!B657</f>
        <v>CPOS</v>
      </c>
      <c r="C4192" s="581" t="str">
        <f>'Orç - Prédio'!C657</f>
        <v>43.08.030 MOD</v>
      </c>
      <c r="D4192" s="205" t="s">
        <v>9327</v>
      </c>
      <c r="E4192" s="206">
        <v>13</v>
      </c>
      <c r="F4192" s="581" t="s">
        <v>6337</v>
      </c>
      <c r="G4192" s="207">
        <f>VLOOKUP("CUSTO TOTAL UNIT.:",D4193:$H$30004,5,FALSE)</f>
        <v>344.85</v>
      </c>
      <c r="H4192" s="637">
        <f>VLOOKUP("CUSTO TOTAL:",D4193:$H$30004,5,FALSE)</f>
        <v>4483.05</v>
      </c>
    </row>
    <row r="4193" spans="1:8" s="124" customFormat="1" ht="30">
      <c r="A4193" s="721">
        <v>88264</v>
      </c>
      <c r="B4193" s="721"/>
      <c r="C4193" s="200" t="s">
        <v>5256</v>
      </c>
      <c r="D4193" s="139" t="s">
        <v>84</v>
      </c>
      <c r="E4193" s="209">
        <v>7</v>
      </c>
      <c r="F4193" s="577" t="s">
        <v>67</v>
      </c>
      <c r="G4193" s="210">
        <v>15.778800000000002</v>
      </c>
      <c r="H4193" s="211">
        <f>ROUND(G4193*E4193,2)</f>
        <v>110.45</v>
      </c>
    </row>
    <row r="4194" spans="1:8" s="124" customFormat="1" ht="30">
      <c r="A4194" s="721">
        <v>88247</v>
      </c>
      <c r="B4194" s="721"/>
      <c r="C4194" s="200" t="s">
        <v>5256</v>
      </c>
      <c r="D4194" s="139" t="s">
        <v>74</v>
      </c>
      <c r="E4194" s="209">
        <v>7</v>
      </c>
      <c r="F4194" s="577" t="s">
        <v>67</v>
      </c>
      <c r="G4194" s="210">
        <v>12.425400000000002</v>
      </c>
      <c r="H4194" s="211">
        <f>ROUND(G4194*E4194,2)</f>
        <v>86.98</v>
      </c>
    </row>
    <row r="4195" spans="1:8" s="124" customFormat="1" ht="30">
      <c r="A4195" s="721">
        <v>88266</v>
      </c>
      <c r="B4195" s="721"/>
      <c r="C4195" s="200" t="s">
        <v>5256</v>
      </c>
      <c r="D4195" s="139" t="s">
        <v>5102</v>
      </c>
      <c r="E4195" s="209">
        <v>7</v>
      </c>
      <c r="F4195" s="577" t="s">
        <v>67</v>
      </c>
      <c r="G4195" s="210">
        <v>21.060000000000002</v>
      </c>
      <c r="H4195" s="211">
        <f>ROUND(G4195*E4195,2)</f>
        <v>147.41999999999999</v>
      </c>
    </row>
    <row r="4196" spans="1:8" s="201" customFormat="1">
      <c r="A4196" s="582"/>
      <c r="B4196" s="582"/>
      <c r="C4196" s="212"/>
      <c r="D4196" s="719" t="s">
        <v>127</v>
      </c>
      <c r="E4196" s="719"/>
      <c r="F4196" s="719"/>
      <c r="G4196" s="719"/>
      <c r="H4196" s="638">
        <f>SUMIF(F4193:F4195,("h"),H4193:H4195)</f>
        <v>344.85</v>
      </c>
    </row>
    <row r="4197" spans="1:8" s="201" customFormat="1">
      <c r="A4197" s="582"/>
      <c r="B4197" s="582"/>
      <c r="C4197" s="212"/>
      <c r="D4197" s="719" t="s">
        <v>128</v>
      </c>
      <c r="E4197" s="719"/>
      <c r="F4197" s="719"/>
      <c r="G4197" s="719"/>
      <c r="H4197" s="638">
        <f>SUMIF(F4193:F4195,"&lt;&gt;h",H4193:H4195)</f>
        <v>0</v>
      </c>
    </row>
    <row r="4198" spans="1:8" s="201" customFormat="1">
      <c r="A4198" s="582"/>
      <c r="B4198" s="582"/>
      <c r="C4198" s="212"/>
      <c r="D4198" s="718" t="s">
        <v>129</v>
      </c>
      <c r="E4198" s="718"/>
      <c r="F4198" s="718"/>
      <c r="G4198" s="718"/>
      <c r="H4198" s="213">
        <f>SUM(H4196:H4197)</f>
        <v>344.85</v>
      </c>
    </row>
    <row r="4199" spans="1:8" s="201" customFormat="1">
      <c r="A4199" s="582"/>
      <c r="B4199" s="582"/>
      <c r="C4199" s="212"/>
      <c r="D4199" s="719" t="s">
        <v>28</v>
      </c>
      <c r="E4199" s="719"/>
      <c r="F4199" s="719"/>
      <c r="G4199" s="719"/>
      <c r="H4199" s="639">
        <f>E4192</f>
        <v>13</v>
      </c>
    </row>
    <row r="4200" spans="1:8" s="201" customFormat="1">
      <c r="A4200" s="582"/>
      <c r="B4200" s="582"/>
      <c r="C4200" s="212"/>
      <c r="D4200" s="718" t="s">
        <v>130</v>
      </c>
      <c r="E4200" s="718"/>
      <c r="F4200" s="718"/>
      <c r="G4200" s="718"/>
      <c r="H4200" s="213">
        <f>ROUND(H4198*H4199,2)</f>
        <v>4483.05</v>
      </c>
    </row>
    <row r="4201" spans="1:8" s="201" customFormat="1">
      <c r="A4201" s="582"/>
      <c r="B4201" s="582"/>
      <c r="C4201" s="212"/>
      <c r="D4201" s="719" t="s">
        <v>15559</v>
      </c>
      <c r="E4201" s="719"/>
      <c r="F4201" s="719"/>
      <c r="G4201" s="719"/>
      <c r="H4201" s="638">
        <f>ROUND(H4198*$B$13,2)</f>
        <v>92.87</v>
      </c>
    </row>
    <row r="4202" spans="1:8">
      <c r="A4202" s="582"/>
      <c r="B4202" s="582"/>
      <c r="C4202" s="212"/>
      <c r="D4202" s="718" t="s">
        <v>9661</v>
      </c>
      <c r="E4202" s="718"/>
      <c r="F4202" s="718"/>
      <c r="G4202" s="718"/>
      <c r="H4202" s="213">
        <f>H4201+H4198</f>
        <v>437.72</v>
      </c>
    </row>
    <row r="4204" spans="1:8" s="201" customFormat="1">
      <c r="A4204" s="123" t="s">
        <v>6</v>
      </c>
      <c r="B4204" s="720" t="s">
        <v>7</v>
      </c>
      <c r="C4204" s="720"/>
      <c r="D4204" s="202" t="s">
        <v>124</v>
      </c>
      <c r="E4204" s="167" t="s">
        <v>6334</v>
      </c>
      <c r="F4204" s="202" t="s">
        <v>31</v>
      </c>
      <c r="G4204" s="203" t="s">
        <v>125</v>
      </c>
      <c r="H4204" s="204" t="s">
        <v>126</v>
      </c>
    </row>
    <row r="4205" spans="1:8" s="208" customFormat="1" ht="30">
      <c r="A4205" s="581" t="str">
        <f>'Orç - Prédio'!A658</f>
        <v>07.02.004</v>
      </c>
      <c r="B4205" s="581" t="str">
        <f>'Orç - Prédio'!B658</f>
        <v>CPOS</v>
      </c>
      <c r="C4205" s="581" t="str">
        <f>'Orç - Prédio'!C658</f>
        <v>43.08.040</v>
      </c>
      <c r="D4205" s="205" t="s">
        <v>9328</v>
      </c>
      <c r="E4205" s="206">
        <v>40</v>
      </c>
      <c r="F4205" s="581" t="s">
        <v>6337</v>
      </c>
      <c r="G4205" s="207">
        <f>VLOOKUP("CUSTO TOTAL UNIT.:",D4206:$H$30004,5,FALSE)</f>
        <v>344.85</v>
      </c>
      <c r="H4205" s="637">
        <f>VLOOKUP("CUSTO TOTAL:",D4206:$H$30004,5,FALSE)</f>
        <v>13794</v>
      </c>
    </row>
    <row r="4206" spans="1:8" s="124" customFormat="1" ht="30">
      <c r="A4206" s="721">
        <v>88264</v>
      </c>
      <c r="B4206" s="721"/>
      <c r="C4206" s="200" t="s">
        <v>5256</v>
      </c>
      <c r="D4206" s="139" t="s">
        <v>84</v>
      </c>
      <c r="E4206" s="209">
        <v>7</v>
      </c>
      <c r="F4206" s="577" t="s">
        <v>67</v>
      </c>
      <c r="G4206" s="210">
        <v>15.778800000000002</v>
      </c>
      <c r="H4206" s="211">
        <f>ROUND(G4206*E4206,2)</f>
        <v>110.45</v>
      </c>
    </row>
    <row r="4207" spans="1:8" s="124" customFormat="1" ht="30">
      <c r="A4207" s="721">
        <v>88247</v>
      </c>
      <c r="B4207" s="721"/>
      <c r="C4207" s="200" t="s">
        <v>5256</v>
      </c>
      <c r="D4207" s="139" t="s">
        <v>74</v>
      </c>
      <c r="E4207" s="209">
        <v>7</v>
      </c>
      <c r="F4207" s="577" t="s">
        <v>67</v>
      </c>
      <c r="G4207" s="210">
        <v>12.425400000000002</v>
      </c>
      <c r="H4207" s="211">
        <f>ROUND(G4207*E4207,2)</f>
        <v>86.98</v>
      </c>
    </row>
    <row r="4208" spans="1:8" s="124" customFormat="1" ht="30">
      <c r="A4208" s="721">
        <v>88266</v>
      </c>
      <c r="B4208" s="721"/>
      <c r="C4208" s="200" t="s">
        <v>5256</v>
      </c>
      <c r="D4208" s="139" t="s">
        <v>5102</v>
      </c>
      <c r="E4208" s="209">
        <v>7</v>
      </c>
      <c r="F4208" s="577" t="s">
        <v>67</v>
      </c>
      <c r="G4208" s="210">
        <v>21.060000000000002</v>
      </c>
      <c r="H4208" s="211">
        <f>ROUND(G4208*E4208,2)</f>
        <v>147.41999999999999</v>
      </c>
    </row>
    <row r="4209" spans="1:8" s="201" customFormat="1">
      <c r="A4209" s="582"/>
      <c r="B4209" s="582"/>
      <c r="C4209" s="212"/>
      <c r="D4209" s="719" t="s">
        <v>127</v>
      </c>
      <c r="E4209" s="719"/>
      <c r="F4209" s="719"/>
      <c r="G4209" s="719"/>
      <c r="H4209" s="638">
        <f>SUMIF(F4206:F4208,("h"),H4206:H4208)</f>
        <v>344.85</v>
      </c>
    </row>
    <row r="4210" spans="1:8" s="201" customFormat="1">
      <c r="A4210" s="582"/>
      <c r="B4210" s="582"/>
      <c r="C4210" s="212"/>
      <c r="D4210" s="719" t="s">
        <v>128</v>
      </c>
      <c r="E4210" s="719"/>
      <c r="F4210" s="719"/>
      <c r="G4210" s="719"/>
      <c r="H4210" s="638">
        <f>SUMIF(F4206:F4208,"&lt;&gt;h",H4206:H4208)</f>
        <v>0</v>
      </c>
    </row>
    <row r="4211" spans="1:8" s="201" customFormat="1">
      <c r="A4211" s="582"/>
      <c r="B4211" s="582"/>
      <c r="C4211" s="212"/>
      <c r="D4211" s="718" t="s">
        <v>129</v>
      </c>
      <c r="E4211" s="718"/>
      <c r="F4211" s="718"/>
      <c r="G4211" s="718"/>
      <c r="H4211" s="213">
        <f>SUM(H4209:H4210)</f>
        <v>344.85</v>
      </c>
    </row>
    <row r="4212" spans="1:8" s="201" customFormat="1">
      <c r="A4212" s="582"/>
      <c r="B4212" s="582"/>
      <c r="C4212" s="212"/>
      <c r="D4212" s="719" t="s">
        <v>28</v>
      </c>
      <c r="E4212" s="719"/>
      <c r="F4212" s="719"/>
      <c r="G4212" s="719"/>
      <c r="H4212" s="639">
        <f>E4205</f>
        <v>40</v>
      </c>
    </row>
    <row r="4213" spans="1:8" s="201" customFormat="1">
      <c r="A4213" s="582"/>
      <c r="B4213" s="582"/>
      <c r="C4213" s="212"/>
      <c r="D4213" s="718" t="s">
        <v>130</v>
      </c>
      <c r="E4213" s="718"/>
      <c r="F4213" s="718"/>
      <c r="G4213" s="718"/>
      <c r="H4213" s="213">
        <f>ROUND(H4211*H4212,2)</f>
        <v>13794</v>
      </c>
    </row>
    <row r="4214" spans="1:8" s="201" customFormat="1">
      <c r="A4214" s="582"/>
      <c r="B4214" s="582"/>
      <c r="C4214" s="212"/>
      <c r="D4214" s="719" t="s">
        <v>15559</v>
      </c>
      <c r="E4214" s="719"/>
      <c r="F4214" s="719"/>
      <c r="G4214" s="719"/>
      <c r="H4214" s="638">
        <f>ROUND(H4211*$B$13,2)</f>
        <v>92.87</v>
      </c>
    </row>
    <row r="4215" spans="1:8">
      <c r="A4215" s="582"/>
      <c r="B4215" s="582"/>
      <c r="C4215" s="212"/>
      <c r="D4215" s="718" t="s">
        <v>9661</v>
      </c>
      <c r="E4215" s="718"/>
      <c r="F4215" s="718"/>
      <c r="G4215" s="718"/>
      <c r="H4215" s="213">
        <f>H4214+H4211</f>
        <v>437.72</v>
      </c>
    </row>
    <row r="4217" spans="1:8" s="201" customFormat="1">
      <c r="A4217" s="123" t="s">
        <v>6</v>
      </c>
      <c r="B4217" s="720" t="s">
        <v>7</v>
      </c>
      <c r="C4217" s="720"/>
      <c r="D4217" s="202" t="s">
        <v>124</v>
      </c>
      <c r="E4217" s="167" t="s">
        <v>6334</v>
      </c>
      <c r="F4217" s="202" t="s">
        <v>31</v>
      </c>
      <c r="G4217" s="203" t="s">
        <v>125</v>
      </c>
      <c r="H4217" s="204" t="s">
        <v>126</v>
      </c>
    </row>
    <row r="4218" spans="1:8" s="208" customFormat="1" ht="30">
      <c r="A4218" s="581" t="str">
        <f>'Orç - Prédio'!A660</f>
        <v>07.02.301.01</v>
      </c>
      <c r="B4218" s="581" t="str">
        <f>'Orç - Prédio'!B660</f>
        <v>CPOS</v>
      </c>
      <c r="C4218" s="581" t="str">
        <f>'Orç - Prédio'!C660</f>
        <v>61.20.450 MOD 1</v>
      </c>
      <c r="D4218" s="205" t="s">
        <v>9024</v>
      </c>
      <c r="E4218" s="206">
        <v>1872</v>
      </c>
      <c r="F4218" s="581" t="s">
        <v>6744</v>
      </c>
      <c r="G4218" s="207">
        <f>VLOOKUP("CUSTO TOTAL UNIT.:",D4219:$H$30004,5,FALSE)</f>
        <v>21.54</v>
      </c>
      <c r="H4218" s="637">
        <f>VLOOKUP("CUSTO TOTAL:",D4219:$H$30004,5,FALSE)</f>
        <v>40322.879999999997</v>
      </c>
    </row>
    <row r="4219" spans="1:8" s="124" customFormat="1" ht="30">
      <c r="A4219" s="722">
        <v>11051</v>
      </c>
      <c r="B4219" s="722"/>
      <c r="C4219" s="184" t="s">
        <v>5256</v>
      </c>
      <c r="D4219" s="139" t="s">
        <v>10844</v>
      </c>
      <c r="E4219" s="209">
        <v>1.1499999999999999</v>
      </c>
      <c r="F4219" s="577" t="s">
        <v>49</v>
      </c>
      <c r="G4219" s="210">
        <v>5.7348000000000008</v>
      </c>
      <c r="H4219" s="211">
        <f>ROUND(G4219*E4219,2)</f>
        <v>6.6</v>
      </c>
    </row>
    <row r="4220" spans="1:8" s="124" customFormat="1" ht="30">
      <c r="A4220" s="721">
        <v>88315</v>
      </c>
      <c r="B4220" s="721"/>
      <c r="C4220" s="200" t="s">
        <v>5256</v>
      </c>
      <c r="D4220" s="139" t="s">
        <v>112</v>
      </c>
      <c r="E4220" s="209">
        <v>0.55000000000000004</v>
      </c>
      <c r="F4220" s="577" t="s">
        <v>67</v>
      </c>
      <c r="G4220" s="210">
        <v>15.519600000000001</v>
      </c>
      <c r="H4220" s="211">
        <f>ROUND(G4220*E4220,2)</f>
        <v>8.5399999999999991</v>
      </c>
    </row>
    <row r="4221" spans="1:8" s="124" customFormat="1" ht="30">
      <c r="A4221" s="721">
        <v>88316</v>
      </c>
      <c r="B4221" s="721"/>
      <c r="C4221" s="200" t="s">
        <v>5256</v>
      </c>
      <c r="D4221" s="139" t="s">
        <v>66</v>
      </c>
      <c r="E4221" s="209">
        <v>0.55000000000000004</v>
      </c>
      <c r="F4221" s="577" t="s">
        <v>67</v>
      </c>
      <c r="G4221" s="210">
        <v>11.631600000000001</v>
      </c>
      <c r="H4221" s="211">
        <f>ROUND(G4221*E4221,2)</f>
        <v>6.4</v>
      </c>
    </row>
    <row r="4222" spans="1:8" s="201" customFormat="1">
      <c r="A4222" s="582"/>
      <c r="B4222" s="582"/>
      <c r="C4222" s="212"/>
      <c r="D4222" s="719" t="s">
        <v>127</v>
      </c>
      <c r="E4222" s="719"/>
      <c r="F4222" s="719"/>
      <c r="G4222" s="719"/>
      <c r="H4222" s="638">
        <f>SUMIF(F4219:F4221,("h"),H4219:H4221)</f>
        <v>14.94</v>
      </c>
    </row>
    <row r="4223" spans="1:8" s="201" customFormat="1">
      <c r="A4223" s="582"/>
      <c r="B4223" s="582"/>
      <c r="C4223" s="212"/>
      <c r="D4223" s="719" t="s">
        <v>128</v>
      </c>
      <c r="E4223" s="719"/>
      <c r="F4223" s="719"/>
      <c r="G4223" s="719"/>
      <c r="H4223" s="638">
        <f>SUMIF(F4219:F4221,"&lt;&gt;h",H4219:H4221)</f>
        <v>6.6</v>
      </c>
    </row>
    <row r="4224" spans="1:8" s="201" customFormat="1">
      <c r="A4224" s="582"/>
      <c r="B4224" s="582"/>
      <c r="C4224" s="212"/>
      <c r="D4224" s="718" t="s">
        <v>129</v>
      </c>
      <c r="E4224" s="718"/>
      <c r="F4224" s="718"/>
      <c r="G4224" s="718"/>
      <c r="H4224" s="213">
        <f>SUM(H4222:H4223)</f>
        <v>21.54</v>
      </c>
    </row>
    <row r="4225" spans="1:8" s="201" customFormat="1">
      <c r="A4225" s="582"/>
      <c r="B4225" s="582"/>
      <c r="C4225" s="212"/>
      <c r="D4225" s="719" t="s">
        <v>28</v>
      </c>
      <c r="E4225" s="719"/>
      <c r="F4225" s="719"/>
      <c r="G4225" s="719"/>
      <c r="H4225" s="639">
        <f>E4218</f>
        <v>1872</v>
      </c>
    </row>
    <row r="4226" spans="1:8" s="201" customFormat="1">
      <c r="A4226" s="582"/>
      <c r="B4226" s="582"/>
      <c r="C4226" s="212"/>
      <c r="D4226" s="718" t="s">
        <v>130</v>
      </c>
      <c r="E4226" s="718"/>
      <c r="F4226" s="718"/>
      <c r="G4226" s="718"/>
      <c r="H4226" s="213">
        <f>ROUND(H4224*H4225,2)</f>
        <v>40322.879999999997</v>
      </c>
    </row>
    <row r="4227" spans="1:8" s="201" customFormat="1">
      <c r="A4227" s="582"/>
      <c r="B4227" s="582"/>
      <c r="C4227" s="212"/>
      <c r="D4227" s="719" t="s">
        <v>15559</v>
      </c>
      <c r="E4227" s="719"/>
      <c r="F4227" s="719"/>
      <c r="G4227" s="719"/>
      <c r="H4227" s="638">
        <f>ROUND(H4224*$B$13,2)</f>
        <v>5.8</v>
      </c>
    </row>
    <row r="4228" spans="1:8">
      <c r="A4228" s="582"/>
      <c r="B4228" s="582"/>
      <c r="C4228" s="212"/>
      <c r="D4228" s="718" t="s">
        <v>9661</v>
      </c>
      <c r="E4228" s="718"/>
      <c r="F4228" s="718"/>
      <c r="G4228" s="718"/>
      <c r="H4228" s="213">
        <f>H4227+H4224</f>
        <v>27.34</v>
      </c>
    </row>
    <row r="4230" spans="1:8" s="201" customFormat="1">
      <c r="A4230" s="123" t="s">
        <v>6</v>
      </c>
      <c r="B4230" s="720" t="s">
        <v>7</v>
      </c>
      <c r="C4230" s="720"/>
      <c r="D4230" s="202" t="s">
        <v>124</v>
      </c>
      <c r="E4230" s="167" t="s">
        <v>6334</v>
      </c>
      <c r="F4230" s="202" t="s">
        <v>31</v>
      </c>
      <c r="G4230" s="203" t="s">
        <v>125</v>
      </c>
      <c r="H4230" s="204" t="s">
        <v>126</v>
      </c>
    </row>
    <row r="4231" spans="1:8" s="208" customFormat="1" ht="30">
      <c r="A4231" s="581" t="str">
        <f>'Orç - Prédio'!A661</f>
        <v>07.02.301.02</v>
      </c>
      <c r="B4231" s="581" t="str">
        <f>'Orç - Prédio'!B661</f>
        <v>CPOS</v>
      </c>
      <c r="C4231" s="581" t="str">
        <f>'Orç - Prédio'!C661</f>
        <v>61.20.450 MOD 2</v>
      </c>
      <c r="D4231" s="205" t="s">
        <v>9025</v>
      </c>
      <c r="E4231" s="206">
        <v>1310</v>
      </c>
      <c r="F4231" s="581" t="s">
        <v>6744</v>
      </c>
      <c r="G4231" s="207">
        <f>VLOOKUP("CUSTO TOTAL UNIT.:",D4232:$H$30004,5,FALSE)</f>
        <v>21.15</v>
      </c>
      <c r="H4231" s="637">
        <f>VLOOKUP("CUSTO TOTAL:",D4232:$H$30004,5,FALSE)</f>
        <v>27706.5</v>
      </c>
    </row>
    <row r="4232" spans="1:8" s="124" customFormat="1" ht="30">
      <c r="A4232" s="722">
        <v>39632</v>
      </c>
      <c r="B4232" s="722"/>
      <c r="C4232" s="184" t="s">
        <v>5256</v>
      </c>
      <c r="D4232" s="139" t="s">
        <v>10843</v>
      </c>
      <c r="E4232" s="209">
        <v>0.22115384615384612</v>
      </c>
      <c r="F4232" s="577" t="s">
        <v>46</v>
      </c>
      <c r="G4232" s="210">
        <v>28.0746</v>
      </c>
      <c r="H4232" s="211">
        <f>ROUND(G4232*E4232,2)</f>
        <v>6.21</v>
      </c>
    </row>
    <row r="4233" spans="1:8" s="124" customFormat="1" ht="30">
      <c r="A4233" s="721">
        <v>88315</v>
      </c>
      <c r="B4233" s="721"/>
      <c r="C4233" s="200" t="s">
        <v>5256</v>
      </c>
      <c r="D4233" s="139" t="s">
        <v>112</v>
      </c>
      <c r="E4233" s="209">
        <v>0.55000000000000004</v>
      </c>
      <c r="F4233" s="577" t="s">
        <v>67</v>
      </c>
      <c r="G4233" s="210">
        <v>15.519600000000001</v>
      </c>
      <c r="H4233" s="211">
        <f>ROUND(G4233*E4233,2)</f>
        <v>8.5399999999999991</v>
      </c>
    </row>
    <row r="4234" spans="1:8" s="124" customFormat="1" ht="30">
      <c r="A4234" s="721">
        <v>88316</v>
      </c>
      <c r="B4234" s="721"/>
      <c r="C4234" s="200" t="s">
        <v>5256</v>
      </c>
      <c r="D4234" s="139" t="s">
        <v>66</v>
      </c>
      <c r="E4234" s="209">
        <v>0.55000000000000004</v>
      </c>
      <c r="F4234" s="577" t="s">
        <v>67</v>
      </c>
      <c r="G4234" s="210">
        <v>11.631600000000001</v>
      </c>
      <c r="H4234" s="211">
        <f>ROUND(G4234*E4234,2)</f>
        <v>6.4</v>
      </c>
    </row>
    <row r="4235" spans="1:8" s="201" customFormat="1">
      <c r="A4235" s="582"/>
      <c r="B4235" s="582"/>
      <c r="C4235" s="212"/>
      <c r="D4235" s="719" t="s">
        <v>127</v>
      </c>
      <c r="E4235" s="719"/>
      <c r="F4235" s="719"/>
      <c r="G4235" s="719"/>
      <c r="H4235" s="638">
        <f>SUMIF(F4232:F4234,("h"),H4232:H4234)</f>
        <v>14.94</v>
      </c>
    </row>
    <row r="4236" spans="1:8" s="201" customFormat="1">
      <c r="A4236" s="582"/>
      <c r="B4236" s="582"/>
      <c r="C4236" s="212"/>
      <c r="D4236" s="719" t="s">
        <v>128</v>
      </c>
      <c r="E4236" s="719"/>
      <c r="F4236" s="719"/>
      <c r="G4236" s="719"/>
      <c r="H4236" s="638">
        <f>SUMIF(F4232:F4234,"&lt;&gt;h",H4232:H4234)</f>
        <v>6.21</v>
      </c>
    </row>
    <row r="4237" spans="1:8" s="201" customFormat="1">
      <c r="A4237" s="582"/>
      <c r="B4237" s="582"/>
      <c r="C4237" s="212"/>
      <c r="D4237" s="718" t="s">
        <v>129</v>
      </c>
      <c r="E4237" s="718"/>
      <c r="F4237" s="718"/>
      <c r="G4237" s="718"/>
      <c r="H4237" s="213">
        <f>SUM(H4235:H4236)</f>
        <v>21.15</v>
      </c>
    </row>
    <row r="4238" spans="1:8" s="201" customFormat="1">
      <c r="A4238" s="582"/>
      <c r="B4238" s="582"/>
      <c r="C4238" s="212"/>
      <c r="D4238" s="719" t="s">
        <v>28</v>
      </c>
      <c r="E4238" s="719"/>
      <c r="F4238" s="719"/>
      <c r="G4238" s="719"/>
      <c r="H4238" s="639">
        <f>E4231</f>
        <v>1310</v>
      </c>
    </row>
    <row r="4239" spans="1:8" s="201" customFormat="1">
      <c r="A4239" s="582"/>
      <c r="B4239" s="582"/>
      <c r="C4239" s="212"/>
      <c r="D4239" s="718" t="s">
        <v>130</v>
      </c>
      <c r="E4239" s="718"/>
      <c r="F4239" s="718"/>
      <c r="G4239" s="718"/>
      <c r="H4239" s="213">
        <f>ROUND(H4237*H4238,2)</f>
        <v>27706.5</v>
      </c>
    </row>
    <row r="4240" spans="1:8" s="201" customFormat="1">
      <c r="A4240" s="582"/>
      <c r="B4240" s="582"/>
      <c r="C4240" s="212"/>
      <c r="D4240" s="719" t="s">
        <v>15559</v>
      </c>
      <c r="E4240" s="719"/>
      <c r="F4240" s="719"/>
      <c r="G4240" s="719"/>
      <c r="H4240" s="638">
        <f>ROUND(H4237*$B$13,2)</f>
        <v>5.7</v>
      </c>
    </row>
    <row r="4241" spans="1:8">
      <c r="A4241" s="582"/>
      <c r="B4241" s="582"/>
      <c r="C4241" s="212"/>
      <c r="D4241" s="718" t="s">
        <v>9661</v>
      </c>
      <c r="E4241" s="718"/>
      <c r="F4241" s="718"/>
      <c r="G4241" s="718"/>
      <c r="H4241" s="213">
        <f>H4240+H4237</f>
        <v>26.849999999999998</v>
      </c>
    </row>
    <row r="4243" spans="1:8" s="201" customFormat="1">
      <c r="A4243" s="123" t="s">
        <v>6</v>
      </c>
      <c r="B4243" s="720" t="s">
        <v>7</v>
      </c>
      <c r="C4243" s="720"/>
      <c r="D4243" s="202" t="s">
        <v>124</v>
      </c>
      <c r="E4243" s="167" t="s">
        <v>6334</v>
      </c>
      <c r="F4243" s="202" t="s">
        <v>31</v>
      </c>
      <c r="G4243" s="203" t="s">
        <v>125</v>
      </c>
      <c r="H4243" s="204" t="s">
        <v>126</v>
      </c>
    </row>
    <row r="4244" spans="1:8" s="208" customFormat="1" ht="30">
      <c r="A4244" s="581" t="str">
        <f>'Orç - Prédio'!A662</f>
        <v>07.02.301.03</v>
      </c>
      <c r="B4244" s="581" t="str">
        <f>'Orç - Prédio'!B662</f>
        <v>CPOS</v>
      </c>
      <c r="C4244" s="581" t="str">
        <f>'Orç - Prédio'!C662</f>
        <v>61.20.450 MOD 3</v>
      </c>
      <c r="D4244" s="240" t="s">
        <v>9026</v>
      </c>
      <c r="E4244" s="206">
        <v>768</v>
      </c>
      <c r="F4244" s="581" t="s">
        <v>6744</v>
      </c>
      <c r="G4244" s="207">
        <f>VLOOKUP("CUSTO TOTAL UNIT.:",D4245:$H$30004,5,FALSE)</f>
        <v>21.08</v>
      </c>
      <c r="H4244" s="637">
        <f>VLOOKUP("CUSTO TOTAL:",D4245:$H$30004,5,FALSE)</f>
        <v>16189.44</v>
      </c>
    </row>
    <row r="4245" spans="1:8" s="124" customFormat="1" ht="30">
      <c r="A4245" s="722">
        <v>11049</v>
      </c>
      <c r="B4245" s="722"/>
      <c r="C4245" s="184" t="s">
        <v>5256</v>
      </c>
      <c r="D4245" s="139" t="s">
        <v>10842</v>
      </c>
      <c r="E4245" s="209">
        <v>1.1499999999999999</v>
      </c>
      <c r="F4245" s="577" t="s">
        <v>49</v>
      </c>
      <c r="G4245" s="210">
        <v>5.3379000000000003</v>
      </c>
      <c r="H4245" s="211">
        <f>ROUND(G4245*E4245,2)</f>
        <v>6.14</v>
      </c>
    </row>
    <row r="4246" spans="1:8" s="124" customFormat="1" ht="30">
      <c r="A4246" s="721">
        <v>88315</v>
      </c>
      <c r="B4246" s="721"/>
      <c r="C4246" s="200" t="s">
        <v>5256</v>
      </c>
      <c r="D4246" s="139" t="s">
        <v>112</v>
      </c>
      <c r="E4246" s="209">
        <v>0.55000000000000004</v>
      </c>
      <c r="F4246" s="577" t="s">
        <v>67</v>
      </c>
      <c r="G4246" s="210">
        <v>15.519600000000001</v>
      </c>
      <c r="H4246" s="211">
        <f>ROUND(G4246*E4246,2)</f>
        <v>8.5399999999999991</v>
      </c>
    </row>
    <row r="4247" spans="1:8" s="124" customFormat="1" ht="30">
      <c r="A4247" s="721">
        <v>88316</v>
      </c>
      <c r="B4247" s="721"/>
      <c r="C4247" s="200" t="s">
        <v>5256</v>
      </c>
      <c r="D4247" s="139" t="s">
        <v>66</v>
      </c>
      <c r="E4247" s="209">
        <v>0.55000000000000004</v>
      </c>
      <c r="F4247" s="577" t="s">
        <v>67</v>
      </c>
      <c r="G4247" s="210">
        <v>11.631600000000001</v>
      </c>
      <c r="H4247" s="211">
        <f>ROUND(G4247*E4247,2)</f>
        <v>6.4</v>
      </c>
    </row>
    <row r="4248" spans="1:8" s="201" customFormat="1">
      <c r="A4248" s="582"/>
      <c r="B4248" s="582"/>
      <c r="C4248" s="212"/>
      <c r="D4248" s="719" t="s">
        <v>127</v>
      </c>
      <c r="E4248" s="719"/>
      <c r="F4248" s="719"/>
      <c r="G4248" s="719"/>
      <c r="H4248" s="638">
        <f>SUMIF(F4245:F4247,("h"),H4245:H4247)</f>
        <v>14.94</v>
      </c>
    </row>
    <row r="4249" spans="1:8" s="201" customFormat="1">
      <c r="A4249" s="582"/>
      <c r="B4249" s="582"/>
      <c r="C4249" s="212"/>
      <c r="D4249" s="719" t="s">
        <v>128</v>
      </c>
      <c r="E4249" s="719"/>
      <c r="F4249" s="719"/>
      <c r="G4249" s="719"/>
      <c r="H4249" s="638">
        <f>SUMIF(F4245:F4247,"&lt;&gt;h",H4245:H4247)</f>
        <v>6.14</v>
      </c>
    </row>
    <row r="4250" spans="1:8" s="201" customFormat="1">
      <c r="A4250" s="582"/>
      <c r="B4250" s="582"/>
      <c r="C4250" s="212"/>
      <c r="D4250" s="718" t="s">
        <v>129</v>
      </c>
      <c r="E4250" s="718"/>
      <c r="F4250" s="718"/>
      <c r="G4250" s="718"/>
      <c r="H4250" s="213">
        <f>SUM(H4248:H4249)</f>
        <v>21.08</v>
      </c>
    </row>
    <row r="4251" spans="1:8" s="201" customFormat="1">
      <c r="A4251" s="582"/>
      <c r="B4251" s="582"/>
      <c r="C4251" s="212"/>
      <c r="D4251" s="719" t="s">
        <v>28</v>
      </c>
      <c r="E4251" s="719"/>
      <c r="F4251" s="719"/>
      <c r="G4251" s="719"/>
      <c r="H4251" s="639">
        <f>E4244</f>
        <v>768</v>
      </c>
    </row>
    <row r="4252" spans="1:8" s="201" customFormat="1">
      <c r="A4252" s="582"/>
      <c r="B4252" s="582"/>
      <c r="C4252" s="212"/>
      <c r="D4252" s="718" t="s">
        <v>130</v>
      </c>
      <c r="E4252" s="718"/>
      <c r="F4252" s="718"/>
      <c r="G4252" s="718"/>
      <c r="H4252" s="213">
        <f>ROUND(H4250*H4251,2)</f>
        <v>16189.44</v>
      </c>
    </row>
    <row r="4253" spans="1:8" s="201" customFormat="1">
      <c r="A4253" s="582"/>
      <c r="B4253" s="582"/>
      <c r="C4253" s="212"/>
      <c r="D4253" s="719" t="s">
        <v>15559</v>
      </c>
      <c r="E4253" s="719"/>
      <c r="F4253" s="719"/>
      <c r="G4253" s="719"/>
      <c r="H4253" s="638">
        <f>ROUND(H4250*$B$13,2)</f>
        <v>5.68</v>
      </c>
    </row>
    <row r="4254" spans="1:8">
      <c r="A4254" s="582"/>
      <c r="B4254" s="582"/>
      <c r="C4254" s="212"/>
      <c r="D4254" s="718" t="s">
        <v>9661</v>
      </c>
      <c r="E4254" s="718"/>
      <c r="F4254" s="718"/>
      <c r="G4254" s="718"/>
      <c r="H4254" s="213">
        <f>H4253+H4250</f>
        <v>26.759999999999998</v>
      </c>
    </row>
    <row r="4256" spans="1:8" s="201" customFormat="1">
      <c r="A4256" s="123" t="s">
        <v>6</v>
      </c>
      <c r="B4256" s="720" t="s">
        <v>7</v>
      </c>
      <c r="C4256" s="720"/>
      <c r="D4256" s="202" t="s">
        <v>124</v>
      </c>
      <c r="E4256" s="167" t="s">
        <v>6334</v>
      </c>
      <c r="F4256" s="202" t="s">
        <v>31</v>
      </c>
      <c r="G4256" s="203" t="s">
        <v>125</v>
      </c>
      <c r="H4256" s="204" t="s">
        <v>126</v>
      </c>
    </row>
    <row r="4257" spans="1:8" s="208" customFormat="1" ht="45">
      <c r="A4257" s="581" t="str">
        <f>'Orç - Prédio'!A663</f>
        <v>07.02.304.01</v>
      </c>
      <c r="B4257" s="581" t="str">
        <f>'Orç - Prédio'!B663</f>
        <v>ORSE</v>
      </c>
      <c r="C4257" s="581" t="str">
        <f>'Orç - Prédio'!C663</f>
        <v>10398 INSUMO</v>
      </c>
      <c r="D4257" s="205" t="s">
        <v>7984</v>
      </c>
      <c r="E4257" s="206">
        <v>330</v>
      </c>
      <c r="F4257" s="581" t="s">
        <v>6339</v>
      </c>
      <c r="G4257" s="207">
        <f>VLOOKUP("CUSTO TOTAL UNIT.:",D4258:$H$30004,5,FALSE)</f>
        <v>19.29</v>
      </c>
      <c r="H4257" s="637">
        <f>VLOOKUP("CUSTO TOTAL:",D4258:$H$30004,5,FALSE)</f>
        <v>6365.7</v>
      </c>
    </row>
    <row r="4258" spans="1:8" s="124" customFormat="1" ht="30">
      <c r="A4258" s="722">
        <v>10398</v>
      </c>
      <c r="B4258" s="722"/>
      <c r="C4258" s="184" t="s">
        <v>6333</v>
      </c>
      <c r="D4258" s="139" t="s">
        <v>8079</v>
      </c>
      <c r="E4258" s="209">
        <v>1</v>
      </c>
      <c r="F4258" s="577" t="s">
        <v>322</v>
      </c>
      <c r="G4258" s="210">
        <v>19.2942</v>
      </c>
      <c r="H4258" s="211">
        <f>ROUND(G4258*E4258,2)</f>
        <v>19.29</v>
      </c>
    </row>
    <row r="4259" spans="1:8" s="201" customFormat="1">
      <c r="A4259" s="582"/>
      <c r="B4259" s="582"/>
      <c r="C4259" s="212"/>
      <c r="D4259" s="719" t="s">
        <v>127</v>
      </c>
      <c r="E4259" s="719"/>
      <c r="F4259" s="719"/>
      <c r="G4259" s="719"/>
      <c r="H4259" s="638">
        <f>SUMIF(F4258:F4258,("h"),H4258:H4258)</f>
        <v>0</v>
      </c>
    </row>
    <row r="4260" spans="1:8" s="201" customFormat="1">
      <c r="A4260" s="582"/>
      <c r="B4260" s="582"/>
      <c r="C4260" s="212"/>
      <c r="D4260" s="719" t="s">
        <v>128</v>
      </c>
      <c r="E4260" s="719"/>
      <c r="F4260" s="719"/>
      <c r="G4260" s="719"/>
      <c r="H4260" s="638">
        <f>SUMIF(F4258:F4258,"&lt;&gt;h",H4258:H4258)</f>
        <v>19.29</v>
      </c>
    </row>
    <row r="4261" spans="1:8" s="201" customFormat="1">
      <c r="A4261" s="582"/>
      <c r="B4261" s="582"/>
      <c r="C4261" s="212"/>
      <c r="D4261" s="718" t="s">
        <v>129</v>
      </c>
      <c r="E4261" s="718"/>
      <c r="F4261" s="718"/>
      <c r="G4261" s="718"/>
      <c r="H4261" s="213">
        <f>SUM(H4259:H4260)</f>
        <v>19.29</v>
      </c>
    </row>
    <row r="4262" spans="1:8" s="201" customFormat="1">
      <c r="A4262" s="582"/>
      <c r="B4262" s="582"/>
      <c r="C4262" s="212"/>
      <c r="D4262" s="719" t="s">
        <v>28</v>
      </c>
      <c r="E4262" s="719"/>
      <c r="F4262" s="719"/>
      <c r="G4262" s="719"/>
      <c r="H4262" s="639">
        <f>E4257</f>
        <v>330</v>
      </c>
    </row>
    <row r="4263" spans="1:8" s="201" customFormat="1">
      <c r="A4263" s="582"/>
      <c r="B4263" s="582"/>
      <c r="C4263" s="212"/>
      <c r="D4263" s="718" t="s">
        <v>130</v>
      </c>
      <c r="E4263" s="718"/>
      <c r="F4263" s="718"/>
      <c r="G4263" s="718"/>
      <c r="H4263" s="213">
        <f>ROUND(H4261*H4262,2)</f>
        <v>6365.7</v>
      </c>
    </row>
    <row r="4264" spans="1:8" s="201" customFormat="1">
      <c r="A4264" s="582"/>
      <c r="B4264" s="582"/>
      <c r="C4264" s="212"/>
      <c r="D4264" s="719" t="s">
        <v>15559</v>
      </c>
      <c r="E4264" s="719"/>
      <c r="F4264" s="719"/>
      <c r="G4264" s="719"/>
      <c r="H4264" s="638">
        <f>ROUND(H4261*$B$13,2)</f>
        <v>5.19</v>
      </c>
    </row>
    <row r="4265" spans="1:8">
      <c r="A4265" s="582"/>
      <c r="B4265" s="582"/>
      <c r="C4265" s="212"/>
      <c r="D4265" s="718" t="s">
        <v>9661</v>
      </c>
      <c r="E4265" s="718"/>
      <c r="F4265" s="718"/>
      <c r="G4265" s="718"/>
      <c r="H4265" s="213">
        <f>H4264+H4261</f>
        <v>24.48</v>
      </c>
    </row>
    <row r="4267" spans="1:8" s="201" customFormat="1">
      <c r="A4267" s="123" t="s">
        <v>6</v>
      </c>
      <c r="B4267" s="720" t="s">
        <v>7</v>
      </c>
      <c r="C4267" s="720"/>
      <c r="D4267" s="202" t="s">
        <v>124</v>
      </c>
      <c r="E4267" s="167" t="s">
        <v>6334</v>
      </c>
      <c r="F4267" s="202" t="s">
        <v>31</v>
      </c>
      <c r="G4267" s="203" t="s">
        <v>125</v>
      </c>
      <c r="H4267" s="204" t="s">
        <v>126</v>
      </c>
    </row>
    <row r="4268" spans="1:8" s="208" customFormat="1" ht="30">
      <c r="A4268" s="581" t="str">
        <f>'Orç - Prédio'!A664</f>
        <v>07.02.305.01</v>
      </c>
      <c r="B4268" s="581" t="str">
        <f>'Orç - Prédio'!B664</f>
        <v>CPOS INSUMO</v>
      </c>
      <c r="C4268" s="581" t="str">
        <f>'Orç - Prédio'!C664</f>
        <v>S.04.000.069569</v>
      </c>
      <c r="D4268" s="205" t="s">
        <v>7987</v>
      </c>
      <c r="E4268" s="206">
        <v>2000</v>
      </c>
      <c r="F4268" s="581" t="s">
        <v>6337</v>
      </c>
      <c r="G4268" s="207">
        <f>VLOOKUP("CUSTO TOTAL UNIT.:",D4269:$H$30004,5,FALSE)</f>
        <v>0.28000000000000003</v>
      </c>
      <c r="H4268" s="637">
        <f>VLOOKUP("CUSTO TOTAL:",D4269:$H$30004,5,FALSE)</f>
        <v>560</v>
      </c>
    </row>
    <row r="4269" spans="1:8" s="124" customFormat="1" ht="30">
      <c r="A4269" s="722" t="s">
        <v>8080</v>
      </c>
      <c r="B4269" s="722"/>
      <c r="C4269" s="184" t="s">
        <v>6753</v>
      </c>
      <c r="D4269" s="139" t="s">
        <v>8081</v>
      </c>
      <c r="E4269" s="209">
        <v>1</v>
      </c>
      <c r="F4269" s="577" t="s">
        <v>8082</v>
      </c>
      <c r="G4269" s="210">
        <v>0.28349999999999997</v>
      </c>
      <c r="H4269" s="211">
        <f>ROUND(G4269*E4269,2)</f>
        <v>0.28000000000000003</v>
      </c>
    </row>
    <row r="4270" spans="1:8" s="201" customFormat="1">
      <c r="A4270" s="582"/>
      <c r="B4270" s="582"/>
      <c r="C4270" s="212"/>
      <c r="D4270" s="719" t="s">
        <v>127</v>
      </c>
      <c r="E4270" s="719"/>
      <c r="F4270" s="719"/>
      <c r="G4270" s="719"/>
      <c r="H4270" s="638">
        <f>SUMIF(F4269:F4269,("h"),H4269:H4269)</f>
        <v>0</v>
      </c>
    </row>
    <row r="4271" spans="1:8" s="201" customFormat="1">
      <c r="A4271" s="582"/>
      <c r="B4271" s="582"/>
      <c r="C4271" s="212"/>
      <c r="D4271" s="719" t="s">
        <v>128</v>
      </c>
      <c r="E4271" s="719"/>
      <c r="F4271" s="719"/>
      <c r="G4271" s="719"/>
      <c r="H4271" s="638">
        <f>SUMIF(F4269:F4269,"&lt;&gt;h",H4269:H4269)</f>
        <v>0.28000000000000003</v>
      </c>
    </row>
    <row r="4272" spans="1:8" s="201" customFormat="1">
      <c r="A4272" s="582"/>
      <c r="B4272" s="582"/>
      <c r="C4272" s="212"/>
      <c r="D4272" s="718" t="s">
        <v>129</v>
      </c>
      <c r="E4272" s="718"/>
      <c r="F4272" s="718"/>
      <c r="G4272" s="718"/>
      <c r="H4272" s="213">
        <f>SUM(H4270:H4271)</f>
        <v>0.28000000000000003</v>
      </c>
    </row>
    <row r="4273" spans="1:8" s="201" customFormat="1">
      <c r="A4273" s="582"/>
      <c r="B4273" s="582"/>
      <c r="C4273" s="212"/>
      <c r="D4273" s="719" t="s">
        <v>28</v>
      </c>
      <c r="E4273" s="719"/>
      <c r="F4273" s="719"/>
      <c r="G4273" s="719"/>
      <c r="H4273" s="639">
        <f>E4268</f>
        <v>2000</v>
      </c>
    </row>
    <row r="4274" spans="1:8" s="201" customFormat="1">
      <c r="A4274" s="582"/>
      <c r="B4274" s="582"/>
      <c r="C4274" s="212"/>
      <c r="D4274" s="718" t="s">
        <v>130</v>
      </c>
      <c r="E4274" s="718"/>
      <c r="F4274" s="718"/>
      <c r="G4274" s="718"/>
      <c r="H4274" s="213">
        <f>ROUND(H4272*H4273,2)</f>
        <v>560</v>
      </c>
    </row>
    <row r="4275" spans="1:8" s="201" customFormat="1">
      <c r="A4275" s="582"/>
      <c r="B4275" s="582"/>
      <c r="C4275" s="212"/>
      <c r="D4275" s="719" t="s">
        <v>15559</v>
      </c>
      <c r="E4275" s="719"/>
      <c r="F4275" s="719"/>
      <c r="G4275" s="719"/>
      <c r="H4275" s="638">
        <f>ROUND(H4272*$B$13,2)</f>
        <v>0.08</v>
      </c>
    </row>
    <row r="4276" spans="1:8">
      <c r="A4276" s="582"/>
      <c r="B4276" s="582"/>
      <c r="C4276" s="212"/>
      <c r="D4276" s="718" t="s">
        <v>9661</v>
      </c>
      <c r="E4276" s="718"/>
      <c r="F4276" s="718"/>
      <c r="G4276" s="718"/>
      <c r="H4276" s="213">
        <f>H4275+H4272</f>
        <v>0.36000000000000004</v>
      </c>
    </row>
    <row r="4278" spans="1:8" s="201" customFormat="1">
      <c r="A4278" s="123" t="s">
        <v>6</v>
      </c>
      <c r="B4278" s="720" t="s">
        <v>7</v>
      </c>
      <c r="C4278" s="720"/>
      <c r="D4278" s="202" t="s">
        <v>124</v>
      </c>
      <c r="E4278" s="167" t="s">
        <v>6334</v>
      </c>
      <c r="F4278" s="202" t="s">
        <v>31</v>
      </c>
      <c r="G4278" s="203" t="s">
        <v>125</v>
      </c>
      <c r="H4278" s="204" t="s">
        <v>126</v>
      </c>
    </row>
    <row r="4279" spans="1:8" s="208" customFormat="1" ht="30">
      <c r="A4279" s="581" t="str">
        <f>'Orç - Prédio'!A665</f>
        <v>07.02.305.02</v>
      </c>
      <c r="B4279" s="581" t="str">
        <f>'Orç - Prédio'!B665</f>
        <v>Comp. Montada</v>
      </c>
      <c r="C4279" s="581">
        <f>'Orç - Prédio'!C665</f>
        <v>16</v>
      </c>
      <c r="D4279" s="205" t="s">
        <v>8095</v>
      </c>
      <c r="E4279" s="206">
        <v>4000</v>
      </c>
      <c r="F4279" s="581" t="s">
        <v>6337</v>
      </c>
      <c r="G4279" s="207">
        <f>VLOOKUP("CUSTO TOTAL UNIT.:",D4280:$H$30004,5,FALSE)</f>
        <v>0.37</v>
      </c>
      <c r="H4279" s="637">
        <f>VLOOKUP("CUSTO TOTAL:",D4280:$H$30004,5,FALSE)</f>
        <v>1480</v>
      </c>
    </row>
    <row r="4280" spans="1:8" s="124" customFormat="1" ht="15" customHeight="1">
      <c r="A4280" s="722" t="s">
        <v>7394</v>
      </c>
      <c r="B4280" s="722"/>
      <c r="C4280" s="184" t="s">
        <v>8096</v>
      </c>
      <c r="D4280" s="139" t="s">
        <v>8097</v>
      </c>
      <c r="E4280" s="209">
        <v>1</v>
      </c>
      <c r="F4280" s="577" t="s">
        <v>31</v>
      </c>
      <c r="G4280" s="210">
        <v>0.37260000000000004</v>
      </c>
      <c r="H4280" s="211">
        <f>ROUND(G4280*E4280,2)</f>
        <v>0.37</v>
      </c>
    </row>
    <row r="4281" spans="1:8" s="201" customFormat="1">
      <c r="A4281" s="582"/>
      <c r="B4281" s="582"/>
      <c r="C4281" s="212"/>
      <c r="D4281" s="719" t="s">
        <v>127</v>
      </c>
      <c r="E4281" s="719"/>
      <c r="F4281" s="719"/>
      <c r="G4281" s="719"/>
      <c r="H4281" s="638">
        <f>SUMIF(F4280:F4280,("h"),H4280:H4280)</f>
        <v>0</v>
      </c>
    </row>
    <row r="4282" spans="1:8" s="201" customFormat="1">
      <c r="A4282" s="582"/>
      <c r="B4282" s="582"/>
      <c r="C4282" s="212"/>
      <c r="D4282" s="719" t="s">
        <v>128</v>
      </c>
      <c r="E4282" s="719"/>
      <c r="F4282" s="719"/>
      <c r="G4282" s="719"/>
      <c r="H4282" s="638">
        <f>SUMIF(F4280:F4280,"&lt;&gt;h",H4280:H4280)</f>
        <v>0.37</v>
      </c>
    </row>
    <row r="4283" spans="1:8" s="201" customFormat="1">
      <c r="A4283" s="582"/>
      <c r="B4283" s="582"/>
      <c r="C4283" s="212"/>
      <c r="D4283" s="718" t="s">
        <v>129</v>
      </c>
      <c r="E4283" s="718"/>
      <c r="F4283" s="718"/>
      <c r="G4283" s="718"/>
      <c r="H4283" s="213">
        <f>SUM(H4281:H4282)</f>
        <v>0.37</v>
      </c>
    </row>
    <row r="4284" spans="1:8" s="201" customFormat="1">
      <c r="A4284" s="582"/>
      <c r="B4284" s="582"/>
      <c r="C4284" s="212"/>
      <c r="D4284" s="719" t="s">
        <v>28</v>
      </c>
      <c r="E4284" s="719"/>
      <c r="F4284" s="719"/>
      <c r="G4284" s="719"/>
      <c r="H4284" s="639">
        <f>E4279</f>
        <v>4000</v>
      </c>
    </row>
    <row r="4285" spans="1:8" s="201" customFormat="1">
      <c r="A4285" s="582"/>
      <c r="B4285" s="582"/>
      <c r="C4285" s="212"/>
      <c r="D4285" s="718" t="s">
        <v>130</v>
      </c>
      <c r="E4285" s="718"/>
      <c r="F4285" s="718"/>
      <c r="G4285" s="718"/>
      <c r="H4285" s="213">
        <f>ROUND(H4283*H4284,2)</f>
        <v>1480</v>
      </c>
    </row>
    <row r="4286" spans="1:8" s="201" customFormat="1">
      <c r="A4286" s="582"/>
      <c r="B4286" s="582"/>
      <c r="C4286" s="212"/>
      <c r="D4286" s="719" t="s">
        <v>15559</v>
      </c>
      <c r="E4286" s="719"/>
      <c r="F4286" s="719"/>
      <c r="G4286" s="719"/>
      <c r="H4286" s="638">
        <f>ROUND(H4283*$B$13,2)</f>
        <v>0.1</v>
      </c>
    </row>
    <row r="4287" spans="1:8">
      <c r="A4287" s="582"/>
      <c r="B4287" s="582"/>
      <c r="C4287" s="212"/>
      <c r="D4287" s="718" t="s">
        <v>9661</v>
      </c>
      <c r="E4287" s="718"/>
      <c r="F4287" s="718"/>
      <c r="G4287" s="718"/>
      <c r="H4287" s="213">
        <f>H4286+H4283</f>
        <v>0.47</v>
      </c>
    </row>
    <row r="4289" spans="1:8" s="201" customFormat="1">
      <c r="A4289" s="123" t="s">
        <v>6</v>
      </c>
      <c r="B4289" s="720" t="s">
        <v>7</v>
      </c>
      <c r="C4289" s="720"/>
      <c r="D4289" s="202" t="s">
        <v>124</v>
      </c>
      <c r="E4289" s="167" t="s">
        <v>6334</v>
      </c>
      <c r="F4289" s="202" t="s">
        <v>31</v>
      </c>
      <c r="G4289" s="203" t="s">
        <v>125</v>
      </c>
      <c r="H4289" s="204" t="s">
        <v>126</v>
      </c>
    </row>
    <row r="4290" spans="1:8" s="208" customFormat="1" ht="30">
      <c r="A4290" s="581" t="str">
        <f>'Orç - Prédio'!A666</f>
        <v>07.02.305.03</v>
      </c>
      <c r="B4290" s="581" t="str">
        <f>'Orç - Prédio'!B666</f>
        <v>Comp. Montada</v>
      </c>
      <c r="C4290" s="581">
        <f>'Orç - Prédio'!C666</f>
        <v>17</v>
      </c>
      <c r="D4290" s="205" t="s">
        <v>8098</v>
      </c>
      <c r="E4290" s="206">
        <v>70</v>
      </c>
      <c r="F4290" s="581" t="s">
        <v>6337</v>
      </c>
      <c r="G4290" s="207">
        <f>VLOOKUP("CUSTO TOTAL UNIT.:",D4291:$H$30004,5,FALSE)</f>
        <v>4.8600000000000003</v>
      </c>
      <c r="H4290" s="637">
        <f>VLOOKUP("CUSTO TOTAL:",D4291:$H$30004,5,FALSE)</f>
        <v>340.2</v>
      </c>
    </row>
    <row r="4291" spans="1:8" s="124" customFormat="1" ht="15" customHeight="1">
      <c r="A4291" s="722" t="s">
        <v>7394</v>
      </c>
      <c r="B4291" s="722"/>
      <c r="C4291" s="184" t="s">
        <v>8096</v>
      </c>
      <c r="D4291" s="139" t="s">
        <v>8099</v>
      </c>
      <c r="E4291" s="209">
        <v>1</v>
      </c>
      <c r="F4291" s="577" t="s">
        <v>31</v>
      </c>
      <c r="G4291" s="210">
        <v>4.8600000000000003</v>
      </c>
      <c r="H4291" s="211">
        <f>ROUND(G4291*E4291,2)</f>
        <v>4.8600000000000003</v>
      </c>
    </row>
    <row r="4292" spans="1:8" s="201" customFormat="1">
      <c r="A4292" s="582"/>
      <c r="B4292" s="582"/>
      <c r="C4292" s="212"/>
      <c r="D4292" s="719" t="s">
        <v>127</v>
      </c>
      <c r="E4292" s="719"/>
      <c r="F4292" s="719"/>
      <c r="G4292" s="719"/>
      <c r="H4292" s="638">
        <f>SUMIF(F4291:F4291,("h"),H4291:H4291)</f>
        <v>0</v>
      </c>
    </row>
    <row r="4293" spans="1:8" s="201" customFormat="1">
      <c r="A4293" s="582"/>
      <c r="B4293" s="582"/>
      <c r="C4293" s="212"/>
      <c r="D4293" s="719" t="s">
        <v>128</v>
      </c>
      <c r="E4293" s="719"/>
      <c r="F4293" s="719"/>
      <c r="G4293" s="719"/>
      <c r="H4293" s="638">
        <f>SUMIF(F4291:F4291,"&lt;&gt;h",H4291:H4291)</f>
        <v>4.8600000000000003</v>
      </c>
    </row>
    <row r="4294" spans="1:8" s="201" customFormat="1">
      <c r="A4294" s="582"/>
      <c r="B4294" s="582"/>
      <c r="C4294" s="212"/>
      <c r="D4294" s="718" t="s">
        <v>129</v>
      </c>
      <c r="E4294" s="718"/>
      <c r="F4294" s="718"/>
      <c r="G4294" s="718"/>
      <c r="H4294" s="213">
        <f>SUM(H4292:H4293)</f>
        <v>4.8600000000000003</v>
      </c>
    </row>
    <row r="4295" spans="1:8" s="201" customFormat="1">
      <c r="A4295" s="582"/>
      <c r="B4295" s="582"/>
      <c r="C4295" s="212"/>
      <c r="D4295" s="719" t="s">
        <v>28</v>
      </c>
      <c r="E4295" s="719"/>
      <c r="F4295" s="719"/>
      <c r="G4295" s="719"/>
      <c r="H4295" s="639">
        <f>E4290</f>
        <v>70</v>
      </c>
    </row>
    <row r="4296" spans="1:8" s="201" customFormat="1">
      <c r="A4296" s="582"/>
      <c r="B4296" s="582"/>
      <c r="C4296" s="212"/>
      <c r="D4296" s="718" t="s">
        <v>130</v>
      </c>
      <c r="E4296" s="718"/>
      <c r="F4296" s="718"/>
      <c r="G4296" s="718"/>
      <c r="H4296" s="213">
        <f>ROUND(H4294*H4295,2)</f>
        <v>340.2</v>
      </c>
    </row>
    <row r="4297" spans="1:8" s="201" customFormat="1">
      <c r="A4297" s="582"/>
      <c r="B4297" s="582"/>
      <c r="C4297" s="212"/>
      <c r="D4297" s="719" t="s">
        <v>15559</v>
      </c>
      <c r="E4297" s="719"/>
      <c r="F4297" s="719"/>
      <c r="G4297" s="719"/>
      <c r="H4297" s="638">
        <f>ROUND(H4294*$B$13,2)</f>
        <v>1.31</v>
      </c>
    </row>
    <row r="4298" spans="1:8">
      <c r="A4298" s="582"/>
      <c r="B4298" s="582"/>
      <c r="C4298" s="212"/>
      <c r="D4298" s="718" t="s">
        <v>9661</v>
      </c>
      <c r="E4298" s="718"/>
      <c r="F4298" s="718"/>
      <c r="G4298" s="718"/>
      <c r="H4298" s="213">
        <f>H4297+H4294</f>
        <v>6.17</v>
      </c>
    </row>
    <row r="4300" spans="1:8" s="201" customFormat="1">
      <c r="A4300" s="123" t="s">
        <v>6</v>
      </c>
      <c r="B4300" s="720" t="s">
        <v>7</v>
      </c>
      <c r="C4300" s="720"/>
      <c r="D4300" s="202" t="s">
        <v>124</v>
      </c>
      <c r="E4300" s="167" t="s">
        <v>6334</v>
      </c>
      <c r="F4300" s="202" t="s">
        <v>31</v>
      </c>
      <c r="G4300" s="203" t="s">
        <v>125</v>
      </c>
      <c r="H4300" s="204" t="s">
        <v>126</v>
      </c>
    </row>
    <row r="4301" spans="1:8" s="208" customFormat="1">
      <c r="A4301" s="581" t="str">
        <f>'Orç - Prédio'!A667</f>
        <v>07.02.305.07</v>
      </c>
      <c r="B4301" s="581" t="str">
        <f>'Orç - Prédio'!B667</f>
        <v>ORSE</v>
      </c>
      <c r="C4301" s="581">
        <f>'Orç - Prédio'!C667</f>
        <v>9306</v>
      </c>
      <c r="D4301" s="205" t="s">
        <v>8100</v>
      </c>
      <c r="E4301" s="206">
        <v>80</v>
      </c>
      <c r="F4301" s="581" t="s">
        <v>6337</v>
      </c>
      <c r="G4301" s="207">
        <f>VLOOKUP("CUSTO TOTAL UNIT.:",D4302:$H$30004,5,FALSE)</f>
        <v>10.08</v>
      </c>
      <c r="H4301" s="637">
        <f>VLOOKUP("CUSTO TOTAL:",D4302:$H$30004,5,FALSE)</f>
        <v>806.4</v>
      </c>
    </row>
    <row r="4302" spans="1:8" s="124" customFormat="1">
      <c r="A4302" s="722">
        <v>9635</v>
      </c>
      <c r="B4302" s="722"/>
      <c r="C4302" s="184" t="s">
        <v>6333</v>
      </c>
      <c r="D4302" s="139" t="s">
        <v>8101</v>
      </c>
      <c r="E4302" s="209">
        <v>1</v>
      </c>
      <c r="F4302" s="577" t="s">
        <v>31</v>
      </c>
      <c r="G4302" s="210">
        <v>10.0845</v>
      </c>
      <c r="H4302" s="211">
        <f>ROUND(G4302*E4302,2)</f>
        <v>10.08</v>
      </c>
    </row>
    <row r="4303" spans="1:8" s="201" customFormat="1">
      <c r="A4303" s="582"/>
      <c r="B4303" s="582"/>
      <c r="C4303" s="212"/>
      <c r="D4303" s="719" t="s">
        <v>127</v>
      </c>
      <c r="E4303" s="719"/>
      <c r="F4303" s="719"/>
      <c r="G4303" s="719"/>
      <c r="H4303" s="638">
        <f>SUMIF(F4302:F4302,("h"),H4302:H4302)</f>
        <v>0</v>
      </c>
    </row>
    <row r="4304" spans="1:8" s="201" customFormat="1">
      <c r="A4304" s="582"/>
      <c r="B4304" s="582"/>
      <c r="C4304" s="212"/>
      <c r="D4304" s="719" t="s">
        <v>128</v>
      </c>
      <c r="E4304" s="719"/>
      <c r="F4304" s="719"/>
      <c r="G4304" s="719"/>
      <c r="H4304" s="638">
        <f>SUMIF(F4302:F4302,"&lt;&gt;h",H4302:H4302)</f>
        <v>10.08</v>
      </c>
    </row>
    <row r="4305" spans="1:8" s="201" customFormat="1">
      <c r="A4305" s="582"/>
      <c r="B4305" s="582"/>
      <c r="C4305" s="212"/>
      <c r="D4305" s="718" t="s">
        <v>129</v>
      </c>
      <c r="E4305" s="718"/>
      <c r="F4305" s="718"/>
      <c r="G4305" s="718"/>
      <c r="H4305" s="213">
        <f>SUM(H4303:H4304)</f>
        <v>10.08</v>
      </c>
    </row>
    <row r="4306" spans="1:8" s="201" customFormat="1">
      <c r="A4306" s="582"/>
      <c r="B4306" s="582"/>
      <c r="C4306" s="212"/>
      <c r="D4306" s="719" t="s">
        <v>28</v>
      </c>
      <c r="E4306" s="719"/>
      <c r="F4306" s="719"/>
      <c r="G4306" s="719"/>
      <c r="H4306" s="639">
        <f>E4301</f>
        <v>80</v>
      </c>
    </row>
    <row r="4307" spans="1:8" s="201" customFormat="1">
      <c r="A4307" s="582"/>
      <c r="B4307" s="582"/>
      <c r="C4307" s="212"/>
      <c r="D4307" s="718" t="s">
        <v>130</v>
      </c>
      <c r="E4307" s="718"/>
      <c r="F4307" s="718"/>
      <c r="G4307" s="718"/>
      <c r="H4307" s="213">
        <f>ROUND(H4305*H4306,2)</f>
        <v>806.4</v>
      </c>
    </row>
    <row r="4308" spans="1:8" s="201" customFormat="1">
      <c r="A4308" s="582"/>
      <c r="B4308" s="582"/>
      <c r="C4308" s="212"/>
      <c r="D4308" s="719" t="s">
        <v>15559</v>
      </c>
      <c r="E4308" s="719"/>
      <c r="F4308" s="719"/>
      <c r="G4308" s="719"/>
      <c r="H4308" s="638">
        <f>ROUND(H4305*$B$13,2)</f>
        <v>2.71</v>
      </c>
    </row>
    <row r="4309" spans="1:8">
      <c r="A4309" s="582"/>
      <c r="B4309" s="582"/>
      <c r="C4309" s="212"/>
      <c r="D4309" s="718" t="s">
        <v>9661</v>
      </c>
      <c r="E4309" s="718"/>
      <c r="F4309" s="718"/>
      <c r="G4309" s="718"/>
      <c r="H4309" s="213">
        <f>H4308+H4305</f>
        <v>12.79</v>
      </c>
    </row>
    <row r="4311" spans="1:8" s="201" customFormat="1">
      <c r="A4311" s="123" t="s">
        <v>6</v>
      </c>
      <c r="B4311" s="720" t="s">
        <v>7</v>
      </c>
      <c r="C4311" s="720"/>
      <c r="D4311" s="202" t="s">
        <v>124</v>
      </c>
      <c r="E4311" s="167" t="s">
        <v>6334</v>
      </c>
      <c r="F4311" s="202" t="s">
        <v>31</v>
      </c>
      <c r="G4311" s="203" t="s">
        <v>125</v>
      </c>
      <c r="H4311" s="204" t="s">
        <v>126</v>
      </c>
    </row>
    <row r="4312" spans="1:8" s="208" customFormat="1" ht="30">
      <c r="A4312" s="581" t="str">
        <f>'Orç - Prédio'!A668</f>
        <v>07.02.305.08</v>
      </c>
      <c r="B4312" s="581" t="str">
        <f>'Orç - Prédio'!B668</f>
        <v>ORSE</v>
      </c>
      <c r="C4312" s="581">
        <f>'Orç - Prédio'!C668</f>
        <v>9669</v>
      </c>
      <c r="D4312" s="205" t="s">
        <v>8102</v>
      </c>
      <c r="E4312" s="206">
        <v>20</v>
      </c>
      <c r="F4312" s="581" t="s">
        <v>6337</v>
      </c>
      <c r="G4312" s="207">
        <f>VLOOKUP("CUSTO TOTAL UNIT.:",D4313:$H$30004,5,FALSE)</f>
        <v>37.67</v>
      </c>
      <c r="H4312" s="637">
        <f>VLOOKUP("CUSTO TOTAL:",D4313:$H$30004,5,FALSE)</f>
        <v>753.4</v>
      </c>
    </row>
    <row r="4313" spans="1:8" s="124" customFormat="1" ht="30">
      <c r="A4313" s="722">
        <v>39028</v>
      </c>
      <c r="B4313" s="722"/>
      <c r="C4313" s="184" t="s">
        <v>5256</v>
      </c>
      <c r="D4313" s="139" t="s">
        <v>13332</v>
      </c>
      <c r="E4313" s="209">
        <v>6</v>
      </c>
      <c r="F4313" s="577" t="s">
        <v>48</v>
      </c>
      <c r="G4313" s="210">
        <v>3.9933000000000001</v>
      </c>
      <c r="H4313" s="211">
        <f>ROUND(G4313*E4313,2)</f>
        <v>23.96</v>
      </c>
    </row>
    <row r="4314" spans="1:8" s="124" customFormat="1" ht="30">
      <c r="A4314" s="721">
        <v>88264</v>
      </c>
      <c r="B4314" s="721"/>
      <c r="C4314" s="200" t="s">
        <v>5256</v>
      </c>
      <c r="D4314" s="139" t="s">
        <v>84</v>
      </c>
      <c r="E4314" s="209">
        <v>0.5</v>
      </c>
      <c r="F4314" s="577" t="s">
        <v>67</v>
      </c>
      <c r="G4314" s="210">
        <v>15.778800000000002</v>
      </c>
      <c r="H4314" s="211">
        <f>ROUND(G4314*E4314,2)</f>
        <v>7.89</v>
      </c>
    </row>
    <row r="4315" spans="1:8" s="124" customFormat="1" ht="30">
      <c r="A4315" s="721">
        <v>88316</v>
      </c>
      <c r="B4315" s="721"/>
      <c r="C4315" s="200" t="s">
        <v>5256</v>
      </c>
      <c r="D4315" s="139" t="s">
        <v>66</v>
      </c>
      <c r="E4315" s="209">
        <v>0.5</v>
      </c>
      <c r="F4315" s="577" t="s">
        <v>67</v>
      </c>
      <c r="G4315" s="210">
        <v>11.631600000000001</v>
      </c>
      <c r="H4315" s="211">
        <f>ROUND(G4315*E4315,2)</f>
        <v>5.82</v>
      </c>
    </row>
    <row r="4316" spans="1:8" s="201" customFormat="1">
      <c r="A4316" s="582"/>
      <c r="B4316" s="582"/>
      <c r="C4316" s="212"/>
      <c r="D4316" s="719" t="s">
        <v>127</v>
      </c>
      <c r="E4316" s="719"/>
      <c r="F4316" s="719"/>
      <c r="G4316" s="719"/>
      <c r="H4316" s="638">
        <f>SUMIF(F4313:F4315,("h"),H4313:H4315)</f>
        <v>13.71</v>
      </c>
    </row>
    <row r="4317" spans="1:8" s="201" customFormat="1">
      <c r="A4317" s="582"/>
      <c r="B4317" s="582"/>
      <c r="C4317" s="212"/>
      <c r="D4317" s="719" t="s">
        <v>128</v>
      </c>
      <c r="E4317" s="719"/>
      <c r="F4317" s="719"/>
      <c r="G4317" s="719"/>
      <c r="H4317" s="638">
        <f>SUMIF(F4313:F4315,"&lt;&gt;h",H4313:H4315)</f>
        <v>23.96</v>
      </c>
    </row>
    <row r="4318" spans="1:8" s="201" customFormat="1">
      <c r="A4318" s="582"/>
      <c r="B4318" s="582"/>
      <c r="C4318" s="212"/>
      <c r="D4318" s="718" t="s">
        <v>129</v>
      </c>
      <c r="E4318" s="718"/>
      <c r="F4318" s="718"/>
      <c r="G4318" s="718"/>
      <c r="H4318" s="213">
        <f>SUM(H4316:H4317)</f>
        <v>37.67</v>
      </c>
    </row>
    <row r="4319" spans="1:8" s="201" customFormat="1">
      <c r="A4319" s="582"/>
      <c r="B4319" s="582"/>
      <c r="C4319" s="212"/>
      <c r="D4319" s="719" t="s">
        <v>28</v>
      </c>
      <c r="E4319" s="719"/>
      <c r="F4319" s="719"/>
      <c r="G4319" s="719"/>
      <c r="H4319" s="639">
        <f>E4312</f>
        <v>20</v>
      </c>
    </row>
    <row r="4320" spans="1:8" s="201" customFormat="1">
      <c r="A4320" s="582"/>
      <c r="B4320" s="582"/>
      <c r="C4320" s="212"/>
      <c r="D4320" s="718" t="s">
        <v>130</v>
      </c>
      <c r="E4320" s="718"/>
      <c r="F4320" s="718"/>
      <c r="G4320" s="718"/>
      <c r="H4320" s="213">
        <f>ROUND(H4318*H4319,2)</f>
        <v>753.4</v>
      </c>
    </row>
    <row r="4321" spans="1:8" s="201" customFormat="1">
      <c r="A4321" s="582"/>
      <c r="B4321" s="582"/>
      <c r="C4321" s="212"/>
      <c r="D4321" s="719" t="s">
        <v>15559</v>
      </c>
      <c r="E4321" s="719"/>
      <c r="F4321" s="719"/>
      <c r="G4321" s="719"/>
      <c r="H4321" s="638">
        <f>ROUND(H4318*$B$13,2)</f>
        <v>10.14</v>
      </c>
    </row>
    <row r="4322" spans="1:8">
      <c r="A4322" s="582"/>
      <c r="B4322" s="582"/>
      <c r="C4322" s="212"/>
      <c r="D4322" s="718" t="s">
        <v>9661</v>
      </c>
      <c r="E4322" s="718"/>
      <c r="F4322" s="718"/>
      <c r="G4322" s="718"/>
      <c r="H4322" s="213">
        <f>H4321+H4318</f>
        <v>47.81</v>
      </c>
    </row>
    <row r="4324" spans="1:8" s="201" customFormat="1">
      <c r="A4324" s="123" t="s">
        <v>6</v>
      </c>
      <c r="B4324" s="720" t="s">
        <v>7</v>
      </c>
      <c r="C4324" s="720"/>
      <c r="D4324" s="202" t="s">
        <v>124</v>
      </c>
      <c r="E4324" s="167" t="s">
        <v>6334</v>
      </c>
      <c r="F4324" s="202" t="s">
        <v>31</v>
      </c>
      <c r="G4324" s="203" t="s">
        <v>125</v>
      </c>
      <c r="H4324" s="204" t="s">
        <v>126</v>
      </c>
    </row>
    <row r="4325" spans="1:8" s="208" customFormat="1" ht="30">
      <c r="A4325" s="581" t="str">
        <f>'Orç - Prédio'!A669</f>
        <v>07.02.305.09</v>
      </c>
      <c r="B4325" s="581" t="str">
        <f>'Orç - Prédio'!B669</f>
        <v>ORSE</v>
      </c>
      <c r="C4325" s="581" t="str">
        <f>'Orç - Prédio'!C669</f>
        <v>9669 MOD</v>
      </c>
      <c r="D4325" s="205" t="s">
        <v>15416</v>
      </c>
      <c r="E4325" s="206">
        <v>40</v>
      </c>
      <c r="F4325" s="581" t="s">
        <v>6337</v>
      </c>
      <c r="G4325" s="207">
        <f>VLOOKUP("CUSTO TOTAL UNIT.:",D4326:$H$30004,5,FALSE)</f>
        <v>26.880000000000003</v>
      </c>
      <c r="H4325" s="637">
        <f>VLOOKUP("CUSTO TOTAL:",D4326:$H$30004,5,FALSE)</f>
        <v>1075.2</v>
      </c>
    </row>
    <row r="4326" spans="1:8" s="124" customFormat="1" ht="30">
      <c r="A4326" s="722">
        <v>39328</v>
      </c>
      <c r="B4326" s="722"/>
      <c r="C4326" s="184" t="s">
        <v>5256</v>
      </c>
      <c r="D4326" s="139" t="s">
        <v>13333</v>
      </c>
      <c r="E4326" s="209">
        <v>6</v>
      </c>
      <c r="F4326" s="577" t="s">
        <v>48</v>
      </c>
      <c r="G4326" s="210">
        <v>2.1951000000000001</v>
      </c>
      <c r="H4326" s="211">
        <f>ROUND(G4326*E4326,2)</f>
        <v>13.17</v>
      </c>
    </row>
    <row r="4327" spans="1:8" s="124" customFormat="1" ht="30">
      <c r="A4327" s="721">
        <v>88264</v>
      </c>
      <c r="B4327" s="721"/>
      <c r="C4327" s="200" t="s">
        <v>5256</v>
      </c>
      <c r="D4327" s="139" t="s">
        <v>84</v>
      </c>
      <c r="E4327" s="209">
        <v>0.5</v>
      </c>
      <c r="F4327" s="577" t="s">
        <v>67</v>
      </c>
      <c r="G4327" s="210">
        <v>15.778800000000002</v>
      </c>
      <c r="H4327" s="211">
        <f>ROUND(G4327*E4327,2)</f>
        <v>7.89</v>
      </c>
    </row>
    <row r="4328" spans="1:8" s="124" customFormat="1" ht="30">
      <c r="A4328" s="721">
        <v>88316</v>
      </c>
      <c r="B4328" s="721"/>
      <c r="C4328" s="200" t="s">
        <v>5256</v>
      </c>
      <c r="D4328" s="139" t="s">
        <v>66</v>
      </c>
      <c r="E4328" s="209">
        <v>0.5</v>
      </c>
      <c r="F4328" s="577" t="s">
        <v>67</v>
      </c>
      <c r="G4328" s="210">
        <v>11.631600000000001</v>
      </c>
      <c r="H4328" s="211">
        <f>ROUND(G4328*E4328,2)</f>
        <v>5.82</v>
      </c>
    </row>
    <row r="4329" spans="1:8" s="201" customFormat="1">
      <c r="A4329" s="582"/>
      <c r="B4329" s="582"/>
      <c r="C4329" s="212"/>
      <c r="D4329" s="719" t="s">
        <v>127</v>
      </c>
      <c r="E4329" s="719"/>
      <c r="F4329" s="719"/>
      <c r="G4329" s="719"/>
      <c r="H4329" s="638">
        <f>SUMIF(F4326:F4328,("h"),H4326:H4328)</f>
        <v>13.71</v>
      </c>
    </row>
    <row r="4330" spans="1:8" s="201" customFormat="1">
      <c r="A4330" s="582"/>
      <c r="B4330" s="582"/>
      <c r="C4330" s="212"/>
      <c r="D4330" s="719" t="s">
        <v>128</v>
      </c>
      <c r="E4330" s="719"/>
      <c r="F4330" s="719"/>
      <c r="G4330" s="719"/>
      <c r="H4330" s="638">
        <f>SUMIF(F4326:F4328,"&lt;&gt;h",H4326:H4328)</f>
        <v>13.17</v>
      </c>
    </row>
    <row r="4331" spans="1:8" s="201" customFormat="1">
      <c r="A4331" s="582"/>
      <c r="B4331" s="582"/>
      <c r="C4331" s="212"/>
      <c r="D4331" s="718" t="s">
        <v>129</v>
      </c>
      <c r="E4331" s="718"/>
      <c r="F4331" s="718"/>
      <c r="G4331" s="718"/>
      <c r="H4331" s="213">
        <f>SUM(H4329:H4330)</f>
        <v>26.880000000000003</v>
      </c>
    </row>
    <row r="4332" spans="1:8" s="201" customFormat="1">
      <c r="A4332" s="582"/>
      <c r="B4332" s="582"/>
      <c r="C4332" s="212"/>
      <c r="D4332" s="719" t="s">
        <v>28</v>
      </c>
      <c r="E4332" s="719"/>
      <c r="F4332" s="719"/>
      <c r="G4332" s="719"/>
      <c r="H4332" s="639">
        <f>E4325</f>
        <v>40</v>
      </c>
    </row>
    <row r="4333" spans="1:8" s="201" customFormat="1">
      <c r="A4333" s="582"/>
      <c r="B4333" s="582"/>
      <c r="C4333" s="212"/>
      <c r="D4333" s="718" t="s">
        <v>130</v>
      </c>
      <c r="E4333" s="718"/>
      <c r="F4333" s="718"/>
      <c r="G4333" s="718"/>
      <c r="H4333" s="213">
        <f>ROUND(H4331*H4332,2)</f>
        <v>1075.2</v>
      </c>
    </row>
    <row r="4334" spans="1:8" s="201" customFormat="1">
      <c r="A4334" s="582"/>
      <c r="B4334" s="582"/>
      <c r="C4334" s="212"/>
      <c r="D4334" s="719" t="s">
        <v>15559</v>
      </c>
      <c r="E4334" s="719"/>
      <c r="F4334" s="719"/>
      <c r="G4334" s="719"/>
      <c r="H4334" s="638">
        <f>ROUND(H4331*$B$13,2)</f>
        <v>7.24</v>
      </c>
    </row>
    <row r="4335" spans="1:8">
      <c r="A4335" s="582"/>
      <c r="B4335" s="582"/>
      <c r="C4335" s="212"/>
      <c r="D4335" s="718" t="s">
        <v>9661</v>
      </c>
      <c r="E4335" s="718"/>
      <c r="F4335" s="718"/>
      <c r="G4335" s="718"/>
      <c r="H4335" s="213">
        <f>H4334+H4331</f>
        <v>34.120000000000005</v>
      </c>
    </row>
    <row r="4337" spans="1:8" s="201" customFormat="1">
      <c r="A4337" s="123" t="s">
        <v>6</v>
      </c>
      <c r="B4337" s="720" t="s">
        <v>7</v>
      </c>
      <c r="C4337" s="720"/>
      <c r="D4337" s="202" t="s">
        <v>124</v>
      </c>
      <c r="E4337" s="167" t="s">
        <v>6334</v>
      </c>
      <c r="F4337" s="202" t="s">
        <v>31</v>
      </c>
      <c r="G4337" s="203" t="s">
        <v>125</v>
      </c>
      <c r="H4337" s="204" t="s">
        <v>126</v>
      </c>
    </row>
    <row r="4338" spans="1:8" s="208" customFormat="1">
      <c r="A4338" s="581" t="str">
        <f>'Orç - Prédio'!A670</f>
        <v>07.02.305.10</v>
      </c>
      <c r="B4338" s="581" t="str">
        <f>'Orç - Prédio'!B670</f>
        <v>ORSE</v>
      </c>
      <c r="C4338" s="581" t="str">
        <f>'Orç - Prédio'!C670</f>
        <v>VEG 7384</v>
      </c>
      <c r="D4338" s="205" t="s">
        <v>7988</v>
      </c>
      <c r="E4338" s="206">
        <v>70</v>
      </c>
      <c r="F4338" s="581" t="s">
        <v>6337</v>
      </c>
      <c r="G4338" s="207">
        <f>VLOOKUP("CUSTO TOTAL UNIT.:",D4339:$H$30004,5,FALSE)</f>
        <v>9.75</v>
      </c>
      <c r="H4338" s="637">
        <f>VLOOKUP("CUSTO TOTAL:",D4339:$H$30004,5,FALSE)</f>
        <v>682.5</v>
      </c>
    </row>
    <row r="4339" spans="1:8" s="124" customFormat="1" ht="30">
      <c r="A4339" s="722">
        <v>39996</v>
      </c>
      <c r="B4339" s="722"/>
      <c r="C4339" s="184" t="s">
        <v>5256</v>
      </c>
      <c r="D4339" s="139" t="s">
        <v>14921</v>
      </c>
      <c r="E4339" s="209">
        <v>1</v>
      </c>
      <c r="F4339" s="577" t="s">
        <v>48</v>
      </c>
      <c r="G4339" s="210">
        <v>1.5308999999999999</v>
      </c>
      <c r="H4339" s="211">
        <f>ROUND(G4339*E4339,2)</f>
        <v>1.53</v>
      </c>
    </row>
    <row r="4340" spans="1:8" s="124" customFormat="1" ht="30">
      <c r="A4340" s="721">
        <v>88264</v>
      </c>
      <c r="B4340" s="721"/>
      <c r="C4340" s="200" t="s">
        <v>5256</v>
      </c>
      <c r="D4340" s="139" t="s">
        <v>84</v>
      </c>
      <c r="E4340" s="209">
        <v>0.3</v>
      </c>
      <c r="F4340" s="577" t="s">
        <v>67</v>
      </c>
      <c r="G4340" s="210">
        <v>15.778800000000002</v>
      </c>
      <c r="H4340" s="211">
        <f>ROUND(G4340*E4340,2)</f>
        <v>4.7300000000000004</v>
      </c>
    </row>
    <row r="4341" spans="1:8" s="124" customFormat="1" ht="30">
      <c r="A4341" s="721">
        <v>88316</v>
      </c>
      <c r="B4341" s="721"/>
      <c r="C4341" s="200" t="s">
        <v>5256</v>
      </c>
      <c r="D4341" s="139" t="s">
        <v>66</v>
      </c>
      <c r="E4341" s="209">
        <v>0.3</v>
      </c>
      <c r="F4341" s="577" t="s">
        <v>67</v>
      </c>
      <c r="G4341" s="210">
        <v>11.631600000000001</v>
      </c>
      <c r="H4341" s="211">
        <f>ROUND(G4341*E4341,2)</f>
        <v>3.49</v>
      </c>
    </row>
    <row r="4342" spans="1:8" s="201" customFormat="1">
      <c r="A4342" s="582"/>
      <c r="B4342" s="582"/>
      <c r="C4342" s="212"/>
      <c r="D4342" s="719" t="s">
        <v>127</v>
      </c>
      <c r="E4342" s="719"/>
      <c r="F4342" s="719"/>
      <c r="G4342" s="719"/>
      <c r="H4342" s="638">
        <f>SUMIF(F4339:F4341,("h"),H4339:H4341)</f>
        <v>8.2200000000000006</v>
      </c>
    </row>
    <row r="4343" spans="1:8" s="201" customFormat="1">
      <c r="A4343" s="582"/>
      <c r="B4343" s="582"/>
      <c r="C4343" s="212"/>
      <c r="D4343" s="719" t="s">
        <v>128</v>
      </c>
      <c r="E4343" s="719"/>
      <c r="F4343" s="719"/>
      <c r="G4343" s="719"/>
      <c r="H4343" s="638">
        <f>SUMIF(F4339:F4341,"&lt;&gt;h",H4339:H4341)</f>
        <v>1.53</v>
      </c>
    </row>
    <row r="4344" spans="1:8" s="201" customFormat="1">
      <c r="A4344" s="582"/>
      <c r="B4344" s="582"/>
      <c r="C4344" s="212"/>
      <c r="D4344" s="718" t="s">
        <v>129</v>
      </c>
      <c r="E4344" s="718"/>
      <c r="F4344" s="718"/>
      <c r="G4344" s="718"/>
      <c r="H4344" s="213">
        <f>SUM(H4342:H4343)</f>
        <v>9.75</v>
      </c>
    </row>
    <row r="4345" spans="1:8" s="201" customFormat="1">
      <c r="A4345" s="582"/>
      <c r="B4345" s="582"/>
      <c r="C4345" s="212"/>
      <c r="D4345" s="719" t="s">
        <v>28</v>
      </c>
      <c r="E4345" s="719"/>
      <c r="F4345" s="719"/>
      <c r="G4345" s="719"/>
      <c r="H4345" s="639">
        <f>E4338</f>
        <v>70</v>
      </c>
    </row>
    <row r="4346" spans="1:8" s="201" customFormat="1">
      <c r="A4346" s="582"/>
      <c r="B4346" s="582"/>
      <c r="C4346" s="212"/>
      <c r="D4346" s="718" t="s">
        <v>130</v>
      </c>
      <c r="E4346" s="718"/>
      <c r="F4346" s="718"/>
      <c r="G4346" s="718"/>
      <c r="H4346" s="213">
        <f>ROUND(H4344*H4345,2)</f>
        <v>682.5</v>
      </c>
    </row>
    <row r="4347" spans="1:8" s="201" customFormat="1">
      <c r="A4347" s="582"/>
      <c r="B4347" s="582"/>
      <c r="C4347" s="212"/>
      <c r="D4347" s="719" t="s">
        <v>15559</v>
      </c>
      <c r="E4347" s="719"/>
      <c r="F4347" s="719"/>
      <c r="G4347" s="719"/>
      <c r="H4347" s="638">
        <f>ROUND(H4344*$B$13,2)</f>
        <v>2.63</v>
      </c>
    </row>
    <row r="4348" spans="1:8">
      <c r="A4348" s="582"/>
      <c r="B4348" s="582"/>
      <c r="C4348" s="212"/>
      <c r="D4348" s="718" t="s">
        <v>9661</v>
      </c>
      <c r="E4348" s="718"/>
      <c r="F4348" s="718"/>
      <c r="G4348" s="718"/>
      <c r="H4348" s="213">
        <f>H4347+H4344</f>
        <v>12.379999999999999</v>
      </c>
    </row>
    <row r="4350" spans="1:8" s="201" customFormat="1">
      <c r="A4350" s="123" t="s">
        <v>6</v>
      </c>
      <c r="B4350" s="720" t="s">
        <v>7</v>
      </c>
      <c r="C4350" s="720"/>
      <c r="D4350" s="202" t="s">
        <v>124</v>
      </c>
      <c r="E4350" s="167" t="s">
        <v>6334</v>
      </c>
      <c r="F4350" s="202" t="s">
        <v>31</v>
      </c>
      <c r="G4350" s="203" t="s">
        <v>125</v>
      </c>
      <c r="H4350" s="204" t="s">
        <v>126</v>
      </c>
    </row>
    <row r="4351" spans="1:8" s="208" customFormat="1" ht="30">
      <c r="A4351" s="581" t="str">
        <f>'Orç - Prédio'!A672</f>
        <v>07.02.305.12</v>
      </c>
      <c r="B4351" s="581" t="str">
        <f>'Orç - Prédio'!B672</f>
        <v>ORSE INSUMO</v>
      </c>
      <c r="C4351" s="581">
        <f>'Orç - Prédio'!C672</f>
        <v>5005</v>
      </c>
      <c r="D4351" s="205" t="s">
        <v>7989</v>
      </c>
      <c r="E4351" s="206">
        <v>800</v>
      </c>
      <c r="F4351" s="581" t="s">
        <v>6337</v>
      </c>
      <c r="G4351" s="207">
        <f>VLOOKUP("CUSTO TOTAL UNIT.:",D4352:$H$30004,5,FALSE)</f>
        <v>0.04</v>
      </c>
      <c r="H4351" s="637">
        <f>VLOOKUP("CUSTO TOTAL:",D4352:$H$30004,5,FALSE)</f>
        <v>32</v>
      </c>
    </row>
    <row r="4352" spans="1:8" s="124" customFormat="1">
      <c r="A4352" s="721">
        <v>5005</v>
      </c>
      <c r="B4352" s="721"/>
      <c r="C4352" s="200" t="s">
        <v>6333</v>
      </c>
      <c r="D4352" s="139" t="s">
        <v>8107</v>
      </c>
      <c r="E4352" s="209">
        <v>1</v>
      </c>
      <c r="F4352" s="577" t="s">
        <v>31</v>
      </c>
      <c r="G4352" s="210">
        <v>4.0500000000000008E-2</v>
      </c>
      <c r="H4352" s="211">
        <f>ROUND(G4352*E4352,2)</f>
        <v>0.04</v>
      </c>
    </row>
    <row r="4353" spans="1:8" s="201" customFormat="1">
      <c r="A4353" s="582"/>
      <c r="B4353" s="582"/>
      <c r="C4353" s="212"/>
      <c r="D4353" s="719" t="s">
        <v>127</v>
      </c>
      <c r="E4353" s="719"/>
      <c r="F4353" s="719"/>
      <c r="G4353" s="719"/>
      <c r="H4353" s="638">
        <f>SUMIF(F4352:F4352,("h"),H4352:H4352)</f>
        <v>0</v>
      </c>
    </row>
    <row r="4354" spans="1:8" s="201" customFormat="1">
      <c r="A4354" s="582"/>
      <c r="B4354" s="582"/>
      <c r="C4354" s="212"/>
      <c r="D4354" s="719" t="s">
        <v>128</v>
      </c>
      <c r="E4354" s="719"/>
      <c r="F4354" s="719"/>
      <c r="G4354" s="719"/>
      <c r="H4354" s="638">
        <f>SUMIF(F4352:F4352,"&lt;&gt;h",H4352:H4352)</f>
        <v>0.04</v>
      </c>
    </row>
    <row r="4355" spans="1:8" s="201" customFormat="1">
      <c r="A4355" s="582"/>
      <c r="B4355" s="582"/>
      <c r="C4355" s="212"/>
      <c r="D4355" s="718" t="s">
        <v>129</v>
      </c>
      <c r="E4355" s="718"/>
      <c r="F4355" s="718"/>
      <c r="G4355" s="718"/>
      <c r="H4355" s="213">
        <f>SUM(H4353:H4354)</f>
        <v>0.04</v>
      </c>
    </row>
    <row r="4356" spans="1:8" s="201" customFormat="1">
      <c r="A4356" s="582"/>
      <c r="B4356" s="582"/>
      <c r="C4356" s="212"/>
      <c r="D4356" s="719" t="s">
        <v>28</v>
      </c>
      <c r="E4356" s="719"/>
      <c r="F4356" s="719"/>
      <c r="G4356" s="719"/>
      <c r="H4356" s="639">
        <f>E4351</f>
        <v>800</v>
      </c>
    </row>
    <row r="4357" spans="1:8" s="201" customFormat="1">
      <c r="A4357" s="582"/>
      <c r="B4357" s="582"/>
      <c r="C4357" s="212"/>
      <c r="D4357" s="718" t="s">
        <v>130</v>
      </c>
      <c r="E4357" s="718"/>
      <c r="F4357" s="718"/>
      <c r="G4357" s="718"/>
      <c r="H4357" s="213">
        <f>ROUND(H4355*H4356,2)</f>
        <v>32</v>
      </c>
    </row>
    <row r="4358" spans="1:8" s="201" customFormat="1">
      <c r="A4358" s="582"/>
      <c r="B4358" s="582"/>
      <c r="C4358" s="212"/>
      <c r="D4358" s="719" t="s">
        <v>15559</v>
      </c>
      <c r="E4358" s="719"/>
      <c r="F4358" s="719"/>
      <c r="G4358" s="719"/>
      <c r="H4358" s="638">
        <f>ROUND(H4355*$B$13,2)</f>
        <v>0.01</v>
      </c>
    </row>
    <row r="4359" spans="1:8">
      <c r="A4359" s="582"/>
      <c r="B4359" s="582"/>
      <c r="C4359" s="212"/>
      <c r="D4359" s="718" t="s">
        <v>9661</v>
      </c>
      <c r="E4359" s="718"/>
      <c r="F4359" s="718"/>
      <c r="G4359" s="718"/>
      <c r="H4359" s="213">
        <f>H4358+H4355</f>
        <v>0.05</v>
      </c>
    </row>
    <row r="4361" spans="1:8" s="201" customFormat="1">
      <c r="A4361" s="123" t="s">
        <v>6</v>
      </c>
      <c r="B4361" s="720" t="s">
        <v>7</v>
      </c>
      <c r="C4361" s="720"/>
      <c r="D4361" s="202" t="s">
        <v>124</v>
      </c>
      <c r="E4361" s="167" t="s">
        <v>6334</v>
      </c>
      <c r="F4361" s="202" t="s">
        <v>31</v>
      </c>
      <c r="G4361" s="203" t="s">
        <v>125</v>
      </c>
      <c r="H4361" s="204" t="s">
        <v>126</v>
      </c>
    </row>
    <row r="4362" spans="1:8" s="208" customFormat="1" ht="30">
      <c r="A4362" s="581" t="str">
        <f>'Orç - Prédio'!A676</f>
        <v>07.02.501.01</v>
      </c>
      <c r="B4362" s="581" t="str">
        <f>'Orç - Prédio'!B676</f>
        <v>Comp. Montada</v>
      </c>
      <c r="C4362" s="581">
        <f>'Orç - Prédio'!C676</f>
        <v>18</v>
      </c>
      <c r="D4362" s="205" t="s">
        <v>8035</v>
      </c>
      <c r="E4362" s="206">
        <v>5</v>
      </c>
      <c r="F4362" s="581" t="s">
        <v>6337</v>
      </c>
      <c r="G4362" s="207">
        <f>VLOOKUP("CUSTO TOTAL UNIT.:",D4363:$H$30004,5,FALSE)</f>
        <v>178.52999999999997</v>
      </c>
      <c r="H4362" s="637">
        <f>VLOOKUP("CUSTO TOTAL:",D4363:$H$30004,5,FALSE)</f>
        <v>892.65</v>
      </c>
    </row>
    <row r="4363" spans="1:8" s="124" customFormat="1" ht="15" customHeight="1">
      <c r="A4363" s="722" t="s">
        <v>7394</v>
      </c>
      <c r="B4363" s="722"/>
      <c r="C4363" s="184" t="s">
        <v>8096</v>
      </c>
      <c r="D4363" s="139" t="s">
        <v>9042</v>
      </c>
      <c r="E4363" s="209">
        <v>1</v>
      </c>
      <c r="F4363" s="577" t="s">
        <v>31</v>
      </c>
      <c r="G4363" s="210">
        <v>173.13750000000002</v>
      </c>
      <c r="H4363" s="211">
        <f>ROUND(G4363*E4363,2)</f>
        <v>173.14</v>
      </c>
    </row>
    <row r="4364" spans="1:8" s="124" customFormat="1" ht="30">
      <c r="A4364" s="721">
        <v>88267</v>
      </c>
      <c r="B4364" s="721"/>
      <c r="C4364" s="200" t="s">
        <v>5256</v>
      </c>
      <c r="D4364" s="139" t="s">
        <v>86</v>
      </c>
      <c r="E4364" s="209">
        <v>0.2</v>
      </c>
      <c r="F4364" s="577" t="s">
        <v>67</v>
      </c>
      <c r="G4364" s="210">
        <v>15.2766</v>
      </c>
      <c r="H4364" s="211">
        <f>ROUND(G4364*E4364,2)</f>
        <v>3.06</v>
      </c>
    </row>
    <row r="4365" spans="1:8" s="124" customFormat="1" ht="30">
      <c r="A4365" s="721">
        <v>88316</v>
      </c>
      <c r="B4365" s="721"/>
      <c r="C4365" s="200" t="s">
        <v>5256</v>
      </c>
      <c r="D4365" s="139" t="s">
        <v>66</v>
      </c>
      <c r="E4365" s="209">
        <v>0.2</v>
      </c>
      <c r="F4365" s="577" t="s">
        <v>67</v>
      </c>
      <c r="G4365" s="210">
        <v>11.631600000000001</v>
      </c>
      <c r="H4365" s="211">
        <f>ROUND(G4365*E4365,2)</f>
        <v>2.33</v>
      </c>
    </row>
    <row r="4366" spans="1:8" s="201" customFormat="1">
      <c r="A4366" s="582"/>
      <c r="B4366" s="582"/>
      <c r="C4366" s="212"/>
      <c r="D4366" s="719" t="s">
        <v>127</v>
      </c>
      <c r="E4366" s="719"/>
      <c r="F4366" s="719"/>
      <c r="G4366" s="719"/>
      <c r="H4366" s="638">
        <f>SUMIF(F4363:F4365,("h"),H4363:H4365)</f>
        <v>5.3900000000000006</v>
      </c>
    </row>
    <row r="4367" spans="1:8" s="201" customFormat="1">
      <c r="A4367" s="582"/>
      <c r="B4367" s="582"/>
      <c r="C4367" s="212"/>
      <c r="D4367" s="719" t="s">
        <v>128</v>
      </c>
      <c r="E4367" s="719"/>
      <c r="F4367" s="719"/>
      <c r="G4367" s="719"/>
      <c r="H4367" s="638">
        <f>SUMIF(F4363:F4365,"&lt;&gt;h",H4363:H4365)</f>
        <v>173.14</v>
      </c>
    </row>
    <row r="4368" spans="1:8" s="201" customFormat="1">
      <c r="A4368" s="582"/>
      <c r="B4368" s="582"/>
      <c r="C4368" s="212"/>
      <c r="D4368" s="718" t="s">
        <v>129</v>
      </c>
      <c r="E4368" s="718"/>
      <c r="F4368" s="718"/>
      <c r="G4368" s="718"/>
      <c r="H4368" s="213">
        <f>SUM(H4366:H4367)</f>
        <v>178.52999999999997</v>
      </c>
    </row>
    <row r="4369" spans="1:8" s="201" customFormat="1">
      <c r="A4369" s="582"/>
      <c r="B4369" s="582"/>
      <c r="C4369" s="212"/>
      <c r="D4369" s="719" t="s">
        <v>28</v>
      </c>
      <c r="E4369" s="719"/>
      <c r="F4369" s="719"/>
      <c r="G4369" s="719"/>
      <c r="H4369" s="639">
        <f>E4362</f>
        <v>5</v>
      </c>
    </row>
    <row r="4370" spans="1:8" s="201" customFormat="1">
      <c r="A4370" s="582"/>
      <c r="B4370" s="582"/>
      <c r="C4370" s="212"/>
      <c r="D4370" s="718" t="s">
        <v>130</v>
      </c>
      <c r="E4370" s="718"/>
      <c r="F4370" s="718"/>
      <c r="G4370" s="718"/>
      <c r="H4370" s="213">
        <f>ROUND(H4368*H4369,2)</f>
        <v>892.65</v>
      </c>
    </row>
    <row r="4371" spans="1:8" s="201" customFormat="1">
      <c r="A4371" s="582"/>
      <c r="B4371" s="582"/>
      <c r="C4371" s="212"/>
      <c r="D4371" s="719" t="s">
        <v>15559</v>
      </c>
      <c r="E4371" s="719"/>
      <c r="F4371" s="719"/>
      <c r="G4371" s="719"/>
      <c r="H4371" s="638">
        <f>ROUND(H4368*$B$13,2)</f>
        <v>48.08</v>
      </c>
    </row>
    <row r="4372" spans="1:8">
      <c r="A4372" s="582"/>
      <c r="B4372" s="582"/>
      <c r="C4372" s="212"/>
      <c r="D4372" s="718" t="s">
        <v>9661</v>
      </c>
      <c r="E4372" s="718"/>
      <c r="F4372" s="718"/>
      <c r="G4372" s="718"/>
      <c r="H4372" s="213">
        <f>H4371+H4368</f>
        <v>226.60999999999996</v>
      </c>
    </row>
    <row r="4374" spans="1:8" s="201" customFormat="1">
      <c r="A4374" s="123" t="s">
        <v>6</v>
      </c>
      <c r="B4374" s="720" t="s">
        <v>7</v>
      </c>
      <c r="C4374" s="720"/>
      <c r="D4374" s="202" t="s">
        <v>124</v>
      </c>
      <c r="E4374" s="167" t="s">
        <v>6334</v>
      </c>
      <c r="F4374" s="202" t="s">
        <v>31</v>
      </c>
      <c r="G4374" s="203" t="s">
        <v>125</v>
      </c>
      <c r="H4374" s="204" t="s">
        <v>126</v>
      </c>
    </row>
    <row r="4375" spans="1:8" s="208" customFormat="1" ht="30">
      <c r="A4375" s="581" t="str">
        <f>'Orç - Prédio'!A677</f>
        <v>07.02.501.02</v>
      </c>
      <c r="B4375" s="581" t="str">
        <f>'Orç - Prédio'!B677</f>
        <v>Comp. Montada</v>
      </c>
      <c r="C4375" s="581">
        <f>'Orç - Prédio'!C677</f>
        <v>19</v>
      </c>
      <c r="D4375" s="205" t="s">
        <v>8036</v>
      </c>
      <c r="E4375" s="206">
        <v>42</v>
      </c>
      <c r="F4375" s="581" t="s">
        <v>6337</v>
      </c>
      <c r="G4375" s="207">
        <f>VLOOKUP("CUSTO TOTAL UNIT.:",D4376:$H$30004,5,FALSE)</f>
        <v>66.88</v>
      </c>
      <c r="H4375" s="637">
        <f>VLOOKUP("CUSTO TOTAL:",D4376:$H$30004,5,FALSE)</f>
        <v>2808.96</v>
      </c>
    </row>
    <row r="4376" spans="1:8" s="124" customFormat="1" ht="15" customHeight="1">
      <c r="A4376" s="722" t="s">
        <v>7394</v>
      </c>
      <c r="B4376" s="722"/>
      <c r="C4376" s="184" t="s">
        <v>8096</v>
      </c>
      <c r="D4376" s="139" t="s">
        <v>9054</v>
      </c>
      <c r="E4376" s="209">
        <v>1</v>
      </c>
      <c r="F4376" s="577" t="s">
        <v>31</v>
      </c>
      <c r="G4376" s="210">
        <v>61.487099999999998</v>
      </c>
      <c r="H4376" s="211">
        <f>ROUND(G4376*E4376,2)</f>
        <v>61.49</v>
      </c>
    </row>
    <row r="4377" spans="1:8" s="124" customFormat="1" ht="30">
      <c r="A4377" s="721">
        <v>88267</v>
      </c>
      <c r="B4377" s="721"/>
      <c r="C4377" s="200" t="s">
        <v>5256</v>
      </c>
      <c r="D4377" s="139" t="s">
        <v>86</v>
      </c>
      <c r="E4377" s="209">
        <v>0.2</v>
      </c>
      <c r="F4377" s="577" t="s">
        <v>67</v>
      </c>
      <c r="G4377" s="210">
        <v>15.2766</v>
      </c>
      <c r="H4377" s="211">
        <f>ROUND(G4377*E4377,2)</f>
        <v>3.06</v>
      </c>
    </row>
    <row r="4378" spans="1:8" s="124" customFormat="1" ht="30">
      <c r="A4378" s="721">
        <v>88316</v>
      </c>
      <c r="B4378" s="721"/>
      <c r="C4378" s="200" t="s">
        <v>5256</v>
      </c>
      <c r="D4378" s="139" t="s">
        <v>66</v>
      </c>
      <c r="E4378" s="209">
        <v>0.2</v>
      </c>
      <c r="F4378" s="577" t="s">
        <v>67</v>
      </c>
      <c r="G4378" s="210">
        <v>11.631600000000001</v>
      </c>
      <c r="H4378" s="211">
        <f>ROUND(G4378*E4378,2)</f>
        <v>2.33</v>
      </c>
    </row>
    <row r="4379" spans="1:8" s="201" customFormat="1">
      <c r="A4379" s="582"/>
      <c r="B4379" s="582"/>
      <c r="C4379" s="212"/>
      <c r="D4379" s="719" t="s">
        <v>127</v>
      </c>
      <c r="E4379" s="719"/>
      <c r="F4379" s="719"/>
      <c r="G4379" s="719"/>
      <c r="H4379" s="638">
        <f>SUMIF(F4376:F4378,("h"),H4376:H4378)</f>
        <v>5.3900000000000006</v>
      </c>
    </row>
    <row r="4380" spans="1:8" s="201" customFormat="1">
      <c r="A4380" s="582"/>
      <c r="B4380" s="582"/>
      <c r="C4380" s="212"/>
      <c r="D4380" s="719" t="s">
        <v>128</v>
      </c>
      <c r="E4380" s="719"/>
      <c r="F4380" s="719"/>
      <c r="G4380" s="719"/>
      <c r="H4380" s="638">
        <f>SUMIF(F4376:F4378,"&lt;&gt;h",H4376:H4378)</f>
        <v>61.49</v>
      </c>
    </row>
    <row r="4381" spans="1:8" s="201" customFormat="1">
      <c r="A4381" s="582"/>
      <c r="B4381" s="582"/>
      <c r="C4381" s="212"/>
      <c r="D4381" s="718" t="s">
        <v>129</v>
      </c>
      <c r="E4381" s="718"/>
      <c r="F4381" s="718"/>
      <c r="G4381" s="718"/>
      <c r="H4381" s="213">
        <f>SUM(H4379:H4380)</f>
        <v>66.88</v>
      </c>
    </row>
    <row r="4382" spans="1:8" s="201" customFormat="1">
      <c r="A4382" s="582"/>
      <c r="B4382" s="582"/>
      <c r="C4382" s="212"/>
      <c r="D4382" s="719" t="s">
        <v>28</v>
      </c>
      <c r="E4382" s="719"/>
      <c r="F4382" s="719"/>
      <c r="G4382" s="719"/>
      <c r="H4382" s="639">
        <f>E4375</f>
        <v>42</v>
      </c>
    </row>
    <row r="4383" spans="1:8" s="201" customFormat="1">
      <c r="A4383" s="582"/>
      <c r="B4383" s="582"/>
      <c r="C4383" s="212"/>
      <c r="D4383" s="718" t="s">
        <v>130</v>
      </c>
      <c r="E4383" s="718"/>
      <c r="F4383" s="718"/>
      <c r="G4383" s="718"/>
      <c r="H4383" s="213">
        <f>ROUND(H4381*H4382,2)</f>
        <v>2808.96</v>
      </c>
    </row>
    <row r="4384" spans="1:8" s="201" customFormat="1">
      <c r="A4384" s="582"/>
      <c r="B4384" s="582"/>
      <c r="C4384" s="212"/>
      <c r="D4384" s="719" t="s">
        <v>15559</v>
      </c>
      <c r="E4384" s="719"/>
      <c r="F4384" s="719"/>
      <c r="G4384" s="719"/>
      <c r="H4384" s="638">
        <f>ROUND(H4381*$B$13,2)</f>
        <v>18.010000000000002</v>
      </c>
    </row>
    <row r="4385" spans="1:8">
      <c r="A4385" s="582"/>
      <c r="B4385" s="582"/>
      <c r="C4385" s="212"/>
      <c r="D4385" s="718" t="s">
        <v>9661</v>
      </c>
      <c r="E4385" s="718"/>
      <c r="F4385" s="718"/>
      <c r="G4385" s="718"/>
      <c r="H4385" s="213">
        <f>H4384+H4381</f>
        <v>84.89</v>
      </c>
    </row>
    <row r="4387" spans="1:8" s="201" customFormat="1">
      <c r="A4387" s="123" t="s">
        <v>6</v>
      </c>
      <c r="B4387" s="720" t="s">
        <v>7</v>
      </c>
      <c r="C4387" s="720"/>
      <c r="D4387" s="202" t="s">
        <v>124</v>
      </c>
      <c r="E4387" s="167" t="s">
        <v>6334</v>
      </c>
      <c r="F4387" s="202" t="s">
        <v>31</v>
      </c>
      <c r="G4387" s="203" t="s">
        <v>125</v>
      </c>
      <c r="H4387" s="204" t="s">
        <v>126</v>
      </c>
    </row>
    <row r="4388" spans="1:8" s="208" customFormat="1" ht="30">
      <c r="A4388" s="581" t="str">
        <f>'Orç - Prédio'!A678</f>
        <v>07.02.501.03</v>
      </c>
      <c r="B4388" s="581" t="str">
        <f>'Orç - Prédio'!B678</f>
        <v>Comp. Montada</v>
      </c>
      <c r="C4388" s="581">
        <f>'Orç - Prédio'!C678</f>
        <v>20</v>
      </c>
      <c r="D4388" s="205" t="s">
        <v>8037</v>
      </c>
      <c r="E4388" s="206">
        <v>11</v>
      </c>
      <c r="F4388" s="581" t="s">
        <v>6337</v>
      </c>
      <c r="G4388" s="207">
        <f>VLOOKUP("CUSTO TOTAL UNIT.:",D4389:$H$30004,5,FALSE)</f>
        <v>42.65</v>
      </c>
      <c r="H4388" s="637">
        <f>VLOOKUP("CUSTO TOTAL:",D4389:$H$30004,5,FALSE)</f>
        <v>469.15</v>
      </c>
    </row>
    <row r="4389" spans="1:8" s="124" customFormat="1" ht="15" customHeight="1">
      <c r="A4389" s="722" t="s">
        <v>7394</v>
      </c>
      <c r="B4389" s="722"/>
      <c r="C4389" s="184" t="s">
        <v>8096</v>
      </c>
      <c r="D4389" s="139" t="s">
        <v>9058</v>
      </c>
      <c r="E4389" s="209">
        <v>1</v>
      </c>
      <c r="F4389" s="577" t="s">
        <v>31</v>
      </c>
      <c r="G4389" s="210">
        <v>37.260000000000005</v>
      </c>
      <c r="H4389" s="211">
        <f>ROUND(G4389*E4389,2)</f>
        <v>37.26</v>
      </c>
    </row>
    <row r="4390" spans="1:8" s="124" customFormat="1" ht="30">
      <c r="A4390" s="721">
        <v>88267</v>
      </c>
      <c r="B4390" s="721"/>
      <c r="C4390" s="200" t="s">
        <v>5256</v>
      </c>
      <c r="D4390" s="139" t="s">
        <v>86</v>
      </c>
      <c r="E4390" s="209">
        <v>0.2</v>
      </c>
      <c r="F4390" s="577" t="s">
        <v>67</v>
      </c>
      <c r="G4390" s="210">
        <v>15.2766</v>
      </c>
      <c r="H4390" s="211">
        <f>ROUND(G4390*E4390,2)</f>
        <v>3.06</v>
      </c>
    </row>
    <row r="4391" spans="1:8" s="124" customFormat="1" ht="30">
      <c r="A4391" s="721">
        <v>88316</v>
      </c>
      <c r="B4391" s="721"/>
      <c r="C4391" s="200" t="s">
        <v>5256</v>
      </c>
      <c r="D4391" s="139" t="s">
        <v>66</v>
      </c>
      <c r="E4391" s="209">
        <v>0.2</v>
      </c>
      <c r="F4391" s="577" t="s">
        <v>67</v>
      </c>
      <c r="G4391" s="210">
        <v>11.631600000000001</v>
      </c>
      <c r="H4391" s="211">
        <f>ROUND(G4391*E4391,2)</f>
        <v>2.33</v>
      </c>
    </row>
    <row r="4392" spans="1:8" s="201" customFormat="1">
      <c r="A4392" s="582"/>
      <c r="B4392" s="582"/>
      <c r="C4392" s="212"/>
      <c r="D4392" s="719" t="s">
        <v>127</v>
      </c>
      <c r="E4392" s="719"/>
      <c r="F4392" s="719"/>
      <c r="G4392" s="719"/>
      <c r="H4392" s="638">
        <f>SUMIF(F4389:F4391,("h"),H4389:H4391)</f>
        <v>5.3900000000000006</v>
      </c>
    </row>
    <row r="4393" spans="1:8" s="201" customFormat="1">
      <c r="A4393" s="582"/>
      <c r="B4393" s="582"/>
      <c r="C4393" s="212"/>
      <c r="D4393" s="719" t="s">
        <v>128</v>
      </c>
      <c r="E4393" s="719"/>
      <c r="F4393" s="719"/>
      <c r="G4393" s="719"/>
      <c r="H4393" s="638">
        <f>SUMIF(F4389:F4391,"&lt;&gt;h",H4389:H4391)</f>
        <v>37.26</v>
      </c>
    </row>
    <row r="4394" spans="1:8" s="201" customFormat="1">
      <c r="A4394" s="582"/>
      <c r="B4394" s="582"/>
      <c r="C4394" s="212"/>
      <c r="D4394" s="718" t="s">
        <v>129</v>
      </c>
      <c r="E4394" s="718"/>
      <c r="F4394" s="718"/>
      <c r="G4394" s="718"/>
      <c r="H4394" s="213">
        <f>SUM(H4392:H4393)</f>
        <v>42.65</v>
      </c>
    </row>
    <row r="4395" spans="1:8" s="201" customFormat="1">
      <c r="A4395" s="582"/>
      <c r="B4395" s="582"/>
      <c r="C4395" s="212"/>
      <c r="D4395" s="719" t="s">
        <v>28</v>
      </c>
      <c r="E4395" s="719"/>
      <c r="F4395" s="719"/>
      <c r="G4395" s="719"/>
      <c r="H4395" s="639">
        <f>E4388</f>
        <v>11</v>
      </c>
    </row>
    <row r="4396" spans="1:8" s="201" customFormat="1">
      <c r="A4396" s="582"/>
      <c r="B4396" s="582"/>
      <c r="C4396" s="212"/>
      <c r="D4396" s="718" t="s">
        <v>130</v>
      </c>
      <c r="E4396" s="718"/>
      <c r="F4396" s="718"/>
      <c r="G4396" s="718"/>
      <c r="H4396" s="213">
        <f>ROUND(H4394*H4395,2)</f>
        <v>469.15</v>
      </c>
    </row>
    <row r="4397" spans="1:8" s="201" customFormat="1">
      <c r="A4397" s="582"/>
      <c r="B4397" s="582"/>
      <c r="C4397" s="212"/>
      <c r="D4397" s="719" t="s">
        <v>15559</v>
      </c>
      <c r="E4397" s="719"/>
      <c r="F4397" s="719"/>
      <c r="G4397" s="719"/>
      <c r="H4397" s="638">
        <f>ROUND(H4394*$B$13,2)</f>
        <v>11.49</v>
      </c>
    </row>
    <row r="4398" spans="1:8">
      <c r="A4398" s="582"/>
      <c r="B4398" s="582"/>
      <c r="C4398" s="212"/>
      <c r="D4398" s="718" t="s">
        <v>9661</v>
      </c>
      <c r="E4398" s="718"/>
      <c r="F4398" s="718"/>
      <c r="G4398" s="718"/>
      <c r="H4398" s="213">
        <f>H4397+H4394</f>
        <v>54.14</v>
      </c>
    </row>
    <row r="4400" spans="1:8" s="201" customFormat="1">
      <c r="A4400" s="123" t="s">
        <v>6</v>
      </c>
      <c r="B4400" s="720" t="s">
        <v>7</v>
      </c>
      <c r="C4400" s="720"/>
      <c r="D4400" s="202" t="s">
        <v>124</v>
      </c>
      <c r="E4400" s="167" t="s">
        <v>6334</v>
      </c>
      <c r="F4400" s="202" t="s">
        <v>31</v>
      </c>
      <c r="G4400" s="203" t="s">
        <v>125</v>
      </c>
      <c r="H4400" s="204" t="s">
        <v>126</v>
      </c>
    </row>
    <row r="4401" spans="1:8" s="208" customFormat="1" ht="30">
      <c r="A4401" s="581" t="str">
        <f>'Orç - Prédio'!A679</f>
        <v>07.02.501.04</v>
      </c>
      <c r="B4401" s="581" t="str">
        <f>'Orç - Prédio'!B679</f>
        <v>Comp. Montada</v>
      </c>
      <c r="C4401" s="581">
        <f>'Orç - Prédio'!C679</f>
        <v>21</v>
      </c>
      <c r="D4401" s="205" t="s">
        <v>8038</v>
      </c>
      <c r="E4401" s="206">
        <v>45</v>
      </c>
      <c r="F4401" s="581" t="s">
        <v>6337</v>
      </c>
      <c r="G4401" s="207">
        <f>VLOOKUP("CUSTO TOTAL UNIT.:",D4402:$H$30004,5,FALSE)</f>
        <v>40.020000000000003</v>
      </c>
      <c r="H4401" s="637">
        <f>VLOOKUP("CUSTO TOTAL:",D4402:$H$30004,5,FALSE)</f>
        <v>1800.9</v>
      </c>
    </row>
    <row r="4402" spans="1:8" s="124" customFormat="1" ht="15" customHeight="1">
      <c r="A4402" s="722" t="s">
        <v>7394</v>
      </c>
      <c r="B4402" s="722"/>
      <c r="C4402" s="184" t="s">
        <v>8096</v>
      </c>
      <c r="D4402" s="139" t="s">
        <v>9061</v>
      </c>
      <c r="E4402" s="209">
        <v>1</v>
      </c>
      <c r="F4402" s="577" t="s">
        <v>31</v>
      </c>
      <c r="G4402" s="210">
        <v>34.627500000000005</v>
      </c>
      <c r="H4402" s="211">
        <f>ROUND(G4402*E4402,2)</f>
        <v>34.630000000000003</v>
      </c>
    </row>
    <row r="4403" spans="1:8" s="124" customFormat="1" ht="30">
      <c r="A4403" s="721">
        <v>88267</v>
      </c>
      <c r="B4403" s="721"/>
      <c r="C4403" s="200" t="s">
        <v>5256</v>
      </c>
      <c r="D4403" s="139" t="s">
        <v>86</v>
      </c>
      <c r="E4403" s="209">
        <v>0.2</v>
      </c>
      <c r="F4403" s="577" t="s">
        <v>67</v>
      </c>
      <c r="G4403" s="210">
        <v>15.2766</v>
      </c>
      <c r="H4403" s="211">
        <f>ROUND(G4403*E4403,2)</f>
        <v>3.06</v>
      </c>
    </row>
    <row r="4404" spans="1:8" s="124" customFormat="1" ht="30">
      <c r="A4404" s="721">
        <v>88316</v>
      </c>
      <c r="B4404" s="721"/>
      <c r="C4404" s="200" t="s">
        <v>5256</v>
      </c>
      <c r="D4404" s="139" t="s">
        <v>66</v>
      </c>
      <c r="E4404" s="209">
        <v>0.2</v>
      </c>
      <c r="F4404" s="577" t="s">
        <v>67</v>
      </c>
      <c r="G4404" s="210">
        <v>11.631600000000001</v>
      </c>
      <c r="H4404" s="211">
        <f>ROUND(G4404*E4404,2)</f>
        <v>2.33</v>
      </c>
    </row>
    <row r="4405" spans="1:8" s="201" customFormat="1">
      <c r="A4405" s="582"/>
      <c r="B4405" s="582"/>
      <c r="C4405" s="212"/>
      <c r="D4405" s="719" t="s">
        <v>127</v>
      </c>
      <c r="E4405" s="719"/>
      <c r="F4405" s="719"/>
      <c r="G4405" s="719"/>
      <c r="H4405" s="638">
        <f>SUMIF(F4402:F4404,("h"),H4402:H4404)</f>
        <v>5.3900000000000006</v>
      </c>
    </row>
    <row r="4406" spans="1:8" s="201" customFormat="1">
      <c r="A4406" s="582"/>
      <c r="B4406" s="582"/>
      <c r="C4406" s="212"/>
      <c r="D4406" s="719" t="s">
        <v>128</v>
      </c>
      <c r="E4406" s="719"/>
      <c r="F4406" s="719"/>
      <c r="G4406" s="719"/>
      <c r="H4406" s="638">
        <f>SUMIF(F4402:F4404,"&lt;&gt;h",H4402:H4404)</f>
        <v>34.630000000000003</v>
      </c>
    </row>
    <row r="4407" spans="1:8" s="201" customFormat="1">
      <c r="A4407" s="582"/>
      <c r="B4407" s="582"/>
      <c r="C4407" s="212"/>
      <c r="D4407" s="718" t="s">
        <v>129</v>
      </c>
      <c r="E4407" s="718"/>
      <c r="F4407" s="718"/>
      <c r="G4407" s="718"/>
      <c r="H4407" s="213">
        <f>SUM(H4405:H4406)</f>
        <v>40.020000000000003</v>
      </c>
    </row>
    <row r="4408" spans="1:8" s="201" customFormat="1">
      <c r="A4408" s="582"/>
      <c r="B4408" s="582"/>
      <c r="C4408" s="212"/>
      <c r="D4408" s="719" t="s">
        <v>28</v>
      </c>
      <c r="E4408" s="719"/>
      <c r="F4408" s="719"/>
      <c r="G4408" s="719"/>
      <c r="H4408" s="639">
        <f>E4401</f>
        <v>45</v>
      </c>
    </row>
    <row r="4409" spans="1:8" s="201" customFormat="1">
      <c r="A4409" s="582"/>
      <c r="B4409" s="582"/>
      <c r="C4409" s="212"/>
      <c r="D4409" s="718" t="s">
        <v>130</v>
      </c>
      <c r="E4409" s="718"/>
      <c r="F4409" s="718"/>
      <c r="G4409" s="718"/>
      <c r="H4409" s="213">
        <f>ROUND(H4407*H4408,2)</f>
        <v>1800.9</v>
      </c>
    </row>
    <row r="4410" spans="1:8" s="201" customFormat="1">
      <c r="A4410" s="582"/>
      <c r="B4410" s="582"/>
      <c r="C4410" s="212"/>
      <c r="D4410" s="719" t="s">
        <v>15559</v>
      </c>
      <c r="E4410" s="719"/>
      <c r="F4410" s="719"/>
      <c r="G4410" s="719"/>
      <c r="H4410" s="638">
        <f>ROUND(H4407*$B$13,2)</f>
        <v>10.78</v>
      </c>
    </row>
    <row r="4411" spans="1:8">
      <c r="A4411" s="582"/>
      <c r="B4411" s="582"/>
      <c r="C4411" s="212"/>
      <c r="D4411" s="718" t="s">
        <v>9661</v>
      </c>
      <c r="E4411" s="718"/>
      <c r="F4411" s="718"/>
      <c r="G4411" s="718"/>
      <c r="H4411" s="213">
        <f>H4410+H4407</f>
        <v>50.800000000000004</v>
      </c>
    </row>
    <row r="4413" spans="1:8" s="201" customFormat="1">
      <c r="A4413" s="123" t="s">
        <v>6</v>
      </c>
      <c r="B4413" s="720" t="s">
        <v>7</v>
      </c>
      <c r="C4413" s="720"/>
      <c r="D4413" s="202" t="s">
        <v>124</v>
      </c>
      <c r="E4413" s="167" t="s">
        <v>6334</v>
      </c>
      <c r="F4413" s="202" t="s">
        <v>31</v>
      </c>
      <c r="G4413" s="203" t="s">
        <v>125</v>
      </c>
      <c r="H4413" s="204" t="s">
        <v>126</v>
      </c>
    </row>
    <row r="4414" spans="1:8" s="208" customFormat="1" ht="30">
      <c r="A4414" s="581" t="str">
        <f>'Orç - Prédio'!A680</f>
        <v>07.02.501.05</v>
      </c>
      <c r="B4414" s="581" t="str">
        <f>'Orç - Prédio'!B680</f>
        <v>Comp. Montada</v>
      </c>
      <c r="C4414" s="581">
        <f>'Orç - Prédio'!C680</f>
        <v>22</v>
      </c>
      <c r="D4414" s="240" t="s">
        <v>8039</v>
      </c>
      <c r="E4414" s="206">
        <v>13</v>
      </c>
      <c r="F4414" s="581" t="s">
        <v>6337</v>
      </c>
      <c r="G4414" s="207">
        <f>VLOOKUP("CUSTO TOTAL UNIT.:",D4415:$H$30004,5,FALSE)</f>
        <v>31.310000000000002</v>
      </c>
      <c r="H4414" s="637">
        <f>VLOOKUP("CUSTO TOTAL:",D4415:$H$30004,5,FALSE)</f>
        <v>407.03</v>
      </c>
    </row>
    <row r="4415" spans="1:8" s="124" customFormat="1" ht="15" customHeight="1">
      <c r="A4415" s="722" t="s">
        <v>7394</v>
      </c>
      <c r="B4415" s="722"/>
      <c r="C4415" s="184" t="s">
        <v>8096</v>
      </c>
      <c r="D4415" s="139" t="s">
        <v>9065</v>
      </c>
      <c r="E4415" s="209">
        <v>1</v>
      </c>
      <c r="F4415" s="577" t="s">
        <v>31</v>
      </c>
      <c r="G4415" s="210">
        <v>25.92</v>
      </c>
      <c r="H4415" s="211">
        <f>ROUND(G4415*E4415,2)</f>
        <v>25.92</v>
      </c>
    </row>
    <row r="4416" spans="1:8" s="124" customFormat="1" ht="30">
      <c r="A4416" s="721">
        <v>88267</v>
      </c>
      <c r="B4416" s="721"/>
      <c r="C4416" s="200" t="s">
        <v>5256</v>
      </c>
      <c r="D4416" s="139" t="s">
        <v>86</v>
      </c>
      <c r="E4416" s="209">
        <v>0.2</v>
      </c>
      <c r="F4416" s="577" t="s">
        <v>67</v>
      </c>
      <c r="G4416" s="210">
        <v>15.2766</v>
      </c>
      <c r="H4416" s="211">
        <f>ROUND(G4416*E4416,2)</f>
        <v>3.06</v>
      </c>
    </row>
    <row r="4417" spans="1:8" s="124" customFormat="1" ht="30">
      <c r="A4417" s="721">
        <v>88316</v>
      </c>
      <c r="B4417" s="721"/>
      <c r="C4417" s="200" t="s">
        <v>5256</v>
      </c>
      <c r="D4417" s="139" t="s">
        <v>66</v>
      </c>
      <c r="E4417" s="209">
        <v>0.2</v>
      </c>
      <c r="F4417" s="577" t="s">
        <v>67</v>
      </c>
      <c r="G4417" s="210">
        <v>11.631600000000001</v>
      </c>
      <c r="H4417" s="211">
        <f>ROUND(G4417*E4417,2)</f>
        <v>2.33</v>
      </c>
    </row>
    <row r="4418" spans="1:8" s="201" customFormat="1">
      <c r="A4418" s="582"/>
      <c r="B4418" s="582"/>
      <c r="C4418" s="212"/>
      <c r="D4418" s="719" t="s">
        <v>127</v>
      </c>
      <c r="E4418" s="719"/>
      <c r="F4418" s="719"/>
      <c r="G4418" s="719"/>
      <c r="H4418" s="638">
        <f>SUMIF(F4415:F4417,("h"),H4415:H4417)</f>
        <v>5.3900000000000006</v>
      </c>
    </row>
    <row r="4419" spans="1:8" s="201" customFormat="1">
      <c r="A4419" s="582"/>
      <c r="B4419" s="582"/>
      <c r="C4419" s="212"/>
      <c r="D4419" s="719" t="s">
        <v>128</v>
      </c>
      <c r="E4419" s="719"/>
      <c r="F4419" s="719"/>
      <c r="G4419" s="719"/>
      <c r="H4419" s="638">
        <f>SUMIF(F4415:F4417,"&lt;&gt;h",H4415:H4417)</f>
        <v>25.92</v>
      </c>
    </row>
    <row r="4420" spans="1:8" s="201" customFormat="1">
      <c r="A4420" s="582"/>
      <c r="B4420" s="582"/>
      <c r="C4420" s="212"/>
      <c r="D4420" s="718" t="s">
        <v>129</v>
      </c>
      <c r="E4420" s="718"/>
      <c r="F4420" s="718"/>
      <c r="G4420" s="718"/>
      <c r="H4420" s="213">
        <f>SUM(H4418:H4419)</f>
        <v>31.310000000000002</v>
      </c>
    </row>
    <row r="4421" spans="1:8" s="201" customFormat="1">
      <c r="A4421" s="582"/>
      <c r="B4421" s="582"/>
      <c r="C4421" s="212"/>
      <c r="D4421" s="719" t="s">
        <v>28</v>
      </c>
      <c r="E4421" s="719"/>
      <c r="F4421" s="719"/>
      <c r="G4421" s="719"/>
      <c r="H4421" s="639">
        <f>E4414</f>
        <v>13</v>
      </c>
    </row>
    <row r="4422" spans="1:8" s="201" customFormat="1">
      <c r="A4422" s="582"/>
      <c r="B4422" s="582"/>
      <c r="C4422" s="212"/>
      <c r="D4422" s="718" t="s">
        <v>130</v>
      </c>
      <c r="E4422" s="718"/>
      <c r="F4422" s="718"/>
      <c r="G4422" s="718"/>
      <c r="H4422" s="213">
        <f>ROUND(H4420*H4421,2)</f>
        <v>407.03</v>
      </c>
    </row>
    <row r="4423" spans="1:8" s="201" customFormat="1">
      <c r="A4423" s="582"/>
      <c r="B4423" s="582"/>
      <c r="C4423" s="212"/>
      <c r="D4423" s="719" t="s">
        <v>15559</v>
      </c>
      <c r="E4423" s="719"/>
      <c r="F4423" s="719"/>
      <c r="G4423" s="719"/>
      <c r="H4423" s="638">
        <f>ROUND(H4420*$B$13,2)</f>
        <v>8.43</v>
      </c>
    </row>
    <row r="4424" spans="1:8">
      <c r="A4424" s="582"/>
      <c r="B4424" s="582"/>
      <c r="C4424" s="212"/>
      <c r="D4424" s="718" t="s">
        <v>9661</v>
      </c>
      <c r="E4424" s="718"/>
      <c r="F4424" s="718"/>
      <c r="G4424" s="718"/>
      <c r="H4424" s="213">
        <f>H4423+H4420</f>
        <v>39.74</v>
      </c>
    </row>
    <row r="4426" spans="1:8" s="201" customFormat="1">
      <c r="A4426" s="123" t="s">
        <v>6</v>
      </c>
      <c r="B4426" s="720" t="s">
        <v>7</v>
      </c>
      <c r="C4426" s="720"/>
      <c r="D4426" s="202" t="s">
        <v>124</v>
      </c>
      <c r="E4426" s="167" t="s">
        <v>6334</v>
      </c>
      <c r="F4426" s="202" t="s">
        <v>31</v>
      </c>
      <c r="G4426" s="203" t="s">
        <v>125</v>
      </c>
      <c r="H4426" s="204" t="s">
        <v>126</v>
      </c>
    </row>
    <row r="4427" spans="1:8" s="208" customFormat="1" ht="45">
      <c r="A4427" s="581" t="str">
        <f>'Orç - Prédio'!A681</f>
        <v>07.02.502.01</v>
      </c>
      <c r="B4427" s="581" t="str">
        <f>'Orç - Prédio'!B681</f>
        <v>CPOS</v>
      </c>
      <c r="C4427" s="581" t="str">
        <f>'Orç - Prédio'!C681</f>
        <v>61.14.040 MOD 1</v>
      </c>
      <c r="D4427" s="205" t="s">
        <v>8049</v>
      </c>
      <c r="E4427" s="206">
        <v>1</v>
      </c>
      <c r="F4427" s="581" t="s">
        <v>6337</v>
      </c>
      <c r="G4427" s="207">
        <f>VLOOKUP("CUSTO TOTAL UNIT.:",D4428:$H$30004,5,FALSE)</f>
        <v>6172.54</v>
      </c>
      <c r="H4427" s="637">
        <f>VLOOKUP("CUSTO TOTAL:",D4428:$H$30004,5,FALSE)</f>
        <v>6172.54</v>
      </c>
    </row>
    <row r="4428" spans="1:8" s="124" customFormat="1" ht="30" customHeight="1">
      <c r="A4428" s="722" t="s">
        <v>7394</v>
      </c>
      <c r="B4428" s="722"/>
      <c r="C4428" s="184" t="s">
        <v>8096</v>
      </c>
      <c r="D4428" s="139" t="s">
        <v>9334</v>
      </c>
      <c r="E4428" s="209">
        <v>1</v>
      </c>
      <c r="F4428" s="577" t="s">
        <v>31</v>
      </c>
      <c r="G4428" s="210">
        <v>6003.3150000000005</v>
      </c>
      <c r="H4428" s="211">
        <f>ROUND(G4428*E4428,2)</f>
        <v>6003.32</v>
      </c>
    </row>
    <row r="4429" spans="1:8" s="124" customFormat="1" ht="30">
      <c r="A4429" s="721">
        <v>88264</v>
      </c>
      <c r="B4429" s="721"/>
      <c r="C4429" s="200" t="s">
        <v>5256</v>
      </c>
      <c r="D4429" s="139" t="s">
        <v>84</v>
      </c>
      <c r="E4429" s="209">
        <v>6</v>
      </c>
      <c r="F4429" s="577" t="s">
        <v>67</v>
      </c>
      <c r="G4429" s="210">
        <v>15.778800000000002</v>
      </c>
      <c r="H4429" s="211">
        <f>ROUND(G4429*E4429,2)</f>
        <v>94.67</v>
      </c>
    </row>
    <row r="4430" spans="1:8" s="124" customFormat="1" ht="30">
      <c r="A4430" s="721">
        <v>88247</v>
      </c>
      <c r="B4430" s="721"/>
      <c r="C4430" s="200" t="s">
        <v>5256</v>
      </c>
      <c r="D4430" s="139" t="s">
        <v>74</v>
      </c>
      <c r="E4430" s="209">
        <v>6</v>
      </c>
      <c r="F4430" s="577" t="s">
        <v>67</v>
      </c>
      <c r="G4430" s="210">
        <v>12.425400000000002</v>
      </c>
      <c r="H4430" s="211">
        <f>ROUND(G4430*E4430,2)</f>
        <v>74.55</v>
      </c>
    </row>
    <row r="4431" spans="1:8" s="201" customFormat="1">
      <c r="A4431" s="582"/>
      <c r="B4431" s="582"/>
      <c r="C4431" s="212"/>
      <c r="D4431" s="719" t="s">
        <v>127</v>
      </c>
      <c r="E4431" s="719"/>
      <c r="F4431" s="719"/>
      <c r="G4431" s="719"/>
      <c r="H4431" s="638">
        <f>SUMIF(F4428:F4430,("h"),H4428:H4430)</f>
        <v>169.22</v>
      </c>
    </row>
    <row r="4432" spans="1:8" s="201" customFormat="1">
      <c r="A4432" s="582"/>
      <c r="B4432" s="582"/>
      <c r="C4432" s="212"/>
      <c r="D4432" s="719" t="s">
        <v>128</v>
      </c>
      <c r="E4432" s="719"/>
      <c r="F4432" s="719"/>
      <c r="G4432" s="719"/>
      <c r="H4432" s="638">
        <f>SUMIF(F4428:F4430,"&lt;&gt;h",H4428:H4430)</f>
        <v>6003.32</v>
      </c>
    </row>
    <row r="4433" spans="1:8" s="201" customFormat="1">
      <c r="A4433" s="582"/>
      <c r="B4433" s="582"/>
      <c r="C4433" s="212"/>
      <c r="D4433" s="718" t="s">
        <v>129</v>
      </c>
      <c r="E4433" s="718"/>
      <c r="F4433" s="718"/>
      <c r="G4433" s="718"/>
      <c r="H4433" s="213">
        <f>SUM(H4431:H4432)</f>
        <v>6172.54</v>
      </c>
    </row>
    <row r="4434" spans="1:8" s="201" customFormat="1">
      <c r="A4434" s="582"/>
      <c r="B4434" s="582"/>
      <c r="C4434" s="212"/>
      <c r="D4434" s="719" t="s">
        <v>28</v>
      </c>
      <c r="E4434" s="719"/>
      <c r="F4434" s="719"/>
      <c r="G4434" s="719"/>
      <c r="H4434" s="639">
        <f>E4427</f>
        <v>1</v>
      </c>
    </row>
    <row r="4435" spans="1:8" s="201" customFormat="1">
      <c r="A4435" s="582"/>
      <c r="B4435" s="582"/>
      <c r="C4435" s="212"/>
      <c r="D4435" s="718" t="s">
        <v>130</v>
      </c>
      <c r="E4435" s="718"/>
      <c r="F4435" s="718"/>
      <c r="G4435" s="718"/>
      <c r="H4435" s="213">
        <f>ROUND(H4433*H4434,2)</f>
        <v>6172.54</v>
      </c>
    </row>
    <row r="4436" spans="1:8" s="201" customFormat="1">
      <c r="A4436" s="582"/>
      <c r="B4436" s="582"/>
      <c r="C4436" s="212"/>
      <c r="D4436" s="719" t="s">
        <v>15559</v>
      </c>
      <c r="E4436" s="719"/>
      <c r="F4436" s="719"/>
      <c r="G4436" s="719"/>
      <c r="H4436" s="638">
        <f>ROUND(H4433*$B$13,2)</f>
        <v>1662.27</v>
      </c>
    </row>
    <row r="4437" spans="1:8">
      <c r="A4437" s="582"/>
      <c r="B4437" s="582"/>
      <c r="C4437" s="212"/>
      <c r="D4437" s="718" t="s">
        <v>9661</v>
      </c>
      <c r="E4437" s="718"/>
      <c r="F4437" s="718"/>
      <c r="G4437" s="718"/>
      <c r="H4437" s="213">
        <f>H4436+H4433</f>
        <v>7834.8099999999995</v>
      </c>
    </row>
    <row r="4439" spans="1:8" s="201" customFormat="1">
      <c r="A4439" s="123" t="s">
        <v>6</v>
      </c>
      <c r="B4439" s="720" t="s">
        <v>7</v>
      </c>
      <c r="C4439" s="720"/>
      <c r="D4439" s="202" t="s">
        <v>124</v>
      </c>
      <c r="E4439" s="167" t="s">
        <v>6334</v>
      </c>
      <c r="F4439" s="202" t="s">
        <v>31</v>
      </c>
      <c r="G4439" s="203" t="s">
        <v>125</v>
      </c>
      <c r="H4439" s="204" t="s">
        <v>126</v>
      </c>
    </row>
    <row r="4440" spans="1:8" s="208" customFormat="1" ht="45">
      <c r="A4440" s="581" t="str">
        <f>'Orç - Prédio'!A682</f>
        <v>07.02.502.02</v>
      </c>
      <c r="B4440" s="581" t="str">
        <f>'Orç - Prédio'!B682</f>
        <v>CPOS</v>
      </c>
      <c r="C4440" s="581" t="str">
        <f>'Orç - Prédio'!C682</f>
        <v>61.14.040 MOD 2</v>
      </c>
      <c r="D4440" s="205" t="s">
        <v>8050</v>
      </c>
      <c r="E4440" s="206">
        <v>1</v>
      </c>
      <c r="F4440" s="581" t="s">
        <v>6337</v>
      </c>
      <c r="G4440" s="207">
        <f>VLOOKUP("CUSTO TOTAL UNIT.:",D4441:$H$30004,5,FALSE)</f>
        <v>4921.8500000000004</v>
      </c>
      <c r="H4440" s="637">
        <f>VLOOKUP("CUSTO TOTAL:",D4441:$H$30004,5,FALSE)</f>
        <v>4921.8500000000004</v>
      </c>
    </row>
    <row r="4441" spans="1:8" s="124" customFormat="1" ht="30" customHeight="1">
      <c r="A4441" s="722" t="s">
        <v>7394</v>
      </c>
      <c r="B4441" s="722"/>
      <c r="C4441" s="184" t="s">
        <v>8096</v>
      </c>
      <c r="D4441" s="139" t="s">
        <v>9335</v>
      </c>
      <c r="E4441" s="209">
        <v>1</v>
      </c>
      <c r="F4441" s="577" t="s">
        <v>31</v>
      </c>
      <c r="G4441" s="210">
        <v>4752.6345000000001</v>
      </c>
      <c r="H4441" s="211">
        <f>ROUND(G4441*E4441,2)</f>
        <v>4752.63</v>
      </c>
    </row>
    <row r="4442" spans="1:8" s="124" customFormat="1" ht="30">
      <c r="A4442" s="721">
        <v>88264</v>
      </c>
      <c r="B4442" s="721"/>
      <c r="C4442" s="200" t="s">
        <v>5256</v>
      </c>
      <c r="D4442" s="139" t="s">
        <v>84</v>
      </c>
      <c r="E4442" s="209">
        <v>6</v>
      </c>
      <c r="F4442" s="577" t="s">
        <v>67</v>
      </c>
      <c r="G4442" s="210">
        <v>15.778800000000002</v>
      </c>
      <c r="H4442" s="211">
        <f>ROUND(G4442*E4442,2)</f>
        <v>94.67</v>
      </c>
    </row>
    <row r="4443" spans="1:8" s="124" customFormat="1" ht="30">
      <c r="A4443" s="721">
        <v>88247</v>
      </c>
      <c r="B4443" s="721"/>
      <c r="C4443" s="200" t="s">
        <v>5256</v>
      </c>
      <c r="D4443" s="139" t="s">
        <v>74</v>
      </c>
      <c r="E4443" s="209">
        <v>6</v>
      </c>
      <c r="F4443" s="577" t="s">
        <v>67</v>
      </c>
      <c r="G4443" s="210">
        <v>12.425400000000002</v>
      </c>
      <c r="H4443" s="211">
        <f>ROUND(G4443*E4443,2)</f>
        <v>74.55</v>
      </c>
    </row>
    <row r="4444" spans="1:8" s="201" customFormat="1">
      <c r="A4444" s="582"/>
      <c r="B4444" s="582"/>
      <c r="C4444" s="212"/>
      <c r="D4444" s="719" t="s">
        <v>127</v>
      </c>
      <c r="E4444" s="719"/>
      <c r="F4444" s="719"/>
      <c r="G4444" s="719"/>
      <c r="H4444" s="638">
        <f>SUMIF(F4441:F4443,("h"),H4441:H4443)</f>
        <v>169.22</v>
      </c>
    </row>
    <row r="4445" spans="1:8" s="201" customFormat="1">
      <c r="A4445" s="582"/>
      <c r="B4445" s="582"/>
      <c r="C4445" s="212"/>
      <c r="D4445" s="719" t="s">
        <v>128</v>
      </c>
      <c r="E4445" s="719"/>
      <c r="F4445" s="719"/>
      <c r="G4445" s="719"/>
      <c r="H4445" s="638">
        <f>SUMIF(F4441:F4443,"&lt;&gt;h",H4441:H4443)</f>
        <v>4752.63</v>
      </c>
    </row>
    <row r="4446" spans="1:8" s="201" customFormat="1">
      <c r="A4446" s="582"/>
      <c r="B4446" s="582"/>
      <c r="C4446" s="212"/>
      <c r="D4446" s="718" t="s">
        <v>129</v>
      </c>
      <c r="E4446" s="718"/>
      <c r="F4446" s="718"/>
      <c r="G4446" s="718"/>
      <c r="H4446" s="213">
        <f>SUM(H4444:H4445)</f>
        <v>4921.8500000000004</v>
      </c>
    </row>
    <row r="4447" spans="1:8" s="201" customFormat="1">
      <c r="A4447" s="582"/>
      <c r="B4447" s="582"/>
      <c r="C4447" s="212"/>
      <c r="D4447" s="719" t="s">
        <v>28</v>
      </c>
      <c r="E4447" s="719"/>
      <c r="F4447" s="719"/>
      <c r="G4447" s="719"/>
      <c r="H4447" s="639">
        <f>E4440</f>
        <v>1</v>
      </c>
    </row>
    <row r="4448" spans="1:8" s="201" customFormat="1">
      <c r="A4448" s="582"/>
      <c r="B4448" s="582"/>
      <c r="C4448" s="212"/>
      <c r="D4448" s="718" t="s">
        <v>130</v>
      </c>
      <c r="E4448" s="718"/>
      <c r="F4448" s="718"/>
      <c r="G4448" s="718"/>
      <c r="H4448" s="213">
        <f>ROUND(H4446*H4447,2)</f>
        <v>4921.8500000000004</v>
      </c>
    </row>
    <row r="4449" spans="1:8" s="201" customFormat="1">
      <c r="A4449" s="582"/>
      <c r="B4449" s="582"/>
      <c r="C4449" s="212"/>
      <c r="D4449" s="719" t="s">
        <v>15559</v>
      </c>
      <c r="E4449" s="719"/>
      <c r="F4449" s="719"/>
      <c r="G4449" s="719"/>
      <c r="H4449" s="638">
        <f>ROUND(H4446*$B$13,2)</f>
        <v>1325.45</v>
      </c>
    </row>
    <row r="4450" spans="1:8">
      <c r="A4450" s="582"/>
      <c r="B4450" s="582"/>
      <c r="C4450" s="212"/>
      <c r="D4450" s="718" t="s">
        <v>9661</v>
      </c>
      <c r="E4450" s="718"/>
      <c r="F4450" s="718"/>
      <c r="G4450" s="718"/>
      <c r="H4450" s="213">
        <f>H4449+H4446</f>
        <v>6247.3</v>
      </c>
    </row>
    <row r="4452" spans="1:8" s="201" customFormat="1">
      <c r="A4452" s="123" t="s">
        <v>6</v>
      </c>
      <c r="B4452" s="720" t="s">
        <v>7</v>
      </c>
      <c r="C4452" s="720"/>
      <c r="D4452" s="202" t="s">
        <v>124</v>
      </c>
      <c r="E4452" s="167" t="s">
        <v>6334</v>
      </c>
      <c r="F4452" s="202" t="s">
        <v>31</v>
      </c>
      <c r="G4452" s="203" t="s">
        <v>125</v>
      </c>
      <c r="H4452" s="204" t="s">
        <v>126</v>
      </c>
    </row>
    <row r="4453" spans="1:8" s="208" customFormat="1" ht="30">
      <c r="A4453" s="581" t="str">
        <f>'Orç - Prédio'!A683</f>
        <v>07.02.502.03</v>
      </c>
      <c r="B4453" s="581" t="str">
        <f>'Orç - Prédio'!B683</f>
        <v>CPOS</v>
      </c>
      <c r="C4453" s="581" t="str">
        <f>'Orç - Prédio'!C683</f>
        <v>61.14.040 MOD 3</v>
      </c>
      <c r="D4453" s="205" t="s">
        <v>8053</v>
      </c>
      <c r="E4453" s="206">
        <v>1</v>
      </c>
      <c r="F4453" s="581" t="s">
        <v>6337</v>
      </c>
      <c r="G4453" s="207">
        <f>VLOOKUP("CUSTO TOTAL UNIT.:",D4454:$H$30004,5,FALSE)</f>
        <v>3290.9599999999996</v>
      </c>
      <c r="H4453" s="637">
        <f>VLOOKUP("CUSTO TOTAL:",D4454:$H$30004,5,FALSE)</f>
        <v>3290.96</v>
      </c>
    </row>
    <row r="4454" spans="1:8" s="124" customFormat="1" ht="30" customHeight="1">
      <c r="A4454" s="722" t="s">
        <v>7394</v>
      </c>
      <c r="B4454" s="722"/>
      <c r="C4454" s="184" t="s">
        <v>8096</v>
      </c>
      <c r="D4454" s="139" t="s">
        <v>9336</v>
      </c>
      <c r="E4454" s="209">
        <v>1</v>
      </c>
      <c r="F4454" s="577" t="s">
        <v>31</v>
      </c>
      <c r="G4454" s="210">
        <v>3121.7400000000002</v>
      </c>
      <c r="H4454" s="211">
        <f>ROUND(G4454*E4454,2)</f>
        <v>3121.74</v>
      </c>
    </row>
    <row r="4455" spans="1:8" s="124" customFormat="1" ht="30">
      <c r="A4455" s="721">
        <v>88264</v>
      </c>
      <c r="B4455" s="721"/>
      <c r="C4455" s="200" t="s">
        <v>5256</v>
      </c>
      <c r="D4455" s="139" t="s">
        <v>84</v>
      </c>
      <c r="E4455" s="209">
        <v>6</v>
      </c>
      <c r="F4455" s="577" t="s">
        <v>67</v>
      </c>
      <c r="G4455" s="210">
        <v>15.778800000000002</v>
      </c>
      <c r="H4455" s="211">
        <f>ROUND(G4455*E4455,2)</f>
        <v>94.67</v>
      </c>
    </row>
    <row r="4456" spans="1:8" s="124" customFormat="1" ht="30">
      <c r="A4456" s="721">
        <v>88247</v>
      </c>
      <c r="B4456" s="721"/>
      <c r="C4456" s="200" t="s">
        <v>5256</v>
      </c>
      <c r="D4456" s="139" t="s">
        <v>74</v>
      </c>
      <c r="E4456" s="209">
        <v>6</v>
      </c>
      <c r="F4456" s="577" t="s">
        <v>67</v>
      </c>
      <c r="G4456" s="210">
        <v>12.425400000000002</v>
      </c>
      <c r="H4456" s="211">
        <f>ROUND(G4456*E4456,2)</f>
        <v>74.55</v>
      </c>
    </row>
    <row r="4457" spans="1:8" s="201" customFormat="1">
      <c r="A4457" s="582"/>
      <c r="B4457" s="582"/>
      <c r="C4457" s="212"/>
      <c r="D4457" s="719" t="s">
        <v>127</v>
      </c>
      <c r="E4457" s="719"/>
      <c r="F4457" s="719"/>
      <c r="G4457" s="719"/>
      <c r="H4457" s="638">
        <f>SUMIF(F4454:F4456,("h"),H4454:H4456)</f>
        <v>169.22</v>
      </c>
    </row>
    <row r="4458" spans="1:8" s="201" customFormat="1">
      <c r="A4458" s="582"/>
      <c r="B4458" s="582"/>
      <c r="C4458" s="212"/>
      <c r="D4458" s="719" t="s">
        <v>128</v>
      </c>
      <c r="E4458" s="719"/>
      <c r="F4458" s="719"/>
      <c r="G4458" s="719"/>
      <c r="H4458" s="638">
        <f>SUMIF(F4454:F4456,"&lt;&gt;h",H4454:H4456)</f>
        <v>3121.74</v>
      </c>
    </row>
    <row r="4459" spans="1:8" s="201" customFormat="1">
      <c r="A4459" s="582"/>
      <c r="B4459" s="582"/>
      <c r="C4459" s="212"/>
      <c r="D4459" s="718" t="s">
        <v>129</v>
      </c>
      <c r="E4459" s="718"/>
      <c r="F4459" s="718"/>
      <c r="G4459" s="718"/>
      <c r="H4459" s="213">
        <f>SUM(H4457:H4458)</f>
        <v>3290.9599999999996</v>
      </c>
    </row>
    <row r="4460" spans="1:8" s="201" customFormat="1">
      <c r="A4460" s="582"/>
      <c r="B4460" s="582"/>
      <c r="C4460" s="212"/>
      <c r="D4460" s="719" t="s">
        <v>28</v>
      </c>
      <c r="E4460" s="719"/>
      <c r="F4460" s="719"/>
      <c r="G4460" s="719"/>
      <c r="H4460" s="639">
        <f>E4453</f>
        <v>1</v>
      </c>
    </row>
    <row r="4461" spans="1:8" s="201" customFormat="1">
      <c r="A4461" s="582"/>
      <c r="B4461" s="582"/>
      <c r="C4461" s="212"/>
      <c r="D4461" s="718" t="s">
        <v>130</v>
      </c>
      <c r="E4461" s="718"/>
      <c r="F4461" s="718"/>
      <c r="G4461" s="718"/>
      <c r="H4461" s="213">
        <f>ROUND(H4459*H4460,2)</f>
        <v>3290.96</v>
      </c>
    </row>
    <row r="4462" spans="1:8" s="201" customFormat="1">
      <c r="A4462" s="582"/>
      <c r="B4462" s="582"/>
      <c r="C4462" s="212"/>
      <c r="D4462" s="719" t="s">
        <v>15559</v>
      </c>
      <c r="E4462" s="719"/>
      <c r="F4462" s="719"/>
      <c r="G4462" s="719"/>
      <c r="H4462" s="638">
        <f>ROUND(H4459*$B$13,2)</f>
        <v>886.26</v>
      </c>
    </row>
    <row r="4463" spans="1:8">
      <c r="A4463" s="582"/>
      <c r="B4463" s="582"/>
      <c r="C4463" s="212"/>
      <c r="D4463" s="718" t="s">
        <v>9661</v>
      </c>
      <c r="E4463" s="718"/>
      <c r="F4463" s="718"/>
      <c r="G4463" s="718"/>
      <c r="H4463" s="213">
        <f>H4462+H4459</f>
        <v>4177.2199999999993</v>
      </c>
    </row>
    <row r="4465" spans="1:8" s="201" customFormat="1">
      <c r="A4465" s="123" t="s">
        <v>6</v>
      </c>
      <c r="B4465" s="720" t="s">
        <v>7</v>
      </c>
      <c r="C4465" s="720"/>
      <c r="D4465" s="202" t="s">
        <v>124</v>
      </c>
      <c r="E4465" s="167" t="s">
        <v>6334</v>
      </c>
      <c r="F4465" s="202" t="s">
        <v>31</v>
      </c>
      <c r="G4465" s="203" t="s">
        <v>125</v>
      </c>
      <c r="H4465" s="204" t="s">
        <v>126</v>
      </c>
    </row>
    <row r="4466" spans="1:8" s="208" customFormat="1" ht="30">
      <c r="A4466" s="581" t="str">
        <f>'Orç - Prédio'!A685</f>
        <v>07.02.701.01</v>
      </c>
      <c r="B4466" s="581" t="str">
        <f>'Orç - Prédio'!B685</f>
        <v>CPOS</v>
      </c>
      <c r="C4466" s="581" t="str">
        <f>'Orç - Prédio'!C685</f>
        <v>61.10.567 MOD</v>
      </c>
      <c r="D4466" s="205" t="s">
        <v>8055</v>
      </c>
      <c r="E4466" s="206">
        <v>4</v>
      </c>
      <c r="F4466" s="581" t="s">
        <v>6337</v>
      </c>
      <c r="G4466" s="207">
        <f>VLOOKUP("CUSTO TOTAL UNIT.:",D4467:$H$30004,5,FALSE)</f>
        <v>128.68</v>
      </c>
      <c r="H4466" s="637">
        <f>VLOOKUP("CUSTO TOTAL:",D4467:$H$30004,5,FALSE)</f>
        <v>514.72</v>
      </c>
    </row>
    <row r="4467" spans="1:8" s="124" customFormat="1" ht="15" customHeight="1">
      <c r="A4467" s="722" t="s">
        <v>9078</v>
      </c>
      <c r="B4467" s="722"/>
      <c r="C4467" s="184" t="s">
        <v>6753</v>
      </c>
      <c r="D4467" s="139" t="s">
        <v>9079</v>
      </c>
      <c r="E4467" s="209">
        <v>0.15</v>
      </c>
      <c r="F4467" s="577" t="s">
        <v>322</v>
      </c>
      <c r="G4467" s="210">
        <v>791.72640000000013</v>
      </c>
      <c r="H4467" s="211">
        <f>ROUND(G4467*E4467,2)</f>
        <v>118.76</v>
      </c>
    </row>
    <row r="4468" spans="1:8" s="124" customFormat="1" ht="30">
      <c r="A4468" s="721">
        <v>88279</v>
      </c>
      <c r="B4468" s="721"/>
      <c r="C4468" s="200" t="s">
        <v>5256</v>
      </c>
      <c r="D4468" s="139" t="s">
        <v>5110</v>
      </c>
      <c r="E4468" s="209">
        <v>0.33</v>
      </c>
      <c r="F4468" s="577" t="s">
        <v>67</v>
      </c>
      <c r="G4468" s="210">
        <v>16.3215</v>
      </c>
      <c r="H4468" s="211">
        <f>ROUND(G4468*E4468,2)</f>
        <v>5.39</v>
      </c>
    </row>
    <row r="4469" spans="1:8" s="124" customFormat="1" ht="30">
      <c r="A4469" s="721">
        <v>88243</v>
      </c>
      <c r="B4469" s="721"/>
      <c r="C4469" s="200" t="s">
        <v>5256</v>
      </c>
      <c r="D4469" s="139" t="s">
        <v>102</v>
      </c>
      <c r="E4469" s="209">
        <v>0.33</v>
      </c>
      <c r="F4469" s="577" t="s">
        <v>67</v>
      </c>
      <c r="G4469" s="210">
        <v>13.7133</v>
      </c>
      <c r="H4469" s="211">
        <f>ROUND(G4469*E4469,2)</f>
        <v>4.53</v>
      </c>
    </row>
    <row r="4470" spans="1:8" s="201" customFormat="1">
      <c r="A4470" s="582"/>
      <c r="B4470" s="582"/>
      <c r="C4470" s="212"/>
      <c r="D4470" s="719" t="s">
        <v>127</v>
      </c>
      <c r="E4470" s="719"/>
      <c r="F4470" s="719"/>
      <c r="G4470" s="719"/>
      <c r="H4470" s="638">
        <f>SUMIF(F4467:F4469,("h"),H4467:H4469)</f>
        <v>9.92</v>
      </c>
    </row>
    <row r="4471" spans="1:8" s="201" customFormat="1">
      <c r="A4471" s="582"/>
      <c r="B4471" s="582"/>
      <c r="C4471" s="212"/>
      <c r="D4471" s="719" t="s">
        <v>128</v>
      </c>
      <c r="E4471" s="719"/>
      <c r="F4471" s="719"/>
      <c r="G4471" s="719"/>
      <c r="H4471" s="638">
        <f>SUMIF(F4467:F4469,"&lt;&gt;h",H4467:H4469)</f>
        <v>118.76</v>
      </c>
    </row>
    <row r="4472" spans="1:8" s="201" customFormat="1">
      <c r="A4472" s="582"/>
      <c r="B4472" s="582"/>
      <c r="C4472" s="212"/>
      <c r="D4472" s="718" t="s">
        <v>129</v>
      </c>
      <c r="E4472" s="718"/>
      <c r="F4472" s="718"/>
      <c r="G4472" s="718"/>
      <c r="H4472" s="213">
        <f>SUM(H4470:H4471)</f>
        <v>128.68</v>
      </c>
    </row>
    <row r="4473" spans="1:8" s="201" customFormat="1">
      <c r="A4473" s="582"/>
      <c r="B4473" s="582"/>
      <c r="C4473" s="212"/>
      <c r="D4473" s="719" t="s">
        <v>28</v>
      </c>
      <c r="E4473" s="719"/>
      <c r="F4473" s="719"/>
      <c r="G4473" s="719"/>
      <c r="H4473" s="639">
        <f>E4466</f>
        <v>4</v>
      </c>
    </row>
    <row r="4474" spans="1:8" s="201" customFormat="1">
      <c r="A4474" s="582"/>
      <c r="B4474" s="582"/>
      <c r="C4474" s="212"/>
      <c r="D4474" s="718" t="s">
        <v>130</v>
      </c>
      <c r="E4474" s="718"/>
      <c r="F4474" s="718"/>
      <c r="G4474" s="718"/>
      <c r="H4474" s="213">
        <f>ROUND(H4472*H4473,2)</f>
        <v>514.72</v>
      </c>
    </row>
    <row r="4475" spans="1:8" s="201" customFormat="1">
      <c r="A4475" s="582"/>
      <c r="B4475" s="582"/>
      <c r="C4475" s="212"/>
      <c r="D4475" s="719" t="s">
        <v>15559</v>
      </c>
      <c r="E4475" s="719"/>
      <c r="F4475" s="719"/>
      <c r="G4475" s="719"/>
      <c r="H4475" s="638">
        <f>ROUND(H4472*$B$13,2)</f>
        <v>34.65</v>
      </c>
    </row>
    <row r="4476" spans="1:8">
      <c r="A4476" s="582"/>
      <c r="B4476" s="582"/>
      <c r="C4476" s="212"/>
      <c r="D4476" s="718" t="s">
        <v>9661</v>
      </c>
      <c r="E4476" s="718"/>
      <c r="F4476" s="718"/>
      <c r="G4476" s="718"/>
      <c r="H4476" s="213">
        <f>H4475+H4472</f>
        <v>163.33000000000001</v>
      </c>
    </row>
    <row r="4478" spans="1:8" s="201" customFormat="1">
      <c r="A4478" s="123" t="s">
        <v>6</v>
      </c>
      <c r="B4478" s="720" t="s">
        <v>7</v>
      </c>
      <c r="C4478" s="720"/>
      <c r="D4478" s="202" t="s">
        <v>124</v>
      </c>
      <c r="E4478" s="167" t="s">
        <v>6334</v>
      </c>
      <c r="F4478" s="202" t="s">
        <v>31</v>
      </c>
      <c r="G4478" s="203" t="s">
        <v>125</v>
      </c>
      <c r="H4478" s="204" t="s">
        <v>126</v>
      </c>
    </row>
    <row r="4479" spans="1:8" s="208" customFormat="1" ht="30">
      <c r="A4479" s="581" t="str">
        <f>'Orç - Prédio'!A686</f>
        <v>07.02.701.02</v>
      </c>
      <c r="B4479" s="581" t="str">
        <f>'Orç - Prédio'!B686</f>
        <v>CPOS</v>
      </c>
      <c r="C4479" s="581" t="str">
        <f>'Orç - Prédio'!C686</f>
        <v>61.10.569 MOD</v>
      </c>
      <c r="D4479" s="205" t="s">
        <v>8056</v>
      </c>
      <c r="E4479" s="206">
        <v>6</v>
      </c>
      <c r="F4479" s="581" t="s">
        <v>6337</v>
      </c>
      <c r="G4479" s="207">
        <f>VLOOKUP("CUSTO TOTAL UNIT.:",D4480:$H$30004,5,FALSE)</f>
        <v>98.320000000000007</v>
      </c>
      <c r="H4479" s="637">
        <f>VLOOKUP("CUSTO TOTAL:",D4480:$H$30004,5,FALSE)</f>
        <v>589.91999999999996</v>
      </c>
    </row>
    <row r="4480" spans="1:8" s="124" customFormat="1" ht="15" customHeight="1">
      <c r="A4480" s="722" t="s">
        <v>9080</v>
      </c>
      <c r="B4480" s="722"/>
      <c r="C4480" s="184" t="s">
        <v>6753</v>
      </c>
      <c r="D4480" s="139" t="s">
        <v>9081</v>
      </c>
      <c r="E4480" s="209">
        <v>0.06</v>
      </c>
      <c r="F4480" s="577" t="s">
        <v>322</v>
      </c>
      <c r="G4480" s="210">
        <v>1494.5634000000002</v>
      </c>
      <c r="H4480" s="211">
        <f>ROUND(G4480*E4480,2)</f>
        <v>89.67</v>
      </c>
    </row>
    <row r="4481" spans="1:8" s="124" customFormat="1" ht="30">
      <c r="A4481" s="721">
        <v>88279</v>
      </c>
      <c r="B4481" s="721"/>
      <c r="C4481" s="200" t="s">
        <v>5256</v>
      </c>
      <c r="D4481" s="139" t="s">
        <v>5110</v>
      </c>
      <c r="E4481" s="209">
        <v>0.28799999999999998</v>
      </c>
      <c r="F4481" s="577" t="s">
        <v>67</v>
      </c>
      <c r="G4481" s="210">
        <v>16.3215</v>
      </c>
      <c r="H4481" s="211">
        <f>ROUND(G4481*E4481,2)</f>
        <v>4.7</v>
      </c>
    </row>
    <row r="4482" spans="1:8" s="124" customFormat="1" ht="30">
      <c r="A4482" s="721">
        <v>88243</v>
      </c>
      <c r="B4482" s="721"/>
      <c r="C4482" s="200" t="s">
        <v>5256</v>
      </c>
      <c r="D4482" s="139" t="s">
        <v>102</v>
      </c>
      <c r="E4482" s="209">
        <v>0.28799999999999998</v>
      </c>
      <c r="F4482" s="577" t="s">
        <v>67</v>
      </c>
      <c r="G4482" s="210">
        <v>13.7133</v>
      </c>
      <c r="H4482" s="211">
        <f>ROUND(G4482*E4482,2)</f>
        <v>3.95</v>
      </c>
    </row>
    <row r="4483" spans="1:8" s="201" customFormat="1">
      <c r="A4483" s="582"/>
      <c r="B4483" s="582"/>
      <c r="C4483" s="212"/>
      <c r="D4483" s="719" t="s">
        <v>127</v>
      </c>
      <c r="E4483" s="719"/>
      <c r="F4483" s="719"/>
      <c r="G4483" s="719"/>
      <c r="H4483" s="638">
        <f>SUMIF(F4480:F4482,("h"),H4480:H4482)</f>
        <v>8.65</v>
      </c>
    </row>
    <row r="4484" spans="1:8" s="201" customFormat="1">
      <c r="A4484" s="582"/>
      <c r="B4484" s="582"/>
      <c r="C4484" s="212"/>
      <c r="D4484" s="719" t="s">
        <v>128</v>
      </c>
      <c r="E4484" s="719"/>
      <c r="F4484" s="719"/>
      <c r="G4484" s="719"/>
      <c r="H4484" s="638">
        <f>SUMIF(F4480:F4482,"&lt;&gt;h",H4480:H4482)</f>
        <v>89.67</v>
      </c>
    </row>
    <row r="4485" spans="1:8" s="201" customFormat="1">
      <c r="A4485" s="582"/>
      <c r="B4485" s="582"/>
      <c r="C4485" s="212"/>
      <c r="D4485" s="718" t="s">
        <v>129</v>
      </c>
      <c r="E4485" s="718"/>
      <c r="F4485" s="718"/>
      <c r="G4485" s="718"/>
      <c r="H4485" s="213">
        <f>SUM(H4483:H4484)</f>
        <v>98.320000000000007</v>
      </c>
    </row>
    <row r="4486" spans="1:8" s="201" customFormat="1">
      <c r="A4486" s="582"/>
      <c r="B4486" s="582"/>
      <c r="C4486" s="212"/>
      <c r="D4486" s="719" t="s">
        <v>28</v>
      </c>
      <c r="E4486" s="719"/>
      <c r="F4486" s="719"/>
      <c r="G4486" s="719"/>
      <c r="H4486" s="639">
        <f>E4479</f>
        <v>6</v>
      </c>
    </row>
    <row r="4487" spans="1:8" s="201" customFormat="1">
      <c r="A4487" s="582"/>
      <c r="B4487" s="582"/>
      <c r="C4487" s="212"/>
      <c r="D4487" s="718" t="s">
        <v>130</v>
      </c>
      <c r="E4487" s="718"/>
      <c r="F4487" s="718"/>
      <c r="G4487" s="718"/>
      <c r="H4487" s="213">
        <f>ROUND(H4485*H4486,2)</f>
        <v>589.91999999999996</v>
      </c>
    </row>
    <row r="4488" spans="1:8" s="201" customFormat="1">
      <c r="A4488" s="582"/>
      <c r="B4488" s="582"/>
      <c r="C4488" s="212"/>
      <c r="D4488" s="719" t="s">
        <v>15559</v>
      </c>
      <c r="E4488" s="719"/>
      <c r="F4488" s="719"/>
      <c r="G4488" s="719"/>
      <c r="H4488" s="638">
        <f>ROUND(H4485*$B$13,2)</f>
        <v>26.48</v>
      </c>
    </row>
    <row r="4489" spans="1:8">
      <c r="A4489" s="582"/>
      <c r="B4489" s="582"/>
      <c r="C4489" s="212"/>
      <c r="D4489" s="718" t="s">
        <v>9661</v>
      </c>
      <c r="E4489" s="718"/>
      <c r="F4489" s="718"/>
      <c r="G4489" s="718"/>
      <c r="H4489" s="213">
        <f>H4488+H4485</f>
        <v>124.80000000000001</v>
      </c>
    </row>
    <row r="4491" spans="1:8" s="201" customFormat="1">
      <c r="A4491" s="123" t="s">
        <v>6</v>
      </c>
      <c r="B4491" s="720" t="s">
        <v>7</v>
      </c>
      <c r="C4491" s="720"/>
      <c r="D4491" s="202" t="s">
        <v>124</v>
      </c>
      <c r="E4491" s="167" t="s">
        <v>6334</v>
      </c>
      <c r="F4491" s="202" t="s">
        <v>31</v>
      </c>
      <c r="G4491" s="203" t="s">
        <v>125</v>
      </c>
      <c r="H4491" s="204" t="s">
        <v>126</v>
      </c>
    </row>
    <row r="4492" spans="1:8" s="208" customFormat="1" ht="30">
      <c r="A4492" s="581" t="str">
        <f>'Orç - Prédio'!A687</f>
        <v>07.02.701.03</v>
      </c>
      <c r="B4492" s="581" t="str">
        <f>'Orç - Prédio'!B687</f>
        <v>CPOS</v>
      </c>
      <c r="C4492" s="581" t="str">
        <f>'Orç - Prédio'!C687</f>
        <v>61.10.574 MOD 1</v>
      </c>
      <c r="D4492" s="205" t="s">
        <v>8057</v>
      </c>
      <c r="E4492" s="206">
        <v>4</v>
      </c>
      <c r="F4492" s="581" t="s">
        <v>6337</v>
      </c>
      <c r="G4492" s="207">
        <f>VLOOKUP("CUSTO TOTAL UNIT.:",D4493:$H$30004,5,FALSE)</f>
        <v>68.319999999999993</v>
      </c>
      <c r="H4492" s="637">
        <f>VLOOKUP("CUSTO TOTAL:",D4493:$H$30004,5,FALSE)</f>
        <v>273.27999999999997</v>
      </c>
    </row>
    <row r="4493" spans="1:8" s="124" customFormat="1" ht="30">
      <c r="A4493" s="722" t="s">
        <v>9082</v>
      </c>
      <c r="B4493" s="722"/>
      <c r="C4493" s="184" t="s">
        <v>6753</v>
      </c>
      <c r="D4493" s="139" t="s">
        <v>9083</v>
      </c>
      <c r="E4493" s="209">
        <v>0.06</v>
      </c>
      <c r="F4493" s="577" t="s">
        <v>322</v>
      </c>
      <c r="G4493" s="210">
        <v>1030.5630000000001</v>
      </c>
      <c r="H4493" s="211">
        <f>ROUND(G4493*E4493,2)</f>
        <v>61.83</v>
      </c>
    </row>
    <row r="4494" spans="1:8" s="124" customFormat="1" ht="30">
      <c r="A4494" s="721">
        <v>88279</v>
      </c>
      <c r="B4494" s="721"/>
      <c r="C4494" s="200" t="s">
        <v>5256</v>
      </c>
      <c r="D4494" s="139" t="s">
        <v>5110</v>
      </c>
      <c r="E4494" s="209">
        <v>0.216</v>
      </c>
      <c r="F4494" s="577" t="s">
        <v>67</v>
      </c>
      <c r="G4494" s="210">
        <v>16.3215</v>
      </c>
      <c r="H4494" s="211">
        <f>ROUND(G4494*E4494,2)</f>
        <v>3.53</v>
      </c>
    </row>
    <row r="4495" spans="1:8" s="124" customFormat="1" ht="30">
      <c r="A4495" s="721">
        <v>88243</v>
      </c>
      <c r="B4495" s="721"/>
      <c r="C4495" s="200" t="s">
        <v>5256</v>
      </c>
      <c r="D4495" s="139" t="s">
        <v>102</v>
      </c>
      <c r="E4495" s="209">
        <v>0.216</v>
      </c>
      <c r="F4495" s="577" t="s">
        <v>67</v>
      </c>
      <c r="G4495" s="210">
        <v>13.7133</v>
      </c>
      <c r="H4495" s="211">
        <f>ROUND(G4495*E4495,2)</f>
        <v>2.96</v>
      </c>
    </row>
    <row r="4496" spans="1:8" s="201" customFormat="1">
      <c r="A4496" s="582"/>
      <c r="B4496" s="582"/>
      <c r="C4496" s="212"/>
      <c r="D4496" s="719" t="s">
        <v>127</v>
      </c>
      <c r="E4496" s="719"/>
      <c r="F4496" s="719"/>
      <c r="G4496" s="719"/>
      <c r="H4496" s="638">
        <f>SUMIF(F4493:F4495,("h"),H4493:H4495)</f>
        <v>6.49</v>
      </c>
    </row>
    <row r="4497" spans="1:8" s="201" customFormat="1">
      <c r="A4497" s="582"/>
      <c r="B4497" s="582"/>
      <c r="C4497" s="212"/>
      <c r="D4497" s="719" t="s">
        <v>128</v>
      </c>
      <c r="E4497" s="719"/>
      <c r="F4497" s="719"/>
      <c r="G4497" s="719"/>
      <c r="H4497" s="638">
        <f>SUMIF(F4493:F4495,"&lt;&gt;h",H4493:H4495)</f>
        <v>61.83</v>
      </c>
    </row>
    <row r="4498" spans="1:8" s="201" customFormat="1">
      <c r="A4498" s="582"/>
      <c r="B4498" s="582"/>
      <c r="C4498" s="212"/>
      <c r="D4498" s="718" t="s">
        <v>129</v>
      </c>
      <c r="E4498" s="718"/>
      <c r="F4498" s="718"/>
      <c r="G4498" s="718"/>
      <c r="H4498" s="213">
        <f>SUM(H4496:H4497)</f>
        <v>68.319999999999993</v>
      </c>
    </row>
    <row r="4499" spans="1:8" s="201" customFormat="1">
      <c r="A4499" s="582"/>
      <c r="B4499" s="582"/>
      <c r="C4499" s="212"/>
      <c r="D4499" s="719" t="s">
        <v>28</v>
      </c>
      <c r="E4499" s="719"/>
      <c r="F4499" s="719"/>
      <c r="G4499" s="719"/>
      <c r="H4499" s="639">
        <f>E4492</f>
        <v>4</v>
      </c>
    </row>
    <row r="4500" spans="1:8" s="201" customFormat="1">
      <c r="A4500" s="582"/>
      <c r="B4500" s="582"/>
      <c r="C4500" s="212"/>
      <c r="D4500" s="718" t="s">
        <v>130</v>
      </c>
      <c r="E4500" s="718"/>
      <c r="F4500" s="718"/>
      <c r="G4500" s="718"/>
      <c r="H4500" s="213">
        <f>ROUND(H4498*H4499,2)</f>
        <v>273.27999999999997</v>
      </c>
    </row>
    <row r="4501" spans="1:8" s="201" customFormat="1">
      <c r="A4501" s="582"/>
      <c r="B4501" s="582"/>
      <c r="C4501" s="212"/>
      <c r="D4501" s="719" t="s">
        <v>15559</v>
      </c>
      <c r="E4501" s="719"/>
      <c r="F4501" s="719"/>
      <c r="G4501" s="719"/>
      <c r="H4501" s="638">
        <f>ROUND(H4498*$B$13,2)</f>
        <v>18.399999999999999</v>
      </c>
    </row>
    <row r="4502" spans="1:8">
      <c r="A4502" s="582"/>
      <c r="B4502" s="582"/>
      <c r="C4502" s="212"/>
      <c r="D4502" s="718" t="s">
        <v>9661</v>
      </c>
      <c r="E4502" s="718"/>
      <c r="F4502" s="718"/>
      <c r="G4502" s="718"/>
      <c r="H4502" s="213">
        <f>H4501+H4498</f>
        <v>86.72</v>
      </c>
    </row>
    <row r="4504" spans="1:8" s="201" customFormat="1">
      <c r="A4504" s="123" t="s">
        <v>6</v>
      </c>
      <c r="B4504" s="720" t="s">
        <v>7</v>
      </c>
      <c r="C4504" s="720"/>
      <c r="D4504" s="202" t="s">
        <v>124</v>
      </c>
      <c r="E4504" s="167" t="s">
        <v>6334</v>
      </c>
      <c r="F4504" s="202" t="s">
        <v>31</v>
      </c>
      <c r="G4504" s="203" t="s">
        <v>125</v>
      </c>
      <c r="H4504" s="204" t="s">
        <v>126</v>
      </c>
    </row>
    <row r="4505" spans="1:8" s="208" customFormat="1" ht="30">
      <c r="A4505" s="581" t="str">
        <f>'Orç - Prédio'!A688</f>
        <v>07.02.701.04</v>
      </c>
      <c r="B4505" s="581" t="str">
        <f>'Orç - Prédio'!B688</f>
        <v>CPOS</v>
      </c>
      <c r="C4505" s="581" t="str">
        <f>'Orç - Prédio'!C688</f>
        <v>61.10.574 MOD 2</v>
      </c>
      <c r="D4505" s="205" t="s">
        <v>8058</v>
      </c>
      <c r="E4505" s="206">
        <v>22</v>
      </c>
      <c r="F4505" s="581" t="s">
        <v>6337</v>
      </c>
      <c r="G4505" s="207">
        <f>VLOOKUP("CUSTO TOTAL UNIT.:",D4506:$H$30004,5,FALSE)</f>
        <v>45.54</v>
      </c>
      <c r="H4505" s="637">
        <f>VLOOKUP("CUSTO TOTAL:",D4506:$H$30004,5,FALSE)</f>
        <v>1001.88</v>
      </c>
    </row>
    <row r="4506" spans="1:8" s="124" customFormat="1" ht="30">
      <c r="A4506" s="722" t="s">
        <v>9082</v>
      </c>
      <c r="B4506" s="722"/>
      <c r="C4506" s="184" t="s">
        <v>6753</v>
      </c>
      <c r="D4506" s="139" t="s">
        <v>9083</v>
      </c>
      <c r="E4506" s="209">
        <v>0.04</v>
      </c>
      <c r="F4506" s="577" t="s">
        <v>322</v>
      </c>
      <c r="G4506" s="210">
        <v>1030.5630000000001</v>
      </c>
      <c r="H4506" s="211">
        <f>ROUND(G4506*E4506,2)</f>
        <v>41.22</v>
      </c>
    </row>
    <row r="4507" spans="1:8" s="124" customFormat="1" ht="30">
      <c r="A4507" s="721">
        <v>88279</v>
      </c>
      <c r="B4507" s="721"/>
      <c r="C4507" s="200" t="s">
        <v>5256</v>
      </c>
      <c r="D4507" s="139" t="s">
        <v>5110</v>
      </c>
      <c r="E4507" s="209">
        <v>0.14399999999999999</v>
      </c>
      <c r="F4507" s="577" t="s">
        <v>67</v>
      </c>
      <c r="G4507" s="210">
        <v>16.3215</v>
      </c>
      <c r="H4507" s="211">
        <f>ROUND(G4507*E4507,2)</f>
        <v>2.35</v>
      </c>
    </row>
    <row r="4508" spans="1:8" s="124" customFormat="1" ht="30">
      <c r="A4508" s="721">
        <v>88243</v>
      </c>
      <c r="B4508" s="721"/>
      <c r="C4508" s="200" t="s">
        <v>5256</v>
      </c>
      <c r="D4508" s="139" t="s">
        <v>102</v>
      </c>
      <c r="E4508" s="209">
        <v>0.14399999999999999</v>
      </c>
      <c r="F4508" s="577" t="s">
        <v>67</v>
      </c>
      <c r="G4508" s="210">
        <v>13.7133</v>
      </c>
      <c r="H4508" s="211">
        <f>ROUND(G4508*E4508,2)</f>
        <v>1.97</v>
      </c>
    </row>
    <row r="4509" spans="1:8" s="201" customFormat="1">
      <c r="A4509" s="582"/>
      <c r="B4509" s="582"/>
      <c r="C4509" s="212"/>
      <c r="D4509" s="719" t="s">
        <v>127</v>
      </c>
      <c r="E4509" s="719"/>
      <c r="F4509" s="719"/>
      <c r="G4509" s="719"/>
      <c r="H4509" s="638">
        <f>SUMIF(F4506:F4508,("h"),H4506:H4508)</f>
        <v>4.32</v>
      </c>
    </row>
    <row r="4510" spans="1:8" s="201" customFormat="1">
      <c r="A4510" s="582"/>
      <c r="B4510" s="582"/>
      <c r="C4510" s="212"/>
      <c r="D4510" s="719" t="s">
        <v>128</v>
      </c>
      <c r="E4510" s="719"/>
      <c r="F4510" s="719"/>
      <c r="G4510" s="719"/>
      <c r="H4510" s="638">
        <f>SUMIF(F4506:F4508,"&lt;&gt;h",H4506:H4508)</f>
        <v>41.22</v>
      </c>
    </row>
    <row r="4511" spans="1:8" s="201" customFormat="1">
      <c r="A4511" s="582"/>
      <c r="B4511" s="582"/>
      <c r="C4511" s="212"/>
      <c r="D4511" s="718" t="s">
        <v>129</v>
      </c>
      <c r="E4511" s="718"/>
      <c r="F4511" s="718"/>
      <c r="G4511" s="718"/>
      <c r="H4511" s="213">
        <f>SUM(H4509:H4510)</f>
        <v>45.54</v>
      </c>
    </row>
    <row r="4512" spans="1:8" s="201" customFormat="1">
      <c r="A4512" s="582"/>
      <c r="B4512" s="582"/>
      <c r="C4512" s="212"/>
      <c r="D4512" s="719" t="s">
        <v>28</v>
      </c>
      <c r="E4512" s="719"/>
      <c r="F4512" s="719"/>
      <c r="G4512" s="719"/>
      <c r="H4512" s="639">
        <f>E4505</f>
        <v>22</v>
      </c>
    </row>
    <row r="4513" spans="1:8" s="201" customFormat="1">
      <c r="A4513" s="582"/>
      <c r="B4513" s="582"/>
      <c r="C4513" s="212"/>
      <c r="D4513" s="718" t="s">
        <v>130</v>
      </c>
      <c r="E4513" s="718"/>
      <c r="F4513" s="718"/>
      <c r="G4513" s="718"/>
      <c r="H4513" s="213">
        <f>ROUND(H4511*H4512,2)</f>
        <v>1001.88</v>
      </c>
    </row>
    <row r="4514" spans="1:8" s="201" customFormat="1">
      <c r="A4514" s="582"/>
      <c r="B4514" s="582"/>
      <c r="C4514" s="212"/>
      <c r="D4514" s="719" t="s">
        <v>15559</v>
      </c>
      <c r="E4514" s="719"/>
      <c r="F4514" s="719"/>
      <c r="G4514" s="719"/>
      <c r="H4514" s="638">
        <f>ROUND(H4511*$B$13,2)</f>
        <v>12.26</v>
      </c>
    </row>
    <row r="4515" spans="1:8">
      <c r="A4515" s="582"/>
      <c r="B4515" s="582"/>
      <c r="C4515" s="212"/>
      <c r="D4515" s="718" t="s">
        <v>9661</v>
      </c>
      <c r="E4515" s="718"/>
      <c r="F4515" s="718"/>
      <c r="G4515" s="718"/>
      <c r="H4515" s="213">
        <f>H4514+H4511</f>
        <v>57.8</v>
      </c>
    </row>
    <row r="4517" spans="1:8" s="201" customFormat="1">
      <c r="A4517" s="123" t="s">
        <v>6</v>
      </c>
      <c r="B4517" s="720" t="s">
        <v>7</v>
      </c>
      <c r="C4517" s="720"/>
      <c r="D4517" s="202" t="s">
        <v>124</v>
      </c>
      <c r="E4517" s="167" t="s">
        <v>6334</v>
      </c>
      <c r="F4517" s="202" t="s">
        <v>31</v>
      </c>
      <c r="G4517" s="203" t="s">
        <v>125</v>
      </c>
      <c r="H4517" s="204" t="s">
        <v>126</v>
      </c>
    </row>
    <row r="4518" spans="1:8" s="208" customFormat="1" ht="30">
      <c r="A4518" s="581" t="str">
        <f>'Orç - Prédio'!A689</f>
        <v>07.02.702.01</v>
      </c>
      <c r="B4518" s="581" t="str">
        <f>'Orç - Prédio'!B689</f>
        <v>CPOS</v>
      </c>
      <c r="C4518" s="581" t="str">
        <f>'Orç - Prédio'!C689</f>
        <v>61.10.402 MOD</v>
      </c>
      <c r="D4518" s="205" t="s">
        <v>9070</v>
      </c>
      <c r="E4518" s="206">
        <v>5</v>
      </c>
      <c r="F4518" s="581" t="s">
        <v>6337</v>
      </c>
      <c r="G4518" s="207">
        <f>VLOOKUP("CUSTO TOTAL UNIT.:",D4519:$H$30004,5,FALSE)</f>
        <v>72.009999999999991</v>
      </c>
      <c r="H4518" s="637">
        <f>VLOOKUP("CUSTO TOTAL:",D4519:$H$30004,5,FALSE)</f>
        <v>360.05</v>
      </c>
    </row>
    <row r="4519" spans="1:8" s="124" customFormat="1" ht="30">
      <c r="A4519" s="722" t="s">
        <v>9085</v>
      </c>
      <c r="B4519" s="722"/>
      <c r="C4519" s="184" t="s">
        <v>6753</v>
      </c>
      <c r="D4519" s="139" t="s">
        <v>9084</v>
      </c>
      <c r="E4519" s="209">
        <v>0.15</v>
      </c>
      <c r="F4519" s="577" t="s">
        <v>322</v>
      </c>
      <c r="G4519" s="210">
        <v>429.01650000000001</v>
      </c>
      <c r="H4519" s="211">
        <f>ROUND(G4519*E4519,2)</f>
        <v>64.349999999999994</v>
      </c>
    </row>
    <row r="4520" spans="1:8" s="124" customFormat="1" ht="30">
      <c r="A4520" s="721">
        <v>88279</v>
      </c>
      <c r="B4520" s="721"/>
      <c r="C4520" s="200" t="s">
        <v>5256</v>
      </c>
      <c r="D4520" s="139" t="s">
        <v>5110</v>
      </c>
      <c r="E4520" s="209">
        <v>0.255</v>
      </c>
      <c r="F4520" s="577" t="s">
        <v>67</v>
      </c>
      <c r="G4520" s="210">
        <v>16.3215</v>
      </c>
      <c r="H4520" s="211">
        <f>ROUND(G4520*E4520,2)</f>
        <v>4.16</v>
      </c>
    </row>
    <row r="4521" spans="1:8" s="124" customFormat="1" ht="30">
      <c r="A4521" s="721">
        <v>88243</v>
      </c>
      <c r="B4521" s="721"/>
      <c r="C4521" s="200" t="s">
        <v>5256</v>
      </c>
      <c r="D4521" s="139" t="s">
        <v>102</v>
      </c>
      <c r="E4521" s="209">
        <v>0.255</v>
      </c>
      <c r="F4521" s="577" t="s">
        <v>67</v>
      </c>
      <c r="G4521" s="210">
        <v>13.7133</v>
      </c>
      <c r="H4521" s="211">
        <f>ROUND(G4521*E4521,2)</f>
        <v>3.5</v>
      </c>
    </row>
    <row r="4522" spans="1:8" s="201" customFormat="1">
      <c r="A4522" s="582"/>
      <c r="B4522" s="582"/>
      <c r="C4522" s="212"/>
      <c r="D4522" s="719" t="s">
        <v>127</v>
      </c>
      <c r="E4522" s="719"/>
      <c r="F4522" s="719"/>
      <c r="G4522" s="719"/>
      <c r="H4522" s="638">
        <f>SUMIF(F4519:F4521,("h"),H4519:H4521)</f>
        <v>7.66</v>
      </c>
    </row>
    <row r="4523" spans="1:8" s="201" customFormat="1">
      <c r="A4523" s="582"/>
      <c r="B4523" s="582"/>
      <c r="C4523" s="212"/>
      <c r="D4523" s="719" t="s">
        <v>128</v>
      </c>
      <c r="E4523" s="719"/>
      <c r="F4523" s="719"/>
      <c r="G4523" s="719"/>
      <c r="H4523" s="638">
        <f>SUMIF(F4519:F4521,"&lt;&gt;h",H4519:H4521)</f>
        <v>64.349999999999994</v>
      </c>
    </row>
    <row r="4524" spans="1:8" s="201" customFormat="1">
      <c r="A4524" s="582"/>
      <c r="B4524" s="582"/>
      <c r="C4524" s="212"/>
      <c r="D4524" s="718" t="s">
        <v>129</v>
      </c>
      <c r="E4524" s="718"/>
      <c r="F4524" s="718"/>
      <c r="G4524" s="718"/>
      <c r="H4524" s="213">
        <f>SUM(H4522:H4523)</f>
        <v>72.009999999999991</v>
      </c>
    </row>
    <row r="4525" spans="1:8" s="201" customFormat="1">
      <c r="A4525" s="582"/>
      <c r="B4525" s="582"/>
      <c r="C4525" s="212"/>
      <c r="D4525" s="719" t="s">
        <v>28</v>
      </c>
      <c r="E4525" s="719"/>
      <c r="F4525" s="719"/>
      <c r="G4525" s="719"/>
      <c r="H4525" s="639">
        <f>E4518</f>
        <v>5</v>
      </c>
    </row>
    <row r="4526" spans="1:8" s="201" customFormat="1">
      <c r="A4526" s="582"/>
      <c r="B4526" s="582"/>
      <c r="C4526" s="212"/>
      <c r="D4526" s="718" t="s">
        <v>130</v>
      </c>
      <c r="E4526" s="718"/>
      <c r="F4526" s="718"/>
      <c r="G4526" s="718"/>
      <c r="H4526" s="213">
        <f>ROUND(H4524*H4525,2)</f>
        <v>360.05</v>
      </c>
    </row>
    <row r="4527" spans="1:8" s="201" customFormat="1">
      <c r="A4527" s="582"/>
      <c r="B4527" s="582"/>
      <c r="C4527" s="212"/>
      <c r="D4527" s="719" t="s">
        <v>15559</v>
      </c>
      <c r="E4527" s="719"/>
      <c r="F4527" s="719"/>
      <c r="G4527" s="719"/>
      <c r="H4527" s="638">
        <f>ROUND(H4524*$B$13,2)</f>
        <v>19.39</v>
      </c>
    </row>
    <row r="4528" spans="1:8">
      <c r="A4528" s="582"/>
      <c r="B4528" s="582"/>
      <c r="C4528" s="212"/>
      <c r="D4528" s="718" t="s">
        <v>9661</v>
      </c>
      <c r="E4528" s="718"/>
      <c r="F4528" s="718"/>
      <c r="G4528" s="718"/>
      <c r="H4528" s="213">
        <f>H4527+H4524</f>
        <v>91.399999999999991</v>
      </c>
    </row>
    <row r="4530" spans="1:8" s="201" customFormat="1">
      <c r="A4530" s="123" t="s">
        <v>6</v>
      </c>
      <c r="B4530" s="720" t="s">
        <v>7</v>
      </c>
      <c r="C4530" s="720"/>
      <c r="D4530" s="202" t="s">
        <v>124</v>
      </c>
      <c r="E4530" s="167" t="s">
        <v>6334</v>
      </c>
      <c r="F4530" s="202" t="s">
        <v>31</v>
      </c>
      <c r="G4530" s="203" t="s">
        <v>125</v>
      </c>
      <c r="H4530" s="204" t="s">
        <v>126</v>
      </c>
    </row>
    <row r="4531" spans="1:8" s="208" customFormat="1" ht="30">
      <c r="A4531" s="581" t="str">
        <f>'Orç - Prédio'!A690</f>
        <v>07.02.702.02</v>
      </c>
      <c r="B4531" s="581" t="str">
        <f>'Orç - Prédio'!B690</f>
        <v>CPOS</v>
      </c>
      <c r="C4531" s="581" t="str">
        <f>'Orç - Prédio'!C690</f>
        <v>61.10.401 MOD</v>
      </c>
      <c r="D4531" s="205" t="s">
        <v>9071</v>
      </c>
      <c r="E4531" s="206">
        <v>2</v>
      </c>
      <c r="F4531" s="581" t="s">
        <v>6337</v>
      </c>
      <c r="G4531" s="207">
        <f>VLOOKUP("CUSTO TOTAL UNIT.:",D4532:$H$30004,5,FALSE)</f>
        <v>86.890000000000015</v>
      </c>
      <c r="H4531" s="637">
        <f>VLOOKUP("CUSTO TOTAL:",D4532:$H$30004,5,FALSE)</f>
        <v>173.78</v>
      </c>
    </row>
    <row r="4532" spans="1:8" s="124" customFormat="1" ht="30">
      <c r="A4532" s="722" t="s">
        <v>9086</v>
      </c>
      <c r="B4532" s="722"/>
      <c r="C4532" s="184" t="s">
        <v>6753</v>
      </c>
      <c r="D4532" s="139" t="s">
        <v>9087</v>
      </c>
      <c r="E4532" s="209">
        <v>0.1225</v>
      </c>
      <c r="F4532" s="577" t="s">
        <v>322</v>
      </c>
      <c r="G4532" s="210">
        <v>643.22100000000012</v>
      </c>
      <c r="H4532" s="211">
        <f>ROUND(G4532*E4532,2)</f>
        <v>78.790000000000006</v>
      </c>
    </row>
    <row r="4533" spans="1:8" s="124" customFormat="1" ht="30">
      <c r="A4533" s="721">
        <v>88279</v>
      </c>
      <c r="B4533" s="721"/>
      <c r="C4533" s="200" t="s">
        <v>5256</v>
      </c>
      <c r="D4533" s="139" t="s">
        <v>5110</v>
      </c>
      <c r="E4533" s="209">
        <v>0.26950000000000002</v>
      </c>
      <c r="F4533" s="577" t="s">
        <v>67</v>
      </c>
      <c r="G4533" s="210">
        <v>16.3215</v>
      </c>
      <c r="H4533" s="211">
        <f>ROUND(G4533*E4533,2)</f>
        <v>4.4000000000000004</v>
      </c>
    </row>
    <row r="4534" spans="1:8" s="124" customFormat="1" ht="30">
      <c r="A4534" s="721">
        <v>88243</v>
      </c>
      <c r="B4534" s="721"/>
      <c r="C4534" s="200" t="s">
        <v>5256</v>
      </c>
      <c r="D4534" s="139" t="s">
        <v>102</v>
      </c>
      <c r="E4534" s="209">
        <v>0.26950000000000002</v>
      </c>
      <c r="F4534" s="577" t="s">
        <v>67</v>
      </c>
      <c r="G4534" s="210">
        <v>13.7133</v>
      </c>
      <c r="H4534" s="211">
        <f>ROUND(G4534*E4534,2)</f>
        <v>3.7</v>
      </c>
    </row>
    <row r="4535" spans="1:8" s="201" customFormat="1">
      <c r="A4535" s="582"/>
      <c r="B4535" s="582"/>
      <c r="C4535" s="212"/>
      <c r="D4535" s="719" t="s">
        <v>127</v>
      </c>
      <c r="E4535" s="719"/>
      <c r="F4535" s="719"/>
      <c r="G4535" s="719"/>
      <c r="H4535" s="638">
        <f>SUMIF(F4532:F4534,("h"),H4532:H4534)</f>
        <v>8.1000000000000014</v>
      </c>
    </row>
    <row r="4536" spans="1:8" s="201" customFormat="1">
      <c r="A4536" s="582"/>
      <c r="B4536" s="582"/>
      <c r="C4536" s="212"/>
      <c r="D4536" s="719" t="s">
        <v>128</v>
      </c>
      <c r="E4536" s="719"/>
      <c r="F4536" s="719"/>
      <c r="G4536" s="719"/>
      <c r="H4536" s="638">
        <f>SUMIF(F4532:F4534,"&lt;&gt;h",H4532:H4534)</f>
        <v>78.790000000000006</v>
      </c>
    </row>
    <row r="4537" spans="1:8" s="201" customFormat="1">
      <c r="A4537" s="582"/>
      <c r="B4537" s="582"/>
      <c r="C4537" s="212"/>
      <c r="D4537" s="718" t="s">
        <v>129</v>
      </c>
      <c r="E4537" s="718"/>
      <c r="F4537" s="718"/>
      <c r="G4537" s="718"/>
      <c r="H4537" s="213">
        <f>SUM(H4535:H4536)</f>
        <v>86.890000000000015</v>
      </c>
    </row>
    <row r="4538" spans="1:8" s="201" customFormat="1">
      <c r="A4538" s="582"/>
      <c r="B4538" s="582"/>
      <c r="C4538" s="212"/>
      <c r="D4538" s="719" t="s">
        <v>28</v>
      </c>
      <c r="E4538" s="719"/>
      <c r="F4538" s="719"/>
      <c r="G4538" s="719"/>
      <c r="H4538" s="639">
        <f>E4531</f>
        <v>2</v>
      </c>
    </row>
    <row r="4539" spans="1:8" s="201" customFormat="1">
      <c r="A4539" s="582"/>
      <c r="B4539" s="582"/>
      <c r="C4539" s="212"/>
      <c r="D4539" s="718" t="s">
        <v>130</v>
      </c>
      <c r="E4539" s="718"/>
      <c r="F4539" s="718"/>
      <c r="G4539" s="718"/>
      <c r="H4539" s="213">
        <f>ROUND(H4537*H4538,2)</f>
        <v>173.78</v>
      </c>
    </row>
    <row r="4540" spans="1:8" s="201" customFormat="1">
      <c r="A4540" s="582"/>
      <c r="B4540" s="582"/>
      <c r="C4540" s="212"/>
      <c r="D4540" s="719" t="s">
        <v>15559</v>
      </c>
      <c r="E4540" s="719"/>
      <c r="F4540" s="719"/>
      <c r="G4540" s="719"/>
      <c r="H4540" s="638">
        <f>ROUND(H4537*$B$13,2)</f>
        <v>23.4</v>
      </c>
    </row>
    <row r="4541" spans="1:8">
      <c r="A4541" s="582"/>
      <c r="B4541" s="582"/>
      <c r="C4541" s="212"/>
      <c r="D4541" s="718" t="s">
        <v>9661</v>
      </c>
      <c r="E4541" s="718"/>
      <c r="F4541" s="718"/>
      <c r="G4541" s="718"/>
      <c r="H4541" s="213">
        <f>H4540+H4537</f>
        <v>110.29000000000002</v>
      </c>
    </row>
    <row r="4543" spans="1:8" s="201" customFormat="1">
      <c r="A4543" s="123" t="s">
        <v>6</v>
      </c>
      <c r="B4543" s="720" t="s">
        <v>7</v>
      </c>
      <c r="C4543" s="720"/>
      <c r="D4543" s="202" t="s">
        <v>124</v>
      </c>
      <c r="E4543" s="167" t="s">
        <v>6334</v>
      </c>
      <c r="F4543" s="202" t="s">
        <v>31</v>
      </c>
      <c r="G4543" s="203" t="s">
        <v>125</v>
      </c>
      <c r="H4543" s="204" t="s">
        <v>126</v>
      </c>
    </row>
    <row r="4544" spans="1:8" s="208" customFormat="1" ht="30">
      <c r="A4544" s="581" t="str">
        <f>'Orç - Prédio'!A691</f>
        <v>07.02.703.01</v>
      </c>
      <c r="B4544" s="581" t="str">
        <f>'Orç - Prédio'!B691</f>
        <v>CPOS</v>
      </c>
      <c r="C4544" s="581" t="str">
        <f>'Orç - Prédio'!C691</f>
        <v>61.10.530 MOD 1</v>
      </c>
      <c r="D4544" s="205" t="s">
        <v>8059</v>
      </c>
      <c r="E4544" s="206">
        <v>5</v>
      </c>
      <c r="F4544" s="581" t="s">
        <v>6337</v>
      </c>
      <c r="G4544" s="207">
        <f>VLOOKUP("CUSTO TOTAL UNIT.:",D4545:$H$30004,5,FALSE)</f>
        <v>325.14999999999998</v>
      </c>
      <c r="H4544" s="637">
        <f>VLOOKUP("CUSTO TOTAL:",D4545:$H$30004,5,FALSE)</f>
        <v>1625.75</v>
      </c>
    </row>
    <row r="4545" spans="1:8" s="124" customFormat="1" ht="30">
      <c r="A4545" s="722" t="s">
        <v>9088</v>
      </c>
      <c r="B4545" s="722"/>
      <c r="C4545" s="184" t="s">
        <v>6753</v>
      </c>
      <c r="D4545" s="139" t="s">
        <v>9089</v>
      </c>
      <c r="E4545" s="209">
        <v>0.1444</v>
      </c>
      <c r="F4545" s="577" t="s">
        <v>322</v>
      </c>
      <c r="G4545" s="210">
        <v>2085.3000000000002</v>
      </c>
      <c r="H4545" s="211">
        <f>ROUND(G4545*E4545,2)</f>
        <v>301.12</v>
      </c>
    </row>
    <row r="4546" spans="1:8" s="124" customFormat="1" ht="30">
      <c r="A4546" s="721">
        <v>88279</v>
      </c>
      <c r="B4546" s="721"/>
      <c r="C4546" s="200" t="s">
        <v>5256</v>
      </c>
      <c r="D4546" s="139" t="s">
        <v>5110</v>
      </c>
      <c r="E4546" s="209">
        <v>0.8</v>
      </c>
      <c r="F4546" s="577" t="s">
        <v>67</v>
      </c>
      <c r="G4546" s="210">
        <v>16.3215</v>
      </c>
      <c r="H4546" s="211">
        <f>ROUND(G4546*E4546,2)</f>
        <v>13.06</v>
      </c>
    </row>
    <row r="4547" spans="1:8" s="124" customFormat="1" ht="30">
      <c r="A4547" s="721">
        <v>88243</v>
      </c>
      <c r="B4547" s="721"/>
      <c r="C4547" s="200" t="s">
        <v>5256</v>
      </c>
      <c r="D4547" s="139" t="s">
        <v>102</v>
      </c>
      <c r="E4547" s="209">
        <v>0.8</v>
      </c>
      <c r="F4547" s="577" t="s">
        <v>67</v>
      </c>
      <c r="G4547" s="210">
        <v>13.7133</v>
      </c>
      <c r="H4547" s="211">
        <f>ROUND(G4547*E4547,2)</f>
        <v>10.97</v>
      </c>
    </row>
    <row r="4548" spans="1:8" s="201" customFormat="1">
      <c r="A4548" s="582"/>
      <c r="B4548" s="582"/>
      <c r="C4548" s="212"/>
      <c r="D4548" s="719" t="s">
        <v>127</v>
      </c>
      <c r="E4548" s="719"/>
      <c r="F4548" s="719"/>
      <c r="G4548" s="719"/>
      <c r="H4548" s="638">
        <f>SUMIF(F4545:F4547,("h"),H4545:H4547)</f>
        <v>24.03</v>
      </c>
    </row>
    <row r="4549" spans="1:8" s="201" customFormat="1">
      <c r="A4549" s="582"/>
      <c r="B4549" s="582"/>
      <c r="C4549" s="212"/>
      <c r="D4549" s="719" t="s">
        <v>128</v>
      </c>
      <c r="E4549" s="719"/>
      <c r="F4549" s="719"/>
      <c r="G4549" s="719"/>
      <c r="H4549" s="638">
        <f>SUMIF(F4545:F4547,"&lt;&gt;h",H4545:H4547)</f>
        <v>301.12</v>
      </c>
    </row>
    <row r="4550" spans="1:8" s="201" customFormat="1">
      <c r="A4550" s="582"/>
      <c r="B4550" s="582"/>
      <c r="C4550" s="212"/>
      <c r="D4550" s="718" t="s">
        <v>129</v>
      </c>
      <c r="E4550" s="718"/>
      <c r="F4550" s="718"/>
      <c r="G4550" s="718"/>
      <c r="H4550" s="213">
        <f>SUM(H4548:H4549)</f>
        <v>325.14999999999998</v>
      </c>
    </row>
    <row r="4551" spans="1:8" s="201" customFormat="1">
      <c r="A4551" s="582"/>
      <c r="B4551" s="582"/>
      <c r="C4551" s="212"/>
      <c r="D4551" s="719" t="s">
        <v>28</v>
      </c>
      <c r="E4551" s="719"/>
      <c r="F4551" s="719"/>
      <c r="G4551" s="719"/>
      <c r="H4551" s="639">
        <f>E4544</f>
        <v>5</v>
      </c>
    </row>
    <row r="4552" spans="1:8" s="201" customFormat="1">
      <c r="A4552" s="582"/>
      <c r="B4552" s="582"/>
      <c r="C4552" s="212"/>
      <c r="D4552" s="718" t="s">
        <v>130</v>
      </c>
      <c r="E4552" s="718"/>
      <c r="F4552" s="718"/>
      <c r="G4552" s="718"/>
      <c r="H4552" s="213">
        <f>ROUND(H4550*H4551,2)</f>
        <v>1625.75</v>
      </c>
    </row>
    <row r="4553" spans="1:8" s="201" customFormat="1">
      <c r="A4553" s="582"/>
      <c r="B4553" s="582"/>
      <c r="C4553" s="212"/>
      <c r="D4553" s="719" t="s">
        <v>15559</v>
      </c>
      <c r="E4553" s="719"/>
      <c r="F4553" s="719"/>
      <c r="G4553" s="719"/>
      <c r="H4553" s="638">
        <f>ROUND(H4550*$B$13,2)</f>
        <v>87.56</v>
      </c>
    </row>
    <row r="4554" spans="1:8">
      <c r="A4554" s="582"/>
      <c r="B4554" s="582"/>
      <c r="C4554" s="212"/>
      <c r="D4554" s="718" t="s">
        <v>9661</v>
      </c>
      <c r="E4554" s="718"/>
      <c r="F4554" s="718"/>
      <c r="G4554" s="718"/>
      <c r="H4554" s="213">
        <f>H4553+H4550</f>
        <v>412.71</v>
      </c>
    </row>
    <row r="4556" spans="1:8" s="201" customFormat="1">
      <c r="A4556" s="123" t="s">
        <v>6</v>
      </c>
      <c r="B4556" s="720" t="s">
        <v>7</v>
      </c>
      <c r="C4556" s="720"/>
      <c r="D4556" s="202" t="s">
        <v>124</v>
      </c>
      <c r="E4556" s="167" t="s">
        <v>6334</v>
      </c>
      <c r="F4556" s="202" t="s">
        <v>31</v>
      </c>
      <c r="G4556" s="203" t="s">
        <v>125</v>
      </c>
      <c r="H4556" s="204" t="s">
        <v>126</v>
      </c>
    </row>
    <row r="4557" spans="1:8" s="208" customFormat="1" ht="30">
      <c r="A4557" s="581" t="str">
        <f>'Orç - Prédio'!A692</f>
        <v>07.02.703.02</v>
      </c>
      <c r="B4557" s="581" t="str">
        <f>'Orç - Prédio'!B692</f>
        <v>CPOS</v>
      </c>
      <c r="C4557" s="581" t="str">
        <f>'Orç - Prédio'!C692</f>
        <v>61.10.530</v>
      </c>
      <c r="D4557" s="205" t="s">
        <v>8060</v>
      </c>
      <c r="E4557" s="206">
        <v>14</v>
      </c>
      <c r="F4557" s="581" t="s">
        <v>6337</v>
      </c>
      <c r="G4557" s="207">
        <f>VLOOKUP("CUSTO TOTAL UNIT.:",D4558:$H$30004,5,FALSE)</f>
        <v>211.71</v>
      </c>
      <c r="H4557" s="637">
        <f>VLOOKUP("CUSTO TOTAL:",D4558:$H$30004,5,FALSE)</f>
        <v>2963.94</v>
      </c>
    </row>
    <row r="4558" spans="1:8" s="124" customFormat="1" ht="30">
      <c r="A4558" s="722" t="s">
        <v>9088</v>
      </c>
      <c r="B4558" s="722"/>
      <c r="C4558" s="184" t="s">
        <v>6753</v>
      </c>
      <c r="D4558" s="139" t="s">
        <v>9089</v>
      </c>
      <c r="E4558" s="209">
        <v>1</v>
      </c>
      <c r="F4558" s="577" t="s">
        <v>31</v>
      </c>
      <c r="G4558" s="210">
        <v>187.67699999999999</v>
      </c>
      <c r="H4558" s="211">
        <f>ROUND(G4558*E4558,2)</f>
        <v>187.68</v>
      </c>
    </row>
    <row r="4559" spans="1:8" s="124" customFormat="1" ht="30">
      <c r="A4559" s="721">
        <v>88279</v>
      </c>
      <c r="B4559" s="721"/>
      <c r="C4559" s="200" t="s">
        <v>5256</v>
      </c>
      <c r="D4559" s="139" t="s">
        <v>5110</v>
      </c>
      <c r="E4559" s="209">
        <v>0.8</v>
      </c>
      <c r="F4559" s="577" t="s">
        <v>67</v>
      </c>
      <c r="G4559" s="210">
        <v>16.3215</v>
      </c>
      <c r="H4559" s="211">
        <f>ROUND(G4559*E4559,2)</f>
        <v>13.06</v>
      </c>
    </row>
    <row r="4560" spans="1:8" s="124" customFormat="1" ht="30">
      <c r="A4560" s="721">
        <v>88243</v>
      </c>
      <c r="B4560" s="721"/>
      <c r="C4560" s="200" t="s">
        <v>5256</v>
      </c>
      <c r="D4560" s="139" t="s">
        <v>102</v>
      </c>
      <c r="E4560" s="209">
        <v>0.8</v>
      </c>
      <c r="F4560" s="577" t="s">
        <v>67</v>
      </c>
      <c r="G4560" s="210">
        <v>13.7133</v>
      </c>
      <c r="H4560" s="211">
        <f>ROUND(G4560*E4560,2)</f>
        <v>10.97</v>
      </c>
    </row>
    <row r="4561" spans="1:8" s="201" customFormat="1">
      <c r="A4561" s="582"/>
      <c r="B4561" s="582"/>
      <c r="C4561" s="212"/>
      <c r="D4561" s="719" t="s">
        <v>127</v>
      </c>
      <c r="E4561" s="719"/>
      <c r="F4561" s="719"/>
      <c r="G4561" s="719"/>
      <c r="H4561" s="638">
        <f>SUMIF(F4558:F4560,("h"),H4558:H4560)</f>
        <v>24.03</v>
      </c>
    </row>
    <row r="4562" spans="1:8" s="201" customFormat="1">
      <c r="A4562" s="582"/>
      <c r="B4562" s="582"/>
      <c r="C4562" s="212"/>
      <c r="D4562" s="719" t="s">
        <v>128</v>
      </c>
      <c r="E4562" s="719"/>
      <c r="F4562" s="719"/>
      <c r="G4562" s="719"/>
      <c r="H4562" s="638">
        <f>SUMIF(F4558:F4560,"&lt;&gt;h",H4558:H4560)</f>
        <v>187.68</v>
      </c>
    </row>
    <row r="4563" spans="1:8" s="201" customFormat="1">
      <c r="A4563" s="582"/>
      <c r="B4563" s="582"/>
      <c r="C4563" s="212"/>
      <c r="D4563" s="718" t="s">
        <v>129</v>
      </c>
      <c r="E4563" s="718"/>
      <c r="F4563" s="718"/>
      <c r="G4563" s="718"/>
      <c r="H4563" s="213">
        <f>SUM(H4561:H4562)</f>
        <v>211.71</v>
      </c>
    </row>
    <row r="4564" spans="1:8" s="201" customFormat="1">
      <c r="A4564" s="582"/>
      <c r="B4564" s="582"/>
      <c r="C4564" s="212"/>
      <c r="D4564" s="719" t="s">
        <v>28</v>
      </c>
      <c r="E4564" s="719"/>
      <c r="F4564" s="719"/>
      <c r="G4564" s="719"/>
      <c r="H4564" s="639">
        <f>E4557</f>
        <v>14</v>
      </c>
    </row>
    <row r="4565" spans="1:8" s="201" customFormat="1">
      <c r="A4565" s="582"/>
      <c r="B4565" s="582"/>
      <c r="C4565" s="212"/>
      <c r="D4565" s="718" t="s">
        <v>130</v>
      </c>
      <c r="E4565" s="718"/>
      <c r="F4565" s="718"/>
      <c r="G4565" s="718"/>
      <c r="H4565" s="213">
        <f>ROUND(H4563*H4564,2)</f>
        <v>2963.94</v>
      </c>
    </row>
    <row r="4566" spans="1:8" s="201" customFormat="1">
      <c r="A4566" s="582"/>
      <c r="B4566" s="582"/>
      <c r="C4566" s="212"/>
      <c r="D4566" s="719" t="s">
        <v>15559</v>
      </c>
      <c r="E4566" s="719"/>
      <c r="F4566" s="719"/>
      <c r="G4566" s="719"/>
      <c r="H4566" s="638">
        <f>ROUND(H4563*$B$13,2)</f>
        <v>57.01</v>
      </c>
    </row>
    <row r="4567" spans="1:8">
      <c r="A4567" s="582"/>
      <c r="B4567" s="582"/>
      <c r="C4567" s="212"/>
      <c r="D4567" s="718" t="s">
        <v>9661</v>
      </c>
      <c r="E4567" s="718"/>
      <c r="F4567" s="718"/>
      <c r="G4567" s="718"/>
      <c r="H4567" s="213">
        <f>H4566+H4563</f>
        <v>268.72000000000003</v>
      </c>
    </row>
    <row r="4569" spans="1:8" s="201" customFormat="1">
      <c r="A4569" s="123" t="s">
        <v>6</v>
      </c>
      <c r="B4569" s="720" t="s">
        <v>7</v>
      </c>
      <c r="C4569" s="720"/>
      <c r="D4569" s="202" t="s">
        <v>124</v>
      </c>
      <c r="E4569" s="167" t="s">
        <v>6334</v>
      </c>
      <c r="F4569" s="202" t="s">
        <v>31</v>
      </c>
      <c r="G4569" s="203" t="s">
        <v>125</v>
      </c>
      <c r="H4569" s="204" t="s">
        <v>126</v>
      </c>
    </row>
    <row r="4570" spans="1:8" s="208" customFormat="1" ht="30">
      <c r="A4570" s="581" t="str">
        <f>'Orç - Prédio'!A693</f>
        <v>07.02.703.03</v>
      </c>
      <c r="B4570" s="581" t="str">
        <f>'Orç - Prédio'!B693</f>
        <v>CPOS</v>
      </c>
      <c r="C4570" s="581" t="str">
        <f>'Orç - Prédio'!C693</f>
        <v>61.10.530 MOD 2</v>
      </c>
      <c r="D4570" s="205" t="s">
        <v>8061</v>
      </c>
      <c r="E4570" s="206">
        <v>9</v>
      </c>
      <c r="F4570" s="581" t="s">
        <v>6337</v>
      </c>
      <c r="G4570" s="207">
        <f>VLOOKUP("CUSTO TOTAL UNIT.:",D4571:$H$30004,5,FALSE)</f>
        <v>125.42</v>
      </c>
      <c r="H4570" s="637">
        <f>VLOOKUP("CUSTO TOTAL:",D4571:$H$30004,5,FALSE)</f>
        <v>1128.78</v>
      </c>
    </row>
    <row r="4571" spans="1:8" s="124" customFormat="1" ht="30">
      <c r="A4571" s="722" t="s">
        <v>9088</v>
      </c>
      <c r="B4571" s="722"/>
      <c r="C4571" s="184" t="s">
        <v>6753</v>
      </c>
      <c r="D4571" s="139" t="s">
        <v>9089</v>
      </c>
      <c r="E4571" s="209">
        <v>4.8619999999999997E-2</v>
      </c>
      <c r="F4571" s="577" t="s">
        <v>322</v>
      </c>
      <c r="G4571" s="210">
        <v>2085.3000000000002</v>
      </c>
      <c r="H4571" s="211">
        <f>ROUND(G4571*E4571,2)</f>
        <v>101.39</v>
      </c>
    </row>
    <row r="4572" spans="1:8" s="124" customFormat="1" ht="30">
      <c r="A4572" s="721">
        <v>88279</v>
      </c>
      <c r="B4572" s="721"/>
      <c r="C4572" s="200" t="s">
        <v>5256</v>
      </c>
      <c r="D4572" s="139" t="s">
        <v>5110</v>
      </c>
      <c r="E4572" s="209">
        <v>0.8</v>
      </c>
      <c r="F4572" s="577" t="s">
        <v>67</v>
      </c>
      <c r="G4572" s="210">
        <v>16.3215</v>
      </c>
      <c r="H4572" s="211">
        <f>ROUND(G4572*E4572,2)</f>
        <v>13.06</v>
      </c>
    </row>
    <row r="4573" spans="1:8" s="124" customFormat="1" ht="30">
      <c r="A4573" s="721">
        <v>88243</v>
      </c>
      <c r="B4573" s="721"/>
      <c r="C4573" s="200" t="s">
        <v>5256</v>
      </c>
      <c r="D4573" s="139" t="s">
        <v>102</v>
      </c>
      <c r="E4573" s="209">
        <v>0.8</v>
      </c>
      <c r="F4573" s="577" t="s">
        <v>67</v>
      </c>
      <c r="G4573" s="210">
        <v>13.7133</v>
      </c>
      <c r="H4573" s="211">
        <f>ROUND(G4573*E4573,2)</f>
        <v>10.97</v>
      </c>
    </row>
    <row r="4574" spans="1:8" s="201" customFormat="1">
      <c r="A4574" s="582"/>
      <c r="B4574" s="582"/>
      <c r="C4574" s="212"/>
      <c r="D4574" s="719" t="s">
        <v>127</v>
      </c>
      <c r="E4574" s="719"/>
      <c r="F4574" s="719"/>
      <c r="G4574" s="719"/>
      <c r="H4574" s="638">
        <f>SUMIF(F4571:F4573,("h"),H4571:H4573)</f>
        <v>24.03</v>
      </c>
    </row>
    <row r="4575" spans="1:8" s="201" customFormat="1">
      <c r="A4575" s="582"/>
      <c r="B4575" s="582"/>
      <c r="C4575" s="212"/>
      <c r="D4575" s="719" t="s">
        <v>128</v>
      </c>
      <c r="E4575" s="719"/>
      <c r="F4575" s="719"/>
      <c r="G4575" s="719"/>
      <c r="H4575" s="638">
        <f>SUMIF(F4571:F4573,"&lt;&gt;h",H4571:H4573)</f>
        <v>101.39</v>
      </c>
    </row>
    <row r="4576" spans="1:8" s="201" customFormat="1">
      <c r="A4576" s="582"/>
      <c r="B4576" s="582"/>
      <c r="C4576" s="212"/>
      <c r="D4576" s="718" t="s">
        <v>129</v>
      </c>
      <c r="E4576" s="718"/>
      <c r="F4576" s="718"/>
      <c r="G4576" s="718"/>
      <c r="H4576" s="213">
        <f>SUM(H4574:H4575)</f>
        <v>125.42</v>
      </c>
    </row>
    <row r="4577" spans="1:8" s="201" customFormat="1">
      <c r="A4577" s="582"/>
      <c r="B4577" s="582"/>
      <c r="C4577" s="212"/>
      <c r="D4577" s="719" t="s">
        <v>28</v>
      </c>
      <c r="E4577" s="719"/>
      <c r="F4577" s="719"/>
      <c r="G4577" s="719"/>
      <c r="H4577" s="639">
        <f>E4570</f>
        <v>9</v>
      </c>
    </row>
    <row r="4578" spans="1:8" s="201" customFormat="1">
      <c r="A4578" s="582"/>
      <c r="B4578" s="582"/>
      <c r="C4578" s="212"/>
      <c r="D4578" s="718" t="s">
        <v>130</v>
      </c>
      <c r="E4578" s="718"/>
      <c r="F4578" s="718"/>
      <c r="G4578" s="718"/>
      <c r="H4578" s="213">
        <f>ROUND(H4576*H4577,2)</f>
        <v>1128.78</v>
      </c>
    </row>
    <row r="4579" spans="1:8" s="201" customFormat="1">
      <c r="A4579" s="582"/>
      <c r="B4579" s="582"/>
      <c r="C4579" s="212"/>
      <c r="D4579" s="719" t="s">
        <v>15559</v>
      </c>
      <c r="E4579" s="719"/>
      <c r="F4579" s="719"/>
      <c r="G4579" s="719"/>
      <c r="H4579" s="638">
        <f>ROUND(H4576*$B$13,2)</f>
        <v>33.78</v>
      </c>
    </row>
    <row r="4580" spans="1:8">
      <c r="A4580" s="582"/>
      <c r="B4580" s="582"/>
      <c r="C4580" s="212"/>
      <c r="D4580" s="718" t="s">
        <v>9661</v>
      </c>
      <c r="E4580" s="718"/>
      <c r="F4580" s="718"/>
      <c r="G4580" s="718"/>
      <c r="H4580" s="213">
        <f>H4579+H4576</f>
        <v>159.19999999999999</v>
      </c>
    </row>
    <row r="4582" spans="1:8" s="201" customFormat="1">
      <c r="A4582" s="123" t="s">
        <v>6</v>
      </c>
      <c r="B4582" s="720" t="s">
        <v>7</v>
      </c>
      <c r="C4582" s="720"/>
      <c r="D4582" s="202" t="s">
        <v>124</v>
      </c>
      <c r="E4582" s="167" t="s">
        <v>6334</v>
      </c>
      <c r="F4582" s="202" t="s">
        <v>31</v>
      </c>
      <c r="G4582" s="203" t="s">
        <v>125</v>
      </c>
      <c r="H4582" s="204" t="s">
        <v>126</v>
      </c>
    </row>
    <row r="4583" spans="1:8" s="208" customFormat="1" ht="30">
      <c r="A4583" s="581" t="str">
        <f>'Orç - Prédio'!A694</f>
        <v>07.02.703.04</v>
      </c>
      <c r="B4583" s="581" t="str">
        <f>'Orç - Prédio'!B694</f>
        <v>CPOS</v>
      </c>
      <c r="C4583" s="581" t="str">
        <f>'Orç - Prédio'!C694</f>
        <v>61.10.530 MOD 3</v>
      </c>
      <c r="D4583" s="205" t="s">
        <v>8062</v>
      </c>
      <c r="E4583" s="206">
        <v>15</v>
      </c>
      <c r="F4583" s="581" t="s">
        <v>6337</v>
      </c>
      <c r="G4583" s="207">
        <f>VLOOKUP("CUSTO TOTAL UNIT.:",D4584:$H$30004,5,FALSE)</f>
        <v>72.47</v>
      </c>
      <c r="H4583" s="637">
        <f>VLOOKUP("CUSTO TOTAL:",D4584:$H$30004,5,FALSE)</f>
        <v>1087.05</v>
      </c>
    </row>
    <row r="4584" spans="1:8" s="124" customFormat="1" ht="30">
      <c r="A4584" s="722" t="s">
        <v>9088</v>
      </c>
      <c r="B4584" s="722"/>
      <c r="C4584" s="184" t="s">
        <v>6753</v>
      </c>
      <c r="D4584" s="139" t="s">
        <v>9089</v>
      </c>
      <c r="E4584" s="209">
        <v>2.3230000000000001E-2</v>
      </c>
      <c r="F4584" s="577" t="s">
        <v>322</v>
      </c>
      <c r="G4584" s="210">
        <v>2085.3000000000002</v>
      </c>
      <c r="H4584" s="211">
        <f>ROUND(G4584*E4584,2)</f>
        <v>48.44</v>
      </c>
    </row>
    <row r="4585" spans="1:8" s="124" customFormat="1" ht="30">
      <c r="A4585" s="721">
        <v>88279</v>
      </c>
      <c r="B4585" s="721"/>
      <c r="C4585" s="200" t="s">
        <v>5256</v>
      </c>
      <c r="D4585" s="139" t="s">
        <v>5110</v>
      </c>
      <c r="E4585" s="209">
        <v>0.8</v>
      </c>
      <c r="F4585" s="577" t="s">
        <v>67</v>
      </c>
      <c r="G4585" s="210">
        <v>16.3215</v>
      </c>
      <c r="H4585" s="211">
        <f>ROUND(G4585*E4585,2)</f>
        <v>13.06</v>
      </c>
    </row>
    <row r="4586" spans="1:8" s="124" customFormat="1" ht="30">
      <c r="A4586" s="721">
        <v>88243</v>
      </c>
      <c r="B4586" s="721"/>
      <c r="C4586" s="200" t="s">
        <v>5256</v>
      </c>
      <c r="D4586" s="139" t="s">
        <v>102</v>
      </c>
      <c r="E4586" s="209">
        <v>0.8</v>
      </c>
      <c r="F4586" s="577" t="s">
        <v>67</v>
      </c>
      <c r="G4586" s="210">
        <v>13.7133</v>
      </c>
      <c r="H4586" s="211">
        <f>ROUND(G4586*E4586,2)</f>
        <v>10.97</v>
      </c>
    </row>
    <row r="4587" spans="1:8" s="201" customFormat="1">
      <c r="A4587" s="582"/>
      <c r="B4587" s="582"/>
      <c r="C4587" s="212"/>
      <c r="D4587" s="719" t="s">
        <v>127</v>
      </c>
      <c r="E4587" s="719"/>
      <c r="F4587" s="719"/>
      <c r="G4587" s="719"/>
      <c r="H4587" s="638">
        <f>SUMIF(F4584:F4586,("h"),H4584:H4586)</f>
        <v>24.03</v>
      </c>
    </row>
    <row r="4588" spans="1:8" s="201" customFormat="1">
      <c r="A4588" s="582"/>
      <c r="B4588" s="582"/>
      <c r="C4588" s="212"/>
      <c r="D4588" s="719" t="s">
        <v>128</v>
      </c>
      <c r="E4588" s="719"/>
      <c r="F4588" s="719"/>
      <c r="G4588" s="719"/>
      <c r="H4588" s="638">
        <f>SUMIF(F4584:F4586,"&lt;&gt;h",H4584:H4586)</f>
        <v>48.44</v>
      </c>
    </row>
    <row r="4589" spans="1:8" s="201" customFormat="1">
      <c r="A4589" s="582"/>
      <c r="B4589" s="582"/>
      <c r="C4589" s="212"/>
      <c r="D4589" s="718" t="s">
        <v>129</v>
      </c>
      <c r="E4589" s="718"/>
      <c r="F4589" s="718"/>
      <c r="G4589" s="718"/>
      <c r="H4589" s="213">
        <f>SUM(H4587:H4588)</f>
        <v>72.47</v>
      </c>
    </row>
    <row r="4590" spans="1:8" s="201" customFormat="1">
      <c r="A4590" s="582"/>
      <c r="B4590" s="582"/>
      <c r="C4590" s="212"/>
      <c r="D4590" s="719" t="s">
        <v>28</v>
      </c>
      <c r="E4590" s="719"/>
      <c r="F4590" s="719"/>
      <c r="G4590" s="719"/>
      <c r="H4590" s="639">
        <f>E4583</f>
        <v>15</v>
      </c>
    </row>
    <row r="4591" spans="1:8" s="201" customFormat="1">
      <c r="A4591" s="582"/>
      <c r="B4591" s="582"/>
      <c r="C4591" s="212"/>
      <c r="D4591" s="718" t="s">
        <v>130</v>
      </c>
      <c r="E4591" s="718"/>
      <c r="F4591" s="718"/>
      <c r="G4591" s="718"/>
      <c r="H4591" s="213">
        <f>ROUND(H4589*H4590,2)</f>
        <v>1087.05</v>
      </c>
    </row>
    <row r="4592" spans="1:8" s="201" customFormat="1">
      <c r="A4592" s="582"/>
      <c r="B4592" s="582"/>
      <c r="C4592" s="212"/>
      <c r="D4592" s="719" t="s">
        <v>15559</v>
      </c>
      <c r="E4592" s="719"/>
      <c r="F4592" s="719"/>
      <c r="G4592" s="719"/>
      <c r="H4592" s="638">
        <f>ROUND(H4589*$B$13,2)</f>
        <v>19.52</v>
      </c>
    </row>
    <row r="4593" spans="1:8">
      <c r="A4593" s="582"/>
      <c r="B4593" s="582"/>
      <c r="C4593" s="212"/>
      <c r="D4593" s="718" t="s">
        <v>9661</v>
      </c>
      <c r="E4593" s="718"/>
      <c r="F4593" s="718"/>
      <c r="G4593" s="718"/>
      <c r="H4593" s="213">
        <f>H4592+H4589</f>
        <v>91.99</v>
      </c>
    </row>
    <row r="4595" spans="1:8" s="201" customFormat="1">
      <c r="A4595" s="123" t="s">
        <v>6</v>
      </c>
      <c r="B4595" s="720" t="s">
        <v>7</v>
      </c>
      <c r="C4595" s="720"/>
      <c r="D4595" s="202" t="s">
        <v>124</v>
      </c>
      <c r="E4595" s="167" t="s">
        <v>6334</v>
      </c>
      <c r="F4595" s="202" t="s">
        <v>31</v>
      </c>
      <c r="G4595" s="203" t="s">
        <v>125</v>
      </c>
      <c r="H4595" s="204" t="s">
        <v>126</v>
      </c>
    </row>
    <row r="4596" spans="1:8" s="208" customFormat="1" ht="30">
      <c r="A4596" s="581" t="str">
        <f>'Orç - Prédio'!A712</f>
        <v>07.02.804.01</v>
      </c>
      <c r="B4596" s="581" t="str">
        <f>'Orç - Prédio'!B712</f>
        <v>SBC</v>
      </c>
      <c r="C4596" s="581">
        <f>'Orç - Prédio'!C712</f>
        <v>70945</v>
      </c>
      <c r="D4596" s="205" t="s">
        <v>8045</v>
      </c>
      <c r="E4596" s="206">
        <v>15</v>
      </c>
      <c r="F4596" s="581" t="s">
        <v>6337</v>
      </c>
      <c r="G4596" s="207">
        <f>VLOOKUP("CUSTO TOTAL UNIT.:",D4597:$H$30004,5,FALSE)</f>
        <v>624.69000000000005</v>
      </c>
      <c r="H4596" s="637">
        <f>VLOOKUP("CUSTO TOTAL:",D4597:$H$30004,5,FALSE)</f>
        <v>9370.35</v>
      </c>
    </row>
    <row r="4597" spans="1:8" s="124" customFormat="1" ht="30">
      <c r="A4597" s="722">
        <v>63804</v>
      </c>
      <c r="B4597" s="722"/>
      <c r="C4597" s="184" t="s">
        <v>6799</v>
      </c>
      <c r="D4597" s="139" t="s">
        <v>9090</v>
      </c>
      <c r="E4597" s="209">
        <v>1</v>
      </c>
      <c r="F4597" s="577" t="s">
        <v>31</v>
      </c>
      <c r="G4597" s="210">
        <v>474.27930000000003</v>
      </c>
      <c r="H4597" s="211">
        <f>ROUND(G4597*E4597,2)</f>
        <v>474.28</v>
      </c>
    </row>
    <row r="4598" spans="1:8" s="124" customFormat="1" ht="30">
      <c r="A4598" s="721">
        <v>88264</v>
      </c>
      <c r="B4598" s="721"/>
      <c r="C4598" s="200" t="s">
        <v>5256</v>
      </c>
      <c r="D4598" s="139" t="s">
        <v>84</v>
      </c>
      <c r="E4598" s="209">
        <v>5.3330000000000002</v>
      </c>
      <c r="F4598" s="577" t="s">
        <v>67</v>
      </c>
      <c r="G4598" s="210">
        <v>15.778800000000002</v>
      </c>
      <c r="H4598" s="211">
        <f>ROUND(G4598*E4598,2)</f>
        <v>84.15</v>
      </c>
    </row>
    <row r="4599" spans="1:8" s="124" customFormat="1" ht="30">
      <c r="A4599" s="721">
        <v>88247</v>
      </c>
      <c r="B4599" s="721"/>
      <c r="C4599" s="200" t="s">
        <v>5256</v>
      </c>
      <c r="D4599" s="139" t="s">
        <v>74</v>
      </c>
      <c r="E4599" s="209">
        <v>5.3330000000000002</v>
      </c>
      <c r="F4599" s="577" t="s">
        <v>67</v>
      </c>
      <c r="G4599" s="210">
        <v>12.425400000000002</v>
      </c>
      <c r="H4599" s="211">
        <f>ROUND(G4599*E4599,2)</f>
        <v>66.260000000000005</v>
      </c>
    </row>
    <row r="4600" spans="1:8" s="201" customFormat="1">
      <c r="A4600" s="582"/>
      <c r="B4600" s="582"/>
      <c r="C4600" s="212"/>
      <c r="D4600" s="719" t="s">
        <v>127</v>
      </c>
      <c r="E4600" s="719"/>
      <c r="F4600" s="719"/>
      <c r="G4600" s="719"/>
      <c r="H4600" s="638">
        <f>SUMIF(F4597:F4599,("h"),H4597:H4599)</f>
        <v>150.41000000000003</v>
      </c>
    </row>
    <row r="4601" spans="1:8" s="201" customFormat="1">
      <c r="A4601" s="582"/>
      <c r="B4601" s="582"/>
      <c r="C4601" s="212"/>
      <c r="D4601" s="719" t="s">
        <v>128</v>
      </c>
      <c r="E4601" s="719"/>
      <c r="F4601" s="719"/>
      <c r="G4601" s="719"/>
      <c r="H4601" s="638">
        <f>SUMIF(F4597:F4599,"&lt;&gt;h",H4597:H4599)</f>
        <v>474.28</v>
      </c>
    </row>
    <row r="4602" spans="1:8" s="201" customFormat="1">
      <c r="A4602" s="582"/>
      <c r="B4602" s="582"/>
      <c r="C4602" s="212"/>
      <c r="D4602" s="718" t="s">
        <v>129</v>
      </c>
      <c r="E4602" s="718"/>
      <c r="F4602" s="718"/>
      <c r="G4602" s="718"/>
      <c r="H4602" s="213">
        <f>SUM(H4600:H4601)</f>
        <v>624.69000000000005</v>
      </c>
    </row>
    <row r="4603" spans="1:8" s="201" customFormat="1">
      <c r="A4603" s="582"/>
      <c r="B4603" s="582"/>
      <c r="C4603" s="212"/>
      <c r="D4603" s="719" t="s">
        <v>28</v>
      </c>
      <c r="E4603" s="719"/>
      <c r="F4603" s="719"/>
      <c r="G4603" s="719"/>
      <c r="H4603" s="639">
        <f>E4596</f>
        <v>15</v>
      </c>
    </row>
    <row r="4604" spans="1:8" s="201" customFormat="1">
      <c r="A4604" s="582"/>
      <c r="B4604" s="582"/>
      <c r="C4604" s="212"/>
      <c r="D4604" s="718" t="s">
        <v>130</v>
      </c>
      <c r="E4604" s="718"/>
      <c r="F4604" s="718"/>
      <c r="G4604" s="718"/>
      <c r="H4604" s="213">
        <f>ROUND(H4602*H4603,2)</f>
        <v>9370.35</v>
      </c>
    </row>
    <row r="4605" spans="1:8" s="201" customFormat="1">
      <c r="A4605" s="582"/>
      <c r="B4605" s="582"/>
      <c r="C4605" s="212"/>
      <c r="D4605" s="719" t="s">
        <v>15559</v>
      </c>
      <c r="E4605" s="719"/>
      <c r="F4605" s="719"/>
      <c r="G4605" s="719"/>
      <c r="H4605" s="638">
        <f>ROUND(H4602*$B$13,2)</f>
        <v>168.23</v>
      </c>
    </row>
    <row r="4606" spans="1:8">
      <c r="A4606" s="582"/>
      <c r="B4606" s="582"/>
      <c r="C4606" s="212"/>
      <c r="D4606" s="718" t="s">
        <v>9661</v>
      </c>
      <c r="E4606" s="718"/>
      <c r="F4606" s="718"/>
      <c r="G4606" s="718"/>
      <c r="H4606" s="213">
        <f>H4605+H4602</f>
        <v>792.92000000000007</v>
      </c>
    </row>
    <row r="4608" spans="1:8" s="201" customFormat="1">
      <c r="A4608" s="123" t="s">
        <v>6</v>
      </c>
      <c r="B4608" s="720" t="s">
        <v>7</v>
      </c>
      <c r="C4608" s="720"/>
      <c r="D4608" s="202" t="s">
        <v>124</v>
      </c>
      <c r="E4608" s="167" t="s">
        <v>6334</v>
      </c>
      <c r="F4608" s="202" t="s">
        <v>31</v>
      </c>
      <c r="G4608" s="203" t="s">
        <v>125</v>
      </c>
      <c r="H4608" s="204" t="s">
        <v>126</v>
      </c>
    </row>
    <row r="4609" spans="1:8" s="208" customFormat="1" ht="30">
      <c r="A4609" s="581" t="str">
        <f>'Orç - Prédio'!A713</f>
        <v>07.02.804.02</v>
      </c>
      <c r="B4609" s="581" t="str">
        <f>'Orç - Prédio'!B713</f>
        <v>SBC</v>
      </c>
      <c r="C4609" s="581">
        <f>'Orç - Prédio'!C713</f>
        <v>70944</v>
      </c>
      <c r="D4609" s="205" t="s">
        <v>8046</v>
      </c>
      <c r="E4609" s="206">
        <v>10</v>
      </c>
      <c r="F4609" s="581" t="s">
        <v>6337</v>
      </c>
      <c r="G4609" s="207">
        <f>VLOOKUP("CUSTO TOTAL UNIT.:",D4610:$H$30004,5,FALSE)</f>
        <v>567.55999999999995</v>
      </c>
      <c r="H4609" s="637">
        <f>VLOOKUP("CUSTO TOTAL:",D4610:$H$30004,5,FALSE)</f>
        <v>5675.6</v>
      </c>
    </row>
    <row r="4610" spans="1:8" s="124" customFormat="1" ht="30">
      <c r="A4610" s="722">
        <v>36803</v>
      </c>
      <c r="B4610" s="722"/>
      <c r="C4610" s="184" t="s">
        <v>6799</v>
      </c>
      <c r="D4610" s="139" t="s">
        <v>9091</v>
      </c>
      <c r="E4610" s="209">
        <v>1</v>
      </c>
      <c r="F4610" s="577" t="s">
        <v>31</v>
      </c>
      <c r="G4610" s="210">
        <v>417.15000000000003</v>
      </c>
      <c r="H4610" s="211">
        <f>ROUND(G4610*E4610,2)</f>
        <v>417.15</v>
      </c>
    </row>
    <row r="4611" spans="1:8" s="124" customFormat="1" ht="30">
      <c r="A4611" s="721">
        <v>88264</v>
      </c>
      <c r="B4611" s="721"/>
      <c r="C4611" s="200" t="s">
        <v>5256</v>
      </c>
      <c r="D4611" s="139" t="s">
        <v>84</v>
      </c>
      <c r="E4611" s="209">
        <v>5.3330000000000002</v>
      </c>
      <c r="F4611" s="577" t="s">
        <v>67</v>
      </c>
      <c r="G4611" s="210">
        <v>15.778800000000002</v>
      </c>
      <c r="H4611" s="211">
        <f>ROUND(G4611*E4611,2)</f>
        <v>84.15</v>
      </c>
    </row>
    <row r="4612" spans="1:8" s="124" customFormat="1" ht="30">
      <c r="A4612" s="721">
        <v>88247</v>
      </c>
      <c r="B4612" s="721"/>
      <c r="C4612" s="200" t="s">
        <v>5256</v>
      </c>
      <c r="D4612" s="139" t="s">
        <v>74</v>
      </c>
      <c r="E4612" s="209">
        <v>5.3330000000000002</v>
      </c>
      <c r="F4612" s="577" t="s">
        <v>67</v>
      </c>
      <c r="G4612" s="210">
        <v>12.425400000000002</v>
      </c>
      <c r="H4612" s="211">
        <f>ROUND(G4612*E4612,2)</f>
        <v>66.260000000000005</v>
      </c>
    </row>
    <row r="4613" spans="1:8" s="201" customFormat="1">
      <c r="A4613" s="582"/>
      <c r="B4613" s="582"/>
      <c r="C4613" s="212"/>
      <c r="D4613" s="719" t="s">
        <v>127</v>
      </c>
      <c r="E4613" s="719"/>
      <c r="F4613" s="719"/>
      <c r="G4613" s="719"/>
      <c r="H4613" s="638">
        <f>SUMIF(F4610:F4612,("h"),H4610:H4612)</f>
        <v>150.41000000000003</v>
      </c>
    </row>
    <row r="4614" spans="1:8" s="201" customFormat="1">
      <c r="A4614" s="582"/>
      <c r="B4614" s="582"/>
      <c r="C4614" s="212"/>
      <c r="D4614" s="719" t="s">
        <v>128</v>
      </c>
      <c r="E4614" s="719"/>
      <c r="F4614" s="719"/>
      <c r="G4614" s="719"/>
      <c r="H4614" s="638">
        <f>SUMIF(F4610:F4612,"&lt;&gt;h",H4610:H4612)</f>
        <v>417.15</v>
      </c>
    </row>
    <row r="4615" spans="1:8" s="201" customFormat="1">
      <c r="A4615" s="582"/>
      <c r="B4615" s="582"/>
      <c r="C4615" s="212"/>
      <c r="D4615" s="718" t="s">
        <v>129</v>
      </c>
      <c r="E4615" s="718"/>
      <c r="F4615" s="718"/>
      <c r="G4615" s="718"/>
      <c r="H4615" s="213">
        <f>SUM(H4613:H4614)</f>
        <v>567.55999999999995</v>
      </c>
    </row>
    <row r="4616" spans="1:8" s="201" customFormat="1">
      <c r="A4616" s="582"/>
      <c r="B4616" s="582"/>
      <c r="C4616" s="212"/>
      <c r="D4616" s="719" t="s">
        <v>28</v>
      </c>
      <c r="E4616" s="719"/>
      <c r="F4616" s="719"/>
      <c r="G4616" s="719"/>
      <c r="H4616" s="639">
        <f>E4609</f>
        <v>10</v>
      </c>
    </row>
    <row r="4617" spans="1:8" s="201" customFormat="1">
      <c r="A4617" s="582"/>
      <c r="B4617" s="582"/>
      <c r="C4617" s="212"/>
      <c r="D4617" s="718" t="s">
        <v>130</v>
      </c>
      <c r="E4617" s="718"/>
      <c r="F4617" s="718"/>
      <c r="G4617" s="718"/>
      <c r="H4617" s="213">
        <f>ROUND(H4615*H4616,2)</f>
        <v>5675.6</v>
      </c>
    </row>
    <row r="4618" spans="1:8" s="201" customFormat="1">
      <c r="A4618" s="582"/>
      <c r="B4618" s="582"/>
      <c r="C4618" s="212"/>
      <c r="D4618" s="719" t="s">
        <v>15559</v>
      </c>
      <c r="E4618" s="719"/>
      <c r="F4618" s="719"/>
      <c r="G4618" s="719"/>
      <c r="H4618" s="638">
        <f>ROUND(H4615*$B$13,2)</f>
        <v>152.84</v>
      </c>
    </row>
    <row r="4619" spans="1:8">
      <c r="A4619" s="582"/>
      <c r="B4619" s="582"/>
      <c r="C4619" s="212"/>
      <c r="D4619" s="718" t="s">
        <v>9661</v>
      </c>
      <c r="E4619" s="718"/>
      <c r="F4619" s="718"/>
      <c r="G4619" s="718"/>
      <c r="H4619" s="213">
        <f>H4618+H4615</f>
        <v>720.4</v>
      </c>
    </row>
    <row r="4621" spans="1:8" s="201" customFormat="1">
      <c r="A4621" s="123" t="s">
        <v>6</v>
      </c>
      <c r="B4621" s="720" t="s">
        <v>7</v>
      </c>
      <c r="C4621" s="720"/>
      <c r="D4621" s="202" t="s">
        <v>124</v>
      </c>
      <c r="E4621" s="167" t="s">
        <v>6334</v>
      </c>
      <c r="F4621" s="202" t="s">
        <v>31</v>
      </c>
      <c r="G4621" s="203" t="s">
        <v>125</v>
      </c>
      <c r="H4621" s="204" t="s">
        <v>126</v>
      </c>
    </row>
    <row r="4622" spans="1:8" s="208" customFormat="1" ht="30">
      <c r="A4622" s="581" t="str">
        <f>'Orç - Prédio'!A714</f>
        <v>07.02.804.03</v>
      </c>
      <c r="B4622" s="581" t="str">
        <f>'Orç - Prédio'!B714</f>
        <v>SBC</v>
      </c>
      <c r="C4622" s="581">
        <f>'Orç - Prédio'!C714</f>
        <v>70943</v>
      </c>
      <c r="D4622" s="205" t="s">
        <v>8047</v>
      </c>
      <c r="E4622" s="206">
        <v>20</v>
      </c>
      <c r="F4622" s="581" t="s">
        <v>6337</v>
      </c>
      <c r="G4622" s="207">
        <f>VLOOKUP("CUSTO TOTAL UNIT.:",D4623:$H$30004,5,FALSE)</f>
        <v>381.01</v>
      </c>
      <c r="H4622" s="637">
        <f>VLOOKUP("CUSTO TOTAL:",D4623:$H$30004,5,FALSE)</f>
        <v>7620.2</v>
      </c>
    </row>
    <row r="4623" spans="1:8" s="124" customFormat="1" ht="30">
      <c r="A4623" s="722">
        <v>36802</v>
      </c>
      <c r="B4623" s="722"/>
      <c r="C4623" s="184" t="s">
        <v>6799</v>
      </c>
      <c r="D4623" s="139" t="s">
        <v>9092</v>
      </c>
      <c r="E4623" s="209">
        <v>1</v>
      </c>
      <c r="F4623" s="577" t="s">
        <v>31</v>
      </c>
      <c r="G4623" s="210">
        <v>226.1601</v>
      </c>
      <c r="H4623" s="211">
        <f>ROUND(G4623*E4623,2)</f>
        <v>226.16</v>
      </c>
    </row>
    <row r="4624" spans="1:8" s="124" customFormat="1" ht="30">
      <c r="A4624" s="721">
        <v>88264</v>
      </c>
      <c r="B4624" s="721"/>
      <c r="C4624" s="200" t="s">
        <v>5256</v>
      </c>
      <c r="D4624" s="139" t="s">
        <v>84</v>
      </c>
      <c r="E4624" s="209">
        <v>5.49</v>
      </c>
      <c r="F4624" s="577" t="s">
        <v>67</v>
      </c>
      <c r="G4624" s="210">
        <v>15.778800000000002</v>
      </c>
      <c r="H4624" s="211">
        <f>ROUND(G4624*E4624,2)</f>
        <v>86.63</v>
      </c>
    </row>
    <row r="4625" spans="1:8" s="124" customFormat="1" ht="30">
      <c r="A4625" s="721">
        <v>88247</v>
      </c>
      <c r="B4625" s="721"/>
      <c r="C4625" s="200" t="s">
        <v>5256</v>
      </c>
      <c r="D4625" s="139" t="s">
        <v>74</v>
      </c>
      <c r="E4625" s="209">
        <v>5.49</v>
      </c>
      <c r="F4625" s="577" t="s">
        <v>67</v>
      </c>
      <c r="G4625" s="210">
        <v>12.425400000000002</v>
      </c>
      <c r="H4625" s="211">
        <f>ROUND(G4625*E4625,2)</f>
        <v>68.22</v>
      </c>
    </row>
    <row r="4626" spans="1:8" s="201" customFormat="1">
      <c r="A4626" s="582"/>
      <c r="B4626" s="582"/>
      <c r="C4626" s="212"/>
      <c r="D4626" s="719" t="s">
        <v>127</v>
      </c>
      <c r="E4626" s="719"/>
      <c r="F4626" s="719"/>
      <c r="G4626" s="719"/>
      <c r="H4626" s="638">
        <f>SUMIF(F4623:F4625,("h"),H4623:H4625)</f>
        <v>154.85</v>
      </c>
    </row>
    <row r="4627" spans="1:8" s="201" customFormat="1">
      <c r="A4627" s="582"/>
      <c r="B4627" s="582"/>
      <c r="C4627" s="212"/>
      <c r="D4627" s="719" t="s">
        <v>128</v>
      </c>
      <c r="E4627" s="719"/>
      <c r="F4627" s="719"/>
      <c r="G4627" s="719"/>
      <c r="H4627" s="638">
        <f>SUMIF(F4623:F4625,"&lt;&gt;h",H4623:H4625)</f>
        <v>226.16</v>
      </c>
    </row>
    <row r="4628" spans="1:8" s="201" customFormat="1">
      <c r="A4628" s="582"/>
      <c r="B4628" s="582"/>
      <c r="C4628" s="212"/>
      <c r="D4628" s="718" t="s">
        <v>129</v>
      </c>
      <c r="E4628" s="718"/>
      <c r="F4628" s="718"/>
      <c r="G4628" s="718"/>
      <c r="H4628" s="213">
        <f>SUM(H4626:H4627)</f>
        <v>381.01</v>
      </c>
    </row>
    <row r="4629" spans="1:8" s="201" customFormat="1">
      <c r="A4629" s="582"/>
      <c r="B4629" s="582"/>
      <c r="C4629" s="212"/>
      <c r="D4629" s="719" t="s">
        <v>28</v>
      </c>
      <c r="E4629" s="719"/>
      <c r="F4629" s="719"/>
      <c r="G4629" s="719"/>
      <c r="H4629" s="639">
        <f>E4622</f>
        <v>20</v>
      </c>
    </row>
    <row r="4630" spans="1:8" s="201" customFormat="1">
      <c r="A4630" s="582"/>
      <c r="B4630" s="582"/>
      <c r="C4630" s="212"/>
      <c r="D4630" s="718" t="s">
        <v>130</v>
      </c>
      <c r="E4630" s="718"/>
      <c r="F4630" s="718"/>
      <c r="G4630" s="718"/>
      <c r="H4630" s="213">
        <f>ROUND(H4628*H4629,2)</f>
        <v>7620.2</v>
      </c>
    </row>
    <row r="4631" spans="1:8" s="201" customFormat="1">
      <c r="A4631" s="582"/>
      <c r="B4631" s="582"/>
      <c r="C4631" s="212"/>
      <c r="D4631" s="719" t="s">
        <v>15559</v>
      </c>
      <c r="E4631" s="719"/>
      <c r="F4631" s="719"/>
      <c r="G4631" s="719"/>
      <c r="H4631" s="638">
        <f>ROUND(H4628*$B$13,2)</f>
        <v>102.61</v>
      </c>
    </row>
    <row r="4632" spans="1:8">
      <c r="A4632" s="582"/>
      <c r="B4632" s="582"/>
      <c r="C4632" s="212"/>
      <c r="D4632" s="718" t="s">
        <v>9661</v>
      </c>
      <c r="E4632" s="718"/>
      <c r="F4632" s="718"/>
      <c r="G4632" s="718"/>
      <c r="H4632" s="213">
        <f>H4631+H4628</f>
        <v>483.62</v>
      </c>
    </row>
    <row r="4634" spans="1:8" s="201" customFormat="1">
      <c r="A4634" s="123" t="s">
        <v>6</v>
      </c>
      <c r="B4634" s="720" t="s">
        <v>7</v>
      </c>
      <c r="C4634" s="720"/>
      <c r="D4634" s="202" t="s">
        <v>124</v>
      </c>
      <c r="E4634" s="167" t="s">
        <v>6334</v>
      </c>
      <c r="F4634" s="202" t="s">
        <v>31</v>
      </c>
      <c r="G4634" s="203" t="s">
        <v>125</v>
      </c>
      <c r="H4634" s="204" t="s">
        <v>126</v>
      </c>
    </row>
    <row r="4635" spans="1:8" s="208" customFormat="1" ht="30">
      <c r="A4635" s="581" t="str">
        <f>'Orç - Prédio'!A715</f>
        <v>07.02.804.04</v>
      </c>
      <c r="B4635" s="581" t="str">
        <f>'Orç - Prédio'!B715</f>
        <v>SBC</v>
      </c>
      <c r="C4635" s="581">
        <f>'Orç - Prédio'!C715</f>
        <v>70942</v>
      </c>
      <c r="D4635" s="205" t="s">
        <v>8048</v>
      </c>
      <c r="E4635" s="206">
        <v>17</v>
      </c>
      <c r="F4635" s="581" t="s">
        <v>6337</v>
      </c>
      <c r="G4635" s="207">
        <f>VLOOKUP("CUSTO TOTAL UNIT.:",D4636:$H$30004,5,FALSE)</f>
        <v>441.93</v>
      </c>
      <c r="H4635" s="637">
        <f>VLOOKUP("CUSTO TOTAL:",D4636:$H$30004,5,FALSE)</f>
        <v>7512.81</v>
      </c>
    </row>
    <row r="4636" spans="1:8" s="124" customFormat="1" ht="30">
      <c r="A4636" s="722">
        <v>36801</v>
      </c>
      <c r="B4636" s="722"/>
      <c r="C4636" s="184" t="s">
        <v>6799</v>
      </c>
      <c r="D4636" s="139" t="s">
        <v>9093</v>
      </c>
      <c r="E4636" s="209">
        <v>1</v>
      </c>
      <c r="F4636" s="577" t="s">
        <v>31</v>
      </c>
      <c r="G4636" s="210">
        <v>291.60000000000002</v>
      </c>
      <c r="H4636" s="211">
        <f>ROUND(G4636*E4636,2)</f>
        <v>291.60000000000002</v>
      </c>
    </row>
    <row r="4637" spans="1:8" s="124" customFormat="1" ht="30">
      <c r="A4637" s="721">
        <v>88264</v>
      </c>
      <c r="B4637" s="721"/>
      <c r="C4637" s="200" t="s">
        <v>5256</v>
      </c>
      <c r="D4637" s="139" t="s">
        <v>84</v>
      </c>
      <c r="E4637" s="209">
        <v>5.33</v>
      </c>
      <c r="F4637" s="577" t="s">
        <v>67</v>
      </c>
      <c r="G4637" s="210">
        <v>15.778800000000002</v>
      </c>
      <c r="H4637" s="211">
        <f>ROUND(G4637*E4637,2)</f>
        <v>84.1</v>
      </c>
    </row>
    <row r="4638" spans="1:8" s="124" customFormat="1" ht="30">
      <c r="A4638" s="721">
        <v>88247</v>
      </c>
      <c r="B4638" s="721"/>
      <c r="C4638" s="200" t="s">
        <v>5256</v>
      </c>
      <c r="D4638" s="139" t="s">
        <v>74</v>
      </c>
      <c r="E4638" s="209">
        <v>5.33</v>
      </c>
      <c r="F4638" s="577" t="s">
        <v>67</v>
      </c>
      <c r="G4638" s="210">
        <v>12.425400000000002</v>
      </c>
      <c r="H4638" s="211">
        <f>ROUND(G4638*E4638,2)</f>
        <v>66.23</v>
      </c>
    </row>
    <row r="4639" spans="1:8" s="201" customFormat="1">
      <c r="A4639" s="582"/>
      <c r="B4639" s="582"/>
      <c r="C4639" s="212"/>
      <c r="D4639" s="719" t="s">
        <v>127</v>
      </c>
      <c r="E4639" s="719"/>
      <c r="F4639" s="719"/>
      <c r="G4639" s="719"/>
      <c r="H4639" s="638">
        <f>SUMIF(F4636:F4638,("h"),H4636:H4638)</f>
        <v>150.32999999999998</v>
      </c>
    </row>
    <row r="4640" spans="1:8" s="201" customFormat="1">
      <c r="A4640" s="582"/>
      <c r="B4640" s="582"/>
      <c r="C4640" s="212"/>
      <c r="D4640" s="719" t="s">
        <v>128</v>
      </c>
      <c r="E4640" s="719"/>
      <c r="F4640" s="719"/>
      <c r="G4640" s="719"/>
      <c r="H4640" s="638">
        <f>SUMIF(F4636:F4638,"&lt;&gt;h",H4636:H4638)</f>
        <v>291.60000000000002</v>
      </c>
    </row>
    <row r="4641" spans="1:8" s="201" customFormat="1">
      <c r="A4641" s="582"/>
      <c r="B4641" s="582"/>
      <c r="C4641" s="212"/>
      <c r="D4641" s="718" t="s">
        <v>129</v>
      </c>
      <c r="E4641" s="718"/>
      <c r="F4641" s="718"/>
      <c r="G4641" s="718"/>
      <c r="H4641" s="213">
        <f>SUM(H4639:H4640)</f>
        <v>441.93</v>
      </c>
    </row>
    <row r="4642" spans="1:8" s="201" customFormat="1">
      <c r="A4642" s="582"/>
      <c r="B4642" s="582"/>
      <c r="C4642" s="212"/>
      <c r="D4642" s="719" t="s">
        <v>28</v>
      </c>
      <c r="E4642" s="719"/>
      <c r="F4642" s="719"/>
      <c r="G4642" s="719"/>
      <c r="H4642" s="639">
        <f>E4635</f>
        <v>17</v>
      </c>
    </row>
    <row r="4643" spans="1:8" s="201" customFormat="1">
      <c r="A4643" s="582"/>
      <c r="B4643" s="582"/>
      <c r="C4643" s="212"/>
      <c r="D4643" s="718" t="s">
        <v>130</v>
      </c>
      <c r="E4643" s="718"/>
      <c r="F4643" s="718"/>
      <c r="G4643" s="718"/>
      <c r="H4643" s="213">
        <f>ROUND(H4641*H4642,2)</f>
        <v>7512.81</v>
      </c>
    </row>
    <row r="4644" spans="1:8" s="201" customFormat="1">
      <c r="A4644" s="582"/>
      <c r="B4644" s="582"/>
      <c r="C4644" s="212"/>
      <c r="D4644" s="719" t="s">
        <v>15559</v>
      </c>
      <c r="E4644" s="719"/>
      <c r="F4644" s="719"/>
      <c r="G4644" s="719"/>
      <c r="H4644" s="638">
        <f>ROUND(H4641*$B$13,2)</f>
        <v>119.01</v>
      </c>
    </row>
    <row r="4645" spans="1:8">
      <c r="A4645" s="582"/>
      <c r="B4645" s="582"/>
      <c r="C4645" s="212"/>
      <c r="D4645" s="718" t="s">
        <v>9661</v>
      </c>
      <c r="E4645" s="718"/>
      <c r="F4645" s="718"/>
      <c r="G4645" s="718"/>
      <c r="H4645" s="213">
        <f>H4644+H4641</f>
        <v>560.94000000000005</v>
      </c>
    </row>
    <row r="4647" spans="1:8" s="201" customFormat="1">
      <c r="A4647" s="123" t="s">
        <v>6</v>
      </c>
      <c r="B4647" s="720" t="s">
        <v>7</v>
      </c>
      <c r="C4647" s="720"/>
      <c r="D4647" s="202" t="s">
        <v>124</v>
      </c>
      <c r="E4647" s="167" t="s">
        <v>6334</v>
      </c>
      <c r="F4647" s="202" t="s">
        <v>31</v>
      </c>
      <c r="G4647" s="203" t="s">
        <v>125</v>
      </c>
      <c r="H4647" s="204" t="s">
        <v>126</v>
      </c>
    </row>
    <row r="4648" spans="1:8" s="208" customFormat="1" ht="45">
      <c r="A4648" s="581" t="str">
        <f>'Orç - Prédio'!A717</f>
        <v>07.02.901</v>
      </c>
      <c r="B4648" s="581" t="str">
        <f>'Orç - Prédio'!B717</f>
        <v>ORSE</v>
      </c>
      <c r="C4648" s="581">
        <f>'Orç - Prédio'!C717</f>
        <v>11788</v>
      </c>
      <c r="D4648" s="205" t="s">
        <v>8923</v>
      </c>
      <c r="E4648" s="206">
        <v>1</v>
      </c>
      <c r="F4648" s="581" t="s">
        <v>6337</v>
      </c>
      <c r="G4648" s="207">
        <f>VLOOKUP("CUSTO TOTAL UNIT.:",D4649:$H$30004,5,FALSE)</f>
        <v>2087.08</v>
      </c>
      <c r="H4648" s="637">
        <f>VLOOKUP("CUSTO TOTAL:",D4649:$H$30004,5,FALSE)</f>
        <v>2087.08</v>
      </c>
    </row>
    <row r="4649" spans="1:8" s="124" customFormat="1" ht="30">
      <c r="A4649" s="721">
        <v>12641</v>
      </c>
      <c r="B4649" s="721"/>
      <c r="C4649" s="200" t="s">
        <v>6333</v>
      </c>
      <c r="D4649" s="139" t="s">
        <v>8924</v>
      </c>
      <c r="E4649" s="209">
        <v>1</v>
      </c>
      <c r="F4649" s="577" t="s">
        <v>31</v>
      </c>
      <c r="G4649" s="210">
        <v>2087.0783999999999</v>
      </c>
      <c r="H4649" s="211">
        <f>ROUND(G4649*E4649,2)</f>
        <v>2087.08</v>
      </c>
    </row>
    <row r="4650" spans="1:8" s="201" customFormat="1">
      <c r="A4650" s="582"/>
      <c r="B4650" s="582"/>
      <c r="C4650" s="212"/>
      <c r="D4650" s="719" t="s">
        <v>127</v>
      </c>
      <c r="E4650" s="719"/>
      <c r="F4650" s="719"/>
      <c r="G4650" s="719"/>
      <c r="H4650" s="638">
        <f>SUMIF(F4649:F4649,("h"),H4649:H4649)</f>
        <v>0</v>
      </c>
    </row>
    <row r="4651" spans="1:8" s="201" customFormat="1">
      <c r="A4651" s="582"/>
      <c r="B4651" s="582"/>
      <c r="C4651" s="212"/>
      <c r="D4651" s="719" t="s">
        <v>128</v>
      </c>
      <c r="E4651" s="719"/>
      <c r="F4651" s="719"/>
      <c r="G4651" s="719"/>
      <c r="H4651" s="638">
        <f>SUMIF(F4649:F4649,"&lt;&gt;h",H4649:H4649)</f>
        <v>2087.08</v>
      </c>
    </row>
    <row r="4652" spans="1:8" s="201" customFormat="1">
      <c r="A4652" s="582"/>
      <c r="B4652" s="582"/>
      <c r="C4652" s="212"/>
      <c r="D4652" s="718" t="s">
        <v>129</v>
      </c>
      <c r="E4652" s="718"/>
      <c r="F4652" s="718"/>
      <c r="G4652" s="718"/>
      <c r="H4652" s="213">
        <f>SUM(H4650:H4651)</f>
        <v>2087.08</v>
      </c>
    </row>
    <row r="4653" spans="1:8" s="201" customFormat="1">
      <c r="A4653" s="582"/>
      <c r="B4653" s="582"/>
      <c r="C4653" s="212"/>
      <c r="D4653" s="719" t="s">
        <v>28</v>
      </c>
      <c r="E4653" s="719"/>
      <c r="F4653" s="719"/>
      <c r="G4653" s="719"/>
      <c r="H4653" s="639">
        <f>E4648</f>
        <v>1</v>
      </c>
    </row>
    <row r="4654" spans="1:8" s="201" customFormat="1">
      <c r="A4654" s="582"/>
      <c r="B4654" s="582"/>
      <c r="C4654" s="212"/>
      <c r="D4654" s="718" t="s">
        <v>130</v>
      </c>
      <c r="E4654" s="718"/>
      <c r="F4654" s="718"/>
      <c r="G4654" s="718"/>
      <c r="H4654" s="213">
        <f>ROUND(H4652*H4653,2)</f>
        <v>2087.08</v>
      </c>
    </row>
    <row r="4655" spans="1:8" s="201" customFormat="1">
      <c r="A4655" s="582"/>
      <c r="B4655" s="582"/>
      <c r="C4655" s="212"/>
      <c r="D4655" s="719" t="s">
        <v>15559</v>
      </c>
      <c r="E4655" s="719"/>
      <c r="F4655" s="719"/>
      <c r="G4655" s="719"/>
      <c r="H4655" s="638">
        <f>ROUND(H4652*$B$13,2)</f>
        <v>562.04999999999995</v>
      </c>
    </row>
    <row r="4656" spans="1:8">
      <c r="A4656" s="582"/>
      <c r="B4656" s="582"/>
      <c r="C4656" s="212"/>
      <c r="D4656" s="718" t="s">
        <v>9661</v>
      </c>
      <c r="E4656" s="718"/>
      <c r="F4656" s="718"/>
      <c r="G4656" s="718"/>
      <c r="H4656" s="213">
        <f>H4655+H4652</f>
        <v>2649.13</v>
      </c>
    </row>
    <row r="4658" spans="1:8" s="201" customFormat="1">
      <c r="A4658" s="123" t="s">
        <v>6</v>
      </c>
      <c r="B4658" s="720" t="s">
        <v>7</v>
      </c>
      <c r="C4658" s="720"/>
      <c r="D4658" s="202" t="s">
        <v>124</v>
      </c>
      <c r="E4658" s="167" t="s">
        <v>6334</v>
      </c>
      <c r="F4658" s="202" t="s">
        <v>31</v>
      </c>
      <c r="G4658" s="203" t="s">
        <v>125</v>
      </c>
      <c r="H4658" s="204" t="s">
        <v>126</v>
      </c>
    </row>
    <row r="4659" spans="1:8" s="208" customFormat="1" ht="30">
      <c r="A4659" s="581" t="str">
        <f>'Orç - Prédio'!A741</f>
        <v>08.01.516</v>
      </c>
      <c r="B4659" s="581" t="str">
        <f>'Orç - Prédio'!B741</f>
        <v>SINAPI</v>
      </c>
      <c r="C4659" s="581" t="str">
        <f>'Orç - Prédio'!C741</f>
        <v>72288 MOD</v>
      </c>
      <c r="D4659" s="205" t="s">
        <v>8716</v>
      </c>
      <c r="E4659" s="206">
        <v>5</v>
      </c>
      <c r="F4659" s="581" t="s">
        <v>6337</v>
      </c>
      <c r="G4659" s="207">
        <f>VLOOKUP("CUSTO TOTAL UNIT.:",D4660:$H$30004,5,FALSE)</f>
        <v>235.91</v>
      </c>
      <c r="H4659" s="637">
        <f>VLOOKUP("CUSTO TOTAL:",D4660:$H$30004,5,FALSE)</f>
        <v>1179.55</v>
      </c>
    </row>
    <row r="4660" spans="1:8" s="124" customFormat="1" ht="105">
      <c r="A4660" s="722">
        <v>20963</v>
      </c>
      <c r="B4660" s="722"/>
      <c r="C4660" s="184" t="s">
        <v>5256</v>
      </c>
      <c r="D4660" s="139" t="s">
        <v>10598</v>
      </c>
      <c r="E4660" s="209">
        <v>1</v>
      </c>
      <c r="F4660" s="577" t="s">
        <v>40</v>
      </c>
      <c r="G4660" s="210">
        <v>214.81200000000001</v>
      </c>
      <c r="H4660" s="211">
        <f>ROUND(G4660*E4660,2)</f>
        <v>214.81</v>
      </c>
    </row>
    <row r="4661" spans="1:8" s="124" customFormat="1" ht="30">
      <c r="A4661" s="721">
        <v>88267</v>
      </c>
      <c r="B4661" s="721"/>
      <c r="C4661" s="200" t="s">
        <v>5256</v>
      </c>
      <c r="D4661" s="139" t="s">
        <v>86</v>
      </c>
      <c r="E4661" s="209">
        <v>1</v>
      </c>
      <c r="F4661" s="577" t="s">
        <v>67</v>
      </c>
      <c r="G4661" s="210">
        <v>15.2766</v>
      </c>
      <c r="H4661" s="211">
        <f>ROUND(G4661*E4661,2)</f>
        <v>15.28</v>
      </c>
    </row>
    <row r="4662" spans="1:8" s="124" customFormat="1" ht="30">
      <c r="A4662" s="721">
        <v>88316</v>
      </c>
      <c r="B4662" s="721"/>
      <c r="C4662" s="200" t="s">
        <v>5256</v>
      </c>
      <c r="D4662" s="139" t="s">
        <v>66</v>
      </c>
      <c r="E4662" s="209">
        <v>0.5</v>
      </c>
      <c r="F4662" s="577" t="s">
        <v>67</v>
      </c>
      <c r="G4662" s="210">
        <v>11.631600000000001</v>
      </c>
      <c r="H4662" s="211">
        <f>ROUND(G4662*E4662,2)</f>
        <v>5.82</v>
      </c>
    </row>
    <row r="4663" spans="1:8" s="201" customFormat="1">
      <c r="A4663" s="582"/>
      <c r="B4663" s="582"/>
      <c r="C4663" s="212"/>
      <c r="D4663" s="719" t="s">
        <v>127</v>
      </c>
      <c r="E4663" s="719"/>
      <c r="F4663" s="719"/>
      <c r="G4663" s="719"/>
      <c r="H4663" s="638">
        <f>SUMIF(F4660:F4662,("h"),H4660:H4662)</f>
        <v>21.1</v>
      </c>
    </row>
    <row r="4664" spans="1:8" s="201" customFormat="1">
      <c r="A4664" s="582"/>
      <c r="B4664" s="582"/>
      <c r="C4664" s="212"/>
      <c r="D4664" s="719" t="s">
        <v>128</v>
      </c>
      <c r="E4664" s="719"/>
      <c r="F4664" s="719"/>
      <c r="G4664" s="719"/>
      <c r="H4664" s="638">
        <f>SUMIF(F4660:F4662,"&lt;&gt;h",H4660:H4662)</f>
        <v>214.81</v>
      </c>
    </row>
    <row r="4665" spans="1:8" s="201" customFormat="1">
      <c r="A4665" s="582"/>
      <c r="B4665" s="582"/>
      <c r="C4665" s="212"/>
      <c r="D4665" s="718" t="s">
        <v>129</v>
      </c>
      <c r="E4665" s="718"/>
      <c r="F4665" s="718"/>
      <c r="G4665" s="718"/>
      <c r="H4665" s="213">
        <f>SUM(H4663:H4664)</f>
        <v>235.91</v>
      </c>
    </row>
    <row r="4666" spans="1:8" s="201" customFormat="1">
      <c r="A4666" s="582"/>
      <c r="B4666" s="582"/>
      <c r="C4666" s="212"/>
      <c r="D4666" s="719" t="s">
        <v>28</v>
      </c>
      <c r="E4666" s="719"/>
      <c r="F4666" s="719"/>
      <c r="G4666" s="719"/>
      <c r="H4666" s="639">
        <f>E4659</f>
        <v>5</v>
      </c>
    </row>
    <row r="4667" spans="1:8" s="201" customFormat="1">
      <c r="A4667" s="582"/>
      <c r="B4667" s="582"/>
      <c r="C4667" s="212"/>
      <c r="D4667" s="718" t="s">
        <v>130</v>
      </c>
      <c r="E4667" s="718"/>
      <c r="F4667" s="718"/>
      <c r="G4667" s="718"/>
      <c r="H4667" s="213">
        <f>ROUND(H4665*H4666,2)</f>
        <v>1179.55</v>
      </c>
    </row>
    <row r="4668" spans="1:8" s="201" customFormat="1">
      <c r="A4668" s="582"/>
      <c r="B4668" s="582"/>
      <c r="C4668" s="212"/>
      <c r="D4668" s="719" t="s">
        <v>15559</v>
      </c>
      <c r="E4668" s="719"/>
      <c r="F4668" s="719"/>
      <c r="G4668" s="719"/>
      <c r="H4668" s="638">
        <f>ROUND(H4665*$B$13,2)</f>
        <v>63.53</v>
      </c>
    </row>
    <row r="4669" spans="1:8">
      <c r="A4669" s="582"/>
      <c r="B4669" s="582"/>
      <c r="C4669" s="212"/>
      <c r="D4669" s="718" t="s">
        <v>9661</v>
      </c>
      <c r="E4669" s="718"/>
      <c r="F4669" s="718"/>
      <c r="G4669" s="718"/>
      <c r="H4669" s="213">
        <f>H4668+H4665</f>
        <v>299.44</v>
      </c>
    </row>
    <row r="4671" spans="1:8" s="201" customFormat="1">
      <c r="A4671" s="123" t="s">
        <v>6</v>
      </c>
      <c r="B4671" s="720" t="s">
        <v>7</v>
      </c>
      <c r="C4671" s="720"/>
      <c r="D4671" s="202" t="s">
        <v>124</v>
      </c>
      <c r="E4671" s="167" t="s">
        <v>6334</v>
      </c>
      <c r="F4671" s="202" t="s">
        <v>31</v>
      </c>
      <c r="G4671" s="203" t="s">
        <v>125</v>
      </c>
      <c r="H4671" s="204" t="s">
        <v>126</v>
      </c>
    </row>
    <row r="4672" spans="1:8" s="208" customFormat="1" ht="45">
      <c r="A4672" s="581" t="str">
        <f>'Orç - Prédio'!A743</f>
        <v>08.01.519.01</v>
      </c>
      <c r="B4672" s="581" t="str">
        <f>'Orç - Prédio'!B743</f>
        <v>ORSE</v>
      </c>
      <c r="C4672" s="581">
        <f>'Orç - Prédio'!C743</f>
        <v>11173</v>
      </c>
      <c r="D4672" s="205" t="s">
        <v>8741</v>
      </c>
      <c r="E4672" s="206">
        <v>2</v>
      </c>
      <c r="F4672" s="581" t="s">
        <v>6337</v>
      </c>
      <c r="G4672" s="207">
        <f>VLOOKUP("CUSTO TOTAL UNIT.:",D4673:$H$30004,5,FALSE)</f>
        <v>1261.5999999999999</v>
      </c>
      <c r="H4672" s="637">
        <f>VLOOKUP("CUSTO TOTAL:",D4673:$H$30004,5,FALSE)</f>
        <v>2523.1999999999998</v>
      </c>
    </row>
    <row r="4673" spans="1:8" s="124" customFormat="1">
      <c r="A4673" s="722">
        <v>12017</v>
      </c>
      <c r="B4673" s="722"/>
      <c r="C4673" s="184" t="s">
        <v>6333</v>
      </c>
      <c r="D4673" s="139" t="s">
        <v>8743</v>
      </c>
      <c r="E4673" s="209">
        <v>1</v>
      </c>
      <c r="F4673" s="577" t="s">
        <v>31</v>
      </c>
      <c r="G4673" s="210">
        <v>1207.2807</v>
      </c>
      <c r="H4673" s="211">
        <f>ROUND(G4673*E4673,2)</f>
        <v>1207.28</v>
      </c>
    </row>
    <row r="4674" spans="1:8" s="124" customFormat="1" ht="30">
      <c r="A4674" s="721">
        <v>88264</v>
      </c>
      <c r="B4674" s="721"/>
      <c r="C4674" s="200" t="s">
        <v>5256</v>
      </c>
      <c r="D4674" s="139" t="s">
        <v>84</v>
      </c>
      <c r="E4674" s="209">
        <v>1</v>
      </c>
      <c r="F4674" s="577" t="s">
        <v>67</v>
      </c>
      <c r="G4674" s="210">
        <v>15.778800000000002</v>
      </c>
      <c r="H4674" s="211">
        <f>ROUND(G4674*E4674,2)</f>
        <v>15.78</v>
      </c>
    </row>
    <row r="4675" spans="1:8" s="124" customFormat="1" ht="30">
      <c r="A4675" s="721">
        <v>88267</v>
      </c>
      <c r="B4675" s="721"/>
      <c r="C4675" s="200" t="s">
        <v>5256</v>
      </c>
      <c r="D4675" s="139" t="s">
        <v>86</v>
      </c>
      <c r="E4675" s="209">
        <v>1</v>
      </c>
      <c r="F4675" s="577" t="s">
        <v>67</v>
      </c>
      <c r="G4675" s="210">
        <v>15.2766</v>
      </c>
      <c r="H4675" s="211">
        <f>ROUND(G4675*E4675,2)</f>
        <v>15.28</v>
      </c>
    </row>
    <row r="4676" spans="1:8" s="124" customFormat="1" ht="30">
      <c r="A4676" s="721">
        <v>88316</v>
      </c>
      <c r="B4676" s="721"/>
      <c r="C4676" s="200" t="s">
        <v>5256</v>
      </c>
      <c r="D4676" s="139" t="s">
        <v>66</v>
      </c>
      <c r="E4676" s="209">
        <v>2</v>
      </c>
      <c r="F4676" s="577" t="s">
        <v>67</v>
      </c>
      <c r="G4676" s="210">
        <v>11.631600000000001</v>
      </c>
      <c r="H4676" s="211">
        <f>ROUND(G4676*E4676,2)</f>
        <v>23.26</v>
      </c>
    </row>
    <row r="4677" spans="1:8" s="201" customFormat="1">
      <c r="A4677" s="582"/>
      <c r="B4677" s="582"/>
      <c r="C4677" s="212"/>
      <c r="D4677" s="719" t="s">
        <v>127</v>
      </c>
      <c r="E4677" s="719"/>
      <c r="F4677" s="719"/>
      <c r="G4677" s="719"/>
      <c r="H4677" s="638">
        <f>SUMIF(F4673:F4676,("h"),H4673:H4676)</f>
        <v>54.32</v>
      </c>
    </row>
    <row r="4678" spans="1:8" s="201" customFormat="1">
      <c r="A4678" s="582"/>
      <c r="B4678" s="582"/>
      <c r="C4678" s="212"/>
      <c r="D4678" s="719" t="s">
        <v>128</v>
      </c>
      <c r="E4678" s="719"/>
      <c r="F4678" s="719"/>
      <c r="G4678" s="719"/>
      <c r="H4678" s="638">
        <f>SUMIF(F4673:F4676,"&lt;&gt;h",H4673:H4676)</f>
        <v>1207.28</v>
      </c>
    </row>
    <row r="4679" spans="1:8" s="201" customFormat="1">
      <c r="A4679" s="582"/>
      <c r="B4679" s="582"/>
      <c r="C4679" s="212"/>
      <c r="D4679" s="718" t="s">
        <v>129</v>
      </c>
      <c r="E4679" s="718"/>
      <c r="F4679" s="718"/>
      <c r="G4679" s="718"/>
      <c r="H4679" s="213">
        <f>SUM(H4677:H4678)</f>
        <v>1261.5999999999999</v>
      </c>
    </row>
    <row r="4680" spans="1:8" s="201" customFormat="1">
      <c r="A4680" s="582"/>
      <c r="B4680" s="582"/>
      <c r="C4680" s="212"/>
      <c r="D4680" s="719" t="s">
        <v>28</v>
      </c>
      <c r="E4680" s="719"/>
      <c r="F4680" s="719"/>
      <c r="G4680" s="719"/>
      <c r="H4680" s="639">
        <f>E4672</f>
        <v>2</v>
      </c>
    </row>
    <row r="4681" spans="1:8" s="201" customFormat="1">
      <c r="A4681" s="582"/>
      <c r="B4681" s="582"/>
      <c r="C4681" s="212"/>
      <c r="D4681" s="718" t="s">
        <v>130</v>
      </c>
      <c r="E4681" s="718"/>
      <c r="F4681" s="718"/>
      <c r="G4681" s="718"/>
      <c r="H4681" s="213">
        <f>ROUND(H4679*H4680,2)</f>
        <v>2523.1999999999998</v>
      </c>
    </row>
    <row r="4682" spans="1:8" s="201" customFormat="1">
      <c r="A4682" s="582"/>
      <c r="B4682" s="582"/>
      <c r="C4682" s="212"/>
      <c r="D4682" s="719" t="s">
        <v>15559</v>
      </c>
      <c r="E4682" s="719"/>
      <c r="F4682" s="719"/>
      <c r="G4682" s="719"/>
      <c r="H4682" s="638">
        <f>ROUND(H4679*$B$13,2)</f>
        <v>339.75</v>
      </c>
    </row>
    <row r="4683" spans="1:8">
      <c r="A4683" s="582"/>
      <c r="B4683" s="582"/>
      <c r="C4683" s="212"/>
      <c r="D4683" s="718" t="s">
        <v>9661</v>
      </c>
      <c r="E4683" s="718"/>
      <c r="F4683" s="718"/>
      <c r="G4683" s="718"/>
      <c r="H4683" s="213">
        <f>H4682+H4679</f>
        <v>1601.35</v>
      </c>
    </row>
    <row r="4685" spans="1:8" s="201" customFormat="1">
      <c r="A4685" s="123" t="s">
        <v>6</v>
      </c>
      <c r="B4685" s="720" t="s">
        <v>7</v>
      </c>
      <c r="C4685" s="720"/>
      <c r="D4685" s="202" t="s">
        <v>124</v>
      </c>
      <c r="E4685" s="167" t="s">
        <v>6334</v>
      </c>
      <c r="F4685" s="202" t="s">
        <v>31</v>
      </c>
      <c r="G4685" s="203" t="s">
        <v>125</v>
      </c>
      <c r="H4685" s="204" t="s">
        <v>126</v>
      </c>
    </row>
    <row r="4686" spans="1:8" s="208" customFormat="1" ht="30">
      <c r="A4686" s="581" t="str">
        <f>'Orç - Prédio'!A745</f>
        <v>08.01.521</v>
      </c>
      <c r="B4686" s="581" t="str">
        <f>'Orç - Prédio'!B745</f>
        <v>ORSE</v>
      </c>
      <c r="C4686" s="581">
        <f>'Orç - Prédio'!C745</f>
        <v>9905</v>
      </c>
      <c r="D4686" s="205" t="s">
        <v>8724</v>
      </c>
      <c r="E4686" s="206">
        <v>2</v>
      </c>
      <c r="F4686" s="581" t="s">
        <v>6337</v>
      </c>
      <c r="G4686" s="207">
        <f>VLOOKUP("CUSTO TOTAL UNIT.:",D4687:$H$30004,5,FALSE)</f>
        <v>369.08</v>
      </c>
      <c r="H4686" s="637">
        <f>VLOOKUP("CUSTO TOTAL:",D4687:$H$30004,5,FALSE)</f>
        <v>738.16</v>
      </c>
    </row>
    <row r="4687" spans="1:8" s="124" customFormat="1" ht="30" customHeight="1">
      <c r="A4687" s="722" t="s">
        <v>15430</v>
      </c>
      <c r="B4687" s="722"/>
      <c r="C4687" s="722"/>
      <c r="D4687" s="139" t="s">
        <v>15429</v>
      </c>
      <c r="E4687" s="209">
        <v>1</v>
      </c>
      <c r="F4687" s="577" t="s">
        <v>31</v>
      </c>
      <c r="G4687" s="210">
        <v>364.5</v>
      </c>
      <c r="H4687" s="211">
        <f>ROUND(G4687*E4687,2)</f>
        <v>364.5</v>
      </c>
    </row>
    <row r="4688" spans="1:8" s="124" customFormat="1" ht="30">
      <c r="A4688" s="721">
        <v>88267</v>
      </c>
      <c r="B4688" s="721"/>
      <c r="C4688" s="200" t="s">
        <v>5256</v>
      </c>
      <c r="D4688" s="139" t="s">
        <v>86</v>
      </c>
      <c r="E4688" s="209">
        <v>0.3</v>
      </c>
      <c r="F4688" s="577" t="s">
        <v>67</v>
      </c>
      <c r="G4688" s="210">
        <v>15.2766</v>
      </c>
      <c r="H4688" s="211">
        <f>ROUND(G4688*E4688,2)</f>
        <v>4.58</v>
      </c>
    </row>
    <row r="4689" spans="1:8" s="201" customFormat="1">
      <c r="A4689" s="582"/>
      <c r="B4689" s="582"/>
      <c r="C4689" s="212"/>
      <c r="D4689" s="719" t="s">
        <v>127</v>
      </c>
      <c r="E4689" s="719"/>
      <c r="F4689" s="719"/>
      <c r="G4689" s="719"/>
      <c r="H4689" s="638">
        <f>SUMIF(F4687:F4688,("h"),H4687:H4688)</f>
        <v>4.58</v>
      </c>
    </row>
    <row r="4690" spans="1:8" s="201" customFormat="1">
      <c r="A4690" s="582"/>
      <c r="B4690" s="582"/>
      <c r="C4690" s="212"/>
      <c r="D4690" s="719" t="s">
        <v>128</v>
      </c>
      <c r="E4690" s="719"/>
      <c r="F4690" s="719"/>
      <c r="G4690" s="719"/>
      <c r="H4690" s="638">
        <f>SUMIF(F4687:F4688,"&lt;&gt;h",H4687:H4688)</f>
        <v>364.5</v>
      </c>
    </row>
    <row r="4691" spans="1:8" s="201" customFormat="1">
      <c r="A4691" s="582"/>
      <c r="B4691" s="582"/>
      <c r="C4691" s="212"/>
      <c r="D4691" s="718" t="s">
        <v>129</v>
      </c>
      <c r="E4691" s="718"/>
      <c r="F4691" s="718"/>
      <c r="G4691" s="718"/>
      <c r="H4691" s="213">
        <f>SUM(H4689:H4690)</f>
        <v>369.08</v>
      </c>
    </row>
    <row r="4692" spans="1:8" s="201" customFormat="1">
      <c r="A4692" s="582"/>
      <c r="B4692" s="582"/>
      <c r="C4692" s="212"/>
      <c r="D4692" s="719" t="s">
        <v>28</v>
      </c>
      <c r="E4692" s="719"/>
      <c r="F4692" s="719"/>
      <c r="G4692" s="719"/>
      <c r="H4692" s="639">
        <f>E4686</f>
        <v>2</v>
      </c>
    </row>
    <row r="4693" spans="1:8" s="201" customFormat="1">
      <c r="A4693" s="582"/>
      <c r="B4693" s="582"/>
      <c r="C4693" s="212"/>
      <c r="D4693" s="718" t="s">
        <v>130</v>
      </c>
      <c r="E4693" s="718"/>
      <c r="F4693" s="718"/>
      <c r="G4693" s="718"/>
      <c r="H4693" s="213">
        <f>ROUND(H4691*H4692,2)</f>
        <v>738.16</v>
      </c>
    </row>
    <row r="4694" spans="1:8" s="201" customFormat="1">
      <c r="A4694" s="582"/>
      <c r="B4694" s="582"/>
      <c r="C4694" s="212"/>
      <c r="D4694" s="719" t="s">
        <v>15559</v>
      </c>
      <c r="E4694" s="719"/>
      <c r="F4694" s="719"/>
      <c r="G4694" s="719"/>
      <c r="H4694" s="638">
        <f>ROUND(H4691*$B$13,2)</f>
        <v>99.39</v>
      </c>
    </row>
    <row r="4695" spans="1:8">
      <c r="A4695" s="582"/>
      <c r="B4695" s="582"/>
      <c r="C4695" s="212"/>
      <c r="D4695" s="718" t="s">
        <v>9661</v>
      </c>
      <c r="E4695" s="718"/>
      <c r="F4695" s="718"/>
      <c r="G4695" s="718"/>
      <c r="H4695" s="213">
        <f>H4694+H4691</f>
        <v>468.46999999999997</v>
      </c>
    </row>
    <row r="4697" spans="1:8" s="201" customFormat="1">
      <c r="A4697" s="123" t="s">
        <v>6</v>
      </c>
      <c r="B4697" s="720" t="s">
        <v>7</v>
      </c>
      <c r="C4697" s="720"/>
      <c r="D4697" s="202" t="s">
        <v>124</v>
      </c>
      <c r="E4697" s="167" t="s">
        <v>6334</v>
      </c>
      <c r="F4697" s="202" t="s">
        <v>31</v>
      </c>
      <c r="G4697" s="203" t="s">
        <v>125</v>
      </c>
      <c r="H4697" s="204" t="s">
        <v>126</v>
      </c>
    </row>
    <row r="4698" spans="1:8" s="208" customFormat="1" ht="45">
      <c r="A4698" s="581" t="str">
        <f>'Orç - Prédio'!A746</f>
        <v>08.01.522</v>
      </c>
      <c r="B4698" s="581" t="str">
        <f>'Orç - Prédio'!B746</f>
        <v>ORSE</v>
      </c>
      <c r="C4698" s="581">
        <f>'Orç - Prédio'!C746</f>
        <v>9670</v>
      </c>
      <c r="D4698" s="205" t="s">
        <v>8725</v>
      </c>
      <c r="E4698" s="206">
        <v>2</v>
      </c>
      <c r="F4698" s="581" t="s">
        <v>6337</v>
      </c>
      <c r="G4698" s="207">
        <f>VLOOKUP("CUSTO TOTAL UNIT.:",D4699:$H$30004,5,FALSE)</f>
        <v>140.71</v>
      </c>
      <c r="H4698" s="637">
        <f>VLOOKUP("CUSTO TOTAL:",D4699:$H$30004,5,FALSE)</f>
        <v>281.42</v>
      </c>
    </row>
    <row r="4699" spans="1:8" s="124" customFormat="1">
      <c r="A4699" s="722">
        <v>10048</v>
      </c>
      <c r="B4699" s="722"/>
      <c r="C4699" s="184" t="s">
        <v>6333</v>
      </c>
      <c r="D4699" s="139" t="s">
        <v>8748</v>
      </c>
      <c r="E4699" s="209">
        <v>1</v>
      </c>
      <c r="F4699" s="577" t="s">
        <v>31</v>
      </c>
      <c r="G4699" s="210">
        <v>113.4</v>
      </c>
      <c r="H4699" s="211">
        <f>ROUND(G4699*E4699,2)</f>
        <v>113.4</v>
      </c>
    </row>
    <row r="4700" spans="1:8" s="124" customFormat="1" ht="30">
      <c r="A4700" s="721">
        <v>88267</v>
      </c>
      <c r="B4700" s="721"/>
      <c r="C4700" s="200" t="s">
        <v>5256</v>
      </c>
      <c r="D4700" s="139" t="s">
        <v>86</v>
      </c>
      <c r="E4700" s="209">
        <v>1</v>
      </c>
      <c r="F4700" s="577" t="s">
        <v>67</v>
      </c>
      <c r="G4700" s="210">
        <v>15.2766</v>
      </c>
      <c r="H4700" s="211">
        <f>ROUND(G4700*E4700,2)</f>
        <v>15.28</v>
      </c>
    </row>
    <row r="4701" spans="1:8" s="124" customFormat="1" ht="45">
      <c r="A4701" s="721">
        <v>88248</v>
      </c>
      <c r="B4701" s="721"/>
      <c r="C4701" s="200" t="s">
        <v>5256</v>
      </c>
      <c r="D4701" s="139" t="s">
        <v>76</v>
      </c>
      <c r="E4701" s="209">
        <v>1</v>
      </c>
      <c r="F4701" s="577" t="s">
        <v>67</v>
      </c>
      <c r="G4701" s="210">
        <v>12.028500000000001</v>
      </c>
      <c r="H4701" s="211">
        <f>ROUND(G4701*E4701,2)</f>
        <v>12.03</v>
      </c>
    </row>
    <row r="4702" spans="1:8" s="201" customFormat="1">
      <c r="A4702" s="582"/>
      <c r="B4702" s="582"/>
      <c r="C4702" s="212"/>
      <c r="D4702" s="719" t="s">
        <v>127</v>
      </c>
      <c r="E4702" s="719"/>
      <c r="F4702" s="719"/>
      <c r="G4702" s="719"/>
      <c r="H4702" s="638">
        <f>SUMIF(F4699:F4701,("h"),H4699:H4701)</f>
        <v>27.31</v>
      </c>
    </row>
    <row r="4703" spans="1:8" s="201" customFormat="1">
      <c r="A4703" s="582"/>
      <c r="B4703" s="582"/>
      <c r="C4703" s="212"/>
      <c r="D4703" s="719" t="s">
        <v>128</v>
      </c>
      <c r="E4703" s="719"/>
      <c r="F4703" s="719"/>
      <c r="G4703" s="719"/>
      <c r="H4703" s="638">
        <f>SUMIF(F4699:F4701,"&lt;&gt;h",H4699:H4701)</f>
        <v>113.4</v>
      </c>
    </row>
    <row r="4704" spans="1:8" s="201" customFormat="1">
      <c r="A4704" s="582"/>
      <c r="B4704" s="582"/>
      <c r="C4704" s="212"/>
      <c r="D4704" s="718" t="s">
        <v>129</v>
      </c>
      <c r="E4704" s="718"/>
      <c r="F4704" s="718"/>
      <c r="G4704" s="718"/>
      <c r="H4704" s="213">
        <f>SUM(H4702:H4703)</f>
        <v>140.71</v>
      </c>
    </row>
    <row r="4705" spans="1:8" s="201" customFormat="1">
      <c r="A4705" s="582"/>
      <c r="B4705" s="582"/>
      <c r="C4705" s="212"/>
      <c r="D4705" s="719" t="s">
        <v>28</v>
      </c>
      <c r="E4705" s="719"/>
      <c r="F4705" s="719"/>
      <c r="G4705" s="719"/>
      <c r="H4705" s="639">
        <f>E4698</f>
        <v>2</v>
      </c>
    </row>
    <row r="4706" spans="1:8" s="201" customFormat="1">
      <c r="A4706" s="582"/>
      <c r="B4706" s="582"/>
      <c r="C4706" s="212"/>
      <c r="D4706" s="718" t="s">
        <v>130</v>
      </c>
      <c r="E4706" s="718"/>
      <c r="F4706" s="718"/>
      <c r="G4706" s="718"/>
      <c r="H4706" s="213">
        <f>ROUND(H4704*H4705,2)</f>
        <v>281.42</v>
      </c>
    </row>
    <row r="4707" spans="1:8" s="201" customFormat="1">
      <c r="A4707" s="582"/>
      <c r="B4707" s="582"/>
      <c r="C4707" s="212"/>
      <c r="D4707" s="719" t="s">
        <v>15559</v>
      </c>
      <c r="E4707" s="719"/>
      <c r="F4707" s="719"/>
      <c r="G4707" s="719"/>
      <c r="H4707" s="638">
        <f>ROUND(H4704*$B$13,2)</f>
        <v>37.89</v>
      </c>
    </row>
    <row r="4708" spans="1:8">
      <c r="A4708" s="582"/>
      <c r="B4708" s="582"/>
      <c r="C4708" s="212"/>
      <c r="D4708" s="718" t="s">
        <v>9661</v>
      </c>
      <c r="E4708" s="718"/>
      <c r="F4708" s="718"/>
      <c r="G4708" s="718"/>
      <c r="H4708" s="213">
        <f>H4707+H4704</f>
        <v>178.60000000000002</v>
      </c>
    </row>
    <row r="4710" spans="1:8" s="201" customFormat="1">
      <c r="A4710" s="123" t="s">
        <v>6</v>
      </c>
      <c r="B4710" s="720" t="s">
        <v>7</v>
      </c>
      <c r="C4710" s="720"/>
      <c r="D4710" s="202" t="s">
        <v>124</v>
      </c>
      <c r="E4710" s="167" t="s">
        <v>6334</v>
      </c>
      <c r="F4710" s="202" t="s">
        <v>31</v>
      </c>
      <c r="G4710" s="203" t="s">
        <v>125</v>
      </c>
      <c r="H4710" s="204" t="s">
        <v>126</v>
      </c>
    </row>
    <row r="4711" spans="1:8" s="208" customFormat="1" ht="30">
      <c r="A4711" s="581" t="str">
        <f>'Orç - Urbanização'!A152</f>
        <v>09.01.101</v>
      </c>
      <c r="B4711" s="581" t="str">
        <f>'Orç - Urbanização'!B152</f>
        <v>ORSE</v>
      </c>
      <c r="C4711" s="581">
        <f>'Orç - Urbanização'!C152</f>
        <v>4685</v>
      </c>
      <c r="D4711" s="205" t="s">
        <v>15432</v>
      </c>
      <c r="E4711" s="206">
        <v>1</v>
      </c>
      <c r="F4711" s="581" t="s">
        <v>6337</v>
      </c>
      <c r="G4711" s="207">
        <f>VLOOKUP("CUSTO TOTAL UNIT.:",D4712:$H$30004,5,FALSE)</f>
        <v>145.80000000000001</v>
      </c>
      <c r="H4711" s="637">
        <f>VLOOKUP("CUSTO TOTAL:",D4712:$H$30004,5,FALSE)</f>
        <v>145.80000000000001</v>
      </c>
    </row>
    <row r="4712" spans="1:8" s="124" customFormat="1" ht="45">
      <c r="A4712" s="722">
        <v>4685</v>
      </c>
      <c r="B4712" s="722"/>
      <c r="C4712" s="184" t="s">
        <v>6333</v>
      </c>
      <c r="D4712" s="139" t="s">
        <v>15433</v>
      </c>
      <c r="E4712" s="209">
        <v>1</v>
      </c>
      <c r="F4712" s="577" t="s">
        <v>31</v>
      </c>
      <c r="G4712" s="210">
        <v>145.80000000000001</v>
      </c>
      <c r="H4712" s="211">
        <f>ROUND(G4712*E4712,2)</f>
        <v>145.80000000000001</v>
      </c>
    </row>
    <row r="4713" spans="1:8" s="201" customFormat="1">
      <c r="A4713" s="582"/>
      <c r="B4713" s="582"/>
      <c r="C4713" s="212"/>
      <c r="D4713" s="719" t="s">
        <v>127</v>
      </c>
      <c r="E4713" s="719"/>
      <c r="F4713" s="719"/>
      <c r="G4713" s="719"/>
      <c r="H4713" s="638">
        <f>SUMIF(F4712:F4712,("h"),H4712:H4712)</f>
        <v>0</v>
      </c>
    </row>
    <row r="4714" spans="1:8" s="201" customFormat="1">
      <c r="A4714" s="582"/>
      <c r="B4714" s="582"/>
      <c r="C4714" s="212"/>
      <c r="D4714" s="719" t="s">
        <v>128</v>
      </c>
      <c r="E4714" s="719"/>
      <c r="F4714" s="719"/>
      <c r="G4714" s="719"/>
      <c r="H4714" s="638">
        <f>SUMIF(F4712:F4712,"&lt;&gt;h",H4712:H4712)</f>
        <v>145.80000000000001</v>
      </c>
    </row>
    <row r="4715" spans="1:8" s="201" customFormat="1">
      <c r="A4715" s="582"/>
      <c r="B4715" s="582"/>
      <c r="C4715" s="212"/>
      <c r="D4715" s="718" t="s">
        <v>129</v>
      </c>
      <c r="E4715" s="718"/>
      <c r="F4715" s="718"/>
      <c r="G4715" s="718"/>
      <c r="H4715" s="213">
        <f>SUM(H4713:H4714)</f>
        <v>145.80000000000001</v>
      </c>
    </row>
    <row r="4716" spans="1:8" s="201" customFormat="1">
      <c r="A4716" s="582"/>
      <c r="B4716" s="582"/>
      <c r="C4716" s="212"/>
      <c r="D4716" s="719" t="s">
        <v>28</v>
      </c>
      <c r="E4716" s="719"/>
      <c r="F4716" s="719"/>
      <c r="G4716" s="719"/>
      <c r="H4716" s="639">
        <f>E4711</f>
        <v>1</v>
      </c>
    </row>
    <row r="4717" spans="1:8" s="201" customFormat="1">
      <c r="A4717" s="582"/>
      <c r="B4717" s="582"/>
      <c r="C4717" s="212"/>
      <c r="D4717" s="718" t="s">
        <v>130</v>
      </c>
      <c r="E4717" s="718"/>
      <c r="F4717" s="718"/>
      <c r="G4717" s="718"/>
      <c r="H4717" s="213">
        <f>ROUND(H4715*H4716,2)</f>
        <v>145.80000000000001</v>
      </c>
    </row>
    <row r="4718" spans="1:8" s="201" customFormat="1">
      <c r="A4718" s="582"/>
      <c r="B4718" s="582"/>
      <c r="C4718" s="212"/>
      <c r="D4718" s="719" t="s">
        <v>15559</v>
      </c>
      <c r="E4718" s="719"/>
      <c r="F4718" s="719"/>
      <c r="G4718" s="719"/>
      <c r="H4718" s="638">
        <f>ROUND(H4715*$B$13,2)</f>
        <v>39.26</v>
      </c>
    </row>
    <row r="4719" spans="1:8">
      <c r="A4719" s="582"/>
      <c r="B4719" s="582"/>
      <c r="C4719" s="212"/>
      <c r="D4719" s="718" t="s">
        <v>9661</v>
      </c>
      <c r="E4719" s="718"/>
      <c r="F4719" s="718"/>
      <c r="G4719" s="718"/>
      <c r="H4719" s="213">
        <f>H4718+H4715</f>
        <v>185.06</v>
      </c>
    </row>
    <row r="4721" spans="1:8" s="201" customFormat="1">
      <c r="A4721" s="123" t="s">
        <v>6</v>
      </c>
      <c r="B4721" s="720" t="s">
        <v>7</v>
      </c>
      <c r="C4721" s="720"/>
      <c r="D4721" s="202" t="s">
        <v>124</v>
      </c>
      <c r="E4721" s="167" t="s">
        <v>6334</v>
      </c>
      <c r="F4721" s="202" t="s">
        <v>31</v>
      </c>
      <c r="G4721" s="203" t="s">
        <v>125</v>
      </c>
      <c r="H4721" s="204" t="s">
        <v>126</v>
      </c>
    </row>
    <row r="4722" spans="1:8" s="208" customFormat="1">
      <c r="A4722" s="581" t="str">
        <f>'Orç - Canteiro e Adm'!A63</f>
        <v>09.02.001</v>
      </c>
      <c r="B4722" s="581" t="str">
        <f>'Orç - Canteiro e Adm'!B63</f>
        <v>ORSE</v>
      </c>
      <c r="C4722" s="581">
        <f>'Orç - Canteiro e Adm'!C63</f>
        <v>2450</v>
      </c>
      <c r="D4722" s="205" t="s">
        <v>9113</v>
      </c>
      <c r="E4722" s="581">
        <v>1382.96</v>
      </c>
      <c r="F4722" s="581" t="s">
        <v>6339</v>
      </c>
      <c r="G4722" s="207">
        <f>VLOOKUP("CUSTO TOTAL UNIT.:",D4723:$H$30004,5,FALSE)</f>
        <v>1.7999999999999998</v>
      </c>
      <c r="H4722" s="637">
        <f>VLOOKUP("CUSTO TOTAL:",D4723:$H$30004,5,FALSE)</f>
        <v>2489.33</v>
      </c>
    </row>
    <row r="4723" spans="1:8" s="124" customFormat="1">
      <c r="A4723" s="722">
        <v>16</v>
      </c>
      <c r="B4723" s="722"/>
      <c r="C4723" s="184" t="s">
        <v>5256</v>
      </c>
      <c r="D4723" s="139" t="s">
        <v>13806</v>
      </c>
      <c r="E4723" s="209">
        <v>5.0000000000000001E-3</v>
      </c>
      <c r="F4723" s="577" t="s">
        <v>49</v>
      </c>
      <c r="G4723" s="210">
        <v>4.7304000000000004</v>
      </c>
      <c r="H4723" s="211">
        <f>ROUND(G4723*E4723,2)</f>
        <v>0.02</v>
      </c>
    </row>
    <row r="4724" spans="1:8" s="124" customFormat="1">
      <c r="A4724" s="722">
        <v>38400</v>
      </c>
      <c r="B4724" s="722"/>
      <c r="C4724" s="184" t="s">
        <v>5256</v>
      </c>
      <c r="D4724" s="139" t="s">
        <v>14918</v>
      </c>
      <c r="E4724" s="209">
        <v>0.05</v>
      </c>
      <c r="F4724" s="577" t="s">
        <v>40</v>
      </c>
      <c r="G4724" s="210">
        <v>12.311999999999999</v>
      </c>
      <c r="H4724" s="211">
        <f>ROUND(G4724*E4724,2)</f>
        <v>0.62</v>
      </c>
    </row>
    <row r="4725" spans="1:8" s="124" customFormat="1" ht="30">
      <c r="A4725" s="721">
        <v>88316</v>
      </c>
      <c r="B4725" s="721"/>
      <c r="C4725" s="200" t="s">
        <v>5256</v>
      </c>
      <c r="D4725" s="139" t="s">
        <v>66</v>
      </c>
      <c r="E4725" s="209">
        <v>0.1</v>
      </c>
      <c r="F4725" s="577" t="s">
        <v>67</v>
      </c>
      <c r="G4725" s="210">
        <v>11.631600000000001</v>
      </c>
      <c r="H4725" s="211">
        <f>ROUND(G4725*E4725,2)</f>
        <v>1.1599999999999999</v>
      </c>
    </row>
    <row r="4726" spans="1:8" s="201" customFormat="1">
      <c r="A4726" s="582"/>
      <c r="B4726" s="582"/>
      <c r="C4726" s="212"/>
      <c r="D4726" s="719" t="s">
        <v>127</v>
      </c>
      <c r="E4726" s="719"/>
      <c r="F4726" s="719"/>
      <c r="G4726" s="719"/>
      <c r="H4726" s="638">
        <f>SUMIF(F4723:F4725,("h"),H4723:H4725)</f>
        <v>1.1599999999999999</v>
      </c>
    </row>
    <row r="4727" spans="1:8" s="201" customFormat="1">
      <c r="A4727" s="582"/>
      <c r="B4727" s="582"/>
      <c r="C4727" s="212"/>
      <c r="D4727" s="719" t="s">
        <v>128</v>
      </c>
      <c r="E4727" s="719"/>
      <c r="F4727" s="719"/>
      <c r="G4727" s="719"/>
      <c r="H4727" s="638">
        <f>SUMIF(F4723:F4725,"&lt;&gt;h",H4723:H4725)</f>
        <v>0.64</v>
      </c>
    </row>
    <row r="4728" spans="1:8" s="201" customFormat="1">
      <c r="A4728" s="582"/>
      <c r="B4728" s="582"/>
      <c r="C4728" s="212"/>
      <c r="D4728" s="718" t="s">
        <v>129</v>
      </c>
      <c r="E4728" s="718"/>
      <c r="F4728" s="718"/>
      <c r="G4728" s="718"/>
      <c r="H4728" s="213">
        <f>SUM(H4726:H4727)</f>
        <v>1.7999999999999998</v>
      </c>
    </row>
    <row r="4729" spans="1:8" s="201" customFormat="1">
      <c r="A4729" s="582"/>
      <c r="B4729" s="582"/>
      <c r="C4729" s="212"/>
      <c r="D4729" s="719" t="s">
        <v>28</v>
      </c>
      <c r="E4729" s="719"/>
      <c r="F4729" s="719"/>
      <c r="G4729" s="719"/>
      <c r="H4729" s="639">
        <f>E4722</f>
        <v>1382.96</v>
      </c>
    </row>
    <row r="4730" spans="1:8" s="201" customFormat="1">
      <c r="A4730" s="582"/>
      <c r="B4730" s="582"/>
      <c r="C4730" s="212"/>
      <c r="D4730" s="718" t="s">
        <v>130</v>
      </c>
      <c r="E4730" s="718"/>
      <c r="F4730" s="718"/>
      <c r="G4730" s="718"/>
      <c r="H4730" s="213">
        <f>ROUND(H4728*H4729,2)</f>
        <v>2489.33</v>
      </c>
    </row>
    <row r="4731" spans="1:8" s="201" customFormat="1">
      <c r="A4731" s="582"/>
      <c r="B4731" s="582"/>
      <c r="C4731" s="212"/>
      <c r="D4731" s="719" t="s">
        <v>15559</v>
      </c>
      <c r="E4731" s="719"/>
      <c r="F4731" s="719"/>
      <c r="G4731" s="719"/>
      <c r="H4731" s="638">
        <f>ROUND(H4728*$B$13,2)</f>
        <v>0.48</v>
      </c>
    </row>
    <row r="4732" spans="1:8">
      <c r="A4732" s="582"/>
      <c r="B4732" s="582"/>
      <c r="C4732" s="212"/>
      <c r="D4732" s="718" t="s">
        <v>9661</v>
      </c>
      <c r="E4732" s="718"/>
      <c r="F4732" s="718"/>
      <c r="G4732" s="718"/>
      <c r="H4732" s="213">
        <f>H4731+H4728</f>
        <v>2.2799999999999998</v>
      </c>
    </row>
    <row r="4734" spans="1:8" s="201" customFormat="1">
      <c r="A4734" s="123" t="s">
        <v>6</v>
      </c>
      <c r="B4734" s="720" t="s">
        <v>7</v>
      </c>
      <c r="C4734" s="720"/>
      <c r="D4734" s="202" t="s">
        <v>124</v>
      </c>
      <c r="E4734" s="167" t="s">
        <v>6334</v>
      </c>
      <c r="F4734" s="202" t="s">
        <v>31</v>
      </c>
      <c r="G4734" s="203" t="s">
        <v>125</v>
      </c>
      <c r="H4734" s="204" t="s">
        <v>126</v>
      </c>
    </row>
    <row r="4735" spans="1:8" s="208" customFormat="1" ht="30">
      <c r="A4735" s="581" t="s">
        <v>9134</v>
      </c>
      <c r="B4735" s="581" t="str">
        <f>'Orç - Canteiro e Adm'!B76</f>
        <v>ORSE</v>
      </c>
      <c r="C4735" s="581">
        <f>'Orç - Canteiro e Adm'!C76</f>
        <v>10832</v>
      </c>
      <c r="D4735" s="205" t="s">
        <v>9135</v>
      </c>
      <c r="E4735" s="581" t="s">
        <v>8137</v>
      </c>
      <c r="F4735" s="581" t="s">
        <v>6339</v>
      </c>
      <c r="G4735" s="207">
        <f>VLOOKUP("CUSTO TOTAL UNIT.:",D4736:$H$30004,5,FALSE)</f>
        <v>0.69</v>
      </c>
      <c r="H4735" s="637">
        <f>VLOOKUP("CUSTO TOTAL:",D4736:$H$30004,5,FALSE)</f>
        <v>665.37</v>
      </c>
    </row>
    <row r="4736" spans="1:8" s="124" customFormat="1" ht="30">
      <c r="A4736" s="721">
        <v>90773</v>
      </c>
      <c r="B4736" s="721"/>
      <c r="C4736" s="200" t="s">
        <v>5256</v>
      </c>
      <c r="D4736" s="139" t="s">
        <v>5147</v>
      </c>
      <c r="E4736" s="209">
        <v>5.8000000000000003E-2</v>
      </c>
      <c r="F4736" s="577" t="s">
        <v>67</v>
      </c>
      <c r="G4736" s="210">
        <v>11.947500000000002</v>
      </c>
      <c r="H4736" s="211">
        <f>ROUND(G4736*E4736,2)</f>
        <v>0.69</v>
      </c>
    </row>
    <row r="4737" spans="1:8" s="201" customFormat="1">
      <c r="A4737" s="582"/>
      <c r="B4737" s="582"/>
      <c r="C4737" s="212"/>
      <c r="D4737" s="719" t="s">
        <v>127</v>
      </c>
      <c r="E4737" s="719"/>
      <c r="F4737" s="719"/>
      <c r="G4737" s="719"/>
      <c r="H4737" s="638">
        <f>SUMIF(F4736:F4736,("h"),H4736:H4736)</f>
        <v>0.69</v>
      </c>
    </row>
    <row r="4738" spans="1:8" s="201" customFormat="1">
      <c r="A4738" s="582"/>
      <c r="B4738" s="582"/>
      <c r="C4738" s="212"/>
      <c r="D4738" s="719" t="s">
        <v>128</v>
      </c>
      <c r="E4738" s="719"/>
      <c r="F4738" s="719"/>
      <c r="G4738" s="719"/>
      <c r="H4738" s="638">
        <f>SUMIF(F4736:F4736,"&lt;&gt;h",H4736:H4736)</f>
        <v>0</v>
      </c>
    </row>
    <row r="4739" spans="1:8" s="201" customFormat="1">
      <c r="A4739" s="582"/>
      <c r="B4739" s="582"/>
      <c r="C4739" s="212"/>
      <c r="D4739" s="718" t="s">
        <v>129</v>
      </c>
      <c r="E4739" s="718"/>
      <c r="F4739" s="718"/>
      <c r="G4739" s="718"/>
      <c r="H4739" s="213">
        <f>SUM(H4737:H4738)</f>
        <v>0.69</v>
      </c>
    </row>
    <row r="4740" spans="1:8" s="201" customFormat="1">
      <c r="A4740" s="582"/>
      <c r="B4740" s="582"/>
      <c r="C4740" s="212"/>
      <c r="D4740" s="719" t="s">
        <v>28</v>
      </c>
      <c r="E4740" s="719"/>
      <c r="F4740" s="719"/>
      <c r="G4740" s="719"/>
      <c r="H4740" s="639" t="str">
        <f>E4735</f>
        <v>-</v>
      </c>
    </row>
    <row r="4742" spans="1:8" s="201" customFormat="1">
      <c r="A4742" s="123" t="s">
        <v>6</v>
      </c>
      <c r="B4742" s="720" t="s">
        <v>7</v>
      </c>
      <c r="C4742" s="720"/>
      <c r="D4742" s="202" t="s">
        <v>124</v>
      </c>
      <c r="E4742" s="167" t="s">
        <v>6334</v>
      </c>
      <c r="F4742" s="202" t="s">
        <v>31</v>
      </c>
      <c r="G4742" s="203" t="s">
        <v>125</v>
      </c>
      <c r="H4742" s="204" t="s">
        <v>126</v>
      </c>
    </row>
    <row r="4743" spans="1:8" s="208" customFormat="1" ht="30">
      <c r="A4743" s="581" t="str">
        <f>'Orç - Canteiro e Adm'!A83</f>
        <v>09.04.100</v>
      </c>
      <c r="B4743" s="581" t="str">
        <f>'Orç - Canteiro e Adm'!B83</f>
        <v>SETOP</v>
      </c>
      <c r="C4743" s="581" t="str">
        <f>'Orç - Canteiro e Adm'!C83</f>
        <v>REL-TEC-190</v>
      </c>
      <c r="D4743" s="205" t="s">
        <v>15421</v>
      </c>
      <c r="E4743" s="206">
        <v>2464.3200000000002</v>
      </c>
      <c r="F4743" s="581" t="s">
        <v>6339</v>
      </c>
      <c r="G4743" s="207">
        <f>VLOOKUP("CUSTO TOTAL UNIT.:",D4744:$H$30004,5,FALSE)</f>
        <v>0.27</v>
      </c>
      <c r="H4743" s="637">
        <f>VLOOKUP("CUSTO TOTAL:",D4744:$H$30004,5,FALSE)</f>
        <v>665.37</v>
      </c>
    </row>
    <row r="4744" spans="1:8" s="124" customFormat="1" ht="30">
      <c r="A4744" s="721">
        <v>90778</v>
      </c>
      <c r="B4744" s="721"/>
      <c r="C4744" s="200" t="s">
        <v>5256</v>
      </c>
      <c r="D4744" s="139" t="s">
        <v>5151</v>
      </c>
      <c r="E4744" s="209">
        <v>4.0000000000000001E-3</v>
      </c>
      <c r="F4744" s="577" t="s">
        <v>67</v>
      </c>
      <c r="G4744" s="210">
        <v>67.149000000000015</v>
      </c>
      <c r="H4744" s="211">
        <f>ROUND(G4744*E4744,2)</f>
        <v>0.27</v>
      </c>
    </row>
    <row r="4745" spans="1:8" s="201" customFormat="1">
      <c r="A4745" s="582"/>
      <c r="B4745" s="582"/>
      <c r="C4745" s="212"/>
      <c r="D4745" s="719" t="s">
        <v>127</v>
      </c>
      <c r="E4745" s="719"/>
      <c r="F4745" s="719"/>
      <c r="G4745" s="719"/>
      <c r="H4745" s="638">
        <f>SUMIF(F4744:F4744,("h"),H4744:H4744)</f>
        <v>0.27</v>
      </c>
    </row>
    <row r="4746" spans="1:8" s="201" customFormat="1">
      <c r="A4746" s="582"/>
      <c r="B4746" s="582"/>
      <c r="C4746" s="212"/>
      <c r="D4746" s="719" t="s">
        <v>128</v>
      </c>
      <c r="E4746" s="719"/>
      <c r="F4746" s="719"/>
      <c r="G4746" s="719"/>
      <c r="H4746" s="638">
        <f>SUMIF(F4744:F4744,"&lt;&gt;h",H4744:H4744)</f>
        <v>0</v>
      </c>
    </row>
    <row r="4747" spans="1:8" s="201" customFormat="1">
      <c r="A4747" s="582"/>
      <c r="B4747" s="582"/>
      <c r="C4747" s="212"/>
      <c r="D4747" s="718" t="s">
        <v>129</v>
      </c>
      <c r="E4747" s="718"/>
      <c r="F4747" s="718"/>
      <c r="G4747" s="718"/>
      <c r="H4747" s="213">
        <f>SUM(H4745:H4746)</f>
        <v>0.27</v>
      </c>
    </row>
    <row r="4748" spans="1:8" s="201" customFormat="1">
      <c r="A4748" s="582"/>
      <c r="B4748" s="582"/>
      <c r="C4748" s="212"/>
      <c r="D4748" s="719" t="s">
        <v>28</v>
      </c>
      <c r="E4748" s="719"/>
      <c r="F4748" s="719"/>
      <c r="G4748" s="719"/>
      <c r="H4748" s="639">
        <f>E4743</f>
        <v>2464.3200000000002</v>
      </c>
    </row>
    <row r="4749" spans="1:8" s="201" customFormat="1">
      <c r="A4749" s="582"/>
      <c r="B4749" s="582"/>
      <c r="C4749" s="212"/>
      <c r="D4749" s="718" t="s">
        <v>130</v>
      </c>
      <c r="E4749" s="718"/>
      <c r="F4749" s="718"/>
      <c r="G4749" s="718"/>
      <c r="H4749" s="213">
        <f>ROUND(H4747*H4748,2)</f>
        <v>665.37</v>
      </c>
    </row>
    <row r="4750" spans="1:8" s="201" customFormat="1">
      <c r="A4750" s="582"/>
      <c r="B4750" s="582"/>
      <c r="C4750" s="212"/>
      <c r="D4750" s="719" t="s">
        <v>15559</v>
      </c>
      <c r="E4750" s="719"/>
      <c r="F4750" s="719"/>
      <c r="G4750" s="719"/>
      <c r="H4750" s="638">
        <f>ROUND(H4747*$B$13,2)</f>
        <v>7.0000000000000007E-2</v>
      </c>
    </row>
    <row r="4751" spans="1:8">
      <c r="A4751" s="582"/>
      <c r="B4751" s="582"/>
      <c r="C4751" s="212"/>
      <c r="D4751" s="718" t="s">
        <v>9661</v>
      </c>
      <c r="E4751" s="718"/>
      <c r="F4751" s="718"/>
      <c r="G4751" s="718"/>
      <c r="H4751" s="213">
        <f>H4750+H4747</f>
        <v>0.34</v>
      </c>
    </row>
    <row r="4753" spans="1:8" s="201" customFormat="1">
      <c r="A4753" s="123" t="s">
        <v>6</v>
      </c>
      <c r="B4753" s="720" t="s">
        <v>7</v>
      </c>
      <c r="C4753" s="720"/>
      <c r="D4753" s="202" t="s">
        <v>124</v>
      </c>
      <c r="E4753" s="167" t="s">
        <v>6334</v>
      </c>
      <c r="F4753" s="202" t="s">
        <v>31</v>
      </c>
      <c r="G4753" s="203" t="s">
        <v>125</v>
      </c>
      <c r="H4753" s="204" t="s">
        <v>126</v>
      </c>
    </row>
    <row r="4754" spans="1:8" s="208" customFormat="1" ht="45">
      <c r="A4754" s="581" t="str">
        <f>'Orç - Canteiro e Adm'!A100</f>
        <v>10.03.702</v>
      </c>
      <c r="B4754" s="581" t="str">
        <f>'Orç - Canteiro e Adm'!B100</f>
        <v>SUDECAP</v>
      </c>
      <c r="C4754" s="581" t="str">
        <f>'Orç - Canteiro e Adm'!C100</f>
        <v>04.06.01</v>
      </c>
      <c r="D4754" s="205" t="s">
        <v>9284</v>
      </c>
      <c r="E4754" s="206">
        <v>1</v>
      </c>
      <c r="F4754" s="581" t="s">
        <v>6337</v>
      </c>
      <c r="G4754" s="207">
        <f>VLOOKUP("CUSTO TOTAL UNIT.:",D4755:$H$30004,5,FALSE)</f>
        <v>9720</v>
      </c>
      <c r="H4754" s="637">
        <f>VLOOKUP("CUSTO TOTAL:",D4755:$H$30004,5,FALSE)</f>
        <v>9720</v>
      </c>
    </row>
    <row r="4755" spans="1:8" s="124" customFormat="1" ht="45">
      <c r="A4755" s="721" t="s">
        <v>9300</v>
      </c>
      <c r="B4755" s="721"/>
      <c r="C4755" s="200" t="s">
        <v>9297</v>
      </c>
      <c r="D4755" s="139" t="s">
        <v>9299</v>
      </c>
      <c r="E4755" s="209">
        <v>1</v>
      </c>
      <c r="F4755" s="577" t="s">
        <v>9154</v>
      </c>
      <c r="G4755" s="210">
        <v>9720</v>
      </c>
      <c r="H4755" s="211">
        <f>ROUND(G4755*E4755,2)</f>
        <v>9720</v>
      </c>
    </row>
    <row r="4756" spans="1:8" s="201" customFormat="1">
      <c r="A4756" s="582"/>
      <c r="B4756" s="582"/>
      <c r="C4756" s="212"/>
      <c r="D4756" s="719" t="s">
        <v>127</v>
      </c>
      <c r="E4756" s="719"/>
      <c r="F4756" s="719"/>
      <c r="G4756" s="719"/>
      <c r="H4756" s="638">
        <f>SUMIF(F4755,("h"),H4755)</f>
        <v>0</v>
      </c>
    </row>
    <row r="4757" spans="1:8" s="201" customFormat="1">
      <c r="A4757" s="582"/>
      <c r="B4757" s="582"/>
      <c r="C4757" s="212"/>
      <c r="D4757" s="719" t="s">
        <v>128</v>
      </c>
      <c r="E4757" s="719"/>
      <c r="F4757" s="719"/>
      <c r="G4757" s="719"/>
      <c r="H4757" s="638">
        <f>SUMIF(F4755,"&lt;&gt;h",H4755)</f>
        <v>9720</v>
      </c>
    </row>
    <row r="4758" spans="1:8" s="201" customFormat="1">
      <c r="A4758" s="582"/>
      <c r="B4758" s="582"/>
      <c r="C4758" s="212"/>
      <c r="D4758" s="718" t="s">
        <v>129</v>
      </c>
      <c r="E4758" s="718"/>
      <c r="F4758" s="718"/>
      <c r="G4758" s="718"/>
      <c r="H4758" s="213">
        <f>SUM(H4756:H4757)</f>
        <v>9720</v>
      </c>
    </row>
    <row r="4759" spans="1:8" s="201" customFormat="1">
      <c r="A4759" s="582"/>
      <c r="B4759" s="582"/>
      <c r="C4759" s="212"/>
      <c r="D4759" s="719" t="s">
        <v>28</v>
      </c>
      <c r="E4759" s="719"/>
      <c r="F4759" s="719"/>
      <c r="G4759" s="719"/>
      <c r="H4759" s="639">
        <f>E4754</f>
        <v>1</v>
      </c>
    </row>
    <row r="4760" spans="1:8" s="201" customFormat="1">
      <c r="A4760" s="582"/>
      <c r="B4760" s="582"/>
      <c r="C4760" s="212"/>
      <c r="D4760" s="718" t="s">
        <v>130</v>
      </c>
      <c r="E4760" s="718"/>
      <c r="F4760" s="718"/>
      <c r="G4760" s="718"/>
      <c r="H4760" s="213">
        <f>ROUND(H4758*H4759,2)</f>
        <v>9720</v>
      </c>
    </row>
    <row r="4761" spans="1:8" s="201" customFormat="1">
      <c r="A4761" s="582"/>
      <c r="B4761" s="582"/>
      <c r="C4761" s="212"/>
      <c r="D4761" s="719" t="s">
        <v>15559</v>
      </c>
      <c r="E4761" s="719"/>
      <c r="F4761" s="719"/>
      <c r="G4761" s="719"/>
      <c r="H4761" s="638">
        <f>ROUND(H4758*$B$13,2)</f>
        <v>2617.6</v>
      </c>
    </row>
    <row r="4762" spans="1:8">
      <c r="A4762" s="582"/>
      <c r="B4762" s="582"/>
      <c r="C4762" s="212"/>
      <c r="D4762" s="718" t="s">
        <v>9661</v>
      </c>
      <c r="E4762" s="718"/>
      <c r="F4762" s="718"/>
      <c r="G4762" s="718"/>
      <c r="H4762" s="213">
        <f>H4761+H4758</f>
        <v>12337.6</v>
      </c>
    </row>
    <row r="4764" spans="1:8" ht="30">
      <c r="D4764" s="594" t="s">
        <v>15585</v>
      </c>
    </row>
    <row r="4765" spans="1:8" ht="30">
      <c r="D4765" s="594" t="s">
        <v>15582</v>
      </c>
    </row>
    <row r="4766" spans="1:8">
      <c r="D4766" s="594" t="s">
        <v>15583</v>
      </c>
    </row>
    <row r="4767" spans="1:8">
      <c r="D4767" s="594" t="s">
        <v>15584</v>
      </c>
    </row>
  </sheetData>
  <mergeCells count="4083">
    <mergeCell ref="D22:G22"/>
    <mergeCell ref="D23:G23"/>
    <mergeCell ref="D24:G24"/>
    <mergeCell ref="D25:G25"/>
    <mergeCell ref="D26:G26"/>
    <mergeCell ref="D27:G27"/>
    <mergeCell ref="A2:H2"/>
    <mergeCell ref="A3:H3"/>
    <mergeCell ref="A4:H4"/>
    <mergeCell ref="A7:H7"/>
    <mergeCell ref="B19:C19"/>
    <mergeCell ref="A21:B21"/>
    <mergeCell ref="A44:B44"/>
    <mergeCell ref="D45:G45"/>
    <mergeCell ref="D46:G46"/>
    <mergeCell ref="D47:G47"/>
    <mergeCell ref="D48:G48"/>
    <mergeCell ref="D49:G49"/>
    <mergeCell ref="D36:G36"/>
    <mergeCell ref="D37:G37"/>
    <mergeCell ref="D38:G38"/>
    <mergeCell ref="D39:G39"/>
    <mergeCell ref="D40:G40"/>
    <mergeCell ref="B42:C42"/>
    <mergeCell ref="D28:G28"/>
    <mergeCell ref="B30:C30"/>
    <mergeCell ref="A32:B32"/>
    <mergeCell ref="A33:B33"/>
    <mergeCell ref="D34:G34"/>
    <mergeCell ref="D35:G35"/>
    <mergeCell ref="A68:B68"/>
    <mergeCell ref="A69:B69"/>
    <mergeCell ref="A70:B70"/>
    <mergeCell ref="A71:B71"/>
    <mergeCell ref="A72:B72"/>
    <mergeCell ref="A73:B73"/>
    <mergeCell ref="D58:G58"/>
    <mergeCell ref="D59:G59"/>
    <mergeCell ref="D60:G60"/>
    <mergeCell ref="D61:G61"/>
    <mergeCell ref="D62:G62"/>
    <mergeCell ref="B66:C66"/>
    <mergeCell ref="D50:G50"/>
    <mergeCell ref="D51:G51"/>
    <mergeCell ref="B53:C53"/>
    <mergeCell ref="A55:B55"/>
    <mergeCell ref="D56:G56"/>
    <mergeCell ref="D57:G57"/>
    <mergeCell ref="D86:G86"/>
    <mergeCell ref="D87:G87"/>
    <mergeCell ref="D88:G88"/>
    <mergeCell ref="D89:G89"/>
    <mergeCell ref="D90:G90"/>
    <mergeCell ref="B92:C92"/>
    <mergeCell ref="A80:B80"/>
    <mergeCell ref="A81:B81"/>
    <mergeCell ref="A82:B82"/>
    <mergeCell ref="A83:B83"/>
    <mergeCell ref="D84:G84"/>
    <mergeCell ref="D85:G85"/>
    <mergeCell ref="A74:B74"/>
    <mergeCell ref="A75:B75"/>
    <mergeCell ref="A76:B76"/>
    <mergeCell ref="A77:B77"/>
    <mergeCell ref="A78:B78"/>
    <mergeCell ref="A79:B79"/>
    <mergeCell ref="D106:G106"/>
    <mergeCell ref="B108:C108"/>
    <mergeCell ref="A110:B110"/>
    <mergeCell ref="A111:B111"/>
    <mergeCell ref="A112:B112"/>
    <mergeCell ref="A113:B113"/>
    <mergeCell ref="D100:G100"/>
    <mergeCell ref="D101:G101"/>
    <mergeCell ref="D102:G102"/>
    <mergeCell ref="D103:G103"/>
    <mergeCell ref="D104:G104"/>
    <mergeCell ref="D105:G105"/>
    <mergeCell ref="A94:B94"/>
    <mergeCell ref="A95:B95"/>
    <mergeCell ref="A96:B96"/>
    <mergeCell ref="A97:B97"/>
    <mergeCell ref="A98:B98"/>
    <mergeCell ref="A99:B99"/>
    <mergeCell ref="A130:B130"/>
    <mergeCell ref="A131:B131"/>
    <mergeCell ref="A132:B132"/>
    <mergeCell ref="D133:G133"/>
    <mergeCell ref="D134:G134"/>
    <mergeCell ref="D135:G135"/>
    <mergeCell ref="D120:G120"/>
    <mergeCell ref="B124:C124"/>
    <mergeCell ref="A126:B126"/>
    <mergeCell ref="A127:B127"/>
    <mergeCell ref="A128:B128"/>
    <mergeCell ref="A129:B129"/>
    <mergeCell ref="D114:G114"/>
    <mergeCell ref="D115:G115"/>
    <mergeCell ref="D116:G116"/>
    <mergeCell ref="D117:G117"/>
    <mergeCell ref="D118:G118"/>
    <mergeCell ref="D119:G119"/>
    <mergeCell ref="D150:G150"/>
    <mergeCell ref="D151:G151"/>
    <mergeCell ref="D152:G152"/>
    <mergeCell ref="D153:G153"/>
    <mergeCell ref="D154:G154"/>
    <mergeCell ref="B156:C156"/>
    <mergeCell ref="A144:B144"/>
    <mergeCell ref="A145:B145"/>
    <mergeCell ref="A146:B146"/>
    <mergeCell ref="A147:B147"/>
    <mergeCell ref="D148:G148"/>
    <mergeCell ref="D149:G149"/>
    <mergeCell ref="D136:G136"/>
    <mergeCell ref="D137:G137"/>
    <mergeCell ref="D138:G138"/>
    <mergeCell ref="D139:G139"/>
    <mergeCell ref="B141:C141"/>
    <mergeCell ref="A143:B143"/>
    <mergeCell ref="B171:C171"/>
    <mergeCell ref="A173:B173"/>
    <mergeCell ref="A174:B174"/>
    <mergeCell ref="A175:B175"/>
    <mergeCell ref="A176:B176"/>
    <mergeCell ref="A177:B177"/>
    <mergeCell ref="D164:G164"/>
    <mergeCell ref="D165:G165"/>
    <mergeCell ref="D166:G166"/>
    <mergeCell ref="D167:G167"/>
    <mergeCell ref="D168:G168"/>
    <mergeCell ref="D169:G169"/>
    <mergeCell ref="A158:B158"/>
    <mergeCell ref="A159:B159"/>
    <mergeCell ref="A160:B160"/>
    <mergeCell ref="A161:B161"/>
    <mergeCell ref="A162:B162"/>
    <mergeCell ref="D163:G163"/>
    <mergeCell ref="A192:B192"/>
    <mergeCell ref="A193:B193"/>
    <mergeCell ref="A194:B194"/>
    <mergeCell ref="D195:G195"/>
    <mergeCell ref="D196:G196"/>
    <mergeCell ref="D197:G197"/>
    <mergeCell ref="D184:G184"/>
    <mergeCell ref="D185:G185"/>
    <mergeCell ref="B187:C187"/>
    <mergeCell ref="A189:B189"/>
    <mergeCell ref="A190:B190"/>
    <mergeCell ref="A191:B191"/>
    <mergeCell ref="A178:B178"/>
    <mergeCell ref="D179:G179"/>
    <mergeCell ref="D180:G180"/>
    <mergeCell ref="D181:G181"/>
    <mergeCell ref="D182:G182"/>
    <mergeCell ref="D183:G183"/>
    <mergeCell ref="D212:G212"/>
    <mergeCell ref="D213:G213"/>
    <mergeCell ref="D214:G214"/>
    <mergeCell ref="D215:G215"/>
    <mergeCell ref="D216:G216"/>
    <mergeCell ref="D217:G217"/>
    <mergeCell ref="A206:B206"/>
    <mergeCell ref="A207:B207"/>
    <mergeCell ref="A208:B208"/>
    <mergeCell ref="A209:B209"/>
    <mergeCell ref="A210:B210"/>
    <mergeCell ref="D211:G211"/>
    <mergeCell ref="D198:G198"/>
    <mergeCell ref="D199:G199"/>
    <mergeCell ref="D200:G200"/>
    <mergeCell ref="D201:G201"/>
    <mergeCell ref="B203:C203"/>
    <mergeCell ref="A205:B205"/>
    <mergeCell ref="D232:G232"/>
    <mergeCell ref="D233:G233"/>
    <mergeCell ref="B235:C235"/>
    <mergeCell ref="A237:B237"/>
    <mergeCell ref="A238:B238"/>
    <mergeCell ref="A239:B239"/>
    <mergeCell ref="A226:B226"/>
    <mergeCell ref="D227:G227"/>
    <mergeCell ref="D228:G228"/>
    <mergeCell ref="D229:G229"/>
    <mergeCell ref="D230:G230"/>
    <mergeCell ref="D231:G231"/>
    <mergeCell ref="B219:C219"/>
    <mergeCell ref="A221:B221"/>
    <mergeCell ref="A222:B222"/>
    <mergeCell ref="A223:B223"/>
    <mergeCell ref="A224:B224"/>
    <mergeCell ref="A225:B225"/>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D270:G270"/>
    <mergeCell ref="D271:G271"/>
    <mergeCell ref="D272:G272"/>
    <mergeCell ref="D273:G273"/>
    <mergeCell ref="D274:G274"/>
    <mergeCell ref="D275:G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90:B290"/>
    <mergeCell ref="A291:B291"/>
    <mergeCell ref="A292:B292"/>
    <mergeCell ref="A293:B293"/>
    <mergeCell ref="A294:B294"/>
    <mergeCell ref="A295:B295"/>
    <mergeCell ref="A284:B284"/>
    <mergeCell ref="A285:B285"/>
    <mergeCell ref="A286:B286"/>
    <mergeCell ref="A287:B287"/>
    <mergeCell ref="A288:B288"/>
    <mergeCell ref="A289:B289"/>
    <mergeCell ref="D276:G276"/>
    <mergeCell ref="B278:C278"/>
    <mergeCell ref="A280:B280"/>
    <mergeCell ref="A281:B281"/>
    <mergeCell ref="A282:B282"/>
    <mergeCell ref="A283:B283"/>
    <mergeCell ref="A308:B308"/>
    <mergeCell ref="A309:B309"/>
    <mergeCell ref="A310:B310"/>
    <mergeCell ref="A311:B311"/>
    <mergeCell ref="A312:B312"/>
    <mergeCell ref="D313:G313"/>
    <mergeCell ref="A302:B302"/>
    <mergeCell ref="A303:B303"/>
    <mergeCell ref="A304:B304"/>
    <mergeCell ref="A305:B305"/>
    <mergeCell ref="A306:B306"/>
    <mergeCell ref="A307:B307"/>
    <mergeCell ref="A296:B296"/>
    <mergeCell ref="A297:B297"/>
    <mergeCell ref="A298:B298"/>
    <mergeCell ref="A299:B299"/>
    <mergeCell ref="A300:B300"/>
    <mergeCell ref="A301:B301"/>
    <mergeCell ref="A328:B328"/>
    <mergeCell ref="A329:B329"/>
    <mergeCell ref="A330:B330"/>
    <mergeCell ref="A331:B331"/>
    <mergeCell ref="A332:B332"/>
    <mergeCell ref="D333:G333"/>
    <mergeCell ref="B321:C321"/>
    <mergeCell ref="A323:B323"/>
    <mergeCell ref="A324:B324"/>
    <mergeCell ref="A325:B325"/>
    <mergeCell ref="A326:B326"/>
    <mergeCell ref="A327:B327"/>
    <mergeCell ref="D314:G314"/>
    <mergeCell ref="D315:G315"/>
    <mergeCell ref="D316:G316"/>
    <mergeCell ref="D317:G317"/>
    <mergeCell ref="D318:G318"/>
    <mergeCell ref="D319:G319"/>
    <mergeCell ref="D348:G348"/>
    <mergeCell ref="D349:G349"/>
    <mergeCell ref="D350:G350"/>
    <mergeCell ref="D351:G351"/>
    <mergeCell ref="B353:C353"/>
    <mergeCell ref="B354:C354"/>
    <mergeCell ref="A340:H340"/>
    <mergeCell ref="B342:C342"/>
    <mergeCell ref="A344:B344"/>
    <mergeCell ref="D345:G345"/>
    <mergeCell ref="D346:G346"/>
    <mergeCell ref="D347:G347"/>
    <mergeCell ref="D334:G334"/>
    <mergeCell ref="D335:G335"/>
    <mergeCell ref="D336:G336"/>
    <mergeCell ref="D337:G337"/>
    <mergeCell ref="D338:G338"/>
    <mergeCell ref="D339:G339"/>
    <mergeCell ref="A369:B369"/>
    <mergeCell ref="D370:G370"/>
    <mergeCell ref="D371:G371"/>
    <mergeCell ref="D372:G372"/>
    <mergeCell ref="D373:G373"/>
    <mergeCell ref="D374:G374"/>
    <mergeCell ref="D361:G361"/>
    <mergeCell ref="D362:G362"/>
    <mergeCell ref="B364:C364"/>
    <mergeCell ref="A366:B366"/>
    <mergeCell ref="A367:B367"/>
    <mergeCell ref="A368:B368"/>
    <mergeCell ref="A355:C355"/>
    <mergeCell ref="D356:G356"/>
    <mergeCell ref="D357:G357"/>
    <mergeCell ref="D358:G358"/>
    <mergeCell ref="D359:G359"/>
    <mergeCell ref="D360:G360"/>
    <mergeCell ref="D389:G389"/>
    <mergeCell ref="D390:G390"/>
    <mergeCell ref="D391:G391"/>
    <mergeCell ref="D392:G392"/>
    <mergeCell ref="A393:H393"/>
    <mergeCell ref="B395:C395"/>
    <mergeCell ref="A383:B383"/>
    <mergeCell ref="A384:B384"/>
    <mergeCell ref="A385:B385"/>
    <mergeCell ref="D386:G386"/>
    <mergeCell ref="D387:G387"/>
    <mergeCell ref="D388:G388"/>
    <mergeCell ref="D375:G375"/>
    <mergeCell ref="D376:G376"/>
    <mergeCell ref="B378:C378"/>
    <mergeCell ref="A380:B380"/>
    <mergeCell ref="A381:B381"/>
    <mergeCell ref="A382:B382"/>
    <mergeCell ref="D410:G410"/>
    <mergeCell ref="D411:G411"/>
    <mergeCell ref="B413:C413"/>
    <mergeCell ref="A415:B415"/>
    <mergeCell ref="A416:B416"/>
    <mergeCell ref="A417:B417"/>
    <mergeCell ref="A404:B404"/>
    <mergeCell ref="D405:G405"/>
    <mergeCell ref="D406:G406"/>
    <mergeCell ref="D407:G407"/>
    <mergeCell ref="D408:G408"/>
    <mergeCell ref="D409:G409"/>
    <mergeCell ref="A397:B397"/>
    <mergeCell ref="A398:B398"/>
    <mergeCell ref="A399:B399"/>
    <mergeCell ref="A400:B400"/>
    <mergeCell ref="A402:B402"/>
    <mergeCell ref="A403:B403"/>
    <mergeCell ref="D434:G434"/>
    <mergeCell ref="D435:G435"/>
    <mergeCell ref="D436:G436"/>
    <mergeCell ref="D437:G437"/>
    <mergeCell ref="D438:G438"/>
    <mergeCell ref="D439:G439"/>
    <mergeCell ref="D424:G424"/>
    <mergeCell ref="B428:C428"/>
    <mergeCell ref="A430:B430"/>
    <mergeCell ref="A431:B431"/>
    <mergeCell ref="A432:B432"/>
    <mergeCell ref="A433:B433"/>
    <mergeCell ref="D418:G418"/>
    <mergeCell ref="D419:G419"/>
    <mergeCell ref="D420:G420"/>
    <mergeCell ref="D421:G421"/>
    <mergeCell ref="D422:G422"/>
    <mergeCell ref="D423:G423"/>
    <mergeCell ref="D454:G454"/>
    <mergeCell ref="D455:G455"/>
    <mergeCell ref="D456:G456"/>
    <mergeCell ref="B458:C458"/>
    <mergeCell ref="A460:B460"/>
    <mergeCell ref="A461:B461"/>
    <mergeCell ref="A448:B448"/>
    <mergeCell ref="A449:B449"/>
    <mergeCell ref="D450:G450"/>
    <mergeCell ref="D451:G451"/>
    <mergeCell ref="D452:G452"/>
    <mergeCell ref="D453:G453"/>
    <mergeCell ref="D440:G440"/>
    <mergeCell ref="B442:C442"/>
    <mergeCell ref="A444:B444"/>
    <mergeCell ref="A445:B445"/>
    <mergeCell ref="A446:B446"/>
    <mergeCell ref="A447:B447"/>
    <mergeCell ref="B475:C475"/>
    <mergeCell ref="A477:B477"/>
    <mergeCell ref="A478:B478"/>
    <mergeCell ref="A479:B479"/>
    <mergeCell ref="A480:B480"/>
    <mergeCell ref="A481:B481"/>
    <mergeCell ref="D468:G468"/>
    <mergeCell ref="D469:G469"/>
    <mergeCell ref="D470:G470"/>
    <mergeCell ref="D471:G471"/>
    <mergeCell ref="D472:G472"/>
    <mergeCell ref="D473:G473"/>
    <mergeCell ref="A462:B462"/>
    <mergeCell ref="A463:B463"/>
    <mergeCell ref="A464:B464"/>
    <mergeCell ref="A465:B465"/>
    <mergeCell ref="A466:B466"/>
    <mergeCell ref="D467:G467"/>
    <mergeCell ref="A496:B496"/>
    <mergeCell ref="A497:B497"/>
    <mergeCell ref="A498:B498"/>
    <mergeCell ref="A499:B499"/>
    <mergeCell ref="A500:B500"/>
    <mergeCell ref="A501:B501"/>
    <mergeCell ref="D488:G488"/>
    <mergeCell ref="D489:G489"/>
    <mergeCell ref="D490:G490"/>
    <mergeCell ref="B492:C492"/>
    <mergeCell ref="A494:B494"/>
    <mergeCell ref="A495:B495"/>
    <mergeCell ref="A482:B482"/>
    <mergeCell ref="A483:B483"/>
    <mergeCell ref="D484:G484"/>
    <mergeCell ref="D485:G485"/>
    <mergeCell ref="D486:G486"/>
    <mergeCell ref="D487:G487"/>
    <mergeCell ref="A516:B516"/>
    <mergeCell ref="A517:B517"/>
    <mergeCell ref="A518:B518"/>
    <mergeCell ref="A519:B519"/>
    <mergeCell ref="A520:B520"/>
    <mergeCell ref="A521:B521"/>
    <mergeCell ref="D508:G508"/>
    <mergeCell ref="D509:G509"/>
    <mergeCell ref="B511:C511"/>
    <mergeCell ref="A513:B513"/>
    <mergeCell ref="A514:B514"/>
    <mergeCell ref="A515:B515"/>
    <mergeCell ref="A502:B502"/>
    <mergeCell ref="D503:G503"/>
    <mergeCell ref="D504:G504"/>
    <mergeCell ref="D505:G505"/>
    <mergeCell ref="D506:G506"/>
    <mergeCell ref="D507:G507"/>
    <mergeCell ref="A536:B536"/>
    <mergeCell ref="A537:B537"/>
    <mergeCell ref="A538:B538"/>
    <mergeCell ref="A539:B539"/>
    <mergeCell ref="A540:B540"/>
    <mergeCell ref="A541:B541"/>
    <mergeCell ref="D528:G528"/>
    <mergeCell ref="D529:G529"/>
    <mergeCell ref="B531:C531"/>
    <mergeCell ref="A533:B533"/>
    <mergeCell ref="A534:B534"/>
    <mergeCell ref="A535:B535"/>
    <mergeCell ref="A522:B522"/>
    <mergeCell ref="D523:G523"/>
    <mergeCell ref="D524:G524"/>
    <mergeCell ref="D525:G525"/>
    <mergeCell ref="D526:G526"/>
    <mergeCell ref="D527:G527"/>
    <mergeCell ref="A556:B556"/>
    <mergeCell ref="A557:B557"/>
    <mergeCell ref="A558:B558"/>
    <mergeCell ref="A559:B559"/>
    <mergeCell ref="A560:B560"/>
    <mergeCell ref="D561:G561"/>
    <mergeCell ref="D548:G548"/>
    <mergeCell ref="B550:C550"/>
    <mergeCell ref="A552:B552"/>
    <mergeCell ref="A553:B553"/>
    <mergeCell ref="A554:B554"/>
    <mergeCell ref="A555:B555"/>
    <mergeCell ref="D542:G542"/>
    <mergeCell ref="D543:G543"/>
    <mergeCell ref="D544:G544"/>
    <mergeCell ref="D545:G545"/>
    <mergeCell ref="D546:G546"/>
    <mergeCell ref="D547:G547"/>
    <mergeCell ref="A576:B576"/>
    <mergeCell ref="A577:B577"/>
    <mergeCell ref="A578:B578"/>
    <mergeCell ref="A579:B579"/>
    <mergeCell ref="D580:G580"/>
    <mergeCell ref="D581:G581"/>
    <mergeCell ref="B569:C569"/>
    <mergeCell ref="A571:B571"/>
    <mergeCell ref="A572:B572"/>
    <mergeCell ref="A573:B573"/>
    <mergeCell ref="A574:B574"/>
    <mergeCell ref="A575:B575"/>
    <mergeCell ref="D562:G562"/>
    <mergeCell ref="D563:G563"/>
    <mergeCell ref="D564:G564"/>
    <mergeCell ref="D565:G565"/>
    <mergeCell ref="D566:G566"/>
    <mergeCell ref="D567:G567"/>
    <mergeCell ref="A596:B596"/>
    <mergeCell ref="A597:B597"/>
    <mergeCell ref="D598:G598"/>
    <mergeCell ref="D599:G599"/>
    <mergeCell ref="D600:G600"/>
    <mergeCell ref="D601:G601"/>
    <mergeCell ref="A590:B590"/>
    <mergeCell ref="A591:B591"/>
    <mergeCell ref="A592:B592"/>
    <mergeCell ref="A593:B593"/>
    <mergeCell ref="A594:B594"/>
    <mergeCell ref="A595:B595"/>
    <mergeCell ref="D582:G582"/>
    <mergeCell ref="D583:G583"/>
    <mergeCell ref="D584:G584"/>
    <mergeCell ref="D585:G585"/>
    <mergeCell ref="D586:G586"/>
    <mergeCell ref="B588:C588"/>
    <mergeCell ref="D616:G616"/>
    <mergeCell ref="D617:G617"/>
    <mergeCell ref="D618:G618"/>
    <mergeCell ref="D619:G619"/>
    <mergeCell ref="D620:G620"/>
    <mergeCell ref="D621:G621"/>
    <mergeCell ref="A610:B610"/>
    <mergeCell ref="A611:B611"/>
    <mergeCell ref="A612:B612"/>
    <mergeCell ref="A613:B613"/>
    <mergeCell ref="A614:B614"/>
    <mergeCell ref="A615:B615"/>
    <mergeCell ref="D602:G602"/>
    <mergeCell ref="D603:G603"/>
    <mergeCell ref="D604:G604"/>
    <mergeCell ref="B606:C606"/>
    <mergeCell ref="A608:B608"/>
    <mergeCell ref="A609:B609"/>
    <mergeCell ref="D636:G636"/>
    <mergeCell ref="D637:G637"/>
    <mergeCell ref="D638:G638"/>
    <mergeCell ref="B640:C640"/>
    <mergeCell ref="A642:B642"/>
    <mergeCell ref="A643:B643"/>
    <mergeCell ref="A630:B630"/>
    <mergeCell ref="A631:B631"/>
    <mergeCell ref="D632:G632"/>
    <mergeCell ref="D633:G633"/>
    <mergeCell ref="D634:G634"/>
    <mergeCell ref="D635:G635"/>
    <mergeCell ref="D622:G622"/>
    <mergeCell ref="B624:C624"/>
    <mergeCell ref="A626:B626"/>
    <mergeCell ref="A627:B627"/>
    <mergeCell ref="A628:B628"/>
    <mergeCell ref="A629:B629"/>
    <mergeCell ref="A658:B658"/>
    <mergeCell ref="A659:B659"/>
    <mergeCell ref="A660:B660"/>
    <mergeCell ref="A661:B661"/>
    <mergeCell ref="A662:B662"/>
    <mergeCell ref="A663:B663"/>
    <mergeCell ref="D650:G650"/>
    <mergeCell ref="D651:G651"/>
    <mergeCell ref="D652:G652"/>
    <mergeCell ref="D653:G653"/>
    <mergeCell ref="D654:G654"/>
    <mergeCell ref="B656:C656"/>
    <mergeCell ref="A644:B644"/>
    <mergeCell ref="A645:B645"/>
    <mergeCell ref="A646:B646"/>
    <mergeCell ref="A647:B647"/>
    <mergeCell ref="D648:G648"/>
    <mergeCell ref="D649:G649"/>
    <mergeCell ref="A678:B678"/>
    <mergeCell ref="A679:B679"/>
    <mergeCell ref="D680:G680"/>
    <mergeCell ref="D681:G681"/>
    <mergeCell ref="D682:G682"/>
    <mergeCell ref="D683:G683"/>
    <mergeCell ref="D670:G670"/>
    <mergeCell ref="B672:C672"/>
    <mergeCell ref="A674:B674"/>
    <mergeCell ref="A675:B675"/>
    <mergeCell ref="A676:B676"/>
    <mergeCell ref="A677:B677"/>
    <mergeCell ref="D664:G664"/>
    <mergeCell ref="D665:G665"/>
    <mergeCell ref="D666:G666"/>
    <mergeCell ref="D667:G667"/>
    <mergeCell ref="D668:G668"/>
    <mergeCell ref="D669:G669"/>
    <mergeCell ref="A698:B698"/>
    <mergeCell ref="D699:G699"/>
    <mergeCell ref="D700:G700"/>
    <mergeCell ref="D701:G701"/>
    <mergeCell ref="D702:G702"/>
    <mergeCell ref="D703:G703"/>
    <mergeCell ref="A692:B692"/>
    <mergeCell ref="A693:B693"/>
    <mergeCell ref="A694:B694"/>
    <mergeCell ref="A695:B695"/>
    <mergeCell ref="A696:B696"/>
    <mergeCell ref="A697:B697"/>
    <mergeCell ref="D684:G684"/>
    <mergeCell ref="D685:G685"/>
    <mergeCell ref="D686:G686"/>
    <mergeCell ref="B688:C688"/>
    <mergeCell ref="A690:B690"/>
    <mergeCell ref="A691:B691"/>
    <mergeCell ref="D718:G718"/>
    <mergeCell ref="D719:G719"/>
    <mergeCell ref="D720:G720"/>
    <mergeCell ref="D721:G721"/>
    <mergeCell ref="D722:G722"/>
    <mergeCell ref="D723:G723"/>
    <mergeCell ref="A712:B712"/>
    <mergeCell ref="A713:B713"/>
    <mergeCell ref="A714:B714"/>
    <mergeCell ref="A715:B715"/>
    <mergeCell ref="A716:B716"/>
    <mergeCell ref="A717:B717"/>
    <mergeCell ref="D704:G704"/>
    <mergeCell ref="D705:G705"/>
    <mergeCell ref="B707:C707"/>
    <mergeCell ref="A709:B709"/>
    <mergeCell ref="A710:B710"/>
    <mergeCell ref="A711:B711"/>
    <mergeCell ref="D738:G738"/>
    <mergeCell ref="D739:G739"/>
    <mergeCell ref="D740:G740"/>
    <mergeCell ref="D741:G741"/>
    <mergeCell ref="D742:G742"/>
    <mergeCell ref="D743:G743"/>
    <mergeCell ref="A732:B732"/>
    <mergeCell ref="A733:B733"/>
    <mergeCell ref="A734:B734"/>
    <mergeCell ref="A735:B735"/>
    <mergeCell ref="A736:B736"/>
    <mergeCell ref="D737:G737"/>
    <mergeCell ref="D724:G724"/>
    <mergeCell ref="B726:C726"/>
    <mergeCell ref="A728:B728"/>
    <mergeCell ref="A729:B729"/>
    <mergeCell ref="A730:B730"/>
    <mergeCell ref="A731:B731"/>
    <mergeCell ref="D758:G758"/>
    <mergeCell ref="D759:G759"/>
    <mergeCell ref="D760:G760"/>
    <mergeCell ref="D761:G761"/>
    <mergeCell ref="D762:G762"/>
    <mergeCell ref="B764:C764"/>
    <mergeCell ref="A752:B752"/>
    <mergeCell ref="A753:B753"/>
    <mergeCell ref="A754:B754"/>
    <mergeCell ref="A755:B755"/>
    <mergeCell ref="D756:G756"/>
    <mergeCell ref="D757:G757"/>
    <mergeCell ref="B745:C745"/>
    <mergeCell ref="A747:B747"/>
    <mergeCell ref="A748:B748"/>
    <mergeCell ref="A749:B749"/>
    <mergeCell ref="A750:B750"/>
    <mergeCell ref="A751:B751"/>
    <mergeCell ref="A780:B780"/>
    <mergeCell ref="A781:B781"/>
    <mergeCell ref="A782:B782"/>
    <mergeCell ref="A783:B783"/>
    <mergeCell ref="A784:B784"/>
    <mergeCell ref="A785:B785"/>
    <mergeCell ref="D772:G772"/>
    <mergeCell ref="D773:G773"/>
    <mergeCell ref="D774:G774"/>
    <mergeCell ref="D775:G775"/>
    <mergeCell ref="B777:C777"/>
    <mergeCell ref="A779:B779"/>
    <mergeCell ref="A766:B766"/>
    <mergeCell ref="A767:B767"/>
    <mergeCell ref="A768:B768"/>
    <mergeCell ref="D769:G769"/>
    <mergeCell ref="D770:G770"/>
    <mergeCell ref="D771:G771"/>
    <mergeCell ref="A800:B800"/>
    <mergeCell ref="A801:B801"/>
    <mergeCell ref="A802:B802"/>
    <mergeCell ref="A803:B803"/>
    <mergeCell ref="D804:G804"/>
    <mergeCell ref="D805:G805"/>
    <mergeCell ref="D792:G792"/>
    <mergeCell ref="B794:C794"/>
    <mergeCell ref="A796:B796"/>
    <mergeCell ref="A797:B797"/>
    <mergeCell ref="A798:B798"/>
    <mergeCell ref="A799:B799"/>
    <mergeCell ref="D786:G786"/>
    <mergeCell ref="D787:G787"/>
    <mergeCell ref="D788:G788"/>
    <mergeCell ref="D789:G789"/>
    <mergeCell ref="D790:G790"/>
    <mergeCell ref="D791:G791"/>
    <mergeCell ref="A820:B820"/>
    <mergeCell ref="D821:G821"/>
    <mergeCell ref="D822:G822"/>
    <mergeCell ref="D823:G823"/>
    <mergeCell ref="D824:G824"/>
    <mergeCell ref="D825:G825"/>
    <mergeCell ref="A814:B814"/>
    <mergeCell ref="A815:B815"/>
    <mergeCell ref="A816:B816"/>
    <mergeCell ref="A817:B817"/>
    <mergeCell ref="A818:B818"/>
    <mergeCell ref="A819:B819"/>
    <mergeCell ref="D806:G806"/>
    <mergeCell ref="D807:G807"/>
    <mergeCell ref="D808:G808"/>
    <mergeCell ref="D809:G809"/>
    <mergeCell ref="D810:G810"/>
    <mergeCell ref="B812:C812"/>
    <mergeCell ref="D840:G840"/>
    <mergeCell ref="D841:G841"/>
    <mergeCell ref="D842:G842"/>
    <mergeCell ref="D843:G843"/>
    <mergeCell ref="B845:C845"/>
    <mergeCell ref="A847:B847"/>
    <mergeCell ref="A834:B834"/>
    <mergeCell ref="A835:B835"/>
    <mergeCell ref="A836:B836"/>
    <mergeCell ref="D837:G837"/>
    <mergeCell ref="D838:G838"/>
    <mergeCell ref="D839:G839"/>
    <mergeCell ref="D826:G826"/>
    <mergeCell ref="D827:G827"/>
    <mergeCell ref="B829:C829"/>
    <mergeCell ref="A831:B831"/>
    <mergeCell ref="A832:C832"/>
    <mergeCell ref="A833:B833"/>
    <mergeCell ref="D860:G860"/>
    <mergeCell ref="B862:C862"/>
    <mergeCell ref="A864:B864"/>
    <mergeCell ref="A865:B865"/>
    <mergeCell ref="A866:B866"/>
    <mergeCell ref="A867:B867"/>
    <mergeCell ref="D854:G854"/>
    <mergeCell ref="D855:G855"/>
    <mergeCell ref="D856:G856"/>
    <mergeCell ref="D857:G857"/>
    <mergeCell ref="D858:G858"/>
    <mergeCell ref="D859:G859"/>
    <mergeCell ref="A848:B848"/>
    <mergeCell ref="A849:B849"/>
    <mergeCell ref="A850:B850"/>
    <mergeCell ref="A851:B851"/>
    <mergeCell ref="A852:B852"/>
    <mergeCell ref="A853:B853"/>
    <mergeCell ref="A882:B882"/>
    <mergeCell ref="A883:B883"/>
    <mergeCell ref="D884:G884"/>
    <mergeCell ref="D885:G885"/>
    <mergeCell ref="D886:G886"/>
    <mergeCell ref="D887:G887"/>
    <mergeCell ref="D874:G874"/>
    <mergeCell ref="B876:C876"/>
    <mergeCell ref="A878:B878"/>
    <mergeCell ref="A879:B879"/>
    <mergeCell ref="A880:B880"/>
    <mergeCell ref="A881:B881"/>
    <mergeCell ref="D868:G868"/>
    <mergeCell ref="D869:G869"/>
    <mergeCell ref="D870:G870"/>
    <mergeCell ref="D871:G871"/>
    <mergeCell ref="D872:G872"/>
    <mergeCell ref="D873:G873"/>
    <mergeCell ref="D902:G902"/>
    <mergeCell ref="D903:G903"/>
    <mergeCell ref="D904:G904"/>
    <mergeCell ref="D905:G905"/>
    <mergeCell ref="B907:C907"/>
    <mergeCell ref="A909:B909"/>
    <mergeCell ref="A896:B896"/>
    <mergeCell ref="A897:B897"/>
    <mergeCell ref="A898:B898"/>
    <mergeCell ref="D899:G899"/>
    <mergeCell ref="D900:G900"/>
    <mergeCell ref="D901:G901"/>
    <mergeCell ref="D888:G888"/>
    <mergeCell ref="D889:G889"/>
    <mergeCell ref="D890:G890"/>
    <mergeCell ref="B892:C892"/>
    <mergeCell ref="A894:B894"/>
    <mergeCell ref="A895:B895"/>
    <mergeCell ref="A924:B924"/>
    <mergeCell ref="A925:B925"/>
    <mergeCell ref="A926:B926"/>
    <mergeCell ref="A927:B927"/>
    <mergeCell ref="D928:G928"/>
    <mergeCell ref="D929:G929"/>
    <mergeCell ref="D916:G916"/>
    <mergeCell ref="D917:G917"/>
    <mergeCell ref="D918:G918"/>
    <mergeCell ref="B920:C920"/>
    <mergeCell ref="A922:B922"/>
    <mergeCell ref="A923:B923"/>
    <mergeCell ref="A910:B910"/>
    <mergeCell ref="A911:B911"/>
    <mergeCell ref="D912:G912"/>
    <mergeCell ref="D913:G913"/>
    <mergeCell ref="D914:G914"/>
    <mergeCell ref="D915:G915"/>
    <mergeCell ref="D944:G944"/>
    <mergeCell ref="D945:G945"/>
    <mergeCell ref="D946:G946"/>
    <mergeCell ref="D947:G947"/>
    <mergeCell ref="B949:C949"/>
    <mergeCell ref="A951:B951"/>
    <mergeCell ref="A938:B938"/>
    <mergeCell ref="A939:B939"/>
    <mergeCell ref="A940:B940"/>
    <mergeCell ref="D941:G941"/>
    <mergeCell ref="D942:G942"/>
    <mergeCell ref="D943:G943"/>
    <mergeCell ref="D930:G930"/>
    <mergeCell ref="D931:G931"/>
    <mergeCell ref="D932:G932"/>
    <mergeCell ref="D933:G933"/>
    <mergeCell ref="D934:G934"/>
    <mergeCell ref="B936:C936"/>
    <mergeCell ref="D964:G964"/>
    <mergeCell ref="D965:G965"/>
    <mergeCell ref="D966:G966"/>
    <mergeCell ref="B968:C968"/>
    <mergeCell ref="A970:B970"/>
    <mergeCell ref="A971:B971"/>
    <mergeCell ref="A958:B958"/>
    <mergeCell ref="A959:B959"/>
    <mergeCell ref="D960:G960"/>
    <mergeCell ref="D961:G961"/>
    <mergeCell ref="D962:G962"/>
    <mergeCell ref="D963:G963"/>
    <mergeCell ref="A952:B952"/>
    <mergeCell ref="A953:B953"/>
    <mergeCell ref="A954:B954"/>
    <mergeCell ref="A955:B955"/>
    <mergeCell ref="A956:B956"/>
    <mergeCell ref="A957:B957"/>
    <mergeCell ref="D986:G986"/>
    <mergeCell ref="D987:G987"/>
    <mergeCell ref="D988:G988"/>
    <mergeCell ref="D989:G989"/>
    <mergeCell ref="D990:G990"/>
    <mergeCell ref="D991:G991"/>
    <mergeCell ref="D978:G978"/>
    <mergeCell ref="D979:G979"/>
    <mergeCell ref="B981:C981"/>
    <mergeCell ref="A983:B983"/>
    <mergeCell ref="A984:B984"/>
    <mergeCell ref="A985:B985"/>
    <mergeCell ref="A972:B972"/>
    <mergeCell ref="D973:G973"/>
    <mergeCell ref="D974:G974"/>
    <mergeCell ref="D975:G975"/>
    <mergeCell ref="D976:G976"/>
    <mergeCell ref="D977:G977"/>
    <mergeCell ref="D1006:G1006"/>
    <mergeCell ref="D1007:G1007"/>
    <mergeCell ref="B1009:C1009"/>
    <mergeCell ref="A1011:B1011"/>
    <mergeCell ref="A1012:B1012"/>
    <mergeCell ref="A1013:B1013"/>
    <mergeCell ref="A1000:B1000"/>
    <mergeCell ref="D1001:G1001"/>
    <mergeCell ref="D1002:G1002"/>
    <mergeCell ref="D1003:G1003"/>
    <mergeCell ref="D1004:G1004"/>
    <mergeCell ref="D1005:G1005"/>
    <mergeCell ref="D992:G992"/>
    <mergeCell ref="B994:C994"/>
    <mergeCell ref="A996:B996"/>
    <mergeCell ref="A997:B997"/>
    <mergeCell ref="A998:B998"/>
    <mergeCell ref="A999:B999"/>
    <mergeCell ref="D1028:G1028"/>
    <mergeCell ref="D1029:G1029"/>
    <mergeCell ref="D1030:G1030"/>
    <mergeCell ref="D1031:G1031"/>
    <mergeCell ref="D1032:G1032"/>
    <mergeCell ref="D1033:G1033"/>
    <mergeCell ref="D1020:G1020"/>
    <mergeCell ref="D1021:G1021"/>
    <mergeCell ref="D1022:G1022"/>
    <mergeCell ref="B1024:C1024"/>
    <mergeCell ref="A1026:B1026"/>
    <mergeCell ref="D1027:G1027"/>
    <mergeCell ref="A1014:B1014"/>
    <mergeCell ref="A1015:B1015"/>
    <mergeCell ref="D1016:G1016"/>
    <mergeCell ref="D1017:G1017"/>
    <mergeCell ref="D1018:G1018"/>
    <mergeCell ref="D1019:G1019"/>
    <mergeCell ref="D1048:G1048"/>
    <mergeCell ref="D1049:G1049"/>
    <mergeCell ref="D1050:G1050"/>
    <mergeCell ref="D1051:G1051"/>
    <mergeCell ref="B1053:C1053"/>
    <mergeCell ref="A1055:B1055"/>
    <mergeCell ref="A1042:B1042"/>
    <mergeCell ref="A1043:B1043"/>
    <mergeCell ref="A1044:B1044"/>
    <mergeCell ref="D1045:G1045"/>
    <mergeCell ref="D1046:G1046"/>
    <mergeCell ref="D1047:G1047"/>
    <mergeCell ref="B1035:C1035"/>
    <mergeCell ref="A1037:B1037"/>
    <mergeCell ref="A1038:B1038"/>
    <mergeCell ref="A1039:B1039"/>
    <mergeCell ref="A1040:B1040"/>
    <mergeCell ref="A1041:B1041"/>
    <mergeCell ref="D1068:G1068"/>
    <mergeCell ref="D1069:G1069"/>
    <mergeCell ref="D1070:G1070"/>
    <mergeCell ref="B1072:C1072"/>
    <mergeCell ref="A1074:B1074"/>
    <mergeCell ref="A1075:B1075"/>
    <mergeCell ref="A1062:B1062"/>
    <mergeCell ref="A1063:B1063"/>
    <mergeCell ref="D1064:G1064"/>
    <mergeCell ref="D1065:G1065"/>
    <mergeCell ref="D1066:G1066"/>
    <mergeCell ref="D1067:G1067"/>
    <mergeCell ref="A1056:B1056"/>
    <mergeCell ref="A1057:B1057"/>
    <mergeCell ref="A1058:B1058"/>
    <mergeCell ref="A1059:B1059"/>
    <mergeCell ref="A1060:B1060"/>
    <mergeCell ref="A1061:B1061"/>
    <mergeCell ref="D1088:G1088"/>
    <mergeCell ref="D1089:G1089"/>
    <mergeCell ref="B1091:C1091"/>
    <mergeCell ref="A1093:B1093"/>
    <mergeCell ref="A1094:B1094"/>
    <mergeCell ref="A1095:B1095"/>
    <mergeCell ref="A1082:B1082"/>
    <mergeCell ref="D1083:G1083"/>
    <mergeCell ref="D1084:G1084"/>
    <mergeCell ref="D1085:G1085"/>
    <mergeCell ref="D1086:G1086"/>
    <mergeCell ref="D1087:G1087"/>
    <mergeCell ref="A1076:B1076"/>
    <mergeCell ref="A1077:B1077"/>
    <mergeCell ref="A1078:B1078"/>
    <mergeCell ref="A1079:B1079"/>
    <mergeCell ref="A1080:B1080"/>
    <mergeCell ref="A1081:B1081"/>
    <mergeCell ref="D1108:G1108"/>
    <mergeCell ref="B1110:C1110"/>
    <mergeCell ref="A1112:B1112"/>
    <mergeCell ref="D1113:G1113"/>
    <mergeCell ref="D1114:G1114"/>
    <mergeCell ref="D1115:G1115"/>
    <mergeCell ref="D1102:G1102"/>
    <mergeCell ref="D1103:G1103"/>
    <mergeCell ref="D1104:G1104"/>
    <mergeCell ref="D1105:G1105"/>
    <mergeCell ref="D1106:G1106"/>
    <mergeCell ref="D1107:G1107"/>
    <mergeCell ref="A1096:B1096"/>
    <mergeCell ref="A1097:B1097"/>
    <mergeCell ref="A1098:B1098"/>
    <mergeCell ref="A1099:B1099"/>
    <mergeCell ref="A1100:B1100"/>
    <mergeCell ref="A1101:B1101"/>
    <mergeCell ref="D1130:G1130"/>
    <mergeCell ref="D1131:G1131"/>
    <mergeCell ref="D1132:G1132"/>
    <mergeCell ref="D1133:G1133"/>
    <mergeCell ref="D1134:G1134"/>
    <mergeCell ref="B1136:C1136"/>
    <mergeCell ref="A1124:B1124"/>
    <mergeCell ref="A1125:B1125"/>
    <mergeCell ref="A1126:B1126"/>
    <mergeCell ref="A1127:B1127"/>
    <mergeCell ref="D1128:G1128"/>
    <mergeCell ref="D1129:G1129"/>
    <mergeCell ref="D1116:G1116"/>
    <mergeCell ref="D1117:G1117"/>
    <mergeCell ref="D1118:G1118"/>
    <mergeCell ref="D1119:G1119"/>
    <mergeCell ref="B1121:C1121"/>
    <mergeCell ref="A1123:B1123"/>
    <mergeCell ref="A1152:B1152"/>
    <mergeCell ref="A1153:B1153"/>
    <mergeCell ref="A1154:B1154"/>
    <mergeCell ref="A1155:B1155"/>
    <mergeCell ref="A1156:B1156"/>
    <mergeCell ref="D1157:G1157"/>
    <mergeCell ref="D1144:G1144"/>
    <mergeCell ref="D1145:G1145"/>
    <mergeCell ref="D1146:G1146"/>
    <mergeCell ref="D1147:G1147"/>
    <mergeCell ref="B1149:C1149"/>
    <mergeCell ref="A1151:B1151"/>
    <mergeCell ref="A1138:B1138"/>
    <mergeCell ref="A1139:B1139"/>
    <mergeCell ref="A1140:B1140"/>
    <mergeCell ref="D1141:G1141"/>
    <mergeCell ref="D1142:G1142"/>
    <mergeCell ref="D1143:G1143"/>
    <mergeCell ref="D1172:G1172"/>
    <mergeCell ref="D1173:G1173"/>
    <mergeCell ref="D1174:G1174"/>
    <mergeCell ref="D1175:G1175"/>
    <mergeCell ref="D1176:G1176"/>
    <mergeCell ref="D1177:G1177"/>
    <mergeCell ref="B1165:C1165"/>
    <mergeCell ref="A1167:B1167"/>
    <mergeCell ref="A1168:B1168"/>
    <mergeCell ref="A1169:B1169"/>
    <mergeCell ref="A1170:B1170"/>
    <mergeCell ref="D1171:G1171"/>
    <mergeCell ref="D1158:G1158"/>
    <mergeCell ref="D1159:G1159"/>
    <mergeCell ref="D1160:G1160"/>
    <mergeCell ref="D1161:G1161"/>
    <mergeCell ref="D1162:G1162"/>
    <mergeCell ref="D1163:G1163"/>
    <mergeCell ref="A1194:B1194"/>
    <mergeCell ref="A1195:B1195"/>
    <mergeCell ref="D1196:G1196"/>
    <mergeCell ref="D1197:G1197"/>
    <mergeCell ref="D1198:G1198"/>
    <mergeCell ref="D1199:G1199"/>
    <mergeCell ref="D1186:G1186"/>
    <mergeCell ref="D1187:G1187"/>
    <mergeCell ref="D1188:G1188"/>
    <mergeCell ref="D1189:G1189"/>
    <mergeCell ref="D1190:G1190"/>
    <mergeCell ref="B1192:C1192"/>
    <mergeCell ref="B1179:C1179"/>
    <mergeCell ref="A1181:B1181"/>
    <mergeCell ref="A1182:B1182"/>
    <mergeCell ref="A1183:B1183"/>
    <mergeCell ref="D1184:G1184"/>
    <mergeCell ref="D1185:G1185"/>
    <mergeCell ref="D1214:G1214"/>
    <mergeCell ref="B1216:C1216"/>
    <mergeCell ref="A1218:B1218"/>
    <mergeCell ref="A1219:B1219"/>
    <mergeCell ref="D1220:G1220"/>
    <mergeCell ref="D1221:G1221"/>
    <mergeCell ref="D1208:G1208"/>
    <mergeCell ref="D1209:G1209"/>
    <mergeCell ref="D1210:G1210"/>
    <mergeCell ref="D1211:G1211"/>
    <mergeCell ref="D1212:G1212"/>
    <mergeCell ref="D1213:G1213"/>
    <mergeCell ref="D1200:G1200"/>
    <mergeCell ref="D1201:G1201"/>
    <mergeCell ref="D1202:G1202"/>
    <mergeCell ref="B1204:C1204"/>
    <mergeCell ref="A1206:B1206"/>
    <mergeCell ref="A1207:B1207"/>
    <mergeCell ref="D1236:G1236"/>
    <mergeCell ref="D1237:G1237"/>
    <mergeCell ref="D1238:G1238"/>
    <mergeCell ref="B1240:C1240"/>
    <mergeCell ref="A1242:B1242"/>
    <mergeCell ref="A1243:B1243"/>
    <mergeCell ref="A1230:B1230"/>
    <mergeCell ref="A1231:B1231"/>
    <mergeCell ref="D1232:G1232"/>
    <mergeCell ref="D1233:G1233"/>
    <mergeCell ref="D1234:G1234"/>
    <mergeCell ref="D1235:G1235"/>
    <mergeCell ref="D1222:G1222"/>
    <mergeCell ref="D1223:G1223"/>
    <mergeCell ref="D1224:G1224"/>
    <mergeCell ref="D1225:G1225"/>
    <mergeCell ref="D1226:G1226"/>
    <mergeCell ref="B1228:C1228"/>
    <mergeCell ref="D1258:G1258"/>
    <mergeCell ref="D1259:G1259"/>
    <mergeCell ref="D1260:G1260"/>
    <mergeCell ref="D1261:G1261"/>
    <mergeCell ref="D1262:G1262"/>
    <mergeCell ref="B1264:C1264"/>
    <mergeCell ref="D1250:G1250"/>
    <mergeCell ref="B1252:C1252"/>
    <mergeCell ref="A1254:B1254"/>
    <mergeCell ref="A1255:B1255"/>
    <mergeCell ref="D1256:G1256"/>
    <mergeCell ref="D1257:G1257"/>
    <mergeCell ref="D1244:G1244"/>
    <mergeCell ref="D1245:G1245"/>
    <mergeCell ref="D1246:G1246"/>
    <mergeCell ref="D1247:G1247"/>
    <mergeCell ref="D1248:G1248"/>
    <mergeCell ref="D1249:G1249"/>
    <mergeCell ref="A1280:B1280"/>
    <mergeCell ref="A1281:B1281"/>
    <mergeCell ref="A1282:B1282"/>
    <mergeCell ref="A1283:B1283"/>
    <mergeCell ref="A1284:B1284"/>
    <mergeCell ref="A1285:B1285"/>
    <mergeCell ref="D1272:G1272"/>
    <mergeCell ref="D1273:G1273"/>
    <mergeCell ref="B1275:C1275"/>
    <mergeCell ref="A1277:B1277"/>
    <mergeCell ref="A1278:B1278"/>
    <mergeCell ref="A1279:B1279"/>
    <mergeCell ref="A1266:B1266"/>
    <mergeCell ref="D1267:G1267"/>
    <mergeCell ref="D1268:G1268"/>
    <mergeCell ref="D1269:G1269"/>
    <mergeCell ref="D1270:G1270"/>
    <mergeCell ref="D1271:G1271"/>
    <mergeCell ref="A1300:B1300"/>
    <mergeCell ref="A1301:B1301"/>
    <mergeCell ref="A1302:B1302"/>
    <mergeCell ref="A1303:B1303"/>
    <mergeCell ref="A1304:B1304"/>
    <mergeCell ref="D1305:G1305"/>
    <mergeCell ref="D1292:G1292"/>
    <mergeCell ref="B1294:C1294"/>
    <mergeCell ref="A1296:B1296"/>
    <mergeCell ref="A1297:B1297"/>
    <mergeCell ref="A1298:B1298"/>
    <mergeCell ref="A1299:B1299"/>
    <mergeCell ref="D1286:G1286"/>
    <mergeCell ref="D1287:G1287"/>
    <mergeCell ref="D1288:G1288"/>
    <mergeCell ref="D1289:G1289"/>
    <mergeCell ref="D1290:G1290"/>
    <mergeCell ref="D1291:G1291"/>
    <mergeCell ref="A1320:B1320"/>
    <mergeCell ref="A1321:B1321"/>
    <mergeCell ref="A1322:B1322"/>
    <mergeCell ref="D1323:G1323"/>
    <mergeCell ref="D1324:G1324"/>
    <mergeCell ref="D1325:G1325"/>
    <mergeCell ref="B1313:C1313"/>
    <mergeCell ref="A1315:B1315"/>
    <mergeCell ref="A1316:B1316"/>
    <mergeCell ref="A1317:B1317"/>
    <mergeCell ref="A1318:B1318"/>
    <mergeCell ref="A1319:B1319"/>
    <mergeCell ref="D1306:G1306"/>
    <mergeCell ref="D1307:G1307"/>
    <mergeCell ref="D1308:G1308"/>
    <mergeCell ref="D1309:G1309"/>
    <mergeCell ref="D1310:G1310"/>
    <mergeCell ref="D1311:G1311"/>
    <mergeCell ref="D1340:G1340"/>
    <mergeCell ref="D1341:G1341"/>
    <mergeCell ref="D1342:G1342"/>
    <mergeCell ref="D1343:G1343"/>
    <mergeCell ref="D1344:G1344"/>
    <mergeCell ref="B1346:C1346"/>
    <mergeCell ref="A1334:B1334"/>
    <mergeCell ref="A1335:B1335"/>
    <mergeCell ref="A1336:B1336"/>
    <mergeCell ref="A1337:B1337"/>
    <mergeCell ref="D1338:G1338"/>
    <mergeCell ref="D1339:G1339"/>
    <mergeCell ref="D1326:G1326"/>
    <mergeCell ref="D1327:G1327"/>
    <mergeCell ref="D1328:G1328"/>
    <mergeCell ref="D1329:G1329"/>
    <mergeCell ref="B1331:C1331"/>
    <mergeCell ref="A1333:B1333"/>
    <mergeCell ref="D1360:G1360"/>
    <mergeCell ref="B1362:C1362"/>
    <mergeCell ref="A1364:B1364"/>
    <mergeCell ref="A1365:B1365"/>
    <mergeCell ref="A1366:B1366"/>
    <mergeCell ref="D1367:G1367"/>
    <mergeCell ref="D1354:G1354"/>
    <mergeCell ref="D1355:G1355"/>
    <mergeCell ref="D1356:G1356"/>
    <mergeCell ref="D1357:G1357"/>
    <mergeCell ref="D1358:G1358"/>
    <mergeCell ref="D1359:G1359"/>
    <mergeCell ref="A1348:B1348"/>
    <mergeCell ref="A1349:D1349"/>
    <mergeCell ref="A1350:B1350"/>
    <mergeCell ref="A1351:B1351"/>
    <mergeCell ref="A1352:B1352"/>
    <mergeCell ref="A1353:B1353"/>
    <mergeCell ref="D1382:G1382"/>
    <mergeCell ref="D1383:G1383"/>
    <mergeCell ref="D1384:G1384"/>
    <mergeCell ref="D1385:G1385"/>
    <mergeCell ref="D1386:G1386"/>
    <mergeCell ref="D1387:G1387"/>
    <mergeCell ref="B1375:C1375"/>
    <mergeCell ref="A1377:B1377"/>
    <mergeCell ref="A1378:D1378"/>
    <mergeCell ref="A1379:B1379"/>
    <mergeCell ref="A1380:B1380"/>
    <mergeCell ref="D1381:G1381"/>
    <mergeCell ref="D1368:G1368"/>
    <mergeCell ref="D1369:G1369"/>
    <mergeCell ref="D1370:G1370"/>
    <mergeCell ref="D1371:G1371"/>
    <mergeCell ref="D1372:G1372"/>
    <mergeCell ref="D1373:G1373"/>
    <mergeCell ref="D1402:G1402"/>
    <mergeCell ref="D1403:G1403"/>
    <mergeCell ref="B1405:C1405"/>
    <mergeCell ref="A1407:B1407"/>
    <mergeCell ref="A1408:B1408"/>
    <mergeCell ref="A1409:B1409"/>
    <mergeCell ref="A1396:B1396"/>
    <mergeCell ref="D1397:G1397"/>
    <mergeCell ref="D1398:G1398"/>
    <mergeCell ref="D1399:G1399"/>
    <mergeCell ref="D1400:G1400"/>
    <mergeCell ref="D1401:G1401"/>
    <mergeCell ref="B1389:C1389"/>
    <mergeCell ref="A1391:B1391"/>
    <mergeCell ref="A1392:B1392"/>
    <mergeCell ref="A1393:B1393"/>
    <mergeCell ref="A1394:B1394"/>
    <mergeCell ref="A1395:B1395"/>
    <mergeCell ref="A1424:B1424"/>
    <mergeCell ref="A1425:B1425"/>
    <mergeCell ref="A1426:B1426"/>
    <mergeCell ref="A1427:B1427"/>
    <mergeCell ref="A1428:B1428"/>
    <mergeCell ref="D1429:G1429"/>
    <mergeCell ref="D1416:G1416"/>
    <mergeCell ref="D1417:G1417"/>
    <mergeCell ref="D1418:G1418"/>
    <mergeCell ref="D1419:G1419"/>
    <mergeCell ref="B1421:C1421"/>
    <mergeCell ref="A1423:B1423"/>
    <mergeCell ref="A1410:B1410"/>
    <mergeCell ref="A1411:B1411"/>
    <mergeCell ref="A1412:B1412"/>
    <mergeCell ref="D1413:G1413"/>
    <mergeCell ref="D1414:G1414"/>
    <mergeCell ref="D1415:G1415"/>
    <mergeCell ref="A1444:B1444"/>
    <mergeCell ref="D1445:G1445"/>
    <mergeCell ref="D1446:G1446"/>
    <mergeCell ref="D1447:G1447"/>
    <mergeCell ref="D1448:G1448"/>
    <mergeCell ref="D1449:G1449"/>
    <mergeCell ref="B1437:C1437"/>
    <mergeCell ref="A1439:B1439"/>
    <mergeCell ref="A1440:B1440"/>
    <mergeCell ref="A1441:B1441"/>
    <mergeCell ref="A1442:B1442"/>
    <mergeCell ref="A1443:B1443"/>
    <mergeCell ref="D1430:G1430"/>
    <mergeCell ref="D1431:G1431"/>
    <mergeCell ref="D1432:G1432"/>
    <mergeCell ref="D1433:G1433"/>
    <mergeCell ref="D1434:G1434"/>
    <mergeCell ref="D1435:G1435"/>
    <mergeCell ref="D1464:G1464"/>
    <mergeCell ref="D1465:G1465"/>
    <mergeCell ref="D1466:G1466"/>
    <mergeCell ref="D1467:G1467"/>
    <mergeCell ref="B1469:C1469"/>
    <mergeCell ref="A1471:B1471"/>
    <mergeCell ref="A1458:B1458"/>
    <mergeCell ref="A1459:B1459"/>
    <mergeCell ref="A1460:B1460"/>
    <mergeCell ref="D1461:G1461"/>
    <mergeCell ref="D1462:G1462"/>
    <mergeCell ref="D1463:G1463"/>
    <mergeCell ref="D1450:G1450"/>
    <mergeCell ref="D1451:G1451"/>
    <mergeCell ref="B1453:C1453"/>
    <mergeCell ref="A1455:B1455"/>
    <mergeCell ref="A1456:B1456"/>
    <mergeCell ref="A1457:B1457"/>
    <mergeCell ref="B1485:C1485"/>
    <mergeCell ref="A1487:B1487"/>
    <mergeCell ref="A1488:B1488"/>
    <mergeCell ref="A1489:B1489"/>
    <mergeCell ref="A1490:B1490"/>
    <mergeCell ref="A1491:B1491"/>
    <mergeCell ref="D1478:G1478"/>
    <mergeCell ref="D1479:G1479"/>
    <mergeCell ref="D1480:G1480"/>
    <mergeCell ref="D1481:G1481"/>
    <mergeCell ref="D1482:G1482"/>
    <mergeCell ref="D1483:G1483"/>
    <mergeCell ref="A1472:B1472"/>
    <mergeCell ref="A1473:B1473"/>
    <mergeCell ref="A1474:B1474"/>
    <mergeCell ref="A1475:B1475"/>
    <mergeCell ref="A1476:B1476"/>
    <mergeCell ref="D1477:G1477"/>
    <mergeCell ref="A1506:B1506"/>
    <mergeCell ref="A1507:B1507"/>
    <mergeCell ref="A1508:B1508"/>
    <mergeCell ref="D1509:G1509"/>
    <mergeCell ref="D1510:G1510"/>
    <mergeCell ref="D1511:G1511"/>
    <mergeCell ref="D1498:G1498"/>
    <mergeCell ref="D1499:G1499"/>
    <mergeCell ref="B1501:C1501"/>
    <mergeCell ref="A1503:B1503"/>
    <mergeCell ref="A1504:B1504"/>
    <mergeCell ref="A1505:B1505"/>
    <mergeCell ref="A1492:B1492"/>
    <mergeCell ref="D1493:G1493"/>
    <mergeCell ref="D1494:G1494"/>
    <mergeCell ref="D1495:G1495"/>
    <mergeCell ref="D1496:G1496"/>
    <mergeCell ref="D1497:G1497"/>
    <mergeCell ref="D1526:G1526"/>
    <mergeCell ref="D1527:G1527"/>
    <mergeCell ref="D1528:G1528"/>
    <mergeCell ref="D1529:G1529"/>
    <mergeCell ref="D1530:G1530"/>
    <mergeCell ref="B1532:C1532"/>
    <mergeCell ref="A1520:B1520"/>
    <mergeCell ref="A1521:B1521"/>
    <mergeCell ref="A1522:B1522"/>
    <mergeCell ref="A1523:B1523"/>
    <mergeCell ref="D1524:G1524"/>
    <mergeCell ref="D1525:G1525"/>
    <mergeCell ref="D1512:G1512"/>
    <mergeCell ref="D1513:G1513"/>
    <mergeCell ref="D1514:G1514"/>
    <mergeCell ref="D1515:G1515"/>
    <mergeCell ref="B1517:C1517"/>
    <mergeCell ref="A1519:B1519"/>
    <mergeCell ref="A1548:B1548"/>
    <mergeCell ref="A1549:B1549"/>
    <mergeCell ref="A1550:B1550"/>
    <mergeCell ref="A1551:B1551"/>
    <mergeCell ref="A1552:B1552"/>
    <mergeCell ref="A1553:B1553"/>
    <mergeCell ref="D1540:G1540"/>
    <mergeCell ref="D1541:G1541"/>
    <mergeCell ref="D1542:G1542"/>
    <mergeCell ref="D1543:G1543"/>
    <mergeCell ref="D1544:G1544"/>
    <mergeCell ref="B1546:C1546"/>
    <mergeCell ref="A1534:B1534"/>
    <mergeCell ref="A1535:B1535"/>
    <mergeCell ref="A1536:B1536"/>
    <mergeCell ref="A1537:B1537"/>
    <mergeCell ref="D1538:G1538"/>
    <mergeCell ref="D1539:G1539"/>
    <mergeCell ref="A1568:B1568"/>
    <mergeCell ref="A1569:B1569"/>
    <mergeCell ref="D1570:G1570"/>
    <mergeCell ref="D1571:G1571"/>
    <mergeCell ref="D1572:G1572"/>
    <mergeCell ref="D1573:G1573"/>
    <mergeCell ref="D1560:G1560"/>
    <mergeCell ref="B1562:C1562"/>
    <mergeCell ref="A1564:B1564"/>
    <mergeCell ref="A1565:B1565"/>
    <mergeCell ref="A1566:B1566"/>
    <mergeCell ref="A1567:B1567"/>
    <mergeCell ref="D1554:G1554"/>
    <mergeCell ref="D1555:G1555"/>
    <mergeCell ref="D1556:G1556"/>
    <mergeCell ref="D1557:G1557"/>
    <mergeCell ref="D1558:G1558"/>
    <mergeCell ref="D1559:G1559"/>
    <mergeCell ref="D1588:G1588"/>
    <mergeCell ref="D1589:G1589"/>
    <mergeCell ref="D1590:G1590"/>
    <mergeCell ref="D1591:G1591"/>
    <mergeCell ref="D1592:G1592"/>
    <mergeCell ref="B1594:C1594"/>
    <mergeCell ref="A1582:B1582"/>
    <mergeCell ref="A1583:B1583"/>
    <mergeCell ref="A1584:B1584"/>
    <mergeCell ref="A1585:B1585"/>
    <mergeCell ref="D1586:G1586"/>
    <mergeCell ref="D1587:G1587"/>
    <mergeCell ref="D1574:G1574"/>
    <mergeCell ref="D1575:G1575"/>
    <mergeCell ref="D1576:G1576"/>
    <mergeCell ref="B1578:C1578"/>
    <mergeCell ref="A1580:B1580"/>
    <mergeCell ref="A1581:B1581"/>
    <mergeCell ref="D1608:G1608"/>
    <mergeCell ref="B1610:C1610"/>
    <mergeCell ref="A1612:B1612"/>
    <mergeCell ref="A1613:B1613"/>
    <mergeCell ref="A1614:B1614"/>
    <mergeCell ref="A1615:B1615"/>
    <mergeCell ref="D1602:G1602"/>
    <mergeCell ref="D1603:G1603"/>
    <mergeCell ref="D1604:G1604"/>
    <mergeCell ref="D1605:G1605"/>
    <mergeCell ref="D1606:G1606"/>
    <mergeCell ref="D1607:G1607"/>
    <mergeCell ref="A1596:B1596"/>
    <mergeCell ref="A1597:B1597"/>
    <mergeCell ref="A1598:B1598"/>
    <mergeCell ref="A1599:B1599"/>
    <mergeCell ref="A1600:B1600"/>
    <mergeCell ref="A1601:B1601"/>
    <mergeCell ref="A1630:B1630"/>
    <mergeCell ref="A1631:B1631"/>
    <mergeCell ref="A1632:B1632"/>
    <mergeCell ref="A1633:B1633"/>
    <mergeCell ref="D1634:G1634"/>
    <mergeCell ref="D1635:G1635"/>
    <mergeCell ref="D1622:G1622"/>
    <mergeCell ref="D1623:G1623"/>
    <mergeCell ref="D1624:G1624"/>
    <mergeCell ref="B1626:C1626"/>
    <mergeCell ref="A1628:B1628"/>
    <mergeCell ref="A1629:B1629"/>
    <mergeCell ref="A1616:B1616"/>
    <mergeCell ref="A1617:B1617"/>
    <mergeCell ref="D1618:G1618"/>
    <mergeCell ref="D1619:G1619"/>
    <mergeCell ref="D1620:G1620"/>
    <mergeCell ref="D1621:G1621"/>
    <mergeCell ref="A1650:B1650"/>
    <mergeCell ref="A1651:B1651"/>
    <mergeCell ref="D1652:G1652"/>
    <mergeCell ref="D1653:G1653"/>
    <mergeCell ref="D1654:G1654"/>
    <mergeCell ref="D1655:G1655"/>
    <mergeCell ref="A1644:B1644"/>
    <mergeCell ref="A1645:B1645"/>
    <mergeCell ref="A1646:B1646"/>
    <mergeCell ref="A1647:B1647"/>
    <mergeCell ref="A1648:B1648"/>
    <mergeCell ref="A1649:B1649"/>
    <mergeCell ref="D1636:G1636"/>
    <mergeCell ref="D1637:G1637"/>
    <mergeCell ref="D1638:G1638"/>
    <mergeCell ref="D1639:G1639"/>
    <mergeCell ref="D1640:G1640"/>
    <mergeCell ref="B1642:C1642"/>
    <mergeCell ref="D1670:G1670"/>
    <mergeCell ref="D1671:G1671"/>
    <mergeCell ref="B1673:C1673"/>
    <mergeCell ref="A1675:B1675"/>
    <mergeCell ref="A1676:B1676"/>
    <mergeCell ref="A1677:B1677"/>
    <mergeCell ref="A1664:B1664"/>
    <mergeCell ref="D1665:G1665"/>
    <mergeCell ref="D1666:G1666"/>
    <mergeCell ref="D1667:G1667"/>
    <mergeCell ref="D1668:G1668"/>
    <mergeCell ref="D1669:G1669"/>
    <mergeCell ref="D1656:G1656"/>
    <mergeCell ref="D1657:G1657"/>
    <mergeCell ref="D1658:G1658"/>
    <mergeCell ref="B1660:C1660"/>
    <mergeCell ref="A1662:B1662"/>
    <mergeCell ref="A1663:B1663"/>
    <mergeCell ref="A1692:B1692"/>
    <mergeCell ref="A1693:B1693"/>
    <mergeCell ref="A1694:B1694"/>
    <mergeCell ref="A1695:B1695"/>
    <mergeCell ref="D1696:G1696"/>
    <mergeCell ref="D1697:G1697"/>
    <mergeCell ref="D1684:G1684"/>
    <mergeCell ref="D1685:G1685"/>
    <mergeCell ref="D1686:G1686"/>
    <mergeCell ref="B1688:C1688"/>
    <mergeCell ref="A1690:B1690"/>
    <mergeCell ref="A1691:B1691"/>
    <mergeCell ref="A1678:B1678"/>
    <mergeCell ref="A1679:B1679"/>
    <mergeCell ref="D1680:G1680"/>
    <mergeCell ref="D1681:G1681"/>
    <mergeCell ref="D1682:G1682"/>
    <mergeCell ref="D1683:G1683"/>
    <mergeCell ref="D1712:G1712"/>
    <mergeCell ref="D1713:G1713"/>
    <mergeCell ref="D1714:G1714"/>
    <mergeCell ref="D1715:G1715"/>
    <mergeCell ref="D1716:G1716"/>
    <mergeCell ref="D1717:G1717"/>
    <mergeCell ref="A1706:B1706"/>
    <mergeCell ref="A1707:B1707"/>
    <mergeCell ref="A1708:B1708"/>
    <mergeCell ref="A1709:B1709"/>
    <mergeCell ref="A1710:B1710"/>
    <mergeCell ref="A1711:B1711"/>
    <mergeCell ref="D1698:G1698"/>
    <mergeCell ref="D1699:G1699"/>
    <mergeCell ref="D1700:G1700"/>
    <mergeCell ref="D1701:G1701"/>
    <mergeCell ref="D1702:G1702"/>
    <mergeCell ref="B1704:C1704"/>
    <mergeCell ref="D1732:G1732"/>
    <mergeCell ref="D1733:G1733"/>
    <mergeCell ref="D1734:G1734"/>
    <mergeCell ref="B1736:C1736"/>
    <mergeCell ref="A1738:B1738"/>
    <mergeCell ref="A1739:B1739"/>
    <mergeCell ref="A1726:B1726"/>
    <mergeCell ref="A1727:B1727"/>
    <mergeCell ref="D1728:G1728"/>
    <mergeCell ref="D1729:G1729"/>
    <mergeCell ref="D1730:G1730"/>
    <mergeCell ref="D1731:G1731"/>
    <mergeCell ref="D1718:G1718"/>
    <mergeCell ref="B1720:C1720"/>
    <mergeCell ref="A1722:B1722"/>
    <mergeCell ref="A1723:B1723"/>
    <mergeCell ref="A1724:B1724"/>
    <mergeCell ref="A1725:B1725"/>
    <mergeCell ref="A1754:B1754"/>
    <mergeCell ref="A1755:B1755"/>
    <mergeCell ref="D1756:G1756"/>
    <mergeCell ref="D1757:G1757"/>
    <mergeCell ref="D1758:G1758"/>
    <mergeCell ref="D1759:G1759"/>
    <mergeCell ref="D1746:G1746"/>
    <mergeCell ref="D1747:G1747"/>
    <mergeCell ref="D1748:G1748"/>
    <mergeCell ref="B1750:C1750"/>
    <mergeCell ref="A1752:B1752"/>
    <mergeCell ref="A1753:B1753"/>
    <mergeCell ref="A1740:B1740"/>
    <mergeCell ref="A1741:B1741"/>
    <mergeCell ref="D1742:G1742"/>
    <mergeCell ref="D1743:G1743"/>
    <mergeCell ref="D1744:G1744"/>
    <mergeCell ref="D1745:G1745"/>
    <mergeCell ref="D1774:G1774"/>
    <mergeCell ref="D1775:G1775"/>
    <mergeCell ref="D1776:G1776"/>
    <mergeCell ref="B1778:C1778"/>
    <mergeCell ref="A1780:B1780"/>
    <mergeCell ref="A1781:B1781"/>
    <mergeCell ref="A1768:B1768"/>
    <mergeCell ref="A1769:B1769"/>
    <mergeCell ref="D1770:G1770"/>
    <mergeCell ref="D1771:G1771"/>
    <mergeCell ref="D1772:G1772"/>
    <mergeCell ref="D1773:G1773"/>
    <mergeCell ref="D1760:G1760"/>
    <mergeCell ref="D1761:G1761"/>
    <mergeCell ref="D1762:G1762"/>
    <mergeCell ref="B1764:C1764"/>
    <mergeCell ref="A1766:B1766"/>
    <mergeCell ref="A1767:B1767"/>
    <mergeCell ref="D1796:G1796"/>
    <mergeCell ref="D1797:G1797"/>
    <mergeCell ref="D1798:G1798"/>
    <mergeCell ref="D1799:G1799"/>
    <mergeCell ref="D1800:G1800"/>
    <mergeCell ref="D1801:G1801"/>
    <mergeCell ref="D1788:G1788"/>
    <mergeCell ref="D1789:G1789"/>
    <mergeCell ref="B1791:C1791"/>
    <mergeCell ref="A1793:B1793"/>
    <mergeCell ref="A1794:B1794"/>
    <mergeCell ref="A1795:B1795"/>
    <mergeCell ref="A1782:B1782"/>
    <mergeCell ref="D1783:G1783"/>
    <mergeCell ref="D1784:G1784"/>
    <mergeCell ref="D1785:G1785"/>
    <mergeCell ref="D1786:G1786"/>
    <mergeCell ref="D1787:G1787"/>
    <mergeCell ref="D1816:G1816"/>
    <mergeCell ref="B1818:C1818"/>
    <mergeCell ref="A1820:B1820"/>
    <mergeCell ref="A1821:B1821"/>
    <mergeCell ref="A1822:B1822"/>
    <mergeCell ref="A1823:B1823"/>
    <mergeCell ref="D1810:G1810"/>
    <mergeCell ref="D1811:G1811"/>
    <mergeCell ref="D1812:G1812"/>
    <mergeCell ref="D1813:G1813"/>
    <mergeCell ref="D1814:G1814"/>
    <mergeCell ref="D1815:G1815"/>
    <mergeCell ref="D1802:G1802"/>
    <mergeCell ref="B1804:C1804"/>
    <mergeCell ref="A1806:B1806"/>
    <mergeCell ref="A1807:B1807"/>
    <mergeCell ref="A1808:B1808"/>
    <mergeCell ref="A1809:B1809"/>
    <mergeCell ref="A1838:B1838"/>
    <mergeCell ref="A1839:B1839"/>
    <mergeCell ref="A1840:B1840"/>
    <mergeCell ref="A1841:B1841"/>
    <mergeCell ref="D1842:G1842"/>
    <mergeCell ref="D1843:G1843"/>
    <mergeCell ref="D1830:G1830"/>
    <mergeCell ref="B1832:C1832"/>
    <mergeCell ref="A1834:B1834"/>
    <mergeCell ref="A1835:B1835"/>
    <mergeCell ref="A1836:B1836"/>
    <mergeCell ref="A1837:B1837"/>
    <mergeCell ref="D1824:G1824"/>
    <mergeCell ref="D1825:G1825"/>
    <mergeCell ref="D1826:G1826"/>
    <mergeCell ref="D1827:G1827"/>
    <mergeCell ref="D1828:G1828"/>
    <mergeCell ref="D1829:G1829"/>
    <mergeCell ref="D1858:G1858"/>
    <mergeCell ref="D1859:G1859"/>
    <mergeCell ref="B1861:C1861"/>
    <mergeCell ref="A1863:B1863"/>
    <mergeCell ref="A1864:B1864"/>
    <mergeCell ref="A1865:B1865"/>
    <mergeCell ref="A1852:B1852"/>
    <mergeCell ref="D1853:G1853"/>
    <mergeCell ref="D1854:G1854"/>
    <mergeCell ref="D1855:G1855"/>
    <mergeCell ref="D1856:G1856"/>
    <mergeCell ref="D1857:G1857"/>
    <mergeCell ref="D1844:G1844"/>
    <mergeCell ref="D1845:G1845"/>
    <mergeCell ref="D1846:G1846"/>
    <mergeCell ref="D1847:G1847"/>
    <mergeCell ref="D1848:G1848"/>
    <mergeCell ref="B1850:C1850"/>
    <mergeCell ref="A1880:B1880"/>
    <mergeCell ref="D1881:G1881"/>
    <mergeCell ref="D1882:G1882"/>
    <mergeCell ref="D1883:G1883"/>
    <mergeCell ref="D1884:G1884"/>
    <mergeCell ref="D1885:G1885"/>
    <mergeCell ref="D1872:G1872"/>
    <mergeCell ref="B1874:C1874"/>
    <mergeCell ref="A1876:B1876"/>
    <mergeCell ref="A1877:B1877"/>
    <mergeCell ref="A1878:B1878"/>
    <mergeCell ref="A1879:B1879"/>
    <mergeCell ref="D1866:G1866"/>
    <mergeCell ref="D1867:G1867"/>
    <mergeCell ref="D1868:G1868"/>
    <mergeCell ref="D1869:G1869"/>
    <mergeCell ref="D1870:G1870"/>
    <mergeCell ref="D1871:G1871"/>
    <mergeCell ref="D1900:G1900"/>
    <mergeCell ref="D1901:G1901"/>
    <mergeCell ref="D1902:G1902"/>
    <mergeCell ref="B1904:C1904"/>
    <mergeCell ref="A1906:B1906"/>
    <mergeCell ref="A1907:B1907"/>
    <mergeCell ref="A1894:B1894"/>
    <mergeCell ref="A1895:B1895"/>
    <mergeCell ref="D1896:G1896"/>
    <mergeCell ref="D1897:G1897"/>
    <mergeCell ref="D1898:G1898"/>
    <mergeCell ref="D1899:G1899"/>
    <mergeCell ref="D1886:G1886"/>
    <mergeCell ref="D1887:G1887"/>
    <mergeCell ref="B1889:C1889"/>
    <mergeCell ref="A1891:B1891"/>
    <mergeCell ref="A1892:B1892"/>
    <mergeCell ref="A1893:B1893"/>
    <mergeCell ref="A1922:B1922"/>
    <mergeCell ref="A1923:B1923"/>
    <mergeCell ref="A1924:B1924"/>
    <mergeCell ref="A1925:B1925"/>
    <mergeCell ref="A1926:B1926"/>
    <mergeCell ref="D1927:G1927"/>
    <mergeCell ref="D1914:G1914"/>
    <mergeCell ref="D1915:G1915"/>
    <mergeCell ref="D1916:G1916"/>
    <mergeCell ref="D1917:G1917"/>
    <mergeCell ref="D1918:G1918"/>
    <mergeCell ref="B1920:C1920"/>
    <mergeCell ref="A1908:B1908"/>
    <mergeCell ref="A1909:B1909"/>
    <mergeCell ref="A1910:B1910"/>
    <mergeCell ref="A1911:B1911"/>
    <mergeCell ref="D1912:G1912"/>
    <mergeCell ref="D1913:G1913"/>
    <mergeCell ref="D1942:G1942"/>
    <mergeCell ref="D1943:G1943"/>
    <mergeCell ref="D1944:G1944"/>
    <mergeCell ref="D1945:G1945"/>
    <mergeCell ref="D1946:G1946"/>
    <mergeCell ref="D1947:G1947"/>
    <mergeCell ref="B1935:C1935"/>
    <mergeCell ref="A1937:B1937"/>
    <mergeCell ref="A1938:B1938"/>
    <mergeCell ref="A1939:B1939"/>
    <mergeCell ref="A1940:B1940"/>
    <mergeCell ref="A1941:B1941"/>
    <mergeCell ref="D1928:G1928"/>
    <mergeCell ref="D1929:G1929"/>
    <mergeCell ref="D1930:G1930"/>
    <mergeCell ref="D1931:G1931"/>
    <mergeCell ref="D1932:G1932"/>
    <mergeCell ref="D1933:G1933"/>
    <mergeCell ref="D1962:G1962"/>
    <mergeCell ref="D1963:G1963"/>
    <mergeCell ref="B1965:C1965"/>
    <mergeCell ref="A1967:B1967"/>
    <mergeCell ref="A1968:B1968"/>
    <mergeCell ref="A1969:B1969"/>
    <mergeCell ref="A1956:B1956"/>
    <mergeCell ref="D1957:G1957"/>
    <mergeCell ref="D1958:G1958"/>
    <mergeCell ref="D1959:G1959"/>
    <mergeCell ref="D1960:G1960"/>
    <mergeCell ref="D1961:G1961"/>
    <mergeCell ref="D1948:G1948"/>
    <mergeCell ref="B1950:C1950"/>
    <mergeCell ref="A1952:B1952"/>
    <mergeCell ref="A1953:B1953"/>
    <mergeCell ref="A1954:B1954"/>
    <mergeCell ref="A1955:B1955"/>
    <mergeCell ref="A1984:B1984"/>
    <mergeCell ref="A1985:B1985"/>
    <mergeCell ref="A1986:B1986"/>
    <mergeCell ref="D1987:G1987"/>
    <mergeCell ref="D1988:G1988"/>
    <mergeCell ref="D1989:G1989"/>
    <mergeCell ref="D1976:G1976"/>
    <mergeCell ref="D1977:G1977"/>
    <mergeCell ref="D1978:G1978"/>
    <mergeCell ref="B1980:C1980"/>
    <mergeCell ref="A1982:B1982"/>
    <mergeCell ref="A1983:B1983"/>
    <mergeCell ref="A1970:B1970"/>
    <mergeCell ref="A1971:B1971"/>
    <mergeCell ref="D1972:G1972"/>
    <mergeCell ref="D1973:G1973"/>
    <mergeCell ref="D1974:G1974"/>
    <mergeCell ref="D1975:G1975"/>
    <mergeCell ref="D2004:G2004"/>
    <mergeCell ref="D2005:G2005"/>
    <mergeCell ref="D2006:G2006"/>
    <mergeCell ref="D2007:G2007"/>
    <mergeCell ref="D2008:G2008"/>
    <mergeCell ref="D2009:G2009"/>
    <mergeCell ref="A1998:B1998"/>
    <mergeCell ref="A1999:B1999"/>
    <mergeCell ref="A2000:B2000"/>
    <mergeCell ref="A2001:B2001"/>
    <mergeCell ref="A2002:B2002"/>
    <mergeCell ref="D2003:G2003"/>
    <mergeCell ref="D1990:G1990"/>
    <mergeCell ref="D1991:G1991"/>
    <mergeCell ref="D1992:G1992"/>
    <mergeCell ref="D1993:G1993"/>
    <mergeCell ref="B1995:C1995"/>
    <mergeCell ref="A1997:B1997"/>
    <mergeCell ref="D2024:G2024"/>
    <mergeCell ref="D2025:G2025"/>
    <mergeCell ref="B2027:C2027"/>
    <mergeCell ref="A2029:B2029"/>
    <mergeCell ref="A2030:B2030"/>
    <mergeCell ref="A2031:B2031"/>
    <mergeCell ref="A2018:B2018"/>
    <mergeCell ref="D2019:G2019"/>
    <mergeCell ref="D2020:G2020"/>
    <mergeCell ref="D2021:G2021"/>
    <mergeCell ref="D2022:G2022"/>
    <mergeCell ref="D2023:G2023"/>
    <mergeCell ref="B2011:C2011"/>
    <mergeCell ref="A2013:B2013"/>
    <mergeCell ref="A2014:B2014"/>
    <mergeCell ref="A2015:B2015"/>
    <mergeCell ref="A2016:B2016"/>
    <mergeCell ref="A2017:B2017"/>
    <mergeCell ref="A2046:B2046"/>
    <mergeCell ref="A2047:B2047"/>
    <mergeCell ref="A2048:B2048"/>
    <mergeCell ref="A2049:B2049"/>
    <mergeCell ref="A2050:B2050"/>
    <mergeCell ref="D2051:G2051"/>
    <mergeCell ref="D2038:G2038"/>
    <mergeCell ref="D2039:G2039"/>
    <mergeCell ref="D2040:G2040"/>
    <mergeCell ref="D2041:G2041"/>
    <mergeCell ref="B2043:C2043"/>
    <mergeCell ref="A2045:B2045"/>
    <mergeCell ref="A2032:B2032"/>
    <mergeCell ref="A2033:B2033"/>
    <mergeCell ref="A2034:B2034"/>
    <mergeCell ref="D2035:G2035"/>
    <mergeCell ref="D2036:G2036"/>
    <mergeCell ref="D2037:G2037"/>
    <mergeCell ref="A2066:B2066"/>
    <mergeCell ref="D2067:G2067"/>
    <mergeCell ref="D2068:G2068"/>
    <mergeCell ref="D2069:G2069"/>
    <mergeCell ref="D2070:G2070"/>
    <mergeCell ref="D2071:G2071"/>
    <mergeCell ref="B2059:C2059"/>
    <mergeCell ref="A2061:B2061"/>
    <mergeCell ref="A2062:B2062"/>
    <mergeCell ref="A2063:B2063"/>
    <mergeCell ref="A2064:B2064"/>
    <mergeCell ref="A2065:B2065"/>
    <mergeCell ref="D2052:G2052"/>
    <mergeCell ref="D2053:G2053"/>
    <mergeCell ref="D2054:G2054"/>
    <mergeCell ref="D2055:G2055"/>
    <mergeCell ref="D2056:G2056"/>
    <mergeCell ref="D2057:G2057"/>
    <mergeCell ref="D2086:G2086"/>
    <mergeCell ref="D2087:G2087"/>
    <mergeCell ref="D2088:G2088"/>
    <mergeCell ref="D2089:G2089"/>
    <mergeCell ref="B2091:C2091"/>
    <mergeCell ref="A2093:B2093"/>
    <mergeCell ref="A2080:B2080"/>
    <mergeCell ref="A2081:B2081"/>
    <mergeCell ref="A2082:B2082"/>
    <mergeCell ref="D2083:G2083"/>
    <mergeCell ref="D2084:G2084"/>
    <mergeCell ref="D2085:G2085"/>
    <mergeCell ref="D2072:G2072"/>
    <mergeCell ref="D2073:G2073"/>
    <mergeCell ref="B2075:C2075"/>
    <mergeCell ref="A2077:B2077"/>
    <mergeCell ref="A2078:B2078"/>
    <mergeCell ref="A2079:B2079"/>
    <mergeCell ref="A2108:B2108"/>
    <mergeCell ref="A2109:B2109"/>
    <mergeCell ref="A2110:B2110"/>
    <mergeCell ref="A2111:B2111"/>
    <mergeCell ref="A2112:B2112"/>
    <mergeCell ref="D2113:G2113"/>
    <mergeCell ref="D2100:G2100"/>
    <mergeCell ref="D2101:G2101"/>
    <mergeCell ref="D2102:G2102"/>
    <mergeCell ref="D2103:G2103"/>
    <mergeCell ref="D2104:G2104"/>
    <mergeCell ref="B2106:C2106"/>
    <mergeCell ref="A2094:B2094"/>
    <mergeCell ref="A2095:B2095"/>
    <mergeCell ref="A2096:B2096"/>
    <mergeCell ref="A2097:B2097"/>
    <mergeCell ref="D2098:G2098"/>
    <mergeCell ref="D2099:G2099"/>
    <mergeCell ref="A2128:B2128"/>
    <mergeCell ref="A2129:B2129"/>
    <mergeCell ref="A2130:B2130"/>
    <mergeCell ref="D2131:G2131"/>
    <mergeCell ref="D2132:G2132"/>
    <mergeCell ref="D2133:G2133"/>
    <mergeCell ref="B2121:C2121"/>
    <mergeCell ref="A2123:B2123"/>
    <mergeCell ref="A2124:B2124"/>
    <mergeCell ref="A2125:B2125"/>
    <mergeCell ref="A2126:B2126"/>
    <mergeCell ref="A2127:B2127"/>
    <mergeCell ref="D2114:G2114"/>
    <mergeCell ref="D2115:G2115"/>
    <mergeCell ref="D2116:G2116"/>
    <mergeCell ref="D2117:G2117"/>
    <mergeCell ref="D2118:G2118"/>
    <mergeCell ref="D2119:G2119"/>
    <mergeCell ref="A2148:B2148"/>
    <mergeCell ref="D2149:G2149"/>
    <mergeCell ref="D2150:G2150"/>
    <mergeCell ref="D2151:G2151"/>
    <mergeCell ref="D2152:G2152"/>
    <mergeCell ref="D2153:G2153"/>
    <mergeCell ref="A2142:B2142"/>
    <mergeCell ref="A2143:B2143"/>
    <mergeCell ref="A2144:B2144"/>
    <mergeCell ref="A2145:B2145"/>
    <mergeCell ref="A2146:B2146"/>
    <mergeCell ref="A2147:B2147"/>
    <mergeCell ref="D2134:G2134"/>
    <mergeCell ref="D2135:G2135"/>
    <mergeCell ref="D2136:G2136"/>
    <mergeCell ref="D2137:G2137"/>
    <mergeCell ref="B2139:C2139"/>
    <mergeCell ref="A2141:B2141"/>
    <mergeCell ref="D2168:G2168"/>
    <mergeCell ref="D2169:G2169"/>
    <mergeCell ref="D2170:G2170"/>
    <mergeCell ref="D2171:G2171"/>
    <mergeCell ref="D2172:G2172"/>
    <mergeCell ref="B2174:C2174"/>
    <mergeCell ref="A2162:B2162"/>
    <mergeCell ref="A2163:B2163"/>
    <mergeCell ref="A2164:B2164"/>
    <mergeCell ref="A2165:B2165"/>
    <mergeCell ref="D2166:G2166"/>
    <mergeCell ref="D2167:G2167"/>
    <mergeCell ref="D2154:G2154"/>
    <mergeCell ref="D2155:G2155"/>
    <mergeCell ref="B2157:C2157"/>
    <mergeCell ref="A2159:B2159"/>
    <mergeCell ref="A2160:B2160"/>
    <mergeCell ref="A2161:B2161"/>
    <mergeCell ref="D2188:G2188"/>
    <mergeCell ref="D2189:G2189"/>
    <mergeCell ref="D2190:G2190"/>
    <mergeCell ref="D2191:G2191"/>
    <mergeCell ref="D2192:G2192"/>
    <mergeCell ref="D2193:G2193"/>
    <mergeCell ref="A2182:B2182"/>
    <mergeCell ref="A2183:B2183"/>
    <mergeCell ref="A2184:B2184"/>
    <mergeCell ref="A2185:B2185"/>
    <mergeCell ref="A2186:B2186"/>
    <mergeCell ref="D2187:G2187"/>
    <mergeCell ref="A2176:B2176"/>
    <mergeCell ref="A2177:B2177"/>
    <mergeCell ref="A2178:B2178"/>
    <mergeCell ref="A2179:B2179"/>
    <mergeCell ref="A2180:B2180"/>
    <mergeCell ref="A2181:B2181"/>
    <mergeCell ref="A2208:B2208"/>
    <mergeCell ref="D2209:G2209"/>
    <mergeCell ref="D2210:G2210"/>
    <mergeCell ref="D2211:G2211"/>
    <mergeCell ref="D2212:G2212"/>
    <mergeCell ref="D2213:G2213"/>
    <mergeCell ref="A2202:B2202"/>
    <mergeCell ref="A2203:B2203"/>
    <mergeCell ref="A2204:B2204"/>
    <mergeCell ref="A2205:B2205"/>
    <mergeCell ref="A2206:B2206"/>
    <mergeCell ref="A2207:B2207"/>
    <mergeCell ref="A2194:H2194"/>
    <mergeCell ref="B2196:C2196"/>
    <mergeCell ref="A2198:B2198"/>
    <mergeCell ref="A2199:B2199"/>
    <mergeCell ref="A2200:B2200"/>
    <mergeCell ref="A2201:B2201"/>
    <mergeCell ref="D2228:G2228"/>
    <mergeCell ref="D2229:G2229"/>
    <mergeCell ref="D2230:G2230"/>
    <mergeCell ref="D2231:G2231"/>
    <mergeCell ref="B2233:C2233"/>
    <mergeCell ref="A2235:B2235"/>
    <mergeCell ref="A2222:B2222"/>
    <mergeCell ref="A2223:B2223"/>
    <mergeCell ref="A2224:B2224"/>
    <mergeCell ref="D2225:G2225"/>
    <mergeCell ref="D2226:G2226"/>
    <mergeCell ref="D2227:G2227"/>
    <mergeCell ref="D2214:G2214"/>
    <mergeCell ref="D2215:G2215"/>
    <mergeCell ref="A2216:H2216"/>
    <mergeCell ref="B2218:C2218"/>
    <mergeCell ref="A2220:B2220"/>
    <mergeCell ref="A2221:B2221"/>
    <mergeCell ref="D2248:G2248"/>
    <mergeCell ref="D2249:G2249"/>
    <mergeCell ref="D2250:G2250"/>
    <mergeCell ref="D2251:G2251"/>
    <mergeCell ref="D2252:G2252"/>
    <mergeCell ref="B2254:C2254"/>
    <mergeCell ref="A2242:B2242"/>
    <mergeCell ref="A2243:B2243"/>
    <mergeCell ref="A2244:B2244"/>
    <mergeCell ref="A2245:B2245"/>
    <mergeCell ref="D2246:G2246"/>
    <mergeCell ref="D2247:G2247"/>
    <mergeCell ref="A2236:B2236"/>
    <mergeCell ref="A2237:B2237"/>
    <mergeCell ref="A2238:B2238"/>
    <mergeCell ref="A2239:B2239"/>
    <mergeCell ref="A2240:B2240"/>
    <mergeCell ref="A2241:B2241"/>
    <mergeCell ref="B2269:C2269"/>
    <mergeCell ref="A2271:B2271"/>
    <mergeCell ref="A2272:B2272"/>
    <mergeCell ref="D2273:G2273"/>
    <mergeCell ref="D2274:G2274"/>
    <mergeCell ref="D2275:G2275"/>
    <mergeCell ref="D2262:G2262"/>
    <mergeCell ref="D2263:G2263"/>
    <mergeCell ref="D2264:G2264"/>
    <mergeCell ref="D2265:G2265"/>
    <mergeCell ref="D2266:G2266"/>
    <mergeCell ref="D2267:G2267"/>
    <mergeCell ref="A2256:B2256"/>
    <mergeCell ref="A2257:B2257"/>
    <mergeCell ref="A2258:B2258"/>
    <mergeCell ref="A2259:B2259"/>
    <mergeCell ref="A2260:B2260"/>
    <mergeCell ref="D2261:G2261"/>
    <mergeCell ref="D2290:G2290"/>
    <mergeCell ref="D2291:G2291"/>
    <mergeCell ref="D2292:G2292"/>
    <mergeCell ref="D2293:G2293"/>
    <mergeCell ref="B2297:C2297"/>
    <mergeCell ref="A2299:B2299"/>
    <mergeCell ref="A2284:B2284"/>
    <mergeCell ref="A2285:B2285"/>
    <mergeCell ref="A2286:B2286"/>
    <mergeCell ref="D2287:G2287"/>
    <mergeCell ref="D2288:G2288"/>
    <mergeCell ref="D2289:G2289"/>
    <mergeCell ref="D2276:G2276"/>
    <mergeCell ref="D2277:G2277"/>
    <mergeCell ref="D2278:G2278"/>
    <mergeCell ref="D2279:G2279"/>
    <mergeCell ref="B2281:C2281"/>
    <mergeCell ref="A2283:B2283"/>
    <mergeCell ref="D2312:G2312"/>
    <mergeCell ref="B2314:C2314"/>
    <mergeCell ref="A2316:B2316"/>
    <mergeCell ref="A2317:B2317"/>
    <mergeCell ref="A2318:B2318"/>
    <mergeCell ref="D2319:G2319"/>
    <mergeCell ref="D2306:G2306"/>
    <mergeCell ref="D2307:G2307"/>
    <mergeCell ref="D2308:G2308"/>
    <mergeCell ref="D2309:G2309"/>
    <mergeCell ref="D2310:G2310"/>
    <mergeCell ref="D2311:G2311"/>
    <mergeCell ref="A2300:B2300"/>
    <mergeCell ref="A2301:B2301"/>
    <mergeCell ref="A2302:B2302"/>
    <mergeCell ref="A2303:B2303"/>
    <mergeCell ref="A2304:B2304"/>
    <mergeCell ref="A2305:B2305"/>
    <mergeCell ref="D2334:G2334"/>
    <mergeCell ref="D2335:G2335"/>
    <mergeCell ref="D2336:G2336"/>
    <mergeCell ref="D2337:G2337"/>
    <mergeCell ref="B2339:C2339"/>
    <mergeCell ref="A2341:B2341"/>
    <mergeCell ref="B2327:C2327"/>
    <mergeCell ref="A2329:C2329"/>
    <mergeCell ref="A2330:B2330"/>
    <mergeCell ref="D2331:G2331"/>
    <mergeCell ref="D2332:G2332"/>
    <mergeCell ref="D2333:G2333"/>
    <mergeCell ref="D2320:G2320"/>
    <mergeCell ref="D2321:G2321"/>
    <mergeCell ref="D2322:G2322"/>
    <mergeCell ref="D2323:G2323"/>
    <mergeCell ref="D2324:G2324"/>
    <mergeCell ref="D2325:G2325"/>
    <mergeCell ref="A2356:B2356"/>
    <mergeCell ref="A2357:B2357"/>
    <mergeCell ref="A2358:B2358"/>
    <mergeCell ref="D2359:G2359"/>
    <mergeCell ref="D2360:G2360"/>
    <mergeCell ref="D2361:G2361"/>
    <mergeCell ref="D2348:G2348"/>
    <mergeCell ref="D2349:G2349"/>
    <mergeCell ref="D2350:G2350"/>
    <mergeCell ref="B2352:C2352"/>
    <mergeCell ref="A2354:B2354"/>
    <mergeCell ref="A2355:B2355"/>
    <mergeCell ref="A2342:B2342"/>
    <mergeCell ref="A2343:B2343"/>
    <mergeCell ref="D2344:G2344"/>
    <mergeCell ref="D2345:G2345"/>
    <mergeCell ref="D2346:G2346"/>
    <mergeCell ref="D2347:G2347"/>
    <mergeCell ref="D2376:G2376"/>
    <mergeCell ref="D2377:G2377"/>
    <mergeCell ref="D2378:G2378"/>
    <mergeCell ref="B2380:C2380"/>
    <mergeCell ref="A2382:B2382"/>
    <mergeCell ref="A2383:B2383"/>
    <mergeCell ref="A2370:B2370"/>
    <mergeCell ref="A2371:B2371"/>
    <mergeCell ref="D2372:G2372"/>
    <mergeCell ref="D2373:G2373"/>
    <mergeCell ref="D2374:G2374"/>
    <mergeCell ref="D2375:G2375"/>
    <mergeCell ref="D2362:G2362"/>
    <mergeCell ref="D2363:G2363"/>
    <mergeCell ref="D2364:G2364"/>
    <mergeCell ref="D2365:G2365"/>
    <mergeCell ref="B2367:C2367"/>
    <mergeCell ref="A2369:B2369"/>
    <mergeCell ref="A2398:B2398"/>
    <mergeCell ref="A2399:B2399"/>
    <mergeCell ref="D2400:G2400"/>
    <mergeCell ref="D2401:G2401"/>
    <mergeCell ref="D2402:G2402"/>
    <mergeCell ref="D2403:G2403"/>
    <mergeCell ref="D2390:G2390"/>
    <mergeCell ref="D2391:G2391"/>
    <mergeCell ref="D2392:G2392"/>
    <mergeCell ref="B2394:C2394"/>
    <mergeCell ref="A2396:B2396"/>
    <mergeCell ref="A2397:B2397"/>
    <mergeCell ref="A2384:B2384"/>
    <mergeCell ref="A2385:B2385"/>
    <mergeCell ref="D2386:G2386"/>
    <mergeCell ref="D2387:G2387"/>
    <mergeCell ref="D2388:G2388"/>
    <mergeCell ref="D2389:G2389"/>
    <mergeCell ref="D2418:G2418"/>
    <mergeCell ref="D2419:G2419"/>
    <mergeCell ref="D2420:G2420"/>
    <mergeCell ref="B2422:C2422"/>
    <mergeCell ref="A2424:B2424"/>
    <mergeCell ref="A2425:B2425"/>
    <mergeCell ref="A2412:B2412"/>
    <mergeCell ref="A2413:B2413"/>
    <mergeCell ref="D2414:G2414"/>
    <mergeCell ref="D2415:G2415"/>
    <mergeCell ref="D2416:G2416"/>
    <mergeCell ref="D2417:G2417"/>
    <mergeCell ref="D2404:G2404"/>
    <mergeCell ref="D2405:G2405"/>
    <mergeCell ref="D2406:G2406"/>
    <mergeCell ref="B2408:C2408"/>
    <mergeCell ref="A2410:B2410"/>
    <mergeCell ref="A2411:B2411"/>
    <mergeCell ref="A2440:B2440"/>
    <mergeCell ref="A2441:B2441"/>
    <mergeCell ref="D2442:G2442"/>
    <mergeCell ref="D2443:G2443"/>
    <mergeCell ref="D2444:G2444"/>
    <mergeCell ref="D2445:G2445"/>
    <mergeCell ref="D2432:G2432"/>
    <mergeCell ref="D2433:G2433"/>
    <mergeCell ref="D2434:G2434"/>
    <mergeCell ref="B2436:C2436"/>
    <mergeCell ref="A2438:B2438"/>
    <mergeCell ref="A2439:B2439"/>
    <mergeCell ref="A2426:B2426"/>
    <mergeCell ref="A2427:B2427"/>
    <mergeCell ref="D2428:G2428"/>
    <mergeCell ref="D2429:G2429"/>
    <mergeCell ref="D2430:G2430"/>
    <mergeCell ref="D2431:G2431"/>
    <mergeCell ref="D2460:G2460"/>
    <mergeCell ref="D2461:G2461"/>
    <mergeCell ref="D2462:G2462"/>
    <mergeCell ref="B2464:C2464"/>
    <mergeCell ref="A2466:B2466"/>
    <mergeCell ref="A2467:B2467"/>
    <mergeCell ref="A2454:B2454"/>
    <mergeCell ref="A2455:B2455"/>
    <mergeCell ref="D2456:G2456"/>
    <mergeCell ref="D2457:G2457"/>
    <mergeCell ref="D2458:G2458"/>
    <mergeCell ref="D2459:G2459"/>
    <mergeCell ref="D2446:G2446"/>
    <mergeCell ref="D2447:G2447"/>
    <mergeCell ref="D2448:G2448"/>
    <mergeCell ref="B2450:C2450"/>
    <mergeCell ref="A2452:B2452"/>
    <mergeCell ref="A2453:B2453"/>
    <mergeCell ref="A2482:B2482"/>
    <mergeCell ref="A2483:B2483"/>
    <mergeCell ref="D2484:G2484"/>
    <mergeCell ref="D2485:G2485"/>
    <mergeCell ref="D2486:G2486"/>
    <mergeCell ref="D2487:G2487"/>
    <mergeCell ref="D2474:G2474"/>
    <mergeCell ref="D2475:G2475"/>
    <mergeCell ref="D2476:G2476"/>
    <mergeCell ref="B2478:C2478"/>
    <mergeCell ref="A2480:B2480"/>
    <mergeCell ref="A2481:B2481"/>
    <mergeCell ref="A2468:B2468"/>
    <mergeCell ref="A2469:B2469"/>
    <mergeCell ref="D2470:G2470"/>
    <mergeCell ref="D2471:G2471"/>
    <mergeCell ref="D2472:G2472"/>
    <mergeCell ref="D2473:G2473"/>
    <mergeCell ref="D2502:G2502"/>
    <mergeCell ref="D2503:G2503"/>
    <mergeCell ref="D2504:G2504"/>
    <mergeCell ref="B2506:C2506"/>
    <mergeCell ref="A2508:B2508"/>
    <mergeCell ref="A2509:B2509"/>
    <mergeCell ref="A2496:B2496"/>
    <mergeCell ref="A2497:B2497"/>
    <mergeCell ref="D2498:G2498"/>
    <mergeCell ref="D2499:G2499"/>
    <mergeCell ref="D2500:G2500"/>
    <mergeCell ref="D2501:G2501"/>
    <mergeCell ref="D2488:G2488"/>
    <mergeCell ref="D2489:G2489"/>
    <mergeCell ref="D2490:G2490"/>
    <mergeCell ref="B2492:C2492"/>
    <mergeCell ref="A2494:B2494"/>
    <mergeCell ref="A2495:B2495"/>
    <mergeCell ref="A2524:B2524"/>
    <mergeCell ref="A2525:B2525"/>
    <mergeCell ref="D2526:G2526"/>
    <mergeCell ref="D2527:G2527"/>
    <mergeCell ref="D2528:G2528"/>
    <mergeCell ref="D2529:G2529"/>
    <mergeCell ref="D2516:G2516"/>
    <mergeCell ref="D2517:G2517"/>
    <mergeCell ref="D2518:G2518"/>
    <mergeCell ref="B2520:C2520"/>
    <mergeCell ref="A2522:B2522"/>
    <mergeCell ref="A2523:B2523"/>
    <mergeCell ref="A2510:B2510"/>
    <mergeCell ref="A2511:B2511"/>
    <mergeCell ref="D2512:G2512"/>
    <mergeCell ref="D2513:G2513"/>
    <mergeCell ref="D2514:G2514"/>
    <mergeCell ref="D2515:G2515"/>
    <mergeCell ref="D2544:G2544"/>
    <mergeCell ref="D2545:G2545"/>
    <mergeCell ref="B2547:C2547"/>
    <mergeCell ref="A2549:B2549"/>
    <mergeCell ref="A2550:B2550"/>
    <mergeCell ref="A2551:B2551"/>
    <mergeCell ref="A2538:B2538"/>
    <mergeCell ref="D2539:G2539"/>
    <mergeCell ref="D2540:G2540"/>
    <mergeCell ref="D2541:G2541"/>
    <mergeCell ref="D2542:G2542"/>
    <mergeCell ref="D2543:G2543"/>
    <mergeCell ref="D2530:G2530"/>
    <mergeCell ref="D2531:G2531"/>
    <mergeCell ref="D2532:G2532"/>
    <mergeCell ref="B2534:C2534"/>
    <mergeCell ref="A2536:B2536"/>
    <mergeCell ref="A2537:B2537"/>
    <mergeCell ref="D2566:G2566"/>
    <mergeCell ref="D2567:G2567"/>
    <mergeCell ref="D2568:G2568"/>
    <mergeCell ref="D2569:G2569"/>
    <mergeCell ref="D2570:G2570"/>
    <mergeCell ref="D2571:G2571"/>
    <mergeCell ref="D2558:G2558"/>
    <mergeCell ref="B2560:C2560"/>
    <mergeCell ref="A2562:B2562"/>
    <mergeCell ref="A2563:B2563"/>
    <mergeCell ref="A2564:B2564"/>
    <mergeCell ref="D2565:G2565"/>
    <mergeCell ref="D2552:G2552"/>
    <mergeCell ref="D2553:G2553"/>
    <mergeCell ref="D2554:G2554"/>
    <mergeCell ref="D2555:G2555"/>
    <mergeCell ref="D2556:G2556"/>
    <mergeCell ref="D2557:G2557"/>
    <mergeCell ref="A2588:B2588"/>
    <mergeCell ref="A2589:B2589"/>
    <mergeCell ref="A2590:B2590"/>
    <mergeCell ref="D2591:G2591"/>
    <mergeCell ref="D2592:G2592"/>
    <mergeCell ref="D2593:G2593"/>
    <mergeCell ref="D2580:G2580"/>
    <mergeCell ref="D2581:G2581"/>
    <mergeCell ref="D2582:G2582"/>
    <mergeCell ref="D2583:G2583"/>
    <mergeCell ref="D2584:G2584"/>
    <mergeCell ref="B2586:C2586"/>
    <mergeCell ref="B2573:C2573"/>
    <mergeCell ref="A2575:B2575"/>
    <mergeCell ref="A2576:B2576"/>
    <mergeCell ref="A2577:B2577"/>
    <mergeCell ref="D2578:G2578"/>
    <mergeCell ref="D2579:G2579"/>
    <mergeCell ref="D2608:G2608"/>
    <mergeCell ref="D2609:G2609"/>
    <mergeCell ref="D2610:G2610"/>
    <mergeCell ref="B2612:C2612"/>
    <mergeCell ref="A2614:B2614"/>
    <mergeCell ref="A2615:B2615"/>
    <mergeCell ref="A2602:B2602"/>
    <mergeCell ref="A2603:B2603"/>
    <mergeCell ref="D2604:G2604"/>
    <mergeCell ref="D2605:G2605"/>
    <mergeCell ref="D2606:G2606"/>
    <mergeCell ref="D2607:G2607"/>
    <mergeCell ref="D2594:G2594"/>
    <mergeCell ref="D2595:G2595"/>
    <mergeCell ref="D2596:G2596"/>
    <mergeCell ref="D2597:G2597"/>
    <mergeCell ref="B2599:C2599"/>
    <mergeCell ref="A2601:B2601"/>
    <mergeCell ref="D2630:G2630"/>
    <mergeCell ref="D2631:G2631"/>
    <mergeCell ref="D2632:G2632"/>
    <mergeCell ref="D2633:G2633"/>
    <mergeCell ref="D2634:G2634"/>
    <mergeCell ref="D2635:G2635"/>
    <mergeCell ref="D2622:G2622"/>
    <mergeCell ref="D2623:G2623"/>
    <mergeCell ref="B2625:C2625"/>
    <mergeCell ref="A2627:B2627"/>
    <mergeCell ref="A2628:B2628"/>
    <mergeCell ref="A2629:B2629"/>
    <mergeCell ref="A2616:B2616"/>
    <mergeCell ref="D2617:G2617"/>
    <mergeCell ref="D2618:G2618"/>
    <mergeCell ref="D2619:G2619"/>
    <mergeCell ref="D2620:G2620"/>
    <mergeCell ref="D2621:G2621"/>
    <mergeCell ref="B2651:C2651"/>
    <mergeCell ref="A2653:B2653"/>
    <mergeCell ref="A2654:B2654"/>
    <mergeCell ref="A2655:B2655"/>
    <mergeCell ref="D2656:G2656"/>
    <mergeCell ref="D2657:G2657"/>
    <mergeCell ref="D2644:G2644"/>
    <mergeCell ref="D2645:G2645"/>
    <mergeCell ref="D2646:G2646"/>
    <mergeCell ref="D2647:G2647"/>
    <mergeCell ref="D2648:G2648"/>
    <mergeCell ref="D2649:G2649"/>
    <mergeCell ref="D2636:G2636"/>
    <mergeCell ref="B2638:C2638"/>
    <mergeCell ref="A2640:B2640"/>
    <mergeCell ref="A2641:B2641"/>
    <mergeCell ref="A2642:B2642"/>
    <mergeCell ref="D2643:G2643"/>
    <mergeCell ref="D2672:G2672"/>
    <mergeCell ref="D2673:G2673"/>
    <mergeCell ref="D2674:G2674"/>
    <mergeCell ref="D2675:G2675"/>
    <mergeCell ref="B2677:C2677"/>
    <mergeCell ref="A2679:B2679"/>
    <mergeCell ref="A2666:B2666"/>
    <mergeCell ref="A2667:B2667"/>
    <mergeCell ref="A2668:B2668"/>
    <mergeCell ref="D2669:G2669"/>
    <mergeCell ref="D2670:G2670"/>
    <mergeCell ref="D2671:G2671"/>
    <mergeCell ref="D2658:G2658"/>
    <mergeCell ref="D2659:G2659"/>
    <mergeCell ref="D2660:G2660"/>
    <mergeCell ref="D2661:G2661"/>
    <mergeCell ref="D2662:G2662"/>
    <mergeCell ref="B2664:C2664"/>
    <mergeCell ref="D2692:G2692"/>
    <mergeCell ref="D2693:G2693"/>
    <mergeCell ref="D2694:G2694"/>
    <mergeCell ref="D2695:G2695"/>
    <mergeCell ref="D2696:G2696"/>
    <mergeCell ref="B2698:C2698"/>
    <mergeCell ref="A2686:B2686"/>
    <mergeCell ref="A2687:B2687"/>
    <mergeCell ref="A2688:B2688"/>
    <mergeCell ref="A2689:B2689"/>
    <mergeCell ref="D2690:G2690"/>
    <mergeCell ref="D2691:G2691"/>
    <mergeCell ref="A2680:B2680"/>
    <mergeCell ref="A2681:B2681"/>
    <mergeCell ref="A2682:B2682"/>
    <mergeCell ref="A2683:B2683"/>
    <mergeCell ref="A2684:B2684"/>
    <mergeCell ref="A2685:B2685"/>
    <mergeCell ref="D2712:G2712"/>
    <mergeCell ref="D2713:G2713"/>
    <mergeCell ref="D2714:G2714"/>
    <mergeCell ref="D2715:G2715"/>
    <mergeCell ref="D2716:G2716"/>
    <mergeCell ref="D2717:G2717"/>
    <mergeCell ref="A2706:B2706"/>
    <mergeCell ref="A2707:B2707"/>
    <mergeCell ref="A2708:B2708"/>
    <mergeCell ref="A2709:B2709"/>
    <mergeCell ref="A2710:B2710"/>
    <mergeCell ref="D2711:G2711"/>
    <mergeCell ref="A2700:B2700"/>
    <mergeCell ref="A2701:B2701"/>
    <mergeCell ref="A2702:B2702"/>
    <mergeCell ref="A2703:B2703"/>
    <mergeCell ref="A2704:B2704"/>
    <mergeCell ref="A2705:B2705"/>
    <mergeCell ref="D2732:G2732"/>
    <mergeCell ref="D2733:G2733"/>
    <mergeCell ref="D2734:G2734"/>
    <mergeCell ref="B2736:C2736"/>
    <mergeCell ref="A2738:B2738"/>
    <mergeCell ref="A2739:B2739"/>
    <mergeCell ref="A2726:B2726"/>
    <mergeCell ref="A2727:B2727"/>
    <mergeCell ref="D2728:G2728"/>
    <mergeCell ref="D2729:G2729"/>
    <mergeCell ref="D2730:G2730"/>
    <mergeCell ref="D2731:G2731"/>
    <mergeCell ref="B2719:C2719"/>
    <mergeCell ref="A2721:B2721"/>
    <mergeCell ref="A2722:B2722"/>
    <mergeCell ref="A2723:B2723"/>
    <mergeCell ref="A2724:B2724"/>
    <mergeCell ref="A2725:B2725"/>
    <mergeCell ref="D2754:G2754"/>
    <mergeCell ref="D2755:G2755"/>
    <mergeCell ref="D2756:G2756"/>
    <mergeCell ref="D2757:G2757"/>
    <mergeCell ref="D2758:G2758"/>
    <mergeCell ref="D2759:G2759"/>
    <mergeCell ref="D2746:G2746"/>
    <mergeCell ref="D2747:G2747"/>
    <mergeCell ref="B2749:C2749"/>
    <mergeCell ref="A2751:B2751"/>
    <mergeCell ref="A2752:B2752"/>
    <mergeCell ref="A2753:B2753"/>
    <mergeCell ref="A2740:B2740"/>
    <mergeCell ref="D2741:G2741"/>
    <mergeCell ref="D2742:G2742"/>
    <mergeCell ref="D2743:G2743"/>
    <mergeCell ref="D2744:G2744"/>
    <mergeCell ref="D2745:G2745"/>
    <mergeCell ref="B2775:C2775"/>
    <mergeCell ref="A2777:B2777"/>
    <mergeCell ref="A2778:B2778"/>
    <mergeCell ref="A2779:B2779"/>
    <mergeCell ref="D2780:G2780"/>
    <mergeCell ref="D2781:G2781"/>
    <mergeCell ref="D2768:G2768"/>
    <mergeCell ref="D2769:G2769"/>
    <mergeCell ref="D2770:G2770"/>
    <mergeCell ref="D2771:G2771"/>
    <mergeCell ref="D2772:G2772"/>
    <mergeCell ref="D2773:G2773"/>
    <mergeCell ref="D2760:G2760"/>
    <mergeCell ref="B2762:C2762"/>
    <mergeCell ref="A2764:B2764"/>
    <mergeCell ref="A2765:B2765"/>
    <mergeCell ref="A2766:B2766"/>
    <mergeCell ref="D2767:G2767"/>
    <mergeCell ref="D2796:G2796"/>
    <mergeCell ref="D2797:G2797"/>
    <mergeCell ref="D2798:G2798"/>
    <mergeCell ref="D2799:G2799"/>
    <mergeCell ref="B2801:C2801"/>
    <mergeCell ref="A2803:B2803"/>
    <mergeCell ref="A2790:B2790"/>
    <mergeCell ref="A2791:B2791"/>
    <mergeCell ref="A2792:B2792"/>
    <mergeCell ref="D2793:G2793"/>
    <mergeCell ref="D2794:G2794"/>
    <mergeCell ref="D2795:G2795"/>
    <mergeCell ref="D2782:G2782"/>
    <mergeCell ref="D2783:G2783"/>
    <mergeCell ref="D2784:G2784"/>
    <mergeCell ref="D2785:G2785"/>
    <mergeCell ref="D2786:G2786"/>
    <mergeCell ref="B2788:C2788"/>
    <mergeCell ref="A2818:B2818"/>
    <mergeCell ref="D2819:G2819"/>
    <mergeCell ref="D2820:G2820"/>
    <mergeCell ref="D2821:G2821"/>
    <mergeCell ref="D2822:G2822"/>
    <mergeCell ref="D2823:G2823"/>
    <mergeCell ref="D2810:G2810"/>
    <mergeCell ref="D2811:G2811"/>
    <mergeCell ref="D2812:G2812"/>
    <mergeCell ref="B2814:C2814"/>
    <mergeCell ref="A2816:B2816"/>
    <mergeCell ref="A2817:B2817"/>
    <mergeCell ref="A2804:B2804"/>
    <mergeCell ref="A2805:B2805"/>
    <mergeCell ref="D2806:G2806"/>
    <mergeCell ref="D2807:G2807"/>
    <mergeCell ref="D2808:G2808"/>
    <mergeCell ref="D2809:G2809"/>
    <mergeCell ref="D2838:G2838"/>
    <mergeCell ref="B2840:C2840"/>
    <mergeCell ref="A2842:B2842"/>
    <mergeCell ref="A2843:B2843"/>
    <mergeCell ref="A2844:B2844"/>
    <mergeCell ref="D2845:G2845"/>
    <mergeCell ref="D2832:G2832"/>
    <mergeCell ref="D2833:G2833"/>
    <mergeCell ref="D2834:G2834"/>
    <mergeCell ref="D2835:G2835"/>
    <mergeCell ref="D2836:G2836"/>
    <mergeCell ref="D2837:G2837"/>
    <mergeCell ref="D2824:G2824"/>
    <mergeCell ref="D2825:G2825"/>
    <mergeCell ref="B2827:C2827"/>
    <mergeCell ref="A2829:B2829"/>
    <mergeCell ref="A2830:B2830"/>
    <mergeCell ref="A2831:B2831"/>
    <mergeCell ref="D2860:G2860"/>
    <mergeCell ref="D2861:G2861"/>
    <mergeCell ref="D2862:G2862"/>
    <mergeCell ref="D2863:G2863"/>
    <mergeCell ref="D2864:G2864"/>
    <mergeCell ref="B2866:C2866"/>
    <mergeCell ref="B2853:C2853"/>
    <mergeCell ref="A2855:B2855"/>
    <mergeCell ref="A2856:B2856"/>
    <mergeCell ref="A2857:B2857"/>
    <mergeCell ref="D2858:G2858"/>
    <mergeCell ref="D2859:G2859"/>
    <mergeCell ref="D2846:G2846"/>
    <mergeCell ref="D2847:G2847"/>
    <mergeCell ref="D2848:G2848"/>
    <mergeCell ref="D2849:G2849"/>
    <mergeCell ref="D2850:G2850"/>
    <mergeCell ref="D2851:G2851"/>
    <mergeCell ref="A2882:B2882"/>
    <mergeCell ref="A2883:B2883"/>
    <mergeCell ref="D2884:G2884"/>
    <mergeCell ref="D2885:G2885"/>
    <mergeCell ref="D2886:G2886"/>
    <mergeCell ref="D2887:G2887"/>
    <mergeCell ref="D2874:G2874"/>
    <mergeCell ref="D2875:G2875"/>
    <mergeCell ref="D2876:G2876"/>
    <mergeCell ref="D2877:G2877"/>
    <mergeCell ref="B2879:C2879"/>
    <mergeCell ref="A2881:B2881"/>
    <mergeCell ref="A2868:B2868"/>
    <mergeCell ref="A2869:B2869"/>
    <mergeCell ref="A2870:B2870"/>
    <mergeCell ref="D2871:G2871"/>
    <mergeCell ref="D2872:G2872"/>
    <mergeCell ref="D2873:G2873"/>
    <mergeCell ref="D2902:G2902"/>
    <mergeCell ref="D2903:G2903"/>
    <mergeCell ref="B2905:C2905"/>
    <mergeCell ref="A2907:B2907"/>
    <mergeCell ref="A2908:B2908"/>
    <mergeCell ref="A2909:B2909"/>
    <mergeCell ref="A2896:B2896"/>
    <mergeCell ref="D2897:G2897"/>
    <mergeCell ref="D2898:G2898"/>
    <mergeCell ref="D2899:G2899"/>
    <mergeCell ref="D2900:G2900"/>
    <mergeCell ref="D2901:G2901"/>
    <mergeCell ref="D2888:G2888"/>
    <mergeCell ref="D2889:G2889"/>
    <mergeCell ref="D2890:G2890"/>
    <mergeCell ref="B2892:C2892"/>
    <mergeCell ref="A2894:B2894"/>
    <mergeCell ref="A2895:B2895"/>
    <mergeCell ref="D2924:G2924"/>
    <mergeCell ref="D2925:G2925"/>
    <mergeCell ref="D2926:G2926"/>
    <mergeCell ref="D2927:G2927"/>
    <mergeCell ref="D2928:G2928"/>
    <mergeCell ref="D2929:G2929"/>
    <mergeCell ref="D2916:G2916"/>
    <mergeCell ref="B2918:C2918"/>
    <mergeCell ref="A2920:B2920"/>
    <mergeCell ref="A2921:B2921"/>
    <mergeCell ref="A2922:B2922"/>
    <mergeCell ref="D2923:G2923"/>
    <mergeCell ref="D2910:G2910"/>
    <mergeCell ref="D2911:G2911"/>
    <mergeCell ref="D2912:G2912"/>
    <mergeCell ref="D2913:G2913"/>
    <mergeCell ref="D2914:G2914"/>
    <mergeCell ref="D2915:G2915"/>
    <mergeCell ref="A2946:B2946"/>
    <mergeCell ref="A2947:B2947"/>
    <mergeCell ref="A2948:B2948"/>
    <mergeCell ref="D2949:G2949"/>
    <mergeCell ref="D2950:G2950"/>
    <mergeCell ref="D2951:G2951"/>
    <mergeCell ref="D2938:G2938"/>
    <mergeCell ref="D2939:G2939"/>
    <mergeCell ref="D2940:G2940"/>
    <mergeCell ref="D2941:G2941"/>
    <mergeCell ref="D2942:G2942"/>
    <mergeCell ref="B2944:C2944"/>
    <mergeCell ref="B2931:C2931"/>
    <mergeCell ref="A2933:B2933"/>
    <mergeCell ref="A2934:B2934"/>
    <mergeCell ref="A2935:B2935"/>
    <mergeCell ref="D2936:G2936"/>
    <mergeCell ref="D2937:G2937"/>
    <mergeCell ref="D2966:G2966"/>
    <mergeCell ref="D2967:G2967"/>
    <mergeCell ref="D2968:G2968"/>
    <mergeCell ref="B2970:C2970"/>
    <mergeCell ref="A2972:B2972"/>
    <mergeCell ref="A2973:B2973"/>
    <mergeCell ref="A2960:B2960"/>
    <mergeCell ref="A2961:B2961"/>
    <mergeCell ref="D2962:G2962"/>
    <mergeCell ref="D2963:G2963"/>
    <mergeCell ref="D2964:G2964"/>
    <mergeCell ref="D2965:G2965"/>
    <mergeCell ref="D2952:G2952"/>
    <mergeCell ref="D2953:G2953"/>
    <mergeCell ref="D2954:G2954"/>
    <mergeCell ref="D2955:G2955"/>
    <mergeCell ref="B2957:C2957"/>
    <mergeCell ref="A2959:B2959"/>
    <mergeCell ref="D2988:G2988"/>
    <mergeCell ref="D2989:G2989"/>
    <mergeCell ref="D2990:G2990"/>
    <mergeCell ref="D2991:G2991"/>
    <mergeCell ref="D2992:G2992"/>
    <mergeCell ref="D2993:G2993"/>
    <mergeCell ref="D2980:G2980"/>
    <mergeCell ref="D2981:G2981"/>
    <mergeCell ref="B2983:C2983"/>
    <mergeCell ref="A2985:B2985"/>
    <mergeCell ref="A2986:B2986"/>
    <mergeCell ref="A2987:B2987"/>
    <mergeCell ref="A2974:B2974"/>
    <mergeCell ref="D2975:G2975"/>
    <mergeCell ref="D2976:G2976"/>
    <mergeCell ref="D2977:G2977"/>
    <mergeCell ref="D2978:G2978"/>
    <mergeCell ref="D2979:G2979"/>
    <mergeCell ref="B3009:C3009"/>
    <mergeCell ref="A3011:B3011"/>
    <mergeCell ref="A3012:B3012"/>
    <mergeCell ref="A3013:B3013"/>
    <mergeCell ref="D3014:G3014"/>
    <mergeCell ref="D3015:G3015"/>
    <mergeCell ref="D3002:G3002"/>
    <mergeCell ref="D3003:G3003"/>
    <mergeCell ref="D3004:G3004"/>
    <mergeCell ref="D3005:G3005"/>
    <mergeCell ref="D3006:G3006"/>
    <mergeCell ref="D3007:G3007"/>
    <mergeCell ref="D2994:G2994"/>
    <mergeCell ref="B2996:C2996"/>
    <mergeCell ref="A2998:B2998"/>
    <mergeCell ref="A2999:B2999"/>
    <mergeCell ref="A3000:B3000"/>
    <mergeCell ref="D3001:G3001"/>
    <mergeCell ref="D3030:G3030"/>
    <mergeCell ref="D3031:G3031"/>
    <mergeCell ref="D3032:G3032"/>
    <mergeCell ref="D3033:G3033"/>
    <mergeCell ref="B3035:C3035"/>
    <mergeCell ref="A3037:B3037"/>
    <mergeCell ref="A3024:B3024"/>
    <mergeCell ref="A3025:B3025"/>
    <mergeCell ref="A3026:B3026"/>
    <mergeCell ref="D3027:G3027"/>
    <mergeCell ref="D3028:G3028"/>
    <mergeCell ref="D3029:G3029"/>
    <mergeCell ref="D3016:G3016"/>
    <mergeCell ref="D3017:G3017"/>
    <mergeCell ref="D3018:G3018"/>
    <mergeCell ref="D3019:G3019"/>
    <mergeCell ref="D3020:G3020"/>
    <mergeCell ref="B3022:C3022"/>
    <mergeCell ref="A3052:B3052"/>
    <mergeCell ref="D3053:G3053"/>
    <mergeCell ref="D3054:G3054"/>
    <mergeCell ref="D3055:G3055"/>
    <mergeCell ref="D3056:G3056"/>
    <mergeCell ref="D3057:G3057"/>
    <mergeCell ref="D3044:G3044"/>
    <mergeCell ref="D3045:G3045"/>
    <mergeCell ref="D3046:G3046"/>
    <mergeCell ref="B3048:C3048"/>
    <mergeCell ref="A3050:B3050"/>
    <mergeCell ref="A3051:B3051"/>
    <mergeCell ref="A3038:B3038"/>
    <mergeCell ref="A3039:B3039"/>
    <mergeCell ref="D3040:G3040"/>
    <mergeCell ref="D3041:G3041"/>
    <mergeCell ref="D3042:G3042"/>
    <mergeCell ref="D3043:G3043"/>
    <mergeCell ref="D3072:G3072"/>
    <mergeCell ref="B3074:C3074"/>
    <mergeCell ref="A3076:B3076"/>
    <mergeCell ref="A3077:B3077"/>
    <mergeCell ref="A3078:B3078"/>
    <mergeCell ref="D3079:G3079"/>
    <mergeCell ref="D3066:G3066"/>
    <mergeCell ref="D3067:G3067"/>
    <mergeCell ref="D3068:G3068"/>
    <mergeCell ref="D3069:G3069"/>
    <mergeCell ref="D3070:G3070"/>
    <mergeCell ref="D3071:G3071"/>
    <mergeCell ref="D3058:G3058"/>
    <mergeCell ref="D3059:G3059"/>
    <mergeCell ref="B3061:C3061"/>
    <mergeCell ref="A3063:B3063"/>
    <mergeCell ref="A3064:B3064"/>
    <mergeCell ref="A3065:B3065"/>
    <mergeCell ref="D3094:G3094"/>
    <mergeCell ref="D3095:G3095"/>
    <mergeCell ref="D3096:G3096"/>
    <mergeCell ref="D3097:G3097"/>
    <mergeCell ref="D3098:G3098"/>
    <mergeCell ref="B3100:C3100"/>
    <mergeCell ref="B3087:C3087"/>
    <mergeCell ref="A3089:B3089"/>
    <mergeCell ref="A3090:B3090"/>
    <mergeCell ref="A3091:B3091"/>
    <mergeCell ref="D3092:G3092"/>
    <mergeCell ref="D3093:G3093"/>
    <mergeCell ref="D3080:G3080"/>
    <mergeCell ref="D3081:G3081"/>
    <mergeCell ref="D3082:G3082"/>
    <mergeCell ref="D3083:G3083"/>
    <mergeCell ref="D3084:G3084"/>
    <mergeCell ref="D3085:G3085"/>
    <mergeCell ref="A3116:B3116"/>
    <mergeCell ref="A3117:B3117"/>
    <mergeCell ref="D3118:G3118"/>
    <mergeCell ref="D3119:G3119"/>
    <mergeCell ref="D3120:G3120"/>
    <mergeCell ref="D3121:G3121"/>
    <mergeCell ref="D3108:G3108"/>
    <mergeCell ref="D3109:G3109"/>
    <mergeCell ref="D3110:G3110"/>
    <mergeCell ref="D3111:G3111"/>
    <mergeCell ref="B3113:C3113"/>
    <mergeCell ref="A3115:B3115"/>
    <mergeCell ref="A3102:B3102"/>
    <mergeCell ref="A3103:B3103"/>
    <mergeCell ref="A3104:B3104"/>
    <mergeCell ref="D3105:G3105"/>
    <mergeCell ref="D3106:G3106"/>
    <mergeCell ref="D3107:G3107"/>
    <mergeCell ref="D3136:G3136"/>
    <mergeCell ref="D3137:G3137"/>
    <mergeCell ref="B3139:C3139"/>
    <mergeCell ref="A3141:B3141"/>
    <mergeCell ref="A3142:B3142"/>
    <mergeCell ref="A3143:B3143"/>
    <mergeCell ref="A3130:B3130"/>
    <mergeCell ref="D3131:G3131"/>
    <mergeCell ref="D3132:G3132"/>
    <mergeCell ref="D3133:G3133"/>
    <mergeCell ref="D3134:G3134"/>
    <mergeCell ref="D3135:G3135"/>
    <mergeCell ref="D3122:G3122"/>
    <mergeCell ref="D3123:G3123"/>
    <mergeCell ref="D3124:G3124"/>
    <mergeCell ref="B3126:C3126"/>
    <mergeCell ref="A3128:B3128"/>
    <mergeCell ref="A3129:B3129"/>
    <mergeCell ref="D3158:G3158"/>
    <mergeCell ref="D3159:G3159"/>
    <mergeCell ref="D3160:G3160"/>
    <mergeCell ref="D3161:G3161"/>
    <mergeCell ref="D3162:G3162"/>
    <mergeCell ref="D3163:G3163"/>
    <mergeCell ref="D3150:G3150"/>
    <mergeCell ref="B3152:C3152"/>
    <mergeCell ref="A3154:B3154"/>
    <mergeCell ref="A3155:B3155"/>
    <mergeCell ref="A3156:B3156"/>
    <mergeCell ref="D3157:G3157"/>
    <mergeCell ref="D3144:G3144"/>
    <mergeCell ref="D3145:G3145"/>
    <mergeCell ref="D3146:G3146"/>
    <mergeCell ref="D3147:G3147"/>
    <mergeCell ref="D3148:G3148"/>
    <mergeCell ref="D3149:G3149"/>
    <mergeCell ref="A3180:B3180"/>
    <mergeCell ref="A3181:B3181"/>
    <mergeCell ref="A3182:B3182"/>
    <mergeCell ref="D3183:G3183"/>
    <mergeCell ref="D3184:G3184"/>
    <mergeCell ref="D3185:G3185"/>
    <mergeCell ref="D3172:G3172"/>
    <mergeCell ref="D3173:G3173"/>
    <mergeCell ref="D3174:G3174"/>
    <mergeCell ref="D3175:G3175"/>
    <mergeCell ref="D3176:G3176"/>
    <mergeCell ref="B3178:C3178"/>
    <mergeCell ref="B3165:C3165"/>
    <mergeCell ref="A3167:B3167"/>
    <mergeCell ref="A3168:B3168"/>
    <mergeCell ref="A3169:B3169"/>
    <mergeCell ref="D3170:G3170"/>
    <mergeCell ref="D3171:G3171"/>
    <mergeCell ref="D3200:G3200"/>
    <mergeCell ref="D3201:G3201"/>
    <mergeCell ref="D3202:G3202"/>
    <mergeCell ref="B3204:C3204"/>
    <mergeCell ref="A3206:B3206"/>
    <mergeCell ref="A3207:B3207"/>
    <mergeCell ref="A3194:B3194"/>
    <mergeCell ref="A3195:B3195"/>
    <mergeCell ref="D3196:G3196"/>
    <mergeCell ref="D3197:G3197"/>
    <mergeCell ref="D3198:G3198"/>
    <mergeCell ref="D3199:G3199"/>
    <mergeCell ref="D3186:G3186"/>
    <mergeCell ref="D3187:G3187"/>
    <mergeCell ref="D3188:G3188"/>
    <mergeCell ref="D3189:G3189"/>
    <mergeCell ref="B3191:C3191"/>
    <mergeCell ref="A3193:B3193"/>
    <mergeCell ref="D3222:G3222"/>
    <mergeCell ref="D3223:G3223"/>
    <mergeCell ref="D3224:G3224"/>
    <mergeCell ref="D3225:G3225"/>
    <mergeCell ref="D3226:G3226"/>
    <mergeCell ref="D3227:G3227"/>
    <mergeCell ref="D3214:G3214"/>
    <mergeCell ref="D3215:G3215"/>
    <mergeCell ref="B3217:C3217"/>
    <mergeCell ref="A3219:B3219"/>
    <mergeCell ref="A3220:B3220"/>
    <mergeCell ref="A3221:B3221"/>
    <mergeCell ref="A3208:B3208"/>
    <mergeCell ref="D3209:G3209"/>
    <mergeCell ref="D3210:G3210"/>
    <mergeCell ref="D3211:G3211"/>
    <mergeCell ref="D3212:G3212"/>
    <mergeCell ref="D3213:G3213"/>
    <mergeCell ref="B3243:C3243"/>
    <mergeCell ref="A3245:B3245"/>
    <mergeCell ref="A3246:B3246"/>
    <mergeCell ref="A3247:B3247"/>
    <mergeCell ref="D3248:G3248"/>
    <mergeCell ref="D3249:G3249"/>
    <mergeCell ref="D3236:G3236"/>
    <mergeCell ref="D3237:G3237"/>
    <mergeCell ref="D3238:G3238"/>
    <mergeCell ref="D3239:G3239"/>
    <mergeCell ref="D3240:G3240"/>
    <mergeCell ref="D3241:G3241"/>
    <mergeCell ref="D3228:G3228"/>
    <mergeCell ref="B3230:C3230"/>
    <mergeCell ref="A3232:B3232"/>
    <mergeCell ref="A3233:B3233"/>
    <mergeCell ref="A3234:B3234"/>
    <mergeCell ref="D3235:G3235"/>
    <mergeCell ref="D3264:G3264"/>
    <mergeCell ref="D3265:G3265"/>
    <mergeCell ref="D3266:G3266"/>
    <mergeCell ref="D3267:G3267"/>
    <mergeCell ref="B3269:C3269"/>
    <mergeCell ref="A3271:B3271"/>
    <mergeCell ref="A3258:B3258"/>
    <mergeCell ref="A3259:B3259"/>
    <mergeCell ref="A3260:B3260"/>
    <mergeCell ref="D3261:G3261"/>
    <mergeCell ref="D3262:G3262"/>
    <mergeCell ref="D3263:G3263"/>
    <mergeCell ref="D3250:G3250"/>
    <mergeCell ref="D3251:G3251"/>
    <mergeCell ref="D3252:G3252"/>
    <mergeCell ref="D3253:G3253"/>
    <mergeCell ref="D3254:G3254"/>
    <mergeCell ref="B3256:C3256"/>
    <mergeCell ref="A3286:B3286"/>
    <mergeCell ref="D3287:G3287"/>
    <mergeCell ref="D3288:G3288"/>
    <mergeCell ref="D3289:G3289"/>
    <mergeCell ref="D3290:G3290"/>
    <mergeCell ref="D3291:G3291"/>
    <mergeCell ref="D3278:G3278"/>
    <mergeCell ref="D3279:G3279"/>
    <mergeCell ref="D3280:G3280"/>
    <mergeCell ref="B3282:C3282"/>
    <mergeCell ref="A3284:B3284"/>
    <mergeCell ref="A3285:B3285"/>
    <mergeCell ref="A3272:B3272"/>
    <mergeCell ref="A3273:B3273"/>
    <mergeCell ref="D3274:G3274"/>
    <mergeCell ref="D3275:G3275"/>
    <mergeCell ref="D3276:G3276"/>
    <mergeCell ref="D3277:G3277"/>
    <mergeCell ref="D3306:G3306"/>
    <mergeCell ref="B3308:C3308"/>
    <mergeCell ref="A3310:B3310"/>
    <mergeCell ref="A3311:B3311"/>
    <mergeCell ref="A3312:B3312"/>
    <mergeCell ref="D3313:G3313"/>
    <mergeCell ref="D3300:G3300"/>
    <mergeCell ref="D3301:G3301"/>
    <mergeCell ref="D3302:G3302"/>
    <mergeCell ref="D3303:G3303"/>
    <mergeCell ref="D3304:G3304"/>
    <mergeCell ref="D3305:G3305"/>
    <mergeCell ref="D3292:G3292"/>
    <mergeCell ref="D3293:G3293"/>
    <mergeCell ref="B3295:C3295"/>
    <mergeCell ref="A3297:B3297"/>
    <mergeCell ref="A3298:B3298"/>
    <mergeCell ref="A3299:B3299"/>
    <mergeCell ref="D3328:G3328"/>
    <mergeCell ref="D3329:G3329"/>
    <mergeCell ref="D3330:G3330"/>
    <mergeCell ref="D3331:G3331"/>
    <mergeCell ref="D3332:G3332"/>
    <mergeCell ref="B3334:C3334"/>
    <mergeCell ref="B3321:C3321"/>
    <mergeCell ref="A3323:B3323"/>
    <mergeCell ref="A3324:B3324"/>
    <mergeCell ref="A3325:B3325"/>
    <mergeCell ref="D3326:G3326"/>
    <mergeCell ref="D3327:G3327"/>
    <mergeCell ref="D3314:G3314"/>
    <mergeCell ref="D3315:G3315"/>
    <mergeCell ref="D3316:G3316"/>
    <mergeCell ref="D3317:G3317"/>
    <mergeCell ref="D3318:G3318"/>
    <mergeCell ref="D3319:G3319"/>
    <mergeCell ref="A3350:B3350"/>
    <mergeCell ref="D3351:G3351"/>
    <mergeCell ref="D3352:G3352"/>
    <mergeCell ref="D3353:G3353"/>
    <mergeCell ref="D3354:G3354"/>
    <mergeCell ref="D3355:G3355"/>
    <mergeCell ref="D3342:G3342"/>
    <mergeCell ref="D3343:G3343"/>
    <mergeCell ref="D3344:G3344"/>
    <mergeCell ref="B3346:C3346"/>
    <mergeCell ref="A3348:B3348"/>
    <mergeCell ref="A3349:B3349"/>
    <mergeCell ref="A3336:B3336"/>
    <mergeCell ref="A3337:B3337"/>
    <mergeCell ref="D3338:G3338"/>
    <mergeCell ref="D3339:G3339"/>
    <mergeCell ref="D3340:G3340"/>
    <mergeCell ref="D3341:G3341"/>
    <mergeCell ref="B3371:C3371"/>
    <mergeCell ref="A3373:B3373"/>
    <mergeCell ref="A3374:B3374"/>
    <mergeCell ref="A3375:B3375"/>
    <mergeCell ref="A3376:B3376"/>
    <mergeCell ref="A3377:B3377"/>
    <mergeCell ref="D3364:G3364"/>
    <mergeCell ref="D3365:G3365"/>
    <mergeCell ref="D3366:G3366"/>
    <mergeCell ref="D3367:G3367"/>
    <mergeCell ref="D3368:G3368"/>
    <mergeCell ref="D3369:G3369"/>
    <mergeCell ref="D3356:G3356"/>
    <mergeCell ref="D3357:G3357"/>
    <mergeCell ref="B3359:C3359"/>
    <mergeCell ref="A3361:B3361"/>
    <mergeCell ref="A3362:B3362"/>
    <mergeCell ref="D3363:G3363"/>
    <mergeCell ref="A3392:B3392"/>
    <mergeCell ref="A3393:B3393"/>
    <mergeCell ref="A3394:B3394"/>
    <mergeCell ref="D3395:G3395"/>
    <mergeCell ref="D3396:G3396"/>
    <mergeCell ref="D3397:G3397"/>
    <mergeCell ref="D3384:G3384"/>
    <mergeCell ref="D3385:G3385"/>
    <mergeCell ref="B3387:C3387"/>
    <mergeCell ref="A3389:B3389"/>
    <mergeCell ref="A3390:B3390"/>
    <mergeCell ref="A3391:B3391"/>
    <mergeCell ref="A3378:B3378"/>
    <mergeCell ref="D3379:G3379"/>
    <mergeCell ref="D3380:G3380"/>
    <mergeCell ref="D3381:G3381"/>
    <mergeCell ref="D3382:G3382"/>
    <mergeCell ref="D3383:G3383"/>
    <mergeCell ref="D3412:G3412"/>
    <mergeCell ref="D3413:G3413"/>
    <mergeCell ref="D3414:G3414"/>
    <mergeCell ref="D3415:G3415"/>
    <mergeCell ref="D3416:G3416"/>
    <mergeCell ref="D3417:G3417"/>
    <mergeCell ref="A3406:B3406"/>
    <mergeCell ref="A3407:B3407"/>
    <mergeCell ref="A3408:B3408"/>
    <mergeCell ref="A3409:B3409"/>
    <mergeCell ref="A3410:B3410"/>
    <mergeCell ref="D3411:G3411"/>
    <mergeCell ref="D3398:G3398"/>
    <mergeCell ref="D3399:G3399"/>
    <mergeCell ref="D3400:G3400"/>
    <mergeCell ref="D3401:G3401"/>
    <mergeCell ref="B3403:C3403"/>
    <mergeCell ref="A3405:B3405"/>
    <mergeCell ref="D3432:G3432"/>
    <mergeCell ref="D3433:G3433"/>
    <mergeCell ref="B3435:C3435"/>
    <mergeCell ref="A3437:B3437"/>
    <mergeCell ref="A3438:B3438"/>
    <mergeCell ref="A3439:B3439"/>
    <mergeCell ref="A3426:B3426"/>
    <mergeCell ref="D3427:G3427"/>
    <mergeCell ref="D3428:G3428"/>
    <mergeCell ref="D3429:G3429"/>
    <mergeCell ref="D3430:G3430"/>
    <mergeCell ref="D3431:G3431"/>
    <mergeCell ref="B3419:C3419"/>
    <mergeCell ref="A3421:B3421"/>
    <mergeCell ref="A3422:B3422"/>
    <mergeCell ref="A3423:B3423"/>
    <mergeCell ref="A3424:B3424"/>
    <mergeCell ref="A3425:B3425"/>
    <mergeCell ref="A3454:B3454"/>
    <mergeCell ref="A3455:B3455"/>
    <mergeCell ref="A3456:B3456"/>
    <mergeCell ref="A3457:B3457"/>
    <mergeCell ref="A3458:B3458"/>
    <mergeCell ref="D3459:G3459"/>
    <mergeCell ref="D3446:G3446"/>
    <mergeCell ref="D3447:G3447"/>
    <mergeCell ref="D3448:G3448"/>
    <mergeCell ref="D3449:G3449"/>
    <mergeCell ref="B3451:C3451"/>
    <mergeCell ref="A3453:B3453"/>
    <mergeCell ref="A3440:B3440"/>
    <mergeCell ref="A3441:B3441"/>
    <mergeCell ref="A3442:B3442"/>
    <mergeCell ref="D3443:G3443"/>
    <mergeCell ref="D3444:G3444"/>
    <mergeCell ref="D3445:G3445"/>
    <mergeCell ref="D3474:G3474"/>
    <mergeCell ref="D3475:G3475"/>
    <mergeCell ref="D3476:G3476"/>
    <mergeCell ref="D3477:G3477"/>
    <mergeCell ref="D3478:G3478"/>
    <mergeCell ref="D3479:G3479"/>
    <mergeCell ref="B3467:C3467"/>
    <mergeCell ref="A3469:B3469"/>
    <mergeCell ref="A3470:B3470"/>
    <mergeCell ref="A3471:B3471"/>
    <mergeCell ref="A3472:B3472"/>
    <mergeCell ref="D3473:G3473"/>
    <mergeCell ref="D3460:G3460"/>
    <mergeCell ref="D3461:G3461"/>
    <mergeCell ref="D3462:G3462"/>
    <mergeCell ref="D3463:G3463"/>
    <mergeCell ref="D3464:G3464"/>
    <mergeCell ref="D3465:G3465"/>
    <mergeCell ref="D3494:G3494"/>
    <mergeCell ref="B3496:C3496"/>
    <mergeCell ref="A3498:B3498"/>
    <mergeCell ref="A3499:B3499"/>
    <mergeCell ref="A3500:B3500"/>
    <mergeCell ref="A3501:B3501"/>
    <mergeCell ref="D3488:G3488"/>
    <mergeCell ref="D3489:G3489"/>
    <mergeCell ref="D3490:G3490"/>
    <mergeCell ref="D3491:G3491"/>
    <mergeCell ref="D3492:G3492"/>
    <mergeCell ref="D3493:G3493"/>
    <mergeCell ref="B3481:C3481"/>
    <mergeCell ref="A3483:B3483"/>
    <mergeCell ref="A3484:B3484"/>
    <mergeCell ref="A3485:B3485"/>
    <mergeCell ref="A3486:B3486"/>
    <mergeCell ref="A3487:B3487"/>
    <mergeCell ref="A3516:B3516"/>
    <mergeCell ref="A3517:B3517"/>
    <mergeCell ref="A3518:B3518"/>
    <mergeCell ref="A3519:B3519"/>
    <mergeCell ref="D3520:G3520"/>
    <mergeCell ref="D3521:G3521"/>
    <mergeCell ref="D3508:G3508"/>
    <mergeCell ref="D3509:G3509"/>
    <mergeCell ref="D3510:G3510"/>
    <mergeCell ref="B3512:C3512"/>
    <mergeCell ref="A3514:B3514"/>
    <mergeCell ref="A3515:B3515"/>
    <mergeCell ref="A3502:B3502"/>
    <mergeCell ref="A3503:B3503"/>
    <mergeCell ref="D3504:G3504"/>
    <mergeCell ref="D3505:G3505"/>
    <mergeCell ref="D3506:G3506"/>
    <mergeCell ref="D3507:G3507"/>
    <mergeCell ref="D3536:G3536"/>
    <mergeCell ref="D3537:G3537"/>
    <mergeCell ref="D3538:G3538"/>
    <mergeCell ref="D3539:G3539"/>
    <mergeCell ref="D3540:G3540"/>
    <mergeCell ref="D3541:G3541"/>
    <mergeCell ref="A3530:B3530"/>
    <mergeCell ref="A3531:B3531"/>
    <mergeCell ref="A3532:B3532"/>
    <mergeCell ref="A3533:B3533"/>
    <mergeCell ref="A3534:B3534"/>
    <mergeCell ref="A3535:B3535"/>
    <mergeCell ref="D3522:G3522"/>
    <mergeCell ref="D3523:G3523"/>
    <mergeCell ref="D3524:G3524"/>
    <mergeCell ref="D3525:G3525"/>
    <mergeCell ref="D3526:G3526"/>
    <mergeCell ref="B3528:C3528"/>
    <mergeCell ref="D3556:G3556"/>
    <mergeCell ref="D3557:G3557"/>
    <mergeCell ref="D3558:G3558"/>
    <mergeCell ref="B3560:C3560"/>
    <mergeCell ref="A3562:B3562"/>
    <mergeCell ref="A3563:B3563"/>
    <mergeCell ref="A3550:B3550"/>
    <mergeCell ref="A3551:B3551"/>
    <mergeCell ref="D3552:G3552"/>
    <mergeCell ref="D3553:G3553"/>
    <mergeCell ref="D3554:G3554"/>
    <mergeCell ref="D3555:G3555"/>
    <mergeCell ref="D3542:G3542"/>
    <mergeCell ref="B3544:C3544"/>
    <mergeCell ref="A3546:B3546"/>
    <mergeCell ref="A3547:B3547"/>
    <mergeCell ref="A3548:B3548"/>
    <mergeCell ref="A3549:B3549"/>
    <mergeCell ref="A3578:B3578"/>
    <mergeCell ref="A3579:B3579"/>
    <mergeCell ref="A3580:B3580"/>
    <mergeCell ref="D3581:G3581"/>
    <mergeCell ref="D3582:G3582"/>
    <mergeCell ref="D3583:G3583"/>
    <mergeCell ref="D3570:G3570"/>
    <mergeCell ref="D3571:G3571"/>
    <mergeCell ref="D3572:G3572"/>
    <mergeCell ref="B3574:C3574"/>
    <mergeCell ref="A3576:B3576"/>
    <mergeCell ref="A3577:B3577"/>
    <mergeCell ref="A3564:B3564"/>
    <mergeCell ref="A3565:B3565"/>
    <mergeCell ref="D3566:G3566"/>
    <mergeCell ref="D3567:G3567"/>
    <mergeCell ref="D3568:G3568"/>
    <mergeCell ref="D3569:G3569"/>
    <mergeCell ref="D3598:G3598"/>
    <mergeCell ref="D3599:G3599"/>
    <mergeCell ref="D3600:G3600"/>
    <mergeCell ref="B3602:C3602"/>
    <mergeCell ref="A3604:B3604"/>
    <mergeCell ref="A3605:B3605"/>
    <mergeCell ref="A3592:B3592"/>
    <mergeCell ref="A3593:B3593"/>
    <mergeCell ref="D3594:G3594"/>
    <mergeCell ref="D3595:G3595"/>
    <mergeCell ref="D3596:G3596"/>
    <mergeCell ref="D3597:G3597"/>
    <mergeCell ref="D3584:G3584"/>
    <mergeCell ref="D3585:G3585"/>
    <mergeCell ref="D3586:G3586"/>
    <mergeCell ref="D3587:G3587"/>
    <mergeCell ref="B3589:C3589"/>
    <mergeCell ref="A3591:B3591"/>
    <mergeCell ref="D3620:G3620"/>
    <mergeCell ref="D3621:G3621"/>
    <mergeCell ref="D3622:G3622"/>
    <mergeCell ref="D3623:G3623"/>
    <mergeCell ref="D3624:G3624"/>
    <mergeCell ref="D3625:G3625"/>
    <mergeCell ref="D3612:G3612"/>
    <mergeCell ref="B3614:C3614"/>
    <mergeCell ref="A3616:B3616"/>
    <mergeCell ref="A3617:B3617"/>
    <mergeCell ref="A3618:B3618"/>
    <mergeCell ref="D3619:G3619"/>
    <mergeCell ref="D3606:G3606"/>
    <mergeCell ref="D3607:G3607"/>
    <mergeCell ref="D3608:G3608"/>
    <mergeCell ref="D3609:G3609"/>
    <mergeCell ref="D3610:G3610"/>
    <mergeCell ref="D3611:G3611"/>
    <mergeCell ref="A3642:B3642"/>
    <mergeCell ref="A3643:B3643"/>
    <mergeCell ref="D3644:G3644"/>
    <mergeCell ref="D3645:G3645"/>
    <mergeCell ref="D3646:G3646"/>
    <mergeCell ref="D3647:G3647"/>
    <mergeCell ref="D3634:G3634"/>
    <mergeCell ref="D3635:G3635"/>
    <mergeCell ref="D3636:G3636"/>
    <mergeCell ref="D3637:G3637"/>
    <mergeCell ref="D3638:G3638"/>
    <mergeCell ref="B3640:C3640"/>
    <mergeCell ref="B3627:C3627"/>
    <mergeCell ref="A3629:B3629"/>
    <mergeCell ref="A3630:B3630"/>
    <mergeCell ref="A3631:B3631"/>
    <mergeCell ref="D3632:G3632"/>
    <mergeCell ref="D3633:G3633"/>
    <mergeCell ref="D3662:G3662"/>
    <mergeCell ref="D3663:G3663"/>
    <mergeCell ref="D3664:G3664"/>
    <mergeCell ref="D3665:G3665"/>
    <mergeCell ref="D3666:G3666"/>
    <mergeCell ref="B3668:C3668"/>
    <mergeCell ref="A3656:B3656"/>
    <mergeCell ref="A3657:B3657"/>
    <mergeCell ref="A3658:B3658"/>
    <mergeCell ref="A3659:B3659"/>
    <mergeCell ref="D3660:G3660"/>
    <mergeCell ref="D3661:G3661"/>
    <mergeCell ref="D3648:G3648"/>
    <mergeCell ref="D3649:G3649"/>
    <mergeCell ref="D3650:G3650"/>
    <mergeCell ref="B3652:C3652"/>
    <mergeCell ref="A3654:B3654"/>
    <mergeCell ref="A3655:B3655"/>
    <mergeCell ref="D3684:G3684"/>
    <mergeCell ref="D3685:G3685"/>
    <mergeCell ref="D3686:G3686"/>
    <mergeCell ref="D3687:G3687"/>
    <mergeCell ref="D3688:G3688"/>
    <mergeCell ref="D3689:G3689"/>
    <mergeCell ref="D3676:G3676"/>
    <mergeCell ref="D3677:G3677"/>
    <mergeCell ref="D3678:G3678"/>
    <mergeCell ref="D3679:G3679"/>
    <mergeCell ref="B3681:C3681"/>
    <mergeCell ref="A3683:B3683"/>
    <mergeCell ref="A3670:B3670"/>
    <mergeCell ref="A3671:B3671"/>
    <mergeCell ref="A3672:B3672"/>
    <mergeCell ref="D3673:G3673"/>
    <mergeCell ref="D3674:G3674"/>
    <mergeCell ref="D3675:G3675"/>
    <mergeCell ref="A3706:B3706"/>
    <mergeCell ref="A3707:B3707"/>
    <mergeCell ref="A3708:B3708"/>
    <mergeCell ref="D3709:G3709"/>
    <mergeCell ref="D3710:G3710"/>
    <mergeCell ref="D3711:G3711"/>
    <mergeCell ref="D3698:G3698"/>
    <mergeCell ref="D3699:G3699"/>
    <mergeCell ref="D3700:G3700"/>
    <mergeCell ref="D3701:G3701"/>
    <mergeCell ref="D3702:G3702"/>
    <mergeCell ref="B3704:C3704"/>
    <mergeCell ref="D3690:G3690"/>
    <mergeCell ref="B3692:C3692"/>
    <mergeCell ref="A3694:B3694"/>
    <mergeCell ref="A3695:B3695"/>
    <mergeCell ref="D3696:G3696"/>
    <mergeCell ref="D3697:G3697"/>
    <mergeCell ref="D3726:G3726"/>
    <mergeCell ref="D3727:G3727"/>
    <mergeCell ref="D3728:G3728"/>
    <mergeCell ref="B3730:C3730"/>
    <mergeCell ref="A3732:B3732"/>
    <mergeCell ref="A3733:B3733"/>
    <mergeCell ref="A3720:B3720"/>
    <mergeCell ref="A3721:B3721"/>
    <mergeCell ref="D3722:G3722"/>
    <mergeCell ref="D3723:G3723"/>
    <mergeCell ref="D3724:G3724"/>
    <mergeCell ref="D3725:G3725"/>
    <mergeCell ref="D3712:G3712"/>
    <mergeCell ref="D3713:G3713"/>
    <mergeCell ref="D3714:G3714"/>
    <mergeCell ref="D3715:G3715"/>
    <mergeCell ref="B3717:C3717"/>
    <mergeCell ref="A3719:B3719"/>
    <mergeCell ref="D3748:G3748"/>
    <mergeCell ref="D3749:G3749"/>
    <mergeCell ref="D3750:G3750"/>
    <mergeCell ref="D3751:G3751"/>
    <mergeCell ref="D3752:G3752"/>
    <mergeCell ref="D3753:G3753"/>
    <mergeCell ref="D3740:G3740"/>
    <mergeCell ref="D3741:G3741"/>
    <mergeCell ref="B3743:C3743"/>
    <mergeCell ref="A3745:B3745"/>
    <mergeCell ref="A3746:B3746"/>
    <mergeCell ref="A3747:B3747"/>
    <mergeCell ref="A3734:B3734"/>
    <mergeCell ref="D3735:G3735"/>
    <mergeCell ref="D3736:G3736"/>
    <mergeCell ref="D3737:G3737"/>
    <mergeCell ref="D3738:G3738"/>
    <mergeCell ref="D3739:G3739"/>
    <mergeCell ref="B3769:C3769"/>
    <mergeCell ref="A3771:B3771"/>
    <mergeCell ref="A3772:B3772"/>
    <mergeCell ref="D3773:G3773"/>
    <mergeCell ref="D3774:G3774"/>
    <mergeCell ref="D3775:G3775"/>
    <mergeCell ref="D3762:G3762"/>
    <mergeCell ref="D3763:G3763"/>
    <mergeCell ref="D3764:G3764"/>
    <mergeCell ref="D3765:G3765"/>
    <mergeCell ref="D3766:G3766"/>
    <mergeCell ref="D3767:G3767"/>
    <mergeCell ref="D3754:G3754"/>
    <mergeCell ref="B3756:C3756"/>
    <mergeCell ref="A3758:B3758"/>
    <mergeCell ref="A3759:B3759"/>
    <mergeCell ref="A3760:B3760"/>
    <mergeCell ref="D3761:G3761"/>
    <mergeCell ref="D3790:G3790"/>
    <mergeCell ref="D3791:G3791"/>
    <mergeCell ref="B3793:C3793"/>
    <mergeCell ref="A3795:B3795"/>
    <mergeCell ref="A3796:B3796"/>
    <mergeCell ref="A3797:B3797"/>
    <mergeCell ref="A3784:B3784"/>
    <mergeCell ref="D3785:G3785"/>
    <mergeCell ref="D3786:G3786"/>
    <mergeCell ref="D3787:G3787"/>
    <mergeCell ref="D3788:G3788"/>
    <mergeCell ref="D3789:G3789"/>
    <mergeCell ref="D3776:G3776"/>
    <mergeCell ref="D3777:G3777"/>
    <mergeCell ref="D3778:G3778"/>
    <mergeCell ref="D3779:G3779"/>
    <mergeCell ref="B3781:C3781"/>
    <mergeCell ref="A3783:B3783"/>
    <mergeCell ref="D3812:G3812"/>
    <mergeCell ref="D3813:G3813"/>
    <mergeCell ref="D3814:G3814"/>
    <mergeCell ref="D3815:G3815"/>
    <mergeCell ref="D3816:G3816"/>
    <mergeCell ref="B3818:C3818"/>
    <mergeCell ref="D3804:G3804"/>
    <mergeCell ref="B3806:C3806"/>
    <mergeCell ref="A3808:B3808"/>
    <mergeCell ref="A3809:B3809"/>
    <mergeCell ref="D3810:G3810"/>
    <mergeCell ref="D3811:G3811"/>
    <mergeCell ref="D3798:G3798"/>
    <mergeCell ref="D3799:G3799"/>
    <mergeCell ref="D3800:G3800"/>
    <mergeCell ref="D3801:G3801"/>
    <mergeCell ref="D3802:G3802"/>
    <mergeCell ref="D3803:G3803"/>
    <mergeCell ref="A3834:B3834"/>
    <mergeCell ref="A3835:B3835"/>
    <mergeCell ref="D3836:G3836"/>
    <mergeCell ref="D3837:G3837"/>
    <mergeCell ref="D3838:G3838"/>
    <mergeCell ref="D3839:G3839"/>
    <mergeCell ref="D3826:G3826"/>
    <mergeCell ref="D3827:G3827"/>
    <mergeCell ref="D3828:G3828"/>
    <mergeCell ref="B3830:C3830"/>
    <mergeCell ref="A3832:B3832"/>
    <mergeCell ref="A3833:B3833"/>
    <mergeCell ref="A3820:B3820"/>
    <mergeCell ref="A3821:B3821"/>
    <mergeCell ref="D3822:G3822"/>
    <mergeCell ref="D3823:G3823"/>
    <mergeCell ref="D3824:G3824"/>
    <mergeCell ref="D3825:G3825"/>
    <mergeCell ref="D3854:G3854"/>
    <mergeCell ref="D3855:G3855"/>
    <mergeCell ref="B3857:C3857"/>
    <mergeCell ref="A3859:B3859"/>
    <mergeCell ref="D3860:G3860"/>
    <mergeCell ref="D3861:G3861"/>
    <mergeCell ref="A3848:B3848"/>
    <mergeCell ref="D3849:G3849"/>
    <mergeCell ref="D3850:G3850"/>
    <mergeCell ref="D3851:G3851"/>
    <mergeCell ref="D3852:G3852"/>
    <mergeCell ref="D3853:G3853"/>
    <mergeCell ref="D3840:G3840"/>
    <mergeCell ref="D3841:G3841"/>
    <mergeCell ref="D3842:G3842"/>
    <mergeCell ref="B3844:C3844"/>
    <mergeCell ref="A3846:B3846"/>
    <mergeCell ref="A3847:B3847"/>
    <mergeCell ref="D3876:G3876"/>
    <mergeCell ref="D3877:G3877"/>
    <mergeCell ref="D3878:G3878"/>
    <mergeCell ref="B3880:C3880"/>
    <mergeCell ref="A3882:B3882"/>
    <mergeCell ref="A3883:B3883"/>
    <mergeCell ref="A3870:B3870"/>
    <mergeCell ref="A3871:B3871"/>
    <mergeCell ref="D3872:G3872"/>
    <mergeCell ref="D3873:G3873"/>
    <mergeCell ref="D3874:G3874"/>
    <mergeCell ref="D3875:G3875"/>
    <mergeCell ref="D3862:G3862"/>
    <mergeCell ref="D3863:G3863"/>
    <mergeCell ref="D3864:G3864"/>
    <mergeCell ref="D3865:G3865"/>
    <mergeCell ref="D3866:G3866"/>
    <mergeCell ref="B3868:C3868"/>
    <mergeCell ref="D3898:G3898"/>
    <mergeCell ref="D3899:G3899"/>
    <mergeCell ref="D3900:G3900"/>
    <mergeCell ref="D3901:G3901"/>
    <mergeCell ref="D3902:G3902"/>
    <mergeCell ref="D3903:G3903"/>
    <mergeCell ref="D3890:G3890"/>
    <mergeCell ref="D3891:G3891"/>
    <mergeCell ref="B3893:C3893"/>
    <mergeCell ref="A3895:B3895"/>
    <mergeCell ref="A3896:B3896"/>
    <mergeCell ref="A3897:B3897"/>
    <mergeCell ref="A3884:B3884"/>
    <mergeCell ref="D3885:G3885"/>
    <mergeCell ref="D3886:G3886"/>
    <mergeCell ref="D3887:G3887"/>
    <mergeCell ref="D3888:G3888"/>
    <mergeCell ref="D3889:G3889"/>
    <mergeCell ref="A3920:B3920"/>
    <mergeCell ref="A3921:B3921"/>
    <mergeCell ref="A3922:B3922"/>
    <mergeCell ref="D3923:G3923"/>
    <mergeCell ref="D3924:G3924"/>
    <mergeCell ref="D3925:G3925"/>
    <mergeCell ref="D3912:G3912"/>
    <mergeCell ref="D3913:G3913"/>
    <mergeCell ref="D3914:G3914"/>
    <mergeCell ref="D3915:G3915"/>
    <mergeCell ref="D3916:G3916"/>
    <mergeCell ref="B3918:C3918"/>
    <mergeCell ref="D3904:G3904"/>
    <mergeCell ref="B3906:C3906"/>
    <mergeCell ref="A3908:B3908"/>
    <mergeCell ref="A3909:B3909"/>
    <mergeCell ref="D3910:G3910"/>
    <mergeCell ref="D3911:G3911"/>
    <mergeCell ref="D3940:G3940"/>
    <mergeCell ref="D3941:G3941"/>
    <mergeCell ref="D3942:G3942"/>
    <mergeCell ref="B3944:C3944"/>
    <mergeCell ref="A3946:B3946"/>
    <mergeCell ref="A3947:B3947"/>
    <mergeCell ref="A3934:B3934"/>
    <mergeCell ref="A3935:B3935"/>
    <mergeCell ref="D3936:G3936"/>
    <mergeCell ref="D3937:G3937"/>
    <mergeCell ref="D3938:G3938"/>
    <mergeCell ref="D3939:G3939"/>
    <mergeCell ref="D3926:G3926"/>
    <mergeCell ref="D3927:G3927"/>
    <mergeCell ref="D3928:G3928"/>
    <mergeCell ref="D3929:G3929"/>
    <mergeCell ref="B3931:C3931"/>
    <mergeCell ref="A3933:B3933"/>
    <mergeCell ref="D3962:G3962"/>
    <mergeCell ref="D3963:G3963"/>
    <mergeCell ref="D3964:G3964"/>
    <mergeCell ref="D3965:G3965"/>
    <mergeCell ref="D3966:G3966"/>
    <mergeCell ref="D3967:G3967"/>
    <mergeCell ref="D3954:G3954"/>
    <mergeCell ref="D3955:G3955"/>
    <mergeCell ref="B3957:C3957"/>
    <mergeCell ref="A3959:B3959"/>
    <mergeCell ref="A3960:B3960"/>
    <mergeCell ref="A3961:B3961"/>
    <mergeCell ref="A3948:B3948"/>
    <mergeCell ref="D3949:G3949"/>
    <mergeCell ref="D3950:G3950"/>
    <mergeCell ref="D3951:G3951"/>
    <mergeCell ref="D3952:G3952"/>
    <mergeCell ref="D3953:G3953"/>
    <mergeCell ref="D3982:G3982"/>
    <mergeCell ref="B3984:C3984"/>
    <mergeCell ref="A3986:B3986"/>
    <mergeCell ref="A3987:B3987"/>
    <mergeCell ref="A3988:B3988"/>
    <mergeCell ref="A3989:B3989"/>
    <mergeCell ref="D3976:G3976"/>
    <mergeCell ref="D3977:G3977"/>
    <mergeCell ref="D3978:G3978"/>
    <mergeCell ref="D3979:G3979"/>
    <mergeCell ref="D3980:G3980"/>
    <mergeCell ref="D3981:G3981"/>
    <mergeCell ref="D3968:G3968"/>
    <mergeCell ref="B3970:C3970"/>
    <mergeCell ref="A3972:B3972"/>
    <mergeCell ref="A3973:B3973"/>
    <mergeCell ref="A3974:B3974"/>
    <mergeCell ref="A3975:B3975"/>
    <mergeCell ref="D4004:G4004"/>
    <mergeCell ref="D4005:G4005"/>
    <mergeCell ref="D4006:G4006"/>
    <mergeCell ref="D4007:G4007"/>
    <mergeCell ref="D4008:G4008"/>
    <mergeCell ref="D4009:G4009"/>
    <mergeCell ref="D3996:G3996"/>
    <mergeCell ref="B3998:C3998"/>
    <mergeCell ref="A4000:B4000"/>
    <mergeCell ref="A4001:B4001"/>
    <mergeCell ref="A4002:B4002"/>
    <mergeCell ref="D4003:G4003"/>
    <mergeCell ref="D3990:G3990"/>
    <mergeCell ref="D3991:G3991"/>
    <mergeCell ref="D3992:G3992"/>
    <mergeCell ref="D3993:G3993"/>
    <mergeCell ref="D3994:G3994"/>
    <mergeCell ref="D3995:G3995"/>
    <mergeCell ref="A4026:B4026"/>
    <mergeCell ref="A4027:B4027"/>
    <mergeCell ref="A4028:B4028"/>
    <mergeCell ref="D4029:G4029"/>
    <mergeCell ref="D4030:G4030"/>
    <mergeCell ref="D4031:G4031"/>
    <mergeCell ref="D4018:G4018"/>
    <mergeCell ref="D4019:G4019"/>
    <mergeCell ref="D4020:G4020"/>
    <mergeCell ref="D4021:G4021"/>
    <mergeCell ref="D4022:G4022"/>
    <mergeCell ref="B4024:C4024"/>
    <mergeCell ref="B4011:C4011"/>
    <mergeCell ref="A4013:B4013"/>
    <mergeCell ref="A4014:B4014"/>
    <mergeCell ref="A4015:B4015"/>
    <mergeCell ref="D4016:G4016"/>
    <mergeCell ref="D4017:G4017"/>
    <mergeCell ref="D4046:G4046"/>
    <mergeCell ref="D4047:G4047"/>
    <mergeCell ref="D4048:G4048"/>
    <mergeCell ref="B4050:C4050"/>
    <mergeCell ref="A4052:B4052"/>
    <mergeCell ref="A4053:B4053"/>
    <mergeCell ref="A4040:B4040"/>
    <mergeCell ref="A4041:B4041"/>
    <mergeCell ref="D4042:G4042"/>
    <mergeCell ref="D4043:G4043"/>
    <mergeCell ref="D4044:G4044"/>
    <mergeCell ref="D4045:G4045"/>
    <mergeCell ref="D4032:G4032"/>
    <mergeCell ref="D4033:G4033"/>
    <mergeCell ref="D4034:G4034"/>
    <mergeCell ref="D4035:G4035"/>
    <mergeCell ref="B4037:C4037"/>
    <mergeCell ref="A4039:B4039"/>
    <mergeCell ref="D4068:G4068"/>
    <mergeCell ref="D4069:G4069"/>
    <mergeCell ref="D4070:G4070"/>
    <mergeCell ref="D4071:G4071"/>
    <mergeCell ref="D4072:G4072"/>
    <mergeCell ref="D4073:G4073"/>
    <mergeCell ref="D4060:G4060"/>
    <mergeCell ref="D4061:G4061"/>
    <mergeCell ref="B4063:C4063"/>
    <mergeCell ref="A4065:B4065"/>
    <mergeCell ref="A4066:B4066"/>
    <mergeCell ref="A4067:B4067"/>
    <mergeCell ref="A4054:B4054"/>
    <mergeCell ref="D4055:G4055"/>
    <mergeCell ref="D4056:G4056"/>
    <mergeCell ref="D4057:G4057"/>
    <mergeCell ref="D4058:G4058"/>
    <mergeCell ref="D4059:G4059"/>
    <mergeCell ref="B4089:C4089"/>
    <mergeCell ref="A4091:B4091"/>
    <mergeCell ref="A4092:B4092"/>
    <mergeCell ref="A4093:B4093"/>
    <mergeCell ref="D4094:G4094"/>
    <mergeCell ref="D4095:G4095"/>
    <mergeCell ref="D4082:G4082"/>
    <mergeCell ref="D4083:G4083"/>
    <mergeCell ref="D4084:G4084"/>
    <mergeCell ref="D4085:G4085"/>
    <mergeCell ref="D4086:G4086"/>
    <mergeCell ref="D4087:G4087"/>
    <mergeCell ref="D4074:G4074"/>
    <mergeCell ref="B4076:C4076"/>
    <mergeCell ref="A4078:B4078"/>
    <mergeCell ref="A4079:B4079"/>
    <mergeCell ref="A4080:B4080"/>
    <mergeCell ref="D4081:G4081"/>
    <mergeCell ref="D4110:G4110"/>
    <mergeCell ref="D4111:G4111"/>
    <mergeCell ref="D4112:G4112"/>
    <mergeCell ref="D4113:G4113"/>
    <mergeCell ref="B4115:C4115"/>
    <mergeCell ref="A4117:B4117"/>
    <mergeCell ref="A4104:B4104"/>
    <mergeCell ref="A4105:B4105"/>
    <mergeCell ref="A4106:B4106"/>
    <mergeCell ref="D4107:G4107"/>
    <mergeCell ref="D4108:G4108"/>
    <mergeCell ref="D4109:G4109"/>
    <mergeCell ref="D4096:G4096"/>
    <mergeCell ref="D4097:G4097"/>
    <mergeCell ref="D4098:G4098"/>
    <mergeCell ref="D4099:G4099"/>
    <mergeCell ref="D4100:G4100"/>
    <mergeCell ref="B4102:C4102"/>
    <mergeCell ref="D4132:G4132"/>
    <mergeCell ref="D4133:G4133"/>
    <mergeCell ref="D4134:G4134"/>
    <mergeCell ref="D4135:G4135"/>
    <mergeCell ref="D4136:G4136"/>
    <mergeCell ref="D4137:G4137"/>
    <mergeCell ref="D4124:G4124"/>
    <mergeCell ref="D4125:G4125"/>
    <mergeCell ref="D4126:G4126"/>
    <mergeCell ref="B4128:C4128"/>
    <mergeCell ref="A4130:B4130"/>
    <mergeCell ref="D4131:G4131"/>
    <mergeCell ref="A4118:B4118"/>
    <mergeCell ref="A4119:B4119"/>
    <mergeCell ref="D4120:G4120"/>
    <mergeCell ref="D4121:G4121"/>
    <mergeCell ref="D4122:G4122"/>
    <mergeCell ref="D4123:G4123"/>
    <mergeCell ref="A4154:B4154"/>
    <mergeCell ref="A4155:B4155"/>
    <mergeCell ref="A4156:B4156"/>
    <mergeCell ref="A4157:B4157"/>
    <mergeCell ref="A4158:B4158"/>
    <mergeCell ref="D4159:G4159"/>
    <mergeCell ref="D4146:G4146"/>
    <mergeCell ref="D4147:G4147"/>
    <mergeCell ref="D4148:G4148"/>
    <mergeCell ref="B4150:C4150"/>
    <mergeCell ref="A4152:B4152"/>
    <mergeCell ref="A4153:B4153"/>
    <mergeCell ref="B4139:C4139"/>
    <mergeCell ref="A4141:B4141"/>
    <mergeCell ref="D4142:G4142"/>
    <mergeCell ref="D4143:G4143"/>
    <mergeCell ref="D4144:G4144"/>
    <mergeCell ref="D4145:G4145"/>
    <mergeCell ref="D4174:G4174"/>
    <mergeCell ref="D4175:G4175"/>
    <mergeCell ref="D4176:G4176"/>
    <mergeCell ref="B4178:C4178"/>
    <mergeCell ref="A4180:B4180"/>
    <mergeCell ref="A4181:B4181"/>
    <mergeCell ref="B4167:C4167"/>
    <mergeCell ref="A4169:B4169"/>
    <mergeCell ref="D4170:G4170"/>
    <mergeCell ref="D4171:G4171"/>
    <mergeCell ref="D4172:G4172"/>
    <mergeCell ref="D4173:G4173"/>
    <mergeCell ref="D4160:G4160"/>
    <mergeCell ref="D4161:G4161"/>
    <mergeCell ref="D4162:G4162"/>
    <mergeCell ref="D4163:G4163"/>
    <mergeCell ref="D4164:G4164"/>
    <mergeCell ref="D4165:G4165"/>
    <mergeCell ref="D4196:G4196"/>
    <mergeCell ref="D4197:G4197"/>
    <mergeCell ref="D4198:G4198"/>
    <mergeCell ref="D4199:G4199"/>
    <mergeCell ref="D4200:G4200"/>
    <mergeCell ref="D4201:G4201"/>
    <mergeCell ref="D4188:G4188"/>
    <mergeCell ref="D4189:G4189"/>
    <mergeCell ref="B4191:C4191"/>
    <mergeCell ref="A4193:B4193"/>
    <mergeCell ref="A4194:B4194"/>
    <mergeCell ref="A4195:B4195"/>
    <mergeCell ref="A4182:B4182"/>
    <mergeCell ref="D4183:G4183"/>
    <mergeCell ref="D4184:G4184"/>
    <mergeCell ref="D4185:G4185"/>
    <mergeCell ref="D4186:G4186"/>
    <mergeCell ref="D4187:G4187"/>
    <mergeCell ref="B4217:C4217"/>
    <mergeCell ref="A4219:B4219"/>
    <mergeCell ref="A4220:B4220"/>
    <mergeCell ref="A4221:B4221"/>
    <mergeCell ref="D4222:G4222"/>
    <mergeCell ref="D4223:G4223"/>
    <mergeCell ref="D4210:G4210"/>
    <mergeCell ref="D4211:G4211"/>
    <mergeCell ref="D4212:G4212"/>
    <mergeCell ref="D4213:G4213"/>
    <mergeCell ref="D4214:G4214"/>
    <mergeCell ref="D4215:G4215"/>
    <mergeCell ref="D4202:G4202"/>
    <mergeCell ref="B4204:C4204"/>
    <mergeCell ref="A4206:B4206"/>
    <mergeCell ref="A4207:B4207"/>
    <mergeCell ref="A4208:B4208"/>
    <mergeCell ref="D4209:G4209"/>
    <mergeCell ref="D4238:G4238"/>
    <mergeCell ref="D4239:G4239"/>
    <mergeCell ref="D4240:G4240"/>
    <mergeCell ref="D4241:G4241"/>
    <mergeCell ref="B4243:C4243"/>
    <mergeCell ref="A4245:B4245"/>
    <mergeCell ref="A4232:B4232"/>
    <mergeCell ref="A4233:B4233"/>
    <mergeCell ref="A4234:B4234"/>
    <mergeCell ref="D4235:G4235"/>
    <mergeCell ref="D4236:G4236"/>
    <mergeCell ref="D4237:G4237"/>
    <mergeCell ref="D4224:G4224"/>
    <mergeCell ref="D4225:G4225"/>
    <mergeCell ref="D4226:G4226"/>
    <mergeCell ref="D4227:G4227"/>
    <mergeCell ref="D4228:G4228"/>
    <mergeCell ref="B4230:C4230"/>
    <mergeCell ref="D4260:G4260"/>
    <mergeCell ref="D4261:G4261"/>
    <mergeCell ref="D4262:G4262"/>
    <mergeCell ref="D4263:G4263"/>
    <mergeCell ref="D4264:G4264"/>
    <mergeCell ref="D4265:G4265"/>
    <mergeCell ref="D4252:G4252"/>
    <mergeCell ref="D4253:G4253"/>
    <mergeCell ref="D4254:G4254"/>
    <mergeCell ref="B4256:C4256"/>
    <mergeCell ref="A4258:B4258"/>
    <mergeCell ref="D4259:G4259"/>
    <mergeCell ref="A4246:B4246"/>
    <mergeCell ref="A4247:B4247"/>
    <mergeCell ref="D4248:G4248"/>
    <mergeCell ref="D4249:G4249"/>
    <mergeCell ref="D4250:G4250"/>
    <mergeCell ref="D4251:G4251"/>
    <mergeCell ref="D4282:G4282"/>
    <mergeCell ref="D4283:G4283"/>
    <mergeCell ref="D4284:G4284"/>
    <mergeCell ref="D4285:G4285"/>
    <mergeCell ref="D4286:G4286"/>
    <mergeCell ref="D4287:G4287"/>
    <mergeCell ref="D4274:G4274"/>
    <mergeCell ref="D4275:G4275"/>
    <mergeCell ref="D4276:G4276"/>
    <mergeCell ref="B4278:C4278"/>
    <mergeCell ref="A4280:B4280"/>
    <mergeCell ref="D4281:G4281"/>
    <mergeCell ref="B4267:C4267"/>
    <mergeCell ref="A4269:B4269"/>
    <mergeCell ref="D4270:G4270"/>
    <mergeCell ref="D4271:G4271"/>
    <mergeCell ref="D4272:G4272"/>
    <mergeCell ref="D4273:G4273"/>
    <mergeCell ref="D4304:G4304"/>
    <mergeCell ref="D4305:G4305"/>
    <mergeCell ref="D4306:G4306"/>
    <mergeCell ref="D4307:G4307"/>
    <mergeCell ref="D4308:G4308"/>
    <mergeCell ref="D4309:G4309"/>
    <mergeCell ref="D4296:G4296"/>
    <mergeCell ref="D4297:G4297"/>
    <mergeCell ref="D4298:G4298"/>
    <mergeCell ref="B4300:C4300"/>
    <mergeCell ref="A4302:B4302"/>
    <mergeCell ref="D4303:G4303"/>
    <mergeCell ref="B4289:C4289"/>
    <mergeCell ref="A4291:B4291"/>
    <mergeCell ref="D4292:G4292"/>
    <mergeCell ref="D4293:G4293"/>
    <mergeCell ref="D4294:G4294"/>
    <mergeCell ref="D4295:G4295"/>
    <mergeCell ref="A4326:B4326"/>
    <mergeCell ref="A4327:B4327"/>
    <mergeCell ref="A4328:B4328"/>
    <mergeCell ref="D4329:G4329"/>
    <mergeCell ref="D4330:G4330"/>
    <mergeCell ref="D4331:G4331"/>
    <mergeCell ref="D4318:G4318"/>
    <mergeCell ref="D4319:G4319"/>
    <mergeCell ref="D4320:G4320"/>
    <mergeCell ref="D4321:G4321"/>
    <mergeCell ref="D4322:G4322"/>
    <mergeCell ref="B4324:C4324"/>
    <mergeCell ref="B4311:C4311"/>
    <mergeCell ref="A4313:B4313"/>
    <mergeCell ref="A4314:B4314"/>
    <mergeCell ref="A4315:B4315"/>
    <mergeCell ref="D4316:G4316"/>
    <mergeCell ref="D4317:G4317"/>
    <mergeCell ref="D4346:G4346"/>
    <mergeCell ref="D4347:G4347"/>
    <mergeCell ref="D4348:G4348"/>
    <mergeCell ref="B4350:C4350"/>
    <mergeCell ref="A4352:B4352"/>
    <mergeCell ref="D4353:G4353"/>
    <mergeCell ref="A4340:B4340"/>
    <mergeCell ref="A4341:B4341"/>
    <mergeCell ref="D4342:G4342"/>
    <mergeCell ref="D4343:G4343"/>
    <mergeCell ref="D4344:G4344"/>
    <mergeCell ref="D4345:G4345"/>
    <mergeCell ref="D4332:G4332"/>
    <mergeCell ref="D4333:G4333"/>
    <mergeCell ref="D4334:G4334"/>
    <mergeCell ref="D4335:G4335"/>
    <mergeCell ref="B4337:C4337"/>
    <mergeCell ref="A4339:B4339"/>
    <mergeCell ref="D4368:G4368"/>
    <mergeCell ref="D4369:G4369"/>
    <mergeCell ref="D4370:G4370"/>
    <mergeCell ref="D4371:G4371"/>
    <mergeCell ref="D4372:G4372"/>
    <mergeCell ref="B4374:C4374"/>
    <mergeCell ref="B4361:C4361"/>
    <mergeCell ref="A4363:B4363"/>
    <mergeCell ref="A4364:B4364"/>
    <mergeCell ref="A4365:B4365"/>
    <mergeCell ref="D4366:G4366"/>
    <mergeCell ref="D4367:G4367"/>
    <mergeCell ref="D4354:G4354"/>
    <mergeCell ref="D4355:G4355"/>
    <mergeCell ref="D4356:G4356"/>
    <mergeCell ref="D4357:G4357"/>
    <mergeCell ref="D4358:G4358"/>
    <mergeCell ref="D4359:G4359"/>
    <mergeCell ref="A4390:B4390"/>
    <mergeCell ref="A4391:B4391"/>
    <mergeCell ref="D4392:G4392"/>
    <mergeCell ref="D4393:G4393"/>
    <mergeCell ref="D4394:G4394"/>
    <mergeCell ref="D4395:G4395"/>
    <mergeCell ref="D4382:G4382"/>
    <mergeCell ref="D4383:G4383"/>
    <mergeCell ref="D4384:G4384"/>
    <mergeCell ref="D4385:G4385"/>
    <mergeCell ref="B4387:C4387"/>
    <mergeCell ref="A4389:B4389"/>
    <mergeCell ref="A4376:B4376"/>
    <mergeCell ref="A4377:B4377"/>
    <mergeCell ref="A4378:B4378"/>
    <mergeCell ref="D4379:G4379"/>
    <mergeCell ref="D4380:G4380"/>
    <mergeCell ref="D4381:G4381"/>
    <mergeCell ref="D4410:G4410"/>
    <mergeCell ref="D4411:G4411"/>
    <mergeCell ref="B4413:C4413"/>
    <mergeCell ref="A4415:B4415"/>
    <mergeCell ref="A4416:B4416"/>
    <mergeCell ref="A4417:B4417"/>
    <mergeCell ref="A4404:B4404"/>
    <mergeCell ref="D4405:G4405"/>
    <mergeCell ref="D4406:G4406"/>
    <mergeCell ref="D4407:G4407"/>
    <mergeCell ref="D4408:G4408"/>
    <mergeCell ref="D4409:G4409"/>
    <mergeCell ref="D4396:G4396"/>
    <mergeCell ref="D4397:G4397"/>
    <mergeCell ref="D4398:G4398"/>
    <mergeCell ref="B4400:C4400"/>
    <mergeCell ref="A4402:B4402"/>
    <mergeCell ref="A4403:B4403"/>
    <mergeCell ref="D4432:G4432"/>
    <mergeCell ref="D4433:G4433"/>
    <mergeCell ref="D4434:G4434"/>
    <mergeCell ref="D4435:G4435"/>
    <mergeCell ref="D4436:G4436"/>
    <mergeCell ref="D4437:G4437"/>
    <mergeCell ref="D4424:G4424"/>
    <mergeCell ref="B4426:C4426"/>
    <mergeCell ref="A4428:B4428"/>
    <mergeCell ref="A4429:B4429"/>
    <mergeCell ref="A4430:B4430"/>
    <mergeCell ref="D4431:G4431"/>
    <mergeCell ref="D4418:G4418"/>
    <mergeCell ref="D4419:G4419"/>
    <mergeCell ref="D4420:G4420"/>
    <mergeCell ref="D4421:G4421"/>
    <mergeCell ref="D4422:G4422"/>
    <mergeCell ref="D4423:G4423"/>
    <mergeCell ref="A4454:B4454"/>
    <mergeCell ref="A4455:B4455"/>
    <mergeCell ref="A4456:B4456"/>
    <mergeCell ref="D4457:G4457"/>
    <mergeCell ref="D4458:G4458"/>
    <mergeCell ref="D4459:G4459"/>
    <mergeCell ref="D4446:G4446"/>
    <mergeCell ref="D4447:G4447"/>
    <mergeCell ref="D4448:G4448"/>
    <mergeCell ref="D4449:G4449"/>
    <mergeCell ref="D4450:G4450"/>
    <mergeCell ref="B4452:C4452"/>
    <mergeCell ref="B4439:C4439"/>
    <mergeCell ref="A4441:B4441"/>
    <mergeCell ref="A4442:B4442"/>
    <mergeCell ref="A4443:B4443"/>
    <mergeCell ref="D4444:G4444"/>
    <mergeCell ref="D4445:G4445"/>
    <mergeCell ref="D4474:G4474"/>
    <mergeCell ref="D4475:G4475"/>
    <mergeCell ref="D4476:G4476"/>
    <mergeCell ref="B4478:C4478"/>
    <mergeCell ref="A4480:B4480"/>
    <mergeCell ref="A4481:B4481"/>
    <mergeCell ref="A4468:B4468"/>
    <mergeCell ref="A4469:B4469"/>
    <mergeCell ref="D4470:G4470"/>
    <mergeCell ref="D4471:G4471"/>
    <mergeCell ref="D4472:G4472"/>
    <mergeCell ref="D4473:G4473"/>
    <mergeCell ref="D4460:G4460"/>
    <mergeCell ref="D4461:G4461"/>
    <mergeCell ref="D4462:G4462"/>
    <mergeCell ref="D4463:G4463"/>
    <mergeCell ref="B4465:C4465"/>
    <mergeCell ref="A4467:B4467"/>
    <mergeCell ref="D4496:G4496"/>
    <mergeCell ref="D4497:G4497"/>
    <mergeCell ref="D4498:G4498"/>
    <mergeCell ref="D4499:G4499"/>
    <mergeCell ref="D4500:G4500"/>
    <mergeCell ref="D4501:G4501"/>
    <mergeCell ref="D4488:G4488"/>
    <mergeCell ref="D4489:G4489"/>
    <mergeCell ref="B4491:C4491"/>
    <mergeCell ref="A4493:B4493"/>
    <mergeCell ref="A4494:B4494"/>
    <mergeCell ref="A4495:B4495"/>
    <mergeCell ref="A4482:B4482"/>
    <mergeCell ref="D4483:G4483"/>
    <mergeCell ref="D4484:G4484"/>
    <mergeCell ref="D4485:G4485"/>
    <mergeCell ref="D4486:G4486"/>
    <mergeCell ref="D4487:G4487"/>
    <mergeCell ref="B4517:C4517"/>
    <mergeCell ref="A4519:B4519"/>
    <mergeCell ref="A4520:B4520"/>
    <mergeCell ref="A4521:B4521"/>
    <mergeCell ref="D4522:G4522"/>
    <mergeCell ref="D4523:G4523"/>
    <mergeCell ref="D4510:G4510"/>
    <mergeCell ref="D4511:G4511"/>
    <mergeCell ref="D4512:G4512"/>
    <mergeCell ref="D4513:G4513"/>
    <mergeCell ref="D4514:G4514"/>
    <mergeCell ref="D4515:G4515"/>
    <mergeCell ref="D4502:G4502"/>
    <mergeCell ref="B4504:C4504"/>
    <mergeCell ref="A4506:B4506"/>
    <mergeCell ref="A4507:B4507"/>
    <mergeCell ref="A4508:B4508"/>
    <mergeCell ref="D4509:G4509"/>
    <mergeCell ref="D4538:G4538"/>
    <mergeCell ref="D4539:G4539"/>
    <mergeCell ref="D4540:G4540"/>
    <mergeCell ref="D4541:G4541"/>
    <mergeCell ref="B4543:C4543"/>
    <mergeCell ref="A4545:B4545"/>
    <mergeCell ref="A4532:B4532"/>
    <mergeCell ref="A4533:B4533"/>
    <mergeCell ref="A4534:B4534"/>
    <mergeCell ref="D4535:G4535"/>
    <mergeCell ref="D4536:G4536"/>
    <mergeCell ref="D4537:G4537"/>
    <mergeCell ref="D4524:G4524"/>
    <mergeCell ref="D4525:G4525"/>
    <mergeCell ref="D4526:G4526"/>
    <mergeCell ref="D4527:G4527"/>
    <mergeCell ref="D4528:G4528"/>
    <mergeCell ref="B4530:C4530"/>
    <mergeCell ref="A4560:B4560"/>
    <mergeCell ref="D4561:G4561"/>
    <mergeCell ref="D4562:G4562"/>
    <mergeCell ref="D4563:G4563"/>
    <mergeCell ref="D4564:G4564"/>
    <mergeCell ref="D4565:G4565"/>
    <mergeCell ref="D4552:G4552"/>
    <mergeCell ref="D4553:G4553"/>
    <mergeCell ref="D4554:G4554"/>
    <mergeCell ref="B4556:C4556"/>
    <mergeCell ref="A4558:B4558"/>
    <mergeCell ref="A4559:B4559"/>
    <mergeCell ref="A4546:B4546"/>
    <mergeCell ref="A4547:B4547"/>
    <mergeCell ref="D4548:G4548"/>
    <mergeCell ref="D4549:G4549"/>
    <mergeCell ref="D4550:G4550"/>
    <mergeCell ref="D4551:G4551"/>
    <mergeCell ref="D4580:G4580"/>
    <mergeCell ref="B4582:C4582"/>
    <mergeCell ref="A4584:B4584"/>
    <mergeCell ref="A4585:B4585"/>
    <mergeCell ref="A4586:B4586"/>
    <mergeCell ref="D4587:G4587"/>
    <mergeCell ref="D4574:G4574"/>
    <mergeCell ref="D4575:G4575"/>
    <mergeCell ref="D4576:G4576"/>
    <mergeCell ref="D4577:G4577"/>
    <mergeCell ref="D4578:G4578"/>
    <mergeCell ref="D4579:G4579"/>
    <mergeCell ref="D4566:G4566"/>
    <mergeCell ref="D4567:G4567"/>
    <mergeCell ref="B4569:C4569"/>
    <mergeCell ref="A4571:B4571"/>
    <mergeCell ref="A4572:B4572"/>
    <mergeCell ref="A4573:B4573"/>
    <mergeCell ref="D4602:G4602"/>
    <mergeCell ref="D4603:G4603"/>
    <mergeCell ref="D4604:G4604"/>
    <mergeCell ref="D4605:G4605"/>
    <mergeCell ref="D4606:G4606"/>
    <mergeCell ref="B4608:C4608"/>
    <mergeCell ref="B4595:C4595"/>
    <mergeCell ref="A4597:B4597"/>
    <mergeCell ref="A4598:B4598"/>
    <mergeCell ref="A4599:B4599"/>
    <mergeCell ref="D4600:G4600"/>
    <mergeCell ref="D4601:G4601"/>
    <mergeCell ref="D4588:G4588"/>
    <mergeCell ref="D4589:G4589"/>
    <mergeCell ref="D4590:G4590"/>
    <mergeCell ref="D4591:G4591"/>
    <mergeCell ref="D4592:G4592"/>
    <mergeCell ref="D4593:G4593"/>
    <mergeCell ref="A4624:B4624"/>
    <mergeCell ref="A4625:B4625"/>
    <mergeCell ref="D4626:G4626"/>
    <mergeCell ref="D4627:G4627"/>
    <mergeCell ref="D4628:G4628"/>
    <mergeCell ref="D4629:G4629"/>
    <mergeCell ref="D4616:G4616"/>
    <mergeCell ref="D4617:G4617"/>
    <mergeCell ref="D4618:G4618"/>
    <mergeCell ref="D4619:G4619"/>
    <mergeCell ref="B4621:C4621"/>
    <mergeCell ref="A4623:B4623"/>
    <mergeCell ref="A4610:B4610"/>
    <mergeCell ref="A4611:B4611"/>
    <mergeCell ref="A4612:B4612"/>
    <mergeCell ref="D4613:G4613"/>
    <mergeCell ref="D4614:G4614"/>
    <mergeCell ref="D4615:G4615"/>
    <mergeCell ref="D4644:G4644"/>
    <mergeCell ref="D4645:G4645"/>
    <mergeCell ref="B4647:C4647"/>
    <mergeCell ref="A4649:B4649"/>
    <mergeCell ref="D4650:G4650"/>
    <mergeCell ref="D4651:G4651"/>
    <mergeCell ref="A4638:B4638"/>
    <mergeCell ref="D4639:G4639"/>
    <mergeCell ref="D4640:G4640"/>
    <mergeCell ref="D4641:G4641"/>
    <mergeCell ref="D4642:G4642"/>
    <mergeCell ref="D4643:G4643"/>
    <mergeCell ref="D4630:G4630"/>
    <mergeCell ref="D4631:G4631"/>
    <mergeCell ref="D4632:G4632"/>
    <mergeCell ref="B4634:C4634"/>
    <mergeCell ref="A4636:B4636"/>
    <mergeCell ref="A4637:B4637"/>
    <mergeCell ref="D4666:G4666"/>
    <mergeCell ref="D4667:G4667"/>
    <mergeCell ref="D4668:G4668"/>
    <mergeCell ref="D4669:G4669"/>
    <mergeCell ref="B4671:C4671"/>
    <mergeCell ref="A4673:B4673"/>
    <mergeCell ref="A4660:B4660"/>
    <mergeCell ref="A4661:B4661"/>
    <mergeCell ref="A4662:B4662"/>
    <mergeCell ref="D4663:G4663"/>
    <mergeCell ref="D4664:G4664"/>
    <mergeCell ref="D4665:G4665"/>
    <mergeCell ref="D4652:G4652"/>
    <mergeCell ref="D4653:G4653"/>
    <mergeCell ref="D4654:G4654"/>
    <mergeCell ref="D4655:G4655"/>
    <mergeCell ref="D4656:G4656"/>
    <mergeCell ref="B4658:C4658"/>
    <mergeCell ref="A4688:B4688"/>
    <mergeCell ref="D4689:G4689"/>
    <mergeCell ref="D4690:G4690"/>
    <mergeCell ref="D4691:G4691"/>
    <mergeCell ref="D4692:G4692"/>
    <mergeCell ref="D4693:G4693"/>
    <mergeCell ref="D4680:G4680"/>
    <mergeCell ref="D4681:G4681"/>
    <mergeCell ref="D4682:G4682"/>
    <mergeCell ref="D4683:G4683"/>
    <mergeCell ref="B4685:C4685"/>
    <mergeCell ref="A4687:C4687"/>
    <mergeCell ref="A4674:B4674"/>
    <mergeCell ref="A4675:B4675"/>
    <mergeCell ref="A4676:B4676"/>
    <mergeCell ref="D4677:G4677"/>
    <mergeCell ref="D4678:G4678"/>
    <mergeCell ref="D4679:G4679"/>
    <mergeCell ref="D4708:G4708"/>
    <mergeCell ref="B4710:C4710"/>
    <mergeCell ref="A4712:B4712"/>
    <mergeCell ref="D4713:G4713"/>
    <mergeCell ref="D4714:G4714"/>
    <mergeCell ref="D4715:G4715"/>
    <mergeCell ref="D4702:G4702"/>
    <mergeCell ref="D4703:G4703"/>
    <mergeCell ref="D4704:G4704"/>
    <mergeCell ref="D4705:G4705"/>
    <mergeCell ref="D4706:G4706"/>
    <mergeCell ref="D4707:G4707"/>
    <mergeCell ref="D4694:G4694"/>
    <mergeCell ref="D4695:G4695"/>
    <mergeCell ref="B4697:C4697"/>
    <mergeCell ref="A4699:B4699"/>
    <mergeCell ref="A4700:B4700"/>
    <mergeCell ref="A4701:B4701"/>
    <mergeCell ref="D4730:G4730"/>
    <mergeCell ref="D4731:G4731"/>
    <mergeCell ref="D4732:G4732"/>
    <mergeCell ref="B4734:C4734"/>
    <mergeCell ref="A4736:B4736"/>
    <mergeCell ref="D4737:G4737"/>
    <mergeCell ref="A4724:B4724"/>
    <mergeCell ref="A4725:B4725"/>
    <mergeCell ref="D4726:G4726"/>
    <mergeCell ref="D4727:G4727"/>
    <mergeCell ref="D4728:G4728"/>
    <mergeCell ref="D4729:G4729"/>
    <mergeCell ref="D4716:G4716"/>
    <mergeCell ref="D4717:G4717"/>
    <mergeCell ref="D4718:G4718"/>
    <mergeCell ref="D4719:G4719"/>
    <mergeCell ref="B4721:C4721"/>
    <mergeCell ref="A4723:B4723"/>
    <mergeCell ref="D4760:G4760"/>
    <mergeCell ref="D4761:G4761"/>
    <mergeCell ref="D4762:G4762"/>
    <mergeCell ref="B4753:C4753"/>
    <mergeCell ref="A4755:B4755"/>
    <mergeCell ref="D4756:G4756"/>
    <mergeCell ref="D4757:G4757"/>
    <mergeCell ref="D4758:G4758"/>
    <mergeCell ref="D4759:G4759"/>
    <mergeCell ref="D4746:G4746"/>
    <mergeCell ref="D4747:G4747"/>
    <mergeCell ref="D4748:G4748"/>
    <mergeCell ref="D4749:G4749"/>
    <mergeCell ref="D4750:G4750"/>
    <mergeCell ref="D4751:G4751"/>
    <mergeCell ref="D4738:G4738"/>
    <mergeCell ref="D4739:G4739"/>
    <mergeCell ref="D4740:G4740"/>
    <mergeCell ref="B4742:C4742"/>
    <mergeCell ref="A4744:B4744"/>
    <mergeCell ref="D4745:G4745"/>
  </mergeCells>
  <pageMargins left="0.51181102362204722" right="0.51181102362204722" top="0.78740157480314965" bottom="0.78740157480314965" header="0.31496062992125984" footer="0.31496062992125984"/>
  <pageSetup paperSize="9" scale="71" firstPageNumber="30" fitToHeight="0" orientation="portrait" useFirstPageNumber="1" r:id="rId1"/>
  <headerFooter>
    <oddHeader>&amp;LVEGA CONSTRUTORA E INCORPORAÇÕES LTDA&amp;RCNPJ:02.342.988/0001-00</oddHeader>
    <oddFooter xml:space="preserve">&amp;RPágina &amp;P
</oddFooter>
  </headerFooter>
  <rowBreaks count="76" manualBreakCount="76">
    <brk id="52" max="7" man="1"/>
    <brk id="82" max="7" man="1"/>
    <brk id="121" max="7" man="1"/>
    <brk id="177" max="7" man="1"/>
    <brk id="320" max="7" man="1"/>
    <brk id="352" max="7" man="1"/>
    <brk id="384" max="7" man="1"/>
    <brk id="425" max="7" man="1"/>
    <brk id="457" max="7" man="1"/>
    <brk id="491" max="7" man="1"/>
    <brk id="540" max="7" man="1"/>
    <brk id="568" max="7" man="1"/>
    <brk id="662" max="7" man="1"/>
    <brk id="697" max="7" man="1"/>
    <brk id="763" max="7" man="1"/>
    <brk id="784" max="7" man="1"/>
    <brk id="811" max="7" man="1"/>
    <brk id="897" max="7" man="1"/>
    <brk id="939" max="7" man="1"/>
    <brk id="971" max="7" man="1"/>
    <brk id="1081" max="7" man="1"/>
    <brk id="1109" max="7" man="1"/>
    <brk id="1148" max="7" man="1"/>
    <brk id="1182" max="7" man="1"/>
    <brk id="1500" max="7" man="1"/>
    <brk id="1536" max="7" man="1"/>
    <brk id="1577" max="7" man="1"/>
    <brk id="1650" max="7" man="1"/>
    <brk id="1726" max="7" man="1"/>
    <brk id="1768" max="7" man="1"/>
    <brk id="1808" max="7" man="1"/>
    <brk id="1849" max="7" man="1"/>
    <brk id="1925" max="7" man="1"/>
    <brk id="1964" max="7" man="1"/>
    <brk id="2111" max="7" man="1"/>
    <brk id="2147" max="7" man="1"/>
    <brk id="2477" max="7" man="1"/>
    <brk id="2510" max="7" man="1"/>
    <brk id="2546" max="7" man="1"/>
    <brk id="2624" max="7" man="1"/>
    <brk id="2663" max="7" man="1"/>
    <brk id="2817" max="7" man="1"/>
    <brk id="2856" max="7" man="1"/>
    <brk id="2895" max="7" man="1"/>
    <brk id="2943" max="7" man="1"/>
    <brk id="2986" max="7" man="1"/>
    <brk id="3034" max="7" man="1"/>
    <brk id="3077" max="7" man="1"/>
    <brk id="3125" max="7" man="1"/>
    <brk id="3168" max="7" man="1"/>
    <brk id="3216" max="7" man="1"/>
    <brk id="3259" max="7" man="1"/>
    <brk id="3307" max="7" man="1"/>
    <brk id="3349" max="7" man="1"/>
    <brk id="3386" max="7" man="1"/>
    <brk id="3480" max="7" man="1"/>
    <brk id="3511" max="7" man="1"/>
    <brk id="3573" max="7" man="1"/>
    <brk id="3604" max="7" man="1"/>
    <brk id="3651" max="7" man="1"/>
    <brk id="3694" max="7" man="1"/>
    <brk id="3742" max="7" man="1"/>
    <brk id="3783" max="7" man="1"/>
    <brk id="3908" max="7" man="1"/>
    <brk id="3956" max="7" man="1"/>
    <brk id="3997" max="7" man="1"/>
    <brk id="4040" max="7" man="1"/>
    <brk id="4088" max="7" man="1"/>
    <brk id="4166" max="7" man="1"/>
    <brk id="4207" max="7" man="1"/>
    <brk id="4255" max="7" man="1"/>
    <brk id="4403" max="7" man="1"/>
    <brk id="4494" max="7" man="1"/>
    <brk id="4542" max="7" man="1"/>
    <brk id="4585" max="7" man="1"/>
    <brk id="4633"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9"/>
  <sheetViews>
    <sheetView tabSelected="1" view="pageBreakPreview" zoomScale="70" zoomScaleNormal="100" zoomScaleSheetLayoutView="70" zoomScalePageLayoutView="86" workbookViewId="0">
      <selection activeCell="I13" sqref="I13"/>
    </sheetView>
  </sheetViews>
  <sheetFormatPr defaultRowHeight="12.75"/>
  <cols>
    <col min="1" max="1" width="13.28515625" style="446" customWidth="1"/>
    <col min="2" max="2" width="34.5703125" style="446" customWidth="1"/>
    <col min="3" max="3" width="12.140625" style="446" customWidth="1"/>
    <col min="4" max="4" width="24.28515625" style="446" bestFit="1" customWidth="1"/>
    <col min="5" max="5" width="19.5703125" style="446" bestFit="1" customWidth="1"/>
    <col min="6" max="6" width="19.42578125" style="446" bestFit="1" customWidth="1"/>
    <col min="7" max="7" width="18.28515625" style="446" bestFit="1" customWidth="1"/>
    <col min="8" max="8" width="19.85546875" style="446" bestFit="1" customWidth="1"/>
    <col min="9" max="10" width="19.5703125" style="446" bestFit="1" customWidth="1"/>
    <col min="11" max="11" width="19.140625" style="446" bestFit="1" customWidth="1"/>
    <col min="12" max="12" width="19.5703125" style="446" bestFit="1" customWidth="1"/>
    <col min="13" max="13" width="19.42578125" style="446" bestFit="1" customWidth="1"/>
    <col min="14" max="14" width="19.5703125" style="446" bestFit="1" customWidth="1"/>
    <col min="15" max="15" width="21.42578125" style="446" bestFit="1" customWidth="1"/>
    <col min="16" max="16" width="20.42578125" style="446" bestFit="1" customWidth="1"/>
    <col min="17" max="17" width="20.140625" style="446" bestFit="1" customWidth="1"/>
    <col min="18" max="18" width="19.140625" style="446" bestFit="1" customWidth="1"/>
    <col min="19" max="19" width="16.28515625" style="571" customWidth="1"/>
    <col min="20" max="20" width="12.5703125" style="446" bestFit="1" customWidth="1"/>
    <col min="21" max="16384" width="9.140625" style="446"/>
  </cols>
  <sheetData>
    <row r="1" spans="1:20" s="445" customFormat="1" ht="15">
      <c r="A1" s="649" t="s">
        <v>35</v>
      </c>
      <c r="B1" s="649"/>
      <c r="C1" s="649"/>
      <c r="D1" s="649"/>
      <c r="E1" s="649"/>
      <c r="F1" s="649"/>
      <c r="G1" s="649"/>
      <c r="H1" s="649"/>
      <c r="I1" s="649"/>
      <c r="J1" s="649"/>
      <c r="K1" s="649"/>
      <c r="L1" s="649"/>
      <c r="M1" s="649"/>
      <c r="N1" s="649"/>
      <c r="O1" s="649"/>
      <c r="P1" s="649"/>
      <c r="Q1" s="649"/>
      <c r="R1" s="649"/>
      <c r="S1" s="570"/>
    </row>
    <row r="2" spans="1:20" s="445" customFormat="1" ht="15">
      <c r="A2" s="649" t="s">
        <v>36</v>
      </c>
      <c r="B2" s="649"/>
      <c r="C2" s="649"/>
      <c r="D2" s="649"/>
      <c r="E2" s="649"/>
      <c r="F2" s="649"/>
      <c r="G2" s="649"/>
      <c r="H2" s="649"/>
      <c r="I2" s="649"/>
      <c r="J2" s="649"/>
      <c r="K2" s="649"/>
      <c r="L2" s="649"/>
      <c r="M2" s="649"/>
      <c r="N2" s="649"/>
      <c r="O2" s="649"/>
      <c r="P2" s="649"/>
      <c r="Q2" s="649"/>
      <c r="R2" s="649"/>
      <c r="S2" s="570"/>
    </row>
    <row r="3" spans="1:20" s="445" customFormat="1" ht="15">
      <c r="A3" s="649" t="s">
        <v>5924</v>
      </c>
      <c r="B3" s="649"/>
      <c r="C3" s="649"/>
      <c r="D3" s="649"/>
      <c r="E3" s="649"/>
      <c r="F3" s="649"/>
      <c r="G3" s="649"/>
      <c r="H3" s="649"/>
      <c r="I3" s="649"/>
      <c r="J3" s="649"/>
      <c r="K3" s="649"/>
      <c r="L3" s="649"/>
      <c r="M3" s="649"/>
      <c r="N3" s="649"/>
      <c r="O3" s="649"/>
      <c r="P3" s="649"/>
      <c r="Q3" s="649"/>
      <c r="R3" s="649"/>
      <c r="S3" s="570"/>
    </row>
    <row r="4" spans="1:20" s="445" customFormat="1" ht="15">
      <c r="A4" s="646"/>
      <c r="B4" s="646"/>
      <c r="C4" s="646"/>
      <c r="D4" s="647" t="s">
        <v>29</v>
      </c>
      <c r="E4" s="648"/>
      <c r="F4" s="649"/>
      <c r="G4" s="650"/>
      <c r="H4" s="651"/>
      <c r="I4" s="651"/>
      <c r="J4" s="652"/>
      <c r="S4" s="570"/>
    </row>
    <row r="5" spans="1:20" s="445" customFormat="1" ht="15">
      <c r="A5" s="646"/>
      <c r="B5" s="646"/>
      <c r="C5" s="646"/>
      <c r="D5" s="647"/>
      <c r="E5" s="648"/>
      <c r="F5" s="653"/>
      <c r="G5" s="654"/>
      <c r="H5" s="655"/>
      <c r="I5" s="655"/>
      <c r="J5" s="656"/>
      <c r="S5" s="570"/>
    </row>
    <row r="6" spans="1:20" s="445" customFormat="1" ht="21">
      <c r="A6" s="657" t="s">
        <v>9620</v>
      </c>
      <c r="B6" s="657"/>
      <c r="C6" s="657"/>
      <c r="D6" s="657"/>
      <c r="E6" s="657"/>
      <c r="F6" s="657"/>
      <c r="G6" s="657"/>
      <c r="H6" s="657"/>
      <c r="I6" s="657"/>
      <c r="J6" s="657"/>
      <c r="K6" s="657"/>
      <c r="L6" s="657"/>
      <c r="M6" s="657"/>
      <c r="N6" s="657"/>
      <c r="O6" s="657"/>
      <c r="P6" s="657"/>
      <c r="Q6" s="657"/>
      <c r="R6" s="657"/>
      <c r="S6" s="570"/>
    </row>
    <row r="7" spans="1:20" s="445" customFormat="1" ht="15">
      <c r="A7" s="646"/>
      <c r="B7" s="646"/>
      <c r="C7" s="646"/>
      <c r="D7" s="647"/>
      <c r="E7" s="648"/>
      <c r="F7" s="649"/>
      <c r="G7" s="650"/>
      <c r="H7" s="651"/>
      <c r="I7" s="651"/>
      <c r="J7" s="652"/>
      <c r="S7" s="570"/>
    </row>
    <row r="8" spans="1:20" s="445" customFormat="1" ht="15">
      <c r="A8" s="658" t="s">
        <v>5251</v>
      </c>
      <c r="B8" s="660" t="s">
        <v>9600</v>
      </c>
      <c r="C8" s="660"/>
      <c r="D8" s="660"/>
      <c r="E8" s="660"/>
      <c r="F8" s="660"/>
      <c r="G8" s="660"/>
      <c r="H8" s="660"/>
      <c r="I8" s="660"/>
      <c r="J8" s="660"/>
      <c r="S8" s="570"/>
    </row>
    <row r="9" spans="1:20" s="445" customFormat="1" ht="15" customHeight="1">
      <c r="A9" s="658" t="s">
        <v>131</v>
      </c>
      <c r="B9" s="660" t="s">
        <v>7854</v>
      </c>
      <c r="C9" s="660"/>
      <c r="D9" s="660"/>
      <c r="E9" s="660"/>
      <c r="F9" s="660"/>
      <c r="G9" s="660"/>
      <c r="H9" s="660"/>
      <c r="I9" s="660"/>
      <c r="J9" s="660"/>
      <c r="S9" s="570"/>
    </row>
    <row r="10" spans="1:20" s="445" customFormat="1" ht="15">
      <c r="A10" s="658" t="s">
        <v>5252</v>
      </c>
      <c r="B10" s="659" t="s">
        <v>15460</v>
      </c>
      <c r="C10" s="659"/>
      <c r="D10" s="659"/>
      <c r="E10" s="659"/>
      <c r="F10" s="659"/>
      <c r="G10" s="659"/>
      <c r="H10" s="659"/>
      <c r="I10" s="659"/>
      <c r="J10" s="659"/>
      <c r="S10" s="570"/>
    </row>
    <row r="11" spans="1:20" s="445" customFormat="1" ht="15.75" thickBot="1">
      <c r="A11" s="658"/>
      <c r="B11" s="660"/>
      <c r="C11" s="660"/>
      <c r="D11" s="660"/>
      <c r="E11" s="660"/>
      <c r="F11" s="660"/>
      <c r="G11" s="660"/>
      <c r="H11" s="660"/>
      <c r="I11" s="660"/>
      <c r="J11" s="660"/>
      <c r="S11" s="570"/>
    </row>
    <row r="12" spans="1:20" ht="53.25" customHeight="1">
      <c r="A12" s="642" t="s">
        <v>26</v>
      </c>
      <c r="B12" s="642" t="s">
        <v>24</v>
      </c>
      <c r="C12" s="644" t="s">
        <v>25</v>
      </c>
      <c r="D12" s="661" t="s">
        <v>5255</v>
      </c>
      <c r="E12" s="662" t="s">
        <v>19</v>
      </c>
      <c r="F12" s="662" t="s">
        <v>20</v>
      </c>
      <c r="G12" s="662" t="s">
        <v>30</v>
      </c>
      <c r="H12" s="662" t="s">
        <v>5926</v>
      </c>
      <c r="I12" s="662" t="s">
        <v>9137</v>
      </c>
      <c r="J12" s="662" t="s">
        <v>9138</v>
      </c>
      <c r="K12" s="662" t="s">
        <v>9139</v>
      </c>
      <c r="L12" s="662" t="s">
        <v>9140</v>
      </c>
      <c r="M12" s="662" t="s">
        <v>9141</v>
      </c>
      <c r="N12" s="662" t="s">
        <v>9142</v>
      </c>
      <c r="O12" s="662" t="s">
        <v>9143</v>
      </c>
      <c r="P12" s="662" t="s">
        <v>9144</v>
      </c>
      <c r="Q12" s="662" t="s">
        <v>9145</v>
      </c>
      <c r="R12" s="729" t="s">
        <v>9146</v>
      </c>
    </row>
    <row r="13" spans="1:20" ht="8.25" customHeight="1" thickBot="1">
      <c r="A13" s="643"/>
      <c r="B13" s="643"/>
      <c r="C13" s="645"/>
      <c r="D13" s="663"/>
      <c r="E13" s="664"/>
      <c r="F13" s="664"/>
      <c r="G13" s="664"/>
      <c r="H13" s="664"/>
      <c r="I13" s="664"/>
      <c r="J13" s="664"/>
      <c r="K13" s="664"/>
      <c r="L13" s="664"/>
      <c r="M13" s="664"/>
      <c r="N13" s="664"/>
      <c r="O13" s="664"/>
      <c r="P13" s="664"/>
      <c r="Q13" s="664"/>
      <c r="R13" s="730"/>
    </row>
    <row r="14" spans="1:20" ht="15.75" thickBot="1">
      <c r="A14" s="447" t="s">
        <v>9136</v>
      </c>
      <c r="B14" s="665"/>
      <c r="C14" s="665"/>
      <c r="D14" s="665"/>
      <c r="E14" s="665"/>
      <c r="F14" s="665"/>
      <c r="G14" s="665"/>
      <c r="H14" s="665"/>
      <c r="I14" s="665"/>
      <c r="J14" s="665"/>
      <c r="K14" s="665"/>
      <c r="L14" s="665"/>
      <c r="M14" s="665"/>
      <c r="N14" s="665"/>
      <c r="O14" s="665"/>
      <c r="P14" s="665"/>
      <c r="Q14" s="665"/>
      <c r="R14" s="665"/>
    </row>
    <row r="15" spans="1:20" ht="15">
      <c r="A15" s="666" t="s">
        <v>8686</v>
      </c>
      <c r="B15" s="667" t="s">
        <v>8682</v>
      </c>
      <c r="C15" s="668">
        <v>5.0000000000000001E-4</v>
      </c>
      <c r="D15" s="669">
        <v>3780.52</v>
      </c>
      <c r="E15" s="670">
        <v>134.5</v>
      </c>
      <c r="F15" s="670">
        <v>75.02</v>
      </c>
      <c r="G15" s="670">
        <v>77.16</v>
      </c>
      <c r="H15" s="670">
        <v>119.32</v>
      </c>
      <c r="I15" s="670">
        <v>283.32</v>
      </c>
      <c r="J15" s="670">
        <v>313.41000000000003</v>
      </c>
      <c r="K15" s="670">
        <v>143.97999999999999</v>
      </c>
      <c r="L15" s="670">
        <v>279.45</v>
      </c>
      <c r="M15" s="670">
        <v>302.11</v>
      </c>
      <c r="N15" s="670">
        <v>483.74</v>
      </c>
      <c r="O15" s="670">
        <v>512.77</v>
      </c>
      <c r="P15" s="670">
        <v>433.34</v>
      </c>
      <c r="Q15" s="670">
        <v>396.34</v>
      </c>
      <c r="R15" s="670">
        <v>226.06</v>
      </c>
      <c r="S15" s="453"/>
      <c r="T15" s="453"/>
    </row>
    <row r="16" spans="1:20" ht="13.5" customHeight="1" thickBot="1">
      <c r="A16" s="671"/>
      <c r="B16" s="672"/>
      <c r="C16" s="673"/>
      <c r="D16" s="674"/>
      <c r="E16" s="675">
        <v>3.5578262400101777E-2</v>
      </c>
      <c r="F16" s="675">
        <v>1.9844553364181027E-2</v>
      </c>
      <c r="G16" s="675">
        <v>2.0410853145237669E-2</v>
      </c>
      <c r="H16" s="675">
        <v>3.1562774382220209E-2</v>
      </c>
      <c r="I16" s="675">
        <v>7.4942010128458053E-2</v>
      </c>
      <c r="J16" s="675">
        <v>8.2901672857711009E-2</v>
      </c>
      <c r="K16" s="675">
        <v>3.808537873004432E-2</v>
      </c>
      <c r="L16" s="675">
        <v>7.3918395763055297E-2</v>
      </c>
      <c r="M16" s="675">
        <v>7.9910982837427424E-2</v>
      </c>
      <c r="N16" s="675">
        <v>0.12795494329562193</v>
      </c>
      <c r="O16" s="675">
        <v>0.1356341767177193</v>
      </c>
      <c r="P16" s="675">
        <v>0.11462261177115247</v>
      </c>
      <c r="Q16" s="675">
        <v>0.10483695639934172</v>
      </c>
      <c r="R16" s="675">
        <v>5.9796428207727875E-2</v>
      </c>
      <c r="S16" s="453"/>
      <c r="T16" s="453"/>
    </row>
    <row r="17" spans="1:20" ht="15">
      <c r="A17" s="666" t="s">
        <v>2</v>
      </c>
      <c r="B17" s="667" t="s">
        <v>8</v>
      </c>
      <c r="C17" s="668">
        <v>3.32E-2</v>
      </c>
      <c r="D17" s="669">
        <v>255708.55</v>
      </c>
      <c r="E17" s="670">
        <v>237578.81</v>
      </c>
      <c r="F17" s="670">
        <v>18129.740000000002</v>
      </c>
      <c r="G17" s="670">
        <v>0</v>
      </c>
      <c r="H17" s="670">
        <v>0</v>
      </c>
      <c r="I17" s="670">
        <v>0</v>
      </c>
      <c r="J17" s="670">
        <v>0</v>
      </c>
      <c r="K17" s="670">
        <v>0</v>
      </c>
      <c r="L17" s="670">
        <v>0</v>
      </c>
      <c r="M17" s="670">
        <v>0</v>
      </c>
      <c r="N17" s="670">
        <v>0</v>
      </c>
      <c r="O17" s="670">
        <v>0</v>
      </c>
      <c r="P17" s="670">
        <v>0</v>
      </c>
      <c r="Q17" s="670">
        <v>0</v>
      </c>
      <c r="R17" s="670">
        <v>0</v>
      </c>
      <c r="S17" s="453"/>
      <c r="T17" s="453"/>
    </row>
    <row r="18" spans="1:20" ht="15.75" thickBot="1">
      <c r="A18" s="671"/>
      <c r="B18" s="672"/>
      <c r="C18" s="673"/>
      <c r="D18" s="674"/>
      <c r="E18" s="676">
        <v>0.92910000000000004</v>
      </c>
      <c r="F18" s="676">
        <v>7.0900000000000005E-2</v>
      </c>
      <c r="G18" s="676">
        <v>0</v>
      </c>
      <c r="H18" s="676">
        <v>0</v>
      </c>
      <c r="I18" s="676">
        <v>0</v>
      </c>
      <c r="J18" s="676">
        <v>0</v>
      </c>
      <c r="K18" s="676">
        <v>0</v>
      </c>
      <c r="L18" s="676">
        <v>0</v>
      </c>
      <c r="M18" s="676">
        <v>0</v>
      </c>
      <c r="N18" s="676">
        <v>0</v>
      </c>
      <c r="O18" s="676">
        <v>0</v>
      </c>
      <c r="P18" s="676">
        <v>0</v>
      </c>
      <c r="Q18" s="676">
        <v>0</v>
      </c>
      <c r="R18" s="676">
        <v>0</v>
      </c>
      <c r="S18" s="453"/>
      <c r="T18" s="453"/>
    </row>
    <row r="19" spans="1:20" ht="15">
      <c r="A19" s="666" t="s">
        <v>13</v>
      </c>
      <c r="B19" s="667" t="s">
        <v>5799</v>
      </c>
      <c r="C19" s="668">
        <v>3.2000000000000002E-3</v>
      </c>
      <c r="D19" s="669">
        <v>24777.39</v>
      </c>
      <c r="E19" s="670">
        <v>0</v>
      </c>
      <c r="F19" s="670">
        <v>0</v>
      </c>
      <c r="G19" s="670">
        <v>0</v>
      </c>
      <c r="H19" s="670">
        <v>0</v>
      </c>
      <c r="I19" s="670">
        <v>0</v>
      </c>
      <c r="J19" s="670">
        <v>0</v>
      </c>
      <c r="K19" s="670">
        <v>0</v>
      </c>
      <c r="L19" s="670">
        <v>0</v>
      </c>
      <c r="M19" s="670">
        <v>0</v>
      </c>
      <c r="N19" s="670">
        <v>0</v>
      </c>
      <c r="O19" s="670">
        <v>0</v>
      </c>
      <c r="P19" s="670">
        <v>0</v>
      </c>
      <c r="Q19" s="670">
        <v>0</v>
      </c>
      <c r="R19" s="670">
        <v>24777.39</v>
      </c>
      <c r="S19" s="453"/>
      <c r="T19" s="453"/>
    </row>
    <row r="20" spans="1:20" ht="15.75" thickBot="1">
      <c r="A20" s="671"/>
      <c r="B20" s="672"/>
      <c r="C20" s="673"/>
      <c r="D20" s="674"/>
      <c r="E20" s="676">
        <v>0</v>
      </c>
      <c r="F20" s="676">
        <v>0</v>
      </c>
      <c r="G20" s="676">
        <v>0</v>
      </c>
      <c r="H20" s="676">
        <v>0</v>
      </c>
      <c r="I20" s="676">
        <v>0</v>
      </c>
      <c r="J20" s="676">
        <v>0</v>
      </c>
      <c r="K20" s="676">
        <v>0</v>
      </c>
      <c r="L20" s="676">
        <v>0</v>
      </c>
      <c r="M20" s="676">
        <v>0</v>
      </c>
      <c r="N20" s="676">
        <v>0</v>
      </c>
      <c r="O20" s="676">
        <v>0</v>
      </c>
      <c r="P20" s="676">
        <v>0</v>
      </c>
      <c r="Q20" s="676">
        <v>0</v>
      </c>
      <c r="R20" s="676">
        <v>1</v>
      </c>
      <c r="S20" s="453"/>
      <c r="T20" s="453"/>
    </row>
    <row r="21" spans="1:20" ht="15.75" customHeight="1">
      <c r="A21" s="666" t="s">
        <v>10</v>
      </c>
      <c r="B21" s="667" t="s">
        <v>5811</v>
      </c>
      <c r="C21" s="668">
        <v>6.6199999999999995E-2</v>
      </c>
      <c r="D21" s="677">
        <v>509886.93999999994</v>
      </c>
      <c r="E21" s="670">
        <v>18140.89</v>
      </c>
      <c r="F21" s="670">
        <v>10118.48</v>
      </c>
      <c r="G21" s="670">
        <v>10407.23</v>
      </c>
      <c r="H21" s="670">
        <v>16093.45</v>
      </c>
      <c r="I21" s="670">
        <v>38211.949999999997</v>
      </c>
      <c r="J21" s="670">
        <v>42270.48</v>
      </c>
      <c r="K21" s="670">
        <v>19419.240000000002</v>
      </c>
      <c r="L21" s="670">
        <v>37690.019999999997</v>
      </c>
      <c r="M21" s="670">
        <v>40745.57</v>
      </c>
      <c r="N21" s="670">
        <v>65242.55</v>
      </c>
      <c r="O21" s="670">
        <v>69158.100000000006</v>
      </c>
      <c r="P21" s="670">
        <v>58444.57</v>
      </c>
      <c r="Q21" s="670">
        <v>53454.99</v>
      </c>
      <c r="R21" s="670">
        <v>30489.42</v>
      </c>
      <c r="S21" s="453"/>
      <c r="T21" s="453"/>
    </row>
    <row r="22" spans="1:20" ht="13.5" customHeight="1" thickBot="1">
      <c r="A22" s="671"/>
      <c r="B22" s="672"/>
      <c r="C22" s="673"/>
      <c r="D22" s="678"/>
      <c r="E22" s="675">
        <v>3.5578262400101777E-2</v>
      </c>
      <c r="F22" s="675">
        <v>1.9844553364181027E-2</v>
      </c>
      <c r="G22" s="675">
        <v>2.0410853145237669E-2</v>
      </c>
      <c r="H22" s="675">
        <v>3.1562774382220209E-2</v>
      </c>
      <c r="I22" s="675">
        <v>7.4942010128458053E-2</v>
      </c>
      <c r="J22" s="675">
        <v>8.2901672857711009E-2</v>
      </c>
      <c r="K22" s="675">
        <v>3.808537873004432E-2</v>
      </c>
      <c r="L22" s="675">
        <v>7.3918395763055297E-2</v>
      </c>
      <c r="M22" s="675">
        <v>7.9910982837427424E-2</v>
      </c>
      <c r="N22" s="675">
        <v>0.12795494329562193</v>
      </c>
      <c r="O22" s="675">
        <v>0.1356341767177193</v>
      </c>
      <c r="P22" s="675">
        <v>0.11462261177115247</v>
      </c>
      <c r="Q22" s="675">
        <v>0.10483695639934172</v>
      </c>
      <c r="R22" s="675">
        <v>5.9796428207727875E-2</v>
      </c>
      <c r="S22" s="453"/>
      <c r="T22" s="453"/>
    </row>
    <row r="23" spans="1:20" ht="15.75" thickBot="1">
      <c r="A23" s="447" t="s">
        <v>7965</v>
      </c>
      <c r="B23" s="665"/>
      <c r="C23" s="665"/>
      <c r="D23" s="665"/>
      <c r="E23" s="665"/>
      <c r="F23" s="665"/>
      <c r="G23" s="665"/>
      <c r="H23" s="665"/>
      <c r="I23" s="665"/>
      <c r="J23" s="665"/>
      <c r="K23" s="665"/>
      <c r="L23" s="665"/>
      <c r="M23" s="665"/>
      <c r="N23" s="665"/>
      <c r="O23" s="665"/>
      <c r="P23" s="665"/>
      <c r="Q23" s="665"/>
      <c r="R23" s="665"/>
      <c r="S23" s="453"/>
      <c r="T23" s="453"/>
    </row>
    <row r="24" spans="1:20" ht="15">
      <c r="A24" s="666" t="s">
        <v>8686</v>
      </c>
      <c r="B24" s="667" t="s">
        <v>8682</v>
      </c>
      <c r="C24" s="668">
        <v>3.2000000000000002E-3</v>
      </c>
      <c r="D24" s="677">
        <v>24520.300000000003</v>
      </c>
      <c r="E24" s="670">
        <v>17990.54</v>
      </c>
      <c r="F24" s="670">
        <v>6529.76</v>
      </c>
      <c r="G24" s="670">
        <v>0</v>
      </c>
      <c r="H24" s="670">
        <v>0</v>
      </c>
      <c r="I24" s="670">
        <v>0</v>
      </c>
      <c r="J24" s="670">
        <v>0</v>
      </c>
      <c r="K24" s="670">
        <v>0</v>
      </c>
      <c r="L24" s="670">
        <v>0</v>
      </c>
      <c r="M24" s="670">
        <v>0</v>
      </c>
      <c r="N24" s="670">
        <v>0</v>
      </c>
      <c r="O24" s="670">
        <v>0</v>
      </c>
      <c r="P24" s="670">
        <v>0</v>
      </c>
      <c r="Q24" s="670">
        <v>0</v>
      </c>
      <c r="R24" s="670">
        <v>0</v>
      </c>
      <c r="S24" s="453"/>
      <c r="T24" s="453"/>
    </row>
    <row r="25" spans="1:20" ht="15.75" thickBot="1">
      <c r="A25" s="671"/>
      <c r="B25" s="672"/>
      <c r="C25" s="673"/>
      <c r="D25" s="678"/>
      <c r="E25" s="676">
        <v>0.73370000000000002</v>
      </c>
      <c r="F25" s="676">
        <v>0.26629999999999998</v>
      </c>
      <c r="G25" s="676">
        <v>0</v>
      </c>
      <c r="H25" s="676">
        <v>0</v>
      </c>
      <c r="I25" s="676">
        <v>0</v>
      </c>
      <c r="J25" s="676">
        <v>0</v>
      </c>
      <c r="K25" s="676">
        <v>0</v>
      </c>
      <c r="L25" s="676">
        <v>0</v>
      </c>
      <c r="M25" s="676">
        <v>0</v>
      </c>
      <c r="N25" s="676">
        <v>0</v>
      </c>
      <c r="O25" s="676">
        <v>0</v>
      </c>
      <c r="P25" s="676">
        <v>0</v>
      </c>
      <c r="Q25" s="676">
        <v>0</v>
      </c>
      <c r="R25" s="676">
        <v>0</v>
      </c>
      <c r="S25" s="453"/>
      <c r="T25" s="453"/>
    </row>
    <row r="26" spans="1:20" ht="15">
      <c r="A26" s="666" t="s">
        <v>2</v>
      </c>
      <c r="B26" s="667" t="s">
        <v>8</v>
      </c>
      <c r="C26" s="668">
        <v>1E-3</v>
      </c>
      <c r="D26" s="669">
        <v>7640.64</v>
      </c>
      <c r="E26" s="670">
        <v>0</v>
      </c>
      <c r="F26" s="670">
        <v>490.53</v>
      </c>
      <c r="G26" s="670">
        <v>674.67</v>
      </c>
      <c r="H26" s="670">
        <v>975.71</v>
      </c>
      <c r="I26" s="670">
        <v>2548.15</v>
      </c>
      <c r="J26" s="670">
        <v>2611.5700000000002</v>
      </c>
      <c r="K26" s="670">
        <v>72.59</v>
      </c>
      <c r="L26" s="670">
        <v>220.05</v>
      </c>
      <c r="M26" s="670">
        <v>0</v>
      </c>
      <c r="N26" s="670">
        <v>0</v>
      </c>
      <c r="O26" s="670">
        <v>47.37</v>
      </c>
      <c r="P26" s="670">
        <v>0</v>
      </c>
      <c r="Q26" s="670">
        <v>0</v>
      </c>
      <c r="R26" s="670">
        <v>0</v>
      </c>
      <c r="S26" s="453"/>
      <c r="T26" s="453"/>
    </row>
    <row r="27" spans="1:20" ht="15.75" thickBot="1">
      <c r="A27" s="671"/>
      <c r="B27" s="672"/>
      <c r="C27" s="673"/>
      <c r="D27" s="674"/>
      <c r="E27" s="676">
        <v>0</v>
      </c>
      <c r="F27" s="676">
        <v>6.4199999999999993E-2</v>
      </c>
      <c r="G27" s="679">
        <v>8.8300000000000003E-2</v>
      </c>
      <c r="H27" s="679">
        <v>0.12770000000000001</v>
      </c>
      <c r="I27" s="679">
        <v>0.33350000000000002</v>
      </c>
      <c r="J27" s="679">
        <v>0.34179999999999999</v>
      </c>
      <c r="K27" s="679">
        <v>9.4999999999999998E-3</v>
      </c>
      <c r="L27" s="679">
        <v>2.8799999999999999E-2</v>
      </c>
      <c r="M27" s="679">
        <v>0</v>
      </c>
      <c r="N27" s="679">
        <v>0</v>
      </c>
      <c r="O27" s="679">
        <v>6.1999999999999998E-3</v>
      </c>
      <c r="P27" s="679">
        <v>0</v>
      </c>
      <c r="Q27" s="679">
        <v>0</v>
      </c>
      <c r="R27" s="679">
        <v>0</v>
      </c>
      <c r="S27" s="453"/>
      <c r="T27" s="453"/>
    </row>
    <row r="28" spans="1:20" ht="15">
      <c r="A28" s="666" t="s">
        <v>3</v>
      </c>
      <c r="B28" s="667" t="s">
        <v>5793</v>
      </c>
      <c r="C28" s="668">
        <v>0.2016</v>
      </c>
      <c r="D28" s="669">
        <v>1551412.6599999997</v>
      </c>
      <c r="E28" s="670">
        <v>0</v>
      </c>
      <c r="F28" s="670">
        <v>99600.69</v>
      </c>
      <c r="G28" s="670">
        <v>136989.74</v>
      </c>
      <c r="H28" s="670">
        <v>198115.4</v>
      </c>
      <c r="I28" s="670">
        <v>517396.12</v>
      </c>
      <c r="J28" s="670">
        <v>530272.85</v>
      </c>
      <c r="K28" s="670">
        <v>14738.42</v>
      </c>
      <c r="L28" s="670">
        <v>44680.68</v>
      </c>
      <c r="M28" s="670">
        <v>0</v>
      </c>
      <c r="N28" s="670">
        <v>0</v>
      </c>
      <c r="O28" s="670">
        <v>9618.76</v>
      </c>
      <c r="P28" s="670">
        <v>0</v>
      </c>
      <c r="Q28" s="670">
        <v>0</v>
      </c>
      <c r="R28" s="670">
        <v>0</v>
      </c>
      <c r="S28" s="453"/>
      <c r="T28" s="453"/>
    </row>
    <row r="29" spans="1:20" ht="15.75" thickBot="1">
      <c r="A29" s="671"/>
      <c r="B29" s="672"/>
      <c r="C29" s="673"/>
      <c r="D29" s="674"/>
      <c r="E29" s="676">
        <v>0</v>
      </c>
      <c r="F29" s="676">
        <v>6.4199999999999993E-2</v>
      </c>
      <c r="G29" s="676">
        <v>8.8300000000000003E-2</v>
      </c>
      <c r="H29" s="676">
        <v>0.12770000000000001</v>
      </c>
      <c r="I29" s="676">
        <v>0.33350000000000002</v>
      </c>
      <c r="J29" s="676">
        <v>0.34179999999999999</v>
      </c>
      <c r="K29" s="676">
        <v>9.4999999999999998E-3</v>
      </c>
      <c r="L29" s="676">
        <v>2.8799999999999999E-2</v>
      </c>
      <c r="M29" s="676">
        <v>0</v>
      </c>
      <c r="N29" s="676">
        <v>0</v>
      </c>
      <c r="O29" s="676">
        <v>6.1999999999999998E-3</v>
      </c>
      <c r="P29" s="676">
        <v>0</v>
      </c>
      <c r="Q29" s="676">
        <v>0</v>
      </c>
      <c r="R29" s="676">
        <v>0</v>
      </c>
      <c r="S29" s="453"/>
      <c r="T29" s="453"/>
    </row>
    <row r="30" spans="1:20" ht="15.75" customHeight="1">
      <c r="A30" s="666" t="s">
        <v>4</v>
      </c>
      <c r="B30" s="667" t="s">
        <v>5804</v>
      </c>
      <c r="C30" s="668">
        <v>0.27500000000000002</v>
      </c>
      <c r="D30" s="669">
        <v>2116579.3600000003</v>
      </c>
      <c r="E30" s="670">
        <v>0</v>
      </c>
      <c r="F30" s="670">
        <v>0</v>
      </c>
      <c r="G30" s="670">
        <v>0</v>
      </c>
      <c r="H30" s="670">
        <v>0</v>
      </c>
      <c r="I30" s="670">
        <v>0</v>
      </c>
      <c r="J30" s="670">
        <v>44236.51</v>
      </c>
      <c r="K30" s="670">
        <v>227743.94</v>
      </c>
      <c r="L30" s="670">
        <v>294416.19</v>
      </c>
      <c r="M30" s="670">
        <v>237691.86</v>
      </c>
      <c r="N30" s="670">
        <v>373364.6</v>
      </c>
      <c r="O30" s="670">
        <v>279811.78999999998</v>
      </c>
      <c r="P30" s="670">
        <v>273462.05</v>
      </c>
      <c r="Q30" s="670">
        <v>249544.71</v>
      </c>
      <c r="R30" s="670">
        <v>136307.71</v>
      </c>
      <c r="S30" s="453"/>
      <c r="T30" s="453"/>
    </row>
    <row r="31" spans="1:20" ht="15.75" thickBot="1">
      <c r="A31" s="671"/>
      <c r="B31" s="672"/>
      <c r="C31" s="673"/>
      <c r="D31" s="674"/>
      <c r="E31" s="676">
        <v>0</v>
      </c>
      <c r="F31" s="676">
        <v>0</v>
      </c>
      <c r="G31" s="676">
        <v>0</v>
      </c>
      <c r="H31" s="676">
        <v>0</v>
      </c>
      <c r="I31" s="676">
        <v>0</v>
      </c>
      <c r="J31" s="676">
        <v>2.0899999999999998E-2</v>
      </c>
      <c r="K31" s="676">
        <v>0.1076</v>
      </c>
      <c r="L31" s="676">
        <v>0.1391</v>
      </c>
      <c r="M31" s="676">
        <v>0.1123</v>
      </c>
      <c r="N31" s="676">
        <v>0.1764</v>
      </c>
      <c r="O31" s="676">
        <v>0.13220000000000001</v>
      </c>
      <c r="P31" s="676">
        <v>0.12920000000000001</v>
      </c>
      <c r="Q31" s="676">
        <v>0.1179</v>
      </c>
      <c r="R31" s="676">
        <v>6.4399999999999999E-2</v>
      </c>
      <c r="S31" s="453"/>
      <c r="T31" s="453"/>
    </row>
    <row r="32" spans="1:20" ht="15.75" customHeight="1">
      <c r="A32" s="666" t="s">
        <v>5935</v>
      </c>
      <c r="B32" s="667" t="s">
        <v>5943</v>
      </c>
      <c r="C32" s="668">
        <v>3.6700000000000003E-2</v>
      </c>
      <c r="D32" s="669">
        <v>282115.61</v>
      </c>
      <c r="E32" s="670">
        <v>0</v>
      </c>
      <c r="F32" s="670">
        <v>0</v>
      </c>
      <c r="G32" s="670">
        <v>0</v>
      </c>
      <c r="H32" s="670">
        <v>26264.959999999999</v>
      </c>
      <c r="I32" s="670">
        <v>0</v>
      </c>
      <c r="J32" s="670">
        <v>0</v>
      </c>
      <c r="K32" s="670">
        <v>19719.88</v>
      </c>
      <c r="L32" s="670">
        <v>19719.88</v>
      </c>
      <c r="M32" s="670">
        <v>80741.490000000005</v>
      </c>
      <c r="N32" s="670">
        <v>70021.09</v>
      </c>
      <c r="O32" s="670">
        <v>65648.3</v>
      </c>
      <c r="P32" s="670">
        <v>0</v>
      </c>
      <c r="Q32" s="670">
        <v>0</v>
      </c>
      <c r="R32" s="670">
        <v>0</v>
      </c>
      <c r="S32" s="453"/>
      <c r="T32" s="453"/>
    </row>
    <row r="33" spans="1:20" ht="15.75" thickBot="1">
      <c r="A33" s="671"/>
      <c r="B33" s="672"/>
      <c r="C33" s="673"/>
      <c r="D33" s="674"/>
      <c r="E33" s="676">
        <v>0</v>
      </c>
      <c r="F33" s="676">
        <v>0</v>
      </c>
      <c r="G33" s="676">
        <v>0</v>
      </c>
      <c r="H33" s="676">
        <v>9.3100000000000002E-2</v>
      </c>
      <c r="I33" s="676">
        <v>0</v>
      </c>
      <c r="J33" s="676">
        <v>0</v>
      </c>
      <c r="K33" s="676">
        <v>6.9900000000000004E-2</v>
      </c>
      <c r="L33" s="676">
        <v>6.9900000000000004E-2</v>
      </c>
      <c r="M33" s="676">
        <v>0.28620000000000001</v>
      </c>
      <c r="N33" s="676">
        <v>0.2482</v>
      </c>
      <c r="O33" s="676">
        <v>0.23269999999999999</v>
      </c>
      <c r="P33" s="676">
        <v>0</v>
      </c>
      <c r="Q33" s="676">
        <v>0</v>
      </c>
      <c r="R33" s="676">
        <v>0</v>
      </c>
      <c r="S33" s="453"/>
      <c r="T33" s="453"/>
    </row>
    <row r="34" spans="1:20" ht="15.75" customHeight="1">
      <c r="A34" s="666" t="s">
        <v>5</v>
      </c>
      <c r="B34" s="667" t="s">
        <v>5806</v>
      </c>
      <c r="C34" s="668">
        <v>0.16320000000000001</v>
      </c>
      <c r="D34" s="669">
        <v>1256001.4699999993</v>
      </c>
      <c r="E34" s="670">
        <v>0</v>
      </c>
      <c r="F34" s="670">
        <v>0</v>
      </c>
      <c r="G34" s="670">
        <v>0</v>
      </c>
      <c r="H34" s="670">
        <v>0</v>
      </c>
      <c r="I34" s="670">
        <v>0</v>
      </c>
      <c r="J34" s="670">
        <v>0</v>
      </c>
      <c r="K34" s="670">
        <v>0</v>
      </c>
      <c r="L34" s="670">
        <v>52500.86</v>
      </c>
      <c r="M34" s="670">
        <v>22984.83</v>
      </c>
      <c r="N34" s="670">
        <v>140044.16</v>
      </c>
      <c r="O34" s="670">
        <v>186641.82</v>
      </c>
      <c r="P34" s="670">
        <v>258736.3</v>
      </c>
      <c r="Q34" s="670">
        <v>385090.05</v>
      </c>
      <c r="R34" s="670">
        <v>210003.45</v>
      </c>
      <c r="S34" s="453"/>
      <c r="T34" s="453"/>
    </row>
    <row r="35" spans="1:20" ht="15.75" thickBot="1">
      <c r="A35" s="671"/>
      <c r="B35" s="672"/>
      <c r="C35" s="673"/>
      <c r="D35" s="674"/>
      <c r="E35" s="676">
        <v>0</v>
      </c>
      <c r="F35" s="676">
        <v>0</v>
      </c>
      <c r="G35" s="676">
        <v>0</v>
      </c>
      <c r="H35" s="676">
        <v>0</v>
      </c>
      <c r="I35" s="676">
        <v>0</v>
      </c>
      <c r="J35" s="676">
        <v>0</v>
      </c>
      <c r="K35" s="676">
        <v>0</v>
      </c>
      <c r="L35" s="676">
        <v>4.1799999999999997E-2</v>
      </c>
      <c r="M35" s="676">
        <v>1.83E-2</v>
      </c>
      <c r="N35" s="676">
        <v>0.1115</v>
      </c>
      <c r="O35" s="676">
        <v>0.14860000000000001</v>
      </c>
      <c r="P35" s="676">
        <v>0.20599999999999999</v>
      </c>
      <c r="Q35" s="676">
        <v>0.30659999999999998</v>
      </c>
      <c r="R35" s="676">
        <v>0.16719999999999999</v>
      </c>
      <c r="S35" s="453"/>
      <c r="T35" s="453"/>
    </row>
    <row r="36" spans="1:20" ht="15">
      <c r="A36" s="666" t="s">
        <v>9</v>
      </c>
      <c r="B36" s="667" t="s">
        <v>9597</v>
      </c>
      <c r="C36" s="668">
        <v>0.1091</v>
      </c>
      <c r="D36" s="669">
        <v>839481.66000000027</v>
      </c>
      <c r="E36" s="670">
        <v>0</v>
      </c>
      <c r="F36" s="670">
        <v>0</v>
      </c>
      <c r="G36" s="670">
        <v>0</v>
      </c>
      <c r="H36" s="670">
        <v>0</v>
      </c>
      <c r="I36" s="670">
        <v>0</v>
      </c>
      <c r="J36" s="670">
        <v>0</v>
      </c>
      <c r="K36" s="670">
        <v>0</v>
      </c>
      <c r="L36" s="670">
        <v>0</v>
      </c>
      <c r="M36" s="670">
        <v>77652.05</v>
      </c>
      <c r="N36" s="670">
        <v>155136.21</v>
      </c>
      <c r="O36" s="670">
        <v>232872.21</v>
      </c>
      <c r="P36" s="670">
        <v>232872.22</v>
      </c>
      <c r="Q36" s="670">
        <v>109300.51</v>
      </c>
      <c r="R36" s="670">
        <v>31648.46</v>
      </c>
      <c r="S36" s="453"/>
      <c r="T36" s="453"/>
    </row>
    <row r="37" spans="1:20" ht="15.75" thickBot="1">
      <c r="A37" s="671"/>
      <c r="B37" s="672"/>
      <c r="C37" s="673"/>
      <c r="D37" s="674"/>
      <c r="E37" s="676">
        <v>0</v>
      </c>
      <c r="F37" s="676">
        <v>0</v>
      </c>
      <c r="G37" s="676">
        <v>0</v>
      </c>
      <c r="H37" s="676">
        <v>0</v>
      </c>
      <c r="I37" s="676">
        <v>0</v>
      </c>
      <c r="J37" s="676">
        <v>0</v>
      </c>
      <c r="K37" s="676">
        <v>0</v>
      </c>
      <c r="L37" s="676">
        <v>0</v>
      </c>
      <c r="M37" s="676">
        <v>9.2499999999999999E-2</v>
      </c>
      <c r="N37" s="676">
        <v>0.18479999999999999</v>
      </c>
      <c r="O37" s="676">
        <v>0.27739999999999998</v>
      </c>
      <c r="P37" s="676">
        <v>0.27739999999999998</v>
      </c>
      <c r="Q37" s="676">
        <v>0.13020000000000001</v>
      </c>
      <c r="R37" s="676">
        <v>3.7699999999999997E-2</v>
      </c>
      <c r="S37" s="453"/>
      <c r="T37" s="453"/>
    </row>
    <row r="38" spans="1:20" ht="15.75" customHeight="1">
      <c r="A38" s="666" t="s">
        <v>5958</v>
      </c>
      <c r="B38" s="667" t="s">
        <v>5960</v>
      </c>
      <c r="C38" s="668">
        <v>3.2000000000000002E-3</v>
      </c>
      <c r="D38" s="669">
        <v>24525.5</v>
      </c>
      <c r="E38" s="670">
        <v>0</v>
      </c>
      <c r="F38" s="670">
        <v>0</v>
      </c>
      <c r="G38" s="670">
        <v>0</v>
      </c>
      <c r="H38" s="670">
        <v>0</v>
      </c>
      <c r="I38" s="670">
        <v>0</v>
      </c>
      <c r="J38" s="670">
        <v>0</v>
      </c>
      <c r="K38" s="670">
        <v>0</v>
      </c>
      <c r="L38" s="670">
        <v>12262.75</v>
      </c>
      <c r="M38" s="670">
        <v>9810.2000000000007</v>
      </c>
      <c r="N38" s="670">
        <v>0</v>
      </c>
      <c r="O38" s="670">
        <v>0</v>
      </c>
      <c r="P38" s="670">
        <v>0</v>
      </c>
      <c r="Q38" s="670">
        <v>2452.5500000000002</v>
      </c>
      <c r="R38" s="670">
        <v>0</v>
      </c>
      <c r="S38" s="453"/>
      <c r="T38" s="453"/>
    </row>
    <row r="39" spans="1:20" ht="15.75" thickBot="1">
      <c r="A39" s="671"/>
      <c r="B39" s="672"/>
      <c r="C39" s="673"/>
      <c r="D39" s="674"/>
      <c r="E39" s="676">
        <v>0</v>
      </c>
      <c r="F39" s="679">
        <v>0</v>
      </c>
      <c r="G39" s="679">
        <v>0</v>
      </c>
      <c r="H39" s="679">
        <v>0</v>
      </c>
      <c r="I39" s="679">
        <v>0</v>
      </c>
      <c r="J39" s="679">
        <v>0</v>
      </c>
      <c r="K39" s="679">
        <v>0</v>
      </c>
      <c r="L39" s="676">
        <v>0.5</v>
      </c>
      <c r="M39" s="676">
        <v>0.4</v>
      </c>
      <c r="N39" s="679">
        <v>0</v>
      </c>
      <c r="O39" s="679">
        <v>0</v>
      </c>
      <c r="P39" s="679">
        <v>0</v>
      </c>
      <c r="Q39" s="676">
        <v>0.1</v>
      </c>
      <c r="R39" s="679">
        <v>0</v>
      </c>
      <c r="S39" s="453"/>
      <c r="T39" s="453"/>
    </row>
    <row r="40" spans="1:20" ht="15.75" thickBot="1">
      <c r="A40" s="447" t="s">
        <v>9147</v>
      </c>
      <c r="B40" s="665"/>
      <c r="C40" s="665"/>
      <c r="D40" s="665"/>
      <c r="E40" s="665"/>
      <c r="F40" s="665"/>
      <c r="G40" s="665"/>
      <c r="H40" s="665"/>
      <c r="I40" s="665"/>
      <c r="J40" s="665"/>
      <c r="K40" s="665"/>
      <c r="L40" s="665"/>
      <c r="M40" s="665"/>
      <c r="N40" s="665"/>
      <c r="O40" s="665"/>
      <c r="P40" s="665"/>
      <c r="Q40" s="665"/>
      <c r="R40" s="665"/>
      <c r="S40" s="453"/>
      <c r="T40" s="453"/>
    </row>
    <row r="41" spans="1:20" ht="15">
      <c r="A41" s="666" t="s">
        <v>8686</v>
      </c>
      <c r="B41" s="667" t="s">
        <v>8682</v>
      </c>
      <c r="C41" s="668">
        <v>1E-4</v>
      </c>
      <c r="D41" s="669">
        <v>1064.5999999999999</v>
      </c>
      <c r="E41" s="670">
        <v>0</v>
      </c>
      <c r="F41" s="670">
        <v>251.46</v>
      </c>
      <c r="G41" s="670">
        <v>154.58000000000001</v>
      </c>
      <c r="H41" s="670">
        <v>23.63</v>
      </c>
      <c r="I41" s="670">
        <v>317.45999999999998</v>
      </c>
      <c r="J41" s="670">
        <v>317.45999999999998</v>
      </c>
      <c r="K41" s="670">
        <v>0</v>
      </c>
      <c r="L41" s="670">
        <v>0</v>
      </c>
      <c r="M41" s="670">
        <v>0</v>
      </c>
      <c r="N41" s="670">
        <v>0</v>
      </c>
      <c r="O41" s="670">
        <v>0</v>
      </c>
      <c r="P41" s="670">
        <v>0</v>
      </c>
      <c r="Q41" s="670">
        <v>0</v>
      </c>
      <c r="R41" s="670">
        <v>0</v>
      </c>
      <c r="S41" s="453"/>
      <c r="T41" s="453"/>
    </row>
    <row r="42" spans="1:20" ht="15.75" thickBot="1">
      <c r="A42" s="671"/>
      <c r="B42" s="672"/>
      <c r="C42" s="673"/>
      <c r="D42" s="674"/>
      <c r="E42" s="676">
        <v>0</v>
      </c>
      <c r="F42" s="676">
        <v>0.23619999999999999</v>
      </c>
      <c r="G42" s="676">
        <v>0.1452</v>
      </c>
      <c r="H42" s="676">
        <v>2.2200000000000001E-2</v>
      </c>
      <c r="I42" s="676">
        <v>0.29820000000000002</v>
      </c>
      <c r="J42" s="676">
        <v>0.29820000000000002</v>
      </c>
      <c r="K42" s="679">
        <v>0</v>
      </c>
      <c r="L42" s="679">
        <v>0</v>
      </c>
      <c r="M42" s="679">
        <v>0</v>
      </c>
      <c r="N42" s="679">
        <v>0</v>
      </c>
      <c r="O42" s="679">
        <v>0</v>
      </c>
      <c r="P42" s="679">
        <v>0</v>
      </c>
      <c r="Q42" s="679">
        <v>0</v>
      </c>
      <c r="R42" s="679">
        <v>0</v>
      </c>
      <c r="S42" s="453"/>
      <c r="T42" s="453"/>
    </row>
    <row r="43" spans="1:20" ht="15">
      <c r="A43" s="666" t="s">
        <v>2</v>
      </c>
      <c r="B43" s="667" t="s">
        <v>8</v>
      </c>
      <c r="C43" s="668">
        <v>4.0000000000000002E-4</v>
      </c>
      <c r="D43" s="669">
        <v>3234.8199999999997</v>
      </c>
      <c r="E43" s="670">
        <v>0</v>
      </c>
      <c r="F43" s="670">
        <v>3234.82</v>
      </c>
      <c r="G43" s="670">
        <v>0</v>
      </c>
      <c r="H43" s="670">
        <v>0</v>
      </c>
      <c r="I43" s="670">
        <v>0</v>
      </c>
      <c r="J43" s="670">
        <v>0</v>
      </c>
      <c r="K43" s="670">
        <v>0</v>
      </c>
      <c r="L43" s="670">
        <v>0</v>
      </c>
      <c r="M43" s="670">
        <v>0</v>
      </c>
      <c r="N43" s="670">
        <v>0</v>
      </c>
      <c r="O43" s="670">
        <v>0</v>
      </c>
      <c r="P43" s="670">
        <v>0</v>
      </c>
      <c r="Q43" s="670">
        <v>0</v>
      </c>
      <c r="R43" s="670">
        <v>0</v>
      </c>
      <c r="S43" s="453"/>
      <c r="T43" s="453"/>
    </row>
    <row r="44" spans="1:20" ht="15.75" thickBot="1">
      <c r="A44" s="671"/>
      <c r="B44" s="672"/>
      <c r="C44" s="673"/>
      <c r="D44" s="674"/>
      <c r="E44" s="676">
        <v>0</v>
      </c>
      <c r="F44" s="676">
        <v>1</v>
      </c>
      <c r="G44" s="679">
        <v>0</v>
      </c>
      <c r="H44" s="679">
        <v>0</v>
      </c>
      <c r="I44" s="679">
        <v>0</v>
      </c>
      <c r="J44" s="679">
        <v>0</v>
      </c>
      <c r="K44" s="679">
        <v>0</v>
      </c>
      <c r="L44" s="679">
        <v>0</v>
      </c>
      <c r="M44" s="679">
        <v>0</v>
      </c>
      <c r="N44" s="679">
        <v>0</v>
      </c>
      <c r="O44" s="679">
        <v>0</v>
      </c>
      <c r="P44" s="679">
        <v>0</v>
      </c>
      <c r="Q44" s="679">
        <v>0</v>
      </c>
      <c r="R44" s="679">
        <v>0</v>
      </c>
      <c r="S44" s="453"/>
      <c r="T44" s="453"/>
    </row>
    <row r="45" spans="1:20" ht="15">
      <c r="A45" s="666" t="s">
        <v>3</v>
      </c>
      <c r="B45" s="667" t="s">
        <v>5793</v>
      </c>
      <c r="C45" s="668">
        <v>7.9000000000000008E-3</v>
      </c>
      <c r="D45" s="669">
        <v>60594.419999999991</v>
      </c>
      <c r="E45" s="670">
        <v>0</v>
      </c>
      <c r="F45" s="670">
        <v>14312.4</v>
      </c>
      <c r="G45" s="670">
        <v>8798.31</v>
      </c>
      <c r="H45" s="670">
        <v>1345.2</v>
      </c>
      <c r="I45" s="670">
        <v>18069.259999999998</v>
      </c>
      <c r="J45" s="670">
        <v>18069.259999999998</v>
      </c>
      <c r="K45" s="670">
        <v>0</v>
      </c>
      <c r="L45" s="670">
        <v>0</v>
      </c>
      <c r="M45" s="670">
        <v>0</v>
      </c>
      <c r="N45" s="670">
        <v>0</v>
      </c>
      <c r="O45" s="670">
        <v>0</v>
      </c>
      <c r="P45" s="670">
        <v>0</v>
      </c>
      <c r="Q45" s="670">
        <v>0</v>
      </c>
      <c r="R45" s="670">
        <v>0</v>
      </c>
      <c r="S45" s="453"/>
      <c r="T45" s="453"/>
    </row>
    <row r="46" spans="1:20" ht="15.75" thickBot="1">
      <c r="A46" s="671"/>
      <c r="B46" s="672"/>
      <c r="C46" s="673"/>
      <c r="D46" s="674"/>
      <c r="E46" s="676">
        <v>0</v>
      </c>
      <c r="F46" s="676">
        <v>0.23619999999999999</v>
      </c>
      <c r="G46" s="676">
        <v>0.1452</v>
      </c>
      <c r="H46" s="676">
        <v>2.2200000000000001E-2</v>
      </c>
      <c r="I46" s="676">
        <v>0.29820000000000002</v>
      </c>
      <c r="J46" s="676">
        <v>0.29820000000000002</v>
      </c>
      <c r="K46" s="676">
        <v>0</v>
      </c>
      <c r="L46" s="676">
        <v>0</v>
      </c>
      <c r="M46" s="676">
        <v>0</v>
      </c>
      <c r="N46" s="676">
        <v>0</v>
      </c>
      <c r="O46" s="676">
        <v>0</v>
      </c>
      <c r="P46" s="676">
        <v>0</v>
      </c>
      <c r="Q46" s="676">
        <v>0</v>
      </c>
      <c r="R46" s="676">
        <v>0</v>
      </c>
      <c r="S46" s="453"/>
      <c r="T46" s="453"/>
    </row>
    <row r="47" spans="1:20" ht="15.75" customHeight="1">
      <c r="A47" s="666" t="s">
        <v>4</v>
      </c>
      <c r="B47" s="667" t="s">
        <v>5804</v>
      </c>
      <c r="C47" s="668">
        <v>4.3E-3</v>
      </c>
      <c r="D47" s="669">
        <v>33285.93</v>
      </c>
      <c r="E47" s="670">
        <v>0</v>
      </c>
      <c r="F47" s="670">
        <v>0</v>
      </c>
      <c r="G47" s="670">
        <v>0</v>
      </c>
      <c r="H47" s="670">
        <v>0</v>
      </c>
      <c r="I47" s="670">
        <v>0</v>
      </c>
      <c r="J47" s="670">
        <v>0</v>
      </c>
      <c r="K47" s="670">
        <v>11303.9</v>
      </c>
      <c r="L47" s="670">
        <v>21552.639999999999</v>
      </c>
      <c r="M47" s="670">
        <v>429.39</v>
      </c>
      <c r="N47" s="670">
        <v>0</v>
      </c>
      <c r="O47" s="670">
        <v>0</v>
      </c>
      <c r="P47" s="670">
        <v>0</v>
      </c>
      <c r="Q47" s="670">
        <v>0</v>
      </c>
      <c r="R47" s="670">
        <v>0</v>
      </c>
      <c r="S47" s="453"/>
      <c r="T47" s="453"/>
    </row>
    <row r="48" spans="1:20" ht="15.75" thickBot="1">
      <c r="A48" s="671"/>
      <c r="B48" s="672"/>
      <c r="C48" s="673"/>
      <c r="D48" s="674"/>
      <c r="E48" s="676">
        <v>0</v>
      </c>
      <c r="F48" s="676">
        <v>0</v>
      </c>
      <c r="G48" s="676">
        <v>0</v>
      </c>
      <c r="H48" s="676">
        <v>0</v>
      </c>
      <c r="I48" s="676">
        <v>0</v>
      </c>
      <c r="J48" s="676">
        <v>0</v>
      </c>
      <c r="K48" s="676">
        <v>0.33960000000000001</v>
      </c>
      <c r="L48" s="676">
        <v>0.64750000000000008</v>
      </c>
      <c r="M48" s="676">
        <v>1.29E-2</v>
      </c>
      <c r="N48" s="676">
        <v>0</v>
      </c>
      <c r="O48" s="676">
        <v>0</v>
      </c>
      <c r="P48" s="676">
        <v>0</v>
      </c>
      <c r="Q48" s="676">
        <v>0</v>
      </c>
      <c r="R48" s="676">
        <v>0</v>
      </c>
      <c r="S48" s="453"/>
      <c r="T48" s="453"/>
    </row>
    <row r="49" spans="1:20" ht="15.75" customHeight="1">
      <c r="A49" s="666" t="s">
        <v>5935</v>
      </c>
      <c r="B49" s="667" t="s">
        <v>5943</v>
      </c>
      <c r="C49" s="668">
        <v>8.0000000000000004E-4</v>
      </c>
      <c r="D49" s="669">
        <v>6242.3499999999995</v>
      </c>
      <c r="E49" s="670">
        <v>0</v>
      </c>
      <c r="F49" s="670">
        <v>0</v>
      </c>
      <c r="G49" s="670">
        <v>0</v>
      </c>
      <c r="H49" s="670">
        <v>0</v>
      </c>
      <c r="I49" s="670">
        <v>0</v>
      </c>
      <c r="J49" s="670">
        <v>0</v>
      </c>
      <c r="K49" s="670">
        <v>0</v>
      </c>
      <c r="L49" s="670">
        <v>0</v>
      </c>
      <c r="M49" s="670">
        <v>3121.18</v>
      </c>
      <c r="N49" s="670">
        <v>3121.18</v>
      </c>
      <c r="O49" s="670">
        <v>0</v>
      </c>
      <c r="P49" s="670">
        <v>0</v>
      </c>
      <c r="Q49" s="670">
        <v>0</v>
      </c>
      <c r="R49" s="670">
        <v>0</v>
      </c>
      <c r="S49" s="453"/>
      <c r="T49" s="453"/>
    </row>
    <row r="50" spans="1:20" ht="15.75" thickBot="1">
      <c r="A50" s="671"/>
      <c r="B50" s="672"/>
      <c r="C50" s="673"/>
      <c r="D50" s="674"/>
      <c r="E50" s="676">
        <v>0</v>
      </c>
      <c r="F50" s="679">
        <v>0</v>
      </c>
      <c r="G50" s="679">
        <v>0</v>
      </c>
      <c r="H50" s="679">
        <v>0</v>
      </c>
      <c r="I50" s="679">
        <v>0</v>
      </c>
      <c r="J50" s="679">
        <v>0</v>
      </c>
      <c r="K50" s="679">
        <v>0</v>
      </c>
      <c r="L50" s="676">
        <v>0</v>
      </c>
      <c r="M50" s="676">
        <v>0.5</v>
      </c>
      <c r="N50" s="679">
        <v>0.5</v>
      </c>
      <c r="O50" s="679">
        <v>0</v>
      </c>
      <c r="P50" s="679">
        <v>0</v>
      </c>
      <c r="Q50" s="679">
        <v>0</v>
      </c>
      <c r="R50" s="679">
        <v>0</v>
      </c>
      <c r="S50" s="453"/>
      <c r="T50" s="453"/>
    </row>
    <row r="51" spans="1:20" ht="15.75" thickBot="1">
      <c r="A51" s="447" t="s">
        <v>9459</v>
      </c>
      <c r="B51" s="665"/>
      <c r="C51" s="665"/>
      <c r="D51" s="665"/>
      <c r="E51" s="665"/>
      <c r="F51" s="665"/>
      <c r="G51" s="665"/>
      <c r="H51" s="665"/>
      <c r="I51" s="665"/>
      <c r="J51" s="665"/>
      <c r="K51" s="665"/>
      <c r="L51" s="665"/>
      <c r="M51" s="665"/>
      <c r="N51" s="665"/>
      <c r="O51" s="665"/>
      <c r="P51" s="665"/>
      <c r="Q51" s="665"/>
      <c r="R51" s="665"/>
      <c r="S51" s="453"/>
      <c r="T51" s="453"/>
    </row>
    <row r="52" spans="1:20" ht="15">
      <c r="A52" s="666" t="s">
        <v>2</v>
      </c>
      <c r="B52" s="667" t="s">
        <v>8</v>
      </c>
      <c r="C52" s="668">
        <v>2.0999999999999999E-3</v>
      </c>
      <c r="D52" s="669">
        <v>15822.929999999998</v>
      </c>
      <c r="E52" s="670">
        <v>0</v>
      </c>
      <c r="F52" s="670">
        <v>0</v>
      </c>
      <c r="G52" s="670">
        <v>0</v>
      </c>
      <c r="H52" s="670">
        <v>0</v>
      </c>
      <c r="I52" s="670">
        <v>0</v>
      </c>
      <c r="J52" s="670">
        <v>0</v>
      </c>
      <c r="K52" s="670">
        <v>0</v>
      </c>
      <c r="L52" s="670">
        <v>8085.52</v>
      </c>
      <c r="M52" s="670">
        <v>7737.41</v>
      </c>
      <c r="N52" s="670">
        <v>0</v>
      </c>
      <c r="O52" s="670">
        <v>0</v>
      </c>
      <c r="P52" s="670">
        <v>0</v>
      </c>
      <c r="Q52" s="670">
        <v>0</v>
      </c>
      <c r="R52" s="670">
        <v>0</v>
      </c>
      <c r="S52" s="453"/>
      <c r="T52" s="453"/>
    </row>
    <row r="53" spans="1:20" ht="15.75" thickBot="1">
      <c r="A53" s="671"/>
      <c r="B53" s="672"/>
      <c r="C53" s="673"/>
      <c r="D53" s="674"/>
      <c r="E53" s="676">
        <v>0</v>
      </c>
      <c r="F53" s="676">
        <v>0</v>
      </c>
      <c r="G53" s="676">
        <v>0</v>
      </c>
      <c r="H53" s="676">
        <v>0</v>
      </c>
      <c r="I53" s="676">
        <v>0</v>
      </c>
      <c r="J53" s="676">
        <v>0</v>
      </c>
      <c r="K53" s="676">
        <v>0</v>
      </c>
      <c r="L53" s="676">
        <v>0.51100000000000001</v>
      </c>
      <c r="M53" s="676">
        <v>0.48899999999999999</v>
      </c>
      <c r="N53" s="676">
        <v>0</v>
      </c>
      <c r="O53" s="676">
        <v>0</v>
      </c>
      <c r="P53" s="676">
        <v>0</v>
      </c>
      <c r="Q53" s="676">
        <v>0</v>
      </c>
      <c r="R53" s="676">
        <v>0</v>
      </c>
      <c r="S53" s="453"/>
      <c r="T53" s="453"/>
    </row>
    <row r="54" spans="1:20" ht="15.75" customHeight="1">
      <c r="A54" s="666" t="s">
        <v>4</v>
      </c>
      <c r="B54" s="667" t="s">
        <v>5804</v>
      </c>
      <c r="C54" s="668">
        <v>3.15E-2</v>
      </c>
      <c r="D54" s="669">
        <v>242303.08000000002</v>
      </c>
      <c r="E54" s="670">
        <v>0</v>
      </c>
      <c r="F54" s="670">
        <v>0</v>
      </c>
      <c r="G54" s="670">
        <v>0</v>
      </c>
      <c r="H54" s="670">
        <v>0</v>
      </c>
      <c r="I54" s="670">
        <v>0</v>
      </c>
      <c r="J54" s="670">
        <v>0</v>
      </c>
      <c r="K54" s="670">
        <v>0</v>
      </c>
      <c r="L54" s="670">
        <v>0</v>
      </c>
      <c r="M54" s="670">
        <v>46110.28</v>
      </c>
      <c r="N54" s="670">
        <v>46110.27</v>
      </c>
      <c r="O54" s="670">
        <v>58298.12</v>
      </c>
      <c r="P54" s="670">
        <v>58298.12</v>
      </c>
      <c r="Q54" s="670">
        <v>6687.57</v>
      </c>
      <c r="R54" s="670">
        <v>26798.71</v>
      </c>
      <c r="S54" s="453"/>
      <c r="T54" s="453"/>
    </row>
    <row r="55" spans="1:20" ht="15.75" thickBot="1">
      <c r="A55" s="671"/>
      <c r="B55" s="672"/>
      <c r="C55" s="673"/>
      <c r="D55" s="674"/>
      <c r="E55" s="676">
        <v>0</v>
      </c>
      <c r="F55" s="676">
        <v>0</v>
      </c>
      <c r="G55" s="676">
        <v>0</v>
      </c>
      <c r="H55" s="676">
        <v>0</v>
      </c>
      <c r="I55" s="676">
        <v>0</v>
      </c>
      <c r="J55" s="676">
        <v>0</v>
      </c>
      <c r="K55" s="676">
        <v>0</v>
      </c>
      <c r="L55" s="676">
        <v>0</v>
      </c>
      <c r="M55" s="676">
        <v>0.1903</v>
      </c>
      <c r="N55" s="676">
        <v>0.1903</v>
      </c>
      <c r="O55" s="676">
        <v>0.24060000000000001</v>
      </c>
      <c r="P55" s="676">
        <v>0.24060000000000001</v>
      </c>
      <c r="Q55" s="676">
        <v>2.76E-2</v>
      </c>
      <c r="R55" s="676">
        <v>0.1106</v>
      </c>
      <c r="S55" s="453"/>
      <c r="T55" s="453"/>
    </row>
    <row r="56" spans="1:20" ht="15.75" customHeight="1">
      <c r="A56" s="666" t="s">
        <v>5935</v>
      </c>
      <c r="B56" s="667" t="s">
        <v>5943</v>
      </c>
      <c r="C56" s="668">
        <v>5.04E-2</v>
      </c>
      <c r="D56" s="669">
        <v>387697.45999999996</v>
      </c>
      <c r="E56" s="670">
        <v>0</v>
      </c>
      <c r="F56" s="670">
        <v>0</v>
      </c>
      <c r="G56" s="670">
        <v>0</v>
      </c>
      <c r="H56" s="670">
        <v>0</v>
      </c>
      <c r="I56" s="670">
        <v>0</v>
      </c>
      <c r="J56" s="670">
        <v>0</v>
      </c>
      <c r="K56" s="670">
        <v>0</v>
      </c>
      <c r="L56" s="670">
        <v>77539.490000000005</v>
      </c>
      <c r="M56" s="670">
        <v>77539.490000000005</v>
      </c>
      <c r="N56" s="670">
        <v>116309.24</v>
      </c>
      <c r="O56" s="670">
        <v>116309.24</v>
      </c>
      <c r="P56" s="670">
        <v>0</v>
      </c>
      <c r="Q56" s="670">
        <v>0</v>
      </c>
      <c r="R56" s="670">
        <v>0</v>
      </c>
      <c r="S56" s="453"/>
      <c r="T56" s="453"/>
    </row>
    <row r="57" spans="1:20" ht="15.75" thickBot="1">
      <c r="A57" s="671"/>
      <c r="B57" s="672"/>
      <c r="C57" s="673"/>
      <c r="D57" s="674"/>
      <c r="E57" s="676">
        <v>0</v>
      </c>
      <c r="F57" s="676">
        <v>0</v>
      </c>
      <c r="G57" s="676">
        <v>0</v>
      </c>
      <c r="H57" s="676">
        <v>0</v>
      </c>
      <c r="I57" s="676">
        <v>0</v>
      </c>
      <c r="J57" s="676">
        <v>0</v>
      </c>
      <c r="K57" s="676">
        <v>0</v>
      </c>
      <c r="L57" s="676">
        <v>0.2</v>
      </c>
      <c r="M57" s="676">
        <v>0.2</v>
      </c>
      <c r="N57" s="676">
        <v>0.3</v>
      </c>
      <c r="O57" s="676">
        <v>0.3</v>
      </c>
      <c r="P57" s="676">
        <v>0</v>
      </c>
      <c r="Q57" s="676">
        <v>0</v>
      </c>
      <c r="R57" s="676">
        <v>0</v>
      </c>
      <c r="S57" s="453"/>
      <c r="T57" s="453"/>
    </row>
    <row r="58" spans="1:20" ht="15.75" customHeight="1">
      <c r="A58" s="666" t="s">
        <v>5</v>
      </c>
      <c r="B58" s="667" t="s">
        <v>5806</v>
      </c>
      <c r="C58" s="668">
        <v>6.4999999999999997E-3</v>
      </c>
      <c r="D58" s="669">
        <v>50106.929999999993</v>
      </c>
      <c r="E58" s="670">
        <v>0</v>
      </c>
      <c r="F58" s="670">
        <v>0</v>
      </c>
      <c r="G58" s="670">
        <v>0</v>
      </c>
      <c r="H58" s="670">
        <v>0</v>
      </c>
      <c r="I58" s="670">
        <v>0</v>
      </c>
      <c r="J58" s="670">
        <v>0</v>
      </c>
      <c r="K58" s="670">
        <v>0</v>
      </c>
      <c r="L58" s="670">
        <v>0</v>
      </c>
      <c r="M58" s="670">
        <v>10021.39</v>
      </c>
      <c r="N58" s="670">
        <v>15032.08</v>
      </c>
      <c r="O58" s="670">
        <v>25053.46</v>
      </c>
      <c r="P58" s="670">
        <v>0</v>
      </c>
      <c r="Q58" s="670">
        <v>0</v>
      </c>
      <c r="R58" s="670">
        <v>0</v>
      </c>
      <c r="S58" s="453"/>
      <c r="T58" s="453"/>
    </row>
    <row r="59" spans="1:20" ht="15.75" thickBot="1">
      <c r="A59" s="671"/>
      <c r="B59" s="672"/>
      <c r="C59" s="673"/>
      <c r="D59" s="674"/>
      <c r="E59" s="676">
        <v>0</v>
      </c>
      <c r="F59" s="676">
        <v>0</v>
      </c>
      <c r="G59" s="676">
        <v>0</v>
      </c>
      <c r="H59" s="676">
        <v>0</v>
      </c>
      <c r="I59" s="676">
        <v>0</v>
      </c>
      <c r="J59" s="676">
        <v>0</v>
      </c>
      <c r="K59" s="676">
        <v>0</v>
      </c>
      <c r="L59" s="676">
        <v>0</v>
      </c>
      <c r="M59" s="676">
        <v>0.2</v>
      </c>
      <c r="N59" s="676">
        <v>0.3</v>
      </c>
      <c r="O59" s="676">
        <v>0.5</v>
      </c>
      <c r="P59" s="676">
        <v>0</v>
      </c>
      <c r="Q59" s="676">
        <v>0</v>
      </c>
      <c r="R59" s="676">
        <v>0</v>
      </c>
      <c r="S59" s="453"/>
      <c r="T59" s="453"/>
    </row>
    <row r="60" spans="1:20" ht="15">
      <c r="A60" s="666" t="s">
        <v>13</v>
      </c>
      <c r="B60" s="667" t="s">
        <v>5799</v>
      </c>
      <c r="C60" s="668">
        <v>0</v>
      </c>
      <c r="D60" s="669">
        <v>185.06</v>
      </c>
      <c r="E60" s="670">
        <v>0</v>
      </c>
      <c r="F60" s="670">
        <v>0</v>
      </c>
      <c r="G60" s="670">
        <v>0</v>
      </c>
      <c r="H60" s="670">
        <v>0</v>
      </c>
      <c r="I60" s="670">
        <v>0</v>
      </c>
      <c r="J60" s="670">
        <v>0</v>
      </c>
      <c r="K60" s="670">
        <v>0</v>
      </c>
      <c r="L60" s="670">
        <v>0</v>
      </c>
      <c r="M60" s="670">
        <v>185.06</v>
      </c>
      <c r="N60" s="670">
        <v>0</v>
      </c>
      <c r="O60" s="670">
        <v>0</v>
      </c>
      <c r="P60" s="670">
        <v>0</v>
      </c>
      <c r="Q60" s="670">
        <v>0</v>
      </c>
      <c r="R60" s="670">
        <v>0</v>
      </c>
      <c r="S60" s="453"/>
      <c r="T60" s="453"/>
    </row>
    <row r="61" spans="1:20" ht="15.75" thickBot="1">
      <c r="A61" s="671"/>
      <c r="B61" s="672"/>
      <c r="C61" s="673"/>
      <c r="D61" s="674"/>
      <c r="E61" s="676">
        <v>0</v>
      </c>
      <c r="F61" s="679">
        <v>0</v>
      </c>
      <c r="G61" s="679">
        <v>0</v>
      </c>
      <c r="H61" s="679">
        <v>0</v>
      </c>
      <c r="I61" s="679">
        <v>0</v>
      </c>
      <c r="J61" s="679">
        <v>0</v>
      </c>
      <c r="K61" s="679">
        <v>0</v>
      </c>
      <c r="L61" s="679">
        <v>0</v>
      </c>
      <c r="M61" s="676">
        <v>1</v>
      </c>
      <c r="N61" s="679">
        <v>0</v>
      </c>
      <c r="O61" s="679">
        <v>0</v>
      </c>
      <c r="P61" s="679">
        <v>0</v>
      </c>
      <c r="Q61" s="679">
        <v>0</v>
      </c>
      <c r="R61" s="679">
        <v>0</v>
      </c>
      <c r="S61" s="453"/>
      <c r="T61" s="453"/>
    </row>
    <row r="62" spans="1:20" ht="15" customHeight="1" thickBot="1">
      <c r="A62" s="448"/>
      <c r="B62" s="448"/>
      <c r="C62" s="448"/>
      <c r="D62" s="448"/>
      <c r="E62" s="467"/>
      <c r="F62" s="467"/>
      <c r="G62" s="467"/>
      <c r="H62" s="467"/>
      <c r="I62" s="467"/>
      <c r="J62" s="467"/>
      <c r="K62" s="467"/>
      <c r="L62" s="467"/>
      <c r="M62" s="467"/>
      <c r="N62" s="467"/>
      <c r="O62" s="467"/>
      <c r="P62" s="467"/>
      <c r="Q62" s="467"/>
      <c r="R62" s="467"/>
      <c r="S62" s="453"/>
      <c r="T62" s="453"/>
    </row>
    <row r="63" spans="1:20" ht="15">
      <c r="A63" s="680" t="s">
        <v>21</v>
      </c>
      <c r="B63" s="681" t="s">
        <v>5925</v>
      </c>
      <c r="C63" s="449"/>
      <c r="D63" s="450">
        <v>7696968.1799999978</v>
      </c>
      <c r="E63" s="468">
        <v>273844.75</v>
      </c>
      <c r="F63" s="468">
        <v>152742.9</v>
      </c>
      <c r="G63" s="468">
        <v>157101.69</v>
      </c>
      <c r="H63" s="468">
        <v>242937.67</v>
      </c>
      <c r="I63" s="468">
        <v>576826.27</v>
      </c>
      <c r="J63" s="468">
        <v>638091.54</v>
      </c>
      <c r="K63" s="468">
        <v>293141.95</v>
      </c>
      <c r="L63" s="468">
        <v>568947.54</v>
      </c>
      <c r="M63" s="468">
        <v>615072.29</v>
      </c>
      <c r="N63" s="468">
        <v>984865.12</v>
      </c>
      <c r="O63" s="468">
        <v>1043971.94</v>
      </c>
      <c r="P63" s="468">
        <v>882246.61</v>
      </c>
      <c r="Q63" s="468">
        <v>806926.72</v>
      </c>
      <c r="R63" s="468">
        <v>460251.19</v>
      </c>
      <c r="S63" s="453"/>
      <c r="T63" s="453"/>
    </row>
    <row r="64" spans="1:20" ht="15.75" thickBot="1">
      <c r="A64" s="682" t="s">
        <v>22</v>
      </c>
      <c r="B64" s="683" t="s">
        <v>23</v>
      </c>
      <c r="C64" s="451"/>
      <c r="D64" s="452">
        <v>1</v>
      </c>
      <c r="E64" s="469">
        <v>3.5578262400101784E-2</v>
      </c>
      <c r="F64" s="470">
        <v>1.984455336418103E-2</v>
      </c>
      <c r="G64" s="470">
        <v>2.0410853145237672E-2</v>
      </c>
      <c r="H64" s="470">
        <v>3.1562774382220216E-2</v>
      </c>
      <c r="I64" s="470">
        <v>7.4942010128458081E-2</v>
      </c>
      <c r="J64" s="470">
        <v>8.2901672857711023E-2</v>
      </c>
      <c r="K64" s="470">
        <v>3.8085378730044327E-2</v>
      </c>
      <c r="L64" s="470">
        <v>7.3918395763055311E-2</v>
      </c>
      <c r="M64" s="470">
        <v>7.9910982837427438E-2</v>
      </c>
      <c r="N64" s="470">
        <v>0.12795494249998399</v>
      </c>
      <c r="O64" s="470">
        <v>0.13563417606811287</v>
      </c>
      <c r="P64" s="470">
        <v>0.11462261177115249</v>
      </c>
      <c r="Q64" s="470">
        <v>0.10483695639934172</v>
      </c>
      <c r="R64" s="471">
        <v>5.9796426824326045E-2</v>
      </c>
      <c r="S64" s="453"/>
    </row>
    <row r="65" spans="4:19">
      <c r="S65" s="453"/>
    </row>
    <row r="66" spans="4:19">
      <c r="D66" s="453"/>
      <c r="E66" s="675"/>
      <c r="F66" s="675"/>
      <c r="G66" s="675"/>
      <c r="H66" s="675"/>
      <c r="I66" s="675"/>
      <c r="J66" s="675"/>
      <c r="K66" s="675"/>
      <c r="L66" s="675"/>
      <c r="M66" s="675"/>
      <c r="N66" s="675"/>
      <c r="O66" s="675"/>
      <c r="P66" s="675"/>
      <c r="Q66" s="675"/>
      <c r="R66" s="675"/>
    </row>
    <row r="67" spans="4:19">
      <c r="D67" s="453"/>
      <c r="E67" s="453"/>
      <c r="F67" s="453"/>
      <c r="G67" s="453"/>
      <c r="H67" s="453"/>
      <c r="I67" s="453"/>
      <c r="J67" s="453"/>
      <c r="K67" s="453"/>
      <c r="L67" s="453"/>
      <c r="M67" s="453"/>
      <c r="N67" s="453"/>
      <c r="O67" s="453"/>
      <c r="P67" s="453"/>
      <c r="Q67" s="453"/>
      <c r="R67" s="453"/>
    </row>
    <row r="69" spans="4:19">
      <c r="D69" s="453"/>
      <c r="E69" s="684"/>
      <c r="F69" s="684"/>
      <c r="G69" s="684"/>
      <c r="H69" s="684"/>
      <c r="I69" s="684"/>
      <c r="J69" s="684"/>
      <c r="K69" s="684"/>
      <c r="L69" s="684"/>
      <c r="M69" s="684"/>
      <c r="N69" s="684"/>
      <c r="O69" s="684"/>
      <c r="P69" s="684"/>
      <c r="Q69" s="684"/>
      <c r="R69" s="684"/>
    </row>
  </sheetData>
  <mergeCells count="1">
    <mergeCell ref="R12:R13"/>
  </mergeCells>
  <conditionalFormatting sqref="E27:R27 E16:R16 E46:R46 E55:R55 E31:R31 E20:R20 E33:R33 E35:R35 E37:R37 E39:R40 E42:R42 E48:R48 E50:R51 E57:R57 E59:R59 E61:R61 E19:Q19 E22:R23">
    <cfRule type="cellIs" dxfId="43" priority="579" operator="greaterThan">
      <formula>1</formula>
    </cfRule>
  </conditionalFormatting>
  <conditionalFormatting sqref="E17:R18">
    <cfRule type="cellIs" dxfId="578" priority="578" operator="greaterThan">
      <formula>1</formula>
    </cfRule>
  </conditionalFormatting>
  <conditionalFormatting sqref="E25:R25">
    <cfRule type="cellIs" dxfId="577" priority="577" operator="greaterThan">
      <formula>1</formula>
    </cfRule>
  </conditionalFormatting>
  <conditionalFormatting sqref="E29:R29">
    <cfRule type="cellIs" dxfId="576" priority="576" operator="greaterThan">
      <formula>1</formula>
    </cfRule>
  </conditionalFormatting>
  <conditionalFormatting sqref="E44:R44">
    <cfRule type="cellIs" dxfId="575" priority="575" operator="greaterThan">
      <formula>1</formula>
    </cfRule>
  </conditionalFormatting>
  <conditionalFormatting sqref="E53:R53">
    <cfRule type="cellIs" dxfId="574" priority="574" operator="greaterThan">
      <formula>1</formula>
    </cfRule>
  </conditionalFormatting>
  <conditionalFormatting sqref="E18:F18">
    <cfRule type="cellIs" dxfId="573" priority="573" operator="greaterThan">
      <formula>1</formula>
    </cfRule>
  </conditionalFormatting>
  <conditionalFormatting sqref="E22:R22">
    <cfRule type="cellIs" dxfId="572" priority="572" operator="greaterThan">
      <formula>1</formula>
    </cfRule>
  </conditionalFormatting>
  <conditionalFormatting sqref="E22:R22">
    <cfRule type="cellIs" dxfId="571" priority="571" operator="greaterThan">
      <formula>1</formula>
    </cfRule>
  </conditionalFormatting>
  <conditionalFormatting sqref="E25:J25">
    <cfRule type="cellIs" dxfId="570" priority="570" operator="greaterThan">
      <formula>1</formula>
    </cfRule>
  </conditionalFormatting>
  <conditionalFormatting sqref="E25:J25">
    <cfRule type="cellIs" dxfId="569" priority="569" operator="greaterThan">
      <formula>1</formula>
    </cfRule>
  </conditionalFormatting>
  <conditionalFormatting sqref="E25:J25">
    <cfRule type="cellIs" dxfId="568" priority="568" operator="greaterThan">
      <formula>1</formula>
    </cfRule>
  </conditionalFormatting>
  <conditionalFormatting sqref="L25">
    <cfRule type="cellIs" dxfId="567" priority="567" operator="greaterThan">
      <formula>1</formula>
    </cfRule>
  </conditionalFormatting>
  <conditionalFormatting sqref="L25">
    <cfRule type="cellIs" dxfId="566" priority="566" operator="greaterThan">
      <formula>1</formula>
    </cfRule>
  </conditionalFormatting>
  <conditionalFormatting sqref="L25">
    <cfRule type="cellIs" dxfId="565" priority="565" operator="greaterThan">
      <formula>1</formula>
    </cfRule>
  </conditionalFormatting>
  <conditionalFormatting sqref="F27">
    <cfRule type="cellIs" dxfId="564" priority="564" operator="greaterThan">
      <formula>1</formula>
    </cfRule>
  </conditionalFormatting>
  <conditionalFormatting sqref="F27">
    <cfRule type="cellIs" dxfId="563" priority="563" operator="greaterThan">
      <formula>1</formula>
    </cfRule>
  </conditionalFormatting>
  <conditionalFormatting sqref="F27">
    <cfRule type="cellIs" dxfId="562" priority="562" operator="greaterThan">
      <formula>1</formula>
    </cfRule>
  </conditionalFormatting>
  <conditionalFormatting sqref="F27">
    <cfRule type="cellIs" dxfId="561" priority="561" operator="greaterThan">
      <formula>1</formula>
    </cfRule>
  </conditionalFormatting>
  <conditionalFormatting sqref="F29:L29">
    <cfRule type="cellIs" dxfId="560" priority="560" operator="greaterThan">
      <formula>1</formula>
    </cfRule>
  </conditionalFormatting>
  <conditionalFormatting sqref="F29:L29">
    <cfRule type="cellIs" dxfId="559" priority="559" operator="greaterThan">
      <formula>1</formula>
    </cfRule>
  </conditionalFormatting>
  <conditionalFormatting sqref="F29:L29">
    <cfRule type="cellIs" dxfId="558" priority="558" operator="greaterThan">
      <formula>1</formula>
    </cfRule>
  </conditionalFormatting>
  <conditionalFormatting sqref="F29:L29">
    <cfRule type="cellIs" dxfId="557" priority="557" operator="greaterThan">
      <formula>1</formula>
    </cfRule>
  </conditionalFormatting>
  <conditionalFormatting sqref="O29">
    <cfRule type="cellIs" dxfId="556" priority="556" operator="greaterThan">
      <formula>1</formula>
    </cfRule>
  </conditionalFormatting>
  <conditionalFormatting sqref="O29">
    <cfRule type="cellIs" dxfId="555" priority="555" operator="greaterThan">
      <formula>1</formula>
    </cfRule>
  </conditionalFormatting>
  <conditionalFormatting sqref="O29">
    <cfRule type="cellIs" dxfId="554" priority="554" operator="greaterThan">
      <formula>1</formula>
    </cfRule>
  </conditionalFormatting>
  <conditionalFormatting sqref="O29">
    <cfRule type="cellIs" dxfId="553" priority="553" operator="greaterThan">
      <formula>1</formula>
    </cfRule>
  </conditionalFormatting>
  <conditionalFormatting sqref="J31:R31">
    <cfRule type="cellIs" dxfId="552" priority="552" operator="greaterThan">
      <formula>1</formula>
    </cfRule>
  </conditionalFormatting>
  <conditionalFormatting sqref="J31:R31">
    <cfRule type="cellIs" dxfId="551" priority="551" operator="greaterThan">
      <formula>1</formula>
    </cfRule>
  </conditionalFormatting>
  <conditionalFormatting sqref="J31:R31">
    <cfRule type="cellIs" dxfId="550" priority="550" operator="greaterThan">
      <formula>1</formula>
    </cfRule>
  </conditionalFormatting>
  <conditionalFormatting sqref="J31:R31">
    <cfRule type="cellIs" dxfId="549" priority="549" operator="greaterThan">
      <formula>1</formula>
    </cfRule>
  </conditionalFormatting>
  <conditionalFormatting sqref="H33">
    <cfRule type="cellIs" dxfId="548" priority="548" operator="greaterThan">
      <formula>1</formula>
    </cfRule>
  </conditionalFormatting>
  <conditionalFormatting sqref="H33">
    <cfRule type="cellIs" dxfId="547" priority="547" operator="greaterThan">
      <formula>1</formula>
    </cfRule>
  </conditionalFormatting>
  <conditionalFormatting sqref="H33">
    <cfRule type="cellIs" dxfId="546" priority="546" operator="greaterThan">
      <formula>1</formula>
    </cfRule>
  </conditionalFormatting>
  <conditionalFormatting sqref="H33">
    <cfRule type="cellIs" dxfId="545" priority="545" operator="greaterThan">
      <formula>1</formula>
    </cfRule>
  </conditionalFormatting>
  <conditionalFormatting sqref="K33:O33">
    <cfRule type="cellIs" dxfId="544" priority="544" operator="greaterThan">
      <formula>1</formula>
    </cfRule>
  </conditionalFormatting>
  <conditionalFormatting sqref="K33:O33">
    <cfRule type="cellIs" dxfId="543" priority="543" operator="greaterThan">
      <formula>1</formula>
    </cfRule>
  </conditionalFormatting>
  <conditionalFormatting sqref="K33:O33">
    <cfRule type="cellIs" dxfId="542" priority="542" operator="greaterThan">
      <formula>1</formula>
    </cfRule>
  </conditionalFormatting>
  <conditionalFormatting sqref="K33:O33">
    <cfRule type="cellIs" dxfId="541" priority="541" operator="greaterThan">
      <formula>1</formula>
    </cfRule>
  </conditionalFormatting>
  <conditionalFormatting sqref="L35:R35">
    <cfRule type="cellIs" dxfId="540" priority="540" operator="greaterThan">
      <formula>1</formula>
    </cfRule>
  </conditionalFormatting>
  <conditionalFormatting sqref="L35:R35">
    <cfRule type="cellIs" dxfId="539" priority="539" operator="greaterThan">
      <formula>1</formula>
    </cfRule>
  </conditionalFormatting>
  <conditionalFormatting sqref="L35:R35">
    <cfRule type="cellIs" dxfId="538" priority="538" operator="greaterThan">
      <formula>1</formula>
    </cfRule>
  </conditionalFormatting>
  <conditionalFormatting sqref="L35:R35">
    <cfRule type="cellIs" dxfId="537" priority="537" operator="greaterThan">
      <formula>1</formula>
    </cfRule>
  </conditionalFormatting>
  <conditionalFormatting sqref="M37:R37">
    <cfRule type="cellIs" dxfId="536" priority="536" operator="greaterThan">
      <formula>1</formula>
    </cfRule>
  </conditionalFormatting>
  <conditionalFormatting sqref="M37:R37">
    <cfRule type="cellIs" dxfId="535" priority="535" operator="greaterThan">
      <formula>1</formula>
    </cfRule>
  </conditionalFormatting>
  <conditionalFormatting sqref="M37:R37">
    <cfRule type="cellIs" dxfId="534" priority="534" operator="greaterThan">
      <formula>1</formula>
    </cfRule>
  </conditionalFormatting>
  <conditionalFormatting sqref="M37:R37">
    <cfRule type="cellIs" dxfId="533" priority="533" operator="greaterThan">
      <formula>1</formula>
    </cfRule>
  </conditionalFormatting>
  <conditionalFormatting sqref="L39:M39">
    <cfRule type="cellIs" dxfId="532" priority="532" operator="greaterThan">
      <formula>1</formula>
    </cfRule>
  </conditionalFormatting>
  <conditionalFormatting sqref="L39:M39">
    <cfRule type="cellIs" dxfId="531" priority="531" operator="greaterThan">
      <formula>1</formula>
    </cfRule>
  </conditionalFormatting>
  <conditionalFormatting sqref="L39:M39">
    <cfRule type="cellIs" dxfId="530" priority="530" operator="greaterThan">
      <formula>1</formula>
    </cfRule>
  </conditionalFormatting>
  <conditionalFormatting sqref="L39:M39">
    <cfRule type="cellIs" dxfId="529" priority="529" operator="greaterThan">
      <formula>1</formula>
    </cfRule>
  </conditionalFormatting>
  <conditionalFormatting sqref="Q39">
    <cfRule type="cellIs" dxfId="528" priority="528" operator="greaterThan">
      <formula>1</formula>
    </cfRule>
  </conditionalFormatting>
  <conditionalFormatting sqref="Q39">
    <cfRule type="cellIs" dxfId="527" priority="527" operator="greaterThan">
      <formula>1</formula>
    </cfRule>
  </conditionalFormatting>
  <conditionalFormatting sqref="Q39">
    <cfRule type="cellIs" dxfId="526" priority="526" operator="greaterThan">
      <formula>1</formula>
    </cfRule>
  </conditionalFormatting>
  <conditionalFormatting sqref="Q39">
    <cfRule type="cellIs" dxfId="525" priority="525" operator="greaterThan">
      <formula>1</formula>
    </cfRule>
  </conditionalFormatting>
  <conditionalFormatting sqref="F42:J42">
    <cfRule type="cellIs" dxfId="524" priority="524" operator="greaterThan">
      <formula>1</formula>
    </cfRule>
  </conditionalFormatting>
  <conditionalFormatting sqref="F42:J42">
    <cfRule type="cellIs" dxfId="523" priority="523" operator="greaterThan">
      <formula>1</formula>
    </cfRule>
  </conditionalFormatting>
  <conditionalFormatting sqref="F42:J42">
    <cfRule type="cellIs" dxfId="522" priority="522" operator="greaterThan">
      <formula>1</formula>
    </cfRule>
  </conditionalFormatting>
  <conditionalFormatting sqref="F42:J42">
    <cfRule type="cellIs" dxfId="521" priority="521" operator="greaterThan">
      <formula>1</formula>
    </cfRule>
  </conditionalFormatting>
  <conditionalFormatting sqref="F44">
    <cfRule type="cellIs" dxfId="520" priority="520" operator="greaterThan">
      <formula>1</formula>
    </cfRule>
  </conditionalFormatting>
  <conditionalFormatting sqref="F44">
    <cfRule type="cellIs" dxfId="519" priority="519" operator="greaterThan">
      <formula>1</formula>
    </cfRule>
  </conditionalFormatting>
  <conditionalFormatting sqref="F44">
    <cfRule type="cellIs" dxfId="518" priority="518" operator="greaterThan">
      <formula>1</formula>
    </cfRule>
  </conditionalFormatting>
  <conditionalFormatting sqref="F44">
    <cfRule type="cellIs" dxfId="517" priority="517" operator="greaterThan">
      <formula>1</formula>
    </cfRule>
  </conditionalFormatting>
  <conditionalFormatting sqref="F46:J46">
    <cfRule type="cellIs" dxfId="516" priority="516" operator="greaterThan">
      <formula>1</formula>
    </cfRule>
  </conditionalFormatting>
  <conditionalFormatting sqref="F46:J46">
    <cfRule type="cellIs" dxfId="515" priority="515" operator="greaterThan">
      <formula>1</formula>
    </cfRule>
  </conditionalFormatting>
  <conditionalFormatting sqref="F46:J46">
    <cfRule type="cellIs" dxfId="514" priority="514" operator="greaterThan">
      <formula>1</formula>
    </cfRule>
  </conditionalFormatting>
  <conditionalFormatting sqref="F46:J46">
    <cfRule type="cellIs" dxfId="513" priority="513" operator="greaterThan">
      <formula>1</formula>
    </cfRule>
  </conditionalFormatting>
  <conditionalFormatting sqref="K48:M48">
    <cfRule type="cellIs" dxfId="512" priority="512" operator="greaterThan">
      <formula>1</formula>
    </cfRule>
  </conditionalFormatting>
  <conditionalFormatting sqref="K48:M48">
    <cfRule type="cellIs" dxfId="511" priority="511" operator="greaterThan">
      <formula>1</formula>
    </cfRule>
  </conditionalFormatting>
  <conditionalFormatting sqref="K48:M48">
    <cfRule type="cellIs" dxfId="510" priority="510" operator="greaterThan">
      <formula>1</formula>
    </cfRule>
  </conditionalFormatting>
  <conditionalFormatting sqref="K48:M48">
    <cfRule type="cellIs" dxfId="509" priority="509" operator="greaterThan">
      <formula>1</formula>
    </cfRule>
  </conditionalFormatting>
  <conditionalFormatting sqref="L50:M50">
    <cfRule type="cellIs" dxfId="508" priority="508" operator="greaterThan">
      <formula>1</formula>
    </cfRule>
  </conditionalFormatting>
  <conditionalFormatting sqref="L50:M50">
    <cfRule type="cellIs" dxfId="507" priority="507" operator="greaterThan">
      <formula>1</formula>
    </cfRule>
  </conditionalFormatting>
  <conditionalFormatting sqref="L50:M50">
    <cfRule type="cellIs" dxfId="506" priority="506" operator="greaterThan">
      <formula>1</formula>
    </cfRule>
  </conditionalFormatting>
  <conditionalFormatting sqref="L50:M50">
    <cfRule type="cellIs" dxfId="505" priority="505" operator="greaterThan">
      <formula>1</formula>
    </cfRule>
  </conditionalFormatting>
  <conditionalFormatting sqref="L53:M53">
    <cfRule type="cellIs" dxfId="504" priority="504" operator="greaterThan">
      <formula>1</formula>
    </cfRule>
  </conditionalFormatting>
  <conditionalFormatting sqref="L53:M53">
    <cfRule type="cellIs" dxfId="503" priority="503" operator="greaterThan">
      <formula>1</formula>
    </cfRule>
  </conditionalFormatting>
  <conditionalFormatting sqref="L53:M53">
    <cfRule type="cellIs" dxfId="502" priority="502" operator="greaterThan">
      <formula>1</formula>
    </cfRule>
  </conditionalFormatting>
  <conditionalFormatting sqref="L53:M53">
    <cfRule type="cellIs" dxfId="501" priority="501" operator="greaterThan">
      <formula>1</formula>
    </cfRule>
  </conditionalFormatting>
  <conditionalFormatting sqref="M55:R55">
    <cfRule type="cellIs" dxfId="500" priority="500" operator="greaterThan">
      <formula>1</formula>
    </cfRule>
  </conditionalFormatting>
  <conditionalFormatting sqref="M55:R55">
    <cfRule type="cellIs" dxfId="499" priority="499" operator="greaterThan">
      <formula>1</formula>
    </cfRule>
  </conditionalFormatting>
  <conditionalFormatting sqref="M55:R55">
    <cfRule type="cellIs" dxfId="498" priority="498" operator="greaterThan">
      <formula>1</formula>
    </cfRule>
  </conditionalFormatting>
  <conditionalFormatting sqref="M55:R55">
    <cfRule type="cellIs" dxfId="497" priority="497" operator="greaterThan">
      <formula>1</formula>
    </cfRule>
  </conditionalFormatting>
  <conditionalFormatting sqref="L57:O57">
    <cfRule type="cellIs" dxfId="496" priority="496" operator="greaterThan">
      <formula>1</formula>
    </cfRule>
  </conditionalFormatting>
  <conditionalFormatting sqref="L57:O57">
    <cfRule type="cellIs" dxfId="495" priority="495" operator="greaterThan">
      <formula>1</formula>
    </cfRule>
  </conditionalFormatting>
  <conditionalFormatting sqref="L57:O57">
    <cfRule type="cellIs" dxfId="494" priority="494" operator="greaterThan">
      <formula>1</formula>
    </cfRule>
  </conditionalFormatting>
  <conditionalFormatting sqref="L57:O57">
    <cfRule type="cellIs" dxfId="493" priority="493" operator="greaterThan">
      <formula>1</formula>
    </cfRule>
  </conditionalFormatting>
  <conditionalFormatting sqref="M59:O59">
    <cfRule type="cellIs" dxfId="492" priority="492" operator="greaterThan">
      <formula>1</formula>
    </cfRule>
  </conditionalFormatting>
  <conditionalFormatting sqref="M59:O59">
    <cfRule type="cellIs" dxfId="491" priority="491" operator="greaterThan">
      <formula>1</formula>
    </cfRule>
  </conditionalFormatting>
  <conditionalFormatting sqref="M59:O59">
    <cfRule type="cellIs" dxfId="490" priority="490" operator="greaterThan">
      <formula>1</formula>
    </cfRule>
  </conditionalFormatting>
  <conditionalFormatting sqref="M59:O59">
    <cfRule type="cellIs" dxfId="489" priority="489" operator="greaterThan">
      <formula>1</formula>
    </cfRule>
  </conditionalFormatting>
  <conditionalFormatting sqref="M61">
    <cfRule type="cellIs" dxfId="488" priority="488" operator="greaterThan">
      <formula>1</formula>
    </cfRule>
  </conditionalFormatting>
  <conditionalFormatting sqref="M61">
    <cfRule type="cellIs" dxfId="487" priority="487" operator="greaterThan">
      <formula>1</formula>
    </cfRule>
  </conditionalFormatting>
  <conditionalFormatting sqref="M61">
    <cfRule type="cellIs" dxfId="486" priority="486" operator="greaterThan">
      <formula>1</formula>
    </cfRule>
  </conditionalFormatting>
  <conditionalFormatting sqref="M61">
    <cfRule type="cellIs" dxfId="485" priority="485" operator="greaterThan">
      <formula>1</formula>
    </cfRule>
  </conditionalFormatting>
  <conditionalFormatting sqref="E17:R17">
    <cfRule type="cellIs" dxfId="484" priority="484" operator="greaterThan">
      <formula>1</formula>
    </cfRule>
  </conditionalFormatting>
  <conditionalFormatting sqref="N52">
    <cfRule type="cellIs" dxfId="483" priority="340" operator="greaterThan">
      <formula>1</formula>
    </cfRule>
  </conditionalFormatting>
  <conditionalFormatting sqref="O52">
    <cfRule type="cellIs" dxfId="482" priority="339" operator="greaterThan">
      <formula>1</formula>
    </cfRule>
  </conditionalFormatting>
  <conditionalFormatting sqref="P52">
    <cfRule type="cellIs" dxfId="481" priority="338" operator="greaterThan">
      <formula>1</formula>
    </cfRule>
  </conditionalFormatting>
  <conditionalFormatting sqref="Q52">
    <cfRule type="cellIs" dxfId="480" priority="337" operator="greaterThan">
      <formula>1</formula>
    </cfRule>
  </conditionalFormatting>
  <conditionalFormatting sqref="R52">
    <cfRule type="cellIs" dxfId="479" priority="336" operator="greaterThan">
      <formula>1</formula>
    </cfRule>
  </conditionalFormatting>
  <conditionalFormatting sqref="E54:L54">
    <cfRule type="cellIs" dxfId="478" priority="335" operator="greaterThan">
      <formula>1</formula>
    </cfRule>
  </conditionalFormatting>
  <conditionalFormatting sqref="E54:L54">
    <cfRule type="cellIs" dxfId="477" priority="334" operator="greaterThan">
      <formula>1</formula>
    </cfRule>
  </conditionalFormatting>
  <conditionalFormatting sqref="G54">
    <cfRule type="cellIs" dxfId="476" priority="333" operator="greaterThan">
      <formula>1</formula>
    </cfRule>
  </conditionalFormatting>
  <conditionalFormatting sqref="H49">
    <cfRule type="cellIs" dxfId="475" priority="356" operator="greaterThan">
      <formula>1</formula>
    </cfRule>
  </conditionalFormatting>
  <conditionalFormatting sqref="I49">
    <cfRule type="cellIs" dxfId="474" priority="355" operator="greaterThan">
      <formula>1</formula>
    </cfRule>
  </conditionalFormatting>
  <conditionalFormatting sqref="J49">
    <cfRule type="cellIs" dxfId="473" priority="354" operator="greaterThan">
      <formula>1</formula>
    </cfRule>
  </conditionalFormatting>
  <conditionalFormatting sqref="K49">
    <cfRule type="cellIs" dxfId="472" priority="353" operator="greaterThan">
      <formula>1</formula>
    </cfRule>
  </conditionalFormatting>
  <conditionalFormatting sqref="L49">
    <cfRule type="cellIs" dxfId="471" priority="352" operator="greaterThan">
      <formula>1</formula>
    </cfRule>
  </conditionalFormatting>
  <conditionalFormatting sqref="O49">
    <cfRule type="cellIs" dxfId="470" priority="351" operator="greaterThan">
      <formula>1</formula>
    </cfRule>
  </conditionalFormatting>
  <conditionalFormatting sqref="P45">
    <cfRule type="cellIs" dxfId="469" priority="373" operator="greaterThan">
      <formula>1</formula>
    </cfRule>
  </conditionalFormatting>
  <conditionalFormatting sqref="Q45">
    <cfRule type="cellIs" dxfId="468" priority="372" operator="greaterThan">
      <formula>1</formula>
    </cfRule>
  </conditionalFormatting>
  <conditionalFormatting sqref="R45">
    <cfRule type="cellIs" dxfId="467" priority="371" operator="greaterThan">
      <formula>1</formula>
    </cfRule>
  </conditionalFormatting>
  <conditionalFormatting sqref="E47:J47 N47:R47">
    <cfRule type="cellIs" dxfId="466" priority="370" operator="greaterThan">
      <formula>1</formula>
    </cfRule>
  </conditionalFormatting>
  <conditionalFormatting sqref="E47:J47 N47:R47">
    <cfRule type="cellIs" dxfId="465" priority="369" operator="greaterThan">
      <formula>1</formula>
    </cfRule>
  </conditionalFormatting>
  <conditionalFormatting sqref="G47">
    <cfRule type="cellIs" dxfId="464" priority="368" operator="greaterThan">
      <formula>1</formula>
    </cfRule>
  </conditionalFormatting>
  <conditionalFormatting sqref="H47">
    <cfRule type="cellIs" dxfId="463" priority="367" operator="greaterThan">
      <formula>1</formula>
    </cfRule>
  </conditionalFormatting>
  <conditionalFormatting sqref="I47">
    <cfRule type="cellIs" dxfId="462" priority="366" operator="greaterThan">
      <formula>1</formula>
    </cfRule>
  </conditionalFormatting>
  <conditionalFormatting sqref="J47">
    <cfRule type="cellIs" dxfId="461" priority="365" operator="greaterThan">
      <formula>1</formula>
    </cfRule>
  </conditionalFormatting>
  <conditionalFormatting sqref="L45">
    <cfRule type="cellIs" dxfId="460" priority="377" operator="greaterThan">
      <formula>1</formula>
    </cfRule>
  </conditionalFormatting>
  <conditionalFormatting sqref="M45">
    <cfRule type="cellIs" dxfId="459" priority="376" operator="greaterThan">
      <formula>1</formula>
    </cfRule>
  </conditionalFormatting>
  <conditionalFormatting sqref="N45">
    <cfRule type="cellIs" dxfId="458" priority="375" operator="greaterThan">
      <formula>1</formula>
    </cfRule>
  </conditionalFormatting>
  <conditionalFormatting sqref="O45">
    <cfRule type="cellIs" dxfId="457" priority="374" operator="greaterThan">
      <formula>1</formula>
    </cfRule>
  </conditionalFormatting>
  <conditionalFormatting sqref="Q49">
    <cfRule type="cellIs" dxfId="456" priority="349" operator="greaterThan">
      <formula>1</formula>
    </cfRule>
  </conditionalFormatting>
  <conditionalFormatting sqref="R49">
    <cfRule type="cellIs" dxfId="455" priority="348" operator="greaterThan">
      <formula>1</formula>
    </cfRule>
  </conditionalFormatting>
  <conditionalFormatting sqref="E52:K52 N52:R52">
    <cfRule type="cellIs" dxfId="454" priority="347" operator="greaterThan">
      <formula>1</formula>
    </cfRule>
  </conditionalFormatting>
  <conditionalFormatting sqref="E52:K52 N52:R52">
    <cfRule type="cellIs" dxfId="453" priority="346" operator="greaterThan">
      <formula>1</formula>
    </cfRule>
  </conditionalFormatting>
  <conditionalFormatting sqref="G52">
    <cfRule type="cellIs" dxfId="452" priority="345" operator="greaterThan">
      <formula>1</formula>
    </cfRule>
  </conditionalFormatting>
  <conditionalFormatting sqref="K45">
    <cfRule type="cellIs" dxfId="451" priority="378" operator="greaterThan">
      <formula>1</formula>
    </cfRule>
  </conditionalFormatting>
  <conditionalFormatting sqref="M43">
    <cfRule type="cellIs" dxfId="450" priority="386" operator="greaterThan">
      <formula>1</formula>
    </cfRule>
  </conditionalFormatting>
  <conditionalFormatting sqref="N43">
    <cfRule type="cellIs" dxfId="449" priority="385" operator="greaterThan">
      <formula>1</formula>
    </cfRule>
  </conditionalFormatting>
  <conditionalFormatting sqref="O43">
    <cfRule type="cellIs" dxfId="448" priority="384" operator="greaterThan">
      <formula>1</formula>
    </cfRule>
  </conditionalFormatting>
  <conditionalFormatting sqref="P43">
    <cfRule type="cellIs" dxfId="447" priority="383" operator="greaterThan">
      <formula>1</formula>
    </cfRule>
  </conditionalFormatting>
  <conditionalFormatting sqref="Q43">
    <cfRule type="cellIs" dxfId="446" priority="382" operator="greaterThan">
      <formula>1</formula>
    </cfRule>
  </conditionalFormatting>
  <conditionalFormatting sqref="R43">
    <cfRule type="cellIs" dxfId="445" priority="381" operator="greaterThan">
      <formula>1</formula>
    </cfRule>
  </conditionalFormatting>
  <conditionalFormatting sqref="E45 K45:R45">
    <cfRule type="cellIs" dxfId="444" priority="380" operator="greaterThan">
      <formula>1</formula>
    </cfRule>
  </conditionalFormatting>
  <conditionalFormatting sqref="E45 K45:R45">
    <cfRule type="cellIs" dxfId="443" priority="379" operator="greaterThan">
      <formula>1</formula>
    </cfRule>
  </conditionalFormatting>
  <conditionalFormatting sqref="L54">
    <cfRule type="cellIs" dxfId="442" priority="328" operator="greaterThan">
      <formula>1</formula>
    </cfRule>
  </conditionalFormatting>
  <conditionalFormatting sqref="E56:K56 P56:R56">
    <cfRule type="cellIs" dxfId="441" priority="327" operator="greaterThan">
      <formula>1</formula>
    </cfRule>
  </conditionalFormatting>
  <conditionalFormatting sqref="E56:K56 P56:R56">
    <cfRule type="cellIs" dxfId="440" priority="326" operator="greaterThan">
      <formula>1</formula>
    </cfRule>
  </conditionalFormatting>
  <conditionalFormatting sqref="G56">
    <cfRule type="cellIs" dxfId="439" priority="325" operator="greaterThan">
      <formula>1</formula>
    </cfRule>
  </conditionalFormatting>
  <conditionalFormatting sqref="H56">
    <cfRule type="cellIs" dxfId="438" priority="324" operator="greaterThan">
      <formula>1</formula>
    </cfRule>
  </conditionalFormatting>
  <conditionalFormatting sqref="I56">
    <cfRule type="cellIs" dxfId="437" priority="323" operator="greaterThan">
      <formula>1</formula>
    </cfRule>
  </conditionalFormatting>
  <conditionalFormatting sqref="J56">
    <cfRule type="cellIs" dxfId="436" priority="322" operator="greaterThan">
      <formula>1</formula>
    </cfRule>
  </conditionalFormatting>
  <conditionalFormatting sqref="K56">
    <cfRule type="cellIs" dxfId="435" priority="321" operator="greaterThan">
      <formula>1</formula>
    </cfRule>
  </conditionalFormatting>
  <conditionalFormatting sqref="H54">
    <cfRule type="cellIs" dxfId="434" priority="332" operator="greaterThan">
      <formula>1</formula>
    </cfRule>
  </conditionalFormatting>
  <conditionalFormatting sqref="I54">
    <cfRule type="cellIs" dxfId="433" priority="331" operator="greaterThan">
      <formula>1</formula>
    </cfRule>
  </conditionalFormatting>
  <conditionalFormatting sqref="J54">
    <cfRule type="cellIs" dxfId="432" priority="330" operator="greaterThan">
      <formula>1</formula>
    </cfRule>
  </conditionalFormatting>
  <conditionalFormatting sqref="K54">
    <cfRule type="cellIs" dxfId="431" priority="329" operator="greaterThan">
      <formula>1</formula>
    </cfRule>
  </conditionalFormatting>
  <conditionalFormatting sqref="H52">
    <cfRule type="cellIs" dxfId="430" priority="344" operator="greaterThan">
      <formula>1</formula>
    </cfRule>
  </conditionalFormatting>
  <conditionalFormatting sqref="I52">
    <cfRule type="cellIs" dxfId="429" priority="343" operator="greaterThan">
      <formula>1</formula>
    </cfRule>
  </conditionalFormatting>
  <conditionalFormatting sqref="J52">
    <cfRule type="cellIs" dxfId="428" priority="342" operator="greaterThan">
      <formula>1</formula>
    </cfRule>
  </conditionalFormatting>
  <conditionalFormatting sqref="K52">
    <cfRule type="cellIs" dxfId="427" priority="341" operator="greaterThan">
      <formula>1</formula>
    </cfRule>
  </conditionalFormatting>
  <conditionalFormatting sqref="P49">
    <cfRule type="cellIs" dxfId="426" priority="350" operator="greaterThan">
      <formula>1</formula>
    </cfRule>
  </conditionalFormatting>
  <conditionalFormatting sqref="G49">
    <cfRule type="cellIs" dxfId="425" priority="357" operator="greaterThan">
      <formula>1</formula>
    </cfRule>
  </conditionalFormatting>
  <conditionalFormatting sqref="P47">
    <cfRule type="cellIs" dxfId="424" priority="362" operator="greaterThan">
      <formula>1</formula>
    </cfRule>
  </conditionalFormatting>
  <conditionalFormatting sqref="Q47">
    <cfRule type="cellIs" dxfId="423" priority="361" operator="greaterThan">
      <formula>1</formula>
    </cfRule>
  </conditionalFormatting>
  <conditionalFormatting sqref="R47">
    <cfRule type="cellIs" dxfId="422" priority="360" operator="greaterThan">
      <formula>1</formula>
    </cfRule>
  </conditionalFormatting>
  <conditionalFormatting sqref="E49:L49 O49:R49">
    <cfRule type="cellIs" dxfId="421" priority="359" operator="greaterThan">
      <formula>1</formula>
    </cfRule>
  </conditionalFormatting>
  <conditionalFormatting sqref="E49:L49 O49:R49">
    <cfRule type="cellIs" dxfId="420" priority="358" operator="greaterThan">
      <formula>1</formula>
    </cfRule>
  </conditionalFormatting>
  <conditionalFormatting sqref="N47">
    <cfRule type="cellIs" dxfId="419" priority="364" operator="greaterThan">
      <formula>1</formula>
    </cfRule>
  </conditionalFormatting>
  <conditionalFormatting sqref="O47">
    <cfRule type="cellIs" dxfId="418" priority="363" operator="greaterThan">
      <formula>1</formula>
    </cfRule>
  </conditionalFormatting>
  <conditionalFormatting sqref="J45">
    <cfRule type="cellIs" dxfId="417" priority="173" operator="greaterThan">
      <formula>1</formula>
    </cfRule>
  </conditionalFormatting>
  <conditionalFormatting sqref="J45">
    <cfRule type="cellIs" dxfId="416" priority="172" operator="greaterThan">
      <formula>1</formula>
    </cfRule>
  </conditionalFormatting>
  <conditionalFormatting sqref="K47">
    <cfRule type="cellIs" dxfId="415" priority="171" operator="greaterThan">
      <formula>1</formula>
    </cfRule>
  </conditionalFormatting>
  <conditionalFormatting sqref="K47">
    <cfRule type="cellIs" dxfId="414" priority="170" operator="greaterThan">
      <formula>1</formula>
    </cfRule>
  </conditionalFormatting>
  <conditionalFormatting sqref="L47">
    <cfRule type="cellIs" dxfId="413" priority="169" operator="greaterThan">
      <formula>1</formula>
    </cfRule>
  </conditionalFormatting>
  <conditionalFormatting sqref="L47">
    <cfRule type="cellIs" dxfId="412" priority="168" operator="greaterThan">
      <formula>1</formula>
    </cfRule>
  </conditionalFormatting>
  <conditionalFormatting sqref="L38">
    <cfRule type="cellIs" dxfId="411" priority="195" operator="greaterThan">
      <formula>1</formula>
    </cfRule>
  </conditionalFormatting>
  <conditionalFormatting sqref="L38">
    <cfRule type="cellIs" dxfId="410" priority="194" operator="greaterThan">
      <formula>1</formula>
    </cfRule>
  </conditionalFormatting>
  <conditionalFormatting sqref="F41">
    <cfRule type="cellIs" dxfId="409" priority="193" operator="greaterThan">
      <formula>1</formula>
    </cfRule>
  </conditionalFormatting>
  <conditionalFormatting sqref="F41">
    <cfRule type="cellIs" dxfId="408" priority="192" operator="greaterThan">
      <formula>1</formula>
    </cfRule>
  </conditionalFormatting>
  <conditionalFormatting sqref="O34">
    <cfRule type="cellIs" dxfId="407" priority="219" operator="greaterThan">
      <formula>1</formula>
    </cfRule>
  </conditionalFormatting>
  <conditionalFormatting sqref="O34">
    <cfRule type="cellIs" dxfId="406" priority="218" operator="greaterThan">
      <formula>1</formula>
    </cfRule>
  </conditionalFormatting>
  <conditionalFormatting sqref="N34">
    <cfRule type="cellIs" dxfId="405" priority="217" operator="greaterThan">
      <formula>1</formula>
    </cfRule>
  </conditionalFormatting>
  <conditionalFormatting sqref="N34">
    <cfRule type="cellIs" dxfId="404" priority="216" operator="greaterThan">
      <formula>1</formula>
    </cfRule>
  </conditionalFormatting>
  <conditionalFormatting sqref="M34">
    <cfRule type="cellIs" dxfId="403" priority="215" operator="greaterThan">
      <formula>1</formula>
    </cfRule>
  </conditionalFormatting>
  <conditionalFormatting sqref="O28">
    <cfRule type="cellIs" dxfId="402" priority="256" operator="greaterThan">
      <formula>1</formula>
    </cfRule>
  </conditionalFormatting>
  <conditionalFormatting sqref="R30">
    <cfRule type="cellIs" dxfId="401" priority="255" operator="greaterThan">
      <formula>1</formula>
    </cfRule>
  </conditionalFormatting>
  <conditionalFormatting sqref="R30">
    <cfRule type="cellIs" dxfId="400" priority="254" operator="greaterThan">
      <formula>1</formula>
    </cfRule>
  </conditionalFormatting>
  <conditionalFormatting sqref="Q30">
    <cfRule type="cellIs" dxfId="399" priority="253" operator="greaterThan">
      <formula>1</formula>
    </cfRule>
  </conditionalFormatting>
  <conditionalFormatting sqref="Q30">
    <cfRule type="cellIs" dxfId="398" priority="252" operator="greaterThan">
      <formula>1</formula>
    </cfRule>
  </conditionalFormatting>
  <conditionalFormatting sqref="P30">
    <cfRule type="cellIs" dxfId="397" priority="251" operator="greaterThan">
      <formula>1</formula>
    </cfRule>
  </conditionalFormatting>
  <conditionalFormatting sqref="P30">
    <cfRule type="cellIs" dxfId="396" priority="250" operator="greaterThan">
      <formula>1</formula>
    </cfRule>
  </conditionalFormatting>
  <conditionalFormatting sqref="O30">
    <cfRule type="cellIs" dxfId="395" priority="249" operator="greaterThan">
      <formula>1</formula>
    </cfRule>
  </conditionalFormatting>
  <conditionalFormatting sqref="G17">
    <cfRule type="cellIs" dxfId="394" priority="483" operator="greaterThan">
      <formula>1</formula>
    </cfRule>
  </conditionalFormatting>
  <conditionalFormatting sqref="H17">
    <cfRule type="cellIs" dxfId="393" priority="482" operator="greaterThan">
      <formula>1</formula>
    </cfRule>
  </conditionalFormatting>
  <conditionalFormatting sqref="I17">
    <cfRule type="cellIs" dxfId="392" priority="481" operator="greaterThan">
      <formula>1</formula>
    </cfRule>
  </conditionalFormatting>
  <conditionalFormatting sqref="J17">
    <cfRule type="cellIs" dxfId="391" priority="480" operator="greaterThan">
      <formula>1</formula>
    </cfRule>
  </conditionalFormatting>
  <conditionalFormatting sqref="K17">
    <cfRule type="cellIs" dxfId="390" priority="479" operator="greaterThan">
      <formula>1</formula>
    </cfRule>
  </conditionalFormatting>
  <conditionalFormatting sqref="L17">
    <cfRule type="cellIs" dxfId="389" priority="478" operator="greaterThan">
      <formula>1</formula>
    </cfRule>
  </conditionalFormatting>
  <conditionalFormatting sqref="M17">
    <cfRule type="cellIs" dxfId="388" priority="477" operator="greaterThan">
      <formula>1</formula>
    </cfRule>
  </conditionalFormatting>
  <conditionalFormatting sqref="N17">
    <cfRule type="cellIs" dxfId="387" priority="476" operator="greaterThan">
      <formula>1</formula>
    </cfRule>
  </conditionalFormatting>
  <conditionalFormatting sqref="O17">
    <cfRule type="cellIs" dxfId="386" priority="475" operator="greaterThan">
      <formula>1</formula>
    </cfRule>
  </conditionalFormatting>
  <conditionalFormatting sqref="P17">
    <cfRule type="cellIs" dxfId="385" priority="474" operator="greaterThan">
      <formula>1</formula>
    </cfRule>
  </conditionalFormatting>
  <conditionalFormatting sqref="Q17">
    <cfRule type="cellIs" dxfId="384" priority="473" operator="greaterThan">
      <formula>1</formula>
    </cfRule>
  </conditionalFormatting>
  <conditionalFormatting sqref="R17">
    <cfRule type="cellIs" dxfId="383" priority="472" operator="greaterThan">
      <formula>1</formula>
    </cfRule>
  </conditionalFormatting>
  <conditionalFormatting sqref="G24:R24">
    <cfRule type="cellIs" dxfId="382" priority="471" operator="greaterThan">
      <formula>1</formula>
    </cfRule>
  </conditionalFormatting>
  <conditionalFormatting sqref="G24:R24">
    <cfRule type="cellIs" dxfId="381" priority="470" operator="greaterThan">
      <formula>1</formula>
    </cfRule>
  </conditionalFormatting>
  <conditionalFormatting sqref="G24">
    <cfRule type="cellIs" dxfId="380" priority="469" operator="greaterThan">
      <formula>1</formula>
    </cfRule>
  </conditionalFormatting>
  <conditionalFormatting sqref="H24">
    <cfRule type="cellIs" dxfId="379" priority="468" operator="greaterThan">
      <formula>1</formula>
    </cfRule>
  </conditionalFormatting>
  <conditionalFormatting sqref="I24">
    <cfRule type="cellIs" dxfId="378" priority="467" operator="greaterThan">
      <formula>1</formula>
    </cfRule>
  </conditionalFormatting>
  <conditionalFormatting sqref="J24">
    <cfRule type="cellIs" dxfId="377" priority="466" operator="greaterThan">
      <formula>1</formula>
    </cfRule>
  </conditionalFormatting>
  <conditionalFormatting sqref="K24">
    <cfRule type="cellIs" dxfId="376" priority="465" operator="greaterThan">
      <formula>1</formula>
    </cfRule>
  </conditionalFormatting>
  <conditionalFormatting sqref="L24">
    <cfRule type="cellIs" dxfId="375" priority="464" operator="greaterThan">
      <formula>1</formula>
    </cfRule>
  </conditionalFormatting>
  <conditionalFormatting sqref="M24">
    <cfRule type="cellIs" dxfId="374" priority="463" operator="greaterThan">
      <formula>1</formula>
    </cfRule>
  </conditionalFormatting>
  <conditionalFormatting sqref="N24">
    <cfRule type="cellIs" dxfId="373" priority="462" operator="greaterThan">
      <formula>1</formula>
    </cfRule>
  </conditionalFormatting>
  <conditionalFormatting sqref="O24">
    <cfRule type="cellIs" dxfId="372" priority="461" operator="greaterThan">
      <formula>1</formula>
    </cfRule>
  </conditionalFormatting>
  <conditionalFormatting sqref="P24">
    <cfRule type="cellIs" dxfId="371" priority="460" operator="greaterThan">
      <formula>1</formula>
    </cfRule>
  </conditionalFormatting>
  <conditionalFormatting sqref="Q24">
    <cfRule type="cellIs" dxfId="370" priority="459" operator="greaterThan">
      <formula>1</formula>
    </cfRule>
  </conditionalFormatting>
  <conditionalFormatting sqref="R24">
    <cfRule type="cellIs" dxfId="369" priority="458" operator="greaterThan">
      <formula>1</formula>
    </cfRule>
  </conditionalFormatting>
  <conditionalFormatting sqref="E26 M26:N26 P26:R26">
    <cfRule type="cellIs" dxfId="368" priority="457" operator="greaterThan">
      <formula>1</formula>
    </cfRule>
  </conditionalFormatting>
  <conditionalFormatting sqref="E26 M26:N26 P26:R26">
    <cfRule type="cellIs" dxfId="367" priority="456" operator="greaterThan">
      <formula>1</formula>
    </cfRule>
  </conditionalFormatting>
  <conditionalFormatting sqref="M26">
    <cfRule type="cellIs" dxfId="366" priority="455" operator="greaterThan">
      <formula>1</formula>
    </cfRule>
  </conditionalFormatting>
  <conditionalFormatting sqref="N26">
    <cfRule type="cellIs" dxfId="365" priority="454" operator="greaterThan">
      <formula>1</formula>
    </cfRule>
  </conditionalFormatting>
  <conditionalFormatting sqref="P26">
    <cfRule type="cellIs" dxfId="364" priority="453" operator="greaterThan">
      <formula>1</formula>
    </cfRule>
  </conditionalFormatting>
  <conditionalFormatting sqref="Q26">
    <cfRule type="cellIs" dxfId="363" priority="452" operator="greaterThan">
      <formula>1</formula>
    </cfRule>
  </conditionalFormatting>
  <conditionalFormatting sqref="R26">
    <cfRule type="cellIs" dxfId="362" priority="451" operator="greaterThan">
      <formula>1</formula>
    </cfRule>
  </conditionalFormatting>
  <conditionalFormatting sqref="E28 P28:R28 M28:N28">
    <cfRule type="cellIs" dxfId="361" priority="450" operator="greaterThan">
      <formula>1</formula>
    </cfRule>
  </conditionalFormatting>
  <conditionalFormatting sqref="E28 P28:R28 M28:N28">
    <cfRule type="cellIs" dxfId="360" priority="449" operator="greaterThan">
      <formula>1</formula>
    </cfRule>
  </conditionalFormatting>
  <conditionalFormatting sqref="M28">
    <cfRule type="cellIs" dxfId="359" priority="448" operator="greaterThan">
      <formula>1</formula>
    </cfRule>
  </conditionalFormatting>
  <conditionalFormatting sqref="N28">
    <cfRule type="cellIs" dxfId="358" priority="447" operator="greaterThan">
      <formula>1</formula>
    </cfRule>
  </conditionalFormatting>
  <conditionalFormatting sqref="P28">
    <cfRule type="cellIs" dxfId="357" priority="446" operator="greaterThan">
      <formula>1</formula>
    </cfRule>
  </conditionalFormatting>
  <conditionalFormatting sqref="Q28">
    <cfRule type="cellIs" dxfId="356" priority="445" operator="greaterThan">
      <formula>1</formula>
    </cfRule>
  </conditionalFormatting>
  <conditionalFormatting sqref="R28">
    <cfRule type="cellIs" dxfId="355" priority="444" operator="greaterThan">
      <formula>1</formula>
    </cfRule>
  </conditionalFormatting>
  <conditionalFormatting sqref="E30:I30">
    <cfRule type="cellIs" dxfId="354" priority="443" operator="greaterThan">
      <formula>1</formula>
    </cfRule>
  </conditionalFormatting>
  <conditionalFormatting sqref="E30:I30">
    <cfRule type="cellIs" dxfId="353" priority="442" operator="greaterThan">
      <formula>1</formula>
    </cfRule>
  </conditionalFormatting>
  <conditionalFormatting sqref="G30">
    <cfRule type="cellIs" dxfId="352" priority="441" operator="greaterThan">
      <formula>1</formula>
    </cfRule>
  </conditionalFormatting>
  <conditionalFormatting sqref="H30">
    <cfRule type="cellIs" dxfId="351" priority="440" operator="greaterThan">
      <formula>1</formula>
    </cfRule>
  </conditionalFormatting>
  <conditionalFormatting sqref="I30">
    <cfRule type="cellIs" dxfId="350" priority="439" operator="greaterThan">
      <formula>1</formula>
    </cfRule>
  </conditionalFormatting>
  <conditionalFormatting sqref="E32:G32 I32:J32 P32:R32">
    <cfRule type="cellIs" dxfId="349" priority="438" operator="greaterThan">
      <formula>1</formula>
    </cfRule>
  </conditionalFormatting>
  <conditionalFormatting sqref="E32:G32 I32:J32 P32:R32">
    <cfRule type="cellIs" dxfId="348" priority="437" operator="greaterThan">
      <formula>1</formula>
    </cfRule>
  </conditionalFormatting>
  <conditionalFormatting sqref="G32">
    <cfRule type="cellIs" dxfId="347" priority="436" operator="greaterThan">
      <formula>1</formula>
    </cfRule>
  </conditionalFormatting>
  <conditionalFormatting sqref="I32">
    <cfRule type="cellIs" dxfId="346" priority="435" operator="greaterThan">
      <formula>1</formula>
    </cfRule>
  </conditionalFormatting>
  <conditionalFormatting sqref="J32">
    <cfRule type="cellIs" dxfId="345" priority="434" operator="greaterThan">
      <formula>1</formula>
    </cfRule>
  </conditionalFormatting>
  <conditionalFormatting sqref="P32">
    <cfRule type="cellIs" dxfId="344" priority="433" operator="greaterThan">
      <formula>1</formula>
    </cfRule>
  </conditionalFormatting>
  <conditionalFormatting sqref="Q32">
    <cfRule type="cellIs" dxfId="343" priority="432" operator="greaterThan">
      <formula>1</formula>
    </cfRule>
  </conditionalFormatting>
  <conditionalFormatting sqref="R32">
    <cfRule type="cellIs" dxfId="342" priority="431" operator="greaterThan">
      <formula>1</formula>
    </cfRule>
  </conditionalFormatting>
  <conditionalFormatting sqref="E34:K34">
    <cfRule type="cellIs" dxfId="341" priority="430" operator="greaterThan">
      <formula>1</formula>
    </cfRule>
  </conditionalFormatting>
  <conditionalFormatting sqref="E34:K34">
    <cfRule type="cellIs" dxfId="340" priority="429" operator="greaterThan">
      <formula>1</formula>
    </cfRule>
  </conditionalFormatting>
  <conditionalFormatting sqref="G34">
    <cfRule type="cellIs" dxfId="339" priority="428" operator="greaterThan">
      <formula>1</formula>
    </cfRule>
  </conditionalFormatting>
  <conditionalFormatting sqref="H34">
    <cfRule type="cellIs" dxfId="338" priority="427" operator="greaterThan">
      <formula>1</formula>
    </cfRule>
  </conditionalFormatting>
  <conditionalFormatting sqref="I34">
    <cfRule type="cellIs" dxfId="337" priority="426" operator="greaterThan">
      <formula>1</formula>
    </cfRule>
  </conditionalFormatting>
  <conditionalFormatting sqref="J34">
    <cfRule type="cellIs" dxfId="336" priority="425" operator="greaterThan">
      <formula>1</formula>
    </cfRule>
  </conditionalFormatting>
  <conditionalFormatting sqref="K34">
    <cfRule type="cellIs" dxfId="335" priority="424" operator="greaterThan">
      <formula>1</formula>
    </cfRule>
  </conditionalFormatting>
  <conditionalFormatting sqref="E36:L36">
    <cfRule type="cellIs" dxfId="334" priority="423" operator="greaterThan">
      <formula>1</formula>
    </cfRule>
  </conditionalFormatting>
  <conditionalFormatting sqref="E36:L36">
    <cfRule type="cellIs" dxfId="333" priority="422" operator="greaterThan">
      <formula>1</formula>
    </cfRule>
  </conditionalFormatting>
  <conditionalFormatting sqref="G36">
    <cfRule type="cellIs" dxfId="332" priority="421" operator="greaterThan">
      <formula>1</formula>
    </cfRule>
  </conditionalFormatting>
  <conditionalFormatting sqref="H36">
    <cfRule type="cellIs" dxfId="331" priority="420" operator="greaterThan">
      <formula>1</formula>
    </cfRule>
  </conditionalFormatting>
  <conditionalFormatting sqref="I36">
    <cfRule type="cellIs" dxfId="330" priority="419" operator="greaterThan">
      <formula>1</formula>
    </cfRule>
  </conditionalFormatting>
  <conditionalFormatting sqref="J36">
    <cfRule type="cellIs" dxfId="329" priority="418" operator="greaterThan">
      <formula>1</formula>
    </cfRule>
  </conditionalFormatting>
  <conditionalFormatting sqref="K36">
    <cfRule type="cellIs" dxfId="328" priority="417" operator="greaterThan">
      <formula>1</formula>
    </cfRule>
  </conditionalFormatting>
  <conditionalFormatting sqref="L36">
    <cfRule type="cellIs" dxfId="327" priority="416" operator="greaterThan">
      <formula>1</formula>
    </cfRule>
  </conditionalFormatting>
  <conditionalFormatting sqref="E38:K38 R38 N38:P38">
    <cfRule type="cellIs" dxfId="326" priority="415" operator="greaterThan">
      <formula>1</formula>
    </cfRule>
  </conditionalFormatting>
  <conditionalFormatting sqref="E38:K38 R38 N38:P38">
    <cfRule type="cellIs" dxfId="325" priority="414" operator="greaterThan">
      <formula>1</formula>
    </cfRule>
  </conditionalFormatting>
  <conditionalFormatting sqref="G38">
    <cfRule type="cellIs" dxfId="324" priority="413" operator="greaterThan">
      <formula>1</formula>
    </cfRule>
  </conditionalFormatting>
  <conditionalFormatting sqref="H38">
    <cfRule type="cellIs" dxfId="323" priority="412" operator="greaterThan">
      <formula>1</formula>
    </cfRule>
  </conditionalFormatting>
  <conditionalFormatting sqref="I38">
    <cfRule type="cellIs" dxfId="322" priority="411" operator="greaterThan">
      <formula>1</formula>
    </cfRule>
  </conditionalFormatting>
  <conditionalFormatting sqref="J38">
    <cfRule type="cellIs" dxfId="321" priority="410" operator="greaterThan">
      <formula>1</formula>
    </cfRule>
  </conditionalFormatting>
  <conditionalFormatting sqref="K38">
    <cfRule type="cellIs" dxfId="320" priority="409" operator="greaterThan">
      <formula>1</formula>
    </cfRule>
  </conditionalFormatting>
  <conditionalFormatting sqref="N38">
    <cfRule type="cellIs" dxfId="319" priority="408" operator="greaterThan">
      <formula>1</formula>
    </cfRule>
  </conditionalFormatting>
  <conditionalFormatting sqref="O38">
    <cfRule type="cellIs" dxfId="318" priority="407" operator="greaterThan">
      <formula>1</formula>
    </cfRule>
  </conditionalFormatting>
  <conditionalFormatting sqref="P38">
    <cfRule type="cellIs" dxfId="317" priority="406" operator="greaterThan">
      <formula>1</formula>
    </cfRule>
  </conditionalFormatting>
  <conditionalFormatting sqref="R38">
    <cfRule type="cellIs" dxfId="316" priority="405" operator="greaterThan">
      <formula>1</formula>
    </cfRule>
  </conditionalFormatting>
  <conditionalFormatting sqref="E41 K41:R41">
    <cfRule type="cellIs" dxfId="315" priority="404" operator="greaterThan">
      <formula>1</formula>
    </cfRule>
  </conditionalFormatting>
  <conditionalFormatting sqref="E41 K41:R41">
    <cfRule type="cellIs" dxfId="314" priority="403" operator="greaterThan">
      <formula>1</formula>
    </cfRule>
  </conditionalFormatting>
  <conditionalFormatting sqref="K41">
    <cfRule type="cellIs" dxfId="313" priority="402" operator="greaterThan">
      <formula>1</formula>
    </cfRule>
  </conditionalFormatting>
  <conditionalFormatting sqref="L41">
    <cfRule type="cellIs" dxfId="312" priority="401" operator="greaterThan">
      <formula>1</formula>
    </cfRule>
  </conditionalFormatting>
  <conditionalFormatting sqref="M41">
    <cfRule type="cellIs" dxfId="311" priority="400" operator="greaterThan">
      <formula>1</formula>
    </cfRule>
  </conditionalFormatting>
  <conditionalFormatting sqref="N41">
    <cfRule type="cellIs" dxfId="310" priority="399" operator="greaterThan">
      <formula>1</formula>
    </cfRule>
  </conditionalFormatting>
  <conditionalFormatting sqref="O41">
    <cfRule type="cellIs" dxfId="309" priority="398" operator="greaterThan">
      <formula>1</formula>
    </cfRule>
  </conditionalFormatting>
  <conditionalFormatting sqref="P41">
    <cfRule type="cellIs" dxfId="308" priority="397" operator="greaterThan">
      <formula>1</formula>
    </cfRule>
  </conditionalFormatting>
  <conditionalFormatting sqref="Q41">
    <cfRule type="cellIs" dxfId="307" priority="396" operator="greaterThan">
      <formula>1</formula>
    </cfRule>
  </conditionalFormatting>
  <conditionalFormatting sqref="R41">
    <cfRule type="cellIs" dxfId="306" priority="395" operator="greaterThan">
      <formula>1</formula>
    </cfRule>
  </conditionalFormatting>
  <conditionalFormatting sqref="E43 G43:R43">
    <cfRule type="cellIs" dxfId="305" priority="394" operator="greaterThan">
      <formula>1</formula>
    </cfRule>
  </conditionalFormatting>
  <conditionalFormatting sqref="E43 G43:R43">
    <cfRule type="cellIs" dxfId="304" priority="393" operator="greaterThan">
      <formula>1</formula>
    </cfRule>
  </conditionalFormatting>
  <conditionalFormatting sqref="G43">
    <cfRule type="cellIs" dxfId="303" priority="392" operator="greaterThan">
      <formula>1</formula>
    </cfRule>
  </conditionalFormatting>
  <conditionalFormatting sqref="H43">
    <cfRule type="cellIs" dxfId="302" priority="391" operator="greaterThan">
      <formula>1</formula>
    </cfRule>
  </conditionalFormatting>
  <conditionalFormatting sqref="I43">
    <cfRule type="cellIs" dxfId="301" priority="390" operator="greaterThan">
      <formula>1</formula>
    </cfRule>
  </conditionalFormatting>
  <conditionalFormatting sqref="J43">
    <cfRule type="cellIs" dxfId="300" priority="389" operator="greaterThan">
      <formula>1</formula>
    </cfRule>
  </conditionalFormatting>
  <conditionalFormatting sqref="K43">
    <cfRule type="cellIs" dxfId="299" priority="388" operator="greaterThan">
      <formula>1</formula>
    </cfRule>
  </conditionalFormatting>
  <conditionalFormatting sqref="L43">
    <cfRule type="cellIs" dxfId="298" priority="387" operator="greaterThan">
      <formula>1</formula>
    </cfRule>
  </conditionalFormatting>
  <conditionalFormatting sqref="E58:L58 P58:R58">
    <cfRule type="cellIs" dxfId="297" priority="317" operator="greaterThan">
      <formula>1</formula>
    </cfRule>
  </conditionalFormatting>
  <conditionalFormatting sqref="H58">
    <cfRule type="cellIs" dxfId="296" priority="314" operator="greaterThan">
      <formula>1</formula>
    </cfRule>
  </conditionalFormatting>
  <conditionalFormatting sqref="R58">
    <cfRule type="cellIs" dxfId="295" priority="307" operator="greaterThan">
      <formula>1</formula>
    </cfRule>
  </conditionalFormatting>
  <conditionalFormatting sqref="Q58">
    <cfRule type="cellIs" dxfId="294" priority="308" operator="greaterThan">
      <formula>1</formula>
    </cfRule>
  </conditionalFormatting>
  <conditionalFormatting sqref="P58">
    <cfRule type="cellIs" dxfId="293" priority="309" operator="greaterThan">
      <formula>1</formula>
    </cfRule>
  </conditionalFormatting>
  <conditionalFormatting sqref="E60:L60 N60:R60">
    <cfRule type="cellIs" dxfId="292" priority="306" operator="greaterThan">
      <formula>1</formula>
    </cfRule>
  </conditionalFormatting>
  <conditionalFormatting sqref="H60">
    <cfRule type="cellIs" dxfId="291" priority="303" operator="greaterThan">
      <formula>1</formula>
    </cfRule>
  </conditionalFormatting>
  <conditionalFormatting sqref="P56">
    <cfRule type="cellIs" dxfId="290" priority="320" operator="greaterThan">
      <formula>1</formula>
    </cfRule>
  </conditionalFormatting>
  <conditionalFormatting sqref="Q56">
    <cfRule type="cellIs" dxfId="289" priority="319" operator="greaterThan">
      <formula>1</formula>
    </cfRule>
  </conditionalFormatting>
  <conditionalFormatting sqref="R56">
    <cfRule type="cellIs" dxfId="288" priority="318" operator="greaterThan">
      <formula>1</formula>
    </cfRule>
  </conditionalFormatting>
  <conditionalFormatting sqref="E58:L58 P58:R58">
    <cfRule type="cellIs" dxfId="287" priority="316" operator="greaterThan">
      <formula>1</formula>
    </cfRule>
  </conditionalFormatting>
  <conditionalFormatting sqref="G58">
    <cfRule type="cellIs" dxfId="286" priority="315" operator="greaterThan">
      <formula>1</formula>
    </cfRule>
  </conditionalFormatting>
  <conditionalFormatting sqref="I58">
    <cfRule type="cellIs" dxfId="285" priority="313" operator="greaterThan">
      <formula>1</formula>
    </cfRule>
  </conditionalFormatting>
  <conditionalFormatting sqref="J58">
    <cfRule type="cellIs" dxfId="284" priority="312" operator="greaterThan">
      <formula>1</formula>
    </cfRule>
  </conditionalFormatting>
  <conditionalFormatting sqref="K58">
    <cfRule type="cellIs" dxfId="283" priority="311" operator="greaterThan">
      <formula>1</formula>
    </cfRule>
  </conditionalFormatting>
  <conditionalFormatting sqref="L58">
    <cfRule type="cellIs" dxfId="282" priority="310" operator="greaterThan">
      <formula>1</formula>
    </cfRule>
  </conditionalFormatting>
  <conditionalFormatting sqref="L60">
    <cfRule type="cellIs" dxfId="281" priority="299" operator="greaterThan">
      <formula>1</formula>
    </cfRule>
  </conditionalFormatting>
  <conditionalFormatting sqref="K60">
    <cfRule type="cellIs" dxfId="280" priority="300" operator="greaterThan">
      <formula>1</formula>
    </cfRule>
  </conditionalFormatting>
  <conditionalFormatting sqref="J60">
    <cfRule type="cellIs" dxfId="279" priority="301" operator="greaterThan">
      <formula>1</formula>
    </cfRule>
  </conditionalFormatting>
  <conditionalFormatting sqref="E60:L60 N60:R60">
    <cfRule type="cellIs" dxfId="278" priority="305" operator="greaterThan">
      <formula>1</formula>
    </cfRule>
  </conditionalFormatting>
  <conditionalFormatting sqref="G60">
    <cfRule type="cellIs" dxfId="277" priority="304" operator="greaterThan">
      <formula>1</formula>
    </cfRule>
  </conditionalFormatting>
  <conditionalFormatting sqref="I60">
    <cfRule type="cellIs" dxfId="276" priority="302" operator="greaterThan">
      <formula>1</formula>
    </cfRule>
  </conditionalFormatting>
  <conditionalFormatting sqref="N60">
    <cfRule type="cellIs" dxfId="275" priority="298" operator="greaterThan">
      <formula>1</formula>
    </cfRule>
  </conditionalFormatting>
  <conditionalFormatting sqref="O60">
    <cfRule type="cellIs" dxfId="274" priority="297" operator="greaterThan">
      <formula>1</formula>
    </cfRule>
  </conditionalFormatting>
  <conditionalFormatting sqref="P60">
    <cfRule type="cellIs" dxfId="273" priority="296" operator="greaterThan">
      <formula>1</formula>
    </cfRule>
  </conditionalFormatting>
  <conditionalFormatting sqref="Q60">
    <cfRule type="cellIs" dxfId="272" priority="295" operator="greaterThan">
      <formula>1</formula>
    </cfRule>
  </conditionalFormatting>
  <conditionalFormatting sqref="R60">
    <cfRule type="cellIs" dxfId="271" priority="294" operator="greaterThan">
      <formula>1</formula>
    </cfRule>
  </conditionalFormatting>
  <conditionalFormatting sqref="N56">
    <cfRule type="cellIs" dxfId="270" priority="142" operator="greaterThan">
      <formula>1</formula>
    </cfRule>
  </conditionalFormatting>
  <conditionalFormatting sqref="M56">
    <cfRule type="cellIs" dxfId="269" priority="141" operator="greaterThan">
      <formula>1</formula>
    </cfRule>
  </conditionalFormatting>
  <conditionalFormatting sqref="M47">
    <cfRule type="cellIs" dxfId="268" priority="167" operator="greaterThan">
      <formula>1</formula>
    </cfRule>
  </conditionalFormatting>
  <conditionalFormatting sqref="M49">
    <cfRule type="cellIs" dxfId="267" priority="164" operator="greaterThan">
      <formula>1</formula>
    </cfRule>
  </conditionalFormatting>
  <conditionalFormatting sqref="N49">
    <cfRule type="cellIs" dxfId="266" priority="163" operator="greaterThan">
      <formula>1</formula>
    </cfRule>
  </conditionalFormatting>
  <conditionalFormatting sqref="M52">
    <cfRule type="cellIs" dxfId="265" priority="160" operator="greaterThan">
      <formula>1</formula>
    </cfRule>
  </conditionalFormatting>
  <conditionalFormatting sqref="L52">
    <cfRule type="cellIs" dxfId="264" priority="159" operator="greaterThan">
      <formula>1</formula>
    </cfRule>
  </conditionalFormatting>
  <conditionalFormatting sqref="M54">
    <cfRule type="cellIs" dxfId="263" priority="156" operator="greaterThan">
      <formula>1</formula>
    </cfRule>
  </conditionalFormatting>
  <conditionalFormatting sqref="N54">
    <cfRule type="cellIs" dxfId="262" priority="155" operator="greaterThan">
      <formula>1</formula>
    </cfRule>
  </conditionalFormatting>
  <conditionalFormatting sqref="O54">
    <cfRule type="cellIs" dxfId="261" priority="152" operator="greaterThan">
      <formula>1</formula>
    </cfRule>
  </conditionalFormatting>
  <conditionalFormatting sqref="P54">
    <cfRule type="cellIs" dxfId="260" priority="151" operator="greaterThan">
      <formula>1</formula>
    </cfRule>
  </conditionalFormatting>
  <conditionalFormatting sqref="Q54">
    <cfRule type="cellIs" dxfId="259" priority="148" operator="greaterThan">
      <formula>1</formula>
    </cfRule>
  </conditionalFormatting>
  <conditionalFormatting sqref="R54">
    <cfRule type="cellIs" dxfId="258" priority="147" operator="greaterThan">
      <formula>1</formula>
    </cfRule>
  </conditionalFormatting>
  <conditionalFormatting sqref="O56">
    <cfRule type="cellIs" dxfId="257" priority="144" operator="greaterThan">
      <formula>1</formula>
    </cfRule>
  </conditionalFormatting>
  <conditionalFormatting sqref="N56">
    <cfRule type="cellIs" dxfId="256" priority="143" operator="greaterThan">
      <formula>1</formula>
    </cfRule>
  </conditionalFormatting>
  <conditionalFormatting sqref="M56">
    <cfRule type="cellIs" dxfId="255" priority="140" operator="greaterThan">
      <formula>1</formula>
    </cfRule>
  </conditionalFormatting>
  <conditionalFormatting sqref="L56">
    <cfRule type="cellIs" dxfId="254" priority="139" operator="greaterThan">
      <formula>1</formula>
    </cfRule>
  </conditionalFormatting>
  <conditionalFormatting sqref="M58">
    <cfRule type="cellIs" dxfId="253" priority="136" operator="greaterThan">
      <formula>1</formula>
    </cfRule>
  </conditionalFormatting>
  <conditionalFormatting sqref="N58">
    <cfRule type="cellIs" dxfId="252" priority="135" operator="greaterThan">
      <formula>1</formula>
    </cfRule>
  </conditionalFormatting>
  <conditionalFormatting sqref="M47">
    <cfRule type="cellIs" dxfId="251" priority="166" operator="greaterThan">
      <formula>1</formula>
    </cfRule>
  </conditionalFormatting>
  <conditionalFormatting sqref="M49">
    <cfRule type="cellIs" dxfId="250" priority="165" operator="greaterThan">
      <formula>1</formula>
    </cfRule>
  </conditionalFormatting>
  <conditionalFormatting sqref="N49">
    <cfRule type="cellIs" dxfId="249" priority="162" operator="greaterThan">
      <formula>1</formula>
    </cfRule>
  </conditionalFormatting>
  <conditionalFormatting sqref="M52">
    <cfRule type="cellIs" dxfId="248" priority="161" operator="greaterThan">
      <formula>1</formula>
    </cfRule>
  </conditionalFormatting>
  <conditionalFormatting sqref="E21:R21">
    <cfRule type="cellIs" dxfId="247" priority="126" operator="greaterThan">
      <formula>1</formula>
    </cfRule>
  </conditionalFormatting>
  <conditionalFormatting sqref="R19">
    <cfRule type="cellIs" dxfId="246" priority="293" operator="greaterThan">
      <formula>1</formula>
    </cfRule>
  </conditionalFormatting>
  <conditionalFormatting sqref="R19">
    <cfRule type="cellIs" dxfId="245" priority="292" operator="greaterThan">
      <formula>1</formula>
    </cfRule>
  </conditionalFormatting>
  <conditionalFormatting sqref="O26">
    <cfRule type="cellIs" dxfId="244" priority="291" operator="greaterThan">
      <formula>1</formula>
    </cfRule>
  </conditionalFormatting>
  <conditionalFormatting sqref="O26">
    <cfRule type="cellIs" dxfId="243" priority="290" operator="greaterThan">
      <formula>1</formula>
    </cfRule>
  </conditionalFormatting>
  <conditionalFormatting sqref="L26">
    <cfRule type="cellIs" dxfId="242" priority="289" operator="greaterThan">
      <formula>1</formula>
    </cfRule>
  </conditionalFormatting>
  <conditionalFormatting sqref="L26">
    <cfRule type="cellIs" dxfId="241" priority="288" operator="greaterThan">
      <formula>1</formula>
    </cfRule>
  </conditionalFormatting>
  <conditionalFormatting sqref="K26">
    <cfRule type="cellIs" dxfId="240" priority="287" operator="greaterThan">
      <formula>1</formula>
    </cfRule>
  </conditionalFormatting>
  <conditionalFormatting sqref="K26">
    <cfRule type="cellIs" dxfId="239" priority="286" operator="greaterThan">
      <formula>1</formula>
    </cfRule>
  </conditionalFormatting>
  <conditionalFormatting sqref="J26">
    <cfRule type="cellIs" dxfId="238" priority="285" operator="greaterThan">
      <formula>1</formula>
    </cfRule>
  </conditionalFormatting>
  <conditionalFormatting sqref="J26">
    <cfRule type="cellIs" dxfId="237" priority="284" operator="greaterThan">
      <formula>1</formula>
    </cfRule>
  </conditionalFormatting>
  <conditionalFormatting sqref="I26">
    <cfRule type="cellIs" dxfId="236" priority="283" operator="greaterThan">
      <formula>1</formula>
    </cfRule>
  </conditionalFormatting>
  <conditionalFormatting sqref="I26">
    <cfRule type="cellIs" dxfId="235" priority="282" operator="greaterThan">
      <formula>1</formula>
    </cfRule>
  </conditionalFormatting>
  <conditionalFormatting sqref="H26">
    <cfRule type="cellIs" dxfId="234" priority="281" operator="greaterThan">
      <formula>1</formula>
    </cfRule>
  </conditionalFormatting>
  <conditionalFormatting sqref="H26">
    <cfRule type="cellIs" dxfId="233" priority="280" operator="greaterThan">
      <formula>1</formula>
    </cfRule>
  </conditionalFormatting>
  <conditionalFormatting sqref="G26">
    <cfRule type="cellIs" dxfId="232" priority="279" operator="greaterThan">
      <formula>1</formula>
    </cfRule>
  </conditionalFormatting>
  <conditionalFormatting sqref="G26">
    <cfRule type="cellIs" dxfId="231" priority="278" operator="greaterThan">
      <formula>1</formula>
    </cfRule>
  </conditionalFormatting>
  <conditionalFormatting sqref="F26">
    <cfRule type="cellIs" dxfId="230" priority="277" operator="greaterThan">
      <formula>1</formula>
    </cfRule>
  </conditionalFormatting>
  <conditionalFormatting sqref="F26">
    <cfRule type="cellIs" dxfId="229" priority="276" operator="greaterThan">
      <formula>1</formula>
    </cfRule>
  </conditionalFormatting>
  <conditionalFormatting sqref="F24">
    <cfRule type="cellIs" dxfId="228" priority="275" operator="greaterThan">
      <formula>1</formula>
    </cfRule>
  </conditionalFormatting>
  <conditionalFormatting sqref="F24">
    <cfRule type="cellIs" dxfId="227" priority="274" operator="greaterThan">
      <formula>1</formula>
    </cfRule>
  </conditionalFormatting>
  <conditionalFormatting sqref="E24">
    <cfRule type="cellIs" dxfId="226" priority="273" operator="greaterThan">
      <formula>1</formula>
    </cfRule>
  </conditionalFormatting>
  <conditionalFormatting sqref="E24">
    <cfRule type="cellIs" dxfId="225" priority="272" operator="greaterThan">
      <formula>1</formula>
    </cfRule>
  </conditionalFormatting>
  <conditionalFormatting sqref="F28">
    <cfRule type="cellIs" dxfId="224" priority="271" operator="greaterThan">
      <formula>1</formula>
    </cfRule>
  </conditionalFormatting>
  <conditionalFormatting sqref="F28">
    <cfRule type="cellIs" dxfId="223" priority="270" operator="greaterThan">
      <formula>1</formula>
    </cfRule>
  </conditionalFormatting>
  <conditionalFormatting sqref="G28">
    <cfRule type="cellIs" dxfId="222" priority="269" operator="greaterThan">
      <formula>1</formula>
    </cfRule>
  </conditionalFormatting>
  <conditionalFormatting sqref="G28">
    <cfRule type="cellIs" dxfId="221" priority="268" operator="greaterThan">
      <formula>1</formula>
    </cfRule>
  </conditionalFormatting>
  <conditionalFormatting sqref="H28">
    <cfRule type="cellIs" dxfId="220" priority="267" operator="greaterThan">
      <formula>1</formula>
    </cfRule>
  </conditionalFormatting>
  <conditionalFormatting sqref="H28">
    <cfRule type="cellIs" dxfId="219" priority="266" operator="greaterThan">
      <formula>1</formula>
    </cfRule>
  </conditionalFormatting>
  <conditionalFormatting sqref="I28">
    <cfRule type="cellIs" dxfId="218" priority="265" operator="greaterThan">
      <formula>1</formula>
    </cfRule>
  </conditionalFormatting>
  <conditionalFormatting sqref="I28">
    <cfRule type="cellIs" dxfId="217" priority="264" operator="greaterThan">
      <formula>1</formula>
    </cfRule>
  </conditionalFormatting>
  <conditionalFormatting sqref="J28">
    <cfRule type="cellIs" dxfId="216" priority="263" operator="greaterThan">
      <formula>1</formula>
    </cfRule>
  </conditionalFormatting>
  <conditionalFormatting sqref="J28">
    <cfRule type="cellIs" dxfId="215" priority="262" operator="greaterThan">
      <formula>1</formula>
    </cfRule>
  </conditionalFormatting>
  <conditionalFormatting sqref="K28">
    <cfRule type="cellIs" dxfId="214" priority="261" operator="greaterThan">
      <formula>1</formula>
    </cfRule>
  </conditionalFormatting>
  <conditionalFormatting sqref="K28">
    <cfRule type="cellIs" dxfId="213" priority="260" operator="greaterThan">
      <formula>1</formula>
    </cfRule>
  </conditionalFormatting>
  <conditionalFormatting sqref="L28">
    <cfRule type="cellIs" dxfId="212" priority="259" operator="greaterThan">
      <formula>1</formula>
    </cfRule>
  </conditionalFormatting>
  <conditionalFormatting sqref="L28">
    <cfRule type="cellIs" dxfId="211" priority="258" operator="greaterThan">
      <formula>1</formula>
    </cfRule>
  </conditionalFormatting>
  <conditionalFormatting sqref="O28">
    <cfRule type="cellIs" dxfId="210" priority="257" operator="greaterThan">
      <formula>1</formula>
    </cfRule>
  </conditionalFormatting>
  <conditionalFormatting sqref="O30">
    <cfRule type="cellIs" dxfId="209" priority="248" operator="greaterThan">
      <formula>1</formula>
    </cfRule>
  </conditionalFormatting>
  <conditionalFormatting sqref="N30">
    <cfRule type="cellIs" dxfId="208" priority="247" operator="greaterThan">
      <formula>1</formula>
    </cfRule>
  </conditionalFormatting>
  <conditionalFormatting sqref="N30">
    <cfRule type="cellIs" dxfId="207" priority="246" operator="greaterThan">
      <formula>1</formula>
    </cfRule>
  </conditionalFormatting>
  <conditionalFormatting sqref="M30">
    <cfRule type="cellIs" dxfId="206" priority="245" operator="greaterThan">
      <formula>1</formula>
    </cfRule>
  </conditionalFormatting>
  <conditionalFormatting sqref="M30">
    <cfRule type="cellIs" dxfId="205" priority="244" operator="greaterThan">
      <formula>1</formula>
    </cfRule>
  </conditionalFormatting>
  <conditionalFormatting sqref="L30">
    <cfRule type="cellIs" dxfId="204" priority="243" operator="greaterThan">
      <formula>1</formula>
    </cfRule>
  </conditionalFormatting>
  <conditionalFormatting sqref="L30">
    <cfRule type="cellIs" dxfId="203" priority="242" operator="greaterThan">
      <formula>1</formula>
    </cfRule>
  </conditionalFormatting>
  <conditionalFormatting sqref="K30">
    <cfRule type="cellIs" dxfId="202" priority="241" operator="greaterThan">
      <formula>1</formula>
    </cfRule>
  </conditionalFormatting>
  <conditionalFormatting sqref="K30">
    <cfRule type="cellIs" dxfId="201" priority="240" operator="greaterThan">
      <formula>1</formula>
    </cfRule>
  </conditionalFormatting>
  <conditionalFormatting sqref="J30">
    <cfRule type="cellIs" dxfId="200" priority="239" operator="greaterThan">
      <formula>1</formula>
    </cfRule>
  </conditionalFormatting>
  <conditionalFormatting sqref="J30">
    <cfRule type="cellIs" dxfId="199" priority="238" operator="greaterThan">
      <formula>1</formula>
    </cfRule>
  </conditionalFormatting>
  <conditionalFormatting sqref="H32">
    <cfRule type="cellIs" dxfId="198" priority="237" operator="greaterThan">
      <formula>1</formula>
    </cfRule>
  </conditionalFormatting>
  <conditionalFormatting sqref="H32">
    <cfRule type="cellIs" dxfId="197" priority="236" operator="greaterThan">
      <formula>1</formula>
    </cfRule>
  </conditionalFormatting>
  <conditionalFormatting sqref="K32">
    <cfRule type="cellIs" dxfId="196" priority="235" operator="greaterThan">
      <formula>1</formula>
    </cfRule>
  </conditionalFormatting>
  <conditionalFormatting sqref="K32">
    <cfRule type="cellIs" dxfId="195" priority="234" operator="greaterThan">
      <formula>1</formula>
    </cfRule>
  </conditionalFormatting>
  <conditionalFormatting sqref="L32">
    <cfRule type="cellIs" dxfId="194" priority="233" operator="greaterThan">
      <formula>1</formula>
    </cfRule>
  </conditionalFormatting>
  <conditionalFormatting sqref="L32">
    <cfRule type="cellIs" dxfId="193" priority="232" operator="greaterThan">
      <formula>1</formula>
    </cfRule>
  </conditionalFormatting>
  <conditionalFormatting sqref="M32">
    <cfRule type="cellIs" dxfId="192" priority="231" operator="greaterThan">
      <formula>1</formula>
    </cfRule>
  </conditionalFormatting>
  <conditionalFormatting sqref="M32">
    <cfRule type="cellIs" dxfId="191" priority="230" operator="greaterThan">
      <formula>1</formula>
    </cfRule>
  </conditionalFormatting>
  <conditionalFormatting sqref="N32">
    <cfRule type="cellIs" dxfId="190" priority="229" operator="greaterThan">
      <formula>1</formula>
    </cfRule>
  </conditionalFormatting>
  <conditionalFormatting sqref="N32">
    <cfRule type="cellIs" dxfId="189" priority="228" operator="greaterThan">
      <formula>1</formula>
    </cfRule>
  </conditionalFormatting>
  <conditionalFormatting sqref="O32">
    <cfRule type="cellIs" dxfId="188" priority="227" operator="greaterThan">
      <formula>1</formula>
    </cfRule>
  </conditionalFormatting>
  <conditionalFormatting sqref="O32">
    <cfRule type="cellIs" dxfId="187" priority="226" operator="greaterThan">
      <formula>1</formula>
    </cfRule>
  </conditionalFormatting>
  <conditionalFormatting sqref="R34">
    <cfRule type="cellIs" dxfId="186" priority="225" operator="greaterThan">
      <formula>1</formula>
    </cfRule>
  </conditionalFormatting>
  <conditionalFormatting sqref="R34">
    <cfRule type="cellIs" dxfId="185" priority="224" operator="greaterThan">
      <formula>1</formula>
    </cfRule>
  </conditionalFormatting>
  <conditionalFormatting sqref="Q34">
    <cfRule type="cellIs" dxfId="184" priority="223" operator="greaterThan">
      <formula>1</formula>
    </cfRule>
  </conditionalFormatting>
  <conditionalFormatting sqref="Q34">
    <cfRule type="cellIs" dxfId="183" priority="222" operator="greaterThan">
      <formula>1</formula>
    </cfRule>
  </conditionalFormatting>
  <conditionalFormatting sqref="P34">
    <cfRule type="cellIs" dxfId="182" priority="221" operator="greaterThan">
      <formula>1</formula>
    </cfRule>
  </conditionalFormatting>
  <conditionalFormatting sqref="P34">
    <cfRule type="cellIs" dxfId="181" priority="220" operator="greaterThan">
      <formula>1</formula>
    </cfRule>
  </conditionalFormatting>
  <conditionalFormatting sqref="M34">
    <cfRule type="cellIs" dxfId="180" priority="214" operator="greaterThan">
      <formula>1</formula>
    </cfRule>
  </conditionalFormatting>
  <conditionalFormatting sqref="L34">
    <cfRule type="cellIs" dxfId="179" priority="213" operator="greaterThan">
      <formula>1</formula>
    </cfRule>
  </conditionalFormatting>
  <conditionalFormatting sqref="L34">
    <cfRule type="cellIs" dxfId="178" priority="212" operator="greaterThan">
      <formula>1</formula>
    </cfRule>
  </conditionalFormatting>
  <conditionalFormatting sqref="M36">
    <cfRule type="cellIs" dxfId="177" priority="211" operator="greaterThan">
      <formula>1</formula>
    </cfRule>
  </conditionalFormatting>
  <conditionalFormatting sqref="M36">
    <cfRule type="cellIs" dxfId="176" priority="210" operator="greaterThan">
      <formula>1</formula>
    </cfRule>
  </conditionalFormatting>
  <conditionalFormatting sqref="N36">
    <cfRule type="cellIs" dxfId="175" priority="209" operator="greaterThan">
      <formula>1</formula>
    </cfRule>
  </conditionalFormatting>
  <conditionalFormatting sqref="N36">
    <cfRule type="cellIs" dxfId="174" priority="208" operator="greaterThan">
      <formula>1</formula>
    </cfRule>
  </conditionalFormatting>
  <conditionalFormatting sqref="O36">
    <cfRule type="cellIs" dxfId="173" priority="207" operator="greaterThan">
      <formula>1</formula>
    </cfRule>
  </conditionalFormatting>
  <conditionalFormatting sqref="O36">
    <cfRule type="cellIs" dxfId="172" priority="206" operator="greaterThan">
      <formula>1</formula>
    </cfRule>
  </conditionalFormatting>
  <conditionalFormatting sqref="P36">
    <cfRule type="cellIs" dxfId="171" priority="205" operator="greaterThan">
      <formula>1</formula>
    </cfRule>
  </conditionalFormatting>
  <conditionalFormatting sqref="P36">
    <cfRule type="cellIs" dxfId="170" priority="204" operator="greaterThan">
      <formula>1</formula>
    </cfRule>
  </conditionalFormatting>
  <conditionalFormatting sqref="Q36">
    <cfRule type="cellIs" dxfId="169" priority="203" operator="greaterThan">
      <formula>1</formula>
    </cfRule>
  </conditionalFormatting>
  <conditionalFormatting sqref="Q36">
    <cfRule type="cellIs" dxfId="168" priority="202" operator="greaterThan">
      <formula>1</formula>
    </cfRule>
  </conditionalFormatting>
  <conditionalFormatting sqref="R36">
    <cfRule type="cellIs" dxfId="167" priority="201" operator="greaterThan">
      <formula>1</formula>
    </cfRule>
  </conditionalFormatting>
  <conditionalFormatting sqref="R36">
    <cfRule type="cellIs" dxfId="166" priority="200" operator="greaterThan">
      <formula>1</formula>
    </cfRule>
  </conditionalFormatting>
  <conditionalFormatting sqref="Q38">
    <cfRule type="cellIs" dxfId="165" priority="199" operator="greaterThan">
      <formula>1</formula>
    </cfRule>
  </conditionalFormatting>
  <conditionalFormatting sqref="Q38">
    <cfRule type="cellIs" dxfId="164" priority="198" operator="greaterThan">
      <formula>1</formula>
    </cfRule>
  </conditionalFormatting>
  <conditionalFormatting sqref="M38">
    <cfRule type="cellIs" dxfId="163" priority="197" operator="greaterThan">
      <formula>1</formula>
    </cfRule>
  </conditionalFormatting>
  <conditionalFormatting sqref="M38">
    <cfRule type="cellIs" dxfId="162" priority="196" operator="greaterThan">
      <formula>1</formula>
    </cfRule>
  </conditionalFormatting>
  <conditionalFormatting sqref="G41">
    <cfRule type="cellIs" dxfId="161" priority="191" operator="greaterThan">
      <formula>1</formula>
    </cfRule>
  </conditionalFormatting>
  <conditionalFormatting sqref="G41">
    <cfRule type="cellIs" dxfId="160" priority="190" operator="greaterThan">
      <formula>1</formula>
    </cfRule>
  </conditionalFormatting>
  <conditionalFormatting sqref="H41">
    <cfRule type="cellIs" dxfId="159" priority="189" operator="greaterThan">
      <formula>1</formula>
    </cfRule>
  </conditionalFormatting>
  <conditionalFormatting sqref="H41">
    <cfRule type="cellIs" dxfId="158" priority="188" operator="greaterThan">
      <formula>1</formula>
    </cfRule>
  </conditionalFormatting>
  <conditionalFormatting sqref="I41">
    <cfRule type="cellIs" dxfId="157" priority="187" operator="greaterThan">
      <formula>1</formula>
    </cfRule>
  </conditionalFormatting>
  <conditionalFormatting sqref="I41">
    <cfRule type="cellIs" dxfId="156" priority="186" operator="greaterThan">
      <formula>1</formula>
    </cfRule>
  </conditionalFormatting>
  <conditionalFormatting sqref="J41">
    <cfRule type="cellIs" dxfId="155" priority="185" operator="greaterThan">
      <formula>1</formula>
    </cfRule>
  </conditionalFormatting>
  <conditionalFormatting sqref="J41">
    <cfRule type="cellIs" dxfId="154" priority="184" operator="greaterThan">
      <formula>1</formula>
    </cfRule>
  </conditionalFormatting>
  <conditionalFormatting sqref="F43">
    <cfRule type="cellIs" dxfId="153" priority="183" operator="greaterThan">
      <formula>1</formula>
    </cfRule>
  </conditionalFormatting>
  <conditionalFormatting sqref="F43">
    <cfRule type="cellIs" dxfId="152" priority="182" operator="greaterThan">
      <formula>1</formula>
    </cfRule>
  </conditionalFormatting>
  <conditionalFormatting sqref="F45">
    <cfRule type="cellIs" dxfId="151" priority="181" operator="greaterThan">
      <formula>1</formula>
    </cfRule>
  </conditionalFormatting>
  <conditionalFormatting sqref="F45">
    <cfRule type="cellIs" dxfId="150" priority="180" operator="greaterThan">
      <formula>1</formula>
    </cfRule>
  </conditionalFormatting>
  <conditionalFormatting sqref="G45">
    <cfRule type="cellIs" dxfId="149" priority="179" operator="greaterThan">
      <formula>1</formula>
    </cfRule>
  </conditionalFormatting>
  <conditionalFormatting sqref="G45">
    <cfRule type="cellIs" dxfId="148" priority="178" operator="greaterThan">
      <formula>1</formula>
    </cfRule>
  </conditionalFormatting>
  <conditionalFormatting sqref="H45">
    <cfRule type="cellIs" dxfId="147" priority="177" operator="greaterThan">
      <formula>1</formula>
    </cfRule>
  </conditionalFormatting>
  <conditionalFormatting sqref="H45">
    <cfRule type="cellIs" dxfId="146" priority="176" operator="greaterThan">
      <formula>1</formula>
    </cfRule>
  </conditionalFormatting>
  <conditionalFormatting sqref="I45">
    <cfRule type="cellIs" dxfId="145" priority="175" operator="greaterThan">
      <formula>1</formula>
    </cfRule>
  </conditionalFormatting>
  <conditionalFormatting sqref="I45">
    <cfRule type="cellIs" dxfId="144" priority="174" operator="greaterThan">
      <formula>1</formula>
    </cfRule>
  </conditionalFormatting>
  <conditionalFormatting sqref="L52">
    <cfRule type="cellIs" dxfId="143" priority="158" operator="greaterThan">
      <formula>1</formula>
    </cfRule>
  </conditionalFormatting>
  <conditionalFormatting sqref="M54">
    <cfRule type="cellIs" dxfId="142" priority="157" operator="greaterThan">
      <formula>1</formula>
    </cfRule>
  </conditionalFormatting>
  <conditionalFormatting sqref="N54">
    <cfRule type="cellIs" dxfId="141" priority="154" operator="greaterThan">
      <formula>1</formula>
    </cfRule>
  </conditionalFormatting>
  <conditionalFormatting sqref="O54">
    <cfRule type="cellIs" dxfId="140" priority="153" operator="greaterThan">
      <formula>1</formula>
    </cfRule>
  </conditionalFormatting>
  <conditionalFormatting sqref="P54">
    <cfRule type="cellIs" dxfId="139" priority="150" operator="greaterThan">
      <formula>1</formula>
    </cfRule>
  </conditionalFormatting>
  <conditionalFormatting sqref="Q54">
    <cfRule type="cellIs" dxfId="138" priority="149" operator="greaterThan">
      <formula>1</formula>
    </cfRule>
  </conditionalFormatting>
  <conditionalFormatting sqref="R54">
    <cfRule type="cellIs" dxfId="137" priority="146" operator="greaterThan">
      <formula>1</formula>
    </cfRule>
  </conditionalFormatting>
  <conditionalFormatting sqref="O56">
    <cfRule type="cellIs" dxfId="136" priority="145" operator="greaterThan">
      <formula>1</formula>
    </cfRule>
  </conditionalFormatting>
  <conditionalFormatting sqref="L56">
    <cfRule type="cellIs" dxfId="135" priority="138" operator="greaterThan">
      <formula>1</formula>
    </cfRule>
  </conditionalFormatting>
  <conditionalFormatting sqref="M58">
    <cfRule type="cellIs" dxfId="134" priority="137" operator="greaterThan">
      <formula>1</formula>
    </cfRule>
  </conditionalFormatting>
  <conditionalFormatting sqref="N58">
    <cfRule type="cellIs" dxfId="133" priority="134" operator="greaterThan">
      <formula>1</formula>
    </cfRule>
  </conditionalFormatting>
  <conditionalFormatting sqref="O58">
    <cfRule type="cellIs" dxfId="132" priority="133" operator="greaterThan">
      <formula>1</formula>
    </cfRule>
  </conditionalFormatting>
  <conditionalFormatting sqref="O58">
    <cfRule type="cellIs" dxfId="131" priority="132" operator="greaterThan">
      <formula>1</formula>
    </cfRule>
  </conditionalFormatting>
  <conditionalFormatting sqref="M60">
    <cfRule type="cellIs" dxfId="130" priority="131" operator="greaterThan">
      <formula>1</formula>
    </cfRule>
  </conditionalFormatting>
  <conditionalFormatting sqref="M60">
    <cfRule type="cellIs" dxfId="129" priority="130" operator="greaterThan">
      <formula>1</formula>
    </cfRule>
  </conditionalFormatting>
  <conditionalFormatting sqref="E15:R15">
    <cfRule type="cellIs" dxfId="128" priority="129" operator="greaterThan">
      <formula>1</formula>
    </cfRule>
  </conditionalFormatting>
  <conditionalFormatting sqref="E15:R15">
    <cfRule type="cellIs" dxfId="127" priority="128" operator="greaterThan">
      <formula>1</formula>
    </cfRule>
  </conditionalFormatting>
  <conditionalFormatting sqref="E21:R21">
    <cfRule type="cellIs" dxfId="126" priority="127" operator="greaterThan">
      <formula>1</formula>
    </cfRule>
  </conditionalFormatting>
  <conditionalFormatting sqref="E1:R12 E14:R1048576 E13:Q13">
    <cfRule type="cellIs" dxfId="42" priority="125" operator="equal">
      <formula>0</formula>
    </cfRule>
  </conditionalFormatting>
  <conditionalFormatting sqref="E17:R17">
    <cfRule type="cellIs" dxfId="125" priority="124" operator="greaterThan">
      <formula>1</formula>
    </cfRule>
  </conditionalFormatting>
  <conditionalFormatting sqref="E17:R17">
    <cfRule type="cellIs" dxfId="124" priority="123" operator="greaterThan">
      <formula>1</formula>
    </cfRule>
  </conditionalFormatting>
  <conditionalFormatting sqref="E19:R19">
    <cfRule type="cellIs" dxfId="123" priority="122" operator="greaterThan">
      <formula>1</formula>
    </cfRule>
  </conditionalFormatting>
  <conditionalFormatting sqref="E19:R19">
    <cfRule type="cellIs" dxfId="122" priority="121" operator="greaterThan">
      <formula>1</formula>
    </cfRule>
  </conditionalFormatting>
  <conditionalFormatting sqref="E21:R21">
    <cfRule type="cellIs" dxfId="121" priority="120" operator="greaterThan">
      <formula>1</formula>
    </cfRule>
  </conditionalFormatting>
  <conditionalFormatting sqref="E21:R21">
    <cfRule type="cellIs" dxfId="120" priority="119" operator="greaterThan">
      <formula>1</formula>
    </cfRule>
  </conditionalFormatting>
  <conditionalFormatting sqref="E24:R24">
    <cfRule type="cellIs" dxfId="119" priority="118" operator="greaterThan">
      <formula>1</formula>
    </cfRule>
  </conditionalFormatting>
  <conditionalFormatting sqref="E24:R24">
    <cfRule type="cellIs" dxfId="118" priority="117" operator="greaterThan">
      <formula>1</formula>
    </cfRule>
  </conditionalFormatting>
  <conditionalFormatting sqref="E26:R26">
    <cfRule type="cellIs" dxfId="117" priority="116" operator="greaterThan">
      <formula>1</formula>
    </cfRule>
  </conditionalFormatting>
  <conditionalFormatting sqref="E26:R26">
    <cfRule type="cellIs" dxfId="116" priority="115" operator="greaterThan">
      <formula>1</formula>
    </cfRule>
  </conditionalFormatting>
  <conditionalFormatting sqref="E28:R28">
    <cfRule type="cellIs" dxfId="115" priority="114" operator="greaterThan">
      <formula>1</formula>
    </cfRule>
  </conditionalFormatting>
  <conditionalFormatting sqref="E28:R28">
    <cfRule type="cellIs" dxfId="114" priority="113" operator="greaterThan">
      <formula>1</formula>
    </cfRule>
  </conditionalFormatting>
  <conditionalFormatting sqref="E30:R30">
    <cfRule type="cellIs" dxfId="113" priority="112" operator="greaterThan">
      <formula>1</formula>
    </cfRule>
  </conditionalFormatting>
  <conditionalFormatting sqref="E30:R30">
    <cfRule type="cellIs" dxfId="112" priority="111" operator="greaterThan">
      <formula>1</formula>
    </cfRule>
  </conditionalFormatting>
  <conditionalFormatting sqref="E32:R32">
    <cfRule type="cellIs" dxfId="111" priority="110" operator="greaterThan">
      <formula>1</formula>
    </cfRule>
  </conditionalFormatting>
  <conditionalFormatting sqref="E32:R32">
    <cfRule type="cellIs" dxfId="110" priority="109" operator="greaterThan">
      <formula>1</formula>
    </cfRule>
  </conditionalFormatting>
  <conditionalFormatting sqref="E34:R34">
    <cfRule type="cellIs" dxfId="109" priority="108" operator="greaterThan">
      <formula>1</formula>
    </cfRule>
  </conditionalFormatting>
  <conditionalFormatting sqref="E34:R34">
    <cfRule type="cellIs" dxfId="108" priority="107" operator="greaterThan">
      <formula>1</formula>
    </cfRule>
  </conditionalFormatting>
  <conditionalFormatting sqref="E36:R36">
    <cfRule type="cellIs" dxfId="107" priority="106" operator="greaterThan">
      <formula>1</formula>
    </cfRule>
  </conditionalFormatting>
  <conditionalFormatting sqref="E36:R36">
    <cfRule type="cellIs" dxfId="106" priority="105" operator="greaterThan">
      <formula>1</formula>
    </cfRule>
  </conditionalFormatting>
  <conditionalFormatting sqref="E38:R38">
    <cfRule type="cellIs" dxfId="105" priority="104" operator="greaterThan">
      <formula>1</formula>
    </cfRule>
  </conditionalFormatting>
  <conditionalFormatting sqref="E38:R38">
    <cfRule type="cellIs" dxfId="104" priority="103" operator="greaterThan">
      <formula>1</formula>
    </cfRule>
  </conditionalFormatting>
  <conditionalFormatting sqref="E41:R41">
    <cfRule type="cellIs" dxfId="103" priority="102" operator="greaterThan">
      <formula>1</formula>
    </cfRule>
  </conditionalFormatting>
  <conditionalFormatting sqref="E41:R41">
    <cfRule type="cellIs" dxfId="102" priority="101" operator="greaterThan">
      <formula>1</formula>
    </cfRule>
  </conditionalFormatting>
  <conditionalFormatting sqref="E43:R43">
    <cfRule type="cellIs" dxfId="101" priority="100" operator="greaterThan">
      <formula>1</formula>
    </cfRule>
  </conditionalFormatting>
  <conditionalFormatting sqref="E43:R43">
    <cfRule type="cellIs" dxfId="100" priority="99" operator="greaterThan">
      <formula>1</formula>
    </cfRule>
  </conditionalFormatting>
  <conditionalFormatting sqref="E45:R45">
    <cfRule type="cellIs" dxfId="99" priority="98" operator="greaterThan">
      <formula>1</formula>
    </cfRule>
  </conditionalFormatting>
  <conditionalFormatting sqref="E45:R45">
    <cfRule type="cellIs" dxfId="98" priority="97" operator="greaterThan">
      <formula>1</formula>
    </cfRule>
  </conditionalFormatting>
  <conditionalFormatting sqref="E52:R52">
    <cfRule type="cellIs" dxfId="97" priority="96" operator="greaterThan">
      <formula>1</formula>
    </cfRule>
  </conditionalFormatting>
  <conditionalFormatting sqref="E52:R52">
    <cfRule type="cellIs" dxfId="96" priority="95" operator="greaterThan">
      <formula>1</formula>
    </cfRule>
  </conditionalFormatting>
  <conditionalFormatting sqref="E54:R54">
    <cfRule type="cellIs" dxfId="95" priority="94" operator="greaterThan">
      <formula>1</formula>
    </cfRule>
  </conditionalFormatting>
  <conditionalFormatting sqref="E54:R54">
    <cfRule type="cellIs" dxfId="94" priority="93" operator="greaterThan">
      <formula>1</formula>
    </cfRule>
  </conditionalFormatting>
  <conditionalFormatting sqref="E56:R56">
    <cfRule type="cellIs" dxfId="93" priority="92" operator="greaterThan">
      <formula>1</formula>
    </cfRule>
  </conditionalFormatting>
  <conditionalFormatting sqref="E56:R56">
    <cfRule type="cellIs" dxfId="92" priority="91" operator="greaterThan">
      <formula>1</formula>
    </cfRule>
  </conditionalFormatting>
  <conditionalFormatting sqref="E58:R58">
    <cfRule type="cellIs" dxfId="91" priority="90" operator="greaterThan">
      <formula>1</formula>
    </cfRule>
  </conditionalFormatting>
  <conditionalFormatting sqref="E58:R58">
    <cfRule type="cellIs" dxfId="90" priority="89" operator="greaterThan">
      <formula>1</formula>
    </cfRule>
  </conditionalFormatting>
  <conditionalFormatting sqref="E60:R60">
    <cfRule type="cellIs" dxfId="89" priority="88" operator="greaterThan">
      <formula>1</formula>
    </cfRule>
  </conditionalFormatting>
  <conditionalFormatting sqref="E60:R60">
    <cfRule type="cellIs" dxfId="88" priority="87" operator="greaterThan">
      <formula>1</formula>
    </cfRule>
  </conditionalFormatting>
  <conditionalFormatting sqref="P47">
    <cfRule type="cellIs" dxfId="87" priority="79" operator="greaterThan">
      <formula>1</formula>
    </cfRule>
  </conditionalFormatting>
  <conditionalFormatting sqref="Q47">
    <cfRule type="cellIs" dxfId="86" priority="78" operator="greaterThan">
      <formula>1</formula>
    </cfRule>
  </conditionalFormatting>
  <conditionalFormatting sqref="R47">
    <cfRule type="cellIs" dxfId="85" priority="77" operator="greaterThan">
      <formula>1</formula>
    </cfRule>
  </conditionalFormatting>
  <conditionalFormatting sqref="L47">
    <cfRule type="cellIs" dxfId="84" priority="83" operator="greaterThan">
      <formula>1</formula>
    </cfRule>
  </conditionalFormatting>
  <conditionalFormatting sqref="M47">
    <cfRule type="cellIs" dxfId="83" priority="82" operator="greaterThan">
      <formula>1</formula>
    </cfRule>
  </conditionalFormatting>
  <conditionalFormatting sqref="N47">
    <cfRule type="cellIs" dxfId="82" priority="81" operator="greaterThan">
      <formula>1</formula>
    </cfRule>
  </conditionalFormatting>
  <conditionalFormatting sqref="O47">
    <cfRule type="cellIs" dxfId="81" priority="80" operator="greaterThan">
      <formula>1</formula>
    </cfRule>
  </conditionalFormatting>
  <conditionalFormatting sqref="K47">
    <cfRule type="cellIs" dxfId="80" priority="84" operator="greaterThan">
      <formula>1</formula>
    </cfRule>
  </conditionalFormatting>
  <conditionalFormatting sqref="E47 K47:R47">
    <cfRule type="cellIs" dxfId="79" priority="86" operator="greaterThan">
      <formula>1</formula>
    </cfRule>
  </conditionalFormatting>
  <conditionalFormatting sqref="E47 K47:R47">
    <cfRule type="cellIs" dxfId="78" priority="85" operator="greaterThan">
      <formula>1</formula>
    </cfRule>
  </conditionalFormatting>
  <conditionalFormatting sqref="J47">
    <cfRule type="cellIs" dxfId="77" priority="68" operator="greaterThan">
      <formula>1</formula>
    </cfRule>
  </conditionalFormatting>
  <conditionalFormatting sqref="J47">
    <cfRule type="cellIs" dxfId="76" priority="67" operator="greaterThan">
      <formula>1</formula>
    </cfRule>
  </conditionalFormatting>
  <conditionalFormatting sqref="F47">
    <cfRule type="cellIs" dxfId="75" priority="76" operator="greaterThan">
      <formula>1</formula>
    </cfRule>
  </conditionalFormatting>
  <conditionalFormatting sqref="F47">
    <cfRule type="cellIs" dxfId="74" priority="75" operator="greaterThan">
      <formula>1</formula>
    </cfRule>
  </conditionalFormatting>
  <conditionalFormatting sqref="G47">
    <cfRule type="cellIs" dxfId="73" priority="74" operator="greaterThan">
      <formula>1</formula>
    </cfRule>
  </conditionalFormatting>
  <conditionalFormatting sqref="G47">
    <cfRule type="cellIs" dxfId="72" priority="73" operator="greaterThan">
      <formula>1</formula>
    </cfRule>
  </conditionalFormatting>
  <conditionalFormatting sqref="H47">
    <cfRule type="cellIs" dxfId="71" priority="72" operator="greaterThan">
      <formula>1</formula>
    </cfRule>
  </conditionalFormatting>
  <conditionalFormatting sqref="H47">
    <cfRule type="cellIs" dxfId="70" priority="71" operator="greaterThan">
      <formula>1</formula>
    </cfRule>
  </conditionalFormatting>
  <conditionalFormatting sqref="I47">
    <cfRule type="cellIs" dxfId="69" priority="70" operator="greaterThan">
      <formula>1</formula>
    </cfRule>
  </conditionalFormatting>
  <conditionalFormatting sqref="I47">
    <cfRule type="cellIs" dxfId="68" priority="69" operator="greaterThan">
      <formula>1</formula>
    </cfRule>
  </conditionalFormatting>
  <conditionalFormatting sqref="E47:R47">
    <cfRule type="cellIs" dxfId="67" priority="66" operator="greaterThan">
      <formula>1</formula>
    </cfRule>
  </conditionalFormatting>
  <conditionalFormatting sqref="E47:R47">
    <cfRule type="cellIs" dxfId="66" priority="65" operator="greaterThan">
      <formula>1</formula>
    </cfRule>
  </conditionalFormatting>
  <conditionalFormatting sqref="P49">
    <cfRule type="cellIs" dxfId="65" priority="57" operator="greaterThan">
      <formula>1</formula>
    </cfRule>
  </conditionalFormatting>
  <conditionalFormatting sqref="Q49">
    <cfRule type="cellIs" dxfId="64" priority="56" operator="greaterThan">
      <formula>1</formula>
    </cfRule>
  </conditionalFormatting>
  <conditionalFormatting sqref="R49">
    <cfRule type="cellIs" dxfId="63" priority="55" operator="greaterThan">
      <formula>1</formula>
    </cfRule>
  </conditionalFormatting>
  <conditionalFormatting sqref="L49">
    <cfRule type="cellIs" dxfId="62" priority="61" operator="greaterThan">
      <formula>1</formula>
    </cfRule>
  </conditionalFormatting>
  <conditionalFormatting sqref="M49">
    <cfRule type="cellIs" dxfId="61" priority="60" operator="greaterThan">
      <formula>1</formula>
    </cfRule>
  </conditionalFormatting>
  <conditionalFormatting sqref="N49">
    <cfRule type="cellIs" dxfId="60" priority="59" operator="greaterThan">
      <formula>1</formula>
    </cfRule>
  </conditionalFormatting>
  <conditionalFormatting sqref="O49">
    <cfRule type="cellIs" dxfId="59" priority="58" operator="greaterThan">
      <formula>1</formula>
    </cfRule>
  </conditionalFormatting>
  <conditionalFormatting sqref="K49">
    <cfRule type="cellIs" dxfId="58" priority="62" operator="greaterThan">
      <formula>1</formula>
    </cfRule>
  </conditionalFormatting>
  <conditionalFormatting sqref="E49 K49:R49">
    <cfRule type="cellIs" dxfId="57" priority="64" operator="greaterThan">
      <formula>1</formula>
    </cfRule>
  </conditionalFormatting>
  <conditionalFormatting sqref="E49 K49:R49">
    <cfRule type="cellIs" dxfId="56" priority="63" operator="greaterThan">
      <formula>1</formula>
    </cfRule>
  </conditionalFormatting>
  <conditionalFormatting sqref="J49">
    <cfRule type="cellIs" dxfId="55" priority="46" operator="greaterThan">
      <formula>1</formula>
    </cfRule>
  </conditionalFormatting>
  <conditionalFormatting sqref="J49">
    <cfRule type="cellIs" dxfId="54" priority="45" operator="greaterThan">
      <formula>1</formula>
    </cfRule>
  </conditionalFormatting>
  <conditionalFormatting sqref="F49">
    <cfRule type="cellIs" dxfId="53" priority="54" operator="greaterThan">
      <formula>1</formula>
    </cfRule>
  </conditionalFormatting>
  <conditionalFormatting sqref="F49">
    <cfRule type="cellIs" dxfId="52" priority="53" operator="greaterThan">
      <formula>1</formula>
    </cfRule>
  </conditionalFormatting>
  <conditionalFormatting sqref="G49">
    <cfRule type="cellIs" dxfId="51" priority="52" operator="greaterThan">
      <formula>1</formula>
    </cfRule>
  </conditionalFormatting>
  <conditionalFormatting sqref="G49">
    <cfRule type="cellIs" dxfId="50" priority="51" operator="greaterThan">
      <formula>1</formula>
    </cfRule>
  </conditionalFormatting>
  <conditionalFormatting sqref="H49">
    <cfRule type="cellIs" dxfId="49" priority="50" operator="greaterThan">
      <formula>1</formula>
    </cfRule>
  </conditionalFormatting>
  <conditionalFormatting sqref="H49">
    <cfRule type="cellIs" dxfId="48" priority="49" operator="greaterThan">
      <formula>1</formula>
    </cfRule>
  </conditionalFormatting>
  <conditionalFormatting sqref="I49">
    <cfRule type="cellIs" dxfId="47" priority="48" operator="greaterThan">
      <formula>1</formula>
    </cfRule>
  </conditionalFormatting>
  <conditionalFormatting sqref="I49">
    <cfRule type="cellIs" dxfId="46" priority="47" operator="greaterThan">
      <formula>1</formula>
    </cfRule>
  </conditionalFormatting>
  <conditionalFormatting sqref="E49:R49">
    <cfRule type="cellIs" dxfId="45" priority="44" operator="greaterThan">
      <formula>1</formula>
    </cfRule>
  </conditionalFormatting>
  <conditionalFormatting sqref="E49:R49">
    <cfRule type="cellIs" dxfId="44" priority="43" operator="greaterThan">
      <formula>1</formula>
    </cfRule>
  </conditionalFormatting>
  <conditionalFormatting sqref="E17:R17">
    <cfRule type="cellIs" dxfId="41" priority="42" operator="greaterThan">
      <formula>1</formula>
    </cfRule>
  </conditionalFormatting>
  <conditionalFormatting sqref="E17:R17">
    <cfRule type="cellIs" dxfId="40" priority="41" operator="greaterThan">
      <formula>1</formula>
    </cfRule>
  </conditionalFormatting>
  <conditionalFormatting sqref="E21:R21">
    <cfRule type="cellIs" dxfId="39" priority="40" operator="greaterThan">
      <formula>1</formula>
    </cfRule>
  </conditionalFormatting>
  <conditionalFormatting sqref="E21:R21">
    <cfRule type="cellIs" dxfId="38" priority="39" operator="greaterThan">
      <formula>1</formula>
    </cfRule>
  </conditionalFormatting>
  <conditionalFormatting sqref="E24:R24">
    <cfRule type="cellIs" dxfId="37" priority="38" operator="greaterThan">
      <formula>1</formula>
    </cfRule>
  </conditionalFormatting>
  <conditionalFormatting sqref="E24:R24">
    <cfRule type="cellIs" dxfId="36" priority="37" operator="greaterThan">
      <formula>1</formula>
    </cfRule>
  </conditionalFormatting>
  <conditionalFormatting sqref="E26:R26">
    <cfRule type="cellIs" dxfId="35" priority="36" operator="greaterThan">
      <formula>1</formula>
    </cfRule>
  </conditionalFormatting>
  <conditionalFormatting sqref="E26:R26">
    <cfRule type="cellIs" dxfId="34" priority="35" operator="greaterThan">
      <formula>1</formula>
    </cfRule>
  </conditionalFormatting>
  <conditionalFormatting sqref="E28:R28">
    <cfRule type="cellIs" dxfId="33" priority="34" operator="greaterThan">
      <formula>1</formula>
    </cfRule>
  </conditionalFormatting>
  <conditionalFormatting sqref="E28:R28">
    <cfRule type="cellIs" dxfId="32" priority="33" operator="greaterThan">
      <formula>1</formula>
    </cfRule>
  </conditionalFormatting>
  <conditionalFormatting sqref="E30:R30">
    <cfRule type="cellIs" dxfId="31" priority="32" operator="greaterThan">
      <formula>1</formula>
    </cfRule>
  </conditionalFormatting>
  <conditionalFormatting sqref="E30:R30">
    <cfRule type="cellIs" dxfId="30" priority="31" operator="greaterThan">
      <formula>1</formula>
    </cfRule>
  </conditionalFormatting>
  <conditionalFormatting sqref="E32:R32">
    <cfRule type="cellIs" dxfId="29" priority="30" operator="greaterThan">
      <formula>1</formula>
    </cfRule>
  </conditionalFormatting>
  <conditionalFormatting sqref="E32:R32">
    <cfRule type="cellIs" dxfId="28" priority="29" operator="greaterThan">
      <formula>1</formula>
    </cfRule>
  </conditionalFormatting>
  <conditionalFormatting sqref="E34:R34">
    <cfRule type="cellIs" dxfId="27" priority="28" operator="greaterThan">
      <formula>1</formula>
    </cfRule>
  </conditionalFormatting>
  <conditionalFormatting sqref="E34:R34">
    <cfRule type="cellIs" dxfId="26" priority="27" operator="greaterThan">
      <formula>1</formula>
    </cfRule>
  </conditionalFormatting>
  <conditionalFormatting sqref="E36:R36">
    <cfRule type="cellIs" dxfId="25" priority="26" operator="greaterThan">
      <formula>1</formula>
    </cfRule>
  </conditionalFormatting>
  <conditionalFormatting sqref="E36:R36">
    <cfRule type="cellIs" dxfId="24" priority="25" operator="greaterThan">
      <formula>1</formula>
    </cfRule>
  </conditionalFormatting>
  <conditionalFormatting sqref="E38:R38">
    <cfRule type="cellIs" dxfId="23" priority="24" operator="greaterThan">
      <formula>1</formula>
    </cfRule>
  </conditionalFormatting>
  <conditionalFormatting sqref="E38:R38">
    <cfRule type="cellIs" dxfId="22" priority="23" operator="greaterThan">
      <formula>1</formula>
    </cfRule>
  </conditionalFormatting>
  <conditionalFormatting sqref="E41:R41">
    <cfRule type="cellIs" dxfId="21" priority="22" operator="greaterThan">
      <formula>1</formula>
    </cfRule>
  </conditionalFormatting>
  <conditionalFormatting sqref="E41:R41">
    <cfRule type="cellIs" dxfId="20" priority="21" operator="greaterThan">
      <formula>1</formula>
    </cfRule>
  </conditionalFormatting>
  <conditionalFormatting sqref="E43:R43">
    <cfRule type="cellIs" dxfId="19" priority="20" operator="greaterThan">
      <formula>1</formula>
    </cfRule>
  </conditionalFormatting>
  <conditionalFormatting sqref="E43:R43">
    <cfRule type="cellIs" dxfId="18" priority="19" operator="greaterThan">
      <formula>1</formula>
    </cfRule>
  </conditionalFormatting>
  <conditionalFormatting sqref="E45:R45">
    <cfRule type="cellIs" dxfId="17" priority="18" operator="greaterThan">
      <formula>1</formula>
    </cfRule>
  </conditionalFormatting>
  <conditionalFormatting sqref="E45:R45">
    <cfRule type="cellIs" dxfId="16" priority="17" operator="greaterThan">
      <formula>1</formula>
    </cfRule>
  </conditionalFormatting>
  <conditionalFormatting sqref="E47:R47">
    <cfRule type="cellIs" dxfId="15" priority="16" operator="greaterThan">
      <formula>1</formula>
    </cfRule>
  </conditionalFormatting>
  <conditionalFormatting sqref="E47:R47">
    <cfRule type="cellIs" dxfId="14" priority="15" operator="greaterThan">
      <formula>1</formula>
    </cfRule>
  </conditionalFormatting>
  <conditionalFormatting sqref="E49:R49">
    <cfRule type="cellIs" dxfId="13" priority="14" operator="greaterThan">
      <formula>1</formula>
    </cfRule>
  </conditionalFormatting>
  <conditionalFormatting sqref="E49:R49">
    <cfRule type="cellIs" dxfId="12" priority="13" operator="greaterThan">
      <formula>1</formula>
    </cfRule>
  </conditionalFormatting>
  <conditionalFormatting sqref="E52:R52">
    <cfRule type="cellIs" dxfId="11" priority="12" operator="greaterThan">
      <formula>1</formula>
    </cfRule>
  </conditionalFormatting>
  <conditionalFormatting sqref="E52:R52">
    <cfRule type="cellIs" dxfId="10" priority="11" operator="greaterThan">
      <formula>1</formula>
    </cfRule>
  </conditionalFormatting>
  <conditionalFormatting sqref="E54:R54">
    <cfRule type="cellIs" dxfId="9" priority="10" operator="greaterThan">
      <formula>1</formula>
    </cfRule>
  </conditionalFormatting>
  <conditionalFormatting sqref="E54:R54">
    <cfRule type="cellIs" dxfId="8" priority="9" operator="greaterThan">
      <formula>1</formula>
    </cfRule>
  </conditionalFormatting>
  <conditionalFormatting sqref="E56:R56">
    <cfRule type="cellIs" dxfId="7" priority="8" operator="greaterThan">
      <formula>1</formula>
    </cfRule>
  </conditionalFormatting>
  <conditionalFormatting sqref="E56:R56">
    <cfRule type="cellIs" dxfId="6" priority="7" operator="greaterThan">
      <formula>1</formula>
    </cfRule>
  </conditionalFormatting>
  <conditionalFormatting sqref="E58:R58">
    <cfRule type="cellIs" dxfId="5" priority="6" operator="greaterThan">
      <formula>1</formula>
    </cfRule>
  </conditionalFormatting>
  <conditionalFormatting sqref="E58:R58">
    <cfRule type="cellIs" dxfId="4" priority="5" operator="greaterThan">
      <formula>1</formula>
    </cfRule>
  </conditionalFormatting>
  <conditionalFormatting sqref="E60:R60">
    <cfRule type="cellIs" dxfId="3" priority="4" operator="greaterThan">
      <formula>1</formula>
    </cfRule>
  </conditionalFormatting>
  <conditionalFormatting sqref="E60:R60">
    <cfRule type="cellIs" dxfId="2" priority="3" operator="greaterThan">
      <formula>1</formula>
    </cfRule>
  </conditionalFormatting>
  <conditionalFormatting sqref="E60:R60">
    <cfRule type="cellIs" dxfId="1" priority="2" operator="greaterThan">
      <formula>1</formula>
    </cfRule>
  </conditionalFormatting>
  <conditionalFormatting sqref="E60:R60">
    <cfRule type="cellIs" dxfId="0" priority="1" operator="greaterThan">
      <formula>1</formula>
    </cfRule>
  </conditionalFormatting>
  <printOptions horizontalCentered="1" verticalCentered="1"/>
  <pageMargins left="0.39370078740157483" right="0.39370078740157483" top="0.19685039370078741" bottom="0.39370078740157483" header="0.19685039370078741" footer="0"/>
  <pageSetup paperSize="8" scale="57" firstPageNumber="156" orientation="landscape" useFirstPageNumber="1" r:id="rId1"/>
  <headerFooter>
    <oddHeader>&amp;LVEGA CONSTRUTORA E INCORPORAÇÕES LTDA&amp;RCNPJ: 02.342.988/0001-00</oddHeader>
    <oddFooter>Página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4">
    <tabColor theme="9"/>
    <pageSetUpPr fitToPage="1"/>
  </sheetPr>
  <dimension ref="A1:AE750"/>
  <sheetViews>
    <sheetView view="pageLayout" topLeftCell="A33" zoomScale="90" zoomScaleNormal="100" zoomScaleSheetLayoutView="100" zoomScalePageLayoutView="90" workbookViewId="0">
      <selection activeCell="E25" sqref="E25"/>
    </sheetView>
  </sheetViews>
  <sheetFormatPr defaultRowHeight="12.75"/>
  <cols>
    <col min="1" max="1" width="11.85546875" style="8" customWidth="1"/>
    <col min="2" max="2" width="75.85546875" style="9" customWidth="1"/>
    <col min="3" max="3" width="15" style="436" customWidth="1"/>
    <col min="4" max="5" width="13.28515625" style="2" hidden="1" customWidth="1"/>
    <col min="6" max="6" width="12.28515625" style="547" customWidth="1"/>
    <col min="7" max="7" width="15" style="547" customWidth="1"/>
    <col min="8" max="16384" width="9.140625" style="4"/>
  </cols>
  <sheetData>
    <row r="1" spans="1:7" ht="15">
      <c r="A1" s="140"/>
      <c r="B1" s="39"/>
      <c r="C1" s="429"/>
      <c r="D1" s="141"/>
      <c r="E1" s="141"/>
      <c r="F1" s="73"/>
      <c r="G1" s="73"/>
    </row>
    <row r="2" spans="1:7" ht="15">
      <c r="A2" s="685" t="s">
        <v>35</v>
      </c>
      <c r="B2" s="685"/>
      <c r="C2" s="685"/>
      <c r="D2" s="685"/>
      <c r="E2" s="685"/>
      <c r="F2" s="685"/>
      <c r="G2" s="685"/>
    </row>
    <row r="3" spans="1:7" ht="15">
      <c r="A3" s="685" t="s">
        <v>36</v>
      </c>
      <c r="B3" s="685"/>
      <c r="C3" s="685"/>
      <c r="D3" s="685"/>
      <c r="E3" s="685"/>
      <c r="F3" s="685"/>
      <c r="G3" s="685"/>
    </row>
    <row r="4" spans="1:7" ht="15">
      <c r="A4" s="685" t="s">
        <v>5924</v>
      </c>
      <c r="B4" s="685"/>
      <c r="C4" s="685"/>
      <c r="D4" s="685"/>
      <c r="E4" s="685"/>
      <c r="F4" s="685"/>
      <c r="G4" s="685"/>
    </row>
    <row r="5" spans="1:7" ht="15">
      <c r="A5" s="33"/>
      <c r="B5" s="34" t="s">
        <v>29</v>
      </c>
      <c r="C5" s="428"/>
      <c r="D5" s="41"/>
      <c r="E5" s="41"/>
      <c r="F5" s="70"/>
      <c r="G5" s="70"/>
    </row>
    <row r="6" spans="1:7" ht="15">
      <c r="A6" s="33"/>
      <c r="B6" s="34"/>
      <c r="C6" s="429"/>
      <c r="D6" s="141"/>
      <c r="E6" s="141"/>
      <c r="F6" s="73"/>
      <c r="G6" s="73"/>
    </row>
    <row r="7" spans="1:7" ht="21">
      <c r="A7" s="689" t="s">
        <v>15494</v>
      </c>
      <c r="B7" s="689"/>
      <c r="C7" s="689"/>
      <c r="D7" s="689"/>
      <c r="E7" s="689"/>
      <c r="F7" s="689"/>
      <c r="G7" s="689"/>
    </row>
    <row r="8" spans="1:7" ht="15">
      <c r="A8" s="33"/>
      <c r="B8" s="34"/>
      <c r="C8" s="428"/>
      <c r="D8" s="41"/>
      <c r="E8" s="41"/>
      <c r="F8" s="70"/>
      <c r="G8" s="70"/>
    </row>
    <row r="9" spans="1:7" ht="15">
      <c r="A9" s="43" t="s">
        <v>5251</v>
      </c>
      <c r="B9" s="71" t="s">
        <v>9600</v>
      </c>
      <c r="C9" s="71"/>
      <c r="D9" s="71"/>
      <c r="E9" s="71"/>
      <c r="F9" s="545"/>
      <c r="G9" s="545"/>
    </row>
    <row r="10" spans="1:7" ht="15">
      <c r="A10" s="43" t="s">
        <v>131</v>
      </c>
      <c r="B10" s="71" t="s">
        <v>7854</v>
      </c>
      <c r="C10" s="71"/>
      <c r="D10" s="71"/>
      <c r="E10" s="71"/>
      <c r="F10" s="545"/>
      <c r="G10" s="545"/>
    </row>
    <row r="11" spans="1:7" ht="15">
      <c r="A11" s="43" t="s">
        <v>5252</v>
      </c>
      <c r="B11" s="543" t="s">
        <v>15460</v>
      </c>
      <c r="C11" s="478"/>
      <c r="D11" s="478"/>
      <c r="E11" s="478"/>
      <c r="F11" s="546"/>
      <c r="G11" s="546"/>
    </row>
    <row r="12" spans="1:7" ht="15">
      <c r="A12" s="688" t="s">
        <v>5796</v>
      </c>
      <c r="B12" s="688"/>
      <c r="C12" s="688"/>
      <c r="D12" s="688"/>
      <c r="E12" s="688"/>
      <c r="F12" s="688"/>
      <c r="G12" s="688"/>
    </row>
    <row r="13" spans="1:7" s="6" customFormat="1" ht="30">
      <c r="A13" s="497" t="s">
        <v>15548</v>
      </c>
      <c r="B13" s="23" t="s">
        <v>1</v>
      </c>
      <c r="C13" s="430" t="s">
        <v>133</v>
      </c>
      <c r="D13" s="351" t="s">
        <v>12</v>
      </c>
      <c r="E13" s="182" t="s">
        <v>6735</v>
      </c>
      <c r="F13" s="544" t="s">
        <v>15493</v>
      </c>
      <c r="G13" s="544" t="s">
        <v>15498</v>
      </c>
    </row>
    <row r="14" spans="1:7" s="556" customFormat="1" ht="15">
      <c r="A14" s="550" t="s">
        <v>21</v>
      </c>
      <c r="B14" s="551" t="s">
        <v>9652</v>
      </c>
      <c r="C14" s="552">
        <v>660137.39</v>
      </c>
      <c r="D14" s="553">
        <v>2970.5300000000007</v>
      </c>
      <c r="E14" s="554">
        <v>799.96</v>
      </c>
      <c r="F14" s="555">
        <f>C14/SUM(C:C)</f>
        <v>6.9470377621361767E-2</v>
      </c>
      <c r="G14" s="555">
        <f>F14</f>
        <v>6.9470377621361767E-2</v>
      </c>
    </row>
    <row r="15" spans="1:7" s="556" customFormat="1" ht="45">
      <c r="A15" s="550" t="s">
        <v>21</v>
      </c>
      <c r="B15" s="551" t="s">
        <v>15556</v>
      </c>
      <c r="C15" s="552">
        <v>566341.06999999995</v>
      </c>
      <c r="D15" s="553">
        <v>56010.396745800004</v>
      </c>
      <c r="E15" s="554">
        <v>11722.98</v>
      </c>
      <c r="F15" s="555">
        <f>C15/SUM(C:C)</f>
        <v>5.9599605463017437E-2</v>
      </c>
      <c r="G15" s="555">
        <f>F15+G14</f>
        <v>0.1290699830843792</v>
      </c>
    </row>
    <row r="16" spans="1:7" s="556" customFormat="1" ht="30">
      <c r="A16" s="550" t="s">
        <v>21</v>
      </c>
      <c r="B16" s="551" t="s">
        <v>9654</v>
      </c>
      <c r="C16" s="552">
        <v>520161.95</v>
      </c>
      <c r="D16" s="553">
        <v>206.82000000000002</v>
      </c>
      <c r="E16" s="554">
        <v>55.7</v>
      </c>
      <c r="F16" s="555">
        <f t="shared" ref="F16:F79" si="0">C16/SUM(C:C)</f>
        <v>5.4739888450741896E-2</v>
      </c>
      <c r="G16" s="555">
        <f t="shared" ref="G16:G79" si="1">F16+G15</f>
        <v>0.1838098715351211</v>
      </c>
    </row>
    <row r="17" spans="1:7" s="556" customFormat="1" ht="30">
      <c r="A17" s="550" t="s">
        <v>21</v>
      </c>
      <c r="B17" s="551" t="s">
        <v>15505</v>
      </c>
      <c r="C17" s="552">
        <f>219224.45+37395</f>
        <v>256619.45</v>
      </c>
      <c r="D17" s="554">
        <v>103.53</v>
      </c>
      <c r="E17" s="554">
        <v>27.88</v>
      </c>
      <c r="F17" s="555">
        <f t="shared" si="0"/>
        <v>2.7005666345434796E-2</v>
      </c>
      <c r="G17" s="555">
        <f t="shared" si="1"/>
        <v>0.2108155378805559</v>
      </c>
    </row>
    <row r="18" spans="1:7" s="556" customFormat="1" ht="15">
      <c r="A18" s="550" t="s">
        <v>21</v>
      </c>
      <c r="B18" s="551" t="s">
        <v>9268</v>
      </c>
      <c r="C18" s="552">
        <v>230625.22</v>
      </c>
      <c r="D18" s="554">
        <v>12978.2</v>
      </c>
      <c r="E18" s="554">
        <v>3495.03</v>
      </c>
      <c r="F18" s="555">
        <f t="shared" si="0"/>
        <v>2.4270131286473009E-2</v>
      </c>
      <c r="G18" s="555">
        <f t="shared" si="1"/>
        <v>0.23508566916702892</v>
      </c>
    </row>
    <row r="19" spans="1:7" s="556" customFormat="1" ht="15">
      <c r="A19" s="550" t="s">
        <v>21</v>
      </c>
      <c r="B19" s="551" t="s">
        <v>6839</v>
      </c>
      <c r="C19" s="552">
        <v>187508.28</v>
      </c>
      <c r="D19" s="553">
        <v>88.71</v>
      </c>
      <c r="E19" s="554">
        <v>23.89</v>
      </c>
      <c r="F19" s="555">
        <f t="shared" si="0"/>
        <v>1.9732666587378177E-2</v>
      </c>
      <c r="G19" s="555">
        <f t="shared" si="1"/>
        <v>0.2548183357544071</v>
      </c>
    </row>
    <row r="20" spans="1:7" s="556" customFormat="1" ht="15">
      <c r="A20" s="550" t="s">
        <v>21</v>
      </c>
      <c r="B20" s="551" t="s">
        <v>7001</v>
      </c>
      <c r="C20" s="552">
        <v>156447.01</v>
      </c>
      <c r="D20" s="553">
        <v>527</v>
      </c>
      <c r="E20" s="554">
        <v>141.91999999999999</v>
      </c>
      <c r="F20" s="555">
        <f t="shared" si="0"/>
        <v>1.6463895284636067E-2</v>
      </c>
      <c r="G20" s="555">
        <f t="shared" si="1"/>
        <v>0.27128223103904314</v>
      </c>
    </row>
    <row r="21" spans="1:7" s="556" customFormat="1" ht="60">
      <c r="A21" s="550" t="s">
        <v>21</v>
      </c>
      <c r="B21" s="551" t="s">
        <v>9570</v>
      </c>
      <c r="C21" s="552">
        <v>155820.29</v>
      </c>
      <c r="D21" s="553">
        <v>196.68</v>
      </c>
      <c r="E21" s="554">
        <v>41.17</v>
      </c>
      <c r="F21" s="555">
        <f t="shared" si="0"/>
        <v>1.6397941627530142E-2</v>
      </c>
      <c r="G21" s="555">
        <f t="shared" si="1"/>
        <v>0.28768017266657331</v>
      </c>
    </row>
    <row r="22" spans="1:7" s="556" customFormat="1" ht="15">
      <c r="A22" s="550" t="s">
        <v>21</v>
      </c>
      <c r="B22" s="551" t="s">
        <v>9276</v>
      </c>
      <c r="C22" s="552">
        <v>149844.24</v>
      </c>
      <c r="D22" s="554">
        <v>18.02</v>
      </c>
      <c r="E22" s="554">
        <v>4.8499999999999996</v>
      </c>
      <c r="F22" s="555">
        <f t="shared" si="0"/>
        <v>1.5769044588106063E-2</v>
      </c>
      <c r="G22" s="555">
        <f t="shared" si="1"/>
        <v>0.30344921725467938</v>
      </c>
    </row>
    <row r="23" spans="1:7" s="556" customFormat="1" ht="30">
      <c r="A23" s="550" t="s">
        <v>21</v>
      </c>
      <c r="B23" s="551" t="s">
        <v>7827</v>
      </c>
      <c r="C23" s="552">
        <v>148526.07</v>
      </c>
      <c r="D23" s="553">
        <v>73.940000000000012</v>
      </c>
      <c r="E23" s="554">
        <v>19.91</v>
      </c>
      <c r="F23" s="555">
        <f t="shared" si="0"/>
        <v>1.5630325331999165E-2</v>
      </c>
      <c r="G23" s="555">
        <f t="shared" si="1"/>
        <v>0.31907954258667853</v>
      </c>
    </row>
    <row r="24" spans="1:7" s="556" customFormat="1" ht="15">
      <c r="A24" s="550" t="s">
        <v>21</v>
      </c>
      <c r="B24" s="551" t="s">
        <v>6850</v>
      </c>
      <c r="C24" s="552">
        <f>134278.92+874.15</f>
        <v>135153.07</v>
      </c>
      <c r="D24" s="553">
        <v>26.88</v>
      </c>
      <c r="E24" s="554">
        <v>7.24</v>
      </c>
      <c r="F24" s="555">
        <f t="shared" si="0"/>
        <v>1.4223001077982177E-2</v>
      </c>
      <c r="G24" s="555">
        <f t="shared" si="1"/>
        <v>0.33330254366466072</v>
      </c>
    </row>
    <row r="25" spans="1:7" s="556" customFormat="1" ht="30">
      <c r="A25" s="550" t="s">
        <v>21</v>
      </c>
      <c r="B25" s="551" t="s">
        <v>6769</v>
      </c>
      <c r="C25" s="552">
        <v>124935.2</v>
      </c>
      <c r="D25" s="553">
        <v>105.66</v>
      </c>
      <c r="E25" s="554">
        <v>28.45</v>
      </c>
      <c r="F25" s="555">
        <f t="shared" si="0"/>
        <v>1.314771084576857E-2</v>
      </c>
      <c r="G25" s="555">
        <f t="shared" si="1"/>
        <v>0.34645025451042927</v>
      </c>
    </row>
    <row r="26" spans="1:7" s="556" customFormat="1" ht="30">
      <c r="A26" s="550" t="s">
        <v>21</v>
      </c>
      <c r="B26" s="551" t="s">
        <v>9339</v>
      </c>
      <c r="C26" s="552">
        <v>116092.8</v>
      </c>
      <c r="D26" s="553">
        <v>96000</v>
      </c>
      <c r="E26" s="554">
        <v>20092.8</v>
      </c>
      <c r="F26" s="555">
        <f t="shared" si="0"/>
        <v>1.2217169906284549E-2</v>
      </c>
      <c r="G26" s="555">
        <f t="shared" si="1"/>
        <v>0.35866742441671384</v>
      </c>
    </row>
    <row r="27" spans="1:7" s="556" customFormat="1" ht="30">
      <c r="A27" s="550" t="s">
        <v>21</v>
      </c>
      <c r="B27" s="551" t="s">
        <v>9279</v>
      </c>
      <c r="C27" s="552">
        <v>116014.8</v>
      </c>
      <c r="D27" s="553">
        <v>122.19</v>
      </c>
      <c r="E27" s="554">
        <v>32.909999999999997</v>
      </c>
      <c r="F27" s="555">
        <f t="shared" si="0"/>
        <v>1.2208961479468329E-2</v>
      </c>
      <c r="G27" s="555">
        <f t="shared" si="1"/>
        <v>0.37087638589618216</v>
      </c>
    </row>
    <row r="28" spans="1:7" s="556" customFormat="1" ht="15">
      <c r="A28" s="550" t="s">
        <v>21</v>
      </c>
      <c r="B28" s="551" t="s">
        <v>9505</v>
      </c>
      <c r="C28" s="552">
        <v>107043.45</v>
      </c>
      <c r="D28" s="553">
        <v>1861.65</v>
      </c>
      <c r="E28" s="554">
        <v>501.34</v>
      </c>
      <c r="F28" s="555">
        <f t="shared" si="0"/>
        <v>1.1264850326677234E-2</v>
      </c>
      <c r="G28" s="555">
        <f t="shared" si="1"/>
        <v>0.38214123622285939</v>
      </c>
    </row>
    <row r="29" spans="1:7" s="556" customFormat="1" ht="30">
      <c r="A29" s="550" t="s">
        <v>21</v>
      </c>
      <c r="B29" s="551" t="s">
        <v>15395</v>
      </c>
      <c r="C29" s="552">
        <v>99612.17</v>
      </c>
      <c r="D29" s="553">
        <v>89.22999999999999</v>
      </c>
      <c r="E29" s="554">
        <v>24.03</v>
      </c>
      <c r="F29" s="555">
        <f t="shared" si="0"/>
        <v>1.0482810351922778E-2</v>
      </c>
      <c r="G29" s="555">
        <f t="shared" si="1"/>
        <v>0.39262404657478217</v>
      </c>
    </row>
    <row r="30" spans="1:7" s="556" customFormat="1" ht="30">
      <c r="A30" s="550" t="s">
        <v>21</v>
      </c>
      <c r="B30" s="551" t="s">
        <v>9266</v>
      </c>
      <c r="C30" s="552">
        <f>76081.68+21361.02+23.28</f>
        <v>97465.98</v>
      </c>
      <c r="D30" s="554">
        <v>1.57</v>
      </c>
      <c r="E30" s="554">
        <v>0.42</v>
      </c>
      <c r="F30" s="555">
        <f t="shared" si="0"/>
        <v>1.0256953383349629E-2</v>
      </c>
      <c r="G30" s="555">
        <f t="shared" si="1"/>
        <v>0.40288099995813181</v>
      </c>
    </row>
    <row r="31" spans="1:7" s="556" customFormat="1" ht="15">
      <c r="A31" s="550" t="s">
        <v>21</v>
      </c>
      <c r="B31" s="551" t="s">
        <v>9653</v>
      </c>
      <c r="C31" s="552">
        <v>97114.46</v>
      </c>
      <c r="D31" s="553">
        <v>2409.0099999999993</v>
      </c>
      <c r="E31" s="554">
        <v>648.75</v>
      </c>
      <c r="F31" s="555">
        <f t="shared" si="0"/>
        <v>1.0219960739831193E-2</v>
      </c>
      <c r="G31" s="555">
        <f t="shared" si="1"/>
        <v>0.41310096069796298</v>
      </c>
    </row>
    <row r="32" spans="1:7" s="556" customFormat="1" ht="30">
      <c r="A32" s="550" t="s">
        <v>21</v>
      </c>
      <c r="B32" s="551" t="s">
        <v>8664</v>
      </c>
      <c r="C32" s="552">
        <v>89045.7</v>
      </c>
      <c r="D32" s="553">
        <v>59.31</v>
      </c>
      <c r="E32" s="554">
        <v>15.97</v>
      </c>
      <c r="F32" s="555">
        <f t="shared" si="0"/>
        <v>9.3708347660151365E-3</v>
      </c>
      <c r="G32" s="555">
        <f t="shared" si="1"/>
        <v>0.42247179546397812</v>
      </c>
    </row>
    <row r="33" spans="1:7" s="556" customFormat="1" ht="15">
      <c r="A33" s="550" t="s">
        <v>21</v>
      </c>
      <c r="B33" s="551" t="s">
        <v>6861</v>
      </c>
      <c r="C33" s="552">
        <f>81274.19+376.36</f>
        <v>81650.55</v>
      </c>
      <c r="D33" s="553">
        <v>11.57</v>
      </c>
      <c r="E33" s="554">
        <v>3.12</v>
      </c>
      <c r="F33" s="555">
        <f t="shared" si="0"/>
        <v>8.5925969766564511E-3</v>
      </c>
      <c r="G33" s="555">
        <f t="shared" si="1"/>
        <v>0.43106439244063455</v>
      </c>
    </row>
    <row r="34" spans="1:7" s="556" customFormat="1" ht="30">
      <c r="A34" s="550" t="s">
        <v>21</v>
      </c>
      <c r="B34" s="551" t="s">
        <v>6768</v>
      </c>
      <c r="C34" s="552">
        <v>80827.199999999997</v>
      </c>
      <c r="D34" s="553">
        <v>62.48</v>
      </c>
      <c r="E34" s="554">
        <v>16.829999999999998</v>
      </c>
      <c r="F34" s="555">
        <f t="shared" si="0"/>
        <v>8.505950717436761E-3</v>
      </c>
      <c r="G34" s="555">
        <f t="shared" si="1"/>
        <v>0.43957034315807131</v>
      </c>
    </row>
    <row r="35" spans="1:7" s="556" customFormat="1" ht="15">
      <c r="A35" s="550" t="s">
        <v>21</v>
      </c>
      <c r="B35" s="551" t="s">
        <v>8931</v>
      </c>
      <c r="C35" s="552">
        <v>79713.31</v>
      </c>
      <c r="D35" s="553">
        <v>72.050000000000011</v>
      </c>
      <c r="E35" s="554">
        <v>19.399999999999999</v>
      </c>
      <c r="F35" s="555">
        <f t="shared" si="0"/>
        <v>8.3887291206890622E-3</v>
      </c>
      <c r="G35" s="555">
        <f t="shared" si="1"/>
        <v>0.44795907227876036</v>
      </c>
    </row>
    <row r="36" spans="1:7" s="556" customFormat="1" ht="30">
      <c r="A36" s="550" t="s">
        <v>21</v>
      </c>
      <c r="B36" s="551" t="s">
        <v>9571</v>
      </c>
      <c r="C36" s="552">
        <v>79374.34</v>
      </c>
      <c r="D36" s="553">
        <v>100.19000000000003</v>
      </c>
      <c r="E36" s="554">
        <v>20.97</v>
      </c>
      <c r="F36" s="555">
        <f t="shared" si="0"/>
        <v>8.3530571919981072E-3</v>
      </c>
      <c r="G36" s="555">
        <f t="shared" si="1"/>
        <v>0.45631212947075844</v>
      </c>
    </row>
    <row r="37" spans="1:7" s="556" customFormat="1" ht="45">
      <c r="A37" s="550" t="s">
        <v>21</v>
      </c>
      <c r="B37" s="551" t="s">
        <v>9008</v>
      </c>
      <c r="C37" s="552">
        <v>77163.44</v>
      </c>
      <c r="D37" s="553">
        <v>63808.35</v>
      </c>
      <c r="E37" s="554">
        <v>13355.09</v>
      </c>
      <c r="F37" s="555">
        <f t="shared" si="0"/>
        <v>8.120390386254733E-3</v>
      </c>
      <c r="G37" s="555">
        <f t="shared" si="1"/>
        <v>0.46443251985701317</v>
      </c>
    </row>
    <row r="38" spans="1:7" s="556" customFormat="1" ht="30">
      <c r="A38" s="550" t="s">
        <v>21</v>
      </c>
      <c r="B38" s="551" t="s">
        <v>7244</v>
      </c>
      <c r="C38" s="552">
        <v>75390</v>
      </c>
      <c r="D38" s="553">
        <v>2.83</v>
      </c>
      <c r="E38" s="554">
        <v>0.76</v>
      </c>
      <c r="F38" s="555">
        <f t="shared" si="0"/>
        <v>7.9337602266014093E-3</v>
      </c>
      <c r="G38" s="555">
        <f t="shared" si="1"/>
        <v>0.47236628008361459</v>
      </c>
    </row>
    <row r="39" spans="1:7" s="556" customFormat="1" ht="75">
      <c r="A39" s="550" t="s">
        <v>21</v>
      </c>
      <c r="B39" s="551" t="s">
        <v>7296</v>
      </c>
      <c r="C39" s="552">
        <v>74720.52</v>
      </c>
      <c r="D39" s="553">
        <v>295.82</v>
      </c>
      <c r="E39" s="554">
        <v>79.66</v>
      </c>
      <c r="F39" s="555">
        <f t="shared" si="0"/>
        <v>7.8633066678203377E-3</v>
      </c>
      <c r="G39" s="555">
        <f t="shared" si="1"/>
        <v>0.4802295867514349</v>
      </c>
    </row>
    <row r="40" spans="1:7" s="556" customFormat="1" ht="30">
      <c r="A40" s="550" t="s">
        <v>21</v>
      </c>
      <c r="B40" s="551" t="s">
        <v>9595</v>
      </c>
      <c r="C40" s="552">
        <v>74000.639999999999</v>
      </c>
      <c r="D40" s="554">
        <v>86.76</v>
      </c>
      <c r="E40" s="554">
        <v>23.36</v>
      </c>
      <c r="F40" s="555">
        <f t="shared" si="0"/>
        <v>7.7875492024810896E-3</v>
      </c>
      <c r="G40" s="555">
        <f t="shared" si="1"/>
        <v>0.48801713595391599</v>
      </c>
    </row>
    <row r="41" spans="1:7" s="556" customFormat="1" ht="30">
      <c r="A41" s="550" t="s">
        <v>21</v>
      </c>
      <c r="B41" s="551" t="s">
        <v>8933</v>
      </c>
      <c r="C41" s="552">
        <v>73622</v>
      </c>
      <c r="D41" s="553">
        <v>48.03</v>
      </c>
      <c r="E41" s="554">
        <v>12.93</v>
      </c>
      <c r="F41" s="555">
        <f t="shared" si="0"/>
        <v>7.7477025521003979E-3</v>
      </c>
      <c r="G41" s="555">
        <f t="shared" si="1"/>
        <v>0.49576483850601638</v>
      </c>
    </row>
    <row r="42" spans="1:7" s="556" customFormat="1" ht="15">
      <c r="A42" s="550" t="s">
        <v>21</v>
      </c>
      <c r="B42" s="551" t="s">
        <v>9275</v>
      </c>
      <c r="C42" s="552">
        <v>70658.42</v>
      </c>
      <c r="D42" s="554">
        <v>3976.23</v>
      </c>
      <c r="E42" s="554">
        <v>1070.8</v>
      </c>
      <c r="F42" s="555">
        <f t="shared" si="0"/>
        <v>7.435826532305314E-3</v>
      </c>
      <c r="G42" s="555">
        <f t="shared" si="1"/>
        <v>0.50320066503832173</v>
      </c>
    </row>
    <row r="43" spans="1:7" s="556" customFormat="1" ht="30">
      <c r="A43" s="550" t="s">
        <v>21</v>
      </c>
      <c r="B43" s="551" t="s">
        <v>9210</v>
      </c>
      <c r="C43" s="552">
        <v>69946.899999999994</v>
      </c>
      <c r="D43" s="553">
        <v>58.19</v>
      </c>
      <c r="E43" s="554">
        <v>15.67</v>
      </c>
      <c r="F43" s="555">
        <f t="shared" si="0"/>
        <v>7.3609488419427794E-3</v>
      </c>
      <c r="G43" s="555">
        <f t="shared" si="1"/>
        <v>0.51056161388026455</v>
      </c>
    </row>
    <row r="44" spans="1:7" s="556" customFormat="1" ht="15">
      <c r="A44" s="550" t="s">
        <v>21</v>
      </c>
      <c r="B44" s="551" t="s">
        <v>6856</v>
      </c>
      <c r="C44" s="552">
        <v>69567.570000000007</v>
      </c>
      <c r="D44" s="553">
        <v>11.91</v>
      </c>
      <c r="E44" s="554">
        <v>3.21</v>
      </c>
      <c r="F44" s="555">
        <f t="shared" si="0"/>
        <v>7.3210295785556372E-3</v>
      </c>
      <c r="G44" s="555">
        <f t="shared" si="1"/>
        <v>0.51788264345882018</v>
      </c>
    </row>
    <row r="45" spans="1:7" s="556" customFormat="1" ht="30">
      <c r="A45" s="550" t="s">
        <v>21</v>
      </c>
      <c r="B45" s="551" t="s">
        <v>7130</v>
      </c>
      <c r="C45" s="552">
        <v>69283.42</v>
      </c>
      <c r="D45" s="553">
        <v>27291.980000000003</v>
      </c>
      <c r="E45" s="554">
        <v>7349.73</v>
      </c>
      <c r="F45" s="555">
        <f t="shared" si="0"/>
        <v>7.2911267006091083E-3</v>
      </c>
      <c r="G45" s="555">
        <f t="shared" si="1"/>
        <v>0.52517377015942934</v>
      </c>
    </row>
    <row r="46" spans="1:7" s="556" customFormat="1" ht="30">
      <c r="A46" s="550" t="s">
        <v>21</v>
      </c>
      <c r="B46" s="551" t="s">
        <v>6820</v>
      </c>
      <c r="C46" s="552">
        <v>64906.02</v>
      </c>
      <c r="D46" s="553">
        <v>283.33</v>
      </c>
      <c r="E46" s="554">
        <v>76.3</v>
      </c>
      <c r="F46" s="555">
        <f t="shared" si="0"/>
        <v>6.8304655782331298E-3</v>
      </c>
      <c r="G46" s="555">
        <f t="shared" si="1"/>
        <v>0.53200423573766242</v>
      </c>
    </row>
    <row r="47" spans="1:7" s="556" customFormat="1" ht="15">
      <c r="A47" s="550" t="s">
        <v>21</v>
      </c>
      <c r="B47" s="551" t="s">
        <v>8975</v>
      </c>
      <c r="C47" s="552">
        <v>63272.55</v>
      </c>
      <c r="D47" s="554">
        <v>72.66</v>
      </c>
      <c r="E47" s="554">
        <v>19.57</v>
      </c>
      <c r="F47" s="555">
        <f t="shared" si="0"/>
        <v>6.6585653352652747E-3</v>
      </c>
      <c r="G47" s="555">
        <f t="shared" si="1"/>
        <v>0.53866280107292774</v>
      </c>
    </row>
    <row r="48" spans="1:7" s="556" customFormat="1" ht="15">
      <c r="A48" s="550" t="s">
        <v>21</v>
      </c>
      <c r="B48" s="551" t="s">
        <v>9024</v>
      </c>
      <c r="C48" s="552">
        <v>63105.120000000003</v>
      </c>
      <c r="D48" s="553">
        <v>26.56</v>
      </c>
      <c r="E48" s="554">
        <v>7.15</v>
      </c>
      <c r="F48" s="555">
        <f t="shared" si="0"/>
        <v>6.6409456313955327E-3</v>
      </c>
      <c r="G48" s="555">
        <f t="shared" si="1"/>
        <v>0.54530374670432324</v>
      </c>
    </row>
    <row r="49" spans="1:7" s="556" customFormat="1" ht="30">
      <c r="A49" s="550" t="s">
        <v>21</v>
      </c>
      <c r="B49" s="551" t="s">
        <v>6867</v>
      </c>
      <c r="C49" s="552">
        <v>59482.8</v>
      </c>
      <c r="D49" s="553">
        <v>38.76</v>
      </c>
      <c r="E49" s="554">
        <v>10.44</v>
      </c>
      <c r="F49" s="555">
        <f t="shared" si="0"/>
        <v>6.2597462900502235E-3</v>
      </c>
      <c r="G49" s="555">
        <f t="shared" si="1"/>
        <v>0.55156349299437346</v>
      </c>
    </row>
    <row r="50" spans="1:7" s="556" customFormat="1" ht="30">
      <c r="A50" s="550" t="s">
        <v>21</v>
      </c>
      <c r="B50" s="551" t="s">
        <v>7245</v>
      </c>
      <c r="C50" s="552">
        <v>57900</v>
      </c>
      <c r="D50" s="553">
        <v>4.5599999999999996</v>
      </c>
      <c r="E50" s="554">
        <v>1.23</v>
      </c>
      <c r="F50" s="555">
        <f t="shared" si="0"/>
        <v>6.0931783674256753E-3</v>
      </c>
      <c r="G50" s="555">
        <f t="shared" si="1"/>
        <v>0.55765667136179908</v>
      </c>
    </row>
    <row r="51" spans="1:7" s="556" customFormat="1" ht="30">
      <c r="A51" s="550" t="s">
        <v>21</v>
      </c>
      <c r="B51" s="551" t="s">
        <v>6801</v>
      </c>
      <c r="C51" s="552">
        <v>57848.160000000003</v>
      </c>
      <c r="D51" s="553">
        <v>5696.8600000000006</v>
      </c>
      <c r="E51" s="554">
        <v>1534.16</v>
      </c>
      <c r="F51" s="555">
        <f t="shared" si="0"/>
        <v>6.0877229206801253E-3</v>
      </c>
      <c r="G51" s="555">
        <f t="shared" si="1"/>
        <v>0.56374439428247924</v>
      </c>
    </row>
    <row r="52" spans="1:7" s="556" customFormat="1" ht="30">
      <c r="A52" s="550" t="s">
        <v>21</v>
      </c>
      <c r="B52" s="551" t="s">
        <v>6800</v>
      </c>
      <c r="C52" s="552">
        <v>57848.160000000003</v>
      </c>
      <c r="D52" s="553">
        <v>5696.8600000000006</v>
      </c>
      <c r="E52" s="554">
        <v>1534.16</v>
      </c>
      <c r="F52" s="555">
        <f t="shared" si="0"/>
        <v>6.0877229206801253E-3</v>
      </c>
      <c r="G52" s="555">
        <f t="shared" si="1"/>
        <v>0.56983211720315941</v>
      </c>
    </row>
    <row r="53" spans="1:7" s="556" customFormat="1" ht="15">
      <c r="A53" s="550" t="s">
        <v>21</v>
      </c>
      <c r="B53" s="551" t="s">
        <v>15492</v>
      </c>
      <c r="C53" s="552">
        <v>57383.55</v>
      </c>
      <c r="D53" s="554">
        <v>5023.2</v>
      </c>
      <c r="E53" s="554">
        <v>1352.75</v>
      </c>
      <c r="F53" s="555">
        <f t="shared" si="0"/>
        <v>6.0388291106405808E-3</v>
      </c>
      <c r="G53" s="555">
        <f t="shared" si="1"/>
        <v>0.57587094631379998</v>
      </c>
    </row>
    <row r="54" spans="1:7" s="556" customFormat="1" ht="30">
      <c r="A54" s="550" t="s">
        <v>21</v>
      </c>
      <c r="B54" s="551" t="s">
        <v>15436</v>
      </c>
      <c r="C54" s="552">
        <v>54476.93</v>
      </c>
      <c r="D54" s="554">
        <v>42918.879999999997</v>
      </c>
      <c r="E54" s="554">
        <v>11558.05</v>
      </c>
      <c r="F54" s="555">
        <f t="shared" si="0"/>
        <v>5.732947347146162E-3</v>
      </c>
      <c r="G54" s="555">
        <f t="shared" si="1"/>
        <v>0.58160389366094611</v>
      </c>
    </row>
    <row r="55" spans="1:7" s="556" customFormat="1" ht="45">
      <c r="A55" s="550" t="s">
        <v>21</v>
      </c>
      <c r="B55" s="551" t="s">
        <v>9353</v>
      </c>
      <c r="C55" s="552">
        <v>54308.51</v>
      </c>
      <c r="D55" s="553">
        <v>172.74</v>
      </c>
      <c r="E55" s="554">
        <v>46.52</v>
      </c>
      <c r="F55" s="555">
        <f t="shared" si="0"/>
        <v>5.7152234593975983E-3</v>
      </c>
      <c r="G55" s="555">
        <f t="shared" si="1"/>
        <v>0.58731911712034368</v>
      </c>
    </row>
    <row r="56" spans="1:7" s="556" customFormat="1" ht="30">
      <c r="A56" s="550" t="s">
        <v>21</v>
      </c>
      <c r="B56" s="551" t="s">
        <v>9664</v>
      </c>
      <c r="C56" s="552">
        <v>53166.87</v>
      </c>
      <c r="D56" s="553">
        <v>684.98</v>
      </c>
      <c r="E56" s="554">
        <v>184.47</v>
      </c>
      <c r="F56" s="555">
        <f t="shared" si="0"/>
        <v>5.5950815569556674E-3</v>
      </c>
      <c r="G56" s="555">
        <f t="shared" si="1"/>
        <v>0.59291419867729933</v>
      </c>
    </row>
    <row r="57" spans="1:7" s="556" customFormat="1" ht="30">
      <c r="A57" s="550" t="s">
        <v>21</v>
      </c>
      <c r="B57" s="551" t="s">
        <v>9447</v>
      </c>
      <c r="C57" s="552">
        <v>52996.32</v>
      </c>
      <c r="D57" s="553">
        <v>439.96</v>
      </c>
      <c r="E57" s="554">
        <v>118.48</v>
      </c>
      <c r="F57" s="555">
        <f t="shared" si="0"/>
        <v>5.5771335160132753E-3</v>
      </c>
      <c r="G57" s="555">
        <f t="shared" si="1"/>
        <v>0.59849133219331263</v>
      </c>
    </row>
    <row r="58" spans="1:7" s="556" customFormat="1" ht="30">
      <c r="A58" s="550" t="s">
        <v>21</v>
      </c>
      <c r="B58" s="551" t="s">
        <v>9446</v>
      </c>
      <c r="C58" s="552">
        <v>52996.32</v>
      </c>
      <c r="D58" s="553">
        <v>439.96</v>
      </c>
      <c r="E58" s="554">
        <v>118.48</v>
      </c>
      <c r="F58" s="555">
        <f t="shared" si="0"/>
        <v>5.5771335160132753E-3</v>
      </c>
      <c r="G58" s="555">
        <f t="shared" si="1"/>
        <v>0.60406846570932593</v>
      </c>
    </row>
    <row r="59" spans="1:7" s="556" customFormat="1" ht="30">
      <c r="A59" s="550" t="s">
        <v>21</v>
      </c>
      <c r="B59" s="551" t="s">
        <v>8677</v>
      </c>
      <c r="C59" s="552">
        <v>51831.03</v>
      </c>
      <c r="D59" s="553">
        <v>361.78</v>
      </c>
      <c r="E59" s="554">
        <v>97.43</v>
      </c>
      <c r="F59" s="555">
        <f t="shared" si="0"/>
        <v>5.4545027764661691E-3</v>
      </c>
      <c r="G59" s="555">
        <f t="shared" si="1"/>
        <v>0.60952296848579213</v>
      </c>
    </row>
    <row r="60" spans="1:7" s="556" customFormat="1" ht="30">
      <c r="A60" s="550" t="s">
        <v>21</v>
      </c>
      <c r="B60" s="551" t="s">
        <v>6868</v>
      </c>
      <c r="C60" s="552">
        <v>49241.38</v>
      </c>
      <c r="D60" s="553">
        <v>82.01</v>
      </c>
      <c r="E60" s="554">
        <v>22.09</v>
      </c>
      <c r="F60" s="555">
        <f t="shared" si="0"/>
        <v>5.1819777443555658E-3</v>
      </c>
      <c r="G60" s="555">
        <f t="shared" si="1"/>
        <v>0.61470494623014771</v>
      </c>
    </row>
    <row r="61" spans="1:7" s="556" customFormat="1" ht="15">
      <c r="A61" s="550" t="s">
        <v>21</v>
      </c>
      <c r="B61" s="551" t="s">
        <v>9253</v>
      </c>
      <c r="C61" s="552">
        <v>47487.24</v>
      </c>
      <c r="D61" s="553">
        <v>55.89</v>
      </c>
      <c r="E61" s="554">
        <v>15.05</v>
      </c>
      <c r="F61" s="555">
        <f t="shared" si="0"/>
        <v>4.9973786441580518E-3</v>
      </c>
      <c r="G61" s="555">
        <f t="shared" si="1"/>
        <v>0.61970232487430577</v>
      </c>
    </row>
    <row r="62" spans="1:7" s="556" customFormat="1" ht="30">
      <c r="A62" s="550" t="s">
        <v>21</v>
      </c>
      <c r="B62" s="551" t="s">
        <v>15534</v>
      </c>
      <c r="C62" s="552">
        <v>46784</v>
      </c>
      <c r="D62" s="553">
        <v>20.080000000000002</v>
      </c>
      <c r="E62" s="554">
        <v>5.41</v>
      </c>
      <c r="F62" s="555">
        <f t="shared" si="0"/>
        <v>4.9233723098729325E-3</v>
      </c>
      <c r="G62" s="555">
        <f t="shared" si="1"/>
        <v>0.62462569718417871</v>
      </c>
    </row>
    <row r="63" spans="1:7" s="556" customFormat="1" ht="30">
      <c r="A63" s="550" t="s">
        <v>21</v>
      </c>
      <c r="B63" s="551" t="s">
        <v>15522</v>
      </c>
      <c r="C63" s="552">
        <v>46395</v>
      </c>
      <c r="D63" s="553">
        <v>9.32</v>
      </c>
      <c r="E63" s="554">
        <v>2.5099999999999998</v>
      </c>
      <c r="F63" s="555">
        <f t="shared" si="0"/>
        <v>4.8824354120330605E-3</v>
      </c>
      <c r="G63" s="555">
        <f t="shared" si="1"/>
        <v>0.62950813259621174</v>
      </c>
    </row>
    <row r="64" spans="1:7" s="556" customFormat="1" ht="30">
      <c r="A64" s="550" t="s">
        <v>21</v>
      </c>
      <c r="B64" s="551" t="s">
        <v>6822</v>
      </c>
      <c r="C64" s="552">
        <v>45754.15</v>
      </c>
      <c r="D64" s="553">
        <v>325.48</v>
      </c>
      <c r="E64" s="554">
        <v>87.65</v>
      </c>
      <c r="F64" s="555">
        <f t="shared" si="0"/>
        <v>4.8149947668385054E-3</v>
      </c>
      <c r="G64" s="555">
        <f t="shared" si="1"/>
        <v>0.6343231273630503</v>
      </c>
    </row>
    <row r="65" spans="1:31" s="556" customFormat="1" ht="30">
      <c r="A65" s="550" t="s">
        <v>21</v>
      </c>
      <c r="B65" s="551" t="s">
        <v>6802</v>
      </c>
      <c r="C65" s="552">
        <v>43926.78</v>
      </c>
      <c r="D65" s="553">
        <v>5767.85</v>
      </c>
      <c r="E65" s="554">
        <v>1553.28</v>
      </c>
      <c r="F65" s="555">
        <f t="shared" si="0"/>
        <v>4.6226892166954543E-3</v>
      </c>
      <c r="G65" s="555">
        <f t="shared" si="1"/>
        <v>0.63894581657974581</v>
      </c>
    </row>
    <row r="66" spans="1:31" s="556" customFormat="1" ht="30">
      <c r="A66" s="550" t="s">
        <v>21</v>
      </c>
      <c r="B66" s="551" t="s">
        <v>8804</v>
      </c>
      <c r="C66" s="552">
        <f>41791.45+1659.24</f>
        <v>43450.689999999995</v>
      </c>
      <c r="D66" s="553">
        <v>30.6</v>
      </c>
      <c r="E66" s="554">
        <v>8.24</v>
      </c>
      <c r="F66" s="555">
        <f t="shared" si="0"/>
        <v>4.572587294606547E-3</v>
      </c>
      <c r="G66" s="555">
        <f t="shared" si="1"/>
        <v>0.64351840387435233</v>
      </c>
    </row>
    <row r="67" spans="1:31" s="557" customFormat="1" ht="15">
      <c r="A67" s="550" t="s">
        <v>21</v>
      </c>
      <c r="B67" s="551" t="s">
        <v>9025</v>
      </c>
      <c r="C67" s="552">
        <v>43361</v>
      </c>
      <c r="D67" s="553">
        <v>26.08</v>
      </c>
      <c r="E67" s="554">
        <v>7.02</v>
      </c>
      <c r="F67" s="555">
        <f t="shared" si="0"/>
        <v>4.5631486561303058E-3</v>
      </c>
      <c r="G67" s="555">
        <f t="shared" si="1"/>
        <v>0.64808155253048261</v>
      </c>
      <c r="H67" s="556"/>
      <c r="I67" s="556"/>
      <c r="J67" s="556"/>
      <c r="K67" s="556"/>
      <c r="L67" s="556"/>
      <c r="M67" s="556"/>
      <c r="N67" s="556"/>
      <c r="O67" s="556"/>
      <c r="P67" s="556"/>
      <c r="Q67" s="556"/>
      <c r="R67" s="556"/>
      <c r="S67" s="556"/>
      <c r="T67" s="556"/>
      <c r="U67" s="556"/>
      <c r="V67" s="556"/>
      <c r="W67" s="556"/>
      <c r="X67" s="556"/>
      <c r="Y67" s="556"/>
      <c r="Z67" s="556"/>
      <c r="AA67" s="556"/>
      <c r="AB67" s="556"/>
      <c r="AC67" s="556"/>
      <c r="AD67" s="556"/>
      <c r="AE67" s="556"/>
    </row>
    <row r="68" spans="1:31" s="556" customFormat="1" ht="30">
      <c r="A68" s="550" t="s">
        <v>21</v>
      </c>
      <c r="B68" s="551" t="s">
        <v>6823</v>
      </c>
      <c r="C68" s="552">
        <v>42715.93</v>
      </c>
      <c r="D68" s="553">
        <v>639.79000000000008</v>
      </c>
      <c r="E68" s="554">
        <v>172.3</v>
      </c>
      <c r="F68" s="555">
        <f t="shared" si="0"/>
        <v>4.4952639139977449E-3</v>
      </c>
      <c r="G68" s="555">
        <f t="shared" si="1"/>
        <v>0.6525768164444804</v>
      </c>
    </row>
    <row r="69" spans="1:31" s="556" customFormat="1" ht="30">
      <c r="A69" s="550" t="s">
        <v>21</v>
      </c>
      <c r="B69" s="551" t="s">
        <v>15417</v>
      </c>
      <c r="C69" s="552">
        <v>40641.06</v>
      </c>
      <c r="D69" s="553">
        <v>909.1</v>
      </c>
      <c r="E69" s="554">
        <v>244.82</v>
      </c>
      <c r="F69" s="555">
        <f t="shared" si="0"/>
        <v>4.2769123941493762E-3</v>
      </c>
      <c r="G69" s="555">
        <f t="shared" si="1"/>
        <v>0.6568537288386298</v>
      </c>
    </row>
    <row r="70" spans="1:31" s="556" customFormat="1" ht="15">
      <c r="A70" s="550" t="s">
        <v>21</v>
      </c>
      <c r="B70" s="551" t="s">
        <v>8666</v>
      </c>
      <c r="C70" s="552">
        <v>40142.15</v>
      </c>
      <c r="D70" s="553">
        <v>10.31</v>
      </c>
      <c r="E70" s="554">
        <v>2.78</v>
      </c>
      <c r="F70" s="555">
        <f t="shared" si="0"/>
        <v>4.2244089810355191E-3</v>
      </c>
      <c r="G70" s="555">
        <f t="shared" si="1"/>
        <v>0.66107813781966529</v>
      </c>
    </row>
    <row r="71" spans="1:31" s="556" customFormat="1" ht="30">
      <c r="A71" s="550" t="s">
        <v>21</v>
      </c>
      <c r="B71" s="551" t="s">
        <v>7862</v>
      </c>
      <c r="C71" s="552">
        <v>38823.949999999997</v>
      </c>
      <c r="D71" s="553">
        <v>104.47</v>
      </c>
      <c r="E71" s="554">
        <v>28.13</v>
      </c>
      <c r="F71" s="555">
        <f t="shared" si="0"/>
        <v>4.0856865678413823E-3</v>
      </c>
      <c r="G71" s="555">
        <f t="shared" si="1"/>
        <v>0.66516382438750665</v>
      </c>
    </row>
    <row r="72" spans="1:31" s="556" customFormat="1" ht="30">
      <c r="A72" s="550" t="s">
        <v>21</v>
      </c>
      <c r="B72" s="551" t="s">
        <v>9343</v>
      </c>
      <c r="C72" s="552">
        <v>37488.300000000003</v>
      </c>
      <c r="D72" s="553">
        <v>31000</v>
      </c>
      <c r="E72" s="554">
        <v>6488.3</v>
      </c>
      <c r="F72" s="555">
        <f t="shared" si="0"/>
        <v>3.9451277822377196E-3</v>
      </c>
      <c r="G72" s="555">
        <f t="shared" si="1"/>
        <v>0.66910895216974442</v>
      </c>
    </row>
    <row r="73" spans="1:31" s="556" customFormat="1" ht="15">
      <c r="A73" s="550" t="s">
        <v>21</v>
      </c>
      <c r="B73" s="551" t="s">
        <v>7240</v>
      </c>
      <c r="C73" s="552">
        <v>37350</v>
      </c>
      <c r="D73" s="553">
        <v>7.85</v>
      </c>
      <c r="E73" s="554">
        <v>2.11</v>
      </c>
      <c r="F73" s="555">
        <f t="shared" si="0"/>
        <v>3.9305736100751117E-3</v>
      </c>
      <c r="G73" s="555">
        <f t="shared" si="1"/>
        <v>0.67303952577981951</v>
      </c>
    </row>
    <row r="74" spans="1:31" s="556" customFormat="1" ht="45">
      <c r="A74" s="550" t="s">
        <v>21</v>
      </c>
      <c r="B74" s="551" t="s">
        <v>6869</v>
      </c>
      <c r="C74" s="552">
        <f>27827.77+7694.38</f>
        <v>35522.15</v>
      </c>
      <c r="D74" s="553">
        <v>46.35</v>
      </c>
      <c r="E74" s="554">
        <v>12.48</v>
      </c>
      <c r="F74" s="555">
        <f t="shared" si="0"/>
        <v>3.7382175465362688E-3</v>
      </c>
      <c r="G74" s="555">
        <f t="shared" si="1"/>
        <v>0.67677774332635576</v>
      </c>
    </row>
    <row r="75" spans="1:31" s="556" customFormat="1" ht="30">
      <c r="A75" s="550" t="s">
        <v>21</v>
      </c>
      <c r="B75" s="551" t="s">
        <v>15501</v>
      </c>
      <c r="C75" s="552">
        <f>29880.65+5436.8</f>
        <v>35317.450000000004</v>
      </c>
      <c r="D75" s="554">
        <v>53.080000000000005</v>
      </c>
      <c r="E75" s="554">
        <v>14.29</v>
      </c>
      <c r="F75" s="555">
        <f t="shared" si="0"/>
        <v>3.7166756879557501E-3</v>
      </c>
      <c r="G75" s="555">
        <f t="shared" si="1"/>
        <v>0.68049441901431151</v>
      </c>
    </row>
    <row r="76" spans="1:31" s="556" customFormat="1" ht="30">
      <c r="A76" s="550" t="s">
        <v>21</v>
      </c>
      <c r="B76" s="551" t="s">
        <v>6778</v>
      </c>
      <c r="C76" s="552">
        <v>35107.24</v>
      </c>
      <c r="D76" s="553">
        <v>83.12</v>
      </c>
      <c r="E76" s="554">
        <v>22.38</v>
      </c>
      <c r="F76" s="555">
        <f t="shared" si="0"/>
        <v>3.6945539776860334E-3</v>
      </c>
      <c r="G76" s="555">
        <f t="shared" si="1"/>
        <v>0.68418897299199755</v>
      </c>
    </row>
    <row r="77" spans="1:31" s="556" customFormat="1" ht="30">
      <c r="A77" s="550" t="s">
        <v>21</v>
      </c>
      <c r="B77" s="551" t="s">
        <v>9498</v>
      </c>
      <c r="C77" s="552">
        <v>34248.589999999997</v>
      </c>
      <c r="D77" s="553">
        <v>2131.3000000000002</v>
      </c>
      <c r="E77" s="554">
        <v>573.96</v>
      </c>
      <c r="F77" s="555">
        <f t="shared" si="0"/>
        <v>3.6041928791507995E-3</v>
      </c>
      <c r="G77" s="555">
        <f t="shared" si="1"/>
        <v>0.68779316587114836</v>
      </c>
    </row>
    <row r="78" spans="1:31" s="556" customFormat="1" ht="30">
      <c r="A78" s="550" t="s">
        <v>21</v>
      </c>
      <c r="B78" s="551" t="s">
        <v>8945</v>
      </c>
      <c r="C78" s="552">
        <v>34054.92</v>
      </c>
      <c r="D78" s="554">
        <v>745.27</v>
      </c>
      <c r="E78" s="554">
        <v>200.7</v>
      </c>
      <c r="F78" s="555">
        <f t="shared" si="0"/>
        <v>3.5838117763110876E-3</v>
      </c>
      <c r="G78" s="555">
        <f t="shared" si="1"/>
        <v>0.69137697764745942</v>
      </c>
    </row>
    <row r="79" spans="1:31" s="556" customFormat="1" ht="30">
      <c r="A79" s="550" t="s">
        <v>21</v>
      </c>
      <c r="B79" s="551" t="s">
        <v>8653</v>
      </c>
      <c r="C79" s="552">
        <f>29730.4+3318.13</f>
        <v>33048.53</v>
      </c>
      <c r="D79" s="553">
        <v>83.65</v>
      </c>
      <c r="E79" s="554">
        <v>22.53</v>
      </c>
      <c r="F79" s="555">
        <f t="shared" si="0"/>
        <v>3.4779030754960006E-3</v>
      </c>
      <c r="G79" s="555">
        <f t="shared" si="1"/>
        <v>0.69485488072295543</v>
      </c>
    </row>
    <row r="80" spans="1:31" s="556" customFormat="1" ht="45">
      <c r="A80" s="550" t="s">
        <v>21</v>
      </c>
      <c r="B80" s="551" t="s">
        <v>9352</v>
      </c>
      <c r="C80" s="552">
        <v>31688.75</v>
      </c>
      <c r="D80" s="553">
        <v>104.47</v>
      </c>
      <c r="E80" s="554">
        <v>28.13</v>
      </c>
      <c r="F80" s="555">
        <f t="shared" ref="F80:F143" si="2">C80/SUM(C:C)</f>
        <v>3.3348049393913705E-3</v>
      </c>
      <c r="G80" s="555">
        <f t="shared" ref="G80:G143" si="3">F80+G79</f>
        <v>0.69818968566234685</v>
      </c>
    </row>
    <row r="81" spans="1:7" s="556" customFormat="1" ht="15">
      <c r="A81" s="550" t="s">
        <v>21</v>
      </c>
      <c r="B81" s="551" t="s">
        <v>9252</v>
      </c>
      <c r="C81" s="552">
        <v>31473.95</v>
      </c>
      <c r="D81" s="553">
        <v>55.89</v>
      </c>
      <c r="E81" s="554">
        <v>15.05</v>
      </c>
      <c r="F81" s="555">
        <f t="shared" si="2"/>
        <v>3.3122001947743927E-3</v>
      </c>
      <c r="G81" s="555">
        <f t="shared" si="3"/>
        <v>0.70150188585712125</v>
      </c>
    </row>
    <row r="82" spans="1:7" s="556" customFormat="1" ht="30">
      <c r="A82" s="550" t="s">
        <v>21</v>
      </c>
      <c r="B82" s="551" t="s">
        <v>6792</v>
      </c>
      <c r="C82" s="552">
        <v>30994.55</v>
      </c>
      <c r="D82" s="553">
        <v>24418.620000000003</v>
      </c>
      <c r="E82" s="554">
        <v>6575.93</v>
      </c>
      <c r="F82" s="555">
        <f t="shared" si="2"/>
        <v>3.2617499407270028E-3</v>
      </c>
      <c r="G82" s="555">
        <f t="shared" si="3"/>
        <v>0.70476363579784829</v>
      </c>
    </row>
    <row r="83" spans="1:7" s="556" customFormat="1" ht="15">
      <c r="A83" s="550" t="s">
        <v>21</v>
      </c>
      <c r="B83" s="551" t="s">
        <v>8544</v>
      </c>
      <c r="C83" s="552">
        <v>30430.52</v>
      </c>
      <c r="D83" s="553">
        <v>15.96</v>
      </c>
      <c r="E83" s="554">
        <v>4.3</v>
      </c>
      <c r="F83" s="555">
        <f t="shared" si="2"/>
        <v>3.2023935435840129E-3</v>
      </c>
      <c r="G83" s="555">
        <f t="shared" si="3"/>
        <v>0.70796602934143227</v>
      </c>
    </row>
    <row r="84" spans="1:7" s="556" customFormat="1" ht="30">
      <c r="A84" s="550" t="s">
        <v>21</v>
      </c>
      <c r="B84" s="551" t="s">
        <v>9220</v>
      </c>
      <c r="C84" s="552">
        <v>30063.72</v>
      </c>
      <c r="D84" s="553">
        <v>446.89000000000004</v>
      </c>
      <c r="E84" s="554">
        <v>120.35</v>
      </c>
      <c r="F84" s="555">
        <f t="shared" si="2"/>
        <v>3.1637928902995271E-3</v>
      </c>
      <c r="G84" s="555">
        <f t="shared" si="3"/>
        <v>0.71112982223173182</v>
      </c>
    </row>
    <row r="85" spans="1:7" s="556" customFormat="1" ht="30">
      <c r="A85" s="550" t="s">
        <v>21</v>
      </c>
      <c r="B85" s="551" t="s">
        <v>9435</v>
      </c>
      <c r="C85" s="552">
        <v>30052.47</v>
      </c>
      <c r="D85" s="553">
        <v>15.2</v>
      </c>
      <c r="E85" s="554">
        <v>4.09</v>
      </c>
      <c r="F85" s="555">
        <f t="shared" si="2"/>
        <v>3.162608982585649E-3</v>
      </c>
      <c r="G85" s="555">
        <f t="shared" si="3"/>
        <v>0.71429243121431751</v>
      </c>
    </row>
    <row r="86" spans="1:7" s="556" customFormat="1" ht="15">
      <c r="A86" s="550" t="s">
        <v>21</v>
      </c>
      <c r="B86" s="558" t="s">
        <v>8521</v>
      </c>
      <c r="C86" s="552">
        <v>29858.400000000001</v>
      </c>
      <c r="D86" s="553">
        <v>30.16</v>
      </c>
      <c r="E86" s="554">
        <v>8.1199999999999992</v>
      </c>
      <c r="F86" s="555">
        <f t="shared" si="2"/>
        <v>3.1421857852494436E-3</v>
      </c>
      <c r="G86" s="555">
        <f t="shared" si="3"/>
        <v>0.71743461699956701</v>
      </c>
    </row>
    <row r="87" spans="1:7" s="556" customFormat="1" ht="30">
      <c r="A87" s="550" t="s">
        <v>21</v>
      </c>
      <c r="B87" s="551" t="s">
        <v>6793</v>
      </c>
      <c r="C87" s="552">
        <v>29379.51</v>
      </c>
      <c r="D87" s="553">
        <v>23146.230000000003</v>
      </c>
      <c r="E87" s="554">
        <v>6233.28</v>
      </c>
      <c r="F87" s="555">
        <f t="shared" si="2"/>
        <v>3.0917892016850824E-3</v>
      </c>
      <c r="G87" s="555">
        <f t="shared" si="3"/>
        <v>0.72052640620125208</v>
      </c>
    </row>
    <row r="88" spans="1:7" s="556" customFormat="1" ht="30">
      <c r="A88" s="550" t="s">
        <v>21</v>
      </c>
      <c r="B88" s="551" t="s">
        <v>8660</v>
      </c>
      <c r="C88" s="552">
        <f>25660.2+2955.2</f>
        <v>28615.4</v>
      </c>
      <c r="D88" s="553">
        <v>336.93</v>
      </c>
      <c r="E88" s="554">
        <v>90.74</v>
      </c>
      <c r="F88" s="555">
        <f t="shared" si="2"/>
        <v>3.0113771373960737E-3</v>
      </c>
      <c r="G88" s="555">
        <f t="shared" si="3"/>
        <v>0.72353778333864815</v>
      </c>
    </row>
    <row r="89" spans="1:7" s="556" customFormat="1" ht="15">
      <c r="A89" s="550" t="s">
        <v>21</v>
      </c>
      <c r="B89" s="551" t="s">
        <v>9535</v>
      </c>
      <c r="C89" s="552">
        <v>28419.79</v>
      </c>
      <c r="D89" s="553">
        <v>125.72999999999999</v>
      </c>
      <c r="E89" s="554">
        <v>33.86</v>
      </c>
      <c r="F89" s="555">
        <f t="shared" si="2"/>
        <v>2.9907918762483686E-3</v>
      </c>
      <c r="G89" s="555">
        <f t="shared" si="3"/>
        <v>0.72652857521489655</v>
      </c>
    </row>
    <row r="90" spans="1:7" s="556" customFormat="1" ht="30">
      <c r="A90" s="550" t="s">
        <v>21</v>
      </c>
      <c r="B90" s="551" t="s">
        <v>9596</v>
      </c>
      <c r="C90" s="552">
        <v>27750.240000000002</v>
      </c>
      <c r="D90" s="554">
        <v>86.76</v>
      </c>
      <c r="E90" s="554">
        <v>23.36</v>
      </c>
      <c r="F90" s="555">
        <f t="shared" si="2"/>
        <v>2.9203309509304087E-3</v>
      </c>
      <c r="G90" s="555">
        <f t="shared" si="3"/>
        <v>0.72944890616582692</v>
      </c>
    </row>
    <row r="91" spans="1:7" s="556" customFormat="1" ht="30">
      <c r="A91" s="550" t="s">
        <v>21</v>
      </c>
      <c r="B91" s="551" t="s">
        <v>8453</v>
      </c>
      <c r="C91" s="552">
        <v>27153</v>
      </c>
      <c r="D91" s="553">
        <v>30.56</v>
      </c>
      <c r="E91" s="554">
        <v>8.23</v>
      </c>
      <c r="F91" s="555">
        <f t="shared" si="2"/>
        <v>2.8574796582160511E-3</v>
      </c>
      <c r="G91" s="555">
        <f t="shared" si="3"/>
        <v>0.73230638582404295</v>
      </c>
    </row>
    <row r="92" spans="1:7" s="556" customFormat="1" ht="30">
      <c r="A92" s="550" t="s">
        <v>21</v>
      </c>
      <c r="B92" s="551" t="s">
        <v>6851</v>
      </c>
      <c r="C92" s="552">
        <v>25382.46</v>
      </c>
      <c r="D92" s="553">
        <v>57.24</v>
      </c>
      <c r="E92" s="554">
        <v>15.41</v>
      </c>
      <c r="F92" s="555">
        <f t="shared" si="2"/>
        <v>2.6711546836623058E-3</v>
      </c>
      <c r="G92" s="555">
        <f t="shared" si="3"/>
        <v>0.73497754050770525</v>
      </c>
    </row>
    <row r="93" spans="1:7" s="556" customFormat="1" ht="15">
      <c r="A93" s="550" t="s">
        <v>21</v>
      </c>
      <c r="B93" s="551" t="s">
        <v>9026</v>
      </c>
      <c r="C93" s="552">
        <v>25336.32</v>
      </c>
      <c r="D93" s="553">
        <v>25.99</v>
      </c>
      <c r="E93" s="554">
        <v>7</v>
      </c>
      <c r="F93" s="555">
        <f t="shared" si="2"/>
        <v>2.6662990834917873E-3</v>
      </c>
      <c r="G93" s="555">
        <f t="shared" si="3"/>
        <v>0.73764383959119706</v>
      </c>
    </row>
    <row r="94" spans="1:7" s="556" customFormat="1" ht="15">
      <c r="A94" s="550" t="s">
        <v>21</v>
      </c>
      <c r="B94" s="551" t="s">
        <v>6982</v>
      </c>
      <c r="C94" s="552">
        <v>25215.3</v>
      </c>
      <c r="D94" s="553">
        <v>22.38</v>
      </c>
      <c r="E94" s="554">
        <v>6.03</v>
      </c>
      <c r="F94" s="555">
        <f t="shared" si="2"/>
        <v>2.6535633935776963E-3</v>
      </c>
      <c r="G94" s="555">
        <f t="shared" si="3"/>
        <v>0.74029740298477476</v>
      </c>
    </row>
    <row r="95" spans="1:7" s="556" customFormat="1" ht="30">
      <c r="A95" s="550" t="s">
        <v>21</v>
      </c>
      <c r="B95" s="551" t="s">
        <v>7401</v>
      </c>
      <c r="C95" s="552">
        <v>25048.38</v>
      </c>
      <c r="D95" s="553">
        <v>858</v>
      </c>
      <c r="E95" s="554">
        <v>231.06</v>
      </c>
      <c r="F95" s="555">
        <f t="shared" si="2"/>
        <v>2.6359973601909835E-3</v>
      </c>
      <c r="G95" s="555">
        <f t="shared" si="3"/>
        <v>0.74293340034496569</v>
      </c>
    </row>
    <row r="96" spans="1:7" s="556" customFormat="1" ht="30">
      <c r="A96" s="550" t="s">
        <v>21</v>
      </c>
      <c r="B96" s="551" t="s">
        <v>8641</v>
      </c>
      <c r="C96" s="552">
        <f>21618.9+3073.46</f>
        <v>24692.36</v>
      </c>
      <c r="D96" s="553">
        <v>7.23</v>
      </c>
      <c r="E96" s="554">
        <v>1.95</v>
      </c>
      <c r="F96" s="555">
        <f t="shared" si="2"/>
        <v>2.5985311535869954E-3</v>
      </c>
      <c r="G96" s="555">
        <f t="shared" si="3"/>
        <v>0.74553193149855268</v>
      </c>
    </row>
    <row r="97" spans="1:7" s="556" customFormat="1" ht="15">
      <c r="A97" s="550" t="s">
        <v>21</v>
      </c>
      <c r="B97" s="551" t="s">
        <v>8659</v>
      </c>
      <c r="C97" s="552">
        <f>11043.56+13628.4</f>
        <v>24671.96</v>
      </c>
      <c r="D97" s="553">
        <v>6.59</v>
      </c>
      <c r="E97" s="554">
        <v>1.77</v>
      </c>
      <c r="F97" s="555">
        <f t="shared" si="2"/>
        <v>2.5963843342658301E-3</v>
      </c>
      <c r="G97" s="555">
        <f t="shared" si="3"/>
        <v>0.74812831583281847</v>
      </c>
    </row>
    <row r="98" spans="1:7" s="556" customFormat="1" ht="30">
      <c r="A98" s="550" t="s">
        <v>21</v>
      </c>
      <c r="B98" s="551" t="s">
        <v>7966</v>
      </c>
      <c r="C98" s="552">
        <v>24194.5</v>
      </c>
      <c r="D98" s="553">
        <v>34.659999999999997</v>
      </c>
      <c r="E98" s="554">
        <v>9.33</v>
      </c>
      <c r="F98" s="555">
        <f t="shared" si="2"/>
        <v>2.5461382385264333E-3</v>
      </c>
      <c r="G98" s="555">
        <f t="shared" si="3"/>
        <v>0.75067445407134492</v>
      </c>
    </row>
    <row r="99" spans="1:7" s="556" customFormat="1" ht="30">
      <c r="A99" s="550" t="s">
        <v>21</v>
      </c>
      <c r="B99" s="551" t="s">
        <v>7960</v>
      </c>
      <c r="C99" s="552">
        <v>23755.55</v>
      </c>
      <c r="D99" s="553">
        <v>20.09</v>
      </c>
      <c r="E99" s="554">
        <v>5.41</v>
      </c>
      <c r="F99" s="555">
        <f t="shared" si="2"/>
        <v>2.4999447904369429E-3</v>
      </c>
      <c r="G99" s="555">
        <f t="shared" si="3"/>
        <v>0.75317439886178184</v>
      </c>
    </row>
    <row r="100" spans="1:7" s="556" customFormat="1" ht="15">
      <c r="A100" s="550" t="s">
        <v>21</v>
      </c>
      <c r="B100" s="551" t="s">
        <v>7813</v>
      </c>
      <c r="C100" s="552">
        <v>23726.85</v>
      </c>
      <c r="D100" s="553">
        <v>60.26</v>
      </c>
      <c r="E100" s="554">
        <v>16.23</v>
      </c>
      <c r="F100" s="555">
        <f t="shared" si="2"/>
        <v>2.4969245103135381E-3</v>
      </c>
      <c r="G100" s="555">
        <f t="shared" si="3"/>
        <v>0.75567132337209542</v>
      </c>
    </row>
    <row r="101" spans="1:7" s="556" customFormat="1" ht="45">
      <c r="A101" s="550" t="s">
        <v>21</v>
      </c>
      <c r="B101" s="551" t="s">
        <v>6992</v>
      </c>
      <c r="C101" s="552">
        <v>23348.14</v>
      </c>
      <c r="D101" s="553">
        <v>303.64</v>
      </c>
      <c r="E101" s="554">
        <v>81.77</v>
      </c>
      <c r="F101" s="555">
        <f t="shared" si="2"/>
        <v>2.4570704933959604E-3</v>
      </c>
      <c r="G101" s="555">
        <f t="shared" si="3"/>
        <v>0.75812839386549136</v>
      </c>
    </row>
    <row r="102" spans="1:7" s="556" customFormat="1" ht="30">
      <c r="A102" s="550" t="s">
        <v>21</v>
      </c>
      <c r="B102" s="551" t="s">
        <v>9575</v>
      </c>
      <c r="C102" s="552">
        <v>22203.52</v>
      </c>
      <c r="D102" s="553">
        <v>7.1</v>
      </c>
      <c r="E102" s="554">
        <v>1.91</v>
      </c>
      <c r="F102" s="555">
        <f t="shared" si="2"/>
        <v>2.3366149869551525E-3</v>
      </c>
      <c r="G102" s="555">
        <f t="shared" si="3"/>
        <v>0.7604650088524465</v>
      </c>
    </row>
    <row r="103" spans="1:7" s="556" customFormat="1" ht="30">
      <c r="A103" s="550" t="s">
        <v>21</v>
      </c>
      <c r="B103" s="551" t="s">
        <v>7967</v>
      </c>
      <c r="C103" s="552">
        <v>22092</v>
      </c>
      <c r="D103" s="553">
        <v>43.51</v>
      </c>
      <c r="E103" s="554">
        <v>11.72</v>
      </c>
      <c r="F103" s="555">
        <f t="shared" si="2"/>
        <v>2.3248790413327807E-3</v>
      </c>
      <c r="G103" s="555">
        <f t="shared" si="3"/>
        <v>0.76278988789377933</v>
      </c>
    </row>
    <row r="104" spans="1:7" s="556" customFormat="1" ht="15">
      <c r="A104" s="550" t="s">
        <v>21</v>
      </c>
      <c r="B104" s="551" t="s">
        <v>15497</v>
      </c>
      <c r="C104" s="552">
        <f>15546.66+6491.58</f>
        <v>22038.239999999998</v>
      </c>
      <c r="D104" s="553">
        <v>2.21</v>
      </c>
      <c r="E104" s="554">
        <v>0.6</v>
      </c>
      <c r="F104" s="555">
        <f t="shared" si="2"/>
        <v>2.3192215410040621E-3</v>
      </c>
      <c r="G104" s="555">
        <f t="shared" si="3"/>
        <v>0.76510910943478339</v>
      </c>
    </row>
    <row r="105" spans="1:7" s="556" customFormat="1" ht="75">
      <c r="A105" s="550" t="s">
        <v>21</v>
      </c>
      <c r="B105" s="551" t="s">
        <v>7297</v>
      </c>
      <c r="C105" s="552">
        <v>22022.400000000001</v>
      </c>
      <c r="D105" s="553">
        <v>279.83999999999997</v>
      </c>
      <c r="E105" s="554">
        <v>75.36</v>
      </c>
      <c r="F105" s="555">
        <f t="shared" si="2"/>
        <v>2.317554598942922E-3</v>
      </c>
      <c r="G105" s="555">
        <f t="shared" si="3"/>
        <v>0.76742666403372628</v>
      </c>
    </row>
    <row r="106" spans="1:7" s="556" customFormat="1" ht="30">
      <c r="A106" s="550" t="s">
        <v>21</v>
      </c>
      <c r="B106" s="551" t="s">
        <v>6782</v>
      </c>
      <c r="C106" s="552">
        <v>21938.240000000002</v>
      </c>
      <c r="D106" s="553">
        <v>1080.23</v>
      </c>
      <c r="E106" s="554">
        <v>290.91000000000003</v>
      </c>
      <c r="F106" s="555">
        <f t="shared" si="2"/>
        <v>2.3086979168807022E-3</v>
      </c>
      <c r="G106" s="555">
        <f t="shared" si="3"/>
        <v>0.76973536195060699</v>
      </c>
    </row>
    <row r="107" spans="1:7" s="556" customFormat="1" ht="45">
      <c r="A107" s="550" t="s">
        <v>21</v>
      </c>
      <c r="B107" s="551" t="s">
        <v>6975</v>
      </c>
      <c r="C107" s="552">
        <v>21920.58</v>
      </c>
      <c r="D107" s="553">
        <v>29.21</v>
      </c>
      <c r="E107" s="554">
        <v>7.87</v>
      </c>
      <c r="F107" s="555">
        <f t="shared" si="2"/>
        <v>2.3068394448605167E-3</v>
      </c>
      <c r="G107" s="555">
        <f t="shared" si="3"/>
        <v>0.77204220139546753</v>
      </c>
    </row>
    <row r="108" spans="1:7" s="556" customFormat="1" ht="30">
      <c r="A108" s="550" t="s">
        <v>21</v>
      </c>
      <c r="B108" s="551" t="s">
        <v>15532</v>
      </c>
      <c r="C108" s="552">
        <v>21868</v>
      </c>
      <c r="D108" s="553">
        <v>15.879999999999999</v>
      </c>
      <c r="E108" s="554">
        <v>4.28</v>
      </c>
      <c r="F108" s="555">
        <f t="shared" si="2"/>
        <v>2.3013061232964537E-3</v>
      </c>
      <c r="G108" s="555">
        <f t="shared" si="3"/>
        <v>0.77434350751876402</v>
      </c>
    </row>
    <row r="109" spans="1:7" s="556" customFormat="1" ht="30">
      <c r="A109" s="550" t="s">
        <v>21</v>
      </c>
      <c r="B109" s="551" t="s">
        <v>8946</v>
      </c>
      <c r="C109" s="552">
        <v>21803.4</v>
      </c>
      <c r="D109" s="554">
        <v>572.58000000000004</v>
      </c>
      <c r="E109" s="554">
        <v>154.19999999999999</v>
      </c>
      <c r="F109" s="555">
        <f t="shared" si="2"/>
        <v>2.294507862112763E-3</v>
      </c>
      <c r="G109" s="555">
        <f t="shared" si="3"/>
        <v>0.77663801538087673</v>
      </c>
    </row>
    <row r="110" spans="1:7" s="556" customFormat="1" ht="60">
      <c r="A110" s="550" t="s">
        <v>21</v>
      </c>
      <c r="B110" s="551" t="s">
        <v>6807</v>
      </c>
      <c r="C110" s="552">
        <v>21730.93</v>
      </c>
      <c r="D110" s="553">
        <v>1007.08</v>
      </c>
      <c r="E110" s="554">
        <v>271.20999999999998</v>
      </c>
      <c r="F110" s="555">
        <f t="shared" si="2"/>
        <v>2.2868813917105634E-3</v>
      </c>
      <c r="G110" s="555">
        <f t="shared" si="3"/>
        <v>0.77892489677258725</v>
      </c>
    </row>
    <row r="111" spans="1:7" s="556" customFormat="1" ht="15">
      <c r="A111" s="550" t="s">
        <v>21</v>
      </c>
      <c r="B111" s="551" t="s">
        <v>9328</v>
      </c>
      <c r="C111" s="552">
        <v>21615.599999999999</v>
      </c>
      <c r="D111" s="553">
        <v>425.74</v>
      </c>
      <c r="E111" s="554">
        <v>114.65</v>
      </c>
      <c r="F111" s="555">
        <f t="shared" si="2"/>
        <v>2.2747444960090919E-3</v>
      </c>
      <c r="G111" s="555">
        <f t="shared" si="3"/>
        <v>0.78119964126859631</v>
      </c>
    </row>
    <row r="112" spans="1:7" s="556" customFormat="1" ht="30">
      <c r="A112" s="550" t="s">
        <v>21</v>
      </c>
      <c r="B112" s="551" t="s">
        <v>8764</v>
      </c>
      <c r="C112" s="552">
        <f>4375.75+17002.45</f>
        <v>21378.2</v>
      </c>
      <c r="D112" s="554">
        <v>57.37</v>
      </c>
      <c r="E112" s="554">
        <v>15.45</v>
      </c>
      <c r="F112" s="555">
        <f t="shared" si="2"/>
        <v>2.2497614123402343E-3</v>
      </c>
      <c r="G112" s="555">
        <f t="shared" si="3"/>
        <v>0.78344940268093655</v>
      </c>
    </row>
    <row r="113" spans="1:7" s="556" customFormat="1" ht="15">
      <c r="A113" s="550" t="s">
        <v>21</v>
      </c>
      <c r="B113" s="551" t="s">
        <v>9428</v>
      </c>
      <c r="C113" s="552">
        <v>21042.9</v>
      </c>
      <c r="D113" s="553">
        <v>921.02</v>
      </c>
      <c r="E113" s="554">
        <v>248.03</v>
      </c>
      <c r="F113" s="555">
        <f t="shared" si="2"/>
        <v>2.2144757006546069E-3</v>
      </c>
      <c r="G113" s="555">
        <f t="shared" si="3"/>
        <v>0.78566387838159113</v>
      </c>
    </row>
    <row r="114" spans="1:7" s="556" customFormat="1" ht="45">
      <c r="A114" s="550" t="s">
        <v>21</v>
      </c>
      <c r="B114" s="551" t="s">
        <v>6994</v>
      </c>
      <c r="C114" s="552">
        <v>20977.18</v>
      </c>
      <c r="D114" s="553">
        <v>470.44000000000005</v>
      </c>
      <c r="E114" s="554">
        <v>126.69</v>
      </c>
      <c r="F114" s="555">
        <f t="shared" si="2"/>
        <v>2.2075595748807346E-3</v>
      </c>
      <c r="G114" s="555">
        <f t="shared" si="3"/>
        <v>0.78787143795647185</v>
      </c>
    </row>
    <row r="115" spans="1:7" s="556" customFormat="1" ht="15">
      <c r="A115" s="550" t="s">
        <v>21</v>
      </c>
      <c r="B115" s="551" t="s">
        <v>9164</v>
      </c>
      <c r="C115" s="552">
        <v>20798.21</v>
      </c>
      <c r="D115" s="554">
        <v>8.57</v>
      </c>
      <c r="E115" s="554">
        <v>2.31</v>
      </c>
      <c r="F115" s="555">
        <f t="shared" si="2"/>
        <v>2.1887254447871562E-3</v>
      </c>
      <c r="G115" s="555">
        <f t="shared" si="3"/>
        <v>0.79006016340125906</v>
      </c>
    </row>
    <row r="116" spans="1:7" s="556" customFormat="1" ht="15">
      <c r="A116" s="550" t="s">
        <v>21</v>
      </c>
      <c r="B116" s="551" t="s">
        <v>8669</v>
      </c>
      <c r="C116" s="552">
        <f>19885.23+526.47</f>
        <v>20411.7</v>
      </c>
      <c r="D116" s="553">
        <v>11.94</v>
      </c>
      <c r="E116" s="554">
        <v>3.22</v>
      </c>
      <c r="F116" s="555">
        <f t="shared" si="2"/>
        <v>2.1480505851879561E-3</v>
      </c>
      <c r="G116" s="555">
        <f t="shared" si="3"/>
        <v>0.79220821398644703</v>
      </c>
    </row>
    <row r="117" spans="1:7" s="556" customFormat="1" ht="15">
      <c r="A117" s="550" t="s">
        <v>21</v>
      </c>
      <c r="B117" s="551" t="s">
        <v>9438</v>
      </c>
      <c r="C117" s="552">
        <v>20405.91</v>
      </c>
      <c r="D117" s="553">
        <v>19.91</v>
      </c>
      <c r="E117" s="554">
        <v>5.36</v>
      </c>
      <c r="F117" s="555">
        <f t="shared" si="2"/>
        <v>2.1474412673512136E-3</v>
      </c>
      <c r="G117" s="555">
        <f t="shared" si="3"/>
        <v>0.79435565525379825</v>
      </c>
    </row>
    <row r="118" spans="1:7" s="556" customFormat="1" ht="15">
      <c r="A118" s="550" t="s">
        <v>21</v>
      </c>
      <c r="B118" s="551" t="s">
        <v>9245</v>
      </c>
      <c r="C118" s="552">
        <f>14619.72+5714.65</f>
        <v>20334.37</v>
      </c>
      <c r="D118" s="553">
        <v>56.8</v>
      </c>
      <c r="E118" s="554">
        <v>15.3</v>
      </c>
      <c r="F118" s="555">
        <f t="shared" si="2"/>
        <v>2.1399126666533613E-3</v>
      </c>
      <c r="G118" s="555">
        <f t="shared" si="3"/>
        <v>0.79649556792045162</v>
      </c>
    </row>
    <row r="119" spans="1:7" s="556" customFormat="1" ht="30">
      <c r="A119" s="550" t="s">
        <v>21</v>
      </c>
      <c r="B119" s="551" t="s">
        <v>7093</v>
      </c>
      <c r="C119" s="552">
        <v>20062.84</v>
      </c>
      <c r="D119" s="553">
        <v>564.51</v>
      </c>
      <c r="E119" s="554">
        <v>152.02000000000001</v>
      </c>
      <c r="F119" s="555">
        <f t="shared" si="2"/>
        <v>2.1113378700712009E-3</v>
      </c>
      <c r="G119" s="555">
        <f t="shared" si="3"/>
        <v>0.79860690579052285</v>
      </c>
    </row>
    <row r="120" spans="1:7" s="556" customFormat="1" ht="15">
      <c r="A120" s="550" t="s">
        <v>21</v>
      </c>
      <c r="B120" s="551" t="s">
        <v>7144</v>
      </c>
      <c r="C120" s="552">
        <v>19439.310000000001</v>
      </c>
      <c r="D120" s="553">
        <v>42.93</v>
      </c>
      <c r="E120" s="554">
        <v>11.56</v>
      </c>
      <c r="F120" s="555">
        <f t="shared" si="2"/>
        <v>2.0457199165748118E-3</v>
      </c>
      <c r="G120" s="555">
        <f t="shared" si="3"/>
        <v>0.80065262570709761</v>
      </c>
    </row>
    <row r="121" spans="1:7" s="526" customFormat="1" ht="15">
      <c r="A121" s="479" t="s">
        <v>22</v>
      </c>
      <c r="B121" s="480" t="s">
        <v>8658</v>
      </c>
      <c r="C121" s="483">
        <f>16715.47+2667.07</f>
        <v>19382.54</v>
      </c>
      <c r="D121" s="481">
        <v>8.02</v>
      </c>
      <c r="E121" s="482">
        <v>2.16</v>
      </c>
      <c r="F121" s="549">
        <f t="shared" si="2"/>
        <v>2.03974565515998E-3</v>
      </c>
      <c r="G121" s="549">
        <f t="shared" si="3"/>
        <v>0.80269237136225757</v>
      </c>
    </row>
    <row r="122" spans="1:7" s="526" customFormat="1" ht="30">
      <c r="A122" s="479" t="s">
        <v>22</v>
      </c>
      <c r="B122" s="480" t="s">
        <v>15482</v>
      </c>
      <c r="C122" s="483">
        <v>19229.82</v>
      </c>
      <c r="D122" s="481">
        <v>7574.97</v>
      </c>
      <c r="E122" s="482">
        <v>2039.94</v>
      </c>
      <c r="F122" s="549">
        <f t="shared" si="2"/>
        <v>2.023673976398784E-3</v>
      </c>
      <c r="G122" s="549">
        <f t="shared" si="3"/>
        <v>0.80471604533865637</v>
      </c>
    </row>
    <row r="123" spans="1:7" s="526" customFormat="1" ht="30">
      <c r="A123" s="479" t="s">
        <v>22</v>
      </c>
      <c r="B123" s="480" t="s">
        <v>7831</v>
      </c>
      <c r="C123" s="483">
        <v>19012.7</v>
      </c>
      <c r="D123" s="481">
        <v>6.48</v>
      </c>
      <c r="E123" s="482">
        <v>1.75</v>
      </c>
      <c r="F123" s="549">
        <f t="shared" si="2"/>
        <v>2.0008250837021441E-3</v>
      </c>
      <c r="G123" s="549">
        <f t="shared" si="3"/>
        <v>0.80671687042235851</v>
      </c>
    </row>
    <row r="124" spans="1:7" s="526" customFormat="1" ht="30">
      <c r="A124" s="479" t="s">
        <v>22</v>
      </c>
      <c r="B124" s="480" t="s">
        <v>7108</v>
      </c>
      <c r="C124" s="483">
        <v>18935.8</v>
      </c>
      <c r="D124" s="481">
        <v>1491.83</v>
      </c>
      <c r="E124" s="482">
        <v>401.75</v>
      </c>
      <c r="F124" s="549">
        <f t="shared" si="2"/>
        <v>1.9927324167512799E-3</v>
      </c>
      <c r="G124" s="549">
        <f t="shared" si="3"/>
        <v>0.80870960283910975</v>
      </c>
    </row>
    <row r="125" spans="1:7" s="526" customFormat="1" ht="30">
      <c r="A125" s="479" t="s">
        <v>22</v>
      </c>
      <c r="B125" s="480" t="s">
        <v>6771</v>
      </c>
      <c r="C125" s="483">
        <v>18766.509999999998</v>
      </c>
      <c r="D125" s="481">
        <v>34.799999999999997</v>
      </c>
      <c r="E125" s="482">
        <v>9.3699999999999992</v>
      </c>
      <c r="F125" s="549">
        <f t="shared" si="2"/>
        <v>1.9749169734728429E-3</v>
      </c>
      <c r="G125" s="549">
        <f t="shared" si="3"/>
        <v>0.8106845198125826</v>
      </c>
    </row>
    <row r="126" spans="1:7" s="526" customFormat="1" ht="15">
      <c r="A126" s="479" t="s">
        <v>22</v>
      </c>
      <c r="B126" s="480" t="s">
        <v>8462</v>
      </c>
      <c r="C126" s="483">
        <v>18433.8</v>
      </c>
      <c r="D126" s="481">
        <v>6.29</v>
      </c>
      <c r="E126" s="482">
        <v>1.69</v>
      </c>
      <c r="F126" s="549">
        <f t="shared" si="2"/>
        <v>1.9399038236520105E-3</v>
      </c>
      <c r="G126" s="549">
        <f t="shared" si="3"/>
        <v>0.81262442363623466</v>
      </c>
    </row>
    <row r="127" spans="1:7" s="526" customFormat="1" ht="60">
      <c r="A127" s="479" t="s">
        <v>22</v>
      </c>
      <c r="B127" s="480" t="s">
        <v>6808</v>
      </c>
      <c r="C127" s="483">
        <v>17672.55</v>
      </c>
      <c r="D127" s="481">
        <v>663</v>
      </c>
      <c r="E127" s="482">
        <v>178.55</v>
      </c>
      <c r="F127" s="549">
        <f t="shared" si="2"/>
        <v>1.8597927350129293E-3</v>
      </c>
      <c r="G127" s="549">
        <f t="shared" si="3"/>
        <v>0.81448421637124757</v>
      </c>
    </row>
    <row r="128" spans="1:7" s="526" customFormat="1" ht="30">
      <c r="A128" s="479" t="s">
        <v>22</v>
      </c>
      <c r="B128" s="480" t="s">
        <v>15418</v>
      </c>
      <c r="C128" s="483">
        <v>17627.43</v>
      </c>
      <c r="D128" s="481">
        <v>7.24</v>
      </c>
      <c r="E128" s="482">
        <v>1.95</v>
      </c>
      <c r="F128" s="549">
        <f t="shared" si="2"/>
        <v>1.8550444758084692E-3</v>
      </c>
      <c r="G128" s="549">
        <f t="shared" si="3"/>
        <v>0.81633926084705599</v>
      </c>
    </row>
    <row r="129" spans="1:7" s="526" customFormat="1" ht="90">
      <c r="A129" s="479" t="s">
        <v>22</v>
      </c>
      <c r="B129" s="480" t="s">
        <v>7420</v>
      </c>
      <c r="C129" s="483">
        <v>16652.12</v>
      </c>
      <c r="D129" s="481">
        <v>6559.57</v>
      </c>
      <c r="E129" s="482">
        <v>1766.49</v>
      </c>
      <c r="F129" s="549">
        <f t="shared" si="2"/>
        <v>1.7524065173709228E-3</v>
      </c>
      <c r="G129" s="549">
        <f t="shared" si="3"/>
        <v>0.81809166736442696</v>
      </c>
    </row>
    <row r="130" spans="1:7" s="526" customFormat="1" ht="15">
      <c r="A130" s="479" t="s">
        <v>22</v>
      </c>
      <c r="B130" s="480" t="s">
        <v>7170</v>
      </c>
      <c r="C130" s="483">
        <v>16643.72</v>
      </c>
      <c r="D130" s="481">
        <v>30.35</v>
      </c>
      <c r="E130" s="482">
        <v>8.17</v>
      </c>
      <c r="F130" s="549">
        <f t="shared" si="2"/>
        <v>1.7515225329445606E-3</v>
      </c>
      <c r="G130" s="549">
        <f t="shared" si="3"/>
        <v>0.81984318989737148</v>
      </c>
    </row>
    <row r="131" spans="1:7" s="526" customFormat="1" ht="30">
      <c r="A131" s="479" t="s">
        <v>22</v>
      </c>
      <c r="B131" s="480" t="s">
        <v>8949</v>
      </c>
      <c r="C131" s="483">
        <v>16591.599999999999</v>
      </c>
      <c r="D131" s="482">
        <v>653.57000000000005</v>
      </c>
      <c r="E131" s="482">
        <v>176.01</v>
      </c>
      <c r="F131" s="549">
        <f t="shared" si="2"/>
        <v>1.746037620051465E-3</v>
      </c>
      <c r="G131" s="549">
        <f t="shared" si="3"/>
        <v>0.82158922751742292</v>
      </c>
    </row>
    <row r="132" spans="1:7" s="526" customFormat="1" ht="15">
      <c r="A132" s="479" t="s">
        <v>22</v>
      </c>
      <c r="B132" s="480" t="s">
        <v>8668</v>
      </c>
      <c r="C132" s="483">
        <v>16430.189999999999</v>
      </c>
      <c r="D132" s="481">
        <v>6.04</v>
      </c>
      <c r="E132" s="482">
        <v>1.63</v>
      </c>
      <c r="F132" s="549">
        <f t="shared" si="2"/>
        <v>1.729051438353949E-3</v>
      </c>
      <c r="G132" s="549">
        <f t="shared" si="3"/>
        <v>0.82331827895577692</v>
      </c>
    </row>
    <row r="133" spans="1:7" s="526" customFormat="1" ht="30">
      <c r="A133" s="479" t="s">
        <v>22</v>
      </c>
      <c r="B133" s="480" t="s">
        <v>9443</v>
      </c>
      <c r="C133" s="483">
        <v>16405.61</v>
      </c>
      <c r="D133" s="481">
        <v>191.45</v>
      </c>
      <c r="E133" s="482">
        <v>51.56</v>
      </c>
      <c r="F133" s="549">
        <f t="shared" si="2"/>
        <v>1.7264647315444271E-3</v>
      </c>
      <c r="G133" s="549">
        <f t="shared" si="3"/>
        <v>0.82504474368732139</v>
      </c>
    </row>
    <row r="134" spans="1:7" s="526" customFormat="1" ht="30">
      <c r="A134" s="479" t="s">
        <v>22</v>
      </c>
      <c r="B134" s="480" t="s">
        <v>15528</v>
      </c>
      <c r="C134" s="483">
        <v>16376</v>
      </c>
      <c r="D134" s="481">
        <v>14.08</v>
      </c>
      <c r="E134" s="482">
        <v>3.79</v>
      </c>
      <c r="F134" s="549">
        <f t="shared" si="2"/>
        <v>1.7233486864415E-3</v>
      </c>
      <c r="G134" s="549">
        <f t="shared" si="3"/>
        <v>0.82676809237376292</v>
      </c>
    </row>
    <row r="135" spans="1:7" s="526" customFormat="1" ht="45">
      <c r="A135" s="479" t="s">
        <v>22</v>
      </c>
      <c r="B135" s="480" t="s">
        <v>8827</v>
      </c>
      <c r="C135" s="483">
        <f>14877.85+1458.68</f>
        <v>16336.53</v>
      </c>
      <c r="D135" s="482">
        <v>47.96</v>
      </c>
      <c r="E135" s="482">
        <v>12.92</v>
      </c>
      <c r="F135" s="549">
        <f t="shared" si="2"/>
        <v>1.7191950120000099E-3</v>
      </c>
      <c r="G135" s="549">
        <f t="shared" si="3"/>
        <v>0.82848728738576294</v>
      </c>
    </row>
    <row r="136" spans="1:7" s="526" customFormat="1" ht="30">
      <c r="A136" s="479" t="s">
        <v>22</v>
      </c>
      <c r="B136" s="480" t="s">
        <v>15512</v>
      </c>
      <c r="C136" s="483">
        <v>16119</v>
      </c>
      <c r="D136" s="481">
        <v>3.9299999999999997</v>
      </c>
      <c r="E136" s="482">
        <v>1.06</v>
      </c>
      <c r="F136" s="549">
        <f t="shared" si="2"/>
        <v>1.6963029724444639E-3</v>
      </c>
      <c r="G136" s="549">
        <f t="shared" si="3"/>
        <v>0.83018359035820743</v>
      </c>
    </row>
    <row r="137" spans="1:7" s="526" customFormat="1" ht="30">
      <c r="A137" s="479" t="s">
        <v>22</v>
      </c>
      <c r="B137" s="480" t="s">
        <v>8117</v>
      </c>
      <c r="C137" s="483">
        <v>15515.28</v>
      </c>
      <c r="D137" s="481">
        <v>113.18</v>
      </c>
      <c r="E137" s="482">
        <v>30.48</v>
      </c>
      <c r="F137" s="549">
        <f t="shared" si="2"/>
        <v>1.6327697488869124E-3</v>
      </c>
      <c r="G137" s="549">
        <f t="shared" si="3"/>
        <v>0.83181636010709437</v>
      </c>
    </row>
    <row r="138" spans="1:7" s="526" customFormat="1" ht="30">
      <c r="A138" s="479" t="s">
        <v>22</v>
      </c>
      <c r="B138" s="480" t="s">
        <v>9284</v>
      </c>
      <c r="C138" s="483">
        <v>15231.6</v>
      </c>
      <c r="D138" s="482">
        <v>12000</v>
      </c>
      <c r="E138" s="482">
        <v>3231.6</v>
      </c>
      <c r="F138" s="549">
        <f t="shared" si="2"/>
        <v>1.6029163319737636E-3</v>
      </c>
      <c r="G138" s="549">
        <f t="shared" si="3"/>
        <v>0.8334192764390681</v>
      </c>
    </row>
    <row r="139" spans="1:7" s="526" customFormat="1" ht="30">
      <c r="A139" s="479" t="s">
        <v>22</v>
      </c>
      <c r="B139" s="480" t="s">
        <v>9239</v>
      </c>
      <c r="C139" s="483">
        <v>15052.57</v>
      </c>
      <c r="D139" s="481">
        <v>912.23</v>
      </c>
      <c r="E139" s="482">
        <v>245.66</v>
      </c>
      <c r="F139" s="549">
        <f t="shared" si="2"/>
        <v>1.5840758877057113E-3</v>
      </c>
      <c r="G139" s="549">
        <f t="shared" si="3"/>
        <v>0.83500335232677381</v>
      </c>
    </row>
    <row r="140" spans="1:7" s="526" customFormat="1" ht="15">
      <c r="A140" s="479" t="s">
        <v>22</v>
      </c>
      <c r="B140" s="480" t="s">
        <v>8045</v>
      </c>
      <c r="C140" s="483">
        <v>14683.5</v>
      </c>
      <c r="D140" s="481">
        <v>771.21</v>
      </c>
      <c r="E140" s="482">
        <v>207.69</v>
      </c>
      <c r="F140" s="549">
        <f t="shared" si="2"/>
        <v>1.5452363481536252E-3</v>
      </c>
      <c r="G140" s="549">
        <f t="shared" si="3"/>
        <v>0.83654858867492743</v>
      </c>
    </row>
    <row r="141" spans="1:7" s="526" customFormat="1" ht="60">
      <c r="A141" s="479" t="s">
        <v>22</v>
      </c>
      <c r="B141" s="480" t="s">
        <v>7307</v>
      </c>
      <c r="C141" s="483">
        <v>14574.15</v>
      </c>
      <c r="D141" s="481">
        <v>765.46999999999991</v>
      </c>
      <c r="E141" s="482">
        <v>206.14</v>
      </c>
      <c r="F141" s="549">
        <f t="shared" si="2"/>
        <v>1.5337287651747305E-3</v>
      </c>
      <c r="G141" s="549">
        <f t="shared" si="3"/>
        <v>0.8380823174401022</v>
      </c>
    </row>
    <row r="142" spans="1:7" s="526" customFormat="1" ht="30">
      <c r="A142" s="479" t="s">
        <v>22</v>
      </c>
      <c r="B142" s="480" t="s">
        <v>15509</v>
      </c>
      <c r="C142" s="483">
        <f>9300+5228.37</f>
        <v>14528.369999999999</v>
      </c>
      <c r="D142" s="481">
        <v>3.09</v>
      </c>
      <c r="E142" s="482">
        <v>0.83</v>
      </c>
      <c r="F142" s="549">
        <f t="shared" si="2"/>
        <v>1.5289110500510562E-3</v>
      </c>
      <c r="G142" s="549">
        <f t="shared" si="3"/>
        <v>0.83961122849015324</v>
      </c>
    </row>
    <row r="143" spans="1:7" s="526" customFormat="1" ht="15">
      <c r="A143" s="479" t="s">
        <v>22</v>
      </c>
      <c r="B143" s="480" t="s">
        <v>8948</v>
      </c>
      <c r="C143" s="483">
        <v>14194.8</v>
      </c>
      <c r="D143" s="482">
        <v>372.77</v>
      </c>
      <c r="E143" s="482">
        <v>100.39</v>
      </c>
      <c r="F143" s="549">
        <f t="shared" si="2"/>
        <v>1.4938073970627629E-3</v>
      </c>
      <c r="G143" s="549">
        <f t="shared" si="3"/>
        <v>0.84110503588721597</v>
      </c>
    </row>
    <row r="144" spans="1:7" s="526" customFormat="1" ht="30">
      <c r="A144" s="479" t="s">
        <v>22</v>
      </c>
      <c r="B144" s="480" t="s">
        <v>7095</v>
      </c>
      <c r="C144" s="483">
        <v>14109</v>
      </c>
      <c r="D144" s="481">
        <v>1111.5600000000002</v>
      </c>
      <c r="E144" s="482">
        <v>299.33999999999997</v>
      </c>
      <c r="F144" s="549">
        <f t="shared" ref="F144:F207" si="4">C144/SUM(C:C)</f>
        <v>1.4847781275649197E-3</v>
      </c>
      <c r="G144" s="549">
        <f t="shared" ref="G144:G207" si="5">F144+G143</f>
        <v>0.84258981401478084</v>
      </c>
    </row>
    <row r="145" spans="1:7" s="526" customFormat="1" ht="45">
      <c r="A145" s="479" t="s">
        <v>22</v>
      </c>
      <c r="B145" s="480" t="s">
        <v>8935</v>
      </c>
      <c r="C145" s="483">
        <v>13615.24</v>
      </c>
      <c r="D145" s="482">
        <v>82.01</v>
      </c>
      <c r="E145" s="482">
        <v>22.09</v>
      </c>
      <c r="F145" s="549">
        <f t="shared" si="4"/>
        <v>1.4328166810934153E-3</v>
      </c>
      <c r="G145" s="549">
        <f t="shared" si="5"/>
        <v>0.84402263069587424</v>
      </c>
    </row>
    <row r="146" spans="1:7" s="526" customFormat="1" ht="15">
      <c r="A146" s="479" t="s">
        <v>22</v>
      </c>
      <c r="B146" s="480" t="s">
        <v>7171</v>
      </c>
      <c r="C146" s="483">
        <v>13272.12</v>
      </c>
      <c r="D146" s="481">
        <v>39.19</v>
      </c>
      <c r="E146" s="482">
        <v>10.55</v>
      </c>
      <c r="F146" s="549">
        <f t="shared" si="4"/>
        <v>1.3967080220013413E-3</v>
      </c>
      <c r="G146" s="549">
        <f t="shared" si="5"/>
        <v>0.84541933871787556</v>
      </c>
    </row>
    <row r="147" spans="1:7" s="526" customFormat="1" ht="30">
      <c r="A147" s="479" t="s">
        <v>22</v>
      </c>
      <c r="B147" s="480" t="s">
        <v>8759</v>
      </c>
      <c r="C147" s="483">
        <f>11084.85+1884.19</f>
        <v>12969.04</v>
      </c>
      <c r="D147" s="481">
        <v>9.24</v>
      </c>
      <c r="E147" s="482">
        <v>2.4900000000000002</v>
      </c>
      <c r="F147" s="549">
        <f t="shared" si="4"/>
        <v>1.3648130220082605E-3</v>
      </c>
      <c r="G147" s="549">
        <f t="shared" si="5"/>
        <v>0.84678415173988386</v>
      </c>
    </row>
    <row r="148" spans="1:7" s="526" customFormat="1" ht="15">
      <c r="A148" s="479" t="s">
        <v>22</v>
      </c>
      <c r="B148" s="480" t="s">
        <v>7406</v>
      </c>
      <c r="C148" s="483">
        <f>11819+1092.7</f>
        <v>12911.7</v>
      </c>
      <c r="D148" s="481">
        <v>1.76</v>
      </c>
      <c r="E148" s="482">
        <v>0.47</v>
      </c>
      <c r="F148" s="549">
        <f t="shared" si="4"/>
        <v>1.3587787759359257E-3</v>
      </c>
      <c r="G148" s="549">
        <f t="shared" si="5"/>
        <v>0.84814293051581979</v>
      </c>
    </row>
    <row r="149" spans="1:7" s="526" customFormat="1" ht="30">
      <c r="A149" s="479" t="s">
        <v>22</v>
      </c>
      <c r="B149" s="480" t="s">
        <v>15408</v>
      </c>
      <c r="C149" s="483">
        <v>12721.12</v>
      </c>
      <c r="D149" s="481">
        <v>2505.54</v>
      </c>
      <c r="E149" s="482">
        <v>674.74</v>
      </c>
      <c r="F149" s="549">
        <f t="shared" si="4"/>
        <v>1.3387228530816254E-3</v>
      </c>
      <c r="G149" s="549">
        <f t="shared" si="5"/>
        <v>0.84948165336890147</v>
      </c>
    </row>
    <row r="150" spans="1:7" s="526" customFormat="1" ht="15">
      <c r="A150" s="479" t="s">
        <v>22</v>
      </c>
      <c r="B150" s="480" t="s">
        <v>7368</v>
      </c>
      <c r="C150" s="483">
        <v>12212.26</v>
      </c>
      <c r="D150" s="481">
        <v>181.53000000000003</v>
      </c>
      <c r="E150" s="482">
        <v>48.89</v>
      </c>
      <c r="F150" s="549">
        <f t="shared" si="4"/>
        <v>1.2851723393674935E-3</v>
      </c>
      <c r="G150" s="549">
        <f t="shared" si="5"/>
        <v>0.850766825708269</v>
      </c>
    </row>
    <row r="151" spans="1:7" s="526" customFormat="1" ht="15">
      <c r="A151" s="479" t="s">
        <v>22</v>
      </c>
      <c r="B151" s="480" t="s">
        <v>6980</v>
      </c>
      <c r="C151" s="483">
        <v>12126.75</v>
      </c>
      <c r="D151" s="481">
        <v>59.3</v>
      </c>
      <c r="E151" s="482">
        <v>15.97</v>
      </c>
      <c r="F151" s="549">
        <f t="shared" si="4"/>
        <v>1.2761735883796081E-3</v>
      </c>
      <c r="G151" s="549">
        <f t="shared" si="5"/>
        <v>0.85204299929664862</v>
      </c>
    </row>
    <row r="152" spans="1:7" s="526" customFormat="1" ht="30">
      <c r="A152" s="479" t="s">
        <v>22</v>
      </c>
      <c r="B152" s="480" t="s">
        <v>9283</v>
      </c>
      <c r="C152" s="483">
        <v>12114</v>
      </c>
      <c r="D152" s="482">
        <v>106.03999999999999</v>
      </c>
      <c r="E152" s="482">
        <v>28.56</v>
      </c>
      <c r="F152" s="549">
        <f t="shared" si="4"/>
        <v>1.2748318263038796E-3</v>
      </c>
      <c r="G152" s="549">
        <f t="shared" si="5"/>
        <v>0.85331783112295245</v>
      </c>
    </row>
    <row r="153" spans="1:7" s="526" customFormat="1" ht="15">
      <c r="A153" s="479" t="s">
        <v>22</v>
      </c>
      <c r="B153" s="480" t="s">
        <v>8047</v>
      </c>
      <c r="C153" s="483">
        <v>11940.6</v>
      </c>
      <c r="D153" s="481">
        <v>470.35999999999996</v>
      </c>
      <c r="E153" s="482">
        <v>126.67</v>
      </c>
      <c r="F153" s="549">
        <f t="shared" si="4"/>
        <v>1.2565838620739727E-3</v>
      </c>
      <c r="G153" s="549">
        <f t="shared" si="5"/>
        <v>0.8545744149850264</v>
      </c>
    </row>
    <row r="154" spans="1:7" s="526" customFormat="1" ht="45">
      <c r="A154" s="479" t="s">
        <v>22</v>
      </c>
      <c r="B154" s="480" t="s">
        <v>9567</v>
      </c>
      <c r="C154" s="483">
        <v>11839.21</v>
      </c>
      <c r="D154" s="481">
        <v>11.32</v>
      </c>
      <c r="E154" s="482">
        <v>3.05</v>
      </c>
      <c r="F154" s="549">
        <f t="shared" si="4"/>
        <v>1.2459139595752974E-3</v>
      </c>
      <c r="G154" s="549">
        <f t="shared" si="5"/>
        <v>0.85582032894460169</v>
      </c>
    </row>
    <row r="155" spans="1:7" s="526" customFormat="1" ht="45">
      <c r="A155" s="479" t="s">
        <v>22</v>
      </c>
      <c r="B155" s="480" t="s">
        <v>8108</v>
      </c>
      <c r="C155" s="483">
        <v>11818.95</v>
      </c>
      <c r="D155" s="481">
        <v>47.75</v>
      </c>
      <c r="E155" s="482">
        <v>12.86</v>
      </c>
      <c r="F155" s="549">
        <f t="shared" si="4"/>
        <v>1.2437818733279048E-3</v>
      </c>
      <c r="G155" s="549">
        <f t="shared" si="5"/>
        <v>0.85706411081792955</v>
      </c>
    </row>
    <row r="156" spans="1:7" s="526" customFormat="1" ht="30">
      <c r="A156" s="479" t="s">
        <v>22</v>
      </c>
      <c r="B156" s="480" t="s">
        <v>6803</v>
      </c>
      <c r="C156" s="483">
        <v>11782.12</v>
      </c>
      <c r="D156" s="481">
        <v>4641.1900000000005</v>
      </c>
      <c r="E156" s="482">
        <v>1249.8699999999999</v>
      </c>
      <c r="F156" s="549">
        <f t="shared" si="4"/>
        <v>1.2399060225632712E-3</v>
      </c>
      <c r="G156" s="549">
        <f t="shared" si="5"/>
        <v>0.85830401684049284</v>
      </c>
    </row>
    <row r="157" spans="1:7" s="526" customFormat="1" ht="15">
      <c r="A157" s="479" t="s">
        <v>22</v>
      </c>
      <c r="B157" s="480" t="s">
        <v>6772</v>
      </c>
      <c r="C157" s="483">
        <v>11776.3</v>
      </c>
      <c r="D157" s="481">
        <v>52.67</v>
      </c>
      <c r="E157" s="482">
        <v>14.18</v>
      </c>
      <c r="F157" s="549">
        <f t="shared" si="4"/>
        <v>1.2392935476392914E-3</v>
      </c>
      <c r="G157" s="549">
        <f t="shared" si="5"/>
        <v>0.85954331038813214</v>
      </c>
    </row>
    <row r="158" spans="1:7" s="526" customFormat="1" ht="30">
      <c r="A158" s="479" t="s">
        <v>22</v>
      </c>
      <c r="B158" s="480" t="s">
        <v>15538</v>
      </c>
      <c r="C158" s="483">
        <v>11775</v>
      </c>
      <c r="D158" s="481">
        <v>30.2</v>
      </c>
      <c r="E158" s="482">
        <v>8.1300000000000008</v>
      </c>
      <c r="F158" s="549">
        <f t="shared" si="4"/>
        <v>1.2391567405256878E-3</v>
      </c>
      <c r="G158" s="549">
        <f t="shared" si="5"/>
        <v>0.8607824671286578</v>
      </c>
    </row>
    <row r="159" spans="1:7" s="526" customFormat="1" ht="15">
      <c r="A159" s="479" t="s">
        <v>22</v>
      </c>
      <c r="B159" s="480" t="s">
        <v>8048</v>
      </c>
      <c r="C159" s="483">
        <v>11772.5</v>
      </c>
      <c r="D159" s="481">
        <v>545.57999999999993</v>
      </c>
      <c r="E159" s="482">
        <v>146.91999999999999</v>
      </c>
      <c r="F159" s="549">
        <f t="shared" si="4"/>
        <v>1.2388936499226038E-3</v>
      </c>
      <c r="G159" s="549">
        <f t="shared" si="5"/>
        <v>0.86202136077858038</v>
      </c>
    </row>
    <row r="160" spans="1:7" s="526" customFormat="1" ht="30">
      <c r="A160" s="479" t="s">
        <v>22</v>
      </c>
      <c r="B160" s="480" t="s">
        <v>6849</v>
      </c>
      <c r="C160" s="483">
        <f>11266.71+95.05</f>
        <v>11361.759999999998</v>
      </c>
      <c r="D160" s="481">
        <v>2.92</v>
      </c>
      <c r="E160" s="482">
        <v>0.79</v>
      </c>
      <c r="F160" s="549">
        <f t="shared" si="4"/>
        <v>1.1956689161983132E-3</v>
      </c>
      <c r="G160" s="549">
        <f t="shared" si="5"/>
        <v>0.86321702969477865</v>
      </c>
    </row>
    <row r="161" spans="1:7" s="526" customFormat="1" ht="30">
      <c r="A161" s="479" t="s">
        <v>22</v>
      </c>
      <c r="B161" s="480" t="s">
        <v>8116</v>
      </c>
      <c r="C161" s="483">
        <v>11205.48</v>
      </c>
      <c r="D161" s="481">
        <v>113.18</v>
      </c>
      <c r="E161" s="482">
        <v>30.48</v>
      </c>
      <c r="F161" s="549">
        <f t="shared" si="4"/>
        <v>1.1792225964183255E-3</v>
      </c>
      <c r="G161" s="549">
        <f t="shared" si="5"/>
        <v>0.86439625229119699</v>
      </c>
    </row>
    <row r="162" spans="1:7" s="526" customFormat="1" ht="15">
      <c r="A162" s="479" t="s">
        <v>22</v>
      </c>
      <c r="B162" s="480" t="s">
        <v>6838</v>
      </c>
      <c r="C162" s="483">
        <v>11136.72</v>
      </c>
      <c r="D162" s="481">
        <v>326.89999999999998</v>
      </c>
      <c r="E162" s="482">
        <v>88.03</v>
      </c>
      <c r="F162" s="549">
        <f t="shared" si="4"/>
        <v>1.171986552471103E-3</v>
      </c>
      <c r="G162" s="549">
        <f t="shared" si="5"/>
        <v>0.86556823884366807</v>
      </c>
    </row>
    <row r="163" spans="1:7" s="526" customFormat="1" ht="30">
      <c r="A163" s="479" t="s">
        <v>22</v>
      </c>
      <c r="B163" s="480" t="s">
        <v>9162</v>
      </c>
      <c r="C163" s="483">
        <v>11038.15</v>
      </c>
      <c r="D163" s="482">
        <v>4.97</v>
      </c>
      <c r="E163" s="482">
        <v>1.34</v>
      </c>
      <c r="F163" s="549">
        <f t="shared" si="4"/>
        <v>1.1616134161727067E-3</v>
      </c>
      <c r="G163" s="549">
        <f t="shared" si="5"/>
        <v>0.86672985225984078</v>
      </c>
    </row>
    <row r="164" spans="1:7" s="526" customFormat="1" ht="30">
      <c r="A164" s="479" t="s">
        <v>22</v>
      </c>
      <c r="B164" s="480" t="s">
        <v>9426</v>
      </c>
      <c r="C164" s="483">
        <v>10981.28</v>
      </c>
      <c r="D164" s="481">
        <v>1081.4299999999998</v>
      </c>
      <c r="E164" s="482">
        <v>291.23</v>
      </c>
      <c r="F164" s="549">
        <f t="shared" si="4"/>
        <v>1.1556286311337517E-3</v>
      </c>
      <c r="G164" s="549">
        <f t="shared" si="5"/>
        <v>0.8678854808909745</v>
      </c>
    </row>
    <row r="165" spans="1:7" s="526" customFormat="1" ht="15">
      <c r="A165" s="479" t="s">
        <v>22</v>
      </c>
      <c r="B165" s="480" t="s">
        <v>6779</v>
      </c>
      <c r="C165" s="483">
        <v>10968.1</v>
      </c>
      <c r="D165" s="481">
        <v>25.97</v>
      </c>
      <c r="E165" s="482">
        <v>6.99</v>
      </c>
      <c r="F165" s="549">
        <f t="shared" si="4"/>
        <v>1.1542416174742927E-3</v>
      </c>
      <c r="G165" s="549">
        <f t="shared" si="5"/>
        <v>0.86903972250844874</v>
      </c>
    </row>
    <row r="166" spans="1:7" s="526" customFormat="1" ht="90">
      <c r="A166" s="479" t="s">
        <v>22</v>
      </c>
      <c r="B166" s="480" t="s">
        <v>7299</v>
      </c>
      <c r="C166" s="483">
        <v>10530.1</v>
      </c>
      <c r="D166" s="481">
        <v>237.03000000000003</v>
      </c>
      <c r="E166" s="482">
        <v>63.83</v>
      </c>
      <c r="F166" s="549">
        <f t="shared" si="4"/>
        <v>1.1081481438139742E-3</v>
      </c>
      <c r="G166" s="549">
        <f t="shared" si="5"/>
        <v>0.87014787065226273</v>
      </c>
    </row>
    <row r="167" spans="1:7" s="526" customFormat="1" ht="45">
      <c r="A167" s="479" t="s">
        <v>22</v>
      </c>
      <c r="B167" s="480" t="s">
        <v>6995</v>
      </c>
      <c r="C167" s="483">
        <v>10394.11</v>
      </c>
      <c r="D167" s="481">
        <v>569.86</v>
      </c>
      <c r="E167" s="482">
        <v>153.46</v>
      </c>
      <c r="F167" s="549">
        <f t="shared" si="4"/>
        <v>1.0938370673686164E-3</v>
      </c>
      <c r="G167" s="549">
        <f t="shared" si="5"/>
        <v>0.87124170771963139</v>
      </c>
    </row>
    <row r="168" spans="1:7" s="526" customFormat="1" ht="15">
      <c r="A168" s="479" t="s">
        <v>22</v>
      </c>
      <c r="B168" s="480" t="s">
        <v>8667</v>
      </c>
      <c r="C168" s="483">
        <v>10310.42</v>
      </c>
      <c r="D168" s="481">
        <v>7.13</v>
      </c>
      <c r="E168" s="482">
        <v>1.92</v>
      </c>
      <c r="F168" s="549">
        <f t="shared" si="4"/>
        <v>1.085029846339776E-3</v>
      </c>
      <c r="G168" s="549">
        <f t="shared" si="5"/>
        <v>0.87232673756597112</v>
      </c>
    </row>
    <row r="169" spans="1:7" s="526" customFormat="1" ht="30">
      <c r="A169" s="479" t="s">
        <v>22</v>
      </c>
      <c r="B169" s="480" t="s">
        <v>9423</v>
      </c>
      <c r="C169" s="483">
        <v>10199.129999999999</v>
      </c>
      <c r="D169" s="481">
        <v>11.41</v>
      </c>
      <c r="E169" s="482">
        <v>3.07</v>
      </c>
      <c r="F169" s="549">
        <f t="shared" si="4"/>
        <v>1.073318105052888E-3</v>
      </c>
      <c r="G169" s="549">
        <f t="shared" si="5"/>
        <v>0.87340005567102397</v>
      </c>
    </row>
    <row r="170" spans="1:7" s="526" customFormat="1" ht="30">
      <c r="A170" s="479" t="s">
        <v>22</v>
      </c>
      <c r="B170" s="480" t="s">
        <v>7984</v>
      </c>
      <c r="C170" s="483">
        <v>9975.9</v>
      </c>
      <c r="D170" s="481">
        <v>23.82</v>
      </c>
      <c r="E170" s="482">
        <v>6.41</v>
      </c>
      <c r="F170" s="549">
        <f t="shared" si="4"/>
        <v>1.0498262189223106E-3</v>
      </c>
      <c r="G170" s="549">
        <f t="shared" si="5"/>
        <v>0.87444988188994632</v>
      </c>
    </row>
    <row r="171" spans="1:7" s="526" customFormat="1" ht="15">
      <c r="A171" s="479" t="s">
        <v>22</v>
      </c>
      <c r="B171" s="480" t="s">
        <v>8657</v>
      </c>
      <c r="C171" s="483">
        <f>4612.1+1748.6+3534.56</f>
        <v>9895.26</v>
      </c>
      <c r="D171" s="481">
        <v>9.84</v>
      </c>
      <c r="E171" s="482">
        <v>2.65</v>
      </c>
      <c r="F171" s="549">
        <f t="shared" si="4"/>
        <v>1.0413399684292329E-3</v>
      </c>
      <c r="G171" s="549">
        <f t="shared" si="5"/>
        <v>0.87549122185837558</v>
      </c>
    </row>
    <row r="172" spans="1:7" s="526" customFormat="1" ht="30">
      <c r="A172" s="479" t="s">
        <v>22</v>
      </c>
      <c r="B172" s="480" t="s">
        <v>8115</v>
      </c>
      <c r="C172" s="483">
        <v>9840.6</v>
      </c>
      <c r="D172" s="481">
        <v>129.21</v>
      </c>
      <c r="E172" s="482">
        <v>34.799999999999997</v>
      </c>
      <c r="F172" s="549">
        <f t="shared" si="4"/>
        <v>1.0355877554834041E-3</v>
      </c>
      <c r="G172" s="549">
        <f t="shared" si="5"/>
        <v>0.87652680961385898</v>
      </c>
    </row>
    <row r="173" spans="1:7" s="526" customFormat="1" ht="45">
      <c r="A173" s="479" t="s">
        <v>22</v>
      </c>
      <c r="B173" s="480" t="s">
        <v>9412</v>
      </c>
      <c r="C173" s="483">
        <v>9733.27</v>
      </c>
      <c r="D173" s="481">
        <v>161.94999999999999</v>
      </c>
      <c r="E173" s="482">
        <v>43.61</v>
      </c>
      <c r="F173" s="549">
        <f t="shared" si="4"/>
        <v>1.0242927497118015E-3</v>
      </c>
      <c r="G173" s="549">
        <f t="shared" si="5"/>
        <v>0.87755110236357081</v>
      </c>
    </row>
    <row r="174" spans="1:7" s="526" customFormat="1" ht="30">
      <c r="A174" s="479" t="s">
        <v>22</v>
      </c>
      <c r="B174" s="480" t="s">
        <v>8049</v>
      </c>
      <c r="C174" s="483">
        <v>9672.6</v>
      </c>
      <c r="D174" s="481">
        <v>7620.42</v>
      </c>
      <c r="E174" s="482">
        <v>2052.1799999999998</v>
      </c>
      <c r="F174" s="549">
        <f t="shared" si="4"/>
        <v>1.0179080669561586E-3</v>
      </c>
      <c r="G174" s="549">
        <f t="shared" si="5"/>
        <v>0.87856901043052693</v>
      </c>
    </row>
    <row r="175" spans="1:7" s="526" customFormat="1" ht="45">
      <c r="A175" s="479" t="s">
        <v>22</v>
      </c>
      <c r="B175" s="480" t="s">
        <v>8110</v>
      </c>
      <c r="C175" s="483">
        <v>9626.4</v>
      </c>
      <c r="D175" s="481">
        <v>31.6</v>
      </c>
      <c r="E175" s="482">
        <v>8.51</v>
      </c>
      <c r="F175" s="549">
        <f t="shared" si="4"/>
        <v>1.013046152611166E-3</v>
      </c>
      <c r="G175" s="549">
        <f t="shared" si="5"/>
        <v>0.87958205658313815</v>
      </c>
    </row>
    <row r="176" spans="1:7" s="526" customFormat="1" ht="30">
      <c r="A176" s="479" t="s">
        <v>22</v>
      </c>
      <c r="B176" s="480" t="s">
        <v>6976</v>
      </c>
      <c r="C176" s="483">
        <v>9571.0300000000007</v>
      </c>
      <c r="D176" s="481">
        <v>282.52</v>
      </c>
      <c r="E176" s="482">
        <v>76.08</v>
      </c>
      <c r="F176" s="549">
        <f t="shared" si="4"/>
        <v>1.0072192219340616E-3</v>
      </c>
      <c r="G176" s="549">
        <f t="shared" si="5"/>
        <v>0.88058927580507218</v>
      </c>
    </row>
    <row r="177" spans="1:7" s="526" customFormat="1" ht="30">
      <c r="A177" s="479" t="s">
        <v>22</v>
      </c>
      <c r="B177" s="480" t="s">
        <v>8980</v>
      </c>
      <c r="C177" s="483">
        <v>9432.86</v>
      </c>
      <c r="D177" s="481">
        <v>36.86</v>
      </c>
      <c r="E177" s="482">
        <v>9.93</v>
      </c>
      <c r="F177" s="549">
        <f t="shared" si="4"/>
        <v>9.9267873048281452E-4</v>
      </c>
      <c r="G177" s="549">
        <f t="shared" si="5"/>
        <v>0.88158195453555499</v>
      </c>
    </row>
    <row r="178" spans="1:7" s="526" customFormat="1" ht="30">
      <c r="A178" s="479" t="s">
        <v>22</v>
      </c>
      <c r="B178" s="480" t="s">
        <v>6846</v>
      </c>
      <c r="C178" s="483">
        <v>9411.67</v>
      </c>
      <c r="D178" s="481">
        <v>24.22</v>
      </c>
      <c r="E178" s="482">
        <v>6.52</v>
      </c>
      <c r="F178" s="549">
        <f t="shared" si="4"/>
        <v>9.9044877453107437E-4</v>
      </c>
      <c r="G178" s="549">
        <f t="shared" si="5"/>
        <v>0.88257240331008602</v>
      </c>
    </row>
    <row r="179" spans="1:7" s="526" customFormat="1" ht="15">
      <c r="A179" s="479" t="s">
        <v>22</v>
      </c>
      <c r="B179" s="480" t="s">
        <v>9621</v>
      </c>
      <c r="C179" s="483">
        <v>9326.25</v>
      </c>
      <c r="D179" s="481">
        <v>6.73</v>
      </c>
      <c r="E179" s="482">
        <v>1.81</v>
      </c>
      <c r="F179" s="549">
        <f t="shared" si="4"/>
        <v>9.8145949480489981E-4</v>
      </c>
      <c r="G179" s="549">
        <f t="shared" si="5"/>
        <v>0.8835538628048909</v>
      </c>
    </row>
    <row r="180" spans="1:7" s="526" customFormat="1" ht="15">
      <c r="A180" s="479" t="s">
        <v>22</v>
      </c>
      <c r="B180" s="480" t="s">
        <v>8455</v>
      </c>
      <c r="C180" s="483">
        <v>9300.4699999999993</v>
      </c>
      <c r="D180" s="481">
        <v>170.4</v>
      </c>
      <c r="E180" s="482">
        <v>45.89</v>
      </c>
      <c r="F180" s="549">
        <f t="shared" si="4"/>
        <v>9.7874650450589752E-4</v>
      </c>
      <c r="G180" s="549">
        <f t="shared" si="5"/>
        <v>0.88453260930939681</v>
      </c>
    </row>
    <row r="181" spans="1:7" s="526" customFormat="1" ht="15">
      <c r="A181" s="479" t="s">
        <v>22</v>
      </c>
      <c r="B181" s="480" t="s">
        <v>7002</v>
      </c>
      <c r="C181" s="483">
        <v>9240.9</v>
      </c>
      <c r="D181" s="481">
        <v>59.3</v>
      </c>
      <c r="E181" s="482">
        <v>15.97</v>
      </c>
      <c r="F181" s="549">
        <f t="shared" si="4"/>
        <v>9.724775816156117E-4</v>
      </c>
      <c r="G181" s="549">
        <f t="shared" si="5"/>
        <v>0.88550508689101237</v>
      </c>
    </row>
    <row r="182" spans="1:7" s="526" customFormat="1" ht="45">
      <c r="A182" s="479" t="s">
        <v>22</v>
      </c>
      <c r="B182" s="480" t="s">
        <v>6783</v>
      </c>
      <c r="C182" s="483">
        <v>9102.7199999999993</v>
      </c>
      <c r="D182" s="481">
        <v>1195.24</v>
      </c>
      <c r="E182" s="482">
        <v>321.88</v>
      </c>
      <c r="F182" s="549">
        <f t="shared" si="4"/>
        <v>9.5793603780195227E-4</v>
      </c>
      <c r="G182" s="549">
        <f t="shared" si="5"/>
        <v>0.88646302292881429</v>
      </c>
    </row>
    <row r="183" spans="1:7" s="526" customFormat="1" ht="15">
      <c r="A183" s="479" t="s">
        <v>22</v>
      </c>
      <c r="B183" s="480" t="s">
        <v>8046</v>
      </c>
      <c r="C183" s="483">
        <v>8893.7000000000007</v>
      </c>
      <c r="D183" s="481">
        <v>700.68000000000006</v>
      </c>
      <c r="E183" s="482">
        <v>188.69</v>
      </c>
      <c r="F183" s="549">
        <f t="shared" si="4"/>
        <v>9.3593955865930447E-4</v>
      </c>
      <c r="G183" s="549">
        <f t="shared" si="5"/>
        <v>0.88739896248747363</v>
      </c>
    </row>
    <row r="184" spans="1:7" s="526" customFormat="1" ht="15">
      <c r="A184" s="479" t="s">
        <v>22</v>
      </c>
      <c r="B184" s="480" t="s">
        <v>7350</v>
      </c>
      <c r="C184" s="483">
        <v>8863.08</v>
      </c>
      <c r="D184" s="481">
        <v>34.44</v>
      </c>
      <c r="E184" s="482">
        <v>9.27</v>
      </c>
      <c r="F184" s="549">
        <f t="shared" si="4"/>
        <v>9.3271722495273147E-4</v>
      </c>
      <c r="G184" s="549">
        <f t="shared" si="5"/>
        <v>0.88833167971242633</v>
      </c>
    </row>
    <row r="185" spans="1:7" s="526" customFormat="1" ht="30">
      <c r="A185" s="479" t="s">
        <v>22</v>
      </c>
      <c r="B185" s="480" t="s">
        <v>9641</v>
      </c>
      <c r="C185" s="483">
        <v>8634.68</v>
      </c>
      <c r="D185" s="481">
        <v>24.47</v>
      </c>
      <c r="E185" s="482">
        <v>6.59</v>
      </c>
      <c r="F185" s="549">
        <f t="shared" si="4"/>
        <v>9.0868126745497629E-4</v>
      </c>
      <c r="G185" s="549">
        <f t="shared" si="5"/>
        <v>0.88924036097988135</v>
      </c>
    </row>
    <row r="186" spans="1:7" s="526" customFormat="1" ht="75">
      <c r="A186" s="479" t="s">
        <v>22</v>
      </c>
      <c r="B186" s="480" t="s">
        <v>7295</v>
      </c>
      <c r="C186" s="483">
        <v>8632.68</v>
      </c>
      <c r="D186" s="481">
        <v>323.85999999999996</v>
      </c>
      <c r="E186" s="482">
        <v>87.22</v>
      </c>
      <c r="F186" s="549">
        <f t="shared" si="4"/>
        <v>9.0847079497250913E-4</v>
      </c>
      <c r="G186" s="549">
        <f t="shared" si="5"/>
        <v>0.89014883177485382</v>
      </c>
    </row>
    <row r="187" spans="1:7" s="526" customFormat="1" ht="30">
      <c r="A187" s="479" t="s">
        <v>22</v>
      </c>
      <c r="B187" s="480" t="s">
        <v>6830</v>
      </c>
      <c r="C187" s="483">
        <v>8549.23</v>
      </c>
      <c r="D187" s="481">
        <v>32.880000000000003</v>
      </c>
      <c r="E187" s="482">
        <v>8.85</v>
      </c>
      <c r="F187" s="549">
        <f t="shared" si="4"/>
        <v>8.996888306415648E-4</v>
      </c>
      <c r="G187" s="549">
        <f t="shared" si="5"/>
        <v>0.89104852060549533</v>
      </c>
    </row>
    <row r="188" spans="1:7" s="526" customFormat="1" ht="30">
      <c r="A188" s="479" t="s">
        <v>22</v>
      </c>
      <c r="B188" s="480" t="s">
        <v>8114</v>
      </c>
      <c r="C188" s="483">
        <v>8298</v>
      </c>
      <c r="D188" s="481">
        <v>108.96</v>
      </c>
      <c r="E188" s="482">
        <v>29.34</v>
      </c>
      <c r="F188" s="549">
        <f t="shared" si="4"/>
        <v>8.7325032975644644E-4</v>
      </c>
      <c r="G188" s="549">
        <f t="shared" si="5"/>
        <v>0.89192177093525182</v>
      </c>
    </row>
    <row r="189" spans="1:7" s="526" customFormat="1" ht="30">
      <c r="A189" s="479" t="s">
        <v>22</v>
      </c>
      <c r="B189" s="480" t="s">
        <v>8636</v>
      </c>
      <c r="C189" s="483">
        <v>8265.73</v>
      </c>
      <c r="D189" s="481">
        <v>16.100000000000001</v>
      </c>
      <c r="E189" s="482">
        <v>4.34</v>
      </c>
      <c r="F189" s="549">
        <f t="shared" si="4"/>
        <v>8.6985435625183802E-4</v>
      </c>
      <c r="G189" s="549">
        <f t="shared" si="5"/>
        <v>0.89279162529150369</v>
      </c>
    </row>
    <row r="190" spans="1:7" s="526" customFormat="1" ht="30">
      <c r="A190" s="479" t="s">
        <v>22</v>
      </c>
      <c r="B190" s="480" t="s">
        <v>8112</v>
      </c>
      <c r="C190" s="483">
        <v>8110.08</v>
      </c>
      <c r="D190" s="481">
        <v>177.48</v>
      </c>
      <c r="E190" s="482">
        <v>47.8</v>
      </c>
      <c r="F190" s="549">
        <f t="shared" si="4"/>
        <v>8.5347433530382757E-4</v>
      </c>
      <c r="G190" s="549">
        <f t="shared" si="5"/>
        <v>0.89364509962680749</v>
      </c>
    </row>
    <row r="191" spans="1:7" s="526" customFormat="1" ht="30">
      <c r="A191" s="479" t="s">
        <v>22</v>
      </c>
      <c r="B191" s="480" t="s">
        <v>8798</v>
      </c>
      <c r="C191" s="483">
        <v>7995.64</v>
      </c>
      <c r="D191" s="482">
        <v>324.19999999999993</v>
      </c>
      <c r="E191" s="482">
        <v>87.31</v>
      </c>
      <c r="F191" s="549">
        <f t="shared" si="4"/>
        <v>8.4143109985705396E-4</v>
      </c>
      <c r="G191" s="549">
        <f t="shared" si="5"/>
        <v>0.89448653072666451</v>
      </c>
    </row>
    <row r="192" spans="1:7" s="526" customFormat="1" ht="30">
      <c r="A192" s="479" t="s">
        <v>22</v>
      </c>
      <c r="B192" s="480" t="s">
        <v>9625</v>
      </c>
      <c r="C192" s="483">
        <v>7963.56</v>
      </c>
      <c r="D192" s="481">
        <v>7.53</v>
      </c>
      <c r="E192" s="482">
        <v>2.0299999999999998</v>
      </c>
      <c r="F192" s="549">
        <f t="shared" si="4"/>
        <v>8.3805512123828003E-4</v>
      </c>
      <c r="G192" s="549">
        <f t="shared" si="5"/>
        <v>0.89532458584790275</v>
      </c>
    </row>
    <row r="193" spans="1:7" s="526" customFormat="1" ht="30">
      <c r="A193" s="479" t="s">
        <v>22</v>
      </c>
      <c r="B193" s="480" t="s">
        <v>9396</v>
      </c>
      <c r="C193" s="483">
        <v>7958.7</v>
      </c>
      <c r="D193" s="482">
        <v>336.2</v>
      </c>
      <c r="E193" s="482">
        <v>90.54</v>
      </c>
      <c r="F193" s="549">
        <f t="shared" si="4"/>
        <v>8.3754367310588456E-4</v>
      </c>
      <c r="G193" s="549">
        <f t="shared" si="5"/>
        <v>0.8961621295210086</v>
      </c>
    </row>
    <row r="194" spans="1:7" s="526" customFormat="1" ht="30">
      <c r="A194" s="479" t="s">
        <v>22</v>
      </c>
      <c r="B194" s="480" t="s">
        <v>8978</v>
      </c>
      <c r="C194" s="483">
        <v>7951.89</v>
      </c>
      <c r="D194" s="482">
        <v>19.799999999999997</v>
      </c>
      <c r="E194" s="482">
        <v>5.33</v>
      </c>
      <c r="F194" s="549">
        <f t="shared" si="4"/>
        <v>8.3682701430308384E-4</v>
      </c>
      <c r="G194" s="549">
        <f t="shared" si="5"/>
        <v>0.8969989565353117</v>
      </c>
    </row>
    <row r="195" spans="1:7" s="526" customFormat="1" ht="30">
      <c r="A195" s="479" t="s">
        <v>22</v>
      </c>
      <c r="B195" s="480" t="s">
        <v>9417</v>
      </c>
      <c r="C195" s="483">
        <v>7905.5</v>
      </c>
      <c r="D195" s="481">
        <v>38.86</v>
      </c>
      <c r="E195" s="482">
        <v>10.46</v>
      </c>
      <c r="F195" s="549">
        <f t="shared" si="4"/>
        <v>8.3194510507225694E-4</v>
      </c>
      <c r="G195" s="549">
        <f t="shared" si="5"/>
        <v>0.89783090164038393</v>
      </c>
    </row>
    <row r="196" spans="1:7" s="526" customFormat="1" ht="45">
      <c r="A196" s="479" t="s">
        <v>22</v>
      </c>
      <c r="B196" s="480" t="s">
        <v>6785</v>
      </c>
      <c r="C196" s="483">
        <v>7785.99</v>
      </c>
      <c r="D196" s="481">
        <v>6134.0800000000008</v>
      </c>
      <c r="E196" s="482">
        <v>1651.91</v>
      </c>
      <c r="F196" s="549">
        <f t="shared" si="4"/>
        <v>8.1936832188242881E-4</v>
      </c>
      <c r="G196" s="549">
        <f t="shared" si="5"/>
        <v>0.89865026996226638</v>
      </c>
    </row>
    <row r="197" spans="1:7" s="526" customFormat="1" ht="45">
      <c r="A197" s="479" t="s">
        <v>22</v>
      </c>
      <c r="B197" s="480" t="s">
        <v>6809</v>
      </c>
      <c r="C197" s="483">
        <v>7767.72</v>
      </c>
      <c r="D197" s="481">
        <v>339.98</v>
      </c>
      <c r="E197" s="482">
        <v>91.56</v>
      </c>
      <c r="F197" s="549">
        <f t="shared" si="4"/>
        <v>8.1744565575509094E-4</v>
      </c>
      <c r="G197" s="549">
        <f t="shared" si="5"/>
        <v>0.89946771561802152</v>
      </c>
    </row>
    <row r="198" spans="1:7" s="526" customFormat="1" ht="15">
      <c r="A198" s="479" t="s">
        <v>22</v>
      </c>
      <c r="B198" s="480" t="s">
        <v>7020</v>
      </c>
      <c r="C198" s="483">
        <v>7750.7</v>
      </c>
      <c r="D198" s="481">
        <v>15.35</v>
      </c>
      <c r="E198" s="482">
        <v>4.13</v>
      </c>
      <c r="F198" s="549">
        <f t="shared" si="4"/>
        <v>8.1565453492929495E-4</v>
      </c>
      <c r="G198" s="549">
        <f t="shared" si="5"/>
        <v>0.90028337015295079</v>
      </c>
    </row>
    <row r="199" spans="1:7" s="526" customFormat="1" ht="30">
      <c r="A199" s="479" t="s">
        <v>22</v>
      </c>
      <c r="B199" s="480" t="s">
        <v>8050</v>
      </c>
      <c r="C199" s="483">
        <v>7712.74</v>
      </c>
      <c r="D199" s="481">
        <v>6076.37</v>
      </c>
      <c r="E199" s="482">
        <v>1636.37</v>
      </c>
      <c r="F199" s="549">
        <f t="shared" si="4"/>
        <v>8.1165976721206737E-4</v>
      </c>
      <c r="G199" s="549">
        <f t="shared" si="5"/>
        <v>0.90109502992016288</v>
      </c>
    </row>
    <row r="200" spans="1:7" s="526" customFormat="1" ht="30">
      <c r="A200" s="479" t="s">
        <v>22</v>
      </c>
      <c r="B200" s="480" t="s">
        <v>8937</v>
      </c>
      <c r="C200" s="483">
        <v>7694.34</v>
      </c>
      <c r="D200" s="482">
        <v>6061.88</v>
      </c>
      <c r="E200" s="482">
        <v>1632.46</v>
      </c>
      <c r="F200" s="549">
        <f t="shared" si="4"/>
        <v>8.0972342037336908E-4</v>
      </c>
      <c r="G200" s="549">
        <f t="shared" si="5"/>
        <v>0.90190475334053621</v>
      </c>
    </row>
    <row r="201" spans="1:7" s="526" customFormat="1" ht="30">
      <c r="A201" s="479" t="s">
        <v>22</v>
      </c>
      <c r="B201" s="480" t="s">
        <v>15520</v>
      </c>
      <c r="C201" s="483">
        <v>7530</v>
      </c>
      <c r="D201" s="481">
        <v>5.8</v>
      </c>
      <c r="E201" s="482">
        <v>1.56</v>
      </c>
      <c r="F201" s="549">
        <f t="shared" si="4"/>
        <v>7.9242889648903857E-4</v>
      </c>
      <c r="G201" s="549">
        <f t="shared" si="5"/>
        <v>0.90269718223702522</v>
      </c>
    </row>
    <row r="202" spans="1:7" s="526" customFormat="1" ht="30">
      <c r="A202" s="479" t="s">
        <v>22</v>
      </c>
      <c r="B202" s="480" t="s">
        <v>8113</v>
      </c>
      <c r="C202" s="483">
        <v>7468.2</v>
      </c>
      <c r="D202" s="481">
        <v>108.96</v>
      </c>
      <c r="E202" s="482">
        <v>29.34</v>
      </c>
      <c r="F202" s="549">
        <f t="shared" si="4"/>
        <v>7.8592529678080179E-4</v>
      </c>
      <c r="G202" s="549">
        <f t="shared" si="5"/>
        <v>0.90348310753380601</v>
      </c>
    </row>
    <row r="203" spans="1:7" s="526" customFormat="1" ht="30">
      <c r="A203" s="479" t="s">
        <v>22</v>
      </c>
      <c r="B203" s="480" t="s">
        <v>7814</v>
      </c>
      <c r="C203" s="483">
        <v>7452.72</v>
      </c>
      <c r="D203" s="481">
        <v>6.3</v>
      </c>
      <c r="E203" s="482">
        <v>1.7</v>
      </c>
      <c r="F203" s="549">
        <f t="shared" si="4"/>
        <v>7.8429623976650567E-4</v>
      </c>
      <c r="G203" s="549">
        <f t="shared" si="5"/>
        <v>0.90426740377357251</v>
      </c>
    </row>
    <row r="204" spans="1:7" s="526" customFormat="1" ht="60">
      <c r="A204" s="479" t="s">
        <v>22</v>
      </c>
      <c r="B204" s="480" t="s">
        <v>6806</v>
      </c>
      <c r="C204" s="483">
        <v>7436.76</v>
      </c>
      <c r="D204" s="481">
        <v>1464.7400000000002</v>
      </c>
      <c r="E204" s="482">
        <v>394.45</v>
      </c>
      <c r="F204" s="549">
        <f t="shared" si="4"/>
        <v>7.8261666935641738E-4</v>
      </c>
      <c r="G204" s="549">
        <f t="shared" si="5"/>
        <v>0.90505002044292893</v>
      </c>
    </row>
    <row r="205" spans="1:7" s="526" customFormat="1" ht="30">
      <c r="A205" s="479" t="s">
        <v>22</v>
      </c>
      <c r="B205" s="480" t="s">
        <v>7819</v>
      </c>
      <c r="C205" s="483">
        <v>7383.77</v>
      </c>
      <c r="D205" s="481">
        <v>176.55</v>
      </c>
      <c r="E205" s="482">
        <v>47.54</v>
      </c>
      <c r="F205" s="549">
        <f t="shared" si="4"/>
        <v>7.770402009334487E-4</v>
      </c>
      <c r="G205" s="549">
        <f t="shared" si="5"/>
        <v>0.90582706064386243</v>
      </c>
    </row>
    <row r="206" spans="1:7" s="526" customFormat="1" ht="15">
      <c r="A206" s="479" t="s">
        <v>22</v>
      </c>
      <c r="B206" s="480" t="s">
        <v>7826</v>
      </c>
      <c r="C206" s="483">
        <v>7331.09</v>
      </c>
      <c r="D206" s="481">
        <v>55.18</v>
      </c>
      <c r="E206" s="482">
        <v>14.86</v>
      </c>
      <c r="F206" s="549">
        <f t="shared" si="4"/>
        <v>7.7149635574526245E-4</v>
      </c>
      <c r="G206" s="549">
        <f t="shared" si="5"/>
        <v>0.90659855699960767</v>
      </c>
    </row>
    <row r="207" spans="1:7" s="526" customFormat="1" ht="30">
      <c r="A207" s="479" t="s">
        <v>22</v>
      </c>
      <c r="B207" s="480" t="s">
        <v>9184</v>
      </c>
      <c r="C207" s="483">
        <v>7316.82</v>
      </c>
      <c r="D207" s="481">
        <v>274.5</v>
      </c>
      <c r="E207" s="482">
        <v>73.92</v>
      </c>
      <c r="F207" s="549">
        <f t="shared" si="4"/>
        <v>7.6999463458285878E-4</v>
      </c>
      <c r="G207" s="549">
        <f t="shared" si="5"/>
        <v>0.9073685516341905</v>
      </c>
    </row>
    <row r="208" spans="1:7" s="526" customFormat="1" ht="30">
      <c r="A208" s="479" t="s">
        <v>22</v>
      </c>
      <c r="B208" s="480" t="s">
        <v>6786</v>
      </c>
      <c r="C208" s="483">
        <v>7299</v>
      </c>
      <c r="D208" s="481">
        <v>1150.0800000000002</v>
      </c>
      <c r="E208" s="482">
        <v>309.72000000000003</v>
      </c>
      <c r="F208" s="549">
        <f t="shared" ref="F208:F271" si="6">C208/SUM(C:C)</f>
        <v>7.6811932476407603E-4</v>
      </c>
      <c r="G208" s="549">
        <f t="shared" ref="G208:G271" si="7">F208+G207</f>
        <v>0.90813667095895456</v>
      </c>
    </row>
    <row r="209" spans="1:7" s="526" customFormat="1" ht="30">
      <c r="A209" s="479" t="s">
        <v>22</v>
      </c>
      <c r="B209" s="480" t="s">
        <v>9393</v>
      </c>
      <c r="C209" s="483">
        <v>7075.79</v>
      </c>
      <c r="D209" s="481">
        <v>32.89</v>
      </c>
      <c r="E209" s="482">
        <v>8.86</v>
      </c>
      <c r="F209" s="549">
        <f t="shared" si="6"/>
        <v>7.446295433583233E-4</v>
      </c>
      <c r="G209" s="549">
        <f t="shared" si="7"/>
        <v>0.90888130050231286</v>
      </c>
    </row>
    <row r="210" spans="1:7" s="526" customFormat="1" ht="30">
      <c r="A210" s="479" t="s">
        <v>22</v>
      </c>
      <c r="B210" s="480" t="s">
        <v>8306</v>
      </c>
      <c r="C210" s="483">
        <v>7035.28</v>
      </c>
      <c r="D210" s="481">
        <v>791.81000000000006</v>
      </c>
      <c r="E210" s="482">
        <v>213.23</v>
      </c>
      <c r="F210" s="549">
        <f t="shared" si="6"/>
        <v>7.4036642322594995E-4</v>
      </c>
      <c r="G210" s="549">
        <f t="shared" si="7"/>
        <v>0.90962166692553881</v>
      </c>
    </row>
    <row r="211" spans="1:7" s="526" customFormat="1" ht="15">
      <c r="A211" s="479" t="s">
        <v>22</v>
      </c>
      <c r="B211" s="480" t="s">
        <v>7421</v>
      </c>
      <c r="C211" s="483">
        <v>7035</v>
      </c>
      <c r="D211" s="481">
        <v>22.169999999999998</v>
      </c>
      <c r="E211" s="482">
        <v>5.97</v>
      </c>
      <c r="F211" s="549">
        <f t="shared" si="6"/>
        <v>7.4033695707840456E-4</v>
      </c>
      <c r="G211" s="549">
        <f t="shared" si="7"/>
        <v>0.91036200388261723</v>
      </c>
    </row>
    <row r="212" spans="1:7" s="526" customFormat="1" ht="15">
      <c r="A212" s="479" t="s">
        <v>22</v>
      </c>
      <c r="B212" s="480" t="s">
        <v>9327</v>
      </c>
      <c r="C212" s="483">
        <v>7025.07</v>
      </c>
      <c r="D212" s="481">
        <v>425.74</v>
      </c>
      <c r="E212" s="482">
        <v>114.65</v>
      </c>
      <c r="F212" s="549">
        <f t="shared" si="6"/>
        <v>7.3929196120295479E-4</v>
      </c>
      <c r="G212" s="549">
        <f t="shared" si="7"/>
        <v>0.91110129584382016</v>
      </c>
    </row>
    <row r="213" spans="1:7" s="526" customFormat="1" ht="15">
      <c r="A213" s="479" t="s">
        <v>22</v>
      </c>
      <c r="B213" s="559" t="s">
        <v>8520</v>
      </c>
      <c r="C213" s="483">
        <v>7018.5</v>
      </c>
      <c r="D213" s="481">
        <v>36.86</v>
      </c>
      <c r="E213" s="482">
        <v>9.93</v>
      </c>
      <c r="F213" s="549">
        <f t="shared" si="6"/>
        <v>7.3860055909805004E-4</v>
      </c>
      <c r="G213" s="549">
        <f t="shared" si="7"/>
        <v>0.91183989640291818</v>
      </c>
    </row>
    <row r="214" spans="1:7" s="526" customFormat="1" ht="45">
      <c r="A214" s="479" t="s">
        <v>22</v>
      </c>
      <c r="B214" s="480" t="s">
        <v>6784</v>
      </c>
      <c r="C214" s="483">
        <v>6999.05</v>
      </c>
      <c r="D214" s="481">
        <v>5514.1</v>
      </c>
      <c r="E214" s="482">
        <v>1484.95</v>
      </c>
      <c r="F214" s="549">
        <f t="shared" si="6"/>
        <v>7.3655371420605653E-4</v>
      </c>
      <c r="G214" s="549">
        <f t="shared" si="7"/>
        <v>0.91257645011712429</v>
      </c>
    </row>
    <row r="215" spans="1:7" s="526" customFormat="1" ht="15">
      <c r="A215" s="479" t="s">
        <v>22</v>
      </c>
      <c r="B215" s="480" t="s">
        <v>8459</v>
      </c>
      <c r="C215" s="483">
        <v>6789.3</v>
      </c>
      <c r="D215" s="481">
        <v>10.09</v>
      </c>
      <c r="E215" s="482">
        <v>2.72</v>
      </c>
      <c r="F215" s="549">
        <f t="shared" si="6"/>
        <v>7.1448041260730811E-4</v>
      </c>
      <c r="G215" s="549">
        <f t="shared" si="7"/>
        <v>0.91329093052973165</v>
      </c>
    </row>
    <row r="216" spans="1:7" s="526" customFormat="1" ht="45">
      <c r="A216" s="479" t="s">
        <v>22</v>
      </c>
      <c r="B216" s="480" t="s">
        <v>8109</v>
      </c>
      <c r="C216" s="483">
        <v>6721.65</v>
      </c>
      <c r="D216" s="481">
        <v>39.229999999999997</v>
      </c>
      <c r="E216" s="482">
        <v>10.56</v>
      </c>
      <c r="F216" s="549">
        <f t="shared" si="6"/>
        <v>7.0736118088785471E-4</v>
      </c>
      <c r="G216" s="549">
        <f t="shared" si="7"/>
        <v>0.91399829171061953</v>
      </c>
    </row>
    <row r="217" spans="1:7" s="526" customFormat="1" ht="30">
      <c r="A217" s="479" t="s">
        <v>22</v>
      </c>
      <c r="B217" s="480" t="s">
        <v>6341</v>
      </c>
      <c r="C217" s="483">
        <v>6450.21</v>
      </c>
      <c r="D217" s="482">
        <v>5081.71</v>
      </c>
      <c r="E217" s="482">
        <v>1368.5</v>
      </c>
      <c r="F217" s="549">
        <f t="shared" si="6"/>
        <v>6.7879585556740527E-4</v>
      </c>
      <c r="G217" s="549">
        <f t="shared" si="7"/>
        <v>0.91467708756618693</v>
      </c>
    </row>
    <row r="218" spans="1:7" s="526" customFormat="1" ht="30">
      <c r="A218" s="479" t="s">
        <v>22</v>
      </c>
      <c r="B218" s="480" t="s">
        <v>6747</v>
      </c>
      <c r="C218" s="483">
        <v>6379.67</v>
      </c>
      <c r="D218" s="481">
        <v>7.83</v>
      </c>
      <c r="E218" s="482">
        <v>2.11</v>
      </c>
      <c r="F218" s="549">
        <f t="shared" si="6"/>
        <v>6.7137249111078685E-4</v>
      </c>
      <c r="G218" s="549">
        <f t="shared" si="7"/>
        <v>0.91534846005729775</v>
      </c>
    </row>
    <row r="219" spans="1:7" s="526" customFormat="1" ht="30">
      <c r="A219" s="479" t="s">
        <v>22</v>
      </c>
      <c r="B219" s="480" t="s">
        <v>15408</v>
      </c>
      <c r="C219" s="483">
        <v>6360.56</v>
      </c>
      <c r="D219" s="481">
        <v>2505.54</v>
      </c>
      <c r="E219" s="482">
        <v>674.74</v>
      </c>
      <c r="F219" s="549">
        <f t="shared" si="6"/>
        <v>6.693614265408127E-4</v>
      </c>
      <c r="G219" s="549">
        <f t="shared" si="7"/>
        <v>0.91601782148383859</v>
      </c>
    </row>
    <row r="220" spans="1:7" s="526" customFormat="1" ht="60">
      <c r="A220" s="479" t="s">
        <v>22</v>
      </c>
      <c r="B220" s="480" t="s">
        <v>6805</v>
      </c>
      <c r="C220" s="483">
        <v>6324.3</v>
      </c>
      <c r="D220" s="481">
        <v>830.42000000000007</v>
      </c>
      <c r="E220" s="482">
        <v>223.63</v>
      </c>
      <c r="F220" s="549">
        <f t="shared" si="6"/>
        <v>6.6554556043368213E-4</v>
      </c>
      <c r="G220" s="549">
        <f t="shared" si="7"/>
        <v>0.91668336704427222</v>
      </c>
    </row>
    <row r="221" spans="1:7" s="526" customFormat="1" ht="15">
      <c r="A221" s="479" t="s">
        <v>22</v>
      </c>
      <c r="B221" s="480" t="s">
        <v>15438</v>
      </c>
      <c r="C221" s="483">
        <v>6270</v>
      </c>
      <c r="D221" s="482">
        <v>82.33</v>
      </c>
      <c r="E221" s="482">
        <v>22.17</v>
      </c>
      <c r="F221" s="549">
        <f t="shared" si="6"/>
        <v>6.5983123253469749E-4</v>
      </c>
      <c r="G221" s="549">
        <f t="shared" si="7"/>
        <v>0.91734319827680688</v>
      </c>
    </row>
    <row r="222" spans="1:7" s="526" customFormat="1" ht="15">
      <c r="A222" s="479" t="s">
        <v>22</v>
      </c>
      <c r="B222" s="480" t="s">
        <v>7422</v>
      </c>
      <c r="C222" s="483">
        <v>6259.5</v>
      </c>
      <c r="D222" s="481">
        <v>21.92</v>
      </c>
      <c r="E222" s="482">
        <v>5.9</v>
      </c>
      <c r="F222" s="549">
        <f t="shared" si="6"/>
        <v>6.5872625200174466E-4</v>
      </c>
      <c r="G222" s="549">
        <f t="shared" si="7"/>
        <v>0.91800192452880858</v>
      </c>
    </row>
    <row r="223" spans="1:7" s="526" customFormat="1" ht="15">
      <c r="A223" s="479" t="s">
        <v>22</v>
      </c>
      <c r="B223" s="480" t="s">
        <v>8951</v>
      </c>
      <c r="C223" s="483">
        <v>6251.76</v>
      </c>
      <c r="D223" s="482">
        <v>820.89</v>
      </c>
      <c r="E223" s="482">
        <v>221.07</v>
      </c>
      <c r="F223" s="549">
        <f t="shared" si="6"/>
        <v>6.5791172349459655E-4</v>
      </c>
      <c r="G223" s="549">
        <f t="shared" si="7"/>
        <v>0.91865983625230319</v>
      </c>
    </row>
    <row r="224" spans="1:7" s="526" customFormat="1" ht="15">
      <c r="A224" s="479" t="s">
        <v>22</v>
      </c>
      <c r="B224" s="480" t="s">
        <v>15439</v>
      </c>
      <c r="C224" s="483">
        <v>6233.66</v>
      </c>
      <c r="D224" s="482">
        <v>19.52</v>
      </c>
      <c r="E224" s="482">
        <v>5.26</v>
      </c>
      <c r="F224" s="549">
        <f t="shared" si="6"/>
        <v>6.560069475282683E-4</v>
      </c>
      <c r="G224" s="549">
        <f t="shared" si="7"/>
        <v>0.91931584319983151</v>
      </c>
    </row>
    <row r="225" spans="1:7" s="526" customFormat="1" ht="15">
      <c r="A225" s="479" t="s">
        <v>22</v>
      </c>
      <c r="B225" s="480" t="s">
        <v>7349</v>
      </c>
      <c r="C225" s="483">
        <v>6225.6</v>
      </c>
      <c r="D225" s="481">
        <v>40.870000000000005</v>
      </c>
      <c r="E225" s="482">
        <v>11.01</v>
      </c>
      <c r="F225" s="549">
        <f t="shared" si="6"/>
        <v>6.5515874342392548E-4</v>
      </c>
      <c r="G225" s="549">
        <f t="shared" si="7"/>
        <v>0.91997100194325543</v>
      </c>
    </row>
    <row r="226" spans="1:7" s="526" customFormat="1" ht="45">
      <c r="A226" s="479" t="s">
        <v>22</v>
      </c>
      <c r="B226" s="480" t="s">
        <v>9403</v>
      </c>
      <c r="C226" s="483">
        <v>6200.02</v>
      </c>
      <c r="D226" s="481">
        <v>30.47</v>
      </c>
      <c r="E226" s="482">
        <v>8.2100000000000009</v>
      </c>
      <c r="F226" s="549">
        <f t="shared" si="6"/>
        <v>6.5246680037316985E-4</v>
      </c>
      <c r="G226" s="549">
        <f t="shared" si="7"/>
        <v>0.92062346874362855</v>
      </c>
    </row>
    <row r="227" spans="1:7" s="526" customFormat="1" ht="30">
      <c r="A227" s="479" t="s">
        <v>22</v>
      </c>
      <c r="B227" s="480" t="s">
        <v>6870</v>
      </c>
      <c r="C227" s="483">
        <v>6198.19</v>
      </c>
      <c r="D227" s="481">
        <v>29.5</v>
      </c>
      <c r="E227" s="482">
        <v>7.94</v>
      </c>
      <c r="F227" s="549">
        <f t="shared" si="6"/>
        <v>6.5227421805171232E-4</v>
      </c>
      <c r="G227" s="549">
        <f t="shared" si="7"/>
        <v>0.92127574296168024</v>
      </c>
    </row>
    <row r="228" spans="1:7" s="526" customFormat="1" ht="30">
      <c r="A228" s="479" t="s">
        <v>22</v>
      </c>
      <c r="B228" s="480" t="s">
        <v>9231</v>
      </c>
      <c r="C228" s="483">
        <v>6164.2</v>
      </c>
      <c r="D228" s="481">
        <v>285.67</v>
      </c>
      <c r="E228" s="482">
        <v>76.930000000000007</v>
      </c>
      <c r="F228" s="549">
        <f t="shared" si="6"/>
        <v>6.4869723821218213E-4</v>
      </c>
      <c r="G228" s="549">
        <f t="shared" si="7"/>
        <v>0.92192444019989239</v>
      </c>
    </row>
    <row r="229" spans="1:7" s="526" customFormat="1" ht="15">
      <c r="A229" s="479" t="s">
        <v>22</v>
      </c>
      <c r="B229" s="559" t="s">
        <v>8486</v>
      </c>
      <c r="C229" s="483">
        <v>6138</v>
      </c>
      <c r="D229" s="481">
        <v>10.75</v>
      </c>
      <c r="E229" s="482">
        <v>2.89</v>
      </c>
      <c r="F229" s="549">
        <f t="shared" si="6"/>
        <v>6.4594004869186175E-4</v>
      </c>
      <c r="G229" s="549">
        <f t="shared" si="7"/>
        <v>0.92257038024858429</v>
      </c>
    </row>
    <row r="230" spans="1:7" s="526" customFormat="1" ht="30">
      <c r="A230" s="479" t="s">
        <v>22</v>
      </c>
      <c r="B230" s="480" t="s">
        <v>9453</v>
      </c>
      <c r="C230" s="483">
        <v>6135.22</v>
      </c>
      <c r="D230" s="481">
        <v>371.81</v>
      </c>
      <c r="E230" s="482">
        <v>100.13</v>
      </c>
      <c r="F230" s="549">
        <f t="shared" si="6"/>
        <v>6.4564749194123228E-4</v>
      </c>
      <c r="G230" s="549">
        <f t="shared" si="7"/>
        <v>0.92321602774052547</v>
      </c>
    </row>
    <row r="231" spans="1:7" s="526" customFormat="1" ht="30">
      <c r="A231" s="479" t="s">
        <v>22</v>
      </c>
      <c r="B231" s="480" t="s">
        <v>6773</v>
      </c>
      <c r="C231" s="483">
        <v>6088.39</v>
      </c>
      <c r="D231" s="481">
        <v>11.29</v>
      </c>
      <c r="E231" s="482">
        <v>3.04</v>
      </c>
      <c r="F231" s="549">
        <f t="shared" si="6"/>
        <v>6.4071927876426264E-4</v>
      </c>
      <c r="G231" s="549">
        <f t="shared" si="7"/>
        <v>0.92385674701928977</v>
      </c>
    </row>
    <row r="232" spans="1:7" s="526" customFormat="1" ht="15">
      <c r="A232" s="479" t="s">
        <v>22</v>
      </c>
      <c r="B232" s="480" t="s">
        <v>6985</v>
      </c>
      <c r="C232" s="483">
        <v>5853.3</v>
      </c>
      <c r="D232" s="481">
        <v>23.91</v>
      </c>
      <c r="E232" s="482">
        <v>6.44</v>
      </c>
      <c r="F232" s="549">
        <f t="shared" si="6"/>
        <v>6.1597929081265467E-4</v>
      </c>
      <c r="G232" s="549">
        <f t="shared" si="7"/>
        <v>0.92447272631010247</v>
      </c>
    </row>
    <row r="233" spans="1:7" s="526" customFormat="1" ht="30">
      <c r="A233" s="479" t="s">
        <v>22</v>
      </c>
      <c r="B233" s="480" t="s">
        <v>7094</v>
      </c>
      <c r="C233" s="483">
        <v>5788.7</v>
      </c>
      <c r="D233" s="481">
        <v>912.11</v>
      </c>
      <c r="E233" s="482">
        <v>245.63</v>
      </c>
      <c r="F233" s="549">
        <f t="shared" si="6"/>
        <v>6.0918102962896376E-4</v>
      </c>
      <c r="G233" s="549">
        <f t="shared" si="7"/>
        <v>0.92508190733973139</v>
      </c>
    </row>
    <row r="234" spans="1:7" s="526" customFormat="1" ht="15">
      <c r="A234" s="479" t="s">
        <v>22</v>
      </c>
      <c r="B234" s="480" t="s">
        <v>8574</v>
      </c>
      <c r="C234" s="483">
        <v>5742</v>
      </c>
      <c r="D234" s="481">
        <v>30.16</v>
      </c>
      <c r="E234" s="482">
        <v>8.1199999999999992</v>
      </c>
      <c r="F234" s="549">
        <f t="shared" si="6"/>
        <v>6.0426649716335454E-4</v>
      </c>
      <c r="G234" s="549">
        <f t="shared" si="7"/>
        <v>0.92568617383689478</v>
      </c>
    </row>
    <row r="235" spans="1:7" s="526" customFormat="1" ht="15">
      <c r="A235" s="479" t="s">
        <v>22</v>
      </c>
      <c r="B235" s="480" t="s">
        <v>9385</v>
      </c>
      <c r="C235" s="483">
        <v>5709.84</v>
      </c>
      <c r="D235" s="481">
        <v>374.87</v>
      </c>
      <c r="E235" s="482">
        <v>100.95</v>
      </c>
      <c r="F235" s="549">
        <f t="shared" si="6"/>
        <v>6.0088209964528178E-4</v>
      </c>
      <c r="G235" s="549">
        <f t="shared" si="7"/>
        <v>0.92628705593654004</v>
      </c>
    </row>
    <row r="236" spans="1:7" s="526" customFormat="1" ht="15">
      <c r="A236" s="479" t="s">
        <v>22</v>
      </c>
      <c r="B236" s="480" t="s">
        <v>9234</v>
      </c>
      <c r="C236" s="483">
        <v>5701.41</v>
      </c>
      <c r="D236" s="481">
        <v>345.52000000000004</v>
      </c>
      <c r="E236" s="482">
        <v>93.05</v>
      </c>
      <c r="F236" s="549">
        <f t="shared" si="6"/>
        <v>5.9999495813168246E-4</v>
      </c>
      <c r="G236" s="549">
        <f t="shared" si="7"/>
        <v>0.92688705089467172</v>
      </c>
    </row>
    <row r="237" spans="1:7" s="526" customFormat="1" ht="30">
      <c r="A237" s="479" t="s">
        <v>22</v>
      </c>
      <c r="B237" s="480" t="s">
        <v>6777</v>
      </c>
      <c r="C237" s="483">
        <v>5674.09</v>
      </c>
      <c r="D237" s="481">
        <v>98.46</v>
      </c>
      <c r="E237" s="482">
        <v>26.52</v>
      </c>
      <c r="F237" s="549">
        <f t="shared" si="6"/>
        <v>5.9711990402118052E-4</v>
      </c>
      <c r="G237" s="549">
        <f t="shared" si="7"/>
        <v>0.92748417079869294</v>
      </c>
    </row>
    <row r="238" spans="1:7" s="526" customFormat="1" ht="60">
      <c r="A238" s="479" t="s">
        <v>22</v>
      </c>
      <c r="B238" s="480" t="s">
        <v>7298</v>
      </c>
      <c r="C238" s="483">
        <v>5666.24</v>
      </c>
      <c r="D238" s="481">
        <v>139.49999999999997</v>
      </c>
      <c r="E238" s="482">
        <v>37.57</v>
      </c>
      <c r="F238" s="549">
        <f t="shared" si="6"/>
        <v>5.9629379952749664E-4</v>
      </c>
      <c r="G238" s="549">
        <f t="shared" si="7"/>
        <v>0.92808046459822047</v>
      </c>
    </row>
    <row r="239" spans="1:7" s="526" customFormat="1" ht="30">
      <c r="A239" s="479" t="s">
        <v>22</v>
      </c>
      <c r="B239" s="480" t="s">
        <v>15374</v>
      </c>
      <c r="C239" s="483">
        <v>5571.42</v>
      </c>
      <c r="D239" s="481">
        <v>10.97</v>
      </c>
      <c r="E239" s="482">
        <v>2.95</v>
      </c>
      <c r="F239" s="549">
        <f t="shared" si="6"/>
        <v>5.8631529913372637E-4</v>
      </c>
      <c r="G239" s="549">
        <f t="shared" si="7"/>
        <v>0.92866677989735424</v>
      </c>
    </row>
    <row r="240" spans="1:7" s="526" customFormat="1" ht="30">
      <c r="A240" s="479" t="s">
        <v>22</v>
      </c>
      <c r="B240" s="480" t="s">
        <v>7246</v>
      </c>
      <c r="C240" s="483">
        <v>5551</v>
      </c>
      <c r="D240" s="481">
        <v>6.25</v>
      </c>
      <c r="E240" s="482">
        <v>1.68</v>
      </c>
      <c r="F240" s="549">
        <f t="shared" si="6"/>
        <v>5.8416637508773616E-4</v>
      </c>
      <c r="G240" s="549">
        <f t="shared" si="7"/>
        <v>0.92925094627244198</v>
      </c>
    </row>
    <row r="241" spans="1:31" s="526" customFormat="1" ht="15">
      <c r="A241" s="479" t="s">
        <v>22</v>
      </c>
      <c r="B241" s="480" t="s">
        <v>7240</v>
      </c>
      <c r="C241" s="483">
        <v>5527.8</v>
      </c>
      <c r="D241" s="481">
        <v>7.85</v>
      </c>
      <c r="E241" s="482">
        <v>2.11</v>
      </c>
      <c r="F241" s="549">
        <f t="shared" si="6"/>
        <v>5.8172489429111657E-4</v>
      </c>
      <c r="G241" s="549">
        <f t="shared" si="7"/>
        <v>0.92983267116673307</v>
      </c>
    </row>
    <row r="242" spans="1:31" s="526" customFormat="1" ht="15">
      <c r="A242" s="479" t="s">
        <v>22</v>
      </c>
      <c r="B242" s="480" t="s">
        <v>9632</v>
      </c>
      <c r="C242" s="483">
        <v>5444.11</v>
      </c>
      <c r="D242" s="481">
        <v>4.8800000000000008</v>
      </c>
      <c r="E242" s="482">
        <v>1.31</v>
      </c>
      <c r="F242" s="549">
        <f t="shared" si="6"/>
        <v>5.7291767326227616E-4</v>
      </c>
      <c r="G242" s="549">
        <f t="shared" si="7"/>
        <v>0.93040558883999536</v>
      </c>
      <c r="H242" s="560"/>
      <c r="I242" s="560"/>
      <c r="J242" s="560"/>
      <c r="K242" s="560"/>
      <c r="L242" s="560"/>
      <c r="M242" s="560"/>
      <c r="N242" s="560"/>
      <c r="O242" s="560"/>
      <c r="P242" s="560"/>
      <c r="Q242" s="560"/>
      <c r="R242" s="560"/>
      <c r="S242" s="560"/>
      <c r="T242" s="560"/>
      <c r="U242" s="560"/>
      <c r="V242" s="560"/>
      <c r="W242" s="560"/>
      <c r="X242" s="560"/>
      <c r="Y242" s="560"/>
      <c r="Z242" s="560"/>
      <c r="AA242" s="560"/>
      <c r="AB242" s="560"/>
      <c r="AC242" s="560"/>
      <c r="AD242" s="560"/>
      <c r="AE242" s="560"/>
    </row>
    <row r="243" spans="1:31" s="526" customFormat="1" ht="15">
      <c r="A243" s="479" t="s">
        <v>22</v>
      </c>
      <c r="B243" s="480" t="s">
        <v>15419</v>
      </c>
      <c r="C243" s="483">
        <v>5415.45</v>
      </c>
      <c r="D243" s="481">
        <v>6.37</v>
      </c>
      <c r="E243" s="482">
        <v>1.72</v>
      </c>
      <c r="F243" s="549">
        <f t="shared" si="6"/>
        <v>5.6990160258852112E-4</v>
      </c>
      <c r="G243" s="549">
        <f t="shared" si="7"/>
        <v>0.93097549044258388</v>
      </c>
    </row>
    <row r="244" spans="1:31" s="526" customFormat="1" ht="30">
      <c r="A244" s="479" t="s">
        <v>22</v>
      </c>
      <c r="B244" s="480" t="s">
        <v>8689</v>
      </c>
      <c r="C244" s="483">
        <f>4286.04+974.1</f>
        <v>5260.14</v>
      </c>
      <c r="D244" s="481">
        <v>76.739999999999995</v>
      </c>
      <c r="E244" s="482">
        <v>20.67</v>
      </c>
      <c r="F244" s="549">
        <f t="shared" si="6"/>
        <v>5.5355736196253014E-4</v>
      </c>
      <c r="G244" s="549">
        <f t="shared" si="7"/>
        <v>0.93152904780454637</v>
      </c>
    </row>
    <row r="245" spans="1:31" s="526" customFormat="1" ht="30">
      <c r="A245" s="479" t="s">
        <v>22</v>
      </c>
      <c r="B245" s="480" t="s">
        <v>7816</v>
      </c>
      <c r="C245" s="483">
        <v>5236.33</v>
      </c>
      <c r="D245" s="481">
        <v>4125.37</v>
      </c>
      <c r="E245" s="482">
        <v>1110.96</v>
      </c>
      <c r="F245" s="549">
        <f t="shared" si="6"/>
        <v>5.5105168705875797E-4</v>
      </c>
      <c r="G245" s="549">
        <f t="shared" si="7"/>
        <v>0.93208009949160509</v>
      </c>
    </row>
    <row r="246" spans="1:31" s="526" customFormat="1" ht="15">
      <c r="A246" s="479" t="s">
        <v>22</v>
      </c>
      <c r="B246" s="480" t="s">
        <v>7231</v>
      </c>
      <c r="C246" s="483">
        <v>5228.76</v>
      </c>
      <c r="D246" s="481">
        <v>343.28000000000003</v>
      </c>
      <c r="E246" s="482">
        <v>92.45</v>
      </c>
      <c r="F246" s="549">
        <f t="shared" si="6"/>
        <v>5.5025504871261959E-4</v>
      </c>
      <c r="G246" s="549">
        <f t="shared" si="7"/>
        <v>0.93263035454031773</v>
      </c>
    </row>
    <row r="247" spans="1:31" s="526" customFormat="1" ht="30">
      <c r="A247" s="479" t="s">
        <v>22</v>
      </c>
      <c r="B247" s="480" t="s">
        <v>6993</v>
      </c>
      <c r="C247" s="483">
        <v>5198.96</v>
      </c>
      <c r="D247" s="481">
        <v>371.01</v>
      </c>
      <c r="E247" s="482">
        <v>99.91</v>
      </c>
      <c r="F247" s="549">
        <f t="shared" si="6"/>
        <v>5.4711900872385822E-4</v>
      </c>
      <c r="G247" s="549">
        <f t="shared" si="7"/>
        <v>0.93317747354904157</v>
      </c>
    </row>
    <row r="248" spans="1:31" s="526" customFormat="1" ht="15">
      <c r="A248" s="479" t="s">
        <v>22</v>
      </c>
      <c r="B248" s="480" t="s">
        <v>7414</v>
      </c>
      <c r="C248" s="483">
        <f>4478.94+691.38</f>
        <v>5170.32</v>
      </c>
      <c r="D248" s="481">
        <v>23.68</v>
      </c>
      <c r="E248" s="482">
        <v>6.38</v>
      </c>
      <c r="F248" s="549">
        <f t="shared" si="6"/>
        <v>5.4410504277492772E-4</v>
      </c>
      <c r="G248" s="549">
        <f t="shared" si="7"/>
        <v>0.93372157859181648</v>
      </c>
    </row>
    <row r="249" spans="1:31" s="526" customFormat="1" ht="15">
      <c r="A249" s="479" t="s">
        <v>22</v>
      </c>
      <c r="B249" s="480" t="s">
        <v>8053</v>
      </c>
      <c r="C249" s="483">
        <v>5157.0600000000004</v>
      </c>
      <c r="D249" s="481">
        <v>4062.92</v>
      </c>
      <c r="E249" s="482">
        <v>1094.1400000000001</v>
      </c>
      <c r="F249" s="549">
        <f t="shared" si="6"/>
        <v>5.4270961021617018E-4</v>
      </c>
      <c r="G249" s="549">
        <f t="shared" si="7"/>
        <v>0.93426428820203267</v>
      </c>
    </row>
    <row r="250" spans="1:31" s="526" customFormat="1" ht="15">
      <c r="A250" s="479" t="s">
        <v>22</v>
      </c>
      <c r="B250" s="480" t="s">
        <v>8544</v>
      </c>
      <c r="C250" s="483">
        <v>5105.5200000000004</v>
      </c>
      <c r="D250" s="481">
        <v>15.96</v>
      </c>
      <c r="E250" s="482">
        <v>4.3</v>
      </c>
      <c r="F250" s="549">
        <f t="shared" si="6"/>
        <v>5.3728573434299026E-4</v>
      </c>
      <c r="G250" s="549">
        <f t="shared" si="7"/>
        <v>0.93480157393637564</v>
      </c>
    </row>
    <row r="251" spans="1:31" s="526" customFormat="1" ht="30">
      <c r="A251" s="479" t="s">
        <v>22</v>
      </c>
      <c r="B251" s="480" t="s">
        <v>7279</v>
      </c>
      <c r="C251" s="483">
        <v>5102.5600000000004</v>
      </c>
      <c r="D251" s="481">
        <v>251.25</v>
      </c>
      <c r="E251" s="482">
        <v>67.66</v>
      </c>
      <c r="F251" s="549">
        <f t="shared" si="6"/>
        <v>5.3697423506893877E-4</v>
      </c>
      <c r="G251" s="549">
        <f t="shared" si="7"/>
        <v>0.93533854817144457</v>
      </c>
    </row>
    <row r="252" spans="1:31" s="526" customFormat="1" ht="30">
      <c r="A252" s="479" t="s">
        <v>22</v>
      </c>
      <c r="B252" s="480" t="s">
        <v>8305</v>
      </c>
      <c r="C252" s="483">
        <v>5079.3599999999997</v>
      </c>
      <c r="D252" s="481">
        <v>666.95</v>
      </c>
      <c r="E252" s="482">
        <v>179.61</v>
      </c>
      <c r="F252" s="549">
        <f t="shared" si="6"/>
        <v>5.3453275427231908E-4</v>
      </c>
      <c r="G252" s="549">
        <f t="shared" si="7"/>
        <v>0.93587308092571686</v>
      </c>
    </row>
    <row r="253" spans="1:31" s="526" customFormat="1" ht="30">
      <c r="A253" s="479" t="s">
        <v>22</v>
      </c>
      <c r="B253" s="480" t="s">
        <v>8794</v>
      </c>
      <c r="C253" s="483">
        <v>5055.08</v>
      </c>
      <c r="D253" s="482">
        <v>7.45</v>
      </c>
      <c r="E253" s="482">
        <v>2.0099999999999998</v>
      </c>
      <c r="F253" s="549">
        <f t="shared" si="6"/>
        <v>5.3197761833516724E-4</v>
      </c>
      <c r="G253" s="549">
        <f t="shared" si="7"/>
        <v>0.93640505854405198</v>
      </c>
    </row>
    <row r="254" spans="1:31" s="526" customFormat="1" ht="45">
      <c r="A254" s="479" t="s">
        <v>22</v>
      </c>
      <c r="B254" s="480" t="s">
        <v>6746</v>
      </c>
      <c r="C254" s="483">
        <v>4976.57</v>
      </c>
      <c r="D254" s="481">
        <v>101.52</v>
      </c>
      <c r="E254" s="482">
        <v>27.34</v>
      </c>
      <c r="F254" s="549">
        <f t="shared" si="6"/>
        <v>5.237155210359169E-4</v>
      </c>
      <c r="G254" s="549">
        <f t="shared" si="7"/>
        <v>0.9369287740650879</v>
      </c>
    </row>
    <row r="255" spans="1:31" s="526" customFormat="1" ht="15">
      <c r="A255" s="479" t="s">
        <v>22</v>
      </c>
      <c r="B255" s="480" t="s">
        <v>8572</v>
      </c>
      <c r="C255" s="483">
        <v>4967.66</v>
      </c>
      <c r="D255" s="481">
        <v>26.27</v>
      </c>
      <c r="E255" s="482">
        <v>7.07</v>
      </c>
      <c r="F255" s="549">
        <f t="shared" si="6"/>
        <v>5.2277786612652552E-4</v>
      </c>
      <c r="G255" s="549">
        <f t="shared" si="7"/>
        <v>0.93745155193121443</v>
      </c>
    </row>
    <row r="256" spans="1:31" s="526" customFormat="1" ht="15">
      <c r="A256" s="479" t="s">
        <v>22</v>
      </c>
      <c r="B256" s="480" t="s">
        <v>7169</v>
      </c>
      <c r="C256" s="483">
        <v>4940.8599999999997</v>
      </c>
      <c r="D256" s="481">
        <v>19.899999999999999</v>
      </c>
      <c r="E256" s="482">
        <v>5.36</v>
      </c>
      <c r="F256" s="549">
        <f t="shared" si="6"/>
        <v>5.1995753486146494E-4</v>
      </c>
      <c r="G256" s="549">
        <f t="shared" si="7"/>
        <v>0.93797150946607588</v>
      </c>
    </row>
    <row r="257" spans="1:7" s="526" customFormat="1" ht="30">
      <c r="A257" s="479" t="s">
        <v>22</v>
      </c>
      <c r="B257" s="480" t="s">
        <v>7098</v>
      </c>
      <c r="C257" s="483">
        <v>4910.8500000000004</v>
      </c>
      <c r="D257" s="481">
        <v>85.98</v>
      </c>
      <c r="E257" s="482">
        <v>23.15</v>
      </c>
      <c r="F257" s="549">
        <f t="shared" si="6"/>
        <v>5.1679939526204453E-4</v>
      </c>
      <c r="G257" s="549">
        <f t="shared" si="7"/>
        <v>0.93848830886133794</v>
      </c>
    </row>
    <row r="258" spans="1:7" s="526" customFormat="1" ht="15">
      <c r="A258" s="479" t="s">
        <v>22</v>
      </c>
      <c r="B258" s="480" t="s">
        <v>9645</v>
      </c>
      <c r="C258" s="483">
        <v>4857.6000000000004</v>
      </c>
      <c r="D258" s="481">
        <v>0.54</v>
      </c>
      <c r="E258" s="482">
        <v>0.15</v>
      </c>
      <c r="F258" s="549">
        <f t="shared" si="6"/>
        <v>5.1119556541635511E-4</v>
      </c>
      <c r="G258" s="549">
        <f t="shared" si="7"/>
        <v>0.93899950442675428</v>
      </c>
    </row>
    <row r="259" spans="1:7" s="526" customFormat="1" ht="15">
      <c r="A259" s="479" t="s">
        <v>22</v>
      </c>
      <c r="B259" s="480" t="s">
        <v>7021</v>
      </c>
      <c r="C259" s="483">
        <v>4783.5200000000004</v>
      </c>
      <c r="D259" s="481">
        <v>21.2</v>
      </c>
      <c r="E259" s="482">
        <v>5.71</v>
      </c>
      <c r="F259" s="549">
        <f t="shared" si="6"/>
        <v>5.0339966466576977E-4</v>
      </c>
      <c r="G259" s="549">
        <f t="shared" si="7"/>
        <v>0.93950290409142001</v>
      </c>
    </row>
    <row r="260" spans="1:7" s="526" customFormat="1" ht="15">
      <c r="A260" s="479" t="s">
        <v>22</v>
      </c>
      <c r="B260" s="480" t="s">
        <v>7407</v>
      </c>
      <c r="C260" s="483">
        <f>3972.5+794.5</f>
        <v>4767</v>
      </c>
      <c r="D260" s="481">
        <v>12.52</v>
      </c>
      <c r="E260" s="482">
        <v>3.37</v>
      </c>
      <c r="F260" s="549">
        <f t="shared" si="6"/>
        <v>5.0166116196059059E-4</v>
      </c>
      <c r="G260" s="549">
        <f t="shared" si="7"/>
        <v>0.94000456525338061</v>
      </c>
    </row>
    <row r="261" spans="1:7" s="526" customFormat="1" ht="30">
      <c r="A261" s="479" t="s">
        <v>22</v>
      </c>
      <c r="B261" s="480" t="s">
        <v>9114</v>
      </c>
      <c r="C261" s="483">
        <v>4667.32</v>
      </c>
      <c r="D261" s="481">
        <v>3677.08</v>
      </c>
      <c r="E261" s="482">
        <v>990.24</v>
      </c>
      <c r="F261" s="549">
        <f t="shared" si="6"/>
        <v>4.9117121343442486E-4</v>
      </c>
      <c r="G261" s="549">
        <f t="shared" si="7"/>
        <v>0.94049573646681506</v>
      </c>
    </row>
    <row r="262" spans="1:7" s="526" customFormat="1" ht="15">
      <c r="A262" s="479" t="s">
        <v>22</v>
      </c>
      <c r="B262" s="480" t="s">
        <v>8060</v>
      </c>
      <c r="C262" s="483">
        <v>4644.3599999999997</v>
      </c>
      <c r="D262" s="481">
        <v>261.36</v>
      </c>
      <c r="E262" s="482">
        <v>70.38</v>
      </c>
      <c r="F262" s="549">
        <f t="shared" si="6"/>
        <v>4.8875498933570135E-4</v>
      </c>
      <c r="G262" s="549">
        <f t="shared" si="7"/>
        <v>0.94098449145615071</v>
      </c>
    </row>
    <row r="263" spans="1:7" s="526" customFormat="1" ht="30">
      <c r="A263" s="479" t="s">
        <v>22</v>
      </c>
      <c r="B263" s="480" t="s">
        <v>9425</v>
      </c>
      <c r="C263" s="483">
        <v>4565.92</v>
      </c>
      <c r="D263" s="481">
        <v>899.30000000000007</v>
      </c>
      <c r="E263" s="482">
        <v>242.18</v>
      </c>
      <c r="F263" s="549">
        <f t="shared" si="6"/>
        <v>4.8050025857333746E-4</v>
      </c>
      <c r="G263" s="549">
        <f t="shared" si="7"/>
        <v>0.94146499171472409</v>
      </c>
    </row>
    <row r="264" spans="1:7" s="526" customFormat="1" ht="15">
      <c r="A264" s="479" t="s">
        <v>22</v>
      </c>
      <c r="B264" s="559" t="s">
        <v>8490</v>
      </c>
      <c r="C264" s="483">
        <v>4505.49</v>
      </c>
      <c r="D264" s="481">
        <v>10.66</v>
      </c>
      <c r="E264" s="482">
        <v>2.87</v>
      </c>
      <c r="F264" s="549">
        <f t="shared" si="6"/>
        <v>4.7414083251559071E-4</v>
      </c>
      <c r="G264" s="549">
        <f t="shared" si="7"/>
        <v>0.94193913254723971</v>
      </c>
    </row>
    <row r="265" spans="1:7" s="526" customFormat="1" ht="30">
      <c r="A265" s="479" t="s">
        <v>22</v>
      </c>
      <c r="B265" s="480" t="s">
        <v>7109</v>
      </c>
      <c r="C265" s="483">
        <v>4496.76</v>
      </c>
      <c r="D265" s="481">
        <v>196.82</v>
      </c>
      <c r="E265" s="482">
        <v>53</v>
      </c>
      <c r="F265" s="549">
        <f t="shared" si="6"/>
        <v>4.732221201296214E-4</v>
      </c>
      <c r="G265" s="549">
        <f t="shared" si="7"/>
        <v>0.94241235466736928</v>
      </c>
    </row>
    <row r="266" spans="1:7" s="526" customFormat="1" ht="15">
      <c r="A266" s="479" t="s">
        <v>22</v>
      </c>
      <c r="B266" s="480" t="s">
        <v>7418</v>
      </c>
      <c r="C266" s="483">
        <v>4488.96</v>
      </c>
      <c r="D266" s="481">
        <v>505.22</v>
      </c>
      <c r="E266" s="482">
        <v>136.06</v>
      </c>
      <c r="F266" s="549">
        <f t="shared" si="6"/>
        <v>4.7240127744799926E-4</v>
      </c>
      <c r="G266" s="549">
        <f t="shared" si="7"/>
        <v>0.94288475594481724</v>
      </c>
    </row>
    <row r="267" spans="1:7" s="526" customFormat="1" ht="30">
      <c r="A267" s="479" t="s">
        <v>22</v>
      </c>
      <c r="B267" s="480" t="s">
        <v>9181</v>
      </c>
      <c r="C267" s="483">
        <v>4455.4399999999996</v>
      </c>
      <c r="D267" s="481">
        <v>438.77</v>
      </c>
      <c r="E267" s="482">
        <v>118.16</v>
      </c>
      <c r="F267" s="549">
        <f t="shared" si="6"/>
        <v>4.6887375864184885E-4</v>
      </c>
      <c r="G267" s="549">
        <f t="shared" si="7"/>
        <v>0.94335362970345904</v>
      </c>
    </row>
    <row r="268" spans="1:7" s="526" customFormat="1" ht="15">
      <c r="A268" s="479" t="s">
        <v>22</v>
      </c>
      <c r="B268" s="480" t="s">
        <v>8036</v>
      </c>
      <c r="C268" s="483">
        <v>4400.76</v>
      </c>
      <c r="D268" s="481">
        <v>82.55</v>
      </c>
      <c r="E268" s="482">
        <v>22.23</v>
      </c>
      <c r="F268" s="549">
        <f t="shared" si="6"/>
        <v>4.6311944097119544E-4</v>
      </c>
      <c r="G268" s="549">
        <f t="shared" si="7"/>
        <v>0.94381674914443026</v>
      </c>
    </row>
    <row r="269" spans="1:7" s="526" customFormat="1" ht="30">
      <c r="A269" s="479" t="s">
        <v>22</v>
      </c>
      <c r="B269" s="480" t="s">
        <v>8679</v>
      </c>
      <c r="C269" s="483">
        <v>4388.95</v>
      </c>
      <c r="D269" s="481">
        <v>27.85</v>
      </c>
      <c r="E269" s="482">
        <v>7.5</v>
      </c>
      <c r="F269" s="549">
        <f t="shared" si="6"/>
        <v>4.618766009622265E-4</v>
      </c>
      <c r="G269" s="549">
        <f t="shared" si="7"/>
        <v>0.94427862574539245</v>
      </c>
    </row>
    <row r="270" spans="1:7" s="526" customFormat="1" ht="15">
      <c r="A270" s="479" t="s">
        <v>22</v>
      </c>
      <c r="B270" s="480" t="s">
        <v>7380</v>
      </c>
      <c r="C270" s="483">
        <v>4354.3500000000004</v>
      </c>
      <c r="D270" s="481">
        <v>8</v>
      </c>
      <c r="E270" s="482">
        <v>2.15</v>
      </c>
      <c r="F270" s="549">
        <f t="shared" si="6"/>
        <v>4.5823542701554389E-4</v>
      </c>
      <c r="G270" s="549">
        <f t="shared" si="7"/>
        <v>0.94473686117240796</v>
      </c>
    </row>
    <row r="271" spans="1:7" s="526" customFormat="1" ht="15">
      <c r="A271" s="479" t="s">
        <v>22</v>
      </c>
      <c r="B271" s="480" t="s">
        <v>7261</v>
      </c>
      <c r="C271" s="483">
        <v>4256</v>
      </c>
      <c r="D271" s="481">
        <v>8.82</v>
      </c>
      <c r="E271" s="482">
        <v>2.38</v>
      </c>
      <c r="F271" s="549">
        <f t="shared" si="6"/>
        <v>4.4788544269021887E-4</v>
      </c>
      <c r="G271" s="549">
        <f t="shared" si="7"/>
        <v>0.94518474661509821</v>
      </c>
    </row>
    <row r="272" spans="1:7" s="526" customFormat="1" ht="30">
      <c r="A272" s="479" t="s">
        <v>22</v>
      </c>
      <c r="B272" s="480" t="s">
        <v>8564</v>
      </c>
      <c r="C272" s="483">
        <v>4248.3</v>
      </c>
      <c r="D272" s="481">
        <v>15.94</v>
      </c>
      <c r="E272" s="482">
        <v>4.29</v>
      </c>
      <c r="F272" s="549">
        <f t="shared" ref="F272:F335" si="8">C272/SUM(C:C)</f>
        <v>4.4707512363272012E-4</v>
      </c>
      <c r="G272" s="549">
        <f t="shared" ref="G272:G335" si="9">F272+G271</f>
        <v>0.94563182173873095</v>
      </c>
    </row>
    <row r="273" spans="1:7" s="526" customFormat="1" ht="30">
      <c r="A273" s="479" t="s">
        <v>22</v>
      </c>
      <c r="B273" s="480" t="s">
        <v>8307</v>
      </c>
      <c r="C273" s="483">
        <v>4222.24</v>
      </c>
      <c r="D273" s="481">
        <v>831.61</v>
      </c>
      <c r="E273" s="482">
        <v>223.95</v>
      </c>
      <c r="F273" s="549">
        <f t="shared" si="8"/>
        <v>4.4433266718617239E-4</v>
      </c>
      <c r="G273" s="549">
        <f t="shared" si="9"/>
        <v>0.94607615440591708</v>
      </c>
    </row>
    <row r="274" spans="1:7" s="526" customFormat="1" ht="15">
      <c r="A274" s="479" t="s">
        <v>22</v>
      </c>
      <c r="B274" s="480" t="s">
        <v>9456</v>
      </c>
      <c r="C274" s="483">
        <v>4179.46</v>
      </c>
      <c r="D274" s="481">
        <v>12.100000000000001</v>
      </c>
      <c r="E274" s="482">
        <v>3.26</v>
      </c>
      <c r="F274" s="549">
        <f t="shared" si="8"/>
        <v>4.3983066078619881E-4</v>
      </c>
      <c r="G274" s="549">
        <f t="shared" si="9"/>
        <v>0.94651598506670331</v>
      </c>
    </row>
    <row r="275" spans="1:7" s="526" customFormat="1" ht="30">
      <c r="A275" s="479" t="s">
        <v>22</v>
      </c>
      <c r="B275" s="480" t="s">
        <v>9590</v>
      </c>
      <c r="C275" s="483">
        <f>3774+340</f>
        <v>4114</v>
      </c>
      <c r="D275" s="481">
        <v>6.7</v>
      </c>
      <c r="E275" s="482">
        <v>1.8</v>
      </c>
      <c r="F275" s="549">
        <f t="shared" si="8"/>
        <v>4.3294189643504712E-4</v>
      </c>
      <c r="G275" s="549">
        <f t="shared" si="9"/>
        <v>0.94694892696313837</v>
      </c>
    </row>
    <row r="276" spans="1:7" s="526" customFormat="1" ht="30">
      <c r="A276" s="479" t="s">
        <v>22</v>
      </c>
      <c r="B276" s="480" t="s">
        <v>9528</v>
      </c>
      <c r="C276" s="483">
        <v>4109.88</v>
      </c>
      <c r="D276" s="481">
        <v>71.92</v>
      </c>
      <c r="E276" s="482">
        <v>19.37</v>
      </c>
      <c r="F276" s="549">
        <f t="shared" si="8"/>
        <v>4.3250832312116466E-4</v>
      </c>
      <c r="G276" s="549">
        <f t="shared" si="9"/>
        <v>0.94738143528625951</v>
      </c>
    </row>
    <row r="277" spans="1:7" s="526" customFormat="1" ht="30">
      <c r="A277" s="479" t="s">
        <v>22</v>
      </c>
      <c r="B277" s="480" t="s">
        <v>8311</v>
      </c>
      <c r="C277" s="483">
        <v>4107.46</v>
      </c>
      <c r="D277" s="481">
        <v>1618</v>
      </c>
      <c r="E277" s="482">
        <v>435.73</v>
      </c>
      <c r="F277" s="549">
        <f t="shared" si="8"/>
        <v>4.3225365141737936E-4</v>
      </c>
      <c r="G277" s="549">
        <f t="shared" si="9"/>
        <v>0.94781368893767692</v>
      </c>
    </row>
    <row r="278" spans="1:7" s="526" customFormat="1" ht="15">
      <c r="A278" s="479" t="s">
        <v>22</v>
      </c>
      <c r="B278" s="480" t="s">
        <v>7172</v>
      </c>
      <c r="C278" s="483">
        <v>4031.49</v>
      </c>
      <c r="D278" s="481">
        <v>37.909999999999997</v>
      </c>
      <c r="E278" s="482">
        <v>10.210000000000001</v>
      </c>
      <c r="F278" s="549">
        <f t="shared" si="8"/>
        <v>4.2425885417086241E-4</v>
      </c>
      <c r="G278" s="549">
        <f t="shared" si="9"/>
        <v>0.94823794779184778</v>
      </c>
    </row>
    <row r="279" spans="1:7" s="526" customFormat="1" ht="30">
      <c r="A279" s="479" t="s">
        <v>22</v>
      </c>
      <c r="B279" s="480" t="s">
        <v>9178</v>
      </c>
      <c r="C279" s="483">
        <v>3995.24</v>
      </c>
      <c r="D279" s="482">
        <v>1.65</v>
      </c>
      <c r="E279" s="482">
        <v>0.44</v>
      </c>
      <c r="F279" s="549">
        <f t="shared" si="8"/>
        <v>4.2044404042614427E-4</v>
      </c>
      <c r="G279" s="549">
        <f t="shared" si="9"/>
        <v>0.94865839183227396</v>
      </c>
    </row>
    <row r="280" spans="1:7" s="526" customFormat="1" ht="15">
      <c r="A280" s="479" t="s">
        <v>22</v>
      </c>
      <c r="B280" s="480" t="s">
        <v>6837</v>
      </c>
      <c r="C280" s="483">
        <v>3978.67</v>
      </c>
      <c r="D280" s="481">
        <v>29.04</v>
      </c>
      <c r="E280" s="482">
        <v>7.82</v>
      </c>
      <c r="F280" s="549">
        <f t="shared" si="8"/>
        <v>4.1870027590890346E-4</v>
      </c>
      <c r="G280" s="549">
        <f t="shared" si="9"/>
        <v>0.94907709210818292</v>
      </c>
    </row>
    <row r="281" spans="1:7" s="526" customFormat="1" ht="30">
      <c r="A281" s="479" t="s">
        <v>22</v>
      </c>
      <c r="B281" s="480" t="s">
        <v>8741</v>
      </c>
      <c r="C281" s="483">
        <v>3953.94</v>
      </c>
      <c r="D281" s="481">
        <v>1557.53</v>
      </c>
      <c r="E281" s="482">
        <v>419.44</v>
      </c>
      <c r="F281" s="549">
        <f t="shared" si="8"/>
        <v>4.1609778366319644E-4</v>
      </c>
      <c r="G281" s="549">
        <f t="shared" si="9"/>
        <v>0.94949318989184617</v>
      </c>
    </row>
    <row r="282" spans="1:7" s="526" customFormat="1" ht="45">
      <c r="A282" s="479" t="s">
        <v>22</v>
      </c>
      <c r="B282" s="480" t="s">
        <v>7389</v>
      </c>
      <c r="C282" s="483">
        <v>3942.52</v>
      </c>
      <c r="D282" s="481">
        <v>1553.03</v>
      </c>
      <c r="E282" s="482">
        <v>418.23</v>
      </c>
      <c r="F282" s="549">
        <f t="shared" si="8"/>
        <v>4.1489598578830865E-4</v>
      </c>
      <c r="G282" s="549">
        <f t="shared" si="9"/>
        <v>0.94990808587763442</v>
      </c>
    </row>
    <row r="283" spans="1:7" s="526" customFormat="1" ht="15">
      <c r="A283" s="479" t="s">
        <v>22</v>
      </c>
      <c r="B283" s="480" t="s">
        <v>9583</v>
      </c>
      <c r="C283" s="483">
        <v>3938.54</v>
      </c>
      <c r="D283" s="481">
        <v>1551.46</v>
      </c>
      <c r="E283" s="482">
        <v>417.81</v>
      </c>
      <c r="F283" s="549">
        <f t="shared" si="8"/>
        <v>4.1447714554819894E-4</v>
      </c>
      <c r="G283" s="549">
        <f t="shared" si="9"/>
        <v>0.95032256302318263</v>
      </c>
    </row>
    <row r="284" spans="1:7" s="566" customFormat="1" ht="15">
      <c r="A284" s="561" t="s">
        <v>6187</v>
      </c>
      <c r="B284" s="567" t="s">
        <v>8518</v>
      </c>
      <c r="C284" s="565">
        <v>3925</v>
      </c>
      <c r="D284" s="563">
        <v>66.900000000000006</v>
      </c>
      <c r="E284" s="564">
        <v>18.02</v>
      </c>
      <c r="F284" s="568">
        <f t="shared" si="8"/>
        <v>4.1305224684189595E-4</v>
      </c>
      <c r="G284" s="568">
        <f t="shared" si="9"/>
        <v>0.95073561527002448</v>
      </c>
    </row>
    <row r="285" spans="1:7" s="566" customFormat="1" ht="15">
      <c r="A285" s="561" t="s">
        <v>6187</v>
      </c>
      <c r="B285" s="562" t="s">
        <v>9113</v>
      </c>
      <c r="C285" s="565">
        <v>3886.12</v>
      </c>
      <c r="D285" s="564">
        <v>2.21</v>
      </c>
      <c r="E285" s="564">
        <v>0.6</v>
      </c>
      <c r="F285" s="568">
        <f t="shared" si="8"/>
        <v>4.0896066178273342E-4</v>
      </c>
      <c r="G285" s="568">
        <f t="shared" si="9"/>
        <v>0.95114457593180723</v>
      </c>
    </row>
    <row r="286" spans="1:7" s="566" customFormat="1" ht="30">
      <c r="A286" s="561" t="s">
        <v>6187</v>
      </c>
      <c r="B286" s="562" t="s">
        <v>8448</v>
      </c>
      <c r="C286" s="565">
        <v>3879.9</v>
      </c>
      <c r="D286" s="563">
        <v>6.38</v>
      </c>
      <c r="E286" s="564">
        <v>1.72</v>
      </c>
      <c r="F286" s="568">
        <f t="shared" si="8"/>
        <v>4.0830609236226041E-4</v>
      </c>
      <c r="G286" s="568">
        <f t="shared" si="9"/>
        <v>0.95155288202416954</v>
      </c>
    </row>
    <row r="287" spans="1:7" s="566" customFormat="1" ht="30">
      <c r="A287" s="561" t="s">
        <v>6187</v>
      </c>
      <c r="B287" s="562" t="s">
        <v>15479</v>
      </c>
      <c r="C287" s="565">
        <v>3833.25</v>
      </c>
      <c r="D287" s="563">
        <v>3019.9700000000003</v>
      </c>
      <c r="E287" s="564">
        <v>813.28</v>
      </c>
      <c r="F287" s="568">
        <f t="shared" si="8"/>
        <v>4.0339682170871278E-4</v>
      </c>
      <c r="G287" s="568">
        <f t="shared" si="9"/>
        <v>0.9519562788458783</v>
      </c>
    </row>
    <row r="288" spans="1:7" s="566" customFormat="1" ht="15">
      <c r="A288" s="561" t="s">
        <v>6187</v>
      </c>
      <c r="B288" s="562" t="s">
        <v>9027</v>
      </c>
      <c r="C288" s="565">
        <v>3705.54</v>
      </c>
      <c r="D288" s="563">
        <v>486.56</v>
      </c>
      <c r="E288" s="564">
        <v>131.03</v>
      </c>
      <c r="F288" s="568">
        <f t="shared" si="8"/>
        <v>3.8995710134076918E-4</v>
      </c>
      <c r="G288" s="568">
        <f t="shared" si="9"/>
        <v>0.95234623594721912</v>
      </c>
    </row>
    <row r="289" spans="1:7" s="566" customFormat="1" ht="30">
      <c r="A289" s="561" t="s">
        <v>6187</v>
      </c>
      <c r="B289" s="562" t="s">
        <v>9584</v>
      </c>
      <c r="C289" s="565">
        <v>3704.92</v>
      </c>
      <c r="D289" s="563">
        <v>729.71999999999991</v>
      </c>
      <c r="E289" s="564">
        <v>196.51</v>
      </c>
      <c r="F289" s="568">
        <f t="shared" si="8"/>
        <v>3.8989185487120438E-4</v>
      </c>
      <c r="G289" s="568">
        <f t="shared" si="9"/>
        <v>0.95273612780209027</v>
      </c>
    </row>
    <row r="290" spans="1:7" s="566" customFormat="1" ht="15">
      <c r="A290" s="561" t="s">
        <v>6187</v>
      </c>
      <c r="B290" s="562" t="s">
        <v>7097</v>
      </c>
      <c r="C290" s="565">
        <v>3701.6</v>
      </c>
      <c r="D290" s="563">
        <v>145.81</v>
      </c>
      <c r="E290" s="564">
        <v>39.270000000000003</v>
      </c>
      <c r="F290" s="568">
        <f t="shared" si="8"/>
        <v>3.8954247055030878E-4</v>
      </c>
      <c r="G290" s="568">
        <f t="shared" si="9"/>
        <v>0.95312567027264061</v>
      </c>
    </row>
    <row r="291" spans="1:7" s="566" customFormat="1" ht="30">
      <c r="A291" s="561" t="s">
        <v>6187</v>
      </c>
      <c r="B291" s="562" t="s">
        <v>8556</v>
      </c>
      <c r="C291" s="565">
        <v>3646.26</v>
      </c>
      <c r="D291" s="563">
        <v>30.56</v>
      </c>
      <c r="E291" s="564">
        <v>8.23</v>
      </c>
      <c r="F291" s="568">
        <f t="shared" si="8"/>
        <v>3.8371869696044114E-4</v>
      </c>
      <c r="G291" s="568">
        <f t="shared" si="9"/>
        <v>0.95350938896960102</v>
      </c>
    </row>
    <row r="292" spans="1:7" s="566" customFormat="1" ht="30">
      <c r="A292" s="561" t="s">
        <v>6187</v>
      </c>
      <c r="B292" s="562" t="s">
        <v>7091</v>
      </c>
      <c r="C292" s="565">
        <v>3542.58</v>
      </c>
      <c r="D292" s="563">
        <v>465.16</v>
      </c>
      <c r="E292" s="564">
        <v>125.27</v>
      </c>
      <c r="F292" s="568">
        <f t="shared" si="8"/>
        <v>3.7280780346934104E-4</v>
      </c>
      <c r="G292" s="568">
        <f t="shared" si="9"/>
        <v>0.9538821967730704</v>
      </c>
    </row>
    <row r="293" spans="1:7" s="566" customFormat="1" ht="45">
      <c r="A293" s="561" t="s">
        <v>6187</v>
      </c>
      <c r="B293" s="562" t="s">
        <v>9544</v>
      </c>
      <c r="C293" s="565">
        <v>3470.53</v>
      </c>
      <c r="D293" s="563">
        <v>1.6</v>
      </c>
      <c r="E293" s="564">
        <v>0.43</v>
      </c>
      <c r="F293" s="568">
        <f t="shared" si="8"/>
        <v>3.6522553228845989E-4</v>
      </c>
      <c r="G293" s="568">
        <f t="shared" si="9"/>
        <v>0.95424742230535886</v>
      </c>
    </row>
    <row r="294" spans="1:7" s="566" customFormat="1" ht="15">
      <c r="A294" s="561" t="s">
        <v>6187</v>
      </c>
      <c r="B294" s="562" t="s">
        <v>8238</v>
      </c>
      <c r="C294" s="565">
        <v>3461.88</v>
      </c>
      <c r="D294" s="563">
        <v>681.85</v>
      </c>
      <c r="E294" s="564">
        <v>183.62</v>
      </c>
      <c r="F294" s="568">
        <f t="shared" si="8"/>
        <v>3.6431523880178925E-4</v>
      </c>
      <c r="G294" s="568">
        <f t="shared" si="9"/>
        <v>0.95461173754416062</v>
      </c>
    </row>
    <row r="295" spans="1:7" s="566" customFormat="1" ht="15">
      <c r="A295" s="561" t="s">
        <v>6187</v>
      </c>
      <c r="B295" s="562" t="s">
        <v>7350</v>
      </c>
      <c r="C295" s="565">
        <v>3402.39</v>
      </c>
      <c r="D295" s="563">
        <v>34.44</v>
      </c>
      <c r="E295" s="564">
        <v>9.27</v>
      </c>
      <c r="F295" s="568">
        <f t="shared" si="8"/>
        <v>3.5805473481080211E-4</v>
      </c>
      <c r="G295" s="568">
        <f t="shared" si="9"/>
        <v>0.95496979227897139</v>
      </c>
    </row>
    <row r="296" spans="1:7" s="566" customFormat="1" ht="15">
      <c r="A296" s="561" t="s">
        <v>6187</v>
      </c>
      <c r="B296" s="562" t="s">
        <v>9155</v>
      </c>
      <c r="C296" s="565">
        <v>3400.32</v>
      </c>
      <c r="D296" s="564">
        <v>3.99</v>
      </c>
      <c r="E296" s="564">
        <v>1.07</v>
      </c>
      <c r="F296" s="568">
        <f t="shared" si="8"/>
        <v>3.5783689579144855E-4</v>
      </c>
      <c r="G296" s="568">
        <f t="shared" si="9"/>
        <v>0.95532762917476288</v>
      </c>
    </row>
    <row r="297" spans="1:7" s="566" customFormat="1" ht="30">
      <c r="A297" s="561" t="s">
        <v>6187</v>
      </c>
      <c r="B297" s="562" t="s">
        <v>9182</v>
      </c>
      <c r="C297" s="565">
        <v>3383.2</v>
      </c>
      <c r="D297" s="563">
        <v>166.58999999999997</v>
      </c>
      <c r="E297" s="564">
        <v>44.86</v>
      </c>
      <c r="F297" s="568">
        <f t="shared" si="8"/>
        <v>3.5603525134152923E-4</v>
      </c>
      <c r="G297" s="568">
        <f t="shared" si="9"/>
        <v>0.95568366442610442</v>
      </c>
    </row>
    <row r="298" spans="1:7" s="566" customFormat="1" ht="15">
      <c r="A298" s="561" t="s">
        <v>6187</v>
      </c>
      <c r="B298" s="562" t="s">
        <v>7011</v>
      </c>
      <c r="C298" s="565">
        <v>3370.72</v>
      </c>
      <c r="D298" s="563">
        <v>165.97</v>
      </c>
      <c r="E298" s="564">
        <v>44.7</v>
      </c>
      <c r="F298" s="568">
        <f t="shared" si="8"/>
        <v>3.5472190305093384E-4</v>
      </c>
      <c r="G298" s="568">
        <f t="shared" si="9"/>
        <v>0.95603838632915539</v>
      </c>
    </row>
    <row r="299" spans="1:7" s="566" customFormat="1" ht="30">
      <c r="A299" s="561" t="s">
        <v>6187</v>
      </c>
      <c r="B299" s="562" t="s">
        <v>8310</v>
      </c>
      <c r="C299" s="565">
        <v>3329.98</v>
      </c>
      <c r="D299" s="563">
        <v>1311.7399999999998</v>
      </c>
      <c r="E299" s="564">
        <v>353.25</v>
      </c>
      <c r="F299" s="568">
        <f t="shared" si="8"/>
        <v>3.5043457858307685E-4</v>
      </c>
      <c r="G299" s="568">
        <f t="shared" si="9"/>
        <v>0.95638882090773847</v>
      </c>
    </row>
    <row r="300" spans="1:7" s="566" customFormat="1" ht="30">
      <c r="A300" s="561" t="s">
        <v>6187</v>
      </c>
      <c r="B300" s="562" t="s">
        <v>8309</v>
      </c>
      <c r="C300" s="565">
        <v>3317.3</v>
      </c>
      <c r="D300" s="563">
        <v>1306.7399999999998</v>
      </c>
      <c r="E300" s="564">
        <v>351.91</v>
      </c>
      <c r="F300" s="568">
        <f t="shared" si="8"/>
        <v>3.4910018304423475E-4</v>
      </c>
      <c r="G300" s="568">
        <f t="shared" si="9"/>
        <v>0.95673792109078271</v>
      </c>
    </row>
    <row r="301" spans="1:7" s="566" customFormat="1" ht="30">
      <c r="A301" s="561" t="s">
        <v>6187</v>
      </c>
      <c r="B301" s="562" t="s">
        <v>8923</v>
      </c>
      <c r="C301" s="565">
        <v>3270.53</v>
      </c>
      <c r="D301" s="563">
        <v>2576.64</v>
      </c>
      <c r="E301" s="564">
        <v>693.89</v>
      </c>
      <c r="F301" s="568">
        <f t="shared" si="8"/>
        <v>3.4417828404173913E-4</v>
      </c>
      <c r="G301" s="568">
        <f t="shared" si="9"/>
        <v>0.95708209937482447</v>
      </c>
    </row>
    <row r="302" spans="1:7" s="566" customFormat="1" ht="30">
      <c r="A302" s="561" t="s">
        <v>6187</v>
      </c>
      <c r="B302" s="562" t="s">
        <v>8212</v>
      </c>
      <c r="C302" s="565">
        <v>3230</v>
      </c>
      <c r="D302" s="563">
        <v>636.17999999999995</v>
      </c>
      <c r="E302" s="564">
        <v>171.32</v>
      </c>
      <c r="F302" s="568">
        <f t="shared" si="8"/>
        <v>3.3991305918454112E-4</v>
      </c>
      <c r="G302" s="568">
        <f t="shared" si="9"/>
        <v>0.95742201243400904</v>
      </c>
    </row>
    <row r="303" spans="1:7" s="566" customFormat="1" ht="30">
      <c r="A303" s="561" t="s">
        <v>6187</v>
      </c>
      <c r="B303" s="562" t="s">
        <v>6988</v>
      </c>
      <c r="C303" s="565">
        <v>3192.48</v>
      </c>
      <c r="D303" s="563">
        <v>660.14</v>
      </c>
      <c r="E303" s="564">
        <v>177.78</v>
      </c>
      <c r="F303" s="568">
        <f t="shared" si="8"/>
        <v>3.3596459541345629E-4</v>
      </c>
      <c r="G303" s="568">
        <f t="shared" si="9"/>
        <v>0.95775797702942245</v>
      </c>
    </row>
    <row r="304" spans="1:7" s="566" customFormat="1" ht="15">
      <c r="A304" s="561" t="s">
        <v>6187</v>
      </c>
      <c r="B304" s="562" t="s">
        <v>7157</v>
      </c>
      <c r="C304" s="565">
        <v>3158.24</v>
      </c>
      <c r="D304" s="563">
        <v>155.51</v>
      </c>
      <c r="E304" s="564">
        <v>41.88</v>
      </c>
      <c r="F304" s="568">
        <f t="shared" si="8"/>
        <v>3.3236130651361764E-4</v>
      </c>
      <c r="G304" s="568">
        <f t="shared" si="9"/>
        <v>0.95809033833593604</v>
      </c>
    </row>
    <row r="305" spans="1:7" s="566" customFormat="1" ht="30">
      <c r="A305" s="561" t="s">
        <v>6187</v>
      </c>
      <c r="B305" s="562" t="s">
        <v>8211</v>
      </c>
      <c r="C305" s="565">
        <v>3127.74</v>
      </c>
      <c r="D305" s="563">
        <v>176.01</v>
      </c>
      <c r="E305" s="564">
        <v>47.4</v>
      </c>
      <c r="F305" s="568">
        <f t="shared" si="8"/>
        <v>3.2915160115599274E-4</v>
      </c>
      <c r="G305" s="568">
        <f t="shared" si="9"/>
        <v>0.95841948993709203</v>
      </c>
    </row>
    <row r="306" spans="1:7" s="566" customFormat="1" ht="15">
      <c r="A306" s="561" t="s">
        <v>6187</v>
      </c>
      <c r="B306" s="562" t="s">
        <v>7168</v>
      </c>
      <c r="C306" s="565">
        <v>3109.51</v>
      </c>
      <c r="D306" s="563">
        <v>13.49</v>
      </c>
      <c r="E306" s="564">
        <v>3.63</v>
      </c>
      <c r="F306" s="568">
        <f t="shared" si="8"/>
        <v>3.2723314447830417E-4</v>
      </c>
      <c r="G306" s="568">
        <f t="shared" si="9"/>
        <v>0.95874672308157038</v>
      </c>
    </row>
    <row r="307" spans="1:7" s="566" customFormat="1" ht="30">
      <c r="A307" s="561" t="s">
        <v>6187</v>
      </c>
      <c r="B307" s="562" t="s">
        <v>7858</v>
      </c>
      <c r="C307" s="565">
        <v>3090.45</v>
      </c>
      <c r="D307" s="564">
        <v>0.47</v>
      </c>
      <c r="E307" s="564">
        <v>0.13</v>
      </c>
      <c r="F307" s="568">
        <f t="shared" si="8"/>
        <v>3.2522734172039166E-4</v>
      </c>
      <c r="G307" s="568">
        <f t="shared" si="9"/>
        <v>0.95907195042329074</v>
      </c>
    </row>
    <row r="308" spans="1:7" s="566" customFormat="1" ht="15">
      <c r="A308" s="561" t="s">
        <v>6187</v>
      </c>
      <c r="B308" s="562" t="s">
        <v>7126</v>
      </c>
      <c r="C308" s="565">
        <v>3058.5</v>
      </c>
      <c r="D308" s="564">
        <v>1204.8</v>
      </c>
      <c r="E308" s="564">
        <v>324.45</v>
      </c>
      <c r="F308" s="568">
        <f t="shared" si="8"/>
        <v>3.2186504381297799E-4</v>
      </c>
      <c r="G308" s="568">
        <f t="shared" si="9"/>
        <v>0.95939381546710367</v>
      </c>
    </row>
    <row r="309" spans="1:7" s="566" customFormat="1" ht="15">
      <c r="A309" s="561" t="s">
        <v>6187</v>
      </c>
      <c r="B309" s="562" t="s">
        <v>7413</v>
      </c>
      <c r="C309" s="565">
        <v>3003.66</v>
      </c>
      <c r="D309" s="563">
        <v>215.13</v>
      </c>
      <c r="E309" s="564">
        <v>57.93</v>
      </c>
      <c r="F309" s="568">
        <f t="shared" si="8"/>
        <v>3.1609388834372718E-4</v>
      </c>
      <c r="G309" s="568">
        <f t="shared" si="9"/>
        <v>0.95970990935544742</v>
      </c>
    </row>
    <row r="310" spans="1:7" s="566" customFormat="1" ht="30">
      <c r="A310" s="561" t="s">
        <v>6187</v>
      </c>
      <c r="B310" s="562" t="s">
        <v>8715</v>
      </c>
      <c r="C310" s="565">
        <v>2997.95</v>
      </c>
      <c r="D310" s="563">
        <v>472.38</v>
      </c>
      <c r="E310" s="564">
        <v>127.21</v>
      </c>
      <c r="F310" s="568">
        <f t="shared" si="8"/>
        <v>3.1549298940628326E-4</v>
      </c>
      <c r="G310" s="568">
        <f t="shared" si="9"/>
        <v>0.96002540234485367</v>
      </c>
    </row>
    <row r="311" spans="1:7" s="566" customFormat="1" ht="15">
      <c r="A311" s="561" t="s">
        <v>6187</v>
      </c>
      <c r="B311" s="562" t="s">
        <v>9582</v>
      </c>
      <c r="C311" s="565">
        <v>2993.28</v>
      </c>
      <c r="D311" s="563">
        <v>786.07</v>
      </c>
      <c r="E311" s="564">
        <v>211.69</v>
      </c>
      <c r="F311" s="568">
        <f t="shared" si="8"/>
        <v>3.1500153615972239E-4</v>
      </c>
      <c r="G311" s="568">
        <f t="shared" si="9"/>
        <v>0.96034040388101338</v>
      </c>
    </row>
    <row r="312" spans="1:7" s="566" customFormat="1" ht="15">
      <c r="A312" s="561" t="s">
        <v>6187</v>
      </c>
      <c r="B312" s="562" t="s">
        <v>9530</v>
      </c>
      <c r="C312" s="565">
        <v>2979.05</v>
      </c>
      <c r="D312" s="563">
        <v>11.18</v>
      </c>
      <c r="E312" s="564">
        <v>3.01</v>
      </c>
      <c r="F312" s="568">
        <f t="shared" si="8"/>
        <v>3.135040244469682E-4</v>
      </c>
      <c r="G312" s="568">
        <f t="shared" si="9"/>
        <v>0.96065390790546035</v>
      </c>
    </row>
    <row r="313" spans="1:7" s="566" customFormat="1" ht="15">
      <c r="A313" s="561" t="s">
        <v>6187</v>
      </c>
      <c r="B313" s="562" t="s">
        <v>8727</v>
      </c>
      <c r="C313" s="565">
        <v>2945.08</v>
      </c>
      <c r="D313" s="563">
        <v>16.34</v>
      </c>
      <c r="E313" s="564">
        <v>4.4000000000000004</v>
      </c>
      <c r="F313" s="568">
        <f t="shared" si="8"/>
        <v>3.0992914933226261E-4</v>
      </c>
      <c r="G313" s="568">
        <f t="shared" si="9"/>
        <v>0.9609638370547926</v>
      </c>
    </row>
    <row r="314" spans="1:7" s="566" customFormat="1" ht="15">
      <c r="A314" s="561" t="s">
        <v>6187</v>
      </c>
      <c r="B314" s="562" t="s">
        <v>7265</v>
      </c>
      <c r="C314" s="565">
        <v>2939.3</v>
      </c>
      <c r="D314" s="563">
        <v>10.48</v>
      </c>
      <c r="E314" s="564">
        <v>2.82</v>
      </c>
      <c r="F314" s="568">
        <f t="shared" si="8"/>
        <v>3.0932088385793245E-4</v>
      </c>
      <c r="G314" s="568">
        <f t="shared" si="9"/>
        <v>0.96127315793865054</v>
      </c>
    </row>
    <row r="315" spans="1:7" s="566" customFormat="1" ht="30">
      <c r="A315" s="561" t="s">
        <v>6187</v>
      </c>
      <c r="B315" s="562" t="s">
        <v>15459</v>
      </c>
      <c r="C315" s="565">
        <v>2935.56</v>
      </c>
      <c r="D315" s="564">
        <v>1156.3700000000001</v>
      </c>
      <c r="E315" s="564">
        <v>311.41000000000003</v>
      </c>
      <c r="F315" s="568">
        <f t="shared" si="8"/>
        <v>3.0892730031571871E-4</v>
      </c>
      <c r="G315" s="568">
        <f t="shared" si="9"/>
        <v>0.96158208523896627</v>
      </c>
    </row>
    <row r="316" spans="1:7" s="566" customFormat="1" ht="15">
      <c r="A316" s="561" t="s">
        <v>6187</v>
      </c>
      <c r="B316" s="562" t="s">
        <v>8722</v>
      </c>
      <c r="C316" s="565">
        <v>2921.52</v>
      </c>
      <c r="D316" s="563">
        <v>191.81</v>
      </c>
      <c r="E316" s="564">
        <v>51.65</v>
      </c>
      <c r="F316" s="568">
        <f t="shared" si="8"/>
        <v>3.0744978348879891E-4</v>
      </c>
      <c r="G316" s="568">
        <f t="shared" si="9"/>
        <v>0.96188953502245511</v>
      </c>
    </row>
    <row r="317" spans="1:7" s="566" customFormat="1" ht="30">
      <c r="A317" s="561" t="s">
        <v>6187</v>
      </c>
      <c r="B317" s="562" t="s">
        <v>8449</v>
      </c>
      <c r="C317" s="565">
        <v>2900.8</v>
      </c>
      <c r="D317" s="563">
        <v>8.16</v>
      </c>
      <c r="E317" s="564">
        <v>2.2000000000000002</v>
      </c>
      <c r="F317" s="568">
        <f t="shared" si="8"/>
        <v>3.052692885704387E-4</v>
      </c>
      <c r="G317" s="568">
        <f t="shared" si="9"/>
        <v>0.96219480431102555</v>
      </c>
    </row>
    <row r="318" spans="1:7" s="566" customFormat="1" ht="45">
      <c r="A318" s="561" t="s">
        <v>6187</v>
      </c>
      <c r="B318" s="562" t="s">
        <v>7302</v>
      </c>
      <c r="C318" s="565">
        <v>2870.34</v>
      </c>
      <c r="D318" s="563">
        <v>205.57999999999998</v>
      </c>
      <c r="E318" s="564">
        <v>55.36</v>
      </c>
      <c r="F318" s="568">
        <f t="shared" si="8"/>
        <v>3.020637926624631E-4</v>
      </c>
      <c r="G318" s="568">
        <f t="shared" si="9"/>
        <v>0.96249686810368806</v>
      </c>
    </row>
    <row r="319" spans="1:7" s="566" customFormat="1" ht="15">
      <c r="A319" s="561" t="s">
        <v>6187</v>
      </c>
      <c r="B319" s="562" t="s">
        <v>8038</v>
      </c>
      <c r="C319" s="565">
        <v>2821.05</v>
      </c>
      <c r="D319" s="563">
        <v>49.39</v>
      </c>
      <c r="E319" s="564">
        <v>13.3</v>
      </c>
      <c r="F319" s="568">
        <f t="shared" si="8"/>
        <v>2.9687669833205875E-4</v>
      </c>
      <c r="G319" s="568">
        <f t="shared" si="9"/>
        <v>0.96279374480202007</v>
      </c>
    </row>
    <row r="320" spans="1:7" s="566" customFormat="1" ht="15">
      <c r="A320" s="561" t="s">
        <v>6187</v>
      </c>
      <c r="B320" s="562" t="s">
        <v>6857</v>
      </c>
      <c r="C320" s="565">
        <v>2811.44</v>
      </c>
      <c r="D320" s="563">
        <v>21.16</v>
      </c>
      <c r="E320" s="564">
        <v>5.7</v>
      </c>
      <c r="F320" s="568">
        <f t="shared" si="8"/>
        <v>2.9586537805380378E-4</v>
      </c>
      <c r="G320" s="568">
        <f t="shared" si="9"/>
        <v>0.96308961018007389</v>
      </c>
    </row>
    <row r="321" spans="1:7" s="566" customFormat="1" ht="15">
      <c r="A321" s="561" t="s">
        <v>6187</v>
      </c>
      <c r="B321" s="562" t="s">
        <v>7010</v>
      </c>
      <c r="C321" s="565">
        <v>2797.52</v>
      </c>
      <c r="D321" s="563">
        <v>551</v>
      </c>
      <c r="E321" s="564">
        <v>148.38</v>
      </c>
      <c r="F321" s="568">
        <f t="shared" si="8"/>
        <v>2.9440048957583202E-4</v>
      </c>
      <c r="G321" s="568">
        <f t="shared" si="9"/>
        <v>0.96338401066964974</v>
      </c>
    </row>
    <row r="322" spans="1:7" s="566" customFormat="1" ht="30">
      <c r="A322" s="561" t="s">
        <v>6187</v>
      </c>
      <c r="B322" s="562" t="s">
        <v>8396</v>
      </c>
      <c r="C322" s="565">
        <v>2794.86</v>
      </c>
      <c r="D322" s="563">
        <v>366.98</v>
      </c>
      <c r="E322" s="564">
        <v>98.83</v>
      </c>
      <c r="F322" s="568">
        <f t="shared" si="8"/>
        <v>2.9412056117415064E-4</v>
      </c>
      <c r="G322" s="568">
        <f t="shared" si="9"/>
        <v>0.96367813123082391</v>
      </c>
    </row>
    <row r="323" spans="1:7" s="566" customFormat="1" ht="30">
      <c r="A323" s="561" t="s">
        <v>6187</v>
      </c>
      <c r="B323" s="562" t="s">
        <v>8984</v>
      </c>
      <c r="C323" s="565">
        <v>2773.04</v>
      </c>
      <c r="D323" s="563">
        <v>130.9</v>
      </c>
      <c r="E323" s="564">
        <v>35.25</v>
      </c>
      <c r="F323" s="568">
        <f t="shared" si="8"/>
        <v>2.9182430639043341E-4</v>
      </c>
      <c r="G323" s="568">
        <f t="shared" si="9"/>
        <v>0.96396995553721432</v>
      </c>
    </row>
    <row r="324" spans="1:7" s="566" customFormat="1" ht="15">
      <c r="A324" s="561" t="s">
        <v>6187</v>
      </c>
      <c r="B324" s="562" t="s">
        <v>8717</v>
      </c>
      <c r="C324" s="565">
        <v>2722.39</v>
      </c>
      <c r="D324" s="563">
        <v>194.98</v>
      </c>
      <c r="E324" s="564">
        <v>52.51</v>
      </c>
      <c r="F324" s="568">
        <f t="shared" si="8"/>
        <v>2.8649409077195136E-4</v>
      </c>
      <c r="G324" s="568">
        <f t="shared" si="9"/>
        <v>0.96425644962798629</v>
      </c>
    </row>
    <row r="325" spans="1:7" s="566" customFormat="1" ht="30">
      <c r="A325" s="561" t="s">
        <v>6187</v>
      </c>
      <c r="B325" s="562" t="s">
        <v>6826</v>
      </c>
      <c r="C325" s="565">
        <v>2712.65</v>
      </c>
      <c r="D325" s="563">
        <v>251.13</v>
      </c>
      <c r="E325" s="564">
        <v>67.63</v>
      </c>
      <c r="F325" s="568">
        <f t="shared" si="8"/>
        <v>2.8546908978233608E-4</v>
      </c>
      <c r="G325" s="568">
        <f t="shared" si="9"/>
        <v>0.96454191871776862</v>
      </c>
    </row>
    <row r="326" spans="1:7" s="566" customFormat="1" ht="15">
      <c r="A326" s="561" t="s">
        <v>6187</v>
      </c>
      <c r="B326" s="562" t="s">
        <v>7229</v>
      </c>
      <c r="C326" s="565">
        <v>2707.38</v>
      </c>
      <c r="D326" s="563">
        <v>54.69</v>
      </c>
      <c r="E326" s="564">
        <v>14.73</v>
      </c>
      <c r="F326" s="568">
        <f t="shared" si="8"/>
        <v>2.8491449479103496E-4</v>
      </c>
      <c r="G326" s="568">
        <f t="shared" si="9"/>
        <v>0.96482683321255969</v>
      </c>
    </row>
    <row r="327" spans="1:7" s="566" customFormat="1" ht="15">
      <c r="A327" s="561" t="s">
        <v>6187</v>
      </c>
      <c r="B327" s="562" t="s">
        <v>15483</v>
      </c>
      <c r="C327" s="565">
        <v>2661.12</v>
      </c>
      <c r="D327" s="564">
        <v>0.85</v>
      </c>
      <c r="E327" s="564">
        <v>0.23</v>
      </c>
      <c r="F327" s="568">
        <f t="shared" si="8"/>
        <v>2.8004626627156843E-4</v>
      </c>
      <c r="G327" s="568">
        <f t="shared" si="9"/>
        <v>0.96510687947883123</v>
      </c>
    </row>
    <row r="328" spans="1:7" s="566" customFormat="1" ht="15">
      <c r="A328" s="561" t="s">
        <v>6187</v>
      </c>
      <c r="B328" s="562" t="s">
        <v>15487</v>
      </c>
      <c r="C328" s="565">
        <v>2661.12</v>
      </c>
      <c r="D328" s="564">
        <v>0.85</v>
      </c>
      <c r="E328" s="564">
        <v>0.23</v>
      </c>
      <c r="F328" s="568">
        <f t="shared" si="8"/>
        <v>2.8004626627156843E-4</v>
      </c>
      <c r="G328" s="568">
        <f t="shared" si="9"/>
        <v>0.96538692574510276</v>
      </c>
    </row>
    <row r="329" spans="1:7" s="566" customFormat="1" ht="15">
      <c r="A329" s="561" t="s">
        <v>6187</v>
      </c>
      <c r="B329" s="562" t="s">
        <v>15490</v>
      </c>
      <c r="C329" s="565">
        <v>2661.12</v>
      </c>
      <c r="D329" s="564">
        <v>0.85</v>
      </c>
      <c r="E329" s="564">
        <v>0.23</v>
      </c>
      <c r="F329" s="568">
        <f t="shared" si="8"/>
        <v>2.8004626627156843E-4</v>
      </c>
      <c r="G329" s="568">
        <f t="shared" si="9"/>
        <v>0.9656669720113743</v>
      </c>
    </row>
    <row r="330" spans="1:7" s="566" customFormat="1" ht="15">
      <c r="A330" s="561" t="s">
        <v>6187</v>
      </c>
      <c r="B330" s="562" t="s">
        <v>15488</v>
      </c>
      <c r="C330" s="565">
        <v>2661.12</v>
      </c>
      <c r="D330" s="564">
        <v>0.85</v>
      </c>
      <c r="E330" s="564">
        <v>0.23</v>
      </c>
      <c r="F330" s="568">
        <f t="shared" si="8"/>
        <v>2.8004626627156843E-4</v>
      </c>
      <c r="G330" s="568">
        <f t="shared" si="9"/>
        <v>0.96594701827764584</v>
      </c>
    </row>
    <row r="331" spans="1:7" s="566" customFormat="1" ht="15">
      <c r="A331" s="561" t="s">
        <v>6187</v>
      </c>
      <c r="B331" s="562" t="s">
        <v>15491</v>
      </c>
      <c r="C331" s="565">
        <v>2661.12</v>
      </c>
      <c r="D331" s="564">
        <v>0.85</v>
      </c>
      <c r="E331" s="564">
        <v>0.23</v>
      </c>
      <c r="F331" s="568">
        <f t="shared" si="8"/>
        <v>2.8004626627156843E-4</v>
      </c>
      <c r="G331" s="568">
        <f t="shared" si="9"/>
        <v>0.96622706454391738</v>
      </c>
    </row>
    <row r="332" spans="1:7" s="566" customFormat="1" ht="15">
      <c r="A332" s="561" t="s">
        <v>6187</v>
      </c>
      <c r="B332" s="562" t="s">
        <v>15486</v>
      </c>
      <c r="C332" s="565">
        <v>2661.12</v>
      </c>
      <c r="D332" s="564">
        <v>0.85</v>
      </c>
      <c r="E332" s="564">
        <v>0.23</v>
      </c>
      <c r="F332" s="568">
        <f t="shared" si="8"/>
        <v>2.8004626627156843E-4</v>
      </c>
      <c r="G332" s="568">
        <f t="shared" si="9"/>
        <v>0.96650711081018892</v>
      </c>
    </row>
    <row r="333" spans="1:7" s="566" customFormat="1" ht="15">
      <c r="A333" s="561" t="s">
        <v>6187</v>
      </c>
      <c r="B333" s="562" t="s">
        <v>15485</v>
      </c>
      <c r="C333" s="565">
        <v>2661.12</v>
      </c>
      <c r="D333" s="564">
        <v>0.85</v>
      </c>
      <c r="E333" s="564">
        <v>0.23</v>
      </c>
      <c r="F333" s="568">
        <f t="shared" si="8"/>
        <v>2.8004626627156843E-4</v>
      </c>
      <c r="G333" s="568">
        <f t="shared" si="9"/>
        <v>0.96678715707646046</v>
      </c>
    </row>
    <row r="334" spans="1:7" s="566" customFormat="1" ht="15">
      <c r="A334" s="561" t="s">
        <v>6187</v>
      </c>
      <c r="B334" s="562" t="s">
        <v>15484</v>
      </c>
      <c r="C334" s="565">
        <v>2661.12</v>
      </c>
      <c r="D334" s="564">
        <v>0.85</v>
      </c>
      <c r="E334" s="564">
        <v>0.23</v>
      </c>
      <c r="F334" s="568">
        <f t="shared" si="8"/>
        <v>2.8004626627156843E-4</v>
      </c>
      <c r="G334" s="568">
        <f t="shared" si="9"/>
        <v>0.967067203342732</v>
      </c>
    </row>
    <row r="335" spans="1:7" s="566" customFormat="1" ht="15">
      <c r="A335" s="561" t="s">
        <v>6187</v>
      </c>
      <c r="B335" s="562" t="s">
        <v>15489</v>
      </c>
      <c r="C335" s="565">
        <v>2661.12</v>
      </c>
      <c r="D335" s="564">
        <v>0.85</v>
      </c>
      <c r="E335" s="564">
        <v>0.23</v>
      </c>
      <c r="F335" s="568">
        <f t="shared" si="8"/>
        <v>2.8004626627156843E-4</v>
      </c>
      <c r="G335" s="568">
        <f t="shared" si="9"/>
        <v>0.96734724960900353</v>
      </c>
    </row>
    <row r="336" spans="1:7" s="566" customFormat="1" ht="15">
      <c r="A336" s="561" t="s">
        <v>6187</v>
      </c>
      <c r="B336" s="562" t="s">
        <v>8728</v>
      </c>
      <c r="C336" s="565">
        <v>2648.6</v>
      </c>
      <c r="D336" s="563">
        <v>27.46</v>
      </c>
      <c r="E336" s="564">
        <v>7.39</v>
      </c>
      <c r="F336" s="568">
        <f t="shared" ref="F336:F399" si="10">C336/SUM(C:C)</f>
        <v>2.7872870853132368E-4</v>
      </c>
      <c r="G336" s="568">
        <f t="shared" ref="G336:G399" si="11">F336+G335</f>
        <v>0.96762597831753483</v>
      </c>
    </row>
    <row r="337" spans="1:7" s="566" customFormat="1" ht="30">
      <c r="A337" s="561" t="s">
        <v>6187</v>
      </c>
      <c r="B337" s="562" t="s">
        <v>15542</v>
      </c>
      <c r="C337" s="565">
        <v>2630.5</v>
      </c>
      <c r="D337" s="563">
        <v>37.369999999999997</v>
      </c>
      <c r="E337" s="564">
        <v>10.06</v>
      </c>
      <c r="F337" s="568">
        <f t="shared" si="10"/>
        <v>2.7682393256499548E-4</v>
      </c>
      <c r="G337" s="568">
        <f t="shared" si="11"/>
        <v>0.96790280225009984</v>
      </c>
    </row>
    <row r="338" spans="1:7" s="566" customFormat="1" ht="15">
      <c r="A338" s="561" t="s">
        <v>6187</v>
      </c>
      <c r="B338" s="562" t="s">
        <v>7243</v>
      </c>
      <c r="C338" s="565">
        <v>2618.34</v>
      </c>
      <c r="D338" s="563">
        <v>40.450000000000003</v>
      </c>
      <c r="E338" s="564">
        <v>10.89</v>
      </c>
      <c r="F338" s="568">
        <f t="shared" si="10"/>
        <v>2.7554425987159485E-4</v>
      </c>
      <c r="G338" s="568">
        <f t="shared" si="11"/>
        <v>0.96817834650997148</v>
      </c>
    </row>
    <row r="339" spans="1:7" s="566" customFormat="1" ht="15">
      <c r="A339" s="561" t="s">
        <v>6187</v>
      </c>
      <c r="B339" s="562" t="s">
        <v>7127</v>
      </c>
      <c r="C339" s="565">
        <v>2616.94</v>
      </c>
      <c r="D339" s="564">
        <v>2061.7200000000003</v>
      </c>
      <c r="E339" s="564">
        <v>555.22</v>
      </c>
      <c r="F339" s="568">
        <f t="shared" si="10"/>
        <v>2.7539692913386779E-4</v>
      </c>
      <c r="G339" s="568">
        <f t="shared" si="11"/>
        <v>0.9684537434391054</v>
      </c>
    </row>
    <row r="340" spans="1:7" s="566" customFormat="1" ht="15">
      <c r="A340" s="561" t="s">
        <v>6187</v>
      </c>
      <c r="B340" s="562" t="s">
        <v>7856</v>
      </c>
      <c r="C340" s="565">
        <f>2071.87+507.14</f>
        <v>2579.0099999999998</v>
      </c>
      <c r="D340" s="564">
        <v>3.78</v>
      </c>
      <c r="E340" s="564">
        <v>1.02</v>
      </c>
      <c r="F340" s="568">
        <f t="shared" si="10"/>
        <v>2.714053185038772E-4</v>
      </c>
      <c r="G340" s="568">
        <f t="shared" si="11"/>
        <v>0.96872514875760929</v>
      </c>
    </row>
    <row r="341" spans="1:7" s="566" customFormat="1" ht="15">
      <c r="A341" s="561" t="s">
        <v>6187</v>
      </c>
      <c r="B341" s="562" t="s">
        <v>7270</v>
      </c>
      <c r="C341" s="565">
        <v>2556.9</v>
      </c>
      <c r="D341" s="563">
        <v>74.61</v>
      </c>
      <c r="E341" s="564">
        <v>20.09</v>
      </c>
      <c r="F341" s="568">
        <f t="shared" si="10"/>
        <v>2.6907854521020225E-4</v>
      </c>
      <c r="G341" s="568">
        <f t="shared" si="11"/>
        <v>0.96899422730281948</v>
      </c>
    </row>
    <row r="342" spans="1:7" s="566" customFormat="1" ht="30">
      <c r="A342" s="561" t="s">
        <v>6187</v>
      </c>
      <c r="B342" s="562" t="s">
        <v>8652</v>
      </c>
      <c r="C342" s="565">
        <f>2287.2+263.41</f>
        <v>2550.6099999999997</v>
      </c>
      <c r="D342" s="563">
        <v>30.03</v>
      </c>
      <c r="E342" s="564">
        <v>8.09</v>
      </c>
      <c r="F342" s="568">
        <f t="shared" si="10"/>
        <v>2.6841660925284284E-4</v>
      </c>
      <c r="G342" s="568">
        <f t="shared" si="11"/>
        <v>0.96926264391207229</v>
      </c>
    </row>
    <row r="343" spans="1:7" s="566" customFormat="1" ht="15">
      <c r="A343" s="561" t="s">
        <v>6187</v>
      </c>
      <c r="B343" s="562" t="s">
        <v>8059</v>
      </c>
      <c r="C343" s="565">
        <v>2547.5</v>
      </c>
      <c r="D343" s="563">
        <v>401.40000000000003</v>
      </c>
      <c r="E343" s="564">
        <v>108.1</v>
      </c>
      <c r="F343" s="568">
        <f t="shared" si="10"/>
        <v>2.6808932454260633E-4</v>
      </c>
      <c r="G343" s="568">
        <f t="shared" si="11"/>
        <v>0.96953073323661487</v>
      </c>
    </row>
    <row r="344" spans="1:7" s="566" customFormat="1" ht="15">
      <c r="A344" s="561" t="s">
        <v>6187</v>
      </c>
      <c r="B344" s="562" t="s">
        <v>8462</v>
      </c>
      <c r="C344" s="565">
        <v>2513.6999999999998</v>
      </c>
      <c r="D344" s="563">
        <v>6.29</v>
      </c>
      <c r="E344" s="564">
        <v>1.69</v>
      </c>
      <c r="F344" s="568">
        <f t="shared" si="10"/>
        <v>2.6453233958891048E-4</v>
      </c>
      <c r="G344" s="568">
        <f t="shared" si="11"/>
        <v>0.96979526557620377</v>
      </c>
    </row>
    <row r="345" spans="1:7" s="566" customFormat="1" ht="15">
      <c r="A345" s="561" t="s">
        <v>6187</v>
      </c>
      <c r="B345" s="562" t="s">
        <v>6749</v>
      </c>
      <c r="C345" s="565">
        <v>2480.98</v>
      </c>
      <c r="D345" s="563">
        <v>309.27</v>
      </c>
      <c r="E345" s="564">
        <v>83.29</v>
      </c>
      <c r="F345" s="568">
        <f t="shared" si="10"/>
        <v>2.6108900977574699E-4</v>
      </c>
      <c r="G345" s="568">
        <f t="shared" si="11"/>
        <v>0.9700563545859795</v>
      </c>
    </row>
    <row r="346" spans="1:7" s="566" customFormat="1" ht="45">
      <c r="A346" s="561" t="s">
        <v>6187</v>
      </c>
      <c r="B346" s="562" t="s">
        <v>7090</v>
      </c>
      <c r="C346" s="565">
        <v>2434.1999999999998</v>
      </c>
      <c r="D346" s="563">
        <v>479.44</v>
      </c>
      <c r="E346" s="564">
        <v>129.11000000000001</v>
      </c>
      <c r="F346" s="568">
        <f t="shared" si="10"/>
        <v>2.5616605841083899E-4</v>
      </c>
      <c r="G346" s="568">
        <f t="shared" si="11"/>
        <v>0.97031252064439033</v>
      </c>
    </row>
    <row r="347" spans="1:7" s="566" customFormat="1" ht="30">
      <c r="A347" s="561" t="s">
        <v>6187</v>
      </c>
      <c r="B347" s="562" t="s">
        <v>8852</v>
      </c>
      <c r="C347" s="565">
        <v>2422.9699999999998</v>
      </c>
      <c r="D347" s="563">
        <v>173.54</v>
      </c>
      <c r="E347" s="564">
        <v>46.73</v>
      </c>
      <c r="F347" s="568">
        <f t="shared" si="10"/>
        <v>2.5498425542178559E-4</v>
      </c>
      <c r="G347" s="568">
        <f t="shared" si="11"/>
        <v>0.97056750489981214</v>
      </c>
    </row>
    <row r="348" spans="1:7" s="566" customFormat="1" ht="15">
      <c r="A348" s="561" t="s">
        <v>6187</v>
      </c>
      <c r="B348" s="562" t="s">
        <v>8721</v>
      </c>
      <c r="C348" s="565">
        <v>2404.21</v>
      </c>
      <c r="D348" s="563">
        <v>1894.12</v>
      </c>
      <c r="E348" s="564">
        <v>510.09</v>
      </c>
      <c r="F348" s="568">
        <f t="shared" si="10"/>
        <v>2.5301002353624323E-4</v>
      </c>
      <c r="G348" s="568">
        <f t="shared" si="11"/>
        <v>0.97082051492334842</v>
      </c>
    </row>
    <row r="349" spans="1:7" s="566" customFormat="1" ht="15">
      <c r="A349" s="561" t="s">
        <v>6187</v>
      </c>
      <c r="B349" s="562" t="s">
        <v>9588</v>
      </c>
      <c r="C349" s="565">
        <v>2364.64</v>
      </c>
      <c r="D349" s="563">
        <v>465.74</v>
      </c>
      <c r="E349" s="564">
        <v>125.42</v>
      </c>
      <c r="F349" s="568">
        <f t="shared" si="10"/>
        <v>2.4884582547062949E-4</v>
      </c>
      <c r="G349" s="568">
        <f t="shared" si="11"/>
        <v>0.971069360748819</v>
      </c>
    </row>
    <row r="350" spans="1:7" s="566" customFormat="1" ht="15">
      <c r="A350" s="561" t="s">
        <v>6187</v>
      </c>
      <c r="B350" s="562" t="s">
        <v>9236</v>
      </c>
      <c r="C350" s="565">
        <v>2361.48</v>
      </c>
      <c r="D350" s="563">
        <v>6.5</v>
      </c>
      <c r="E350" s="564">
        <v>1.75</v>
      </c>
      <c r="F350" s="568">
        <f t="shared" si="10"/>
        <v>2.485132789483313E-4</v>
      </c>
      <c r="G350" s="568">
        <f t="shared" si="11"/>
        <v>0.97131787402776737</v>
      </c>
    </row>
    <row r="351" spans="1:7" s="566" customFormat="1" ht="30">
      <c r="A351" s="561" t="s">
        <v>6187</v>
      </c>
      <c r="B351" s="562" t="s">
        <v>8304</v>
      </c>
      <c r="C351" s="565">
        <v>2361.15</v>
      </c>
      <c r="D351" s="563">
        <v>620.06999999999994</v>
      </c>
      <c r="E351" s="564">
        <v>166.98</v>
      </c>
      <c r="F351" s="568">
        <f t="shared" si="10"/>
        <v>2.4847855098872421E-4</v>
      </c>
      <c r="G351" s="568">
        <f t="shared" si="11"/>
        <v>0.97156635257875612</v>
      </c>
    </row>
    <row r="352" spans="1:7" s="566" customFormat="1" ht="15">
      <c r="A352" s="561" t="s">
        <v>6187</v>
      </c>
      <c r="B352" s="562" t="s">
        <v>8720</v>
      </c>
      <c r="C352" s="565">
        <v>2355.44</v>
      </c>
      <c r="D352" s="563">
        <v>231.96</v>
      </c>
      <c r="E352" s="564">
        <v>62.47</v>
      </c>
      <c r="F352" s="568">
        <f t="shared" si="10"/>
        <v>2.4787765205128035E-4</v>
      </c>
      <c r="G352" s="568">
        <f t="shared" si="11"/>
        <v>0.97181423023080737</v>
      </c>
    </row>
    <row r="353" spans="1:7" s="566" customFormat="1" ht="15">
      <c r="A353" s="561" t="s">
        <v>6187</v>
      </c>
      <c r="B353" s="562" t="s">
        <v>8095</v>
      </c>
      <c r="C353" s="565">
        <v>2320</v>
      </c>
      <c r="D353" s="563">
        <v>0.46</v>
      </c>
      <c r="E353" s="564">
        <v>0.12</v>
      </c>
      <c r="F353" s="568">
        <f t="shared" si="10"/>
        <v>2.441480796619614E-4</v>
      </c>
      <c r="G353" s="568">
        <f t="shared" si="11"/>
        <v>0.97205837831046937</v>
      </c>
    </row>
    <row r="354" spans="1:7" s="566" customFormat="1" ht="30">
      <c r="A354" s="561" t="s">
        <v>6187</v>
      </c>
      <c r="B354" s="562" t="s">
        <v>8421</v>
      </c>
      <c r="C354" s="565">
        <v>2308.79</v>
      </c>
      <c r="D354" s="563">
        <v>165.35999999999999</v>
      </c>
      <c r="E354" s="564">
        <v>44.53</v>
      </c>
      <c r="F354" s="568">
        <f t="shared" si="10"/>
        <v>2.4296838139773271E-4</v>
      </c>
      <c r="G354" s="568">
        <f t="shared" si="11"/>
        <v>0.97230134669186707</v>
      </c>
    </row>
    <row r="355" spans="1:7" s="566" customFormat="1" ht="15">
      <c r="A355" s="561" t="s">
        <v>6187</v>
      </c>
      <c r="B355" s="562" t="s">
        <v>7177</v>
      </c>
      <c r="C355" s="565">
        <v>2286.35</v>
      </c>
      <c r="D355" s="563">
        <v>32.75</v>
      </c>
      <c r="E355" s="564">
        <v>8.82</v>
      </c>
      <c r="F355" s="568">
        <f t="shared" si="10"/>
        <v>2.4060688014445063E-4</v>
      </c>
      <c r="G355" s="568">
        <f t="shared" si="11"/>
        <v>0.97254195357201156</v>
      </c>
    </row>
    <row r="356" spans="1:7" s="566" customFormat="1" ht="30">
      <c r="A356" s="561" t="s">
        <v>6187</v>
      </c>
      <c r="B356" s="562" t="s">
        <v>8765</v>
      </c>
      <c r="C356" s="565">
        <f>1750.76+532.68</f>
        <v>2283.44</v>
      </c>
      <c r="D356" s="564">
        <v>7.97</v>
      </c>
      <c r="E356" s="564">
        <v>2.15</v>
      </c>
      <c r="F356" s="568">
        <f t="shared" si="10"/>
        <v>2.4030064268246087E-4</v>
      </c>
      <c r="G356" s="568">
        <f t="shared" si="11"/>
        <v>0.972782254214694</v>
      </c>
    </row>
    <row r="357" spans="1:7" s="566" customFormat="1" ht="15">
      <c r="A357" s="561" t="s">
        <v>6187</v>
      </c>
      <c r="B357" s="562" t="s">
        <v>7179</v>
      </c>
      <c r="C357" s="565">
        <v>2283.3000000000002</v>
      </c>
      <c r="D357" s="563">
        <v>30.489999999999995</v>
      </c>
      <c r="E357" s="564">
        <v>8.2100000000000009</v>
      </c>
      <c r="F357" s="568">
        <f t="shared" si="10"/>
        <v>2.4028590960868817E-4</v>
      </c>
      <c r="G357" s="568">
        <f t="shared" si="11"/>
        <v>0.97302254012430267</v>
      </c>
    </row>
    <row r="358" spans="1:7" s="566" customFormat="1" ht="15">
      <c r="A358" s="561" t="s">
        <v>6187</v>
      </c>
      <c r="B358" s="562" t="s">
        <v>7996</v>
      </c>
      <c r="C358" s="565">
        <v>2226</v>
      </c>
      <c r="D358" s="563">
        <v>43.84</v>
      </c>
      <c r="E358" s="564">
        <v>11.81</v>
      </c>
      <c r="F358" s="568">
        <f t="shared" si="10"/>
        <v>2.3425587298600263E-4</v>
      </c>
      <c r="G358" s="568">
        <f t="shared" si="11"/>
        <v>0.97325679599728865</v>
      </c>
    </row>
    <row r="359" spans="1:7" s="566" customFormat="1" ht="30">
      <c r="A359" s="561" t="s">
        <v>6187</v>
      </c>
      <c r="B359" s="562" t="s">
        <v>8795</v>
      </c>
      <c r="C359" s="565">
        <v>2194.62</v>
      </c>
      <c r="D359" s="564">
        <v>6.46</v>
      </c>
      <c r="E359" s="564">
        <v>1.74</v>
      </c>
      <c r="F359" s="568">
        <f t="shared" si="10"/>
        <v>2.3095355973609213E-4</v>
      </c>
      <c r="G359" s="568">
        <f t="shared" si="11"/>
        <v>0.97348774955702477</v>
      </c>
    </row>
    <row r="360" spans="1:7" s="566" customFormat="1" ht="15">
      <c r="A360" s="561" t="s">
        <v>6187</v>
      </c>
      <c r="B360" s="562" t="s">
        <v>8594</v>
      </c>
      <c r="C360" s="565">
        <v>2172.8000000000002</v>
      </c>
      <c r="D360" s="563">
        <v>48.91</v>
      </c>
      <c r="E360" s="564">
        <v>13.17</v>
      </c>
      <c r="F360" s="568">
        <f t="shared" si="10"/>
        <v>2.2865730495237493E-4</v>
      </c>
      <c r="G360" s="568">
        <f t="shared" si="11"/>
        <v>0.97371640686197714</v>
      </c>
    </row>
    <row r="361" spans="1:7" s="566" customFormat="1" ht="15">
      <c r="A361" s="561" t="s">
        <v>6187</v>
      </c>
      <c r="B361" s="562" t="s">
        <v>7388</v>
      </c>
      <c r="C361" s="565">
        <v>2153.46</v>
      </c>
      <c r="D361" s="563">
        <v>848.29</v>
      </c>
      <c r="E361" s="564">
        <v>228.44</v>
      </c>
      <c r="F361" s="568">
        <f t="shared" si="10"/>
        <v>2.26622036046917E-4</v>
      </c>
      <c r="G361" s="568">
        <f t="shared" si="11"/>
        <v>0.97394302889802409</v>
      </c>
    </row>
    <row r="362" spans="1:7" s="566" customFormat="1" ht="15">
      <c r="A362" s="561" t="s">
        <v>6187</v>
      </c>
      <c r="B362" s="562" t="s">
        <v>7388</v>
      </c>
      <c r="C362" s="565">
        <v>2153.46</v>
      </c>
      <c r="D362" s="563">
        <v>848.29</v>
      </c>
      <c r="E362" s="564">
        <v>228.44</v>
      </c>
      <c r="F362" s="568">
        <f t="shared" si="10"/>
        <v>2.26622036046917E-4</v>
      </c>
      <c r="G362" s="568">
        <f t="shared" si="11"/>
        <v>0.97416965093407104</v>
      </c>
    </row>
    <row r="363" spans="1:7" s="566" customFormat="1" ht="15">
      <c r="A363" s="561" t="s">
        <v>6187</v>
      </c>
      <c r="B363" s="562" t="s">
        <v>7023</v>
      </c>
      <c r="C363" s="565">
        <v>2152.8000000000002</v>
      </c>
      <c r="D363" s="563">
        <v>11.22</v>
      </c>
      <c r="E363" s="564">
        <v>3.02</v>
      </c>
      <c r="F363" s="568">
        <f t="shared" si="10"/>
        <v>2.2655258012770283E-4</v>
      </c>
      <c r="G363" s="568">
        <f t="shared" si="11"/>
        <v>0.97439620351419876</v>
      </c>
    </row>
    <row r="364" spans="1:7" s="566" customFormat="1" ht="30">
      <c r="A364" s="561" t="s">
        <v>6187</v>
      </c>
      <c r="B364" s="562" t="s">
        <v>8812</v>
      </c>
      <c r="C364" s="565">
        <v>2100.83</v>
      </c>
      <c r="D364" s="564">
        <v>367.8</v>
      </c>
      <c r="E364" s="564">
        <v>99.05</v>
      </c>
      <c r="F364" s="568">
        <f t="shared" si="10"/>
        <v>2.2108345267079241E-4</v>
      </c>
      <c r="G364" s="568">
        <f t="shared" si="11"/>
        <v>0.97461728696686956</v>
      </c>
    </row>
    <row r="365" spans="1:7" s="566" customFormat="1" ht="30">
      <c r="A365" s="561" t="s">
        <v>6187</v>
      </c>
      <c r="B365" s="562" t="s">
        <v>7103</v>
      </c>
      <c r="C365" s="565">
        <v>2094.9299999999998</v>
      </c>
      <c r="D365" s="563">
        <v>61.13</v>
      </c>
      <c r="E365" s="564">
        <v>16.46</v>
      </c>
      <c r="F365" s="568">
        <f t="shared" si="10"/>
        <v>2.2046255884751413E-4</v>
      </c>
      <c r="G365" s="568">
        <f t="shared" si="11"/>
        <v>0.97483774952571711</v>
      </c>
    </row>
    <row r="366" spans="1:7" s="566" customFormat="1" ht="15">
      <c r="A366" s="561" t="s">
        <v>6187</v>
      </c>
      <c r="B366" s="562" t="s">
        <v>7367</v>
      </c>
      <c r="C366" s="565">
        <v>2073.7800000000002</v>
      </c>
      <c r="D366" s="563">
        <v>181.53000000000003</v>
      </c>
      <c r="E366" s="564">
        <v>48.89</v>
      </c>
      <c r="F366" s="568">
        <f t="shared" si="10"/>
        <v>2.1823681234542345E-4</v>
      </c>
      <c r="G366" s="568">
        <f t="shared" si="11"/>
        <v>0.97505598633806256</v>
      </c>
    </row>
    <row r="367" spans="1:7" s="566" customFormat="1" ht="15">
      <c r="A367" s="561" t="s">
        <v>6187</v>
      </c>
      <c r="B367" s="562" t="s">
        <v>7025</v>
      </c>
      <c r="C367" s="565">
        <v>2045.75</v>
      </c>
      <c r="D367" s="563">
        <v>30.39</v>
      </c>
      <c r="E367" s="564">
        <v>8.18</v>
      </c>
      <c r="F367" s="568">
        <f t="shared" si="10"/>
        <v>2.1528704050364551E-4</v>
      </c>
      <c r="G367" s="568">
        <f t="shared" si="11"/>
        <v>0.97527127337856623</v>
      </c>
    </row>
    <row r="368" spans="1:7" s="566" customFormat="1" ht="15">
      <c r="A368" s="561" t="s">
        <v>6187</v>
      </c>
      <c r="B368" s="562" t="s">
        <v>8801</v>
      </c>
      <c r="C368" s="565">
        <v>2033.66</v>
      </c>
      <c r="D368" s="564">
        <v>7.82</v>
      </c>
      <c r="E368" s="564">
        <v>2.11</v>
      </c>
      <c r="F368" s="568">
        <f t="shared" si="10"/>
        <v>2.1401473434713123E-4</v>
      </c>
      <c r="G368" s="568">
        <f t="shared" si="11"/>
        <v>0.97548528811291335</v>
      </c>
    </row>
    <row r="369" spans="1:7" s="566" customFormat="1" ht="30">
      <c r="A369" s="561" t="s">
        <v>6187</v>
      </c>
      <c r="B369" s="562" t="s">
        <v>8651</v>
      </c>
      <c r="C369" s="565">
        <f>1674+319.73</f>
        <v>1993.73</v>
      </c>
      <c r="D369" s="563">
        <v>21.98</v>
      </c>
      <c r="E369" s="564">
        <v>5.92</v>
      </c>
      <c r="F369" s="568">
        <f t="shared" si="10"/>
        <v>2.0981265123467342E-4</v>
      </c>
      <c r="G369" s="568">
        <f t="shared" si="11"/>
        <v>0.975695100764148</v>
      </c>
    </row>
    <row r="370" spans="1:7" s="566" customFormat="1" ht="30">
      <c r="A370" s="561" t="s">
        <v>6187</v>
      </c>
      <c r="B370" s="562" t="s">
        <v>6748</v>
      </c>
      <c r="C370" s="565">
        <v>1966.15</v>
      </c>
      <c r="D370" s="563">
        <v>6.36</v>
      </c>
      <c r="E370" s="564">
        <v>1.71</v>
      </c>
      <c r="F370" s="568">
        <f t="shared" si="10"/>
        <v>2.0691023570145064E-4</v>
      </c>
      <c r="G370" s="568">
        <f t="shared" si="11"/>
        <v>0.97590201099984941</v>
      </c>
    </row>
    <row r="371" spans="1:7" s="566" customFormat="1" ht="30">
      <c r="A371" s="561" t="s">
        <v>6187</v>
      </c>
      <c r="B371" s="562" t="s">
        <v>8980</v>
      </c>
      <c r="C371" s="565">
        <v>1963.31</v>
      </c>
      <c r="D371" s="564">
        <v>36.86</v>
      </c>
      <c r="E371" s="564">
        <v>9.93</v>
      </c>
      <c r="F371" s="568">
        <f t="shared" si="10"/>
        <v>2.0661136477634719E-4</v>
      </c>
      <c r="G371" s="568">
        <f t="shared" si="11"/>
        <v>0.97610862236462581</v>
      </c>
    </row>
    <row r="372" spans="1:7" s="566" customFormat="1" ht="30">
      <c r="A372" s="561" t="s">
        <v>6187</v>
      </c>
      <c r="B372" s="562" t="s">
        <v>8702</v>
      </c>
      <c r="C372" s="565">
        <v>1944.58</v>
      </c>
      <c r="D372" s="563">
        <v>69.64</v>
      </c>
      <c r="E372" s="564">
        <v>18.75</v>
      </c>
      <c r="F372" s="568">
        <f t="shared" si="10"/>
        <v>2.0464028997804179E-4</v>
      </c>
      <c r="G372" s="568">
        <f t="shared" si="11"/>
        <v>0.97631326265460383</v>
      </c>
    </row>
    <row r="373" spans="1:7" s="566" customFormat="1" ht="15">
      <c r="A373" s="561" t="s">
        <v>6187</v>
      </c>
      <c r="B373" s="562" t="s">
        <v>7351</v>
      </c>
      <c r="C373" s="565">
        <v>1909.8</v>
      </c>
      <c r="D373" s="563">
        <v>75.23</v>
      </c>
      <c r="E373" s="564">
        <v>20.260000000000002</v>
      </c>
      <c r="F373" s="568">
        <f t="shared" si="10"/>
        <v>2.0098017350793704E-4</v>
      </c>
      <c r="G373" s="568">
        <f t="shared" si="11"/>
        <v>0.97651424282811172</v>
      </c>
    </row>
    <row r="374" spans="1:7" s="566" customFormat="1" ht="30">
      <c r="A374" s="561" t="s">
        <v>6187</v>
      </c>
      <c r="B374" s="562" t="s">
        <v>8409</v>
      </c>
      <c r="C374" s="565">
        <v>1897.8</v>
      </c>
      <c r="D374" s="563">
        <v>747.57999999999993</v>
      </c>
      <c r="E374" s="564">
        <v>201.32</v>
      </c>
      <c r="F374" s="568">
        <f t="shared" si="10"/>
        <v>1.9971733861313379E-4</v>
      </c>
      <c r="G374" s="568">
        <f t="shared" si="11"/>
        <v>0.97671396016672485</v>
      </c>
    </row>
    <row r="375" spans="1:7" s="566" customFormat="1" ht="15">
      <c r="A375" s="561" t="s">
        <v>6187</v>
      </c>
      <c r="B375" s="562" t="s">
        <v>7812</v>
      </c>
      <c r="C375" s="565">
        <v>1894.29</v>
      </c>
      <c r="D375" s="564">
        <v>1492.39</v>
      </c>
      <c r="E375" s="564">
        <v>401.9</v>
      </c>
      <c r="F375" s="568">
        <f t="shared" si="10"/>
        <v>1.9934795940640382E-4</v>
      </c>
      <c r="G375" s="568">
        <f t="shared" si="11"/>
        <v>0.9769133081261312</v>
      </c>
    </row>
    <row r="376" spans="1:7" s="566" customFormat="1" ht="45">
      <c r="A376" s="561" t="s">
        <v>6187</v>
      </c>
      <c r="B376" s="562" t="s">
        <v>7306</v>
      </c>
      <c r="C376" s="565">
        <v>1893.59</v>
      </c>
      <c r="D376" s="563">
        <v>64.86</v>
      </c>
      <c r="E376" s="564">
        <v>17.47</v>
      </c>
      <c r="F376" s="568">
        <f t="shared" si="10"/>
        <v>1.9927429403754029E-4</v>
      </c>
      <c r="G376" s="568">
        <f t="shared" si="11"/>
        <v>0.97711258242016874</v>
      </c>
    </row>
    <row r="377" spans="1:7" s="566" customFormat="1" ht="15">
      <c r="A377" s="561" t="s">
        <v>6187</v>
      </c>
      <c r="B377" s="562" t="s">
        <v>9202</v>
      </c>
      <c r="C377" s="565">
        <v>1868.4</v>
      </c>
      <c r="D377" s="563">
        <v>147.20000000000002</v>
      </c>
      <c r="E377" s="564">
        <v>39.64</v>
      </c>
      <c r="F377" s="568">
        <f t="shared" si="10"/>
        <v>1.9662339312086585E-4</v>
      </c>
      <c r="G377" s="568">
        <f t="shared" si="11"/>
        <v>0.97730920581328962</v>
      </c>
    </row>
    <row r="378" spans="1:7" s="566" customFormat="1" ht="15">
      <c r="A378" s="561" t="s">
        <v>6187</v>
      </c>
      <c r="B378" s="562" t="s">
        <v>8716</v>
      </c>
      <c r="C378" s="565">
        <v>1848.35</v>
      </c>
      <c r="D378" s="563">
        <v>291.24</v>
      </c>
      <c r="E378" s="564">
        <v>78.430000000000007</v>
      </c>
      <c r="F378" s="568">
        <f t="shared" si="10"/>
        <v>1.9451340648413205E-4</v>
      </c>
      <c r="G378" s="568">
        <f t="shared" si="11"/>
        <v>0.97750371921977375</v>
      </c>
    </row>
    <row r="379" spans="1:7" s="566" customFormat="1" ht="30">
      <c r="A379" s="561" t="s">
        <v>6187</v>
      </c>
      <c r="B379" s="562" t="s">
        <v>8706</v>
      </c>
      <c r="C379" s="565">
        <v>1838.64</v>
      </c>
      <c r="D379" s="563">
        <v>120.71</v>
      </c>
      <c r="E379" s="564">
        <v>32.51</v>
      </c>
      <c r="F379" s="568">
        <f t="shared" si="10"/>
        <v>1.9349156258175379E-4</v>
      </c>
      <c r="G379" s="568">
        <f t="shared" si="11"/>
        <v>0.9776972107823555</v>
      </c>
    </row>
    <row r="380" spans="1:7" s="566" customFormat="1" ht="15">
      <c r="A380" s="561" t="s">
        <v>6187</v>
      </c>
      <c r="B380" s="562" t="s">
        <v>9581</v>
      </c>
      <c r="C380" s="565">
        <v>1837.98</v>
      </c>
      <c r="D380" s="563">
        <v>1448.03</v>
      </c>
      <c r="E380" s="564">
        <v>389.95</v>
      </c>
      <c r="F380" s="568">
        <f t="shared" si="10"/>
        <v>1.9342210666253959E-4</v>
      </c>
      <c r="G380" s="568">
        <f t="shared" si="11"/>
        <v>0.97789063288901801</v>
      </c>
    </row>
    <row r="381" spans="1:7" s="566" customFormat="1" ht="15">
      <c r="A381" s="561" t="s">
        <v>6187</v>
      </c>
      <c r="B381" s="562" t="s">
        <v>7228</v>
      </c>
      <c r="C381" s="565">
        <v>1826.24</v>
      </c>
      <c r="D381" s="563">
        <v>44.960000000000008</v>
      </c>
      <c r="E381" s="564">
        <v>12.11</v>
      </c>
      <c r="F381" s="568">
        <f t="shared" si="10"/>
        <v>1.9218663319045708E-4</v>
      </c>
      <c r="G381" s="568">
        <f t="shared" si="11"/>
        <v>0.97808281952220844</v>
      </c>
    </row>
    <row r="382" spans="1:7" s="566" customFormat="1" ht="15">
      <c r="A382" s="561" t="s">
        <v>6187</v>
      </c>
      <c r="B382" s="562" t="s">
        <v>7204</v>
      </c>
      <c r="C382" s="565">
        <v>1783.6</v>
      </c>
      <c r="D382" s="563">
        <v>7.72</v>
      </c>
      <c r="E382" s="564">
        <v>2.08</v>
      </c>
      <c r="F382" s="568">
        <f t="shared" si="10"/>
        <v>1.876993598642562E-4</v>
      </c>
      <c r="G382" s="568">
        <f t="shared" si="11"/>
        <v>0.97827051888207273</v>
      </c>
    </row>
    <row r="383" spans="1:7" s="566" customFormat="1" ht="15">
      <c r="A383" s="561" t="s">
        <v>6187</v>
      </c>
      <c r="B383" s="562" t="s">
        <v>8061</v>
      </c>
      <c r="C383" s="565">
        <v>1768.59</v>
      </c>
      <c r="D383" s="563">
        <v>154.82</v>
      </c>
      <c r="E383" s="564">
        <v>41.69</v>
      </c>
      <c r="F383" s="568">
        <f t="shared" si="10"/>
        <v>1.861197638833398E-4</v>
      </c>
      <c r="G383" s="568">
        <f t="shared" si="11"/>
        <v>0.97845663864595611</v>
      </c>
    </row>
    <row r="384" spans="1:7" s="566" customFormat="1" ht="30">
      <c r="A384" s="561" t="s">
        <v>6187</v>
      </c>
      <c r="B384" s="562" t="s">
        <v>6829</v>
      </c>
      <c r="C384" s="565">
        <v>1761.84</v>
      </c>
      <c r="D384" s="563">
        <v>32.880000000000003</v>
      </c>
      <c r="E384" s="564">
        <v>8.85</v>
      </c>
      <c r="F384" s="568">
        <f t="shared" si="10"/>
        <v>1.8540941925501296E-4</v>
      </c>
      <c r="G384" s="568">
        <f t="shared" si="11"/>
        <v>0.97864204806521116</v>
      </c>
    </row>
    <row r="385" spans="1:7" s="566" customFormat="1" ht="15">
      <c r="A385" s="561" t="s">
        <v>6187</v>
      </c>
      <c r="B385" s="562" t="s">
        <v>7242</v>
      </c>
      <c r="C385" s="565">
        <v>1743.84</v>
      </c>
      <c r="D385" s="563">
        <v>10.9</v>
      </c>
      <c r="E385" s="564">
        <v>2.94</v>
      </c>
      <c r="F385" s="568">
        <f t="shared" si="10"/>
        <v>1.835151669128081E-4</v>
      </c>
      <c r="G385" s="568">
        <f t="shared" si="11"/>
        <v>0.978825563232124</v>
      </c>
    </row>
    <row r="386" spans="1:7" s="566" customFormat="1" ht="15">
      <c r="A386" s="561" t="s">
        <v>6187</v>
      </c>
      <c r="B386" s="562" t="s">
        <v>9207</v>
      </c>
      <c r="C386" s="565">
        <v>1736.39</v>
      </c>
      <c r="D386" s="563">
        <v>1.23</v>
      </c>
      <c r="E386" s="564">
        <v>0.33</v>
      </c>
      <c r="F386" s="568">
        <f t="shared" si="10"/>
        <v>1.8273115691561776E-4</v>
      </c>
      <c r="G386" s="568">
        <f t="shared" si="11"/>
        <v>0.97900829438903958</v>
      </c>
    </row>
    <row r="387" spans="1:7" s="566" customFormat="1" ht="45">
      <c r="A387" s="561" t="s">
        <v>6187</v>
      </c>
      <c r="B387" s="562" t="s">
        <v>8111</v>
      </c>
      <c r="C387" s="565">
        <v>1724.25</v>
      </c>
      <c r="D387" s="563">
        <v>18.11</v>
      </c>
      <c r="E387" s="564">
        <v>4.88</v>
      </c>
      <c r="F387" s="568">
        <f t="shared" si="10"/>
        <v>1.8145358894704181E-4</v>
      </c>
      <c r="G387" s="568">
        <f t="shared" si="11"/>
        <v>0.97918974797798664</v>
      </c>
    </row>
    <row r="388" spans="1:7" s="566" customFormat="1" ht="30">
      <c r="A388" s="561" t="s">
        <v>6187</v>
      </c>
      <c r="B388" s="562" t="s">
        <v>9463</v>
      </c>
      <c r="C388" s="565">
        <v>1722.44</v>
      </c>
      <c r="D388" s="563">
        <v>39.909999999999997</v>
      </c>
      <c r="E388" s="564">
        <v>10.75</v>
      </c>
      <c r="F388" s="568">
        <f t="shared" si="10"/>
        <v>1.8126311135040898E-4</v>
      </c>
      <c r="G388" s="568">
        <f t="shared" si="11"/>
        <v>0.979371011089337</v>
      </c>
    </row>
    <row r="389" spans="1:7" s="566" customFormat="1" ht="30">
      <c r="A389" s="561" t="s">
        <v>6187</v>
      </c>
      <c r="B389" s="562" t="s">
        <v>8400</v>
      </c>
      <c r="C389" s="565">
        <v>1704.72</v>
      </c>
      <c r="D389" s="563">
        <v>447.68</v>
      </c>
      <c r="E389" s="564">
        <v>120.56</v>
      </c>
      <c r="F389" s="568">
        <f t="shared" si="10"/>
        <v>1.7939832515574951E-4</v>
      </c>
      <c r="G389" s="568">
        <f t="shared" si="11"/>
        <v>0.97955040941449278</v>
      </c>
    </row>
    <row r="390" spans="1:7" s="566" customFormat="1" ht="15">
      <c r="A390" s="561" t="s">
        <v>6187</v>
      </c>
      <c r="B390" s="562" t="s">
        <v>7266</v>
      </c>
      <c r="C390" s="565">
        <v>1704.08</v>
      </c>
      <c r="D390" s="563">
        <v>11.28</v>
      </c>
      <c r="E390" s="564">
        <v>3.04</v>
      </c>
      <c r="F390" s="568">
        <f t="shared" si="10"/>
        <v>1.7933097396136E-4</v>
      </c>
      <c r="G390" s="568">
        <f t="shared" si="11"/>
        <v>0.97972974038845417</v>
      </c>
    </row>
    <row r="391" spans="1:7" s="566" customFormat="1" ht="15">
      <c r="A391" s="561" t="s">
        <v>6187</v>
      </c>
      <c r="B391" s="562" t="s">
        <v>8062</v>
      </c>
      <c r="C391" s="565">
        <v>1703.25</v>
      </c>
      <c r="D391" s="563">
        <v>89.46</v>
      </c>
      <c r="E391" s="564">
        <v>24.09</v>
      </c>
      <c r="F391" s="568">
        <f t="shared" si="10"/>
        <v>1.7924362788113613E-4</v>
      </c>
      <c r="G391" s="568">
        <f t="shared" si="11"/>
        <v>0.9799089840163353</v>
      </c>
    </row>
    <row r="392" spans="1:7" s="566" customFormat="1" ht="15">
      <c r="A392" s="561" t="s">
        <v>6187</v>
      </c>
      <c r="B392" s="562" t="s">
        <v>7012</v>
      </c>
      <c r="C392" s="565">
        <v>1688.92</v>
      </c>
      <c r="D392" s="563">
        <v>332.65</v>
      </c>
      <c r="E392" s="564">
        <v>89.58</v>
      </c>
      <c r="F392" s="568">
        <f t="shared" si="10"/>
        <v>1.7773559254425858E-4</v>
      </c>
      <c r="G392" s="568">
        <f t="shared" si="11"/>
        <v>0.98008671960887961</v>
      </c>
    </row>
    <row r="393" spans="1:7" s="566" customFormat="1" ht="15">
      <c r="A393" s="561" t="s">
        <v>6187</v>
      </c>
      <c r="B393" s="562" t="s">
        <v>15416</v>
      </c>
      <c r="C393" s="565">
        <v>1684.8</v>
      </c>
      <c r="D393" s="563">
        <v>33.180000000000007</v>
      </c>
      <c r="E393" s="564">
        <v>8.94</v>
      </c>
      <c r="F393" s="568">
        <f t="shared" si="10"/>
        <v>1.7730201923037611E-4</v>
      </c>
      <c r="G393" s="568">
        <f t="shared" si="11"/>
        <v>0.98026402162810999</v>
      </c>
    </row>
    <row r="394" spans="1:7" s="566" customFormat="1" ht="30">
      <c r="A394" s="561" t="s">
        <v>6187</v>
      </c>
      <c r="B394" s="562" t="s">
        <v>8783</v>
      </c>
      <c r="C394" s="565">
        <v>1680.58</v>
      </c>
      <c r="D394" s="564">
        <v>8.8000000000000007</v>
      </c>
      <c r="E394" s="564">
        <v>2.37</v>
      </c>
      <c r="F394" s="568">
        <f t="shared" si="10"/>
        <v>1.7685792229237031E-4</v>
      </c>
      <c r="G394" s="568">
        <f t="shared" si="11"/>
        <v>0.98044087955040238</v>
      </c>
    </row>
    <row r="395" spans="1:7" s="566" customFormat="1" ht="30">
      <c r="A395" s="561" t="s">
        <v>6187</v>
      </c>
      <c r="B395" s="562" t="s">
        <v>7272</v>
      </c>
      <c r="C395" s="565">
        <v>1680.24</v>
      </c>
      <c r="D395" s="563">
        <v>165.47</v>
      </c>
      <c r="E395" s="564">
        <v>44.56</v>
      </c>
      <c r="F395" s="568">
        <f t="shared" si="10"/>
        <v>1.7682214197035088E-4</v>
      </c>
      <c r="G395" s="568">
        <f t="shared" si="11"/>
        <v>0.98061770169237272</v>
      </c>
    </row>
    <row r="396" spans="1:7" s="566" customFormat="1" ht="15">
      <c r="A396" s="561" t="s">
        <v>6187</v>
      </c>
      <c r="B396" s="562" t="s">
        <v>7180</v>
      </c>
      <c r="C396" s="565">
        <v>1679.65</v>
      </c>
      <c r="D396" s="563">
        <v>37.81</v>
      </c>
      <c r="E396" s="564">
        <v>10.18</v>
      </c>
      <c r="F396" s="568">
        <f t="shared" si="10"/>
        <v>1.7676005258802306E-4</v>
      </c>
      <c r="G396" s="568">
        <f t="shared" si="11"/>
        <v>0.98079446174496077</v>
      </c>
    </row>
    <row r="397" spans="1:7" s="566" customFormat="1" ht="45">
      <c r="A397" s="561" t="s">
        <v>6187</v>
      </c>
      <c r="B397" s="562" t="s">
        <v>8768</v>
      </c>
      <c r="C397" s="565">
        <v>1657.13</v>
      </c>
      <c r="D397" s="564">
        <v>361.65000000000003</v>
      </c>
      <c r="E397" s="564">
        <v>97.39</v>
      </c>
      <c r="F397" s="568">
        <f t="shared" si="10"/>
        <v>1.7439013243544229E-4</v>
      </c>
      <c r="G397" s="568">
        <f t="shared" si="11"/>
        <v>0.98096885187739624</v>
      </c>
    </row>
    <row r="398" spans="1:7" s="566" customFormat="1" ht="15">
      <c r="A398" s="561" t="s">
        <v>6187</v>
      </c>
      <c r="B398" s="562" t="s">
        <v>9280</v>
      </c>
      <c r="C398" s="565">
        <v>1654.44</v>
      </c>
      <c r="D398" s="563">
        <v>19.170000000000002</v>
      </c>
      <c r="E398" s="564">
        <v>5.16</v>
      </c>
      <c r="F398" s="568">
        <f t="shared" si="10"/>
        <v>1.741070469465239E-4</v>
      </c>
      <c r="G398" s="568">
        <f t="shared" si="11"/>
        <v>0.98114295892434278</v>
      </c>
    </row>
    <row r="399" spans="1:7" s="566" customFormat="1" ht="15">
      <c r="A399" s="561" t="s">
        <v>6187</v>
      </c>
      <c r="B399" s="562" t="s">
        <v>8217</v>
      </c>
      <c r="C399" s="565">
        <v>1643.94</v>
      </c>
      <c r="D399" s="563">
        <v>71.95</v>
      </c>
      <c r="E399" s="564">
        <v>19.38</v>
      </c>
      <c r="F399" s="568">
        <f t="shared" si="10"/>
        <v>1.7300206641357108E-4</v>
      </c>
      <c r="G399" s="568">
        <f t="shared" si="11"/>
        <v>0.98131596099075635</v>
      </c>
    </row>
    <row r="400" spans="1:7" s="566" customFormat="1" ht="30">
      <c r="A400" s="561" t="s">
        <v>6187</v>
      </c>
      <c r="B400" s="562" t="s">
        <v>6770</v>
      </c>
      <c r="C400" s="565">
        <v>1576.15</v>
      </c>
      <c r="D400" s="563">
        <v>37.07</v>
      </c>
      <c r="E400" s="564">
        <v>9.98</v>
      </c>
      <c r="F400" s="568">
        <f t="shared" ref="F400:F463" si="12">C400/SUM(C:C)</f>
        <v>1.6586810162034504E-4</v>
      </c>
      <c r="G400" s="568">
        <f t="shared" ref="G400:G463" si="13">F400+G399</f>
        <v>0.98148182909237669</v>
      </c>
    </row>
    <row r="401" spans="1:7" s="566" customFormat="1" ht="15">
      <c r="A401" s="561" t="s">
        <v>6187</v>
      </c>
      <c r="B401" s="562" t="s">
        <v>8058</v>
      </c>
      <c r="C401" s="565">
        <v>1569.92</v>
      </c>
      <c r="D401" s="563">
        <v>56.22</v>
      </c>
      <c r="E401" s="564">
        <v>15.14</v>
      </c>
      <c r="F401" s="568">
        <f t="shared" si="12"/>
        <v>1.652124798374597E-4</v>
      </c>
      <c r="G401" s="568">
        <f t="shared" si="13"/>
        <v>0.98164704157221416</v>
      </c>
    </row>
    <row r="402" spans="1:7" s="566" customFormat="1" ht="30">
      <c r="A402" s="561" t="s">
        <v>6187</v>
      </c>
      <c r="B402" s="562" t="s">
        <v>9485</v>
      </c>
      <c r="C402" s="565">
        <v>1550.34</v>
      </c>
      <c r="D402" s="563">
        <v>55.52</v>
      </c>
      <c r="E402" s="564">
        <v>14.95</v>
      </c>
      <c r="F402" s="568">
        <f t="shared" si="12"/>
        <v>1.6315195423410571E-4</v>
      </c>
      <c r="G402" s="568">
        <f t="shared" si="13"/>
        <v>0.98181019352644827</v>
      </c>
    </row>
    <row r="403" spans="1:7" s="566" customFormat="1" ht="15">
      <c r="A403" s="561" t="s">
        <v>6187</v>
      </c>
      <c r="B403" s="562" t="s">
        <v>8545</v>
      </c>
      <c r="C403" s="565">
        <v>1543.8</v>
      </c>
      <c r="D403" s="563">
        <v>3.92</v>
      </c>
      <c r="E403" s="564">
        <v>1.06</v>
      </c>
      <c r="F403" s="568">
        <f t="shared" si="12"/>
        <v>1.6246370921643794E-4</v>
      </c>
      <c r="G403" s="568">
        <f t="shared" si="13"/>
        <v>0.98197265723566474</v>
      </c>
    </row>
    <row r="404" spans="1:7" s="566" customFormat="1" ht="15">
      <c r="A404" s="561" t="s">
        <v>6187</v>
      </c>
      <c r="B404" s="562" t="s">
        <v>7259</v>
      </c>
      <c r="C404" s="565">
        <v>1542</v>
      </c>
      <c r="D404" s="563">
        <v>10.119999999999999</v>
      </c>
      <c r="E404" s="564">
        <v>2.73</v>
      </c>
      <c r="F404" s="568">
        <f t="shared" si="12"/>
        <v>1.6227428398221745E-4</v>
      </c>
      <c r="G404" s="568">
        <f t="shared" si="13"/>
        <v>0.98213493151964693</v>
      </c>
    </row>
    <row r="405" spans="1:7" s="566" customFormat="1" ht="15">
      <c r="A405" s="561" t="s">
        <v>6187</v>
      </c>
      <c r="B405" s="562" t="s">
        <v>7211</v>
      </c>
      <c r="C405" s="565">
        <v>1531.47</v>
      </c>
      <c r="D405" s="563">
        <v>16.989999999999998</v>
      </c>
      <c r="E405" s="564">
        <v>4.58</v>
      </c>
      <c r="F405" s="568">
        <f t="shared" si="12"/>
        <v>1.6116614636202761E-4</v>
      </c>
      <c r="G405" s="568">
        <f t="shared" si="13"/>
        <v>0.982296097666009</v>
      </c>
    </row>
    <row r="406" spans="1:7" s="566" customFormat="1" ht="30">
      <c r="A406" s="561" t="s">
        <v>6187</v>
      </c>
      <c r="B406" s="562" t="s">
        <v>8767</v>
      </c>
      <c r="C406" s="565">
        <f>1291.78+225.68</f>
        <v>1517.46</v>
      </c>
      <c r="D406" s="564">
        <v>12</v>
      </c>
      <c r="E406" s="564">
        <v>3.23</v>
      </c>
      <c r="F406" s="568">
        <f t="shared" si="12"/>
        <v>1.5969178662234482E-4</v>
      </c>
      <c r="G406" s="568">
        <f t="shared" si="13"/>
        <v>0.98245578945263135</v>
      </c>
    </row>
    <row r="407" spans="1:7" s="566" customFormat="1" ht="15">
      <c r="A407" s="561" t="s">
        <v>6187</v>
      </c>
      <c r="B407" s="562" t="s">
        <v>7241</v>
      </c>
      <c r="C407" s="565">
        <v>1508.4</v>
      </c>
      <c r="D407" s="563">
        <v>9.8999999999999986</v>
      </c>
      <c r="E407" s="564">
        <v>2.67</v>
      </c>
      <c r="F407" s="568">
        <f t="shared" si="12"/>
        <v>1.5873834627676836E-4</v>
      </c>
      <c r="G407" s="568">
        <f t="shared" si="13"/>
        <v>0.98261452779890812</v>
      </c>
    </row>
    <row r="408" spans="1:7" s="566" customFormat="1" ht="15">
      <c r="A408" s="561" t="s">
        <v>6187</v>
      </c>
      <c r="B408" s="562" t="s">
        <v>7419</v>
      </c>
      <c r="C408" s="565">
        <v>1508.4</v>
      </c>
      <c r="D408" s="563">
        <v>297.08999999999997</v>
      </c>
      <c r="E408" s="564">
        <v>80.010000000000005</v>
      </c>
      <c r="F408" s="568">
        <f t="shared" si="12"/>
        <v>1.5873834627676836E-4</v>
      </c>
      <c r="G408" s="568">
        <f t="shared" si="13"/>
        <v>0.9827732661451849</v>
      </c>
    </row>
    <row r="409" spans="1:7" s="566" customFormat="1" ht="15">
      <c r="A409" s="561" t="s">
        <v>6187</v>
      </c>
      <c r="B409" s="567" t="s">
        <v>8489</v>
      </c>
      <c r="C409" s="565">
        <v>1491</v>
      </c>
      <c r="D409" s="563">
        <v>11.75</v>
      </c>
      <c r="E409" s="564">
        <v>3.16</v>
      </c>
      <c r="F409" s="568">
        <f t="shared" si="12"/>
        <v>1.5690723567930365E-4</v>
      </c>
      <c r="G409" s="568">
        <f t="shared" si="13"/>
        <v>0.98293017338086419</v>
      </c>
    </row>
    <row r="410" spans="1:7" s="566" customFormat="1" ht="15">
      <c r="A410" s="561" t="s">
        <v>6187</v>
      </c>
      <c r="B410" s="562" t="s">
        <v>8733</v>
      </c>
      <c r="C410" s="565">
        <v>1484.94</v>
      </c>
      <c r="D410" s="563">
        <v>194.98</v>
      </c>
      <c r="E410" s="564">
        <v>52.51</v>
      </c>
      <c r="F410" s="568">
        <f t="shared" si="12"/>
        <v>1.5626950405742802E-4</v>
      </c>
      <c r="G410" s="568">
        <f t="shared" si="13"/>
        <v>0.98308644288492164</v>
      </c>
    </row>
    <row r="411" spans="1:7" s="566" customFormat="1" ht="15">
      <c r="A411" s="561" t="s">
        <v>6187</v>
      </c>
      <c r="B411" s="562" t="s">
        <v>7997</v>
      </c>
      <c r="C411" s="565">
        <v>1474.8</v>
      </c>
      <c r="D411" s="563">
        <v>29.05</v>
      </c>
      <c r="E411" s="564">
        <v>7.82</v>
      </c>
      <c r="F411" s="568">
        <f t="shared" si="12"/>
        <v>1.5520240857131926E-4</v>
      </c>
      <c r="G411" s="568">
        <f t="shared" si="13"/>
        <v>0.98324164529349301</v>
      </c>
    </row>
    <row r="412" spans="1:7" s="566" customFormat="1" ht="15">
      <c r="A412" s="561" t="s">
        <v>6187</v>
      </c>
      <c r="B412" s="562" t="s">
        <v>7199</v>
      </c>
      <c r="C412" s="565">
        <v>1473.42</v>
      </c>
      <c r="D412" s="563">
        <v>44.65</v>
      </c>
      <c r="E412" s="564">
        <v>12.02</v>
      </c>
      <c r="F412" s="568">
        <f t="shared" si="12"/>
        <v>1.550571825584169E-4</v>
      </c>
      <c r="G412" s="568">
        <f t="shared" si="13"/>
        <v>0.98339670247605138</v>
      </c>
    </row>
    <row r="413" spans="1:7" s="566" customFormat="1" ht="30">
      <c r="A413" s="561" t="s">
        <v>6187</v>
      </c>
      <c r="B413" s="562" t="s">
        <v>8705</v>
      </c>
      <c r="C413" s="565">
        <v>1465.68</v>
      </c>
      <c r="D413" s="563">
        <v>48.11</v>
      </c>
      <c r="E413" s="564">
        <v>12.96</v>
      </c>
      <c r="F413" s="568">
        <f t="shared" si="12"/>
        <v>1.5424265405126881E-4</v>
      </c>
      <c r="G413" s="568">
        <f t="shared" si="13"/>
        <v>0.98355094513010266</v>
      </c>
    </row>
    <row r="414" spans="1:7" s="566" customFormat="1" ht="15">
      <c r="A414" s="561" t="s">
        <v>6187</v>
      </c>
      <c r="B414" s="562" t="s">
        <v>9101</v>
      </c>
      <c r="C414" s="565">
        <v>1432.85</v>
      </c>
      <c r="D414" s="564">
        <v>1128.8499999999999</v>
      </c>
      <c r="E414" s="564">
        <v>304</v>
      </c>
      <c r="F414" s="568">
        <f t="shared" si="12"/>
        <v>1.5078774825156956E-4</v>
      </c>
      <c r="G414" s="568">
        <f t="shared" si="13"/>
        <v>0.98370173287835427</v>
      </c>
    </row>
    <row r="415" spans="1:7" s="566" customFormat="1" ht="15">
      <c r="A415" s="561" t="s">
        <v>6187</v>
      </c>
      <c r="B415" s="567" t="s">
        <v>8493</v>
      </c>
      <c r="C415" s="565">
        <v>1419</v>
      </c>
      <c r="D415" s="563">
        <v>55.9</v>
      </c>
      <c r="E415" s="564">
        <v>15.05</v>
      </c>
      <c r="F415" s="568">
        <f t="shared" si="12"/>
        <v>1.4933022631048417E-4</v>
      </c>
      <c r="G415" s="568">
        <f t="shared" si="13"/>
        <v>0.98385106310466475</v>
      </c>
    </row>
    <row r="416" spans="1:7" s="566" customFormat="1" ht="15">
      <c r="A416" s="561" t="s">
        <v>6187</v>
      </c>
      <c r="B416" s="562" t="s">
        <v>7022</v>
      </c>
      <c r="C416" s="565">
        <v>1412.81</v>
      </c>
      <c r="D416" s="563">
        <v>9.75</v>
      </c>
      <c r="E416" s="564">
        <v>2.63</v>
      </c>
      <c r="F416" s="568">
        <f t="shared" si="12"/>
        <v>1.4867881397724814E-4</v>
      </c>
      <c r="G416" s="568">
        <f t="shared" si="13"/>
        <v>0.98399974191864203</v>
      </c>
    </row>
    <row r="417" spans="1:7" s="566" customFormat="1" ht="15">
      <c r="A417" s="561" t="s">
        <v>6187</v>
      </c>
      <c r="B417" s="562" t="s">
        <v>8035</v>
      </c>
      <c r="C417" s="565">
        <v>1398.7</v>
      </c>
      <c r="D417" s="563">
        <v>220.39</v>
      </c>
      <c r="E417" s="564">
        <v>59.35</v>
      </c>
      <c r="F417" s="568">
        <f t="shared" si="12"/>
        <v>1.4719393061344199E-4</v>
      </c>
      <c r="G417" s="568">
        <f t="shared" si="13"/>
        <v>0.9841469358492555</v>
      </c>
    </row>
    <row r="418" spans="1:7" s="566" customFormat="1" ht="30">
      <c r="A418" s="561" t="s">
        <v>6187</v>
      </c>
      <c r="B418" s="562" t="s">
        <v>8395</v>
      </c>
      <c r="C418" s="565">
        <v>1397.43</v>
      </c>
      <c r="D418" s="563">
        <v>366.98</v>
      </c>
      <c r="E418" s="564">
        <v>98.83</v>
      </c>
      <c r="F418" s="568">
        <f t="shared" si="12"/>
        <v>1.4706028058707532E-4</v>
      </c>
      <c r="G418" s="568">
        <f t="shared" si="13"/>
        <v>0.98429399612984259</v>
      </c>
    </row>
    <row r="419" spans="1:7" s="566" customFormat="1" ht="15">
      <c r="A419" s="561" t="s">
        <v>6187</v>
      </c>
      <c r="B419" s="562" t="s">
        <v>6860</v>
      </c>
      <c r="C419" s="565">
        <v>1368.04</v>
      </c>
      <c r="D419" s="563">
        <v>10.3</v>
      </c>
      <c r="E419" s="564">
        <v>2.77</v>
      </c>
      <c r="F419" s="568">
        <f t="shared" si="12"/>
        <v>1.4396738745721968E-4</v>
      </c>
      <c r="G419" s="568">
        <f t="shared" si="13"/>
        <v>0.98443796351729984</v>
      </c>
    </row>
    <row r="420" spans="1:7" s="566" customFormat="1" ht="15">
      <c r="A420" s="561" t="s">
        <v>6187</v>
      </c>
      <c r="B420" s="562" t="s">
        <v>8460</v>
      </c>
      <c r="C420" s="565">
        <v>1353.33</v>
      </c>
      <c r="D420" s="563">
        <v>32.31</v>
      </c>
      <c r="E420" s="564">
        <v>8.6999999999999993</v>
      </c>
      <c r="F420" s="568">
        <f t="shared" si="12"/>
        <v>1.4241936234867338E-4</v>
      </c>
      <c r="G420" s="568">
        <f t="shared" si="13"/>
        <v>0.98458038287964855</v>
      </c>
    </row>
    <row r="421" spans="1:7" s="566" customFormat="1" ht="15">
      <c r="A421" s="561" t="s">
        <v>6187</v>
      </c>
      <c r="B421" s="562" t="s">
        <v>8461</v>
      </c>
      <c r="C421" s="565">
        <v>1342.46</v>
      </c>
      <c r="D421" s="563">
        <v>12.3</v>
      </c>
      <c r="E421" s="564">
        <v>3.31</v>
      </c>
      <c r="F421" s="568">
        <f t="shared" si="12"/>
        <v>1.4127544440646411E-4</v>
      </c>
      <c r="G421" s="568">
        <f t="shared" si="13"/>
        <v>0.984721658324055</v>
      </c>
    </row>
    <row r="422" spans="1:7" s="566" customFormat="1" ht="15">
      <c r="A422" s="561" t="s">
        <v>6187</v>
      </c>
      <c r="B422" s="562" t="s">
        <v>7008</v>
      </c>
      <c r="C422" s="565">
        <v>1324.2</v>
      </c>
      <c r="D422" s="563">
        <v>52.16</v>
      </c>
      <c r="E422" s="564">
        <v>14.05</v>
      </c>
      <c r="F422" s="568">
        <f t="shared" si="12"/>
        <v>1.3935383064153851E-4</v>
      </c>
      <c r="G422" s="568">
        <f t="shared" si="13"/>
        <v>0.98486101215469657</v>
      </c>
    </row>
    <row r="423" spans="1:7" s="566" customFormat="1" ht="30">
      <c r="A423" s="561" t="s">
        <v>6187</v>
      </c>
      <c r="B423" s="562" t="s">
        <v>8308</v>
      </c>
      <c r="C423" s="565">
        <v>1287.95</v>
      </c>
      <c r="D423" s="563">
        <v>1014.69</v>
      </c>
      <c r="E423" s="564">
        <v>273.26</v>
      </c>
      <c r="F423" s="568">
        <f t="shared" si="12"/>
        <v>1.3553901689682035E-4</v>
      </c>
      <c r="G423" s="568">
        <f t="shared" si="13"/>
        <v>0.98499655117159335</v>
      </c>
    </row>
    <row r="424" spans="1:7" s="566" customFormat="1" ht="15">
      <c r="A424" s="561" t="s">
        <v>6187</v>
      </c>
      <c r="B424" s="567" t="s">
        <v>8486</v>
      </c>
      <c r="C424" s="565">
        <v>1286.0999999999999</v>
      </c>
      <c r="D424" s="563">
        <v>11.26</v>
      </c>
      <c r="E424" s="564">
        <v>3.03</v>
      </c>
      <c r="F424" s="568">
        <f t="shared" si="12"/>
        <v>1.3534432985053818E-4</v>
      </c>
      <c r="G424" s="568">
        <f t="shared" si="13"/>
        <v>0.98513189550144387</v>
      </c>
    </row>
    <row r="425" spans="1:7" s="566" customFormat="1" ht="15">
      <c r="A425" s="561" t="s">
        <v>6187</v>
      </c>
      <c r="B425" s="562" t="s">
        <v>8100</v>
      </c>
      <c r="C425" s="565">
        <v>1264</v>
      </c>
      <c r="D425" s="563">
        <v>12.45</v>
      </c>
      <c r="E425" s="564">
        <v>3.35</v>
      </c>
      <c r="F425" s="568">
        <f t="shared" si="12"/>
        <v>1.3301860891927554E-4</v>
      </c>
      <c r="G425" s="568">
        <f t="shared" si="13"/>
        <v>0.9852649141103631</v>
      </c>
    </row>
    <row r="426" spans="1:7" s="566" customFormat="1" ht="30">
      <c r="A426" s="561" t="s">
        <v>6187</v>
      </c>
      <c r="B426" s="562" t="s">
        <v>6821</v>
      </c>
      <c r="C426" s="565">
        <v>1258.71</v>
      </c>
      <c r="D426" s="563">
        <v>283.33</v>
      </c>
      <c r="E426" s="564">
        <v>76.3</v>
      </c>
      <c r="F426" s="568">
        <f t="shared" si="12"/>
        <v>1.3246190920314976E-4</v>
      </c>
      <c r="G426" s="568">
        <f t="shared" si="13"/>
        <v>0.98539737601956623</v>
      </c>
    </row>
    <row r="427" spans="1:7" s="566" customFormat="1" ht="15">
      <c r="A427" s="561" t="s">
        <v>6187</v>
      </c>
      <c r="B427" s="562" t="s">
        <v>7075</v>
      </c>
      <c r="C427" s="565">
        <v>1255.4100000000001</v>
      </c>
      <c r="D427" s="563">
        <v>8.91</v>
      </c>
      <c r="E427" s="564">
        <v>2.4</v>
      </c>
      <c r="F427" s="568">
        <f t="shared" si="12"/>
        <v>1.3211462960707889E-4</v>
      </c>
      <c r="G427" s="568">
        <f t="shared" si="13"/>
        <v>0.98552949064917328</v>
      </c>
    </row>
    <row r="428" spans="1:7" s="566" customFormat="1" ht="30">
      <c r="A428" s="561" t="s">
        <v>6187</v>
      </c>
      <c r="B428" s="562" t="s">
        <v>8388</v>
      </c>
      <c r="C428" s="565">
        <v>1246.42</v>
      </c>
      <c r="D428" s="563">
        <v>70.14</v>
      </c>
      <c r="E428" s="564">
        <v>18.89</v>
      </c>
      <c r="F428" s="568">
        <f t="shared" si="12"/>
        <v>1.3116855579838879E-4</v>
      </c>
      <c r="G428" s="568">
        <f t="shared" si="13"/>
        <v>0.9856606592049717</v>
      </c>
    </row>
    <row r="429" spans="1:7" s="566" customFormat="1" ht="30">
      <c r="A429" s="561" t="s">
        <v>6187</v>
      </c>
      <c r="B429" s="562" t="s">
        <v>7275</v>
      </c>
      <c r="C429" s="565">
        <v>1245.27</v>
      </c>
      <c r="D429" s="563">
        <v>327.02</v>
      </c>
      <c r="E429" s="564">
        <v>88.07</v>
      </c>
      <c r="F429" s="568">
        <f t="shared" si="12"/>
        <v>1.3104753412097013E-4</v>
      </c>
      <c r="G429" s="568">
        <f t="shared" si="13"/>
        <v>0.98579170673909267</v>
      </c>
    </row>
    <row r="430" spans="1:7" s="566" customFormat="1" ht="15">
      <c r="A430" s="561" t="s">
        <v>6187</v>
      </c>
      <c r="B430" s="562" t="s">
        <v>7105</v>
      </c>
      <c r="C430" s="565">
        <v>1237.45</v>
      </c>
      <c r="D430" s="563">
        <v>194.98</v>
      </c>
      <c r="E430" s="564">
        <v>52.51</v>
      </c>
      <c r="F430" s="568">
        <f t="shared" si="12"/>
        <v>1.3022458671452334E-4</v>
      </c>
      <c r="G430" s="568">
        <f t="shared" si="13"/>
        <v>0.98592193132580719</v>
      </c>
    </row>
    <row r="431" spans="1:7" s="566" customFormat="1" ht="15">
      <c r="A431" s="561" t="s">
        <v>6187</v>
      </c>
      <c r="B431" s="562" t="s">
        <v>7366</v>
      </c>
      <c r="C431" s="565">
        <v>1219.92</v>
      </c>
      <c r="D431" s="563">
        <v>160.18</v>
      </c>
      <c r="E431" s="564">
        <v>43.14</v>
      </c>
      <c r="F431" s="568">
        <f t="shared" si="12"/>
        <v>1.2837979540569828E-4</v>
      </c>
      <c r="G431" s="568">
        <f t="shared" si="13"/>
        <v>0.98605031112121289</v>
      </c>
    </row>
    <row r="432" spans="1:7" s="566" customFormat="1" ht="15">
      <c r="A432" s="561" t="s">
        <v>6187</v>
      </c>
      <c r="B432" s="562" t="s">
        <v>7205</v>
      </c>
      <c r="C432" s="565">
        <v>1219.68</v>
      </c>
      <c r="D432" s="563">
        <v>9.7100000000000009</v>
      </c>
      <c r="E432" s="564">
        <v>2.61</v>
      </c>
      <c r="F432" s="568">
        <f t="shared" si="12"/>
        <v>1.283545387078022E-4</v>
      </c>
      <c r="G432" s="568">
        <f t="shared" si="13"/>
        <v>0.98617866565992074</v>
      </c>
    </row>
    <row r="433" spans="1:7" s="566" customFormat="1" ht="30">
      <c r="A433" s="561" t="s">
        <v>6187</v>
      </c>
      <c r="B433" s="562" t="s">
        <v>7006</v>
      </c>
      <c r="C433" s="565">
        <v>1211.76</v>
      </c>
      <c r="D433" s="563">
        <v>53.04</v>
      </c>
      <c r="E433" s="564">
        <v>14.28</v>
      </c>
      <c r="F433" s="568">
        <f t="shared" si="12"/>
        <v>1.2752106767723205E-4</v>
      </c>
      <c r="G433" s="568">
        <f t="shared" si="13"/>
        <v>0.98630618672759796</v>
      </c>
    </row>
    <row r="434" spans="1:7" s="566" customFormat="1" ht="15">
      <c r="A434" s="561" t="s">
        <v>6187</v>
      </c>
      <c r="B434" s="562" t="s">
        <v>7201</v>
      </c>
      <c r="C434" s="565">
        <v>1203.3499999999999</v>
      </c>
      <c r="D434" s="563">
        <v>23.12</v>
      </c>
      <c r="E434" s="564">
        <v>6.23</v>
      </c>
      <c r="F434" s="568">
        <f t="shared" si="12"/>
        <v>1.2663603088845744E-4</v>
      </c>
      <c r="G434" s="568">
        <f t="shared" si="13"/>
        <v>0.98643282275848643</v>
      </c>
    </row>
    <row r="435" spans="1:7" s="566" customFormat="1" ht="30">
      <c r="A435" s="561" t="s">
        <v>6187</v>
      </c>
      <c r="B435" s="562" t="s">
        <v>7274</v>
      </c>
      <c r="C435" s="565">
        <v>1201.8900000000001</v>
      </c>
      <c r="D435" s="563">
        <v>315.63</v>
      </c>
      <c r="E435" s="564">
        <v>85</v>
      </c>
      <c r="F435" s="568">
        <f t="shared" si="12"/>
        <v>1.2648238597625638E-4</v>
      </c>
      <c r="G435" s="568">
        <f t="shared" si="13"/>
        <v>0.98655930514446266</v>
      </c>
    </row>
    <row r="436" spans="1:7" s="566" customFormat="1" ht="15">
      <c r="A436" s="561" t="s">
        <v>6187</v>
      </c>
      <c r="B436" s="562" t="s">
        <v>7263</v>
      </c>
      <c r="C436" s="565">
        <v>1200.4000000000001</v>
      </c>
      <c r="D436" s="563">
        <v>236.43</v>
      </c>
      <c r="E436" s="564">
        <v>63.67</v>
      </c>
      <c r="F436" s="568">
        <f t="shared" si="12"/>
        <v>1.2632558397681831E-4</v>
      </c>
      <c r="G436" s="568">
        <f t="shared" si="13"/>
        <v>0.98668563072843951</v>
      </c>
    </row>
    <row r="437" spans="1:7" s="566" customFormat="1" ht="30">
      <c r="A437" s="561" t="s">
        <v>6187</v>
      </c>
      <c r="B437" s="562" t="s">
        <v>8403</v>
      </c>
      <c r="C437" s="565">
        <v>1185.56</v>
      </c>
      <c r="D437" s="563">
        <v>467.01</v>
      </c>
      <c r="E437" s="564">
        <v>125.77</v>
      </c>
      <c r="F437" s="568">
        <f t="shared" si="12"/>
        <v>1.2476387815691162E-4</v>
      </c>
      <c r="G437" s="568">
        <f t="shared" si="13"/>
        <v>0.98681039460659647</v>
      </c>
    </row>
    <row r="438" spans="1:7" s="566" customFormat="1" ht="15">
      <c r="A438" s="561" t="s">
        <v>6187</v>
      </c>
      <c r="B438" s="562" t="s">
        <v>8102</v>
      </c>
      <c r="C438" s="565">
        <v>1180.4000000000001</v>
      </c>
      <c r="D438" s="563">
        <v>46.5</v>
      </c>
      <c r="E438" s="564">
        <v>12.52</v>
      </c>
      <c r="F438" s="568">
        <f t="shared" si="12"/>
        <v>1.2422085915214624E-4</v>
      </c>
      <c r="G438" s="568">
        <f t="shared" si="13"/>
        <v>0.98693461546574857</v>
      </c>
    </row>
    <row r="439" spans="1:7" s="566" customFormat="1" ht="45">
      <c r="A439" s="561" t="s">
        <v>6187</v>
      </c>
      <c r="B439" s="562" t="s">
        <v>9510</v>
      </c>
      <c r="C439" s="565">
        <v>1169.31</v>
      </c>
      <c r="D439" s="563">
        <v>4.09</v>
      </c>
      <c r="E439" s="564">
        <v>1.1000000000000001</v>
      </c>
      <c r="F439" s="568">
        <f t="shared" si="12"/>
        <v>1.2305378923686556E-4</v>
      </c>
      <c r="G439" s="568">
        <f t="shared" si="13"/>
        <v>0.98705766925498539</v>
      </c>
    </row>
    <row r="440" spans="1:7" s="566" customFormat="1" ht="45">
      <c r="A440" s="561" t="s">
        <v>6187</v>
      </c>
      <c r="B440" s="562" t="s">
        <v>8719</v>
      </c>
      <c r="C440" s="565">
        <v>1167.55</v>
      </c>
      <c r="D440" s="563">
        <v>183.97</v>
      </c>
      <c r="E440" s="564">
        <v>49.54</v>
      </c>
      <c r="F440" s="568">
        <f t="shared" si="12"/>
        <v>1.228685734522944E-4</v>
      </c>
      <c r="G440" s="568">
        <f t="shared" si="13"/>
        <v>0.98718053782843773</v>
      </c>
    </row>
    <row r="441" spans="1:7" s="566" customFormat="1" ht="30">
      <c r="A441" s="561" t="s">
        <v>6187</v>
      </c>
      <c r="B441" s="562" t="s">
        <v>8556</v>
      </c>
      <c r="C441" s="565">
        <v>1163.7</v>
      </c>
      <c r="D441" s="563">
        <v>30.56</v>
      </c>
      <c r="E441" s="564">
        <v>8.23</v>
      </c>
      <c r="F441" s="568">
        <f t="shared" si="12"/>
        <v>1.2246341392354505E-4</v>
      </c>
      <c r="G441" s="568">
        <f t="shared" si="13"/>
        <v>0.98730300124236126</v>
      </c>
    </row>
    <row r="442" spans="1:7" s="566" customFormat="1" ht="15">
      <c r="A442" s="561" t="s">
        <v>6187</v>
      </c>
      <c r="B442" s="562" t="s">
        <v>8724</v>
      </c>
      <c r="C442" s="565">
        <v>1156.72</v>
      </c>
      <c r="D442" s="563">
        <v>455.65</v>
      </c>
      <c r="E442" s="564">
        <v>122.71</v>
      </c>
      <c r="F442" s="568">
        <f t="shared" si="12"/>
        <v>1.2172886495973449E-4</v>
      </c>
      <c r="G442" s="568">
        <f t="shared" si="13"/>
        <v>0.98742473010732101</v>
      </c>
    </row>
    <row r="443" spans="1:7" s="566" customFormat="1" ht="30">
      <c r="A443" s="561" t="s">
        <v>6187</v>
      </c>
      <c r="B443" s="562" t="s">
        <v>6990</v>
      </c>
      <c r="C443" s="565">
        <v>1127.4000000000001</v>
      </c>
      <c r="D443" s="563">
        <v>29.61</v>
      </c>
      <c r="E443" s="564">
        <v>7.97</v>
      </c>
      <c r="F443" s="568">
        <f t="shared" si="12"/>
        <v>1.1864333836676523E-4</v>
      </c>
      <c r="G443" s="568">
        <f t="shared" si="13"/>
        <v>0.98754337344568777</v>
      </c>
    </row>
    <row r="444" spans="1:7" s="566" customFormat="1" ht="15">
      <c r="A444" s="561" t="s">
        <v>6187</v>
      </c>
      <c r="B444" s="562" t="s">
        <v>7099</v>
      </c>
      <c r="C444" s="565">
        <v>1122.02</v>
      </c>
      <c r="D444" s="563">
        <v>441.98</v>
      </c>
      <c r="E444" s="564">
        <v>119.03</v>
      </c>
      <c r="F444" s="568">
        <f t="shared" si="12"/>
        <v>1.1807716738892843E-4</v>
      </c>
      <c r="G444" s="568">
        <f t="shared" si="13"/>
        <v>0.98766145061307664</v>
      </c>
    </row>
    <row r="445" spans="1:7" s="566" customFormat="1" ht="15">
      <c r="A445" s="561" t="s">
        <v>6187</v>
      </c>
      <c r="B445" s="562" t="s">
        <v>8001</v>
      </c>
      <c r="C445" s="565">
        <v>1119.2</v>
      </c>
      <c r="D445" s="563">
        <v>11.02</v>
      </c>
      <c r="E445" s="564">
        <v>2.97</v>
      </c>
      <c r="F445" s="568">
        <f t="shared" si="12"/>
        <v>1.1778040118864967E-4</v>
      </c>
      <c r="G445" s="568">
        <f t="shared" si="13"/>
        <v>0.98777923101426535</v>
      </c>
    </row>
    <row r="446" spans="1:7" s="566" customFormat="1" ht="15">
      <c r="A446" s="561" t="s">
        <v>6187</v>
      </c>
      <c r="B446" s="562" t="s">
        <v>8472</v>
      </c>
      <c r="C446" s="565">
        <v>1101.6600000000001</v>
      </c>
      <c r="D446" s="563">
        <v>10.09</v>
      </c>
      <c r="E446" s="564">
        <v>2.72</v>
      </c>
      <c r="F446" s="568">
        <f t="shared" si="12"/>
        <v>1.1593455751741226E-4</v>
      </c>
      <c r="G446" s="568">
        <f t="shared" si="13"/>
        <v>0.98789516557178281</v>
      </c>
    </row>
    <row r="447" spans="1:7" s="566" customFormat="1" ht="15">
      <c r="A447" s="561" t="s">
        <v>6187</v>
      </c>
      <c r="B447" s="567" t="s">
        <v>8481</v>
      </c>
      <c r="C447" s="565">
        <v>1099.6300000000001</v>
      </c>
      <c r="D447" s="563">
        <v>123.76</v>
      </c>
      <c r="E447" s="564">
        <v>33.33</v>
      </c>
      <c r="F447" s="568">
        <f t="shared" si="12"/>
        <v>1.1572092794770805E-4</v>
      </c>
      <c r="G447" s="568">
        <f t="shared" si="13"/>
        <v>0.98801088649973057</v>
      </c>
    </row>
    <row r="448" spans="1:7" s="566" customFormat="1" ht="30">
      <c r="A448" s="561" t="s">
        <v>6187</v>
      </c>
      <c r="B448" s="562" t="s">
        <v>7027</v>
      </c>
      <c r="C448" s="565">
        <v>1078.1500000000001</v>
      </c>
      <c r="D448" s="563">
        <v>169.88</v>
      </c>
      <c r="E448" s="564">
        <v>45.75</v>
      </c>
      <c r="F448" s="568">
        <f t="shared" si="12"/>
        <v>1.1346045348601023E-4</v>
      </c>
      <c r="G448" s="568">
        <f t="shared" si="13"/>
        <v>0.9881243469532166</v>
      </c>
    </row>
    <row r="449" spans="1:7" s="566" customFormat="1" ht="15">
      <c r="A449" s="561" t="s">
        <v>6187</v>
      </c>
      <c r="B449" s="562" t="s">
        <v>7181</v>
      </c>
      <c r="C449" s="565">
        <v>1073.8</v>
      </c>
      <c r="D449" s="563">
        <v>7.17</v>
      </c>
      <c r="E449" s="564">
        <v>1.93</v>
      </c>
      <c r="F449" s="568">
        <f t="shared" si="12"/>
        <v>1.1300267583664404E-4</v>
      </c>
      <c r="G449" s="568">
        <f t="shared" si="13"/>
        <v>0.9882373496290533</v>
      </c>
    </row>
    <row r="450" spans="1:7" s="566" customFormat="1" ht="15">
      <c r="A450" s="561" t="s">
        <v>6187</v>
      </c>
      <c r="B450" s="562" t="s">
        <v>7988</v>
      </c>
      <c r="C450" s="565">
        <v>1068.9000000000001</v>
      </c>
      <c r="D450" s="563">
        <v>12.030000000000001</v>
      </c>
      <c r="E450" s="564">
        <v>3.24</v>
      </c>
      <c r="F450" s="568">
        <f t="shared" si="12"/>
        <v>1.1248701825459939E-4</v>
      </c>
      <c r="G450" s="568">
        <f t="shared" si="13"/>
        <v>0.98834983664730791</v>
      </c>
    </row>
    <row r="451" spans="1:7" s="566" customFormat="1" ht="30">
      <c r="A451" s="561" t="s">
        <v>6187</v>
      </c>
      <c r="B451" s="562" t="s">
        <v>8405</v>
      </c>
      <c r="C451" s="565">
        <v>1066.58</v>
      </c>
      <c r="D451" s="563">
        <v>840.29</v>
      </c>
      <c r="E451" s="564">
        <v>226.29</v>
      </c>
      <c r="F451" s="568">
        <f t="shared" si="12"/>
        <v>1.1224287017493741E-4</v>
      </c>
      <c r="G451" s="568">
        <f t="shared" si="13"/>
        <v>0.98846207951748288</v>
      </c>
    </row>
    <row r="452" spans="1:7" s="566" customFormat="1" ht="30">
      <c r="A452" s="561" t="s">
        <v>6187</v>
      </c>
      <c r="B452" s="562" t="s">
        <v>7828</v>
      </c>
      <c r="C452" s="565">
        <v>1050.31</v>
      </c>
      <c r="D452" s="563">
        <v>145.94</v>
      </c>
      <c r="E452" s="564">
        <v>39.299999999999997</v>
      </c>
      <c r="F452" s="568">
        <f t="shared" si="12"/>
        <v>1.1053067653006667E-4</v>
      </c>
      <c r="G452" s="568">
        <f t="shared" si="13"/>
        <v>0.98857261019401299</v>
      </c>
    </row>
    <row r="453" spans="1:7" s="566" customFormat="1" ht="30">
      <c r="A453" s="561" t="s">
        <v>6187</v>
      </c>
      <c r="B453" s="562" t="s">
        <v>8749</v>
      </c>
      <c r="C453" s="565">
        <v>1047.0899999999999</v>
      </c>
      <c r="D453" s="563">
        <v>25</v>
      </c>
      <c r="E453" s="564">
        <v>6.73</v>
      </c>
      <c r="F453" s="568">
        <f t="shared" si="12"/>
        <v>1.1019181583329446E-4</v>
      </c>
      <c r="G453" s="568">
        <f t="shared" si="13"/>
        <v>0.98868280200984626</v>
      </c>
    </row>
    <row r="454" spans="1:7" s="566" customFormat="1" ht="15">
      <c r="A454" s="561" t="s">
        <v>6187</v>
      </c>
      <c r="B454" s="562" t="s">
        <v>7202</v>
      </c>
      <c r="C454" s="565">
        <v>1042.2</v>
      </c>
      <c r="D454" s="563">
        <v>30.41</v>
      </c>
      <c r="E454" s="564">
        <v>8.19</v>
      </c>
      <c r="F454" s="568">
        <f t="shared" si="12"/>
        <v>1.0967721061366216E-4</v>
      </c>
      <c r="G454" s="568">
        <f t="shared" si="13"/>
        <v>0.98879247922045987</v>
      </c>
    </row>
    <row r="455" spans="1:7" s="566" customFormat="1" ht="30">
      <c r="A455" s="561" t="s">
        <v>6187</v>
      </c>
      <c r="B455" s="562" t="s">
        <v>6984</v>
      </c>
      <c r="C455" s="565">
        <v>1042.03</v>
      </c>
      <c r="D455" s="563">
        <v>83.77</v>
      </c>
      <c r="E455" s="564">
        <v>22.56</v>
      </c>
      <c r="F455" s="568">
        <f t="shared" si="12"/>
        <v>1.0965932045265244E-4</v>
      </c>
      <c r="G455" s="568">
        <f t="shared" si="13"/>
        <v>0.98890213854091258</v>
      </c>
    </row>
    <row r="456" spans="1:7" s="566" customFormat="1" ht="15">
      <c r="A456" s="561" t="s">
        <v>6187</v>
      </c>
      <c r="B456" s="562" t="s">
        <v>15421</v>
      </c>
      <c r="C456" s="565">
        <v>1035.01</v>
      </c>
      <c r="D456" s="564">
        <v>0.33</v>
      </c>
      <c r="E456" s="564">
        <v>0.09</v>
      </c>
      <c r="F456" s="568">
        <f t="shared" si="12"/>
        <v>1.0892056203919254E-4</v>
      </c>
      <c r="G456" s="568">
        <f t="shared" si="13"/>
        <v>0.98901105910295173</v>
      </c>
    </row>
    <row r="457" spans="1:7" s="566" customFormat="1" ht="15">
      <c r="A457" s="561" t="s">
        <v>6187</v>
      </c>
      <c r="B457" s="562" t="s">
        <v>7051</v>
      </c>
      <c r="C457" s="565">
        <v>1034.55</v>
      </c>
      <c r="D457" s="563">
        <v>4.9400000000000004</v>
      </c>
      <c r="E457" s="564">
        <v>1.33</v>
      </c>
      <c r="F457" s="568">
        <f t="shared" si="12"/>
        <v>1.0887215336822507E-4</v>
      </c>
      <c r="G457" s="568">
        <f t="shared" si="13"/>
        <v>0.98911993125631992</v>
      </c>
    </row>
    <row r="458" spans="1:7" s="566" customFormat="1" ht="30">
      <c r="A458" s="561" t="s">
        <v>6187</v>
      </c>
      <c r="B458" s="562" t="s">
        <v>7308</v>
      </c>
      <c r="C458" s="565">
        <v>1026.96</v>
      </c>
      <c r="D458" s="563">
        <v>36.78</v>
      </c>
      <c r="E458" s="564">
        <v>9.9</v>
      </c>
      <c r="F458" s="568">
        <f t="shared" si="12"/>
        <v>1.0807341029726203E-4</v>
      </c>
      <c r="G458" s="568">
        <f t="shared" si="13"/>
        <v>0.9892280046666172</v>
      </c>
    </row>
    <row r="459" spans="1:7" s="566" customFormat="1" ht="15">
      <c r="A459" s="561" t="s">
        <v>6187</v>
      </c>
      <c r="B459" s="562" t="s">
        <v>7054</v>
      </c>
      <c r="C459" s="565">
        <v>1009.89</v>
      </c>
      <c r="D459" s="563">
        <v>16.239999999999998</v>
      </c>
      <c r="E459" s="564">
        <v>4.37</v>
      </c>
      <c r="F459" s="568">
        <f t="shared" si="12"/>
        <v>1.062770276594044E-4</v>
      </c>
      <c r="G459" s="568">
        <f t="shared" si="13"/>
        <v>0.98933428169427662</v>
      </c>
    </row>
    <row r="460" spans="1:7" s="566" customFormat="1" ht="30">
      <c r="A460" s="561" t="s">
        <v>6187</v>
      </c>
      <c r="B460" s="562" t="s">
        <v>8784</v>
      </c>
      <c r="C460" s="565">
        <v>1008.2</v>
      </c>
      <c r="D460" s="564">
        <v>354.59999999999997</v>
      </c>
      <c r="E460" s="564">
        <v>95.49</v>
      </c>
      <c r="F460" s="568">
        <f t="shared" si="12"/>
        <v>1.0609917841171962E-4</v>
      </c>
      <c r="G460" s="568">
        <f t="shared" si="13"/>
        <v>0.98944038087268837</v>
      </c>
    </row>
    <row r="461" spans="1:7" s="566" customFormat="1" ht="15">
      <c r="A461" s="561" t="s">
        <v>6187</v>
      </c>
      <c r="B461" s="562" t="s">
        <v>7160</v>
      </c>
      <c r="C461" s="565">
        <v>1003.68</v>
      </c>
      <c r="D461" s="563">
        <v>16.47</v>
      </c>
      <c r="E461" s="564">
        <v>4.4400000000000004</v>
      </c>
      <c r="F461" s="568">
        <f t="shared" si="12"/>
        <v>1.0562351060134372E-4</v>
      </c>
      <c r="G461" s="568">
        <f t="shared" si="13"/>
        <v>0.98954600438328977</v>
      </c>
    </row>
    <row r="462" spans="1:7" s="566" customFormat="1" ht="30">
      <c r="A462" s="561" t="s">
        <v>6187</v>
      </c>
      <c r="B462" s="562" t="s">
        <v>7061</v>
      </c>
      <c r="C462" s="565">
        <v>999.96</v>
      </c>
      <c r="D462" s="563">
        <v>15.150000000000002</v>
      </c>
      <c r="E462" s="564">
        <v>4.08</v>
      </c>
      <c r="F462" s="568">
        <f t="shared" si="12"/>
        <v>1.0523203178395473E-4</v>
      </c>
      <c r="G462" s="568">
        <f t="shared" si="13"/>
        <v>0.98965123641507369</v>
      </c>
    </row>
    <row r="463" spans="1:7" s="566" customFormat="1" ht="15">
      <c r="A463" s="561" t="s">
        <v>6187</v>
      </c>
      <c r="B463" s="562" t="s">
        <v>7352</v>
      </c>
      <c r="C463" s="565">
        <v>998.27</v>
      </c>
      <c r="D463" s="563">
        <v>786.47</v>
      </c>
      <c r="E463" s="564">
        <v>211.8</v>
      </c>
      <c r="F463" s="568">
        <f t="shared" si="12"/>
        <v>1.0505418253626993E-4</v>
      </c>
      <c r="G463" s="568">
        <f t="shared" si="13"/>
        <v>0.98975629059760994</v>
      </c>
    </row>
    <row r="464" spans="1:7" s="566" customFormat="1" ht="15">
      <c r="A464" s="561" t="s">
        <v>6187</v>
      </c>
      <c r="B464" s="562" t="s">
        <v>7348</v>
      </c>
      <c r="C464" s="565">
        <v>996</v>
      </c>
      <c r="D464" s="563">
        <v>3.92</v>
      </c>
      <c r="E464" s="564">
        <v>1.06</v>
      </c>
      <c r="F464" s="568">
        <f t="shared" ref="F464:F527" si="14">C464/SUM(C:C)</f>
        <v>1.0481529626866964E-4</v>
      </c>
      <c r="G464" s="568">
        <f t="shared" ref="G464:G527" si="15">F464+G463</f>
        <v>0.98986110589387866</v>
      </c>
    </row>
    <row r="465" spans="1:7" s="566" customFormat="1" ht="15">
      <c r="A465" s="561" t="s">
        <v>6187</v>
      </c>
      <c r="B465" s="562" t="s">
        <v>7235</v>
      </c>
      <c r="C465" s="565">
        <v>994.2</v>
      </c>
      <c r="D465" s="563">
        <v>783.27</v>
      </c>
      <c r="E465" s="564">
        <v>210.93</v>
      </c>
      <c r="F465" s="568">
        <f t="shared" si="14"/>
        <v>1.0462587103444917E-4</v>
      </c>
      <c r="G465" s="568">
        <f t="shared" si="15"/>
        <v>0.98996573176491309</v>
      </c>
    </row>
    <row r="466" spans="1:7" s="566" customFormat="1" ht="15">
      <c r="A466" s="561" t="s">
        <v>6187</v>
      </c>
      <c r="B466" s="562" t="s">
        <v>7194</v>
      </c>
      <c r="C466" s="565">
        <v>983.84</v>
      </c>
      <c r="D466" s="563">
        <v>9.01</v>
      </c>
      <c r="E466" s="564">
        <v>2.4300000000000002</v>
      </c>
      <c r="F466" s="568">
        <f t="shared" si="14"/>
        <v>1.0353562357526902E-4</v>
      </c>
      <c r="G466" s="568">
        <f t="shared" si="15"/>
        <v>0.99006926738848833</v>
      </c>
    </row>
    <row r="467" spans="1:7" s="566" customFormat="1" ht="15">
      <c r="A467" s="561" t="s">
        <v>6187</v>
      </c>
      <c r="B467" s="562" t="s">
        <v>9536</v>
      </c>
      <c r="C467" s="565">
        <v>972.69</v>
      </c>
      <c r="D467" s="563">
        <v>230.82</v>
      </c>
      <c r="E467" s="564">
        <v>62.16</v>
      </c>
      <c r="F467" s="568">
        <f t="shared" si="14"/>
        <v>1.0236223948551434E-4</v>
      </c>
      <c r="G467" s="568">
        <f t="shared" si="15"/>
        <v>0.99017162962797389</v>
      </c>
    </row>
    <row r="468" spans="1:7" s="566" customFormat="1" ht="15">
      <c r="A468" s="561" t="s">
        <v>6187</v>
      </c>
      <c r="B468" s="562" t="s">
        <v>9243</v>
      </c>
      <c r="C468" s="565">
        <v>969.54</v>
      </c>
      <c r="D468" s="563">
        <v>58.76</v>
      </c>
      <c r="E468" s="564">
        <v>15.82</v>
      </c>
      <c r="F468" s="568">
        <f t="shared" si="14"/>
        <v>1.0203074532562848E-4</v>
      </c>
      <c r="G468" s="568">
        <f t="shared" si="15"/>
        <v>0.99027366037329956</v>
      </c>
    </row>
    <row r="469" spans="1:7" s="566" customFormat="1" ht="15">
      <c r="A469" s="561" t="s">
        <v>6187</v>
      </c>
      <c r="B469" s="562" t="s">
        <v>7178</v>
      </c>
      <c r="C469" s="565">
        <v>935.54</v>
      </c>
      <c r="D469" s="563">
        <v>12.71</v>
      </c>
      <c r="E469" s="564">
        <v>3.42</v>
      </c>
      <c r="F469" s="568">
        <f t="shared" si="14"/>
        <v>9.8452713123685942E-5</v>
      </c>
      <c r="G469" s="568">
        <f t="shared" si="15"/>
        <v>0.99037211308642326</v>
      </c>
    </row>
    <row r="470" spans="1:7" s="566" customFormat="1" ht="15">
      <c r="A470" s="561" t="s">
        <v>6187</v>
      </c>
      <c r="B470" s="567" t="s">
        <v>8485</v>
      </c>
      <c r="C470" s="565">
        <v>928.85</v>
      </c>
      <c r="D470" s="563">
        <v>11.26</v>
      </c>
      <c r="E470" s="564">
        <v>3.03</v>
      </c>
      <c r="F470" s="568">
        <f t="shared" si="14"/>
        <v>9.7748682669833139E-5</v>
      </c>
      <c r="G470" s="568">
        <f t="shared" si="15"/>
        <v>0.99046986176909313</v>
      </c>
    </row>
    <row r="471" spans="1:7" s="566" customFormat="1" ht="15">
      <c r="A471" s="561" t="s">
        <v>6187</v>
      </c>
      <c r="B471" s="562" t="s">
        <v>8056</v>
      </c>
      <c r="C471" s="565">
        <v>924.3</v>
      </c>
      <c r="D471" s="563">
        <v>121.37</v>
      </c>
      <c r="E471" s="564">
        <v>32.68</v>
      </c>
      <c r="F471" s="568">
        <f t="shared" si="14"/>
        <v>9.726985777222023E-5</v>
      </c>
      <c r="G471" s="568">
        <f t="shared" si="15"/>
        <v>0.99056713162686538</v>
      </c>
    </row>
    <row r="472" spans="1:7" s="566" customFormat="1" ht="15">
      <c r="A472" s="561" t="s">
        <v>6187</v>
      </c>
      <c r="B472" s="562" t="s">
        <v>7192</v>
      </c>
      <c r="C472" s="565">
        <v>922.34</v>
      </c>
      <c r="D472" s="563">
        <v>6.79</v>
      </c>
      <c r="E472" s="564">
        <v>1.83</v>
      </c>
      <c r="F472" s="568">
        <f t="shared" si="14"/>
        <v>9.7063594739402368E-5</v>
      </c>
      <c r="G472" s="568">
        <f t="shared" si="15"/>
        <v>0.99066419522160476</v>
      </c>
    </row>
    <row r="473" spans="1:7" s="566" customFormat="1" ht="30">
      <c r="A473" s="561" t="s">
        <v>6187</v>
      </c>
      <c r="B473" s="562" t="s">
        <v>7822</v>
      </c>
      <c r="C473" s="565">
        <v>908.45</v>
      </c>
      <c r="D473" s="563">
        <v>126.23</v>
      </c>
      <c r="E473" s="564">
        <v>33.99</v>
      </c>
      <c r="F473" s="568">
        <f t="shared" si="14"/>
        <v>9.5601863348667617E-5</v>
      </c>
      <c r="G473" s="568">
        <f t="shared" si="15"/>
        <v>0.99075979708495343</v>
      </c>
    </row>
    <row r="474" spans="1:7" s="566" customFormat="1" ht="15">
      <c r="A474" s="561" t="s">
        <v>6187</v>
      </c>
      <c r="B474" s="562" t="s">
        <v>7056</v>
      </c>
      <c r="C474" s="565">
        <v>895.2</v>
      </c>
      <c r="D474" s="563">
        <v>47.02</v>
      </c>
      <c r="E474" s="564">
        <v>12.66</v>
      </c>
      <c r="F474" s="568">
        <f t="shared" si="14"/>
        <v>9.4207483152322364E-5</v>
      </c>
      <c r="G474" s="568">
        <f t="shared" si="15"/>
        <v>0.9908540045681058</v>
      </c>
    </row>
    <row r="475" spans="1:7" s="566" customFormat="1" ht="15">
      <c r="A475" s="561" t="s">
        <v>6187</v>
      </c>
      <c r="B475" s="562" t="s">
        <v>8384</v>
      </c>
      <c r="C475" s="565">
        <v>890.3</v>
      </c>
      <c r="D475" s="563">
        <v>70.14</v>
      </c>
      <c r="E475" s="564">
        <v>18.89</v>
      </c>
      <c r="F475" s="568">
        <f t="shared" si="14"/>
        <v>9.369182557027769E-5</v>
      </c>
      <c r="G475" s="568">
        <f t="shared" si="15"/>
        <v>0.99094769639367608</v>
      </c>
    </row>
    <row r="476" spans="1:7" s="566" customFormat="1" ht="15">
      <c r="A476" s="561" t="s">
        <v>6187</v>
      </c>
      <c r="B476" s="562" t="s">
        <v>9548</v>
      </c>
      <c r="C476" s="565">
        <v>889.86</v>
      </c>
      <c r="D476" s="563">
        <v>3.51</v>
      </c>
      <c r="E476" s="564">
        <v>0.95</v>
      </c>
      <c r="F476" s="568">
        <f t="shared" si="14"/>
        <v>9.3645521624134906E-5</v>
      </c>
      <c r="G476" s="568">
        <f t="shared" si="15"/>
        <v>0.99104134191530024</v>
      </c>
    </row>
    <row r="477" spans="1:7" s="566" customFormat="1" ht="30">
      <c r="A477" s="561" t="s">
        <v>6187</v>
      </c>
      <c r="B477" s="562" t="s">
        <v>7424</v>
      </c>
      <c r="C477" s="565">
        <v>889.58</v>
      </c>
      <c r="D477" s="563">
        <v>350.42</v>
      </c>
      <c r="E477" s="564">
        <v>94.37</v>
      </c>
      <c r="F477" s="568">
        <f t="shared" si="14"/>
        <v>9.3616055476589501E-5</v>
      </c>
      <c r="G477" s="568">
        <f t="shared" si="15"/>
        <v>0.99113495797077689</v>
      </c>
    </row>
    <row r="478" spans="1:7" s="566" customFormat="1" ht="30">
      <c r="A478" s="561" t="s">
        <v>6187</v>
      </c>
      <c r="B478" s="562" t="s">
        <v>9183</v>
      </c>
      <c r="C478" s="565">
        <v>882.25</v>
      </c>
      <c r="D478" s="563">
        <v>139.01</v>
      </c>
      <c r="E478" s="564">
        <v>37.44</v>
      </c>
      <c r="F478" s="568">
        <f t="shared" si="14"/>
        <v>9.2844673828347185E-5</v>
      </c>
      <c r="G478" s="568">
        <f t="shared" si="15"/>
        <v>0.99122780264460519</v>
      </c>
    </row>
    <row r="479" spans="1:7" s="566" customFormat="1" ht="15">
      <c r="A479" s="561" t="s">
        <v>6187</v>
      </c>
      <c r="B479" s="562" t="s">
        <v>7987</v>
      </c>
      <c r="C479" s="565">
        <v>880</v>
      </c>
      <c r="D479" s="563">
        <v>0.35</v>
      </c>
      <c r="E479" s="564">
        <v>0.09</v>
      </c>
      <c r="F479" s="568">
        <f t="shared" si="14"/>
        <v>9.2607892285571577E-5</v>
      </c>
      <c r="G479" s="568">
        <f t="shared" si="15"/>
        <v>0.99132041053689079</v>
      </c>
    </row>
    <row r="480" spans="1:7" s="566" customFormat="1" ht="15">
      <c r="A480" s="561" t="s">
        <v>6187</v>
      </c>
      <c r="B480" s="567" t="s">
        <v>8476</v>
      </c>
      <c r="C480" s="565">
        <v>862.2</v>
      </c>
      <c r="D480" s="563">
        <v>33.96</v>
      </c>
      <c r="E480" s="564">
        <v>9.15</v>
      </c>
      <c r="F480" s="568">
        <f t="shared" si="14"/>
        <v>9.073468719161343E-5</v>
      </c>
      <c r="G480" s="568">
        <f t="shared" si="15"/>
        <v>0.99141114522408236</v>
      </c>
    </row>
    <row r="481" spans="1:7" s="566" customFormat="1" ht="15">
      <c r="A481" s="561" t="s">
        <v>6187</v>
      </c>
      <c r="B481" s="562" t="s">
        <v>9578</v>
      </c>
      <c r="C481" s="565">
        <v>852.63</v>
      </c>
      <c r="D481" s="563">
        <v>12.280000000000001</v>
      </c>
      <c r="E481" s="564">
        <v>3.31</v>
      </c>
      <c r="F481" s="568">
        <f t="shared" si="14"/>
        <v>8.9727576363007834E-5</v>
      </c>
      <c r="G481" s="568">
        <f t="shared" si="15"/>
        <v>0.99150087280044541</v>
      </c>
    </row>
    <row r="482" spans="1:7" s="566" customFormat="1" ht="15">
      <c r="A482" s="561" t="s">
        <v>6187</v>
      </c>
      <c r="B482" s="567" t="s">
        <v>8490</v>
      </c>
      <c r="C482" s="565">
        <v>852.39</v>
      </c>
      <c r="D482" s="563">
        <v>10.66</v>
      </c>
      <c r="E482" s="564">
        <v>2.87</v>
      </c>
      <c r="F482" s="568">
        <f t="shared" si="14"/>
        <v>8.9702319665111767E-5</v>
      </c>
      <c r="G482" s="568">
        <f t="shared" si="15"/>
        <v>0.99159057512011051</v>
      </c>
    </row>
    <row r="483" spans="1:7" s="566" customFormat="1" ht="15">
      <c r="A483" s="561" t="s">
        <v>6187</v>
      </c>
      <c r="B483" s="562" t="s">
        <v>7998</v>
      </c>
      <c r="C483" s="565">
        <v>851.4</v>
      </c>
      <c r="D483" s="563">
        <v>22.36</v>
      </c>
      <c r="E483" s="564">
        <v>6.02</v>
      </c>
      <c r="F483" s="568">
        <f t="shared" si="14"/>
        <v>8.9598135786290488E-5</v>
      </c>
      <c r="G483" s="568">
        <f t="shared" si="15"/>
        <v>0.99168017325589675</v>
      </c>
    </row>
    <row r="484" spans="1:7" s="566" customFormat="1" ht="15">
      <c r="A484" s="561" t="s">
        <v>6187</v>
      </c>
      <c r="B484" s="562" t="s">
        <v>9533</v>
      </c>
      <c r="C484" s="565">
        <v>849.85</v>
      </c>
      <c r="D484" s="563">
        <v>29.11</v>
      </c>
      <c r="E484" s="564">
        <v>7.84</v>
      </c>
      <c r="F484" s="568">
        <f t="shared" si="14"/>
        <v>8.9435019612378412E-5</v>
      </c>
      <c r="G484" s="568">
        <f t="shared" si="15"/>
        <v>0.99176960827550908</v>
      </c>
    </row>
    <row r="485" spans="1:7" s="566" customFormat="1" ht="30">
      <c r="A485" s="561" t="s">
        <v>6187</v>
      </c>
      <c r="B485" s="562" t="s">
        <v>8305</v>
      </c>
      <c r="C485" s="565">
        <v>846.56</v>
      </c>
      <c r="D485" s="563">
        <v>666.95</v>
      </c>
      <c r="E485" s="564">
        <v>179.61</v>
      </c>
      <c r="F485" s="568">
        <f t="shared" si="14"/>
        <v>8.9088792378719847E-5</v>
      </c>
      <c r="G485" s="568">
        <f t="shared" si="15"/>
        <v>0.99185869706788776</v>
      </c>
    </row>
    <row r="486" spans="1:7" s="566" customFormat="1" ht="15">
      <c r="A486" s="561" t="s">
        <v>6187</v>
      </c>
      <c r="B486" s="562" t="s">
        <v>7264</v>
      </c>
      <c r="C486" s="565">
        <v>845.74</v>
      </c>
      <c r="D486" s="563">
        <v>333.15</v>
      </c>
      <c r="E486" s="564">
        <v>89.72</v>
      </c>
      <c r="F486" s="568">
        <f t="shared" si="14"/>
        <v>8.9002498660908301E-5</v>
      </c>
      <c r="G486" s="568">
        <f t="shared" si="15"/>
        <v>0.99194769956654871</v>
      </c>
    </row>
    <row r="487" spans="1:7" s="566" customFormat="1" ht="15">
      <c r="A487" s="561" t="s">
        <v>6187</v>
      </c>
      <c r="B487" s="562" t="s">
        <v>8628</v>
      </c>
      <c r="C487" s="565">
        <v>843.04</v>
      </c>
      <c r="D487" s="563">
        <v>30.19</v>
      </c>
      <c r="E487" s="564">
        <v>8.1300000000000008</v>
      </c>
      <c r="F487" s="568">
        <f t="shared" si="14"/>
        <v>8.8718360809577569E-5</v>
      </c>
      <c r="G487" s="568">
        <f t="shared" si="15"/>
        <v>0.9920364179273583</v>
      </c>
    </row>
    <row r="488" spans="1:7" s="566" customFormat="1" ht="60">
      <c r="A488" s="561" t="s">
        <v>6187</v>
      </c>
      <c r="B488" s="562" t="s">
        <v>7301</v>
      </c>
      <c r="C488" s="565">
        <v>836.7</v>
      </c>
      <c r="D488" s="563">
        <v>109.86</v>
      </c>
      <c r="E488" s="564">
        <v>29.59</v>
      </c>
      <c r="F488" s="568">
        <f t="shared" si="14"/>
        <v>8.8051163040156518E-5</v>
      </c>
      <c r="G488" s="568">
        <f t="shared" si="15"/>
        <v>0.99212446909039842</v>
      </c>
    </row>
    <row r="489" spans="1:7" s="566" customFormat="1" ht="30">
      <c r="A489" s="561" t="s">
        <v>6187</v>
      </c>
      <c r="B489" s="562" t="s">
        <v>7104</v>
      </c>
      <c r="C489" s="565">
        <v>835.12</v>
      </c>
      <c r="D489" s="563">
        <v>59.81</v>
      </c>
      <c r="E489" s="564">
        <v>16.11</v>
      </c>
      <c r="F489" s="568">
        <f t="shared" si="14"/>
        <v>8.7884889779007419E-5</v>
      </c>
      <c r="G489" s="568">
        <f t="shared" si="15"/>
        <v>0.99221235398017738</v>
      </c>
    </row>
    <row r="490" spans="1:7" s="566" customFormat="1" ht="15">
      <c r="A490" s="561" t="s">
        <v>6187</v>
      </c>
      <c r="B490" s="562" t="s">
        <v>8459</v>
      </c>
      <c r="C490" s="565">
        <v>832.65</v>
      </c>
      <c r="D490" s="563">
        <v>10.09</v>
      </c>
      <c r="E490" s="564">
        <v>2.72</v>
      </c>
      <c r="F490" s="568">
        <f t="shared" si="14"/>
        <v>8.7624956263160413E-5</v>
      </c>
      <c r="G490" s="568">
        <f t="shared" si="15"/>
        <v>0.99229997893644051</v>
      </c>
    </row>
    <row r="491" spans="1:7" s="566" customFormat="1" ht="15">
      <c r="A491" s="561" t="s">
        <v>6187</v>
      </c>
      <c r="B491" s="562" t="s">
        <v>8055</v>
      </c>
      <c r="C491" s="565">
        <v>806.4</v>
      </c>
      <c r="D491" s="563">
        <v>158.83000000000001</v>
      </c>
      <c r="E491" s="564">
        <v>42.77</v>
      </c>
      <c r="F491" s="568">
        <f t="shared" si="14"/>
        <v>8.4862504930778316E-5</v>
      </c>
      <c r="G491" s="568">
        <f t="shared" si="15"/>
        <v>0.99238484144137129</v>
      </c>
    </row>
    <row r="492" spans="1:7" s="566" customFormat="1" ht="45">
      <c r="A492" s="561" t="s">
        <v>6187</v>
      </c>
      <c r="B492" s="562" t="s">
        <v>9494</v>
      </c>
      <c r="C492" s="565">
        <v>806.21</v>
      </c>
      <c r="D492" s="563">
        <v>19.46</v>
      </c>
      <c r="E492" s="564">
        <v>5.24</v>
      </c>
      <c r="F492" s="568">
        <f t="shared" si="14"/>
        <v>8.4842510044943928E-5</v>
      </c>
      <c r="G492" s="568">
        <f t="shared" si="15"/>
        <v>0.99246968395141621</v>
      </c>
    </row>
    <row r="493" spans="1:7" s="566" customFormat="1" ht="30">
      <c r="A493" s="561" t="s">
        <v>6187</v>
      </c>
      <c r="B493" s="562" t="s">
        <v>8616</v>
      </c>
      <c r="C493" s="565">
        <v>796.8</v>
      </c>
      <c r="D493" s="563">
        <v>7.85</v>
      </c>
      <c r="E493" s="564">
        <v>2.11</v>
      </c>
      <c r="F493" s="568">
        <f t="shared" si="14"/>
        <v>8.3852237014935709E-5</v>
      </c>
      <c r="G493" s="568">
        <f t="shared" si="15"/>
        <v>0.99255353618843112</v>
      </c>
    </row>
    <row r="494" spans="1:7" s="566" customFormat="1" ht="30">
      <c r="A494" s="561" t="s">
        <v>6187</v>
      </c>
      <c r="B494" s="562" t="s">
        <v>7364</v>
      </c>
      <c r="C494" s="565">
        <v>795.02</v>
      </c>
      <c r="D494" s="563">
        <v>313.17</v>
      </c>
      <c r="E494" s="564">
        <v>84.34</v>
      </c>
      <c r="F494" s="568">
        <f t="shared" si="14"/>
        <v>8.3664916505539895E-5</v>
      </c>
      <c r="G494" s="568">
        <f t="shared" si="15"/>
        <v>0.9926372011049367</v>
      </c>
    </row>
    <row r="495" spans="1:7" s="566" customFormat="1" ht="15">
      <c r="A495" s="561" t="s">
        <v>6187</v>
      </c>
      <c r="B495" s="562" t="s">
        <v>7096</v>
      </c>
      <c r="C495" s="565">
        <v>792.79</v>
      </c>
      <c r="D495" s="563">
        <v>624.59</v>
      </c>
      <c r="E495" s="564">
        <v>168.2</v>
      </c>
      <c r="F495" s="568">
        <f t="shared" si="14"/>
        <v>8.3430239687588956E-5</v>
      </c>
      <c r="G495" s="568">
        <f t="shared" si="15"/>
        <v>0.99272063134462429</v>
      </c>
    </row>
    <row r="496" spans="1:7" s="566" customFormat="1" ht="30">
      <c r="A496" s="561" t="s">
        <v>6187</v>
      </c>
      <c r="B496" s="562" t="s">
        <v>8406</v>
      </c>
      <c r="C496" s="565">
        <v>783.53</v>
      </c>
      <c r="D496" s="563">
        <v>617.29</v>
      </c>
      <c r="E496" s="564">
        <v>166.24</v>
      </c>
      <c r="F496" s="568">
        <f t="shared" si="14"/>
        <v>8.2455752093765788E-5</v>
      </c>
      <c r="G496" s="568">
        <f t="shared" si="15"/>
        <v>0.99280308709671805</v>
      </c>
    </row>
    <row r="497" spans="1:7" s="566" customFormat="1" ht="15">
      <c r="A497" s="561" t="s">
        <v>6187</v>
      </c>
      <c r="B497" s="562" t="s">
        <v>7005</v>
      </c>
      <c r="C497" s="565">
        <v>781.44</v>
      </c>
      <c r="D497" s="563">
        <v>19.240000000000002</v>
      </c>
      <c r="E497" s="564">
        <v>5.18</v>
      </c>
      <c r="F497" s="568">
        <f t="shared" si="14"/>
        <v>8.2235808349587558E-5</v>
      </c>
      <c r="G497" s="568">
        <f t="shared" si="15"/>
        <v>0.99288532290506759</v>
      </c>
    </row>
    <row r="498" spans="1:7" s="566" customFormat="1" ht="15">
      <c r="A498" s="561" t="s">
        <v>6187</v>
      </c>
      <c r="B498" s="562" t="s">
        <v>8572</v>
      </c>
      <c r="C498" s="565">
        <v>766.82</v>
      </c>
      <c r="D498" s="563">
        <v>26.27</v>
      </c>
      <c r="E498" s="564">
        <v>7.07</v>
      </c>
      <c r="F498" s="568">
        <f t="shared" si="14"/>
        <v>8.0697254502752264E-5</v>
      </c>
      <c r="G498" s="568">
        <f t="shared" si="15"/>
        <v>0.99296602015957036</v>
      </c>
    </row>
    <row r="499" spans="1:7" s="566" customFormat="1" ht="15">
      <c r="A499" s="561" t="s">
        <v>6187</v>
      </c>
      <c r="B499" s="562" t="s">
        <v>8829</v>
      </c>
      <c r="C499" s="565">
        <v>740.19</v>
      </c>
      <c r="D499" s="564">
        <v>194.38</v>
      </c>
      <c r="E499" s="564">
        <v>52.35</v>
      </c>
      <c r="F499" s="568">
        <f t="shared" si="14"/>
        <v>7.789481339870139E-5</v>
      </c>
      <c r="G499" s="568">
        <f t="shared" si="15"/>
        <v>0.99304391497296907</v>
      </c>
    </row>
    <row r="500" spans="1:7" s="566" customFormat="1" ht="15">
      <c r="A500" s="561" t="s">
        <v>6187</v>
      </c>
      <c r="B500" s="562" t="s">
        <v>7213</v>
      </c>
      <c r="C500" s="565">
        <v>737.75</v>
      </c>
      <c r="D500" s="563">
        <v>23.25</v>
      </c>
      <c r="E500" s="564">
        <v>6.26</v>
      </c>
      <c r="F500" s="568">
        <f t="shared" si="14"/>
        <v>7.7638036970091394E-5</v>
      </c>
      <c r="G500" s="568">
        <f t="shared" si="15"/>
        <v>0.99312155300993921</v>
      </c>
    </row>
    <row r="501" spans="1:7" s="566" customFormat="1" ht="15">
      <c r="A501" s="561" t="s">
        <v>6187</v>
      </c>
      <c r="B501" s="562" t="s">
        <v>8037</v>
      </c>
      <c r="C501" s="565">
        <v>735.02</v>
      </c>
      <c r="D501" s="563">
        <v>52.64</v>
      </c>
      <c r="E501" s="564">
        <v>14.18</v>
      </c>
      <c r="F501" s="568">
        <f t="shared" si="14"/>
        <v>7.7350742031523652E-5</v>
      </c>
      <c r="G501" s="568">
        <f t="shared" si="15"/>
        <v>0.99319890375197073</v>
      </c>
    </row>
    <row r="502" spans="1:7" s="566" customFormat="1" ht="15">
      <c r="A502" s="561" t="s">
        <v>6187</v>
      </c>
      <c r="B502" s="562" t="s">
        <v>7024</v>
      </c>
      <c r="C502" s="565">
        <v>728.99</v>
      </c>
      <c r="D502" s="563">
        <v>18.440000000000001</v>
      </c>
      <c r="E502" s="564">
        <v>4.97</v>
      </c>
      <c r="F502" s="568">
        <f t="shared" si="14"/>
        <v>7.671616749688503E-5</v>
      </c>
      <c r="G502" s="568">
        <f t="shared" si="15"/>
        <v>0.99327561991946767</v>
      </c>
    </row>
    <row r="503" spans="1:7" s="566" customFormat="1" ht="15">
      <c r="A503" s="561" t="s">
        <v>6187</v>
      </c>
      <c r="B503" s="562" t="s">
        <v>8104</v>
      </c>
      <c r="C503" s="565">
        <v>720.63</v>
      </c>
      <c r="D503" s="563">
        <v>11.13</v>
      </c>
      <c r="E503" s="564">
        <v>3</v>
      </c>
      <c r="F503" s="568">
        <f t="shared" si="14"/>
        <v>7.5836392520172097E-5</v>
      </c>
      <c r="G503" s="568">
        <f t="shared" si="15"/>
        <v>0.99335145631198785</v>
      </c>
    </row>
    <row r="504" spans="1:7" s="566" customFormat="1" ht="30">
      <c r="A504" s="561" t="s">
        <v>6187</v>
      </c>
      <c r="B504" s="562" t="s">
        <v>8766</v>
      </c>
      <c r="C504" s="565">
        <f>547.46+169.88</f>
        <v>717.34</v>
      </c>
      <c r="D504" s="564">
        <v>6.43</v>
      </c>
      <c r="E504" s="564">
        <v>1.73</v>
      </c>
      <c r="F504" s="568">
        <f t="shared" si="14"/>
        <v>7.5490165286513545E-5</v>
      </c>
      <c r="G504" s="568">
        <f t="shared" si="15"/>
        <v>0.99342694647727436</v>
      </c>
    </row>
    <row r="505" spans="1:7" s="566" customFormat="1" ht="15">
      <c r="A505" s="561" t="s">
        <v>6187</v>
      </c>
      <c r="B505" s="562" t="s">
        <v>8461</v>
      </c>
      <c r="C505" s="565">
        <v>715.16</v>
      </c>
      <c r="D505" s="563">
        <v>7.41</v>
      </c>
      <c r="E505" s="564">
        <v>2</v>
      </c>
      <c r="F505" s="568">
        <f t="shared" si="14"/>
        <v>7.5260750280624271E-5</v>
      </c>
      <c r="G505" s="568">
        <f t="shared" si="15"/>
        <v>0.993502207227555</v>
      </c>
    </row>
    <row r="506" spans="1:7" s="566" customFormat="1" ht="15">
      <c r="A506" s="561" t="s">
        <v>6187</v>
      </c>
      <c r="B506" s="562" t="s">
        <v>7009</v>
      </c>
      <c r="C506" s="565">
        <v>694.96</v>
      </c>
      <c r="D506" s="563">
        <v>39.11</v>
      </c>
      <c r="E506" s="564">
        <v>10.53</v>
      </c>
      <c r="F506" s="568">
        <f t="shared" si="14"/>
        <v>7.3134978207705479E-5</v>
      </c>
      <c r="G506" s="568">
        <f t="shared" si="15"/>
        <v>0.99357534220576271</v>
      </c>
    </row>
    <row r="507" spans="1:7" s="566" customFormat="1" ht="15">
      <c r="A507" s="561" t="s">
        <v>6187</v>
      </c>
      <c r="B507" s="562" t="s">
        <v>9246</v>
      </c>
      <c r="C507" s="565">
        <v>693</v>
      </c>
      <c r="D507" s="563">
        <v>6.5</v>
      </c>
      <c r="E507" s="564">
        <v>1.75</v>
      </c>
      <c r="F507" s="568">
        <f t="shared" si="14"/>
        <v>7.2928715174887617E-5</v>
      </c>
      <c r="G507" s="568">
        <f t="shared" si="15"/>
        <v>0.99364827092093755</v>
      </c>
    </row>
    <row r="508" spans="1:7" s="566" customFormat="1" ht="30">
      <c r="A508" s="561" t="s">
        <v>6187</v>
      </c>
      <c r="B508" s="562" t="s">
        <v>8401</v>
      </c>
      <c r="C508" s="565">
        <v>688.8</v>
      </c>
      <c r="D508" s="563">
        <v>542.66000000000008</v>
      </c>
      <c r="E508" s="564">
        <v>146.13999999999999</v>
      </c>
      <c r="F508" s="568">
        <f t="shared" si="14"/>
        <v>7.2486722961706475E-5</v>
      </c>
      <c r="G508" s="568">
        <f t="shared" si="15"/>
        <v>0.99372075764389922</v>
      </c>
    </row>
    <row r="509" spans="1:7" s="566" customFormat="1" ht="15">
      <c r="A509" s="561" t="s">
        <v>6187</v>
      </c>
      <c r="B509" s="567" t="s">
        <v>8480</v>
      </c>
      <c r="C509" s="565">
        <v>686.2</v>
      </c>
      <c r="D509" s="563">
        <v>54.059999999999995</v>
      </c>
      <c r="E509" s="564">
        <v>14.56</v>
      </c>
      <c r="F509" s="568">
        <f t="shared" si="14"/>
        <v>7.2213108734499115E-5</v>
      </c>
      <c r="G509" s="568">
        <f t="shared" si="15"/>
        <v>0.99379297075263373</v>
      </c>
    </row>
    <row r="510" spans="1:7" s="566" customFormat="1" ht="15">
      <c r="A510" s="561" t="s">
        <v>6187</v>
      </c>
      <c r="B510" s="562" t="s">
        <v>8000</v>
      </c>
      <c r="C510" s="565">
        <v>671.52</v>
      </c>
      <c r="D510" s="563">
        <v>11.02</v>
      </c>
      <c r="E510" s="564">
        <v>2.97</v>
      </c>
      <c r="F510" s="568">
        <f t="shared" si="14"/>
        <v>7.06682407131898E-5</v>
      </c>
      <c r="G510" s="568">
        <f t="shared" si="15"/>
        <v>0.99386363899334695</v>
      </c>
    </row>
    <row r="511" spans="1:7" s="566" customFormat="1" ht="15">
      <c r="A511" s="561" t="s">
        <v>6187</v>
      </c>
      <c r="B511" s="562" t="s">
        <v>7140</v>
      </c>
      <c r="C511" s="565">
        <v>661.86</v>
      </c>
      <c r="D511" s="563">
        <v>28.97</v>
      </c>
      <c r="E511" s="564">
        <v>7.8</v>
      </c>
      <c r="F511" s="568">
        <f t="shared" si="14"/>
        <v>6.9651658622873187E-5</v>
      </c>
      <c r="G511" s="568">
        <f t="shared" si="15"/>
        <v>0.99393329065196978</v>
      </c>
    </row>
    <row r="512" spans="1:7" s="566" customFormat="1" ht="60">
      <c r="A512" s="561" t="s">
        <v>6187</v>
      </c>
      <c r="B512" s="562" t="s">
        <v>7300</v>
      </c>
      <c r="C512" s="565">
        <v>658.64</v>
      </c>
      <c r="D512" s="563">
        <v>64.86</v>
      </c>
      <c r="E512" s="564">
        <v>17.47</v>
      </c>
      <c r="F512" s="568">
        <f t="shared" si="14"/>
        <v>6.9312797926100983E-5</v>
      </c>
      <c r="G512" s="568">
        <f t="shared" si="15"/>
        <v>0.99400260344989588</v>
      </c>
    </row>
    <row r="513" spans="1:7" s="566" customFormat="1" ht="15">
      <c r="A513" s="561" t="s">
        <v>6187</v>
      </c>
      <c r="B513" s="567" t="s">
        <v>8487</v>
      </c>
      <c r="C513" s="565">
        <v>658.58</v>
      </c>
      <c r="D513" s="563">
        <v>15.26</v>
      </c>
      <c r="E513" s="564">
        <v>4.1100000000000003</v>
      </c>
      <c r="F513" s="568">
        <f t="shared" si="14"/>
        <v>6.9306483751626962E-5</v>
      </c>
      <c r="G513" s="568">
        <f t="shared" si="15"/>
        <v>0.99407190993364747</v>
      </c>
    </row>
    <row r="514" spans="1:7" s="566" customFormat="1" ht="15">
      <c r="A514" s="561" t="s">
        <v>6187</v>
      </c>
      <c r="B514" s="562" t="s">
        <v>15437</v>
      </c>
      <c r="C514" s="565">
        <v>654.03</v>
      </c>
      <c r="D514" s="564">
        <v>171.76</v>
      </c>
      <c r="E514" s="564">
        <v>46.25</v>
      </c>
      <c r="F514" s="568">
        <f t="shared" si="14"/>
        <v>6.8827658854014054E-5</v>
      </c>
      <c r="G514" s="568">
        <f t="shared" si="15"/>
        <v>0.99414073759250143</v>
      </c>
    </row>
    <row r="515" spans="1:7" s="566" customFormat="1" ht="30">
      <c r="A515" s="561" t="s">
        <v>6187</v>
      </c>
      <c r="B515" s="562" t="s">
        <v>7258</v>
      </c>
      <c r="C515" s="565">
        <v>653.41</v>
      </c>
      <c r="D515" s="563">
        <v>514.78</v>
      </c>
      <c r="E515" s="564">
        <v>138.63</v>
      </c>
      <c r="F515" s="568">
        <f t="shared" si="14"/>
        <v>6.8762412384449224E-5</v>
      </c>
      <c r="G515" s="568">
        <f t="shared" si="15"/>
        <v>0.99420950000488584</v>
      </c>
    </row>
    <row r="516" spans="1:7" s="566" customFormat="1" ht="30">
      <c r="A516" s="561" t="s">
        <v>6187</v>
      </c>
      <c r="B516" s="562" t="s">
        <v>9418</v>
      </c>
      <c r="C516" s="565">
        <v>653.25</v>
      </c>
      <c r="D516" s="563">
        <v>46.83</v>
      </c>
      <c r="E516" s="564">
        <v>12.61</v>
      </c>
      <c r="F516" s="568">
        <f t="shared" si="14"/>
        <v>6.8745574585851846E-5</v>
      </c>
      <c r="G516" s="568">
        <f t="shared" si="15"/>
        <v>0.99427824557947164</v>
      </c>
    </row>
    <row r="517" spans="1:7" s="566" customFormat="1" ht="15">
      <c r="A517" s="561" t="s">
        <v>6187</v>
      </c>
      <c r="B517" s="562" t="s">
        <v>8039</v>
      </c>
      <c r="C517" s="565">
        <v>637.65</v>
      </c>
      <c r="D517" s="563">
        <v>38.64</v>
      </c>
      <c r="E517" s="564">
        <v>10.41</v>
      </c>
      <c r="F517" s="568">
        <f t="shared" si="14"/>
        <v>6.7103889222607627E-5</v>
      </c>
      <c r="G517" s="568">
        <f t="shared" si="15"/>
        <v>0.99434534946869424</v>
      </c>
    </row>
    <row r="518" spans="1:7" s="566" customFormat="1" ht="30">
      <c r="A518" s="561" t="s">
        <v>6187</v>
      </c>
      <c r="B518" s="562" t="s">
        <v>6336</v>
      </c>
      <c r="C518" s="565">
        <v>619.55999999999995</v>
      </c>
      <c r="D518" s="564">
        <v>488.11</v>
      </c>
      <c r="E518" s="564">
        <v>131.44999999999999</v>
      </c>
      <c r="F518" s="568">
        <f t="shared" si="14"/>
        <v>6.520016561869172E-5</v>
      </c>
      <c r="G518" s="568">
        <f t="shared" si="15"/>
        <v>0.99441054963431297</v>
      </c>
    </row>
    <row r="519" spans="1:7" s="566" customFormat="1" ht="15">
      <c r="A519" s="561" t="s">
        <v>6187</v>
      </c>
      <c r="B519" s="562" t="s">
        <v>7101</v>
      </c>
      <c r="C519" s="565">
        <v>619.47</v>
      </c>
      <c r="D519" s="563">
        <v>54.230000000000004</v>
      </c>
      <c r="E519" s="564">
        <v>14.6</v>
      </c>
      <c r="F519" s="568">
        <f t="shared" si="14"/>
        <v>6.5190694356980703E-5</v>
      </c>
      <c r="G519" s="568">
        <f t="shared" si="15"/>
        <v>0.99447574032866992</v>
      </c>
    </row>
    <row r="520" spans="1:7" s="566" customFormat="1" ht="45">
      <c r="A520" s="561" t="s">
        <v>6187</v>
      </c>
      <c r="B520" s="562" t="s">
        <v>8779</v>
      </c>
      <c r="C520" s="565">
        <v>618.44000000000005</v>
      </c>
      <c r="D520" s="564">
        <v>25.55</v>
      </c>
      <c r="E520" s="564">
        <v>6.88</v>
      </c>
      <c r="F520" s="568">
        <f t="shared" si="14"/>
        <v>6.50823010285101E-5</v>
      </c>
      <c r="G520" s="568">
        <f t="shared" si="15"/>
        <v>0.99454082262969845</v>
      </c>
    </row>
    <row r="521" spans="1:7" s="566" customFormat="1" ht="30">
      <c r="A521" s="561" t="s">
        <v>6187</v>
      </c>
      <c r="B521" s="562" t="s">
        <v>8557</v>
      </c>
      <c r="C521" s="565">
        <v>612.32000000000005</v>
      </c>
      <c r="D521" s="563">
        <v>5.61</v>
      </c>
      <c r="E521" s="564">
        <v>1.51</v>
      </c>
      <c r="F521" s="568">
        <f t="shared" si="14"/>
        <v>6.4438255232160448E-5</v>
      </c>
      <c r="G521" s="568">
        <f t="shared" si="15"/>
        <v>0.99460526088493062</v>
      </c>
    </row>
    <row r="522" spans="1:7" s="566" customFormat="1" ht="30">
      <c r="A522" s="561" t="s">
        <v>6187</v>
      </c>
      <c r="B522" s="562" t="s">
        <v>7841</v>
      </c>
      <c r="C522" s="565">
        <v>605.4</v>
      </c>
      <c r="D522" s="564">
        <v>119.24</v>
      </c>
      <c r="E522" s="564">
        <v>32.11</v>
      </c>
      <c r="F522" s="568">
        <f t="shared" si="14"/>
        <v>6.3710020442823891E-5</v>
      </c>
      <c r="G522" s="568">
        <f t="shared" si="15"/>
        <v>0.99466897090537343</v>
      </c>
    </row>
    <row r="523" spans="1:7" s="566" customFormat="1" ht="15">
      <c r="A523" s="561" t="s">
        <v>6187</v>
      </c>
      <c r="B523" s="562" t="s">
        <v>7230</v>
      </c>
      <c r="C523" s="565">
        <v>601.37</v>
      </c>
      <c r="D523" s="563">
        <v>473.78</v>
      </c>
      <c r="E523" s="564">
        <v>127.59</v>
      </c>
      <c r="F523" s="568">
        <f t="shared" si="14"/>
        <v>6.3285918390652469E-5</v>
      </c>
      <c r="G523" s="568">
        <f t="shared" si="15"/>
        <v>0.99473225682376409</v>
      </c>
    </row>
    <row r="524" spans="1:7" s="566" customFormat="1" ht="15">
      <c r="A524" s="561" t="s">
        <v>6187</v>
      </c>
      <c r="B524" s="567" t="s">
        <v>8482</v>
      </c>
      <c r="C524" s="565">
        <v>599.4</v>
      </c>
      <c r="D524" s="563">
        <v>17.490000000000002</v>
      </c>
      <c r="E524" s="564">
        <v>4.71</v>
      </c>
      <c r="F524" s="568">
        <f t="shared" si="14"/>
        <v>6.3078602995422266E-5</v>
      </c>
      <c r="G524" s="568">
        <f t="shared" si="15"/>
        <v>0.99479533542675946</v>
      </c>
    </row>
    <row r="525" spans="1:7" s="566" customFormat="1" ht="30">
      <c r="A525" s="561" t="s">
        <v>6187</v>
      </c>
      <c r="B525" s="562" t="s">
        <v>7059</v>
      </c>
      <c r="C525" s="565">
        <v>593.45000000000005</v>
      </c>
      <c r="D525" s="563">
        <v>8.5</v>
      </c>
      <c r="E525" s="564">
        <v>2.29</v>
      </c>
      <c r="F525" s="568">
        <f t="shared" si="14"/>
        <v>6.2452447360082333E-5</v>
      </c>
      <c r="G525" s="568">
        <f t="shared" si="15"/>
        <v>0.99485778787411949</v>
      </c>
    </row>
    <row r="526" spans="1:7" s="566" customFormat="1" ht="15">
      <c r="A526" s="561" t="s">
        <v>6187</v>
      </c>
      <c r="B526" s="567" t="s">
        <v>8519</v>
      </c>
      <c r="C526" s="565">
        <v>592.47</v>
      </c>
      <c r="D526" s="563">
        <v>51.86</v>
      </c>
      <c r="E526" s="564">
        <v>13.97</v>
      </c>
      <c r="F526" s="568">
        <f t="shared" si="14"/>
        <v>6.2349315843673395E-5</v>
      </c>
      <c r="G526" s="568">
        <f t="shared" si="15"/>
        <v>0.99492013718996319</v>
      </c>
    </row>
    <row r="527" spans="1:7" s="566" customFormat="1" ht="15">
      <c r="A527" s="561" t="s">
        <v>6187</v>
      </c>
      <c r="B527" s="562" t="s">
        <v>7079</v>
      </c>
      <c r="C527" s="565">
        <v>587.25</v>
      </c>
      <c r="D527" s="563">
        <v>30.84</v>
      </c>
      <c r="E527" s="564">
        <v>8.31</v>
      </c>
      <c r="F527" s="568">
        <f t="shared" si="14"/>
        <v>6.1799982664433978E-5</v>
      </c>
      <c r="G527" s="568">
        <f t="shared" si="15"/>
        <v>0.99498193717262762</v>
      </c>
    </row>
    <row r="528" spans="1:7" s="566" customFormat="1" ht="15">
      <c r="A528" s="561" t="s">
        <v>6187</v>
      </c>
      <c r="B528" s="562" t="s">
        <v>9070</v>
      </c>
      <c r="C528" s="565">
        <v>564.1</v>
      </c>
      <c r="D528" s="563">
        <v>88.88</v>
      </c>
      <c r="E528" s="564">
        <v>23.94</v>
      </c>
      <c r="F528" s="568">
        <f t="shared" ref="F528:F591" si="16">C528/SUM(C:C)</f>
        <v>5.9363763679876051E-5</v>
      </c>
      <c r="G528" s="568">
        <f t="shared" ref="G528:G591" si="17">F528+G527</f>
        <v>0.99504130093630749</v>
      </c>
    </row>
    <row r="529" spans="1:7" s="566" customFormat="1" ht="30">
      <c r="A529" s="561" t="s">
        <v>6187</v>
      </c>
      <c r="B529" s="562" t="s">
        <v>7147</v>
      </c>
      <c r="C529" s="565">
        <v>561.44000000000005</v>
      </c>
      <c r="D529" s="563">
        <v>40.21</v>
      </c>
      <c r="E529" s="564">
        <v>10.83</v>
      </c>
      <c r="F529" s="568">
        <f t="shared" si="16"/>
        <v>5.9083835278194671E-5</v>
      </c>
      <c r="G529" s="568">
        <f t="shared" si="17"/>
        <v>0.99510038477158569</v>
      </c>
    </row>
    <row r="530" spans="1:7" s="566" customFormat="1" ht="15">
      <c r="A530" s="561" t="s">
        <v>6187</v>
      </c>
      <c r="B530" s="562" t="s">
        <v>7193</v>
      </c>
      <c r="C530" s="565">
        <v>555.84</v>
      </c>
      <c r="D530" s="563">
        <v>4.5599999999999996</v>
      </c>
      <c r="E530" s="564">
        <v>1.23</v>
      </c>
      <c r="F530" s="568">
        <f t="shared" si="16"/>
        <v>5.8494512327286483E-5</v>
      </c>
      <c r="G530" s="568">
        <f t="shared" si="17"/>
        <v>0.995158879283913</v>
      </c>
    </row>
    <row r="531" spans="1:7" s="566" customFormat="1" ht="30">
      <c r="A531" s="561" t="s">
        <v>6187</v>
      </c>
      <c r="B531" s="562" t="s">
        <v>15435</v>
      </c>
      <c r="C531" s="565">
        <v>553.4</v>
      </c>
      <c r="D531" s="564">
        <v>114.43</v>
      </c>
      <c r="E531" s="564">
        <v>30.82</v>
      </c>
      <c r="F531" s="568">
        <f t="shared" si="16"/>
        <v>5.8237735898676487E-5</v>
      </c>
      <c r="G531" s="568">
        <f t="shared" si="17"/>
        <v>0.99521711701981164</v>
      </c>
    </row>
    <row r="532" spans="1:7" s="566" customFormat="1" ht="15">
      <c r="A532" s="561" t="s">
        <v>6187</v>
      </c>
      <c r="B532" s="562" t="s">
        <v>8461</v>
      </c>
      <c r="C532" s="565">
        <v>545.78</v>
      </c>
      <c r="D532" s="563">
        <v>7.41</v>
      </c>
      <c r="E532" s="564">
        <v>2</v>
      </c>
      <c r="F532" s="568">
        <f t="shared" si="16"/>
        <v>5.7435835740476418E-5</v>
      </c>
      <c r="G532" s="568">
        <f t="shared" si="17"/>
        <v>0.99527455285555211</v>
      </c>
    </row>
    <row r="533" spans="1:7" s="566" customFormat="1" ht="30">
      <c r="A533" s="561" t="s">
        <v>6187</v>
      </c>
      <c r="B533" s="562" t="s">
        <v>8399</v>
      </c>
      <c r="C533" s="565">
        <v>540.70000000000005</v>
      </c>
      <c r="D533" s="563">
        <v>425.98</v>
      </c>
      <c r="E533" s="564">
        <v>114.72</v>
      </c>
      <c r="F533" s="568">
        <f t="shared" si="16"/>
        <v>5.6901235635009717E-5</v>
      </c>
      <c r="G533" s="568">
        <f t="shared" si="17"/>
        <v>0.99533145409118717</v>
      </c>
    </row>
    <row r="534" spans="1:7" s="566" customFormat="1" ht="15">
      <c r="A534" s="561" t="s">
        <v>6187</v>
      </c>
      <c r="B534" s="562" t="s">
        <v>8457</v>
      </c>
      <c r="C534" s="565">
        <v>538.4</v>
      </c>
      <c r="D534" s="563">
        <v>53.02</v>
      </c>
      <c r="E534" s="564">
        <v>14.28</v>
      </c>
      <c r="F534" s="568">
        <f t="shared" si="16"/>
        <v>5.6659192280172423E-5</v>
      </c>
      <c r="G534" s="568">
        <f t="shared" si="17"/>
        <v>0.99538811328346732</v>
      </c>
    </row>
    <row r="535" spans="1:7" s="566" customFormat="1" ht="15">
      <c r="A535" s="561" t="s">
        <v>6187</v>
      </c>
      <c r="B535" s="562" t="s">
        <v>9158</v>
      </c>
      <c r="C535" s="565">
        <v>537.6</v>
      </c>
      <c r="D535" s="564">
        <v>5.04</v>
      </c>
      <c r="E535" s="564">
        <v>1.36</v>
      </c>
      <c r="F535" s="568">
        <f t="shared" si="16"/>
        <v>5.6575003287185546E-5</v>
      </c>
      <c r="G535" s="568">
        <f t="shared" si="17"/>
        <v>0.99544468828675448</v>
      </c>
    </row>
    <row r="536" spans="1:7" s="566" customFormat="1" ht="15">
      <c r="A536" s="561" t="s">
        <v>6187</v>
      </c>
      <c r="B536" s="562" t="s">
        <v>7365</v>
      </c>
      <c r="C536" s="565">
        <v>535.88</v>
      </c>
      <c r="D536" s="563">
        <v>105.55</v>
      </c>
      <c r="E536" s="564">
        <v>28.42</v>
      </c>
      <c r="F536" s="568">
        <f t="shared" si="16"/>
        <v>5.6393996952263745E-5</v>
      </c>
      <c r="G536" s="568">
        <f t="shared" si="17"/>
        <v>0.99550108228370671</v>
      </c>
    </row>
    <row r="537" spans="1:7" s="566" customFormat="1" ht="15">
      <c r="A537" s="561" t="s">
        <v>6187</v>
      </c>
      <c r="B537" s="562" t="s">
        <v>7271</v>
      </c>
      <c r="C537" s="565">
        <v>534.84</v>
      </c>
      <c r="D537" s="563">
        <v>105.34</v>
      </c>
      <c r="E537" s="564">
        <v>28.37</v>
      </c>
      <c r="F537" s="568">
        <f t="shared" si="16"/>
        <v>5.6284551261380801E-5</v>
      </c>
      <c r="G537" s="568">
        <f t="shared" si="17"/>
        <v>0.99555736683496809</v>
      </c>
    </row>
    <row r="538" spans="1:7" s="566" customFormat="1" ht="15">
      <c r="A538" s="561" t="s">
        <v>6187</v>
      </c>
      <c r="B538" s="562" t="s">
        <v>8098</v>
      </c>
      <c r="C538" s="565">
        <v>533.4</v>
      </c>
      <c r="D538" s="563">
        <v>6</v>
      </c>
      <c r="E538" s="564">
        <v>1.62</v>
      </c>
      <c r="F538" s="568">
        <f t="shared" si="16"/>
        <v>5.6133011074004404E-5</v>
      </c>
      <c r="G538" s="568">
        <f t="shared" si="17"/>
        <v>0.99561349984604208</v>
      </c>
    </row>
    <row r="539" spans="1:7" s="566" customFormat="1" ht="60">
      <c r="A539" s="561" t="s">
        <v>6187</v>
      </c>
      <c r="B539" s="562" t="s">
        <v>7303</v>
      </c>
      <c r="C539" s="565">
        <v>521.88</v>
      </c>
      <c r="D539" s="563">
        <v>205.57999999999998</v>
      </c>
      <c r="E539" s="564">
        <v>55.36</v>
      </c>
      <c r="F539" s="568">
        <f t="shared" si="16"/>
        <v>5.4920689574993287E-5</v>
      </c>
      <c r="G539" s="568">
        <f t="shared" si="17"/>
        <v>0.9956684205356171</v>
      </c>
    </row>
    <row r="540" spans="1:7" s="566" customFormat="1" ht="60">
      <c r="A540" s="561" t="s">
        <v>6187</v>
      </c>
      <c r="B540" s="562" t="s">
        <v>7294</v>
      </c>
      <c r="C540" s="565">
        <v>517.78</v>
      </c>
      <c r="D540" s="563">
        <v>203.96</v>
      </c>
      <c r="E540" s="564">
        <v>54.93</v>
      </c>
      <c r="F540" s="568">
        <f t="shared" si="16"/>
        <v>5.448922098593551E-5</v>
      </c>
      <c r="G540" s="568">
        <f t="shared" si="17"/>
        <v>0.99572290975660305</v>
      </c>
    </row>
    <row r="541" spans="1:7" s="566" customFormat="1" ht="30">
      <c r="A541" s="561" t="s">
        <v>6187</v>
      </c>
      <c r="B541" s="562" t="s">
        <v>7102</v>
      </c>
      <c r="C541" s="565">
        <v>516.95000000000005</v>
      </c>
      <c r="D541" s="563">
        <v>58.18</v>
      </c>
      <c r="E541" s="564">
        <v>15.67</v>
      </c>
      <c r="F541" s="568">
        <f t="shared" si="16"/>
        <v>5.4401874905711623E-5</v>
      </c>
      <c r="G541" s="568">
        <f t="shared" si="17"/>
        <v>0.99577731163150873</v>
      </c>
    </row>
    <row r="542" spans="1:7" s="566" customFormat="1" ht="30">
      <c r="A542" s="561" t="s">
        <v>6187</v>
      </c>
      <c r="B542" s="562" t="s">
        <v>6332</v>
      </c>
      <c r="C542" s="565">
        <v>510.17</v>
      </c>
      <c r="D542" s="564">
        <v>401.92999999999995</v>
      </c>
      <c r="E542" s="564">
        <v>108.24</v>
      </c>
      <c r="F542" s="568">
        <f t="shared" si="16"/>
        <v>5.3688373190147782E-5</v>
      </c>
      <c r="G542" s="568">
        <f t="shared" si="17"/>
        <v>0.99583100000469893</v>
      </c>
    </row>
    <row r="543" spans="1:7" s="566" customFormat="1" ht="15">
      <c r="A543" s="561" t="s">
        <v>6187</v>
      </c>
      <c r="B543" s="562" t="s">
        <v>7007</v>
      </c>
      <c r="C543" s="565">
        <v>509.28</v>
      </c>
      <c r="D543" s="563">
        <v>50.15</v>
      </c>
      <c r="E543" s="564">
        <v>13.51</v>
      </c>
      <c r="F543" s="568">
        <f t="shared" si="16"/>
        <v>5.3594712935449875E-5</v>
      </c>
      <c r="G543" s="568">
        <f t="shared" si="17"/>
        <v>0.99588459471763435</v>
      </c>
    </row>
    <row r="544" spans="1:7" s="566" customFormat="1" ht="15">
      <c r="A544" s="561" t="s">
        <v>6187</v>
      </c>
      <c r="B544" s="562" t="s">
        <v>7387</v>
      </c>
      <c r="C544" s="565">
        <f>342.89+161.36</f>
        <v>504.25</v>
      </c>
      <c r="D544" s="563">
        <v>15.89</v>
      </c>
      <c r="E544" s="564">
        <v>4.28</v>
      </c>
      <c r="F544" s="568">
        <f t="shared" si="16"/>
        <v>5.3065374642044846E-5</v>
      </c>
      <c r="G544" s="568">
        <f t="shared" si="17"/>
        <v>0.99593766009227636</v>
      </c>
    </row>
    <row r="545" spans="1:7" s="566" customFormat="1" ht="30">
      <c r="A545" s="561" t="s">
        <v>6187</v>
      </c>
      <c r="B545" s="562" t="s">
        <v>7146</v>
      </c>
      <c r="C545" s="565">
        <v>498.84</v>
      </c>
      <c r="D545" s="563">
        <v>32.75</v>
      </c>
      <c r="E545" s="564">
        <v>8.82</v>
      </c>
      <c r="F545" s="568">
        <f t="shared" si="16"/>
        <v>5.2496046576971047E-5</v>
      </c>
      <c r="G545" s="568">
        <f t="shared" si="17"/>
        <v>0.99599015613885333</v>
      </c>
    </row>
    <row r="546" spans="1:7" s="566" customFormat="1" ht="15">
      <c r="A546" s="561" t="s">
        <v>6187</v>
      </c>
      <c r="B546" s="562" t="s">
        <v>9241</v>
      </c>
      <c r="C546" s="565">
        <v>479.57</v>
      </c>
      <c r="D546" s="563">
        <v>29.06</v>
      </c>
      <c r="E546" s="564">
        <v>7.83</v>
      </c>
      <c r="F546" s="568">
        <f t="shared" si="16"/>
        <v>5.04681442083995E-5</v>
      </c>
      <c r="G546" s="568">
        <f t="shared" si="17"/>
        <v>0.99604062428306173</v>
      </c>
    </row>
    <row r="547" spans="1:7" s="566" customFormat="1" ht="15">
      <c r="A547" s="561" t="s">
        <v>6187</v>
      </c>
      <c r="B547" s="562" t="s">
        <v>8385</v>
      </c>
      <c r="C547" s="565">
        <v>475.85</v>
      </c>
      <c r="D547" s="563">
        <v>74.98</v>
      </c>
      <c r="E547" s="564">
        <v>20.190000000000001</v>
      </c>
      <c r="F547" s="568">
        <f t="shared" si="16"/>
        <v>5.0076665391010492E-5</v>
      </c>
      <c r="G547" s="568">
        <f t="shared" si="17"/>
        <v>0.99609070094845276</v>
      </c>
    </row>
    <row r="548" spans="1:7" s="566" customFormat="1" ht="30">
      <c r="A548" s="561" t="s">
        <v>6187</v>
      </c>
      <c r="B548" s="562" t="s">
        <v>7084</v>
      </c>
      <c r="C548" s="565">
        <v>467.22</v>
      </c>
      <c r="D548" s="563">
        <v>14.16</v>
      </c>
      <c r="E548" s="564">
        <v>3.81</v>
      </c>
      <c r="F548" s="568">
        <f t="shared" si="16"/>
        <v>4.9168476629164489E-5</v>
      </c>
      <c r="G548" s="568">
        <f t="shared" si="17"/>
        <v>0.99613986942508193</v>
      </c>
    </row>
    <row r="549" spans="1:7" s="566" customFormat="1" ht="45">
      <c r="A549" s="561" t="s">
        <v>6187</v>
      </c>
      <c r="B549" s="562" t="s">
        <v>9209</v>
      </c>
      <c r="C549" s="565">
        <v>466.86</v>
      </c>
      <c r="D549" s="563">
        <v>33.47</v>
      </c>
      <c r="E549" s="564">
        <v>9.01</v>
      </c>
      <c r="F549" s="568">
        <f t="shared" si="16"/>
        <v>4.9130591582320395E-5</v>
      </c>
      <c r="G549" s="568">
        <f t="shared" si="17"/>
        <v>0.99618900001666422</v>
      </c>
    </row>
    <row r="550" spans="1:7" s="566" customFormat="1" ht="45">
      <c r="A550" s="561" t="s">
        <v>6187</v>
      </c>
      <c r="B550" s="562" t="s">
        <v>7305</v>
      </c>
      <c r="C550" s="565">
        <v>463.42</v>
      </c>
      <c r="D550" s="563">
        <v>182.55</v>
      </c>
      <c r="E550" s="564">
        <v>49.16</v>
      </c>
      <c r="F550" s="568">
        <f t="shared" si="16"/>
        <v>4.8768578912476792E-5</v>
      </c>
      <c r="G550" s="568">
        <f t="shared" si="17"/>
        <v>0.99623776859557667</v>
      </c>
    </row>
    <row r="551" spans="1:7" s="566" customFormat="1" ht="15">
      <c r="A551" s="561" t="s">
        <v>6187</v>
      </c>
      <c r="B551" s="562" t="s">
        <v>7158</v>
      </c>
      <c r="C551" s="565">
        <v>457.76</v>
      </c>
      <c r="D551" s="563">
        <v>22.54</v>
      </c>
      <c r="E551" s="564">
        <v>6.07</v>
      </c>
      <c r="F551" s="568">
        <f t="shared" si="16"/>
        <v>4.8172941787094592E-5</v>
      </c>
      <c r="G551" s="568">
        <f t="shared" si="17"/>
        <v>0.99628594153736372</v>
      </c>
    </row>
    <row r="552" spans="1:7" s="566" customFormat="1" ht="30">
      <c r="A552" s="561" t="s">
        <v>6187</v>
      </c>
      <c r="B552" s="562" t="s">
        <v>8379</v>
      </c>
      <c r="C552" s="565">
        <v>446.07</v>
      </c>
      <c r="D552" s="563">
        <v>117.14</v>
      </c>
      <c r="E552" s="564">
        <v>31.55</v>
      </c>
      <c r="F552" s="568">
        <f t="shared" si="16"/>
        <v>4.6942730127073762E-5</v>
      </c>
      <c r="G552" s="568">
        <f t="shared" si="17"/>
        <v>0.99633288426749078</v>
      </c>
    </row>
    <row r="553" spans="1:7" s="566" customFormat="1" ht="15">
      <c r="A553" s="561" t="s">
        <v>6187</v>
      </c>
      <c r="B553" s="562" t="s">
        <v>7131</v>
      </c>
      <c r="C553" s="565">
        <v>443.13</v>
      </c>
      <c r="D553" s="563">
        <v>349.11</v>
      </c>
      <c r="E553" s="564">
        <v>94.02</v>
      </c>
      <c r="F553" s="568">
        <f t="shared" si="16"/>
        <v>4.663333557784697E-5</v>
      </c>
      <c r="G553" s="568">
        <f t="shared" si="17"/>
        <v>0.99637951760306864</v>
      </c>
    </row>
    <row r="554" spans="1:7" s="566" customFormat="1" ht="30">
      <c r="A554" s="561" t="s">
        <v>6187</v>
      </c>
      <c r="B554" s="562" t="s">
        <v>8725</v>
      </c>
      <c r="C554" s="565">
        <v>440.98</v>
      </c>
      <c r="D554" s="563">
        <v>173.71</v>
      </c>
      <c r="E554" s="564">
        <v>46.78</v>
      </c>
      <c r="F554" s="568">
        <f t="shared" si="16"/>
        <v>4.640707765919472E-5</v>
      </c>
      <c r="G554" s="568">
        <f t="shared" si="17"/>
        <v>0.99642592468072788</v>
      </c>
    </row>
    <row r="555" spans="1:7" s="566" customFormat="1" ht="30">
      <c r="A555" s="561" t="s">
        <v>6187</v>
      </c>
      <c r="B555" s="562" t="s">
        <v>8750</v>
      </c>
      <c r="C555" s="565">
        <v>440.4</v>
      </c>
      <c r="D555" s="563">
        <v>28.91</v>
      </c>
      <c r="E555" s="564">
        <v>7.79</v>
      </c>
      <c r="F555" s="568">
        <f t="shared" si="16"/>
        <v>4.6346040639279227E-5</v>
      </c>
      <c r="G555" s="568">
        <f t="shared" si="17"/>
        <v>0.99647227072136713</v>
      </c>
    </row>
    <row r="556" spans="1:7" s="566" customFormat="1" ht="15">
      <c r="A556" s="561" t="s">
        <v>6187</v>
      </c>
      <c r="B556" s="562" t="s">
        <v>7991</v>
      </c>
      <c r="C556" s="565">
        <v>440</v>
      </c>
      <c r="D556" s="563">
        <v>0.87</v>
      </c>
      <c r="E556" s="564">
        <v>0.23</v>
      </c>
      <c r="F556" s="568">
        <f t="shared" si="16"/>
        <v>4.6303946142785789E-5</v>
      </c>
      <c r="G556" s="568">
        <f t="shared" si="17"/>
        <v>0.99651857466750993</v>
      </c>
    </row>
    <row r="557" spans="1:7" s="566" customFormat="1" ht="90">
      <c r="A557" s="561" t="s">
        <v>6187</v>
      </c>
      <c r="B557" s="562" t="s">
        <v>7304</v>
      </c>
      <c r="C557" s="565">
        <v>433.04</v>
      </c>
      <c r="D557" s="563">
        <v>170.57999999999998</v>
      </c>
      <c r="E557" s="564">
        <v>45.94</v>
      </c>
      <c r="F557" s="568">
        <f t="shared" si="16"/>
        <v>4.5571501903799901E-5</v>
      </c>
      <c r="G557" s="568">
        <f t="shared" si="17"/>
        <v>0.99656414616941369</v>
      </c>
    </row>
    <row r="558" spans="1:7" s="566" customFormat="1" ht="15">
      <c r="A558" s="561" t="s">
        <v>6187</v>
      </c>
      <c r="B558" s="562" t="s">
        <v>9180</v>
      </c>
      <c r="C558" s="565">
        <v>430.2</v>
      </c>
      <c r="D558" s="563">
        <v>0.31</v>
      </c>
      <c r="E558" s="564">
        <v>0.08</v>
      </c>
      <c r="F558" s="568">
        <f t="shared" si="16"/>
        <v>4.5272630978696466E-5</v>
      </c>
      <c r="G558" s="568">
        <f t="shared" si="17"/>
        <v>0.99660941880039233</v>
      </c>
    </row>
    <row r="559" spans="1:7" s="566" customFormat="1" ht="15">
      <c r="A559" s="561" t="s">
        <v>6187</v>
      </c>
      <c r="B559" s="562" t="s">
        <v>6859</v>
      </c>
      <c r="C559" s="565">
        <v>430.19</v>
      </c>
      <c r="D559" s="563">
        <v>3.24</v>
      </c>
      <c r="E559" s="564">
        <v>0.87</v>
      </c>
      <c r="F559" s="568">
        <f t="shared" si="16"/>
        <v>4.5271578616284132E-5</v>
      </c>
      <c r="G559" s="568">
        <f t="shared" si="17"/>
        <v>0.99665469037900867</v>
      </c>
    </row>
    <row r="560" spans="1:7" s="566" customFormat="1" ht="15">
      <c r="A560" s="561" t="s">
        <v>6187</v>
      </c>
      <c r="B560" s="562" t="s">
        <v>8471</v>
      </c>
      <c r="C560" s="565">
        <v>429.44</v>
      </c>
      <c r="D560" s="563">
        <v>15.38</v>
      </c>
      <c r="E560" s="564">
        <v>4.1399999999999997</v>
      </c>
      <c r="F560" s="568">
        <f t="shared" si="16"/>
        <v>4.5192651435358927E-5</v>
      </c>
      <c r="G560" s="568">
        <f t="shared" si="17"/>
        <v>0.99669988303044399</v>
      </c>
    </row>
    <row r="561" spans="1:7" s="566" customFormat="1" ht="15">
      <c r="A561" s="561" t="s">
        <v>6187</v>
      </c>
      <c r="B561" s="562" t="s">
        <v>8057</v>
      </c>
      <c r="C561" s="565">
        <v>428.16</v>
      </c>
      <c r="D561" s="563">
        <v>84.33</v>
      </c>
      <c r="E561" s="564">
        <v>22.71</v>
      </c>
      <c r="F561" s="568">
        <f t="shared" si="16"/>
        <v>4.5057949046579916E-5</v>
      </c>
      <c r="G561" s="568">
        <f t="shared" si="17"/>
        <v>0.99674494097949062</v>
      </c>
    </row>
    <row r="562" spans="1:7" s="566" customFormat="1" ht="15">
      <c r="A562" s="561" t="s">
        <v>6187</v>
      </c>
      <c r="B562" s="562" t="s">
        <v>7203</v>
      </c>
      <c r="C562" s="565">
        <v>427.12</v>
      </c>
      <c r="D562" s="563">
        <v>4.43</v>
      </c>
      <c r="E562" s="564">
        <v>1.19</v>
      </c>
      <c r="F562" s="568">
        <f t="shared" si="16"/>
        <v>4.4948503355696965E-5</v>
      </c>
      <c r="G562" s="568">
        <f t="shared" si="17"/>
        <v>0.9967898894828463</v>
      </c>
    </row>
    <row r="563" spans="1:7" s="566" customFormat="1" ht="30">
      <c r="A563" s="561" t="s">
        <v>6187</v>
      </c>
      <c r="B563" s="562" t="s">
        <v>8387</v>
      </c>
      <c r="C563" s="565">
        <v>426.15</v>
      </c>
      <c r="D563" s="563">
        <v>67.150000000000006</v>
      </c>
      <c r="E563" s="564">
        <v>18.079999999999998</v>
      </c>
      <c r="F563" s="568">
        <f t="shared" si="16"/>
        <v>4.4846424201700368E-5</v>
      </c>
      <c r="G563" s="568">
        <f t="shared" si="17"/>
        <v>0.99683473590704796</v>
      </c>
    </row>
    <row r="564" spans="1:7" s="566" customFormat="1" ht="15">
      <c r="A564" s="561" t="s">
        <v>6187</v>
      </c>
      <c r="B564" s="562" t="s">
        <v>8383</v>
      </c>
      <c r="C564" s="565">
        <f>255.69+170.46</f>
        <v>426.15</v>
      </c>
      <c r="D564" s="563">
        <v>67.150000000000006</v>
      </c>
      <c r="E564" s="564">
        <v>18.079999999999998</v>
      </c>
      <c r="F564" s="568">
        <f t="shared" si="16"/>
        <v>4.4846424201700368E-5</v>
      </c>
      <c r="G564" s="568">
        <f t="shared" si="17"/>
        <v>0.99687958233124963</v>
      </c>
    </row>
    <row r="565" spans="1:7" s="566" customFormat="1" ht="15">
      <c r="A565" s="561" t="s">
        <v>6187</v>
      </c>
      <c r="B565" s="562" t="s">
        <v>8605</v>
      </c>
      <c r="C565" s="565">
        <v>414.4</v>
      </c>
      <c r="D565" s="563">
        <v>81.62</v>
      </c>
      <c r="E565" s="564">
        <v>21.98</v>
      </c>
      <c r="F565" s="568">
        <f t="shared" si="16"/>
        <v>4.3609898367205519E-5</v>
      </c>
      <c r="G565" s="568">
        <f t="shared" si="17"/>
        <v>0.99692319222961678</v>
      </c>
    </row>
    <row r="566" spans="1:7" s="566" customFormat="1" ht="45">
      <c r="A566" s="561" t="s">
        <v>6187</v>
      </c>
      <c r="B566" s="562" t="s">
        <v>6997</v>
      </c>
      <c r="C566" s="565">
        <v>392.65</v>
      </c>
      <c r="D566" s="563">
        <v>59.49</v>
      </c>
      <c r="E566" s="564">
        <v>16.02</v>
      </c>
      <c r="F566" s="568">
        <f t="shared" si="16"/>
        <v>4.1321010120374631E-5</v>
      </c>
      <c r="G566" s="568">
        <f t="shared" si="17"/>
        <v>0.99696451323973712</v>
      </c>
    </row>
    <row r="567" spans="1:7" s="566" customFormat="1" ht="15">
      <c r="A567" s="561" t="s">
        <v>6187</v>
      </c>
      <c r="B567" s="562" t="s">
        <v>7207</v>
      </c>
      <c r="C567" s="565">
        <v>392.04</v>
      </c>
      <c r="D567" s="563">
        <v>7.02</v>
      </c>
      <c r="E567" s="564">
        <v>1.89</v>
      </c>
      <c r="F567" s="568">
        <f t="shared" si="16"/>
        <v>4.1256816013222135E-5</v>
      </c>
      <c r="G567" s="568">
        <f t="shared" si="17"/>
        <v>0.99700577005575031</v>
      </c>
    </row>
    <row r="568" spans="1:7" s="566" customFormat="1" ht="30">
      <c r="A568" s="561" t="s">
        <v>6187</v>
      </c>
      <c r="B568" s="562" t="s">
        <v>8390</v>
      </c>
      <c r="C568" s="565">
        <v>391.98</v>
      </c>
      <c r="D568" s="563">
        <v>102.94</v>
      </c>
      <c r="E568" s="564">
        <v>27.72</v>
      </c>
      <c r="F568" s="568">
        <f t="shared" si="16"/>
        <v>4.1250501838748122E-5</v>
      </c>
      <c r="G568" s="568">
        <f t="shared" si="17"/>
        <v>0.99704702055758909</v>
      </c>
    </row>
    <row r="569" spans="1:7" s="566" customFormat="1" ht="15">
      <c r="A569" s="561" t="s">
        <v>6187</v>
      </c>
      <c r="B569" s="562" t="s">
        <v>8386</v>
      </c>
      <c r="C569" s="565">
        <v>391.98</v>
      </c>
      <c r="D569" s="563">
        <v>102.94</v>
      </c>
      <c r="E569" s="564">
        <v>27.72</v>
      </c>
      <c r="F569" s="568">
        <f t="shared" si="16"/>
        <v>4.1250501838748122E-5</v>
      </c>
      <c r="G569" s="568">
        <f t="shared" si="17"/>
        <v>0.99708827105942788</v>
      </c>
    </row>
    <row r="570" spans="1:7" s="566" customFormat="1" ht="15">
      <c r="A570" s="561" t="s">
        <v>6187</v>
      </c>
      <c r="B570" s="562" t="s">
        <v>7186</v>
      </c>
      <c r="C570" s="565">
        <v>391.69</v>
      </c>
      <c r="D570" s="563">
        <v>23.74</v>
      </c>
      <c r="E570" s="564">
        <v>6.39</v>
      </c>
      <c r="F570" s="568">
        <f t="shared" si="16"/>
        <v>4.1219983328790375E-5</v>
      </c>
      <c r="G570" s="568">
        <f t="shared" si="17"/>
        <v>0.99712949104275672</v>
      </c>
    </row>
    <row r="571" spans="1:7" s="566" customFormat="1" ht="30">
      <c r="A571" s="561" t="s">
        <v>6187</v>
      </c>
      <c r="B571" s="562" t="s">
        <v>9519</v>
      </c>
      <c r="C571" s="565">
        <v>390.93</v>
      </c>
      <c r="D571" s="563">
        <v>1018.99</v>
      </c>
      <c r="E571" s="564">
        <v>274.41000000000003</v>
      </c>
      <c r="F571" s="568">
        <f t="shared" si="16"/>
        <v>4.1140003785452836E-5</v>
      </c>
      <c r="G571" s="568">
        <f t="shared" si="17"/>
        <v>0.99717063104654213</v>
      </c>
    </row>
    <row r="572" spans="1:7" s="566" customFormat="1" ht="15">
      <c r="A572" s="561" t="s">
        <v>6187</v>
      </c>
      <c r="B572" s="562" t="s">
        <v>7183</v>
      </c>
      <c r="C572" s="565">
        <v>382.35</v>
      </c>
      <c r="D572" s="563">
        <v>20.079999999999998</v>
      </c>
      <c r="E572" s="564">
        <v>5.41</v>
      </c>
      <c r="F572" s="568">
        <f t="shared" si="16"/>
        <v>4.0237076835668512E-5</v>
      </c>
      <c r="G572" s="568">
        <f t="shared" si="17"/>
        <v>0.99721086812337778</v>
      </c>
    </row>
    <row r="573" spans="1:7" s="566" customFormat="1" ht="30">
      <c r="A573" s="561" t="s">
        <v>6187</v>
      </c>
      <c r="B573" s="562" t="s">
        <v>8389</v>
      </c>
      <c r="C573" s="565">
        <v>380.68</v>
      </c>
      <c r="D573" s="563">
        <v>74.98</v>
      </c>
      <c r="E573" s="564">
        <v>20.190000000000001</v>
      </c>
      <c r="F573" s="568">
        <f t="shared" si="16"/>
        <v>4.0061332312808396E-5</v>
      </c>
      <c r="G573" s="568">
        <f t="shared" si="17"/>
        <v>0.9972509294556906</v>
      </c>
    </row>
    <row r="574" spans="1:7" s="566" customFormat="1" ht="30">
      <c r="A574" s="561" t="s">
        <v>6187</v>
      </c>
      <c r="B574" s="562" t="s">
        <v>7092</v>
      </c>
      <c r="C574" s="565">
        <v>371.23</v>
      </c>
      <c r="D574" s="563">
        <v>292.47000000000003</v>
      </c>
      <c r="E574" s="564">
        <v>78.760000000000005</v>
      </c>
      <c r="F574" s="568">
        <f t="shared" si="16"/>
        <v>3.9066849833150834E-5</v>
      </c>
      <c r="G574" s="568">
        <f t="shared" si="17"/>
        <v>0.99728999630552373</v>
      </c>
    </row>
    <row r="575" spans="1:7" s="566" customFormat="1" ht="30">
      <c r="A575" s="561" t="s">
        <v>6187</v>
      </c>
      <c r="B575" s="562" t="s">
        <v>7028</v>
      </c>
      <c r="C575" s="565">
        <v>358.47</v>
      </c>
      <c r="D575" s="563">
        <v>4.4800000000000004</v>
      </c>
      <c r="E575" s="564">
        <v>1.21</v>
      </c>
      <c r="F575" s="568">
        <f t="shared" si="16"/>
        <v>3.772403539501005E-5</v>
      </c>
      <c r="G575" s="568">
        <f t="shared" si="17"/>
        <v>0.99732772034091877</v>
      </c>
    </row>
    <row r="576" spans="1:7" s="566" customFormat="1" ht="15">
      <c r="A576" s="561" t="s">
        <v>6187</v>
      </c>
      <c r="B576" s="562" t="s">
        <v>7023</v>
      </c>
      <c r="C576" s="565">
        <v>358.28</v>
      </c>
      <c r="D576" s="564">
        <v>11.22</v>
      </c>
      <c r="E576" s="564">
        <v>3.02</v>
      </c>
      <c r="F576" s="568">
        <f t="shared" si="16"/>
        <v>3.7704040509175662E-5</v>
      </c>
      <c r="G576" s="568">
        <f t="shared" si="17"/>
        <v>0.99736542438142795</v>
      </c>
    </row>
    <row r="577" spans="1:7" s="566" customFormat="1" ht="15">
      <c r="A577" s="561" t="s">
        <v>6187</v>
      </c>
      <c r="B577" s="567" t="s">
        <v>8483</v>
      </c>
      <c r="C577" s="565">
        <v>348.81</v>
      </c>
      <c r="D577" s="563">
        <v>39.26</v>
      </c>
      <c r="E577" s="564">
        <v>10.57</v>
      </c>
      <c r="F577" s="568">
        <f t="shared" si="16"/>
        <v>3.670745330469343E-5</v>
      </c>
      <c r="G577" s="568">
        <f t="shared" si="17"/>
        <v>0.99740213183473259</v>
      </c>
    </row>
    <row r="578" spans="1:7" s="566" customFormat="1" ht="30">
      <c r="A578" s="561" t="s">
        <v>6187</v>
      </c>
      <c r="B578" s="562" t="s">
        <v>8707</v>
      </c>
      <c r="C578" s="565">
        <v>346.2</v>
      </c>
      <c r="D578" s="563">
        <v>45.46</v>
      </c>
      <c r="E578" s="564">
        <v>12.24</v>
      </c>
      <c r="F578" s="568">
        <f t="shared" si="16"/>
        <v>3.6432786715073721E-5</v>
      </c>
      <c r="G578" s="568">
        <f t="shared" si="17"/>
        <v>0.99743856462144764</v>
      </c>
    </row>
    <row r="579" spans="1:7" s="566" customFormat="1" ht="15">
      <c r="A579" s="561" t="s">
        <v>6187</v>
      </c>
      <c r="B579" s="562" t="s">
        <v>8644</v>
      </c>
      <c r="C579" s="565">
        <v>344.16</v>
      </c>
      <c r="D579" s="564">
        <v>15.06</v>
      </c>
      <c r="E579" s="564">
        <v>4.0599999999999996</v>
      </c>
      <c r="F579" s="568">
        <f t="shared" si="16"/>
        <v>3.6218104782957177E-5</v>
      </c>
      <c r="G579" s="568">
        <f t="shared" si="17"/>
        <v>0.99747478272623058</v>
      </c>
    </row>
    <row r="580" spans="1:7" s="566" customFormat="1" ht="30">
      <c r="A580" s="561" t="s">
        <v>6187</v>
      </c>
      <c r="B580" s="562" t="s">
        <v>7030</v>
      </c>
      <c r="C580" s="565">
        <f>91.76+252.34</f>
        <v>344.1</v>
      </c>
      <c r="D580" s="564">
        <v>9.0399999999999991</v>
      </c>
      <c r="E580" s="564">
        <v>2.4300000000000002</v>
      </c>
      <c r="F580" s="568">
        <f t="shared" si="16"/>
        <v>3.6211790608483157E-5</v>
      </c>
      <c r="G580" s="568">
        <f t="shared" si="17"/>
        <v>0.99751099451683911</v>
      </c>
    </row>
    <row r="581" spans="1:7" s="566" customFormat="1" ht="15">
      <c r="A581" s="561" t="s">
        <v>6187</v>
      </c>
      <c r="B581" s="562" t="s">
        <v>9515</v>
      </c>
      <c r="C581" s="565">
        <v>343.62</v>
      </c>
      <c r="D581" s="563">
        <v>45.12</v>
      </c>
      <c r="E581" s="564">
        <v>12.15</v>
      </c>
      <c r="F581" s="568">
        <f t="shared" si="16"/>
        <v>3.6161277212691029E-5</v>
      </c>
      <c r="G581" s="568">
        <f t="shared" si="17"/>
        <v>0.99754715579405184</v>
      </c>
    </row>
    <row r="582" spans="1:7" s="566" customFormat="1" ht="15">
      <c r="A582" s="561" t="s">
        <v>6187</v>
      </c>
      <c r="B582" s="562" t="s">
        <v>7210</v>
      </c>
      <c r="C582" s="565">
        <v>343.56</v>
      </c>
      <c r="D582" s="563">
        <v>9.67</v>
      </c>
      <c r="E582" s="564">
        <v>2.6</v>
      </c>
      <c r="F582" s="568">
        <f t="shared" si="16"/>
        <v>3.6154963038217009E-5</v>
      </c>
      <c r="G582" s="568">
        <f t="shared" si="17"/>
        <v>0.99758331075709006</v>
      </c>
    </row>
    <row r="583" spans="1:7" s="566" customFormat="1" ht="15">
      <c r="A583" s="561" t="s">
        <v>6187</v>
      </c>
      <c r="B583" s="562" t="s">
        <v>7208</v>
      </c>
      <c r="C583" s="565">
        <v>336.04</v>
      </c>
      <c r="D583" s="563">
        <v>8.5399999999999991</v>
      </c>
      <c r="E583" s="564">
        <v>2.2999999999999998</v>
      </c>
      <c r="F583" s="568">
        <f t="shared" si="16"/>
        <v>3.5363586504140312E-5</v>
      </c>
      <c r="G583" s="568">
        <f t="shared" si="17"/>
        <v>0.99761867434359419</v>
      </c>
    </row>
    <row r="584" spans="1:7" s="566" customFormat="1" ht="30">
      <c r="A584" s="561" t="s">
        <v>6187</v>
      </c>
      <c r="B584" s="562" t="s">
        <v>8718</v>
      </c>
      <c r="C584" s="565">
        <v>333.65</v>
      </c>
      <c r="D584" s="563">
        <v>52.57</v>
      </c>
      <c r="E584" s="564">
        <v>14.16</v>
      </c>
      <c r="F584" s="568">
        <f t="shared" si="16"/>
        <v>3.5112071887591995E-5</v>
      </c>
      <c r="G584" s="568">
        <f t="shared" si="17"/>
        <v>0.99765378641548175</v>
      </c>
    </row>
    <row r="585" spans="1:7" s="566" customFormat="1" ht="15">
      <c r="A585" s="561" t="s">
        <v>6187</v>
      </c>
      <c r="B585" s="562" t="s">
        <v>7268</v>
      </c>
      <c r="C585" s="565">
        <v>317.8</v>
      </c>
      <c r="D585" s="563">
        <v>17.88</v>
      </c>
      <c r="E585" s="564">
        <v>4.82</v>
      </c>
      <c r="F585" s="568">
        <f t="shared" si="16"/>
        <v>3.3444077464039374E-5</v>
      </c>
      <c r="G585" s="568">
        <f t="shared" si="17"/>
        <v>0.99768723049294583</v>
      </c>
    </row>
    <row r="586" spans="1:7" s="566" customFormat="1" ht="30">
      <c r="A586" s="561" t="s">
        <v>6187</v>
      </c>
      <c r="B586" s="562" t="s">
        <v>7026</v>
      </c>
      <c r="C586" s="565">
        <f>209.28+104.64</f>
        <v>313.92</v>
      </c>
      <c r="D586" s="563">
        <v>41.22</v>
      </c>
      <c r="E586" s="564">
        <v>11.1</v>
      </c>
      <c r="F586" s="568">
        <f t="shared" si="16"/>
        <v>3.3035760848052989E-5</v>
      </c>
      <c r="G586" s="568">
        <f t="shared" si="17"/>
        <v>0.99772026625379384</v>
      </c>
    </row>
    <row r="587" spans="1:7" s="566" customFormat="1" ht="15">
      <c r="A587" s="561" t="s">
        <v>6187</v>
      </c>
      <c r="B587" s="562" t="s">
        <v>7267</v>
      </c>
      <c r="C587" s="565">
        <v>312</v>
      </c>
      <c r="D587" s="563">
        <v>12.29</v>
      </c>
      <c r="E587" s="564">
        <v>3.31</v>
      </c>
      <c r="F587" s="568">
        <f t="shared" si="16"/>
        <v>3.2833707264884465E-5</v>
      </c>
      <c r="G587" s="568">
        <f t="shared" si="17"/>
        <v>0.99775309996105876</v>
      </c>
    </row>
    <row r="588" spans="1:7" s="566" customFormat="1" ht="15">
      <c r="A588" s="561" t="s">
        <v>6187</v>
      </c>
      <c r="B588" s="562" t="s">
        <v>8723</v>
      </c>
      <c r="C588" s="565">
        <v>310.52</v>
      </c>
      <c r="D588" s="563">
        <v>122.32</v>
      </c>
      <c r="E588" s="564">
        <v>32.94</v>
      </c>
      <c r="F588" s="568">
        <f t="shared" si="16"/>
        <v>3.2677957627858731E-5</v>
      </c>
      <c r="G588" s="568">
        <f t="shared" si="17"/>
        <v>0.99778577791868661</v>
      </c>
    </row>
    <row r="589" spans="1:7" s="566" customFormat="1" ht="30">
      <c r="A589" s="561" t="s">
        <v>6187</v>
      </c>
      <c r="B589" s="562" t="s">
        <v>9518</v>
      </c>
      <c r="C589" s="565">
        <v>303.64</v>
      </c>
      <c r="D589" s="563">
        <v>345.19</v>
      </c>
      <c r="E589" s="564">
        <v>92.96</v>
      </c>
      <c r="F589" s="568">
        <f t="shared" si="16"/>
        <v>3.1953932288171532E-5</v>
      </c>
      <c r="G589" s="568">
        <f t="shared" si="17"/>
        <v>0.99781773185097478</v>
      </c>
    </row>
    <row r="590" spans="1:7" s="566" customFormat="1" ht="30">
      <c r="A590" s="561" t="s">
        <v>6187</v>
      </c>
      <c r="B590" s="562" t="s">
        <v>8394</v>
      </c>
      <c r="C590" s="565">
        <v>297.38</v>
      </c>
      <c r="D590" s="563">
        <v>117.14</v>
      </c>
      <c r="E590" s="564">
        <v>31.55</v>
      </c>
      <c r="F590" s="568">
        <f t="shared" si="16"/>
        <v>3.1295153418049177E-5</v>
      </c>
      <c r="G590" s="568">
        <f t="shared" si="17"/>
        <v>0.99784902700439282</v>
      </c>
    </row>
    <row r="591" spans="1:7" s="566" customFormat="1" ht="15">
      <c r="A591" s="561" t="s">
        <v>6187</v>
      </c>
      <c r="B591" s="562" t="s">
        <v>8380</v>
      </c>
      <c r="C591" s="565">
        <v>297.38</v>
      </c>
      <c r="D591" s="563">
        <v>117.14</v>
      </c>
      <c r="E591" s="564">
        <v>31.55</v>
      </c>
      <c r="F591" s="568">
        <f t="shared" si="16"/>
        <v>3.1295153418049177E-5</v>
      </c>
      <c r="G591" s="568">
        <f t="shared" si="17"/>
        <v>0.99788032215781086</v>
      </c>
    </row>
    <row r="592" spans="1:7" s="566" customFormat="1" ht="15">
      <c r="A592" s="561" t="s">
        <v>6187</v>
      </c>
      <c r="B592" s="562" t="s">
        <v>7052</v>
      </c>
      <c r="C592" s="565">
        <v>296.8</v>
      </c>
      <c r="D592" s="563">
        <v>8.35</v>
      </c>
      <c r="E592" s="564">
        <v>2.25</v>
      </c>
      <c r="F592" s="568">
        <f t="shared" ref="F592:F655" si="18">C592/SUM(C:C)</f>
        <v>3.1234116398133685E-5</v>
      </c>
      <c r="G592" s="568">
        <f t="shared" ref="G592:G655" si="19">F592+G591</f>
        <v>0.99791155627420902</v>
      </c>
    </row>
    <row r="593" spans="1:7" s="566" customFormat="1" ht="15">
      <c r="A593" s="561" t="s">
        <v>6187</v>
      </c>
      <c r="B593" s="562" t="s">
        <v>8830</v>
      </c>
      <c r="C593" s="565">
        <v>293.63</v>
      </c>
      <c r="D593" s="564">
        <v>231.32999999999998</v>
      </c>
      <c r="E593" s="564">
        <v>62.3</v>
      </c>
      <c r="F593" s="568">
        <f t="shared" si="18"/>
        <v>3.0900517513423159E-5</v>
      </c>
      <c r="G593" s="568">
        <f t="shared" si="19"/>
        <v>0.99794245679172244</v>
      </c>
    </row>
    <row r="594" spans="1:7" s="566" customFormat="1" ht="45">
      <c r="A594" s="561" t="s">
        <v>6187</v>
      </c>
      <c r="B594" s="562" t="s">
        <v>8768</v>
      </c>
      <c r="C594" s="565">
        <v>289.2</v>
      </c>
      <c r="D594" s="564">
        <v>361.65000000000003</v>
      </c>
      <c r="E594" s="564">
        <v>97.39</v>
      </c>
      <c r="F594" s="568">
        <f t="shared" si="18"/>
        <v>3.0434320964758291E-5</v>
      </c>
      <c r="G594" s="568">
        <f t="shared" si="19"/>
        <v>0.99797289111268717</v>
      </c>
    </row>
    <row r="595" spans="1:7" s="566" customFormat="1" ht="15">
      <c r="A595" s="561" t="s">
        <v>6187</v>
      </c>
      <c r="B595" s="562" t="s">
        <v>7080</v>
      </c>
      <c r="C595" s="565">
        <v>284.72000000000003</v>
      </c>
      <c r="D595" s="563">
        <v>56.08</v>
      </c>
      <c r="E595" s="564">
        <v>15.1</v>
      </c>
      <c r="F595" s="568">
        <f t="shared" si="18"/>
        <v>2.9962862604031751E-5</v>
      </c>
      <c r="G595" s="568">
        <f t="shared" si="19"/>
        <v>0.9980028539752912</v>
      </c>
    </row>
    <row r="596" spans="1:7" s="566" customFormat="1" ht="15">
      <c r="A596" s="561" t="s">
        <v>6187</v>
      </c>
      <c r="B596" s="562" t="s">
        <v>7999</v>
      </c>
      <c r="C596" s="565">
        <v>283.8</v>
      </c>
      <c r="D596" s="563">
        <v>22.36</v>
      </c>
      <c r="E596" s="564">
        <v>6.02</v>
      </c>
      <c r="F596" s="568">
        <f t="shared" si="18"/>
        <v>2.9866045262096834E-5</v>
      </c>
      <c r="G596" s="568">
        <f t="shared" si="19"/>
        <v>0.99803272002055332</v>
      </c>
    </row>
    <row r="597" spans="1:7" s="566" customFormat="1" ht="15">
      <c r="A597" s="561" t="s">
        <v>6187</v>
      </c>
      <c r="B597" s="562" t="s">
        <v>8230</v>
      </c>
      <c r="C597" s="565">
        <v>282.36</v>
      </c>
      <c r="D597" s="563">
        <v>17.11</v>
      </c>
      <c r="E597" s="564">
        <v>4.6100000000000003</v>
      </c>
      <c r="F597" s="568">
        <f t="shared" si="18"/>
        <v>2.9714505074720444E-5</v>
      </c>
      <c r="G597" s="568">
        <f t="shared" si="19"/>
        <v>0.99806243452562804</v>
      </c>
    </row>
    <row r="598" spans="1:7" s="566" customFormat="1" ht="30">
      <c r="A598" s="561" t="s">
        <v>6187</v>
      </c>
      <c r="B598" s="562" t="s">
        <v>6871</v>
      </c>
      <c r="C598" s="565">
        <v>281.66000000000003</v>
      </c>
      <c r="D598" s="563">
        <v>28.45</v>
      </c>
      <c r="E598" s="564">
        <v>7.66</v>
      </c>
      <c r="F598" s="568">
        <f t="shared" si="18"/>
        <v>2.9640839705856922E-5</v>
      </c>
      <c r="G598" s="568">
        <f t="shared" si="19"/>
        <v>0.99809207536533384</v>
      </c>
    </row>
    <row r="599" spans="1:7" s="566" customFormat="1" ht="15">
      <c r="A599" s="561" t="s">
        <v>6187</v>
      </c>
      <c r="B599" s="562" t="s">
        <v>8458</v>
      </c>
      <c r="C599" s="565">
        <v>278.45999999999998</v>
      </c>
      <c r="D599" s="563">
        <v>12.19</v>
      </c>
      <c r="E599" s="564">
        <v>3.28</v>
      </c>
      <c r="F599" s="568">
        <f t="shared" si="18"/>
        <v>2.9304083733909383E-5</v>
      </c>
      <c r="G599" s="568">
        <f t="shared" si="19"/>
        <v>0.99812137944906776</v>
      </c>
    </row>
    <row r="600" spans="1:7" s="566" customFormat="1" ht="15">
      <c r="A600" s="561" t="s">
        <v>6187</v>
      </c>
      <c r="B600" s="562" t="s">
        <v>8600</v>
      </c>
      <c r="C600" s="565">
        <v>274.95</v>
      </c>
      <c r="D600" s="563">
        <v>16.66</v>
      </c>
      <c r="E600" s="564">
        <v>4.49</v>
      </c>
      <c r="F600" s="568">
        <f t="shared" si="18"/>
        <v>2.8934704527179436E-5</v>
      </c>
      <c r="G600" s="568">
        <f t="shared" si="19"/>
        <v>0.9981503141535949</v>
      </c>
    </row>
    <row r="601" spans="1:7" s="566" customFormat="1" ht="30">
      <c r="A601" s="561" t="s">
        <v>6187</v>
      </c>
      <c r="B601" s="562" t="s">
        <v>8726</v>
      </c>
      <c r="C601" s="565">
        <v>272.95</v>
      </c>
      <c r="D601" s="563">
        <v>43.01</v>
      </c>
      <c r="E601" s="564">
        <v>11.58</v>
      </c>
      <c r="F601" s="568">
        <f t="shared" si="18"/>
        <v>2.8724232044712226E-5</v>
      </c>
      <c r="G601" s="568">
        <f t="shared" si="19"/>
        <v>0.99817903838563959</v>
      </c>
    </row>
    <row r="602" spans="1:7" s="566" customFormat="1" ht="15">
      <c r="A602" s="561" t="s">
        <v>6187</v>
      </c>
      <c r="B602" s="562" t="s">
        <v>9071</v>
      </c>
      <c r="C602" s="565">
        <v>272.3</v>
      </c>
      <c r="D602" s="563">
        <v>107.25999999999999</v>
      </c>
      <c r="E602" s="564">
        <v>28.89</v>
      </c>
      <c r="F602" s="568">
        <f t="shared" si="18"/>
        <v>2.8655828487910386E-5</v>
      </c>
      <c r="G602" s="568">
        <f t="shared" si="19"/>
        <v>0.99820769421412747</v>
      </c>
    </row>
    <row r="603" spans="1:7" s="566" customFormat="1" ht="15">
      <c r="A603" s="561" t="s">
        <v>6187</v>
      </c>
      <c r="B603" s="562" t="s">
        <v>7021</v>
      </c>
      <c r="C603" s="565">
        <v>272.06</v>
      </c>
      <c r="D603" s="564">
        <v>21.2</v>
      </c>
      <c r="E603" s="564">
        <v>5.71</v>
      </c>
      <c r="F603" s="568">
        <f t="shared" si="18"/>
        <v>2.8630571790014322E-5</v>
      </c>
      <c r="G603" s="568">
        <f t="shared" si="19"/>
        <v>0.99823632478591751</v>
      </c>
    </row>
    <row r="604" spans="1:7" s="566" customFormat="1" ht="15">
      <c r="A604" s="561" t="s">
        <v>6187</v>
      </c>
      <c r="B604" s="562" t="s">
        <v>7077</v>
      </c>
      <c r="C604" s="565">
        <v>266.22000000000003</v>
      </c>
      <c r="D604" s="563">
        <v>12.34</v>
      </c>
      <c r="E604" s="564">
        <v>3.32</v>
      </c>
      <c r="F604" s="568">
        <f t="shared" si="18"/>
        <v>2.8015992141210074E-5</v>
      </c>
      <c r="G604" s="568">
        <f t="shared" si="19"/>
        <v>0.9982643407780587</v>
      </c>
    </row>
    <row r="605" spans="1:7" s="566" customFormat="1" ht="30">
      <c r="A605" s="561" t="s">
        <v>6187</v>
      </c>
      <c r="B605" s="562" t="s">
        <v>9185</v>
      </c>
      <c r="C605" s="565">
        <v>265.11</v>
      </c>
      <c r="D605" s="563">
        <v>13.67</v>
      </c>
      <c r="E605" s="564">
        <v>3.68</v>
      </c>
      <c r="F605" s="568">
        <f t="shared" si="18"/>
        <v>2.7899179913440772E-5</v>
      </c>
      <c r="G605" s="568">
        <f t="shared" si="19"/>
        <v>0.99829223995797212</v>
      </c>
    </row>
    <row r="606" spans="1:7" s="566" customFormat="1" ht="15">
      <c r="A606" s="561" t="s">
        <v>6187</v>
      </c>
      <c r="B606" s="562" t="s">
        <v>7260</v>
      </c>
      <c r="C606" s="565">
        <v>264.60000000000002</v>
      </c>
      <c r="D606" s="563">
        <v>6.95</v>
      </c>
      <c r="E606" s="564">
        <v>1.87</v>
      </c>
      <c r="F606" s="568">
        <f t="shared" si="18"/>
        <v>2.7845509430411638E-5</v>
      </c>
      <c r="G606" s="568">
        <f t="shared" si="19"/>
        <v>0.99832008546740247</v>
      </c>
    </row>
    <row r="607" spans="1:7" s="566" customFormat="1" ht="30">
      <c r="A607" s="561" t="s">
        <v>6187</v>
      </c>
      <c r="B607" s="562" t="s">
        <v>7209</v>
      </c>
      <c r="C607" s="565">
        <v>262.92</v>
      </c>
      <c r="D607" s="563">
        <v>17.260000000000002</v>
      </c>
      <c r="E607" s="564">
        <v>4.6500000000000004</v>
      </c>
      <c r="F607" s="568">
        <f t="shared" si="18"/>
        <v>2.7668712545139181E-5</v>
      </c>
      <c r="G607" s="568">
        <f t="shared" si="19"/>
        <v>0.99834775417994759</v>
      </c>
    </row>
    <row r="608" spans="1:7" s="566" customFormat="1" ht="15">
      <c r="A608" s="561" t="s">
        <v>6187</v>
      </c>
      <c r="B608" s="562" t="s">
        <v>7190</v>
      </c>
      <c r="C608" s="565">
        <v>258.56</v>
      </c>
      <c r="D608" s="563">
        <v>12.73</v>
      </c>
      <c r="E608" s="564">
        <v>3.43</v>
      </c>
      <c r="F608" s="568">
        <f t="shared" si="18"/>
        <v>2.7209882533360664E-5</v>
      </c>
      <c r="G608" s="568">
        <f t="shared" si="19"/>
        <v>0.99837496406248094</v>
      </c>
    </row>
    <row r="609" spans="1:7" s="566" customFormat="1" ht="15">
      <c r="A609" s="561" t="s">
        <v>6187</v>
      </c>
      <c r="B609" s="562" t="s">
        <v>7197</v>
      </c>
      <c r="C609" s="565">
        <v>251.8</v>
      </c>
      <c r="D609" s="563">
        <v>19.84</v>
      </c>
      <c r="E609" s="564">
        <v>5.34</v>
      </c>
      <c r="F609" s="568">
        <f t="shared" si="18"/>
        <v>2.6498485542621503E-5</v>
      </c>
      <c r="G609" s="568">
        <f t="shared" si="19"/>
        <v>0.99840146254802353</v>
      </c>
    </row>
    <row r="610" spans="1:7" s="566" customFormat="1" ht="30">
      <c r="A610" s="561" t="s">
        <v>6187</v>
      </c>
      <c r="B610" s="562" t="s">
        <v>7149</v>
      </c>
      <c r="C610" s="565">
        <v>251.44</v>
      </c>
      <c r="D610" s="563">
        <v>14.15</v>
      </c>
      <c r="E610" s="564">
        <v>3.81</v>
      </c>
      <c r="F610" s="568">
        <f t="shared" si="18"/>
        <v>2.6460600495777405E-5</v>
      </c>
      <c r="G610" s="568">
        <f t="shared" si="19"/>
        <v>0.99842792314851936</v>
      </c>
    </row>
    <row r="611" spans="1:7" s="566" customFormat="1" ht="15">
      <c r="A611" s="561" t="s">
        <v>6187</v>
      </c>
      <c r="B611" s="562" t="s">
        <v>7159</v>
      </c>
      <c r="C611" s="565">
        <v>249.18</v>
      </c>
      <c r="D611" s="563">
        <v>56.8</v>
      </c>
      <c r="E611" s="564">
        <v>15.3</v>
      </c>
      <c r="F611" s="568">
        <f t="shared" si="18"/>
        <v>2.622276659058946E-5</v>
      </c>
      <c r="G611" s="568">
        <f t="shared" si="19"/>
        <v>0.99845414591510995</v>
      </c>
    </row>
    <row r="612" spans="1:7" s="566" customFormat="1" ht="15">
      <c r="A612" s="561" t="s">
        <v>6187</v>
      </c>
      <c r="B612" s="562" t="s">
        <v>8545</v>
      </c>
      <c r="C612" s="565">
        <v>249</v>
      </c>
      <c r="D612" s="563">
        <v>3.92</v>
      </c>
      <c r="E612" s="564">
        <v>1.06</v>
      </c>
      <c r="F612" s="568">
        <f t="shared" si="18"/>
        <v>2.6203824067167409E-5</v>
      </c>
      <c r="G612" s="568">
        <f t="shared" si="19"/>
        <v>0.9984803497391771</v>
      </c>
    </row>
    <row r="613" spans="1:7" s="566" customFormat="1" ht="15">
      <c r="A613" s="561" t="s">
        <v>6187</v>
      </c>
      <c r="B613" s="562" t="s">
        <v>7081</v>
      </c>
      <c r="C613" s="565">
        <v>244.86</v>
      </c>
      <c r="D613" s="563">
        <v>9.19</v>
      </c>
      <c r="E613" s="564">
        <v>2.4700000000000002</v>
      </c>
      <c r="F613" s="568">
        <f t="shared" si="18"/>
        <v>2.5768146028460291E-5</v>
      </c>
      <c r="G613" s="568">
        <f t="shared" si="19"/>
        <v>0.9985061178852056</v>
      </c>
    </row>
    <row r="614" spans="1:7" s="566" customFormat="1" ht="30">
      <c r="A614" s="561" t="s">
        <v>6187</v>
      </c>
      <c r="B614" s="562" t="s">
        <v>8856</v>
      </c>
      <c r="C614" s="565">
        <v>242.83</v>
      </c>
      <c r="D614" s="563">
        <v>191.31</v>
      </c>
      <c r="E614" s="564">
        <v>51.52</v>
      </c>
      <c r="F614" s="568">
        <f t="shared" si="18"/>
        <v>2.5554516458756074E-5</v>
      </c>
      <c r="G614" s="568">
        <f t="shared" si="19"/>
        <v>0.99853167240166441</v>
      </c>
    </row>
    <row r="615" spans="1:7" s="566" customFormat="1" ht="30">
      <c r="A615" s="561" t="s">
        <v>6187</v>
      </c>
      <c r="B615" s="562" t="s">
        <v>8836</v>
      </c>
      <c r="C615" s="565">
        <v>241.63</v>
      </c>
      <c r="D615" s="564">
        <v>59.49</v>
      </c>
      <c r="E615" s="564">
        <v>16.02</v>
      </c>
      <c r="F615" s="568">
        <f t="shared" si="18"/>
        <v>2.5428232969275749E-5</v>
      </c>
      <c r="G615" s="568">
        <f t="shared" si="19"/>
        <v>0.99855710063463365</v>
      </c>
    </row>
    <row r="616" spans="1:7" s="566" customFormat="1" ht="30">
      <c r="A616" s="561" t="s">
        <v>6187</v>
      </c>
      <c r="B616" s="562" t="s">
        <v>8704</v>
      </c>
      <c r="C616" s="565">
        <v>238.76</v>
      </c>
      <c r="D616" s="563">
        <v>94.05</v>
      </c>
      <c r="E616" s="564">
        <v>25.33</v>
      </c>
      <c r="F616" s="568">
        <f t="shared" si="18"/>
        <v>2.5126204956935304E-5</v>
      </c>
      <c r="G616" s="568">
        <f t="shared" si="19"/>
        <v>0.99858222683959064</v>
      </c>
    </row>
    <row r="617" spans="1:7" s="566" customFormat="1" ht="15">
      <c r="A617" s="561" t="s">
        <v>6187</v>
      </c>
      <c r="B617" s="567" t="s">
        <v>8478</v>
      </c>
      <c r="C617" s="565">
        <v>233.52</v>
      </c>
      <c r="D617" s="563">
        <v>30.659999999999997</v>
      </c>
      <c r="E617" s="564">
        <v>8.26</v>
      </c>
      <c r="F617" s="568">
        <f t="shared" si="18"/>
        <v>2.4574767052871221E-5</v>
      </c>
      <c r="G617" s="568">
        <f t="shared" si="19"/>
        <v>0.9986068016066435</v>
      </c>
    </row>
    <row r="618" spans="1:7" s="566" customFormat="1" ht="30">
      <c r="A618" s="561" t="s">
        <v>6187</v>
      </c>
      <c r="B618" s="562" t="s">
        <v>9516</v>
      </c>
      <c r="C618" s="565">
        <v>230.22</v>
      </c>
      <c r="D618" s="563">
        <v>120.92</v>
      </c>
      <c r="E618" s="564">
        <v>32.56</v>
      </c>
      <c r="F618" s="568">
        <f t="shared" si="18"/>
        <v>2.4227487456800327E-5</v>
      </c>
      <c r="G618" s="568">
        <f t="shared" si="19"/>
        <v>0.99863102909410029</v>
      </c>
    </row>
    <row r="619" spans="1:7" s="566" customFormat="1" ht="30">
      <c r="A619" s="561" t="s">
        <v>6187</v>
      </c>
      <c r="B619" s="562" t="s">
        <v>7148</v>
      </c>
      <c r="C619" s="565">
        <v>229.88</v>
      </c>
      <c r="D619" s="563">
        <v>45.28</v>
      </c>
      <c r="E619" s="564">
        <v>12.19</v>
      </c>
      <c r="F619" s="568">
        <f t="shared" si="18"/>
        <v>2.4191707134780902E-5</v>
      </c>
      <c r="G619" s="568">
        <f t="shared" si="19"/>
        <v>0.99865522080123503</v>
      </c>
    </row>
    <row r="620" spans="1:7" s="566" customFormat="1" ht="15">
      <c r="A620" s="561" t="s">
        <v>6187</v>
      </c>
      <c r="B620" s="562" t="s">
        <v>15432</v>
      </c>
      <c r="C620" s="565">
        <v>228.47</v>
      </c>
      <c r="D620" s="563">
        <v>180</v>
      </c>
      <c r="E620" s="564">
        <v>48.47</v>
      </c>
      <c r="F620" s="568">
        <f t="shared" si="18"/>
        <v>2.4043324034641519E-5</v>
      </c>
      <c r="G620" s="568">
        <f t="shared" si="19"/>
        <v>0.99867926412526964</v>
      </c>
    </row>
    <row r="621" spans="1:7" s="566" customFormat="1" ht="30">
      <c r="A621" s="561" t="s">
        <v>6187</v>
      </c>
      <c r="B621" s="562" t="s">
        <v>7196</v>
      </c>
      <c r="C621" s="565">
        <v>227.34</v>
      </c>
      <c r="D621" s="563">
        <v>19.899999999999999</v>
      </c>
      <c r="E621" s="564">
        <v>5.36</v>
      </c>
      <c r="F621" s="568">
        <f t="shared" si="18"/>
        <v>2.3924407082047548E-5</v>
      </c>
      <c r="G621" s="568">
        <f t="shared" si="19"/>
        <v>0.99870318853235174</v>
      </c>
    </row>
    <row r="622" spans="1:7" s="566" customFormat="1" ht="15">
      <c r="A622" s="561" t="s">
        <v>6187</v>
      </c>
      <c r="B622" s="562" t="s">
        <v>7262</v>
      </c>
      <c r="C622" s="565">
        <v>227</v>
      </c>
      <c r="D622" s="563">
        <v>8.94</v>
      </c>
      <c r="E622" s="564">
        <v>2.41</v>
      </c>
      <c r="F622" s="568">
        <f t="shared" si="18"/>
        <v>2.3888626760028123E-5</v>
      </c>
      <c r="G622" s="568">
        <f t="shared" si="19"/>
        <v>0.9987270771591118</v>
      </c>
    </row>
    <row r="623" spans="1:7" s="566" customFormat="1" ht="30">
      <c r="A623" s="561" t="s">
        <v>6187</v>
      </c>
      <c r="B623" s="562" t="s">
        <v>7273</v>
      </c>
      <c r="C623" s="565">
        <v>226.65</v>
      </c>
      <c r="D623" s="563">
        <v>178.56</v>
      </c>
      <c r="E623" s="564">
        <v>48.09</v>
      </c>
      <c r="F623" s="568">
        <f t="shared" si="18"/>
        <v>2.385179407559636E-5</v>
      </c>
      <c r="G623" s="568">
        <f t="shared" si="19"/>
        <v>0.9987509289531874</v>
      </c>
    </row>
    <row r="624" spans="1:7" s="566" customFormat="1" ht="15">
      <c r="A624" s="561" t="s">
        <v>6187</v>
      </c>
      <c r="B624" s="562" t="s">
        <v>7034</v>
      </c>
      <c r="C624" s="565">
        <v>225.6</v>
      </c>
      <c r="D624" s="563">
        <v>8.89</v>
      </c>
      <c r="E624" s="564">
        <v>2.39</v>
      </c>
      <c r="F624" s="568">
        <f t="shared" si="18"/>
        <v>2.3741296022301075E-5</v>
      </c>
      <c r="G624" s="568">
        <f t="shared" si="19"/>
        <v>0.99877467024920974</v>
      </c>
    </row>
    <row r="625" spans="1:7" s="566" customFormat="1" ht="15">
      <c r="A625" s="561" t="s">
        <v>6187</v>
      </c>
      <c r="B625" s="562" t="s">
        <v>7990</v>
      </c>
      <c r="C625" s="565">
        <v>224</v>
      </c>
      <c r="D625" s="563">
        <v>0.22</v>
      </c>
      <c r="E625" s="564">
        <v>0.06</v>
      </c>
      <c r="F625" s="568">
        <f t="shared" si="18"/>
        <v>2.357291803632731E-5</v>
      </c>
      <c r="G625" s="568">
        <f t="shared" si="19"/>
        <v>0.99879824316724608</v>
      </c>
    </row>
    <row r="626" spans="1:7" s="566" customFormat="1" ht="15">
      <c r="A626" s="561" t="s">
        <v>6187</v>
      </c>
      <c r="B626" s="562" t="s">
        <v>7106</v>
      </c>
      <c r="C626" s="565">
        <v>214.84</v>
      </c>
      <c r="D626" s="563">
        <v>84.63</v>
      </c>
      <c r="E626" s="564">
        <v>22.79</v>
      </c>
      <c r="F626" s="568">
        <f t="shared" si="18"/>
        <v>2.2608954066627497E-5</v>
      </c>
      <c r="G626" s="568">
        <f t="shared" si="19"/>
        <v>0.99882085212131266</v>
      </c>
    </row>
    <row r="627" spans="1:7" s="566" customFormat="1" ht="15">
      <c r="A627" s="561" t="s">
        <v>6187</v>
      </c>
      <c r="B627" s="562" t="s">
        <v>8236</v>
      </c>
      <c r="C627" s="565">
        <v>212.5</v>
      </c>
      <c r="D627" s="563">
        <v>6.7</v>
      </c>
      <c r="E627" s="564">
        <v>1.8</v>
      </c>
      <c r="F627" s="568">
        <f t="shared" si="18"/>
        <v>2.2362701262140862E-5</v>
      </c>
      <c r="G627" s="568">
        <f t="shared" si="19"/>
        <v>0.99884321482257477</v>
      </c>
    </row>
    <row r="628" spans="1:7" s="566" customFormat="1" ht="30">
      <c r="A628" s="561" t="s">
        <v>6187</v>
      </c>
      <c r="B628" s="562" t="s">
        <v>7150</v>
      </c>
      <c r="C628" s="565">
        <v>211.42</v>
      </c>
      <c r="D628" s="563">
        <v>15.14</v>
      </c>
      <c r="E628" s="564">
        <v>4.08</v>
      </c>
      <c r="F628" s="568">
        <f t="shared" si="18"/>
        <v>2.224904612160857E-5</v>
      </c>
      <c r="G628" s="568">
        <f t="shared" si="19"/>
        <v>0.99886546386869635</v>
      </c>
    </row>
    <row r="629" spans="1:7" s="566" customFormat="1" ht="30">
      <c r="A629" s="561" t="s">
        <v>6187</v>
      </c>
      <c r="B629" s="562" t="s">
        <v>8782</v>
      </c>
      <c r="C629" s="565">
        <v>207.68</v>
      </c>
      <c r="D629" s="564">
        <v>10.23</v>
      </c>
      <c r="E629" s="564">
        <v>2.75</v>
      </c>
      <c r="F629" s="568">
        <f t="shared" si="18"/>
        <v>2.185546257939489E-5</v>
      </c>
      <c r="G629" s="568">
        <f t="shared" si="19"/>
        <v>0.99888731933127572</v>
      </c>
    </row>
    <row r="630" spans="1:7" s="566" customFormat="1" ht="30">
      <c r="A630" s="561" t="s">
        <v>6187</v>
      </c>
      <c r="B630" s="562" t="s">
        <v>9520</v>
      </c>
      <c r="C630" s="565">
        <v>206.44</v>
      </c>
      <c r="D630" s="563">
        <v>1642.82</v>
      </c>
      <c r="E630" s="564">
        <v>442.41</v>
      </c>
      <c r="F630" s="568">
        <f t="shared" si="18"/>
        <v>2.1724969640265223E-5</v>
      </c>
      <c r="G630" s="568">
        <f t="shared" si="19"/>
        <v>0.99890904430091598</v>
      </c>
    </row>
    <row r="631" spans="1:7" s="566" customFormat="1" ht="15">
      <c r="A631" s="561" t="s">
        <v>6187</v>
      </c>
      <c r="B631" s="562" t="s">
        <v>7198</v>
      </c>
      <c r="C631" s="565">
        <v>204.96</v>
      </c>
      <c r="D631" s="563">
        <v>26.91</v>
      </c>
      <c r="E631" s="564">
        <v>7.25</v>
      </c>
      <c r="F631" s="568">
        <f t="shared" si="18"/>
        <v>2.1569220003239489E-5</v>
      </c>
      <c r="G631" s="568">
        <f t="shared" si="19"/>
        <v>0.99893061352091927</v>
      </c>
    </row>
    <row r="632" spans="1:7" s="566" customFormat="1" ht="15">
      <c r="A632" s="561" t="s">
        <v>6187</v>
      </c>
      <c r="B632" s="562" t="s">
        <v>7046</v>
      </c>
      <c r="C632" s="565">
        <v>203.28</v>
      </c>
      <c r="D632" s="563">
        <v>3.6399999999999997</v>
      </c>
      <c r="E632" s="564">
        <v>0.98</v>
      </c>
      <c r="F632" s="568">
        <f t="shared" si="18"/>
        <v>2.1392423117967032E-5</v>
      </c>
      <c r="G632" s="568">
        <f t="shared" si="19"/>
        <v>0.99895200594403721</v>
      </c>
    </row>
    <row r="633" spans="1:7" s="566" customFormat="1" ht="30">
      <c r="A633" s="561" t="s">
        <v>6187</v>
      </c>
      <c r="B633" s="562" t="s">
        <v>7062</v>
      </c>
      <c r="C633" s="565">
        <v>200.64</v>
      </c>
      <c r="D633" s="563">
        <v>9.879999999999999</v>
      </c>
      <c r="E633" s="564">
        <v>2.66</v>
      </c>
      <c r="F633" s="568">
        <f t="shared" si="18"/>
        <v>2.1114599441110317E-5</v>
      </c>
      <c r="G633" s="568">
        <f t="shared" si="19"/>
        <v>0.99897312054347831</v>
      </c>
    </row>
    <row r="634" spans="1:7" s="566" customFormat="1" ht="15">
      <c r="A634" s="561" t="s">
        <v>6187</v>
      </c>
      <c r="B634" s="562" t="s">
        <v>8565</v>
      </c>
      <c r="C634" s="565">
        <v>197.52</v>
      </c>
      <c r="D634" s="563">
        <v>19.45</v>
      </c>
      <c r="E634" s="564">
        <v>5.24</v>
      </c>
      <c r="F634" s="568">
        <f t="shared" si="18"/>
        <v>2.0786262368461474E-5</v>
      </c>
      <c r="G634" s="568">
        <f t="shared" si="19"/>
        <v>0.99899390680584677</v>
      </c>
    </row>
    <row r="635" spans="1:7" s="566" customFormat="1" ht="15">
      <c r="A635" s="561" t="s">
        <v>6187</v>
      </c>
      <c r="B635" s="562" t="s">
        <v>7076</v>
      </c>
      <c r="C635" s="565">
        <v>192.36</v>
      </c>
      <c r="D635" s="563">
        <v>12.63</v>
      </c>
      <c r="E635" s="564">
        <v>3.4</v>
      </c>
      <c r="F635" s="568">
        <f t="shared" si="18"/>
        <v>2.0243243363696077E-5</v>
      </c>
      <c r="G635" s="568">
        <f t="shared" si="19"/>
        <v>0.99901415004921046</v>
      </c>
    </row>
    <row r="636" spans="1:7" s="566" customFormat="1" ht="30">
      <c r="A636" s="561" t="s">
        <v>6187</v>
      </c>
      <c r="B636" s="562" t="s">
        <v>7060</v>
      </c>
      <c r="C636" s="565">
        <v>191.7</v>
      </c>
      <c r="D636" s="563">
        <v>15.100000000000001</v>
      </c>
      <c r="E636" s="564">
        <v>4.07</v>
      </c>
      <c r="F636" s="568">
        <f t="shared" si="18"/>
        <v>2.0173787444481899E-5</v>
      </c>
      <c r="G636" s="568">
        <f t="shared" si="19"/>
        <v>0.99903432383665491</v>
      </c>
    </row>
    <row r="637" spans="1:7" s="566" customFormat="1" ht="15">
      <c r="A637" s="561" t="s">
        <v>6187</v>
      </c>
      <c r="B637" s="562" t="s">
        <v>7241</v>
      </c>
      <c r="C637" s="565">
        <v>188.55</v>
      </c>
      <c r="D637" s="563">
        <v>9.8999999999999986</v>
      </c>
      <c r="E637" s="564">
        <v>2.67</v>
      </c>
      <c r="F637" s="568">
        <f t="shared" si="18"/>
        <v>1.9842293284596046E-5</v>
      </c>
      <c r="G637" s="568">
        <f t="shared" si="19"/>
        <v>0.99905416612993947</v>
      </c>
    </row>
    <row r="638" spans="1:7" s="566" customFormat="1" ht="15">
      <c r="A638" s="561" t="s">
        <v>6187</v>
      </c>
      <c r="B638" s="562" t="s">
        <v>7347</v>
      </c>
      <c r="C638" s="565">
        <v>187.81</v>
      </c>
      <c r="D638" s="563">
        <v>147.96</v>
      </c>
      <c r="E638" s="564">
        <v>39.85</v>
      </c>
      <c r="F638" s="568">
        <f t="shared" si="18"/>
        <v>1.9764418466083179E-5</v>
      </c>
      <c r="G638" s="568">
        <f t="shared" si="19"/>
        <v>0.99907393054840554</v>
      </c>
    </row>
    <row r="639" spans="1:7" s="566" customFormat="1" ht="15">
      <c r="A639" s="561" t="s">
        <v>6187</v>
      </c>
      <c r="B639" s="562" t="s">
        <v>7184</v>
      </c>
      <c r="C639" s="565">
        <v>187.32</v>
      </c>
      <c r="D639" s="563">
        <v>24.6</v>
      </c>
      <c r="E639" s="564">
        <v>6.62</v>
      </c>
      <c r="F639" s="568">
        <f t="shared" si="18"/>
        <v>1.9712852707878713E-5</v>
      </c>
      <c r="G639" s="568">
        <f t="shared" si="19"/>
        <v>0.9990936434011134</v>
      </c>
    </row>
    <row r="640" spans="1:7" s="566" customFormat="1" ht="15">
      <c r="A640" s="561" t="s">
        <v>6187</v>
      </c>
      <c r="B640" s="562" t="s">
        <v>7129</v>
      </c>
      <c r="C640" s="565">
        <v>183.46</v>
      </c>
      <c r="D640" s="563">
        <v>72.27</v>
      </c>
      <c r="E640" s="564">
        <v>19.46</v>
      </c>
      <c r="F640" s="568">
        <f t="shared" si="18"/>
        <v>1.9306640816717003E-5</v>
      </c>
      <c r="G640" s="568">
        <f t="shared" si="19"/>
        <v>0.99911295004193013</v>
      </c>
    </row>
    <row r="641" spans="1:7" s="566" customFormat="1" ht="15">
      <c r="A641" s="561" t="s">
        <v>6187</v>
      </c>
      <c r="B641" s="562" t="s">
        <v>7309</v>
      </c>
      <c r="C641" s="565">
        <v>181.98</v>
      </c>
      <c r="D641" s="563">
        <v>47.79</v>
      </c>
      <c r="E641" s="564">
        <v>12.87</v>
      </c>
      <c r="F641" s="568">
        <f t="shared" si="18"/>
        <v>1.9150891179691265E-5</v>
      </c>
      <c r="G641" s="568">
        <f t="shared" si="19"/>
        <v>0.99913210093310978</v>
      </c>
    </row>
    <row r="642" spans="1:7" s="566" customFormat="1" ht="15">
      <c r="A642" s="561" t="s">
        <v>6187</v>
      </c>
      <c r="B642" s="562" t="s">
        <v>7067</v>
      </c>
      <c r="C642" s="565">
        <v>171.6</v>
      </c>
      <c r="D642" s="563">
        <v>6.76</v>
      </c>
      <c r="E642" s="564">
        <v>1.82</v>
      </c>
      <c r="F642" s="568">
        <f t="shared" si="18"/>
        <v>1.8058538995686458E-5</v>
      </c>
      <c r="G642" s="568">
        <f t="shared" si="19"/>
        <v>0.9991501594721055</v>
      </c>
    </row>
    <row r="643" spans="1:7" s="566" customFormat="1" ht="15">
      <c r="A643" s="561" t="s">
        <v>6187</v>
      </c>
      <c r="B643" s="562" t="s">
        <v>7423</v>
      </c>
      <c r="C643" s="565">
        <v>170.25</v>
      </c>
      <c r="D643" s="563">
        <v>8.94</v>
      </c>
      <c r="E643" s="564">
        <v>2.41</v>
      </c>
      <c r="F643" s="568">
        <f t="shared" si="18"/>
        <v>1.7916470070021092E-5</v>
      </c>
      <c r="G643" s="568">
        <f t="shared" si="19"/>
        <v>0.99916807594217549</v>
      </c>
    </row>
    <row r="644" spans="1:7" s="566" customFormat="1" ht="15">
      <c r="A644" s="561" t="s">
        <v>6187</v>
      </c>
      <c r="B644" s="562" t="s">
        <v>7128</v>
      </c>
      <c r="C644" s="565">
        <v>167.16</v>
      </c>
      <c r="D644" s="564">
        <v>65.849999999999994</v>
      </c>
      <c r="E644" s="564">
        <v>17.73</v>
      </c>
      <c r="F644" s="568">
        <f t="shared" si="18"/>
        <v>1.7591290084609255E-5</v>
      </c>
      <c r="G644" s="568">
        <f t="shared" si="19"/>
        <v>0.9991856672322601</v>
      </c>
    </row>
    <row r="645" spans="1:7" s="566" customFormat="1" ht="15">
      <c r="A645" s="561" t="s">
        <v>6187</v>
      </c>
      <c r="B645" s="567" t="s">
        <v>8475</v>
      </c>
      <c r="C645" s="565">
        <v>161.76</v>
      </c>
      <c r="D645" s="563">
        <v>31.86</v>
      </c>
      <c r="E645" s="564">
        <v>8.58</v>
      </c>
      <c r="F645" s="568">
        <f t="shared" si="18"/>
        <v>1.7023014381947791E-5</v>
      </c>
      <c r="G645" s="568">
        <f t="shared" si="19"/>
        <v>0.9992026902466421</v>
      </c>
    </row>
    <row r="646" spans="1:7" s="566" customFormat="1" ht="45">
      <c r="A646" s="561" t="s">
        <v>6187</v>
      </c>
      <c r="B646" s="562" t="s">
        <v>9433</v>
      </c>
      <c r="C646" s="565">
        <v>160.4</v>
      </c>
      <c r="D646" s="563">
        <v>5.19</v>
      </c>
      <c r="E646" s="564">
        <v>1.4</v>
      </c>
      <c r="F646" s="568">
        <f t="shared" si="18"/>
        <v>1.687989309387009E-5</v>
      </c>
      <c r="G646" s="568">
        <f t="shared" si="19"/>
        <v>0.99921957013973595</v>
      </c>
    </row>
    <row r="647" spans="1:7" s="566" customFormat="1" ht="15">
      <c r="A647" s="561" t="s">
        <v>6187</v>
      </c>
      <c r="B647" s="562" t="s">
        <v>7107</v>
      </c>
      <c r="C647" s="565">
        <v>160.16</v>
      </c>
      <c r="D647" s="563">
        <v>63.09</v>
      </c>
      <c r="E647" s="564">
        <v>16.989999999999998</v>
      </c>
      <c r="F647" s="568">
        <f t="shared" si="18"/>
        <v>1.6854636395974026E-5</v>
      </c>
      <c r="G647" s="568">
        <f t="shared" si="19"/>
        <v>0.99923642477613195</v>
      </c>
    </row>
    <row r="648" spans="1:7" s="566" customFormat="1" ht="15">
      <c r="A648" s="561" t="s">
        <v>6187</v>
      </c>
      <c r="B648" s="567" t="s">
        <v>8488</v>
      </c>
      <c r="C648" s="565">
        <v>159.47999999999999</v>
      </c>
      <c r="D648" s="563">
        <v>13.96</v>
      </c>
      <c r="E648" s="564">
        <v>3.76</v>
      </c>
      <c r="F648" s="568">
        <f t="shared" si="18"/>
        <v>1.6783075751935173E-5</v>
      </c>
      <c r="G648" s="568">
        <f t="shared" si="19"/>
        <v>0.99925320785188387</v>
      </c>
    </row>
    <row r="649" spans="1:7" s="566" customFormat="1" ht="15">
      <c r="A649" s="561" t="s">
        <v>6187</v>
      </c>
      <c r="B649" s="562" t="s">
        <v>7004</v>
      </c>
      <c r="C649" s="565">
        <v>157.63999999999999</v>
      </c>
      <c r="D649" s="563">
        <v>31.05</v>
      </c>
      <c r="E649" s="564">
        <v>8.36</v>
      </c>
      <c r="F649" s="568">
        <f t="shared" si="18"/>
        <v>1.6589441068065341E-5</v>
      </c>
      <c r="G649" s="568">
        <f t="shared" si="19"/>
        <v>0.99926979729295196</v>
      </c>
    </row>
    <row r="650" spans="1:7" s="566" customFormat="1" ht="15">
      <c r="A650" s="561" t="s">
        <v>6187</v>
      </c>
      <c r="B650" s="562" t="s">
        <v>7257</v>
      </c>
      <c r="C650" s="565">
        <v>153.37</v>
      </c>
      <c r="D650" s="563">
        <v>120.83</v>
      </c>
      <c r="E650" s="564">
        <v>32.54</v>
      </c>
      <c r="F650" s="568">
        <f t="shared" si="18"/>
        <v>1.6140082317997855E-5</v>
      </c>
      <c r="G650" s="568">
        <f t="shared" si="19"/>
        <v>0.99928593737526994</v>
      </c>
    </row>
    <row r="651" spans="1:7" s="566" customFormat="1" ht="30">
      <c r="A651" s="561" t="s">
        <v>6187</v>
      </c>
      <c r="B651" s="562" t="s">
        <v>7132</v>
      </c>
      <c r="C651" s="565">
        <v>153.34</v>
      </c>
      <c r="D651" s="563">
        <v>120.81</v>
      </c>
      <c r="E651" s="564">
        <v>32.53</v>
      </c>
      <c r="F651" s="568">
        <f t="shared" si="18"/>
        <v>1.6136925230760848E-5</v>
      </c>
      <c r="G651" s="568">
        <f t="shared" si="19"/>
        <v>0.99930207430050066</v>
      </c>
    </row>
    <row r="652" spans="1:7" s="566" customFormat="1" ht="15">
      <c r="A652" s="561" t="s">
        <v>6187</v>
      </c>
      <c r="B652" s="567" t="s">
        <v>8491</v>
      </c>
      <c r="C652" s="565">
        <v>152.01</v>
      </c>
      <c r="D652" s="563">
        <v>119.76</v>
      </c>
      <c r="E652" s="564">
        <v>32.25</v>
      </c>
      <c r="F652" s="568">
        <f t="shared" si="18"/>
        <v>1.5996961029920151E-5</v>
      </c>
      <c r="G652" s="568">
        <f t="shared" si="19"/>
        <v>0.9993180712615306</v>
      </c>
    </row>
    <row r="653" spans="1:7" s="566" customFormat="1" ht="15">
      <c r="A653" s="561" t="s">
        <v>6187</v>
      </c>
      <c r="B653" s="562" t="s">
        <v>8815</v>
      </c>
      <c r="C653" s="565">
        <v>151.69999999999999</v>
      </c>
      <c r="D653" s="564">
        <v>13.13</v>
      </c>
      <c r="E653" s="564">
        <v>3.54</v>
      </c>
      <c r="F653" s="568">
        <f t="shared" si="18"/>
        <v>1.5964337795137736E-5</v>
      </c>
      <c r="G653" s="568">
        <f t="shared" si="19"/>
        <v>0.99933403559932577</v>
      </c>
    </row>
    <row r="654" spans="1:7" s="566" customFormat="1" ht="15">
      <c r="A654" s="561" t="s">
        <v>6187</v>
      </c>
      <c r="B654" s="567" t="s">
        <v>8483</v>
      </c>
      <c r="C654" s="565">
        <v>149.49</v>
      </c>
      <c r="D654" s="563">
        <v>39.26</v>
      </c>
      <c r="E654" s="564">
        <v>10.57</v>
      </c>
      <c r="F654" s="568">
        <f t="shared" si="18"/>
        <v>1.5731765702011472E-5</v>
      </c>
      <c r="G654" s="568">
        <f t="shared" si="19"/>
        <v>0.99934976736502779</v>
      </c>
    </row>
    <row r="655" spans="1:7" s="566" customFormat="1" ht="15">
      <c r="A655" s="561" t="s">
        <v>6187</v>
      </c>
      <c r="B655" s="562" t="s">
        <v>7200</v>
      </c>
      <c r="C655" s="565">
        <v>146.24</v>
      </c>
      <c r="D655" s="563">
        <v>14.4</v>
      </c>
      <c r="E655" s="564">
        <v>3.88</v>
      </c>
      <c r="F655" s="568">
        <f t="shared" si="18"/>
        <v>1.5389747918002258E-5</v>
      </c>
      <c r="G655" s="568">
        <f t="shared" si="19"/>
        <v>0.99936515711294582</v>
      </c>
    </row>
    <row r="656" spans="1:7" s="566" customFormat="1" ht="15">
      <c r="A656" s="561" t="s">
        <v>6187</v>
      </c>
      <c r="B656" s="567" t="s">
        <v>8479</v>
      </c>
      <c r="C656" s="565">
        <v>142.13999999999999</v>
      </c>
      <c r="D656" s="563">
        <v>18.66</v>
      </c>
      <c r="E656" s="564">
        <v>5.03</v>
      </c>
      <c r="F656" s="568">
        <f t="shared" ref="F656:F719" si="20">C656/SUM(C:C)</f>
        <v>1.4958279328944479E-5</v>
      </c>
      <c r="G656" s="568">
        <f t="shared" ref="G656:G719" si="21">F656+G655</f>
        <v>0.99938011539227478</v>
      </c>
    </row>
    <row r="657" spans="1:7" s="566" customFormat="1" ht="15">
      <c r="A657" s="561" t="s">
        <v>6187</v>
      </c>
      <c r="B657" s="562" t="s">
        <v>8461</v>
      </c>
      <c r="C657" s="565">
        <v>141.15</v>
      </c>
      <c r="D657" s="563">
        <v>7.41</v>
      </c>
      <c r="E657" s="564">
        <v>2</v>
      </c>
      <c r="F657" s="568">
        <f t="shared" si="20"/>
        <v>1.4854095450123214E-5</v>
      </c>
      <c r="G657" s="568">
        <f t="shared" si="21"/>
        <v>0.99939496948772488</v>
      </c>
    </row>
    <row r="658" spans="1:7" s="566" customFormat="1" ht="15">
      <c r="A658" s="561" t="s">
        <v>6187</v>
      </c>
      <c r="B658" s="562" t="s">
        <v>7195</v>
      </c>
      <c r="C658" s="565">
        <v>139.59</v>
      </c>
      <c r="D658" s="563">
        <v>12.22</v>
      </c>
      <c r="E658" s="564">
        <v>3.29</v>
      </c>
      <c r="F658" s="568">
        <f t="shared" si="20"/>
        <v>1.468992691379879E-5</v>
      </c>
      <c r="G658" s="568">
        <f t="shared" si="21"/>
        <v>0.99940965941463866</v>
      </c>
    </row>
    <row r="659" spans="1:7" s="566" customFormat="1" ht="15">
      <c r="A659" s="561" t="s">
        <v>6187</v>
      </c>
      <c r="B659" s="562" t="s">
        <v>7214</v>
      </c>
      <c r="C659" s="565">
        <v>138.54</v>
      </c>
      <c r="D659" s="563">
        <v>18.190000000000001</v>
      </c>
      <c r="E659" s="564">
        <v>4.9000000000000004</v>
      </c>
      <c r="F659" s="568">
        <f t="shared" si="20"/>
        <v>1.4579428860503505E-5</v>
      </c>
      <c r="G659" s="568">
        <f t="shared" si="21"/>
        <v>0.99942423884349918</v>
      </c>
    </row>
    <row r="660" spans="1:7" s="566" customFormat="1" ht="30">
      <c r="A660" s="561" t="s">
        <v>6187</v>
      </c>
      <c r="B660" s="562" t="s">
        <v>7029</v>
      </c>
      <c r="C660" s="565">
        <f>6.51+130.2</f>
        <v>136.70999999999998</v>
      </c>
      <c r="D660" s="564">
        <v>5.13</v>
      </c>
      <c r="E660" s="564">
        <v>1.38</v>
      </c>
      <c r="F660" s="568">
        <f t="shared" si="20"/>
        <v>1.438684653904601E-5</v>
      </c>
      <c r="G660" s="568">
        <f t="shared" si="21"/>
        <v>0.99943862569003827</v>
      </c>
    </row>
    <row r="661" spans="1:7" s="566" customFormat="1" ht="15">
      <c r="A661" s="561" t="s">
        <v>6187</v>
      </c>
      <c r="B661" s="567" t="s">
        <v>8473</v>
      </c>
      <c r="C661" s="565">
        <v>136.22</v>
      </c>
      <c r="D661" s="563">
        <v>53.66</v>
      </c>
      <c r="E661" s="564">
        <v>14.45</v>
      </c>
      <c r="F661" s="568">
        <f t="shared" si="20"/>
        <v>1.4335280780841544E-5</v>
      </c>
      <c r="G661" s="568">
        <f t="shared" si="21"/>
        <v>0.99945296097081915</v>
      </c>
    </row>
    <row r="662" spans="1:7" s="566" customFormat="1" ht="15">
      <c r="A662" s="561" t="s">
        <v>6187</v>
      </c>
      <c r="B662" s="562" t="s">
        <v>8577</v>
      </c>
      <c r="C662" s="565">
        <v>133.1</v>
      </c>
      <c r="D662" s="563">
        <v>10.49</v>
      </c>
      <c r="E662" s="564">
        <v>2.82</v>
      </c>
      <c r="F662" s="568">
        <f t="shared" si="20"/>
        <v>1.4006943708192699E-5</v>
      </c>
      <c r="G662" s="568">
        <f t="shared" si="21"/>
        <v>0.99946696791452738</v>
      </c>
    </row>
    <row r="663" spans="1:7" s="566" customFormat="1" ht="15">
      <c r="A663" s="561" t="s">
        <v>6187</v>
      </c>
      <c r="B663" s="562" t="s">
        <v>7346</v>
      </c>
      <c r="C663" s="565">
        <v>128.94999999999999</v>
      </c>
      <c r="D663" s="563">
        <v>101.59</v>
      </c>
      <c r="E663" s="564">
        <v>27.36</v>
      </c>
      <c r="F663" s="568">
        <f t="shared" si="20"/>
        <v>1.3570213307073241E-5</v>
      </c>
      <c r="G663" s="568">
        <f t="shared" si="21"/>
        <v>0.99948053812783444</v>
      </c>
    </row>
    <row r="664" spans="1:7" s="566" customFormat="1" ht="15">
      <c r="A664" s="561" t="s">
        <v>6187</v>
      </c>
      <c r="B664" s="562" t="s">
        <v>9232</v>
      </c>
      <c r="C664" s="565">
        <v>127.4</v>
      </c>
      <c r="D664" s="563">
        <v>7.72</v>
      </c>
      <c r="E664" s="564">
        <v>2.08</v>
      </c>
      <c r="F664" s="568">
        <f t="shared" si="20"/>
        <v>1.3407097133161158E-5</v>
      </c>
      <c r="G664" s="568">
        <f t="shared" si="21"/>
        <v>0.99949394522496759</v>
      </c>
    </row>
    <row r="665" spans="1:7" s="566" customFormat="1" ht="15">
      <c r="A665" s="561" t="s">
        <v>6187</v>
      </c>
      <c r="B665" s="562" t="s">
        <v>7055</v>
      </c>
      <c r="C665" s="565">
        <v>126.03</v>
      </c>
      <c r="D665" s="563">
        <v>33.1</v>
      </c>
      <c r="E665" s="564">
        <v>8.91</v>
      </c>
      <c r="F665" s="568">
        <f t="shared" si="20"/>
        <v>1.3262923482671119E-5</v>
      </c>
      <c r="G665" s="568">
        <f t="shared" si="21"/>
        <v>0.99950720814845029</v>
      </c>
    </row>
    <row r="666" spans="1:7" s="566" customFormat="1" ht="15">
      <c r="A666" s="561" t="s">
        <v>6187</v>
      </c>
      <c r="B666" s="562" t="s">
        <v>6996</v>
      </c>
      <c r="C666" s="565">
        <v>124.15</v>
      </c>
      <c r="D666" s="563">
        <v>97.81</v>
      </c>
      <c r="E666" s="564">
        <v>26.34</v>
      </c>
      <c r="F666" s="568">
        <f t="shared" si="20"/>
        <v>1.3065079349151945E-5</v>
      </c>
      <c r="G666" s="568">
        <f t="shared" si="21"/>
        <v>0.99952027322779946</v>
      </c>
    </row>
    <row r="667" spans="1:7" s="566" customFormat="1" ht="15">
      <c r="A667" s="561" t="s">
        <v>6187</v>
      </c>
      <c r="B667" s="562" t="s">
        <v>7345</v>
      </c>
      <c r="C667" s="565">
        <v>123.6</v>
      </c>
      <c r="D667" s="563">
        <v>97.38</v>
      </c>
      <c r="E667" s="564">
        <v>26.22</v>
      </c>
      <c r="F667" s="568">
        <f t="shared" si="20"/>
        <v>1.3007199416473461E-5</v>
      </c>
      <c r="G667" s="568">
        <f t="shared" si="21"/>
        <v>0.9995332804272159</v>
      </c>
    </row>
    <row r="668" spans="1:7" s="566" customFormat="1" ht="30">
      <c r="A668" s="561" t="s">
        <v>6187</v>
      </c>
      <c r="B668" s="562" t="s">
        <v>9340</v>
      </c>
      <c r="C668" s="565">
        <v>122.36</v>
      </c>
      <c r="D668" s="563">
        <v>96.4</v>
      </c>
      <c r="E668" s="564">
        <v>25.96</v>
      </c>
      <c r="F668" s="568">
        <f t="shared" si="20"/>
        <v>1.2876706477343792E-5</v>
      </c>
      <c r="G668" s="568">
        <f t="shared" si="21"/>
        <v>0.99954615713369321</v>
      </c>
    </row>
    <row r="669" spans="1:7" s="566" customFormat="1" ht="30">
      <c r="A669" s="561" t="s">
        <v>6187</v>
      </c>
      <c r="B669" s="562" t="s">
        <v>7085</v>
      </c>
      <c r="C669" s="565">
        <v>119.52</v>
      </c>
      <c r="D669" s="563">
        <v>15.69</v>
      </c>
      <c r="E669" s="564">
        <v>4.2300000000000004</v>
      </c>
      <c r="F669" s="568">
        <f t="shared" si="20"/>
        <v>1.2577835552240356E-5</v>
      </c>
      <c r="G669" s="568">
        <f t="shared" si="21"/>
        <v>0.99955873496924541</v>
      </c>
    </row>
    <row r="670" spans="1:7" s="566" customFormat="1" ht="15">
      <c r="A670" s="561" t="s">
        <v>6187</v>
      </c>
      <c r="B670" s="567" t="s">
        <v>8474</v>
      </c>
      <c r="C670" s="565">
        <v>118.68</v>
      </c>
      <c r="D670" s="563">
        <v>46.75</v>
      </c>
      <c r="E670" s="564">
        <v>12.59</v>
      </c>
      <c r="F670" s="568">
        <f t="shared" si="20"/>
        <v>1.2489437109604131E-5</v>
      </c>
      <c r="G670" s="568">
        <f t="shared" si="21"/>
        <v>0.99957122440635504</v>
      </c>
    </row>
    <row r="671" spans="1:7" s="566" customFormat="1" ht="15">
      <c r="A671" s="561" t="s">
        <v>6187</v>
      </c>
      <c r="B671" s="562" t="s">
        <v>15434</v>
      </c>
      <c r="C671" s="565">
        <v>117.75</v>
      </c>
      <c r="D671" s="564">
        <v>30.92</v>
      </c>
      <c r="E671" s="564">
        <v>8.33</v>
      </c>
      <c r="F671" s="568">
        <f t="shared" si="20"/>
        <v>1.2391567405256877E-5</v>
      </c>
      <c r="G671" s="568">
        <f t="shared" si="21"/>
        <v>0.99958361597376033</v>
      </c>
    </row>
    <row r="672" spans="1:7" s="566" customFormat="1" ht="30">
      <c r="A672" s="561" t="s">
        <v>6187</v>
      </c>
      <c r="B672" s="562" t="s">
        <v>9186</v>
      </c>
      <c r="C672" s="565">
        <v>116.15</v>
      </c>
      <c r="D672" s="563">
        <v>78.210000000000008</v>
      </c>
      <c r="E672" s="564">
        <v>21.06</v>
      </c>
      <c r="F672" s="568">
        <f t="shared" si="20"/>
        <v>1.2223189419283111E-5</v>
      </c>
      <c r="G672" s="568">
        <f t="shared" si="21"/>
        <v>0.99959583916317962</v>
      </c>
    </row>
    <row r="673" spans="1:7" s="566" customFormat="1" ht="15">
      <c r="A673" s="561" t="s">
        <v>6187</v>
      </c>
      <c r="B673" s="562" t="s">
        <v>7082</v>
      </c>
      <c r="C673" s="565">
        <v>115.85</v>
      </c>
      <c r="D673" s="563">
        <v>13.04</v>
      </c>
      <c r="E673" s="564">
        <v>3.51</v>
      </c>
      <c r="F673" s="568">
        <f t="shared" si="20"/>
        <v>1.2191618546913029E-5</v>
      </c>
      <c r="G673" s="568">
        <f t="shared" si="21"/>
        <v>0.99960803078172655</v>
      </c>
    </row>
    <row r="674" spans="1:7" s="566" customFormat="1" ht="15">
      <c r="A674" s="561" t="s">
        <v>6187</v>
      </c>
      <c r="B674" s="562" t="s">
        <v>7078</v>
      </c>
      <c r="C674" s="565">
        <v>113.94</v>
      </c>
      <c r="D674" s="563">
        <v>14.96</v>
      </c>
      <c r="E674" s="564">
        <v>4.03</v>
      </c>
      <c r="F674" s="568">
        <f t="shared" si="20"/>
        <v>1.1990617326156846E-5</v>
      </c>
      <c r="G674" s="568">
        <f t="shared" si="21"/>
        <v>0.99962002139905271</v>
      </c>
    </row>
    <row r="675" spans="1:7" s="566" customFormat="1" ht="30">
      <c r="A675" s="561" t="s">
        <v>6187</v>
      </c>
      <c r="B675" s="562" t="s">
        <v>7133</v>
      </c>
      <c r="C675" s="565">
        <v>108.26</v>
      </c>
      <c r="D675" s="563">
        <v>85.29</v>
      </c>
      <c r="E675" s="564">
        <v>22.97</v>
      </c>
      <c r="F675" s="568">
        <f t="shared" si="20"/>
        <v>1.1392875475949975E-5</v>
      </c>
      <c r="G675" s="568">
        <f t="shared" si="21"/>
        <v>0.99963141427452862</v>
      </c>
    </row>
    <row r="676" spans="1:7" s="566" customFormat="1" ht="15">
      <c r="A676" s="561" t="s">
        <v>6187</v>
      </c>
      <c r="B676" s="562" t="s">
        <v>7191</v>
      </c>
      <c r="C676" s="565">
        <v>105.15</v>
      </c>
      <c r="D676" s="563">
        <v>16.57</v>
      </c>
      <c r="E676" s="564">
        <v>4.46</v>
      </c>
      <c r="F676" s="568">
        <f t="shared" si="20"/>
        <v>1.1065590765713467E-5</v>
      </c>
      <c r="G676" s="568">
        <f t="shared" si="21"/>
        <v>0.99964247986529431</v>
      </c>
    </row>
    <row r="677" spans="1:7" s="566" customFormat="1" ht="15">
      <c r="A677" s="561" t="s">
        <v>6187</v>
      </c>
      <c r="B677" s="562" t="s">
        <v>7283</v>
      </c>
      <c r="C677" s="565">
        <v>103.51</v>
      </c>
      <c r="D677" s="563">
        <v>7.41</v>
      </c>
      <c r="E677" s="564">
        <v>2</v>
      </c>
      <c r="F677" s="568">
        <f t="shared" si="20"/>
        <v>1.0893003330090356E-5</v>
      </c>
      <c r="G677" s="568">
        <f t="shared" si="21"/>
        <v>0.99965337286862443</v>
      </c>
    </row>
    <row r="678" spans="1:7" s="566" customFormat="1" ht="15">
      <c r="A678" s="561" t="s">
        <v>6187</v>
      </c>
      <c r="B678" s="562" t="s">
        <v>7053</v>
      </c>
      <c r="C678" s="565">
        <v>98.76</v>
      </c>
      <c r="D678" s="563">
        <v>12.97</v>
      </c>
      <c r="E678" s="564">
        <v>3.49</v>
      </c>
      <c r="F678" s="568">
        <f t="shared" si="20"/>
        <v>1.0393131184230737E-5</v>
      </c>
      <c r="G678" s="568">
        <f t="shared" si="21"/>
        <v>0.99966376599980866</v>
      </c>
    </row>
    <row r="679" spans="1:7" s="566" customFormat="1" ht="15">
      <c r="A679" s="561" t="s">
        <v>6187</v>
      </c>
      <c r="B679" s="567" t="s">
        <v>8493</v>
      </c>
      <c r="C679" s="565">
        <v>95.86</v>
      </c>
      <c r="D679" s="563">
        <v>37.76</v>
      </c>
      <c r="E679" s="564">
        <v>10.17</v>
      </c>
      <c r="F679" s="568">
        <f t="shared" si="20"/>
        <v>1.0087946084653285E-5</v>
      </c>
      <c r="G679" s="568">
        <f t="shared" si="21"/>
        <v>0.99967385394589336</v>
      </c>
    </row>
    <row r="680" spans="1:7" s="566" customFormat="1" ht="15">
      <c r="A680" s="561" t="s">
        <v>6187</v>
      </c>
      <c r="B680" s="562" t="s">
        <v>7078</v>
      </c>
      <c r="C680" s="565">
        <v>94.95</v>
      </c>
      <c r="D680" s="564">
        <v>14.96</v>
      </c>
      <c r="E680" s="564">
        <v>4.03</v>
      </c>
      <c r="F680" s="568">
        <f t="shared" si="20"/>
        <v>9.9921811051307058E-6</v>
      </c>
      <c r="G680" s="568">
        <f t="shared" si="21"/>
        <v>0.99968384612699845</v>
      </c>
    </row>
    <row r="681" spans="1:7" s="566" customFormat="1" ht="15">
      <c r="A681" s="561" t="s">
        <v>6187</v>
      </c>
      <c r="B681" s="562" t="s">
        <v>8235</v>
      </c>
      <c r="C681" s="565">
        <v>93.09</v>
      </c>
      <c r="D681" s="564">
        <v>73.34</v>
      </c>
      <c r="E681" s="564">
        <v>19.75</v>
      </c>
      <c r="F681" s="568">
        <f t="shared" si="20"/>
        <v>9.796441696436202E-6</v>
      </c>
      <c r="G681" s="568">
        <f t="shared" si="21"/>
        <v>0.99969364256869486</v>
      </c>
    </row>
    <row r="682" spans="1:7" s="566" customFormat="1" ht="15">
      <c r="A682" s="561" t="s">
        <v>6187</v>
      </c>
      <c r="B682" s="567" t="s">
        <v>8492</v>
      </c>
      <c r="C682" s="565">
        <v>92.23</v>
      </c>
      <c r="D682" s="563">
        <v>72.660000000000011</v>
      </c>
      <c r="E682" s="564">
        <v>19.57</v>
      </c>
      <c r="F682" s="568">
        <f t="shared" si="20"/>
        <v>9.7059385289753031E-6</v>
      </c>
      <c r="G682" s="568">
        <f t="shared" si="21"/>
        <v>0.99970334850722387</v>
      </c>
    </row>
    <row r="683" spans="1:7" s="566" customFormat="1" ht="15">
      <c r="A683" s="561" t="s">
        <v>6187</v>
      </c>
      <c r="B683" s="562" t="s">
        <v>7174</v>
      </c>
      <c r="C683" s="565">
        <v>88.74</v>
      </c>
      <c r="D683" s="563">
        <v>7.77</v>
      </c>
      <c r="E683" s="564">
        <v>2.09</v>
      </c>
      <c r="F683" s="568">
        <f t="shared" si="20"/>
        <v>9.3386640470700231E-6</v>
      </c>
      <c r="G683" s="568">
        <f t="shared" si="21"/>
        <v>0.99971268717127093</v>
      </c>
    </row>
    <row r="684" spans="1:7" s="566" customFormat="1" ht="15">
      <c r="A684" s="561" t="s">
        <v>6187</v>
      </c>
      <c r="B684" s="567" t="s">
        <v>8476</v>
      </c>
      <c r="C684" s="565">
        <v>86.22</v>
      </c>
      <c r="D684" s="563">
        <v>33.96</v>
      </c>
      <c r="E684" s="564">
        <v>9.15</v>
      </c>
      <c r="F684" s="568">
        <f t="shared" si="20"/>
        <v>9.0734687191613413E-6</v>
      </c>
      <c r="G684" s="568">
        <f t="shared" si="21"/>
        <v>0.99972176063999008</v>
      </c>
    </row>
    <row r="685" spans="1:7" s="566" customFormat="1" ht="30">
      <c r="A685" s="561" t="s">
        <v>6187</v>
      </c>
      <c r="B685" s="562" t="s">
        <v>7843</v>
      </c>
      <c r="C685" s="565">
        <f>28.52+57.04</f>
        <v>85.56</v>
      </c>
      <c r="D685" s="563">
        <v>22.47</v>
      </c>
      <c r="E685" s="564">
        <v>6.05</v>
      </c>
      <c r="F685" s="568">
        <f t="shared" si="20"/>
        <v>9.0040127999471633E-6</v>
      </c>
      <c r="G685" s="568">
        <f t="shared" si="21"/>
        <v>0.99973076465278998</v>
      </c>
    </row>
    <row r="686" spans="1:7" s="566" customFormat="1" ht="15">
      <c r="A686" s="561" t="s">
        <v>6187</v>
      </c>
      <c r="B686" s="567" t="s">
        <v>15440</v>
      </c>
      <c r="C686" s="565">
        <v>83.46</v>
      </c>
      <c r="D686" s="563"/>
      <c r="E686" s="564">
        <v>0</v>
      </c>
      <c r="F686" s="568">
        <f t="shared" si="20"/>
        <v>8.783016693356594E-6</v>
      </c>
      <c r="G686" s="568">
        <f t="shared" si="21"/>
        <v>0.99973954766948336</v>
      </c>
    </row>
    <row r="687" spans="1:7" s="566" customFormat="1" ht="15">
      <c r="A687" s="561" t="s">
        <v>6187</v>
      </c>
      <c r="B687" s="562" t="s">
        <v>7054</v>
      </c>
      <c r="C687" s="565">
        <v>82.44</v>
      </c>
      <c r="D687" s="564">
        <v>16.239999999999998</v>
      </c>
      <c r="E687" s="564">
        <v>4.37</v>
      </c>
      <c r="F687" s="568">
        <f t="shared" si="20"/>
        <v>8.6756757272983186E-6</v>
      </c>
      <c r="G687" s="568">
        <f t="shared" si="21"/>
        <v>0.99974822334521063</v>
      </c>
    </row>
    <row r="688" spans="1:7" s="566" customFormat="1" ht="15">
      <c r="A688" s="561" t="s">
        <v>6187</v>
      </c>
      <c r="B688" s="562" t="s">
        <v>7145</v>
      </c>
      <c r="C688" s="565">
        <v>81.84</v>
      </c>
      <c r="D688" s="563">
        <v>10.75</v>
      </c>
      <c r="E688" s="564">
        <v>2.89</v>
      </c>
      <c r="F688" s="568">
        <f t="shared" si="20"/>
        <v>8.6125339825581574E-6</v>
      </c>
      <c r="G688" s="568">
        <f t="shared" si="21"/>
        <v>0.99975683587919317</v>
      </c>
    </row>
    <row r="689" spans="1:7" s="566" customFormat="1" ht="15">
      <c r="A689" s="561" t="s">
        <v>6187</v>
      </c>
      <c r="B689" s="562" t="s">
        <v>7050</v>
      </c>
      <c r="C689" s="565">
        <v>81.239999999999995</v>
      </c>
      <c r="D689" s="563">
        <v>32</v>
      </c>
      <c r="E689" s="564">
        <v>8.6199999999999992</v>
      </c>
      <c r="F689" s="568">
        <f t="shared" si="20"/>
        <v>8.5493922378179928E-6</v>
      </c>
      <c r="G689" s="568">
        <f t="shared" si="21"/>
        <v>0.999765385271431</v>
      </c>
    </row>
    <row r="690" spans="1:7" s="566" customFormat="1" ht="15">
      <c r="A690" s="561" t="s">
        <v>6187</v>
      </c>
      <c r="B690" s="562" t="s">
        <v>8458</v>
      </c>
      <c r="C690" s="565">
        <v>77.349999999999994</v>
      </c>
      <c r="D690" s="563">
        <v>12.19</v>
      </c>
      <c r="E690" s="564">
        <v>3.28</v>
      </c>
      <c r="F690" s="568">
        <f t="shared" si="20"/>
        <v>8.1400232594192726E-6</v>
      </c>
      <c r="G690" s="568">
        <f t="shared" si="21"/>
        <v>0.99977352529469043</v>
      </c>
    </row>
    <row r="691" spans="1:7" s="566" customFormat="1" ht="30">
      <c r="A691" s="561" t="s">
        <v>6187</v>
      </c>
      <c r="B691" s="562" t="s">
        <v>8751</v>
      </c>
      <c r="C691" s="565">
        <v>75.84</v>
      </c>
      <c r="D691" s="563">
        <v>14.94</v>
      </c>
      <c r="E691" s="564">
        <v>4.0199999999999996</v>
      </c>
      <c r="F691" s="568">
        <f t="shared" si="20"/>
        <v>7.9811165351565318E-6</v>
      </c>
      <c r="G691" s="568">
        <f t="shared" si="21"/>
        <v>0.99978150641122554</v>
      </c>
    </row>
    <row r="692" spans="1:7" s="566" customFormat="1" ht="30">
      <c r="A692" s="561" t="s">
        <v>6187</v>
      </c>
      <c r="B692" s="562" t="s">
        <v>8559</v>
      </c>
      <c r="C692" s="565">
        <v>74.16</v>
      </c>
      <c r="D692" s="563">
        <v>7.3</v>
      </c>
      <c r="E692" s="564">
        <v>1.97</v>
      </c>
      <c r="F692" s="568">
        <f t="shared" si="20"/>
        <v>7.8043196498840767E-6</v>
      </c>
      <c r="G692" s="568">
        <f t="shared" si="21"/>
        <v>0.9997893107308754</v>
      </c>
    </row>
    <row r="693" spans="1:7" s="566" customFormat="1" ht="15">
      <c r="A693" s="561" t="s">
        <v>6187</v>
      </c>
      <c r="B693" s="562" t="s">
        <v>7227</v>
      </c>
      <c r="C693" s="565">
        <v>74.08</v>
      </c>
      <c r="D693" s="563">
        <v>29.18</v>
      </c>
      <c r="E693" s="564">
        <v>7.86</v>
      </c>
      <c r="F693" s="568">
        <f t="shared" si="20"/>
        <v>7.7959007505853893E-6</v>
      </c>
      <c r="G693" s="568">
        <f t="shared" si="21"/>
        <v>0.99979710663162602</v>
      </c>
    </row>
    <row r="694" spans="1:7" s="566" customFormat="1" ht="30">
      <c r="A694" s="561" t="s">
        <v>6187</v>
      </c>
      <c r="B694" s="562" t="s">
        <v>8703</v>
      </c>
      <c r="C694" s="565">
        <v>73.36</v>
      </c>
      <c r="D694" s="563">
        <v>28.9</v>
      </c>
      <c r="E694" s="564">
        <v>7.78</v>
      </c>
      <c r="F694" s="568">
        <f t="shared" si="20"/>
        <v>7.7201306568971945E-6</v>
      </c>
      <c r="G694" s="568">
        <f t="shared" si="21"/>
        <v>0.99980482676228288</v>
      </c>
    </row>
    <row r="695" spans="1:7" s="566" customFormat="1" ht="30">
      <c r="A695" s="561" t="s">
        <v>6187</v>
      </c>
      <c r="B695" s="562" t="s">
        <v>7215</v>
      </c>
      <c r="C695" s="565">
        <v>69.36</v>
      </c>
      <c r="D695" s="563">
        <v>13.66</v>
      </c>
      <c r="E695" s="564">
        <v>3.68</v>
      </c>
      <c r="F695" s="568">
        <f t="shared" si="20"/>
        <v>7.2991856919627777E-6</v>
      </c>
      <c r="G695" s="568">
        <f t="shared" si="21"/>
        <v>0.99981212594797486</v>
      </c>
    </row>
    <row r="696" spans="1:7" s="566" customFormat="1" ht="30">
      <c r="A696" s="561" t="s">
        <v>6187</v>
      </c>
      <c r="B696" s="562" t="s">
        <v>7058</v>
      </c>
      <c r="C696" s="565">
        <v>69.3</v>
      </c>
      <c r="D696" s="563">
        <v>10.92</v>
      </c>
      <c r="E696" s="564">
        <v>2.94</v>
      </c>
      <c r="F696" s="568">
        <f t="shared" si="20"/>
        <v>7.2928715174887609E-6</v>
      </c>
      <c r="G696" s="568">
        <f t="shared" si="21"/>
        <v>0.99981941881949232</v>
      </c>
    </row>
    <row r="697" spans="1:7" s="566" customFormat="1" ht="15">
      <c r="A697" s="561" t="s">
        <v>6187</v>
      </c>
      <c r="B697" s="562" t="s">
        <v>7083</v>
      </c>
      <c r="C697" s="565">
        <v>68.63</v>
      </c>
      <c r="D697" s="563">
        <v>54.07</v>
      </c>
      <c r="E697" s="564">
        <v>14.56</v>
      </c>
      <c r="F697" s="568">
        <f t="shared" si="20"/>
        <v>7.2223632358622459E-6</v>
      </c>
      <c r="G697" s="568">
        <f t="shared" si="21"/>
        <v>0.99982664118272824</v>
      </c>
    </row>
    <row r="698" spans="1:7" s="566" customFormat="1" ht="15">
      <c r="A698" s="561" t="s">
        <v>6187</v>
      </c>
      <c r="B698" s="562" t="s">
        <v>7173</v>
      </c>
      <c r="C698" s="565">
        <v>65.599999999999994</v>
      </c>
      <c r="D698" s="563">
        <v>5.17</v>
      </c>
      <c r="E698" s="564">
        <v>1.39</v>
      </c>
      <c r="F698" s="568">
        <f t="shared" si="20"/>
        <v>6.9034974249244255E-6</v>
      </c>
      <c r="G698" s="568">
        <f t="shared" si="21"/>
        <v>0.99983354468015317</v>
      </c>
    </row>
    <row r="699" spans="1:7" s="566" customFormat="1" ht="30">
      <c r="A699" s="561" t="s">
        <v>6187</v>
      </c>
      <c r="B699" s="562" t="s">
        <v>9344</v>
      </c>
      <c r="C699" s="565">
        <v>64.430000000000007</v>
      </c>
      <c r="D699" s="563">
        <v>50.76</v>
      </c>
      <c r="E699" s="564">
        <v>13.67</v>
      </c>
      <c r="F699" s="568">
        <f t="shared" si="20"/>
        <v>6.7803710226811107E-6</v>
      </c>
      <c r="G699" s="568">
        <f t="shared" si="21"/>
        <v>0.99984032505117582</v>
      </c>
    </row>
    <row r="700" spans="1:7" s="566" customFormat="1" ht="15">
      <c r="A700" s="561" t="s">
        <v>6187</v>
      </c>
      <c r="B700" s="562" t="s">
        <v>7185</v>
      </c>
      <c r="C700" s="565">
        <v>59.6</v>
      </c>
      <c r="D700" s="563">
        <v>9.39</v>
      </c>
      <c r="E700" s="564">
        <v>2.5299999999999998</v>
      </c>
      <c r="F700" s="568">
        <f t="shared" si="20"/>
        <v>6.2720799775228024E-6</v>
      </c>
      <c r="G700" s="568">
        <f t="shared" si="21"/>
        <v>0.99984659713115331</v>
      </c>
    </row>
    <row r="701" spans="1:7" s="566" customFormat="1" ht="15">
      <c r="A701" s="561" t="s">
        <v>6187</v>
      </c>
      <c r="B701" s="562" t="s">
        <v>7280</v>
      </c>
      <c r="C701" s="565">
        <v>57.98</v>
      </c>
      <c r="D701" s="563">
        <v>22.84</v>
      </c>
      <c r="E701" s="564">
        <v>6.15</v>
      </c>
      <c r="F701" s="568">
        <f t="shared" si="20"/>
        <v>6.1015972667243633E-6</v>
      </c>
      <c r="G701" s="568">
        <f t="shared" si="21"/>
        <v>0.99985269872842009</v>
      </c>
    </row>
    <row r="702" spans="1:7" s="566" customFormat="1" ht="15">
      <c r="A702" s="561" t="s">
        <v>6187</v>
      </c>
      <c r="B702" s="562" t="s">
        <v>7072</v>
      </c>
      <c r="C702" s="565">
        <v>57.8</v>
      </c>
      <c r="D702" s="563">
        <v>22.77</v>
      </c>
      <c r="E702" s="564">
        <v>6.13</v>
      </c>
      <c r="F702" s="568">
        <f t="shared" si="20"/>
        <v>6.0826547433023146E-6</v>
      </c>
      <c r="G702" s="568">
        <f t="shared" si="21"/>
        <v>0.99985878138316342</v>
      </c>
    </row>
    <row r="703" spans="1:7" s="566" customFormat="1" ht="15">
      <c r="A703" s="561" t="s">
        <v>6187</v>
      </c>
      <c r="B703" s="562" t="s">
        <v>7850</v>
      </c>
      <c r="C703" s="565">
        <v>57.19</v>
      </c>
      <c r="D703" s="563">
        <v>6.44</v>
      </c>
      <c r="E703" s="564">
        <v>1.73</v>
      </c>
      <c r="F703" s="568">
        <f t="shared" si="20"/>
        <v>6.0184606361498156E-6</v>
      </c>
      <c r="G703" s="568">
        <f t="shared" si="21"/>
        <v>0.99986479984379961</v>
      </c>
    </row>
    <row r="704" spans="1:7" s="566" customFormat="1" ht="15">
      <c r="A704" s="561" t="s">
        <v>6187</v>
      </c>
      <c r="B704" s="562" t="s">
        <v>7175</v>
      </c>
      <c r="C704" s="565">
        <v>54.56</v>
      </c>
      <c r="D704" s="563">
        <v>10.75</v>
      </c>
      <c r="E704" s="564">
        <v>2.89</v>
      </c>
      <c r="F704" s="568">
        <f t="shared" si="20"/>
        <v>5.741689321705438E-6</v>
      </c>
      <c r="G704" s="568">
        <f t="shared" si="21"/>
        <v>0.99987054153312127</v>
      </c>
    </row>
    <row r="705" spans="1:7" s="566" customFormat="1" ht="15">
      <c r="A705" s="561" t="s">
        <v>6187</v>
      </c>
      <c r="B705" s="562" t="s">
        <v>7212</v>
      </c>
      <c r="C705" s="565">
        <v>54.22</v>
      </c>
      <c r="D705" s="563">
        <v>21.36</v>
      </c>
      <c r="E705" s="564">
        <v>5.75</v>
      </c>
      <c r="F705" s="568">
        <f t="shared" si="20"/>
        <v>5.705908999686012E-6</v>
      </c>
      <c r="G705" s="568">
        <f t="shared" si="21"/>
        <v>0.999876247442121</v>
      </c>
    </row>
    <row r="706" spans="1:7" s="566" customFormat="1" ht="15">
      <c r="A706" s="561" t="s">
        <v>6187</v>
      </c>
      <c r="B706" s="567" t="s">
        <v>8477</v>
      </c>
      <c r="C706" s="565">
        <v>51.61</v>
      </c>
      <c r="D706" s="563">
        <v>40.659999999999997</v>
      </c>
      <c r="E706" s="564">
        <v>10.95</v>
      </c>
      <c r="F706" s="568">
        <f t="shared" si="20"/>
        <v>5.4312424100663058E-6</v>
      </c>
      <c r="G706" s="568">
        <f t="shared" si="21"/>
        <v>0.99988167868453104</v>
      </c>
    </row>
    <row r="707" spans="1:7" s="566" customFormat="1" ht="15">
      <c r="A707" s="561" t="s">
        <v>6187</v>
      </c>
      <c r="B707" s="562" t="s">
        <v>7269</v>
      </c>
      <c r="C707" s="565">
        <v>50.62</v>
      </c>
      <c r="D707" s="563">
        <v>19.940000000000001</v>
      </c>
      <c r="E707" s="564">
        <v>5.37</v>
      </c>
      <c r="F707" s="568">
        <f t="shared" si="20"/>
        <v>5.3270585312450371E-6</v>
      </c>
      <c r="G707" s="568">
        <f t="shared" si="21"/>
        <v>0.99988700574306233</v>
      </c>
    </row>
    <row r="708" spans="1:7" s="566" customFormat="1" ht="15">
      <c r="A708" s="561" t="s">
        <v>6187</v>
      </c>
      <c r="B708" s="562" t="s">
        <v>7032</v>
      </c>
      <c r="C708" s="565">
        <v>49.44</v>
      </c>
      <c r="D708" s="563">
        <v>6.49</v>
      </c>
      <c r="E708" s="564">
        <v>1.75</v>
      </c>
      <c r="F708" s="568">
        <f t="shared" si="20"/>
        <v>5.2028797665893844E-6</v>
      </c>
      <c r="G708" s="568">
        <f t="shared" si="21"/>
        <v>0.9998922086228289</v>
      </c>
    </row>
    <row r="709" spans="1:7" s="566" customFormat="1" ht="15">
      <c r="A709" s="561" t="s">
        <v>6187</v>
      </c>
      <c r="B709" s="562" t="s">
        <v>7073</v>
      </c>
      <c r="C709" s="565">
        <v>48.85</v>
      </c>
      <c r="D709" s="563">
        <v>7.7</v>
      </c>
      <c r="E709" s="564">
        <v>2.0699999999999998</v>
      </c>
      <c r="F709" s="568">
        <f t="shared" si="20"/>
        <v>5.1407903842615585E-6</v>
      </c>
      <c r="G709" s="568">
        <f t="shared" si="21"/>
        <v>0.99989734941321318</v>
      </c>
    </row>
    <row r="710" spans="1:7" s="566" customFormat="1" ht="15">
      <c r="A710" s="561" t="s">
        <v>6187</v>
      </c>
      <c r="B710" s="562" t="s">
        <v>7989</v>
      </c>
      <c r="C710" s="565">
        <v>48</v>
      </c>
      <c r="D710" s="563">
        <v>0.05</v>
      </c>
      <c r="E710" s="564">
        <v>0.01</v>
      </c>
      <c r="F710" s="568">
        <f t="shared" si="20"/>
        <v>5.0513395792129948E-6</v>
      </c>
      <c r="G710" s="568">
        <f t="shared" si="21"/>
        <v>0.99990240075279235</v>
      </c>
    </row>
    <row r="711" spans="1:7" s="566" customFormat="1" ht="30">
      <c r="A711" s="561" t="s">
        <v>6187</v>
      </c>
      <c r="B711" s="562" t="s">
        <v>7070</v>
      </c>
      <c r="C711" s="565">
        <v>47.46</v>
      </c>
      <c r="D711" s="563">
        <v>5.34</v>
      </c>
      <c r="E711" s="564">
        <v>1.44</v>
      </c>
      <c r="F711" s="568">
        <f t="shared" si="20"/>
        <v>4.9945120089468487E-6</v>
      </c>
      <c r="G711" s="568">
        <f t="shared" si="21"/>
        <v>0.99990739526480132</v>
      </c>
    </row>
    <row r="712" spans="1:7" s="566" customFormat="1" ht="15">
      <c r="A712" s="561" t="s">
        <v>6187</v>
      </c>
      <c r="B712" s="562" t="s">
        <v>7277</v>
      </c>
      <c r="C712" s="565">
        <v>46.32</v>
      </c>
      <c r="D712" s="563">
        <v>9.1199999999999992</v>
      </c>
      <c r="E712" s="564">
        <v>2.46</v>
      </c>
      <c r="F712" s="568">
        <f t="shared" si="20"/>
        <v>4.8745426939405397E-6</v>
      </c>
      <c r="G712" s="568">
        <f t="shared" si="21"/>
        <v>0.99991226980749526</v>
      </c>
    </row>
    <row r="713" spans="1:7" s="566" customFormat="1" ht="15">
      <c r="A713" s="561" t="s">
        <v>6187</v>
      </c>
      <c r="B713" s="562" t="s">
        <v>9118</v>
      </c>
      <c r="C713" s="565">
        <v>45.36</v>
      </c>
      <c r="D713" s="564">
        <v>0.85</v>
      </c>
      <c r="E713" s="564">
        <v>0.23</v>
      </c>
      <c r="F713" s="568">
        <f t="shared" si="20"/>
        <v>4.7735159023562803E-6</v>
      </c>
      <c r="G713" s="568">
        <f t="shared" si="21"/>
        <v>0.99991704332339759</v>
      </c>
    </row>
    <row r="714" spans="1:7" s="566" customFormat="1" ht="15">
      <c r="A714" s="561" t="s">
        <v>6187</v>
      </c>
      <c r="B714" s="562" t="s">
        <v>9120</v>
      </c>
      <c r="C714" s="565">
        <v>45.36</v>
      </c>
      <c r="D714" s="564">
        <v>0.85</v>
      </c>
      <c r="E714" s="564">
        <v>0.23</v>
      </c>
      <c r="F714" s="568">
        <f t="shared" si="20"/>
        <v>4.7735159023562803E-6</v>
      </c>
      <c r="G714" s="568">
        <f t="shared" si="21"/>
        <v>0.99992181683929993</v>
      </c>
    </row>
    <row r="715" spans="1:7" s="566" customFormat="1" ht="15">
      <c r="A715" s="561" t="s">
        <v>6187</v>
      </c>
      <c r="B715" s="562" t="s">
        <v>9119</v>
      </c>
      <c r="C715" s="565">
        <v>45.36</v>
      </c>
      <c r="D715" s="564">
        <v>0.85</v>
      </c>
      <c r="E715" s="564">
        <v>0.23</v>
      </c>
      <c r="F715" s="568">
        <f t="shared" si="20"/>
        <v>4.7735159023562803E-6</v>
      </c>
      <c r="G715" s="568">
        <f t="shared" si="21"/>
        <v>0.99992659035520226</v>
      </c>
    </row>
    <row r="716" spans="1:7" s="566" customFormat="1" ht="15">
      <c r="A716" s="561" t="s">
        <v>6187</v>
      </c>
      <c r="B716" s="562" t="s">
        <v>7187</v>
      </c>
      <c r="C716" s="565">
        <v>43.68</v>
      </c>
      <c r="D716" s="563">
        <v>34.409999999999997</v>
      </c>
      <c r="E716" s="564">
        <v>9.27</v>
      </c>
      <c r="F716" s="568">
        <f t="shared" si="20"/>
        <v>4.5967190170838252E-6</v>
      </c>
      <c r="G716" s="568">
        <f t="shared" si="21"/>
        <v>0.99993118707421935</v>
      </c>
    </row>
    <row r="717" spans="1:7" s="566" customFormat="1" ht="15">
      <c r="A717" s="561" t="s">
        <v>6187</v>
      </c>
      <c r="B717" s="562" t="s">
        <v>7266</v>
      </c>
      <c r="C717" s="565">
        <v>42.96</v>
      </c>
      <c r="D717" s="563">
        <v>11.28</v>
      </c>
      <c r="E717" s="564">
        <v>3.04</v>
      </c>
      <c r="F717" s="568">
        <f t="shared" si="20"/>
        <v>4.5209489233956304E-6</v>
      </c>
      <c r="G717" s="568">
        <f t="shared" si="21"/>
        <v>0.9999357080231428</v>
      </c>
    </row>
    <row r="718" spans="1:7" s="566" customFormat="1" ht="15">
      <c r="A718" s="561" t="s">
        <v>6187</v>
      </c>
      <c r="B718" s="562" t="s">
        <v>7052</v>
      </c>
      <c r="C718" s="565">
        <v>42.4</v>
      </c>
      <c r="D718" s="564">
        <v>8.35</v>
      </c>
      <c r="E718" s="564">
        <v>2.25</v>
      </c>
      <c r="F718" s="568">
        <f t="shared" si="20"/>
        <v>4.462016628304812E-6</v>
      </c>
      <c r="G718" s="568">
        <f t="shared" si="21"/>
        <v>0.99994017003977109</v>
      </c>
    </row>
    <row r="719" spans="1:7" s="566" customFormat="1" ht="15">
      <c r="A719" s="561" t="s">
        <v>6187</v>
      </c>
      <c r="B719" s="562" t="s">
        <v>7035</v>
      </c>
      <c r="C719" s="565">
        <v>41.82</v>
      </c>
      <c r="D719" s="563">
        <v>16.47</v>
      </c>
      <c r="E719" s="564">
        <v>4.4400000000000004</v>
      </c>
      <c r="F719" s="568">
        <f t="shared" si="20"/>
        <v>4.4009796083893222E-6</v>
      </c>
      <c r="G719" s="568">
        <f t="shared" si="21"/>
        <v>0.9999445710193795</v>
      </c>
    </row>
    <row r="720" spans="1:7" s="566" customFormat="1" ht="15">
      <c r="A720" s="561" t="s">
        <v>6187</v>
      </c>
      <c r="B720" s="567" t="s">
        <v>8484</v>
      </c>
      <c r="C720" s="565">
        <v>40.520000000000003</v>
      </c>
      <c r="D720" s="563">
        <v>15.96</v>
      </c>
      <c r="E720" s="564">
        <v>4.3</v>
      </c>
      <c r="F720" s="568">
        <f t="shared" ref="F720:F742" si="22">C720/SUM(C:C)</f>
        <v>4.2641724947856368E-6</v>
      </c>
      <c r="G720" s="568">
        <f t="shared" ref="G720:G742" si="23">F720+G719</f>
        <v>0.99994883519187427</v>
      </c>
    </row>
    <row r="721" spans="1:7" s="566" customFormat="1" ht="15">
      <c r="A721" s="561" t="s">
        <v>6187</v>
      </c>
      <c r="B721" s="562" t="s">
        <v>7189</v>
      </c>
      <c r="C721" s="565">
        <v>40.4</v>
      </c>
      <c r="D721" s="563">
        <v>7.96</v>
      </c>
      <c r="E721" s="564">
        <v>2.14</v>
      </c>
      <c r="F721" s="568">
        <f t="shared" si="22"/>
        <v>4.251544145837604E-6</v>
      </c>
      <c r="G721" s="568">
        <f t="shared" si="23"/>
        <v>0.99995308673602012</v>
      </c>
    </row>
    <row r="722" spans="1:7" s="566" customFormat="1" ht="45">
      <c r="A722" s="561" t="s">
        <v>6187</v>
      </c>
      <c r="B722" s="562" t="s">
        <v>9513</v>
      </c>
      <c r="C722" s="565">
        <v>37</v>
      </c>
      <c r="D722" s="563">
        <v>161.94999999999999</v>
      </c>
      <c r="E722" s="564">
        <v>43.61</v>
      </c>
      <c r="F722" s="568">
        <f t="shared" si="22"/>
        <v>3.8937409256433501E-6</v>
      </c>
      <c r="G722" s="568">
        <f t="shared" si="23"/>
        <v>0.99995698047694581</v>
      </c>
    </row>
    <row r="723" spans="1:7" s="566" customFormat="1" ht="15">
      <c r="A723" s="561" t="s">
        <v>6187</v>
      </c>
      <c r="B723" s="562" t="s">
        <v>7176</v>
      </c>
      <c r="C723" s="565">
        <v>35.200000000000003</v>
      </c>
      <c r="D723" s="563">
        <v>27.729999999999997</v>
      </c>
      <c r="E723" s="564">
        <v>7.47</v>
      </c>
      <c r="F723" s="568">
        <f t="shared" si="22"/>
        <v>3.7043156914228631E-6</v>
      </c>
      <c r="G723" s="568">
        <f t="shared" si="23"/>
        <v>0.99996068479263722</v>
      </c>
    </row>
    <row r="724" spans="1:7" s="566" customFormat="1" ht="15">
      <c r="A724" s="561" t="s">
        <v>6187</v>
      </c>
      <c r="B724" s="562" t="s">
        <v>7038</v>
      </c>
      <c r="C724" s="565">
        <v>33.51</v>
      </c>
      <c r="D724" s="563">
        <v>8.8000000000000007</v>
      </c>
      <c r="E724" s="564">
        <v>2.37</v>
      </c>
      <c r="F724" s="568">
        <f t="shared" si="22"/>
        <v>3.5264664437380719E-6</v>
      </c>
      <c r="G724" s="568">
        <f t="shared" si="23"/>
        <v>0.99996421125908097</v>
      </c>
    </row>
    <row r="725" spans="1:7" s="566" customFormat="1" ht="15">
      <c r="A725" s="561" t="s">
        <v>6187</v>
      </c>
      <c r="B725" s="562" t="s">
        <v>7086</v>
      </c>
      <c r="C725" s="565">
        <v>32.9</v>
      </c>
      <c r="D725" s="563">
        <v>25.92</v>
      </c>
      <c r="E725" s="564">
        <v>6.98</v>
      </c>
      <c r="F725" s="568">
        <f t="shared" si="22"/>
        <v>3.4622723365855732E-6</v>
      </c>
      <c r="G725" s="568">
        <f t="shared" si="23"/>
        <v>0.99996767353141758</v>
      </c>
    </row>
    <row r="726" spans="1:7" s="566" customFormat="1" ht="30">
      <c r="A726" s="561" t="s">
        <v>6187</v>
      </c>
      <c r="B726" s="562" t="s">
        <v>7069</v>
      </c>
      <c r="C726" s="565">
        <v>30.39</v>
      </c>
      <c r="D726" s="563">
        <v>7.98</v>
      </c>
      <c r="E726" s="564">
        <v>2.15</v>
      </c>
      <c r="F726" s="568">
        <f t="shared" si="22"/>
        <v>3.1981293710892276E-6</v>
      </c>
      <c r="G726" s="568">
        <f t="shared" si="23"/>
        <v>0.99997087166078868</v>
      </c>
    </row>
    <row r="727" spans="1:7" s="566" customFormat="1" ht="15">
      <c r="A727" s="561" t="s">
        <v>6187</v>
      </c>
      <c r="B727" s="562" t="s">
        <v>7158</v>
      </c>
      <c r="C727" s="565">
        <v>28.61</v>
      </c>
      <c r="D727" s="563">
        <v>22.54</v>
      </c>
      <c r="E727" s="564">
        <v>6.07</v>
      </c>
      <c r="F727" s="568">
        <f t="shared" si="22"/>
        <v>3.010808861693412E-6</v>
      </c>
      <c r="G727" s="568">
        <f t="shared" si="23"/>
        <v>0.99997388246965035</v>
      </c>
    </row>
    <row r="728" spans="1:7" s="566" customFormat="1" ht="15">
      <c r="A728" s="561" t="s">
        <v>6187</v>
      </c>
      <c r="B728" s="562" t="s">
        <v>7057</v>
      </c>
      <c r="C728" s="565">
        <v>27.54</v>
      </c>
      <c r="D728" s="563">
        <v>10.85</v>
      </c>
      <c r="E728" s="564">
        <v>2.92</v>
      </c>
      <c r="F728" s="568">
        <f t="shared" si="22"/>
        <v>2.8982060835734559E-6</v>
      </c>
      <c r="G728" s="568">
        <f t="shared" si="23"/>
        <v>0.99997678067573392</v>
      </c>
    </row>
    <row r="729" spans="1:7" s="566" customFormat="1" ht="30">
      <c r="A729" s="561" t="s">
        <v>6187</v>
      </c>
      <c r="B729" s="562" t="s">
        <v>8811</v>
      </c>
      <c r="C729" s="565">
        <v>26.1</v>
      </c>
      <c r="D729" s="564">
        <v>0.46</v>
      </c>
      <c r="E729" s="564">
        <v>0.12</v>
      </c>
      <c r="F729" s="568">
        <f t="shared" si="22"/>
        <v>2.7466658961970663E-6</v>
      </c>
      <c r="G729" s="568">
        <f t="shared" si="23"/>
        <v>0.99997952734163009</v>
      </c>
    </row>
    <row r="730" spans="1:7" s="566" customFormat="1" ht="30">
      <c r="A730" s="561" t="s">
        <v>6187</v>
      </c>
      <c r="B730" s="562" t="s">
        <v>7071</v>
      </c>
      <c r="C730" s="565">
        <v>22.44</v>
      </c>
      <c r="D730" s="564">
        <v>8.84</v>
      </c>
      <c r="E730" s="564">
        <v>2.38</v>
      </c>
      <c r="F730" s="568">
        <f t="shared" si="22"/>
        <v>2.3615012532820751E-6</v>
      </c>
      <c r="G730" s="568">
        <f t="shared" si="23"/>
        <v>0.99998188884288342</v>
      </c>
    </row>
    <row r="731" spans="1:7" s="566" customFormat="1" ht="15">
      <c r="A731" s="561" t="s">
        <v>6187</v>
      </c>
      <c r="B731" s="562" t="s">
        <v>7031</v>
      </c>
      <c r="C731" s="565">
        <v>21.9</v>
      </c>
      <c r="D731" s="563">
        <v>5.75</v>
      </c>
      <c r="E731" s="564">
        <v>1.55</v>
      </c>
      <c r="F731" s="568">
        <f t="shared" si="22"/>
        <v>2.304673683015929E-6</v>
      </c>
      <c r="G731" s="568">
        <f t="shared" si="23"/>
        <v>0.99998419351656642</v>
      </c>
    </row>
    <row r="732" spans="1:7" s="566" customFormat="1" ht="15">
      <c r="A732" s="561" t="s">
        <v>6187</v>
      </c>
      <c r="B732" s="562" t="s">
        <v>7036</v>
      </c>
      <c r="C732" s="565">
        <v>19.72</v>
      </c>
      <c r="D732" s="563">
        <v>7.77</v>
      </c>
      <c r="E732" s="564">
        <v>2.09</v>
      </c>
      <c r="F732" s="568">
        <f t="shared" si="22"/>
        <v>2.0752586771266719E-6</v>
      </c>
      <c r="G732" s="568">
        <f t="shared" si="23"/>
        <v>0.99998626877524355</v>
      </c>
    </row>
    <row r="733" spans="1:7" s="566" customFormat="1" ht="15">
      <c r="A733" s="561" t="s">
        <v>6187</v>
      </c>
      <c r="B733" s="562" t="s">
        <v>7033</v>
      </c>
      <c r="C733" s="565">
        <v>18.7</v>
      </c>
      <c r="D733" s="563">
        <v>7.370000000000001</v>
      </c>
      <c r="E733" s="564">
        <v>1.98</v>
      </c>
      <c r="F733" s="568">
        <f t="shared" si="22"/>
        <v>1.967917711068396E-6</v>
      </c>
      <c r="G733" s="568">
        <f t="shared" si="23"/>
        <v>0.99998823669295467</v>
      </c>
    </row>
    <row r="734" spans="1:7" s="566" customFormat="1" ht="30">
      <c r="A734" s="561" t="s">
        <v>6187</v>
      </c>
      <c r="B734" s="562" t="s">
        <v>7851</v>
      </c>
      <c r="C734" s="565">
        <v>17.28</v>
      </c>
      <c r="D734" s="563">
        <v>13.61</v>
      </c>
      <c r="E734" s="564">
        <v>3.67</v>
      </c>
      <c r="F734" s="568">
        <f t="shared" si="22"/>
        <v>1.8184822485166783E-6</v>
      </c>
      <c r="G734" s="568">
        <f t="shared" si="23"/>
        <v>0.99999005517520323</v>
      </c>
    </row>
    <row r="735" spans="1:7" s="566" customFormat="1" ht="15">
      <c r="A735" s="561" t="s">
        <v>6187</v>
      </c>
      <c r="B735" s="562" t="s">
        <v>7842</v>
      </c>
      <c r="C735" s="565">
        <v>16.89</v>
      </c>
      <c r="D735" s="564">
        <v>13.309999999999999</v>
      </c>
      <c r="E735" s="564">
        <v>3.58</v>
      </c>
      <c r="F735" s="568">
        <f t="shared" si="22"/>
        <v>1.7774401144355727E-6</v>
      </c>
      <c r="G735" s="568">
        <f t="shared" si="23"/>
        <v>0.99999183261531766</v>
      </c>
    </row>
    <row r="736" spans="1:7" s="566" customFormat="1" ht="15">
      <c r="A736" s="561" t="s">
        <v>6187</v>
      </c>
      <c r="B736" s="562" t="s">
        <v>7076</v>
      </c>
      <c r="C736" s="565">
        <v>16.03</v>
      </c>
      <c r="D736" s="564">
        <v>12.63</v>
      </c>
      <c r="E736" s="564">
        <v>3.4</v>
      </c>
      <c r="F736" s="568">
        <f t="shared" si="22"/>
        <v>1.6869369469746733E-6</v>
      </c>
      <c r="G736" s="568">
        <f t="shared" si="23"/>
        <v>0.99999351955226468</v>
      </c>
    </row>
    <row r="737" spans="1:7" s="566" customFormat="1" ht="15">
      <c r="A737" s="561" t="s">
        <v>6187</v>
      </c>
      <c r="B737" s="562" t="s">
        <v>7182</v>
      </c>
      <c r="C737" s="565">
        <v>15.03</v>
      </c>
      <c r="D737" s="563">
        <v>11.84</v>
      </c>
      <c r="E737" s="564">
        <v>3.19</v>
      </c>
      <c r="F737" s="568">
        <f t="shared" si="22"/>
        <v>1.5817007057410689E-6</v>
      </c>
      <c r="G737" s="568">
        <f t="shared" si="23"/>
        <v>0.99999510125297042</v>
      </c>
    </row>
    <row r="738" spans="1:7" s="566" customFormat="1" ht="15">
      <c r="A738" s="561" t="s">
        <v>6187</v>
      </c>
      <c r="B738" s="562" t="s">
        <v>7206</v>
      </c>
      <c r="C738" s="565">
        <v>14.03</v>
      </c>
      <c r="D738" s="563">
        <v>11.05</v>
      </c>
      <c r="E738" s="564">
        <v>2.98</v>
      </c>
      <c r="F738" s="568">
        <f t="shared" si="22"/>
        <v>1.4764644645074649E-6</v>
      </c>
      <c r="G738" s="568">
        <f t="shared" si="23"/>
        <v>0.99999657771743489</v>
      </c>
    </row>
    <row r="739" spans="1:7" s="566" customFormat="1" ht="15">
      <c r="A739" s="561" t="s">
        <v>6187</v>
      </c>
      <c r="B739" s="562" t="s">
        <v>7037</v>
      </c>
      <c r="C739" s="565">
        <v>10.18</v>
      </c>
      <c r="D739" s="563">
        <v>8.02</v>
      </c>
      <c r="E739" s="564">
        <v>2.16</v>
      </c>
      <c r="F739" s="568">
        <f t="shared" si="22"/>
        <v>1.0713049357580892E-6</v>
      </c>
      <c r="G739" s="568">
        <f t="shared" si="23"/>
        <v>0.99999764902237065</v>
      </c>
    </row>
    <row r="740" spans="1:7" s="566" customFormat="1" ht="15">
      <c r="A740" s="561" t="s">
        <v>6187</v>
      </c>
      <c r="B740" s="562" t="s">
        <v>7068</v>
      </c>
      <c r="C740" s="565">
        <v>10</v>
      </c>
      <c r="D740" s="563">
        <v>7.88</v>
      </c>
      <c r="E740" s="564">
        <v>2.12</v>
      </c>
      <c r="F740" s="568">
        <f t="shared" si="22"/>
        <v>1.0523624123360405E-6</v>
      </c>
      <c r="G740" s="568">
        <f t="shared" si="23"/>
        <v>0.99999870138478297</v>
      </c>
    </row>
    <row r="741" spans="1:7" s="566" customFormat="1" ht="15">
      <c r="A741" s="561" t="s">
        <v>6187</v>
      </c>
      <c r="B741" s="562" t="s">
        <v>7188</v>
      </c>
      <c r="C741" s="565">
        <v>6.69</v>
      </c>
      <c r="D741" s="563">
        <v>5.27</v>
      </c>
      <c r="E741" s="564">
        <v>1.42</v>
      </c>
      <c r="F741" s="568">
        <f t="shared" si="22"/>
        <v>7.0403045385281118E-7</v>
      </c>
      <c r="G741" s="568">
        <f t="shared" si="23"/>
        <v>0.9999994054152368</v>
      </c>
    </row>
    <row r="742" spans="1:7" s="566" customFormat="1" ht="15">
      <c r="A742" s="561" t="s">
        <v>6187</v>
      </c>
      <c r="B742" s="562" t="s">
        <v>7049</v>
      </c>
      <c r="C742" s="565">
        <v>5.65</v>
      </c>
      <c r="D742" s="563">
        <v>4.45</v>
      </c>
      <c r="E742" s="564">
        <v>1.2</v>
      </c>
      <c r="F742" s="568">
        <f t="shared" si="22"/>
        <v>5.9458476296986298E-7</v>
      </c>
      <c r="G742" s="568">
        <f t="shared" si="23"/>
        <v>0.99999999999999978</v>
      </c>
    </row>
    <row r="743" spans="1:7" ht="15">
      <c r="A743" s="499"/>
      <c r="B743" s="34"/>
      <c r="C743" s="428"/>
      <c r="D743" s="14"/>
      <c r="E743" s="14"/>
      <c r="F743" s="70"/>
      <c r="G743" s="70"/>
    </row>
    <row r="744" spans="1:7" ht="15">
      <c r="A744" s="499"/>
      <c r="B744" s="496"/>
      <c r="C744" s="429"/>
      <c r="D744" s="141"/>
      <c r="E744" s="141"/>
      <c r="F744" s="73"/>
      <c r="G744" s="73"/>
    </row>
    <row r="745" spans="1:7" ht="15">
      <c r="A745" s="499"/>
      <c r="B745" s="496"/>
      <c r="C745" s="429"/>
      <c r="D745" s="141"/>
      <c r="E745" s="141"/>
      <c r="F745" s="73"/>
      <c r="G745" s="73"/>
    </row>
    <row r="746" spans="1:7" ht="15">
      <c r="A746" s="499"/>
      <c r="B746" s="496"/>
      <c r="C746" s="429"/>
      <c r="D746" s="141"/>
      <c r="E746" s="141"/>
      <c r="F746" s="73"/>
      <c r="G746" s="73"/>
    </row>
    <row r="747" spans="1:7" s="117" customFormat="1" ht="15">
      <c r="A747" s="499"/>
      <c r="B747" s="496"/>
      <c r="C747" s="429"/>
      <c r="D747" s="141"/>
      <c r="E747" s="141"/>
      <c r="F747" s="73"/>
      <c r="G747" s="73"/>
    </row>
    <row r="748" spans="1:7" s="117" customFormat="1" ht="15">
      <c r="A748" s="499"/>
      <c r="B748" s="496"/>
      <c r="C748" s="429"/>
      <c r="D748" s="141"/>
      <c r="E748" s="141"/>
      <c r="F748" s="73"/>
      <c r="G748" s="73"/>
    </row>
    <row r="749" spans="1:7" s="117" customFormat="1" ht="15">
      <c r="A749" s="499"/>
      <c r="B749" s="496"/>
      <c r="C749" s="429"/>
      <c r="D749" s="141"/>
      <c r="E749" s="141"/>
      <c r="F749" s="73"/>
      <c r="G749" s="73"/>
    </row>
    <row r="750" spans="1:7" s="117" customFormat="1">
      <c r="A750" s="8"/>
      <c r="B750" s="498"/>
      <c r="C750" s="381"/>
      <c r="D750" s="333"/>
      <c r="E750" s="333"/>
      <c r="F750" s="517"/>
      <c r="G750" s="517"/>
    </row>
  </sheetData>
  <sheetProtection selectLockedCells="1" selectUnlockedCells="1"/>
  <autoFilter ref="A13:AE13">
    <sortState ref="A14:AE742">
      <sortCondition descending="1" ref="C13"/>
    </sortState>
  </autoFilter>
  <mergeCells count="5">
    <mergeCell ref="A2:G2"/>
    <mergeCell ref="A3:G3"/>
    <mergeCell ref="A4:G4"/>
    <mergeCell ref="A7:G7"/>
    <mergeCell ref="A12:G12"/>
  </mergeCells>
  <printOptions horizontalCentered="1"/>
  <pageMargins left="0.70866141732283472" right="0.70866141732283472" top="0.39370078740157483" bottom="0.78740157480314965" header="0.19685039370078741" footer="0"/>
  <pageSetup paperSize="9" scale="24" firstPageNumber="157" fitToHeight="0" orientation="portrait" useFirstPageNumber="1" r:id="rId1"/>
  <headerFooter alignWithMargins="0">
    <oddFooter xml:space="preserve">&amp;CEng. Civil Daniele Firme Miranda
CREA: 24.965/D-DF
ART nº 0720190034483
&amp;RPágina &amp;P de 208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2"/>
  <dimension ref="A1:N212"/>
  <sheetViews>
    <sheetView view="pageLayout" topLeftCell="A244" zoomScaleNormal="100" zoomScaleSheetLayoutView="115" workbookViewId="0">
      <selection activeCell="E25" sqref="E25"/>
    </sheetView>
  </sheetViews>
  <sheetFormatPr defaultRowHeight="12.75"/>
  <cols>
    <col min="1" max="1" width="12.140625" style="276" customWidth="1"/>
    <col min="2" max="2" width="12.42578125" style="276" customWidth="1"/>
    <col min="3" max="3" width="25.42578125" style="276" customWidth="1"/>
    <col min="4" max="4" width="7.7109375" style="276" customWidth="1"/>
    <col min="5" max="7" width="19.7109375" style="276" customWidth="1"/>
    <col min="8" max="11" width="19.7109375" style="176" customWidth="1"/>
    <col min="12" max="256" width="9.140625" style="176"/>
    <col min="257" max="257" width="14.140625" style="176" customWidth="1"/>
    <col min="258" max="258" width="10.140625" style="176" bestFit="1" customWidth="1"/>
    <col min="259" max="259" width="39.7109375" style="176" customWidth="1"/>
    <col min="260" max="260" width="4.5703125" style="176" customWidth="1"/>
    <col min="261" max="261" width="17.7109375" style="176" customWidth="1"/>
    <col min="262" max="262" width="16.85546875" style="176" customWidth="1"/>
    <col min="263" max="263" width="17.140625" style="176" customWidth="1"/>
    <col min="264" max="512" width="9.140625" style="176"/>
    <col min="513" max="513" width="14.140625" style="176" customWidth="1"/>
    <col min="514" max="514" width="10.140625" style="176" bestFit="1" customWidth="1"/>
    <col min="515" max="515" width="39.7109375" style="176" customWidth="1"/>
    <col min="516" max="516" width="4.5703125" style="176" customWidth="1"/>
    <col min="517" max="517" width="17.7109375" style="176" customWidth="1"/>
    <col min="518" max="518" width="16.85546875" style="176" customWidth="1"/>
    <col min="519" max="519" width="17.140625" style="176" customWidth="1"/>
    <col min="520" max="768" width="9.140625" style="176"/>
    <col min="769" max="769" width="14.140625" style="176" customWidth="1"/>
    <col min="770" max="770" width="10.140625" style="176" bestFit="1" customWidth="1"/>
    <col min="771" max="771" width="39.7109375" style="176" customWidth="1"/>
    <col min="772" max="772" width="4.5703125" style="176" customWidth="1"/>
    <col min="773" max="773" width="17.7109375" style="176" customWidth="1"/>
    <col min="774" max="774" width="16.85546875" style="176" customWidth="1"/>
    <col min="775" max="775" width="17.140625" style="176" customWidth="1"/>
    <col min="776" max="1024" width="9.140625" style="176"/>
    <col min="1025" max="1025" width="14.140625" style="176" customWidth="1"/>
    <col min="1026" max="1026" width="10.140625" style="176" bestFit="1" customWidth="1"/>
    <col min="1027" max="1027" width="39.7109375" style="176" customWidth="1"/>
    <col min="1028" max="1028" width="4.5703125" style="176" customWidth="1"/>
    <col min="1029" max="1029" width="17.7109375" style="176" customWidth="1"/>
    <col min="1030" max="1030" width="16.85546875" style="176" customWidth="1"/>
    <col min="1031" max="1031" width="17.140625" style="176" customWidth="1"/>
    <col min="1032" max="1280" width="9.140625" style="176"/>
    <col min="1281" max="1281" width="14.140625" style="176" customWidth="1"/>
    <col min="1282" max="1282" width="10.140625" style="176" bestFit="1" customWidth="1"/>
    <col min="1283" max="1283" width="39.7109375" style="176" customWidth="1"/>
    <col min="1284" max="1284" width="4.5703125" style="176" customWidth="1"/>
    <col min="1285" max="1285" width="17.7109375" style="176" customWidth="1"/>
    <col min="1286" max="1286" width="16.85546875" style="176" customWidth="1"/>
    <col min="1287" max="1287" width="17.140625" style="176" customWidth="1"/>
    <col min="1288" max="1536" width="9.140625" style="176"/>
    <col min="1537" max="1537" width="14.140625" style="176" customWidth="1"/>
    <col min="1538" max="1538" width="10.140625" style="176" bestFit="1" customWidth="1"/>
    <col min="1539" max="1539" width="39.7109375" style="176" customWidth="1"/>
    <col min="1540" max="1540" width="4.5703125" style="176" customWidth="1"/>
    <col min="1541" max="1541" width="17.7109375" style="176" customWidth="1"/>
    <col min="1542" max="1542" width="16.85546875" style="176" customWidth="1"/>
    <col min="1543" max="1543" width="17.140625" style="176" customWidth="1"/>
    <col min="1544" max="1792" width="9.140625" style="176"/>
    <col min="1793" max="1793" width="14.140625" style="176" customWidth="1"/>
    <col min="1794" max="1794" width="10.140625" style="176" bestFit="1" customWidth="1"/>
    <col min="1795" max="1795" width="39.7109375" style="176" customWidth="1"/>
    <col min="1796" max="1796" width="4.5703125" style="176" customWidth="1"/>
    <col min="1797" max="1797" width="17.7109375" style="176" customWidth="1"/>
    <col min="1798" max="1798" width="16.85546875" style="176" customWidth="1"/>
    <col min="1799" max="1799" width="17.140625" style="176" customWidth="1"/>
    <col min="1800" max="2048" width="9.140625" style="176"/>
    <col min="2049" max="2049" width="14.140625" style="176" customWidth="1"/>
    <col min="2050" max="2050" width="10.140625" style="176" bestFit="1" customWidth="1"/>
    <col min="2051" max="2051" width="39.7109375" style="176" customWidth="1"/>
    <col min="2052" max="2052" width="4.5703125" style="176" customWidth="1"/>
    <col min="2053" max="2053" width="17.7109375" style="176" customWidth="1"/>
    <col min="2054" max="2054" width="16.85546875" style="176" customWidth="1"/>
    <col min="2055" max="2055" width="17.140625" style="176" customWidth="1"/>
    <col min="2056" max="2304" width="9.140625" style="176"/>
    <col min="2305" max="2305" width="14.140625" style="176" customWidth="1"/>
    <col min="2306" max="2306" width="10.140625" style="176" bestFit="1" customWidth="1"/>
    <col min="2307" max="2307" width="39.7109375" style="176" customWidth="1"/>
    <col min="2308" max="2308" width="4.5703125" style="176" customWidth="1"/>
    <col min="2309" max="2309" width="17.7109375" style="176" customWidth="1"/>
    <col min="2310" max="2310" width="16.85546875" style="176" customWidth="1"/>
    <col min="2311" max="2311" width="17.140625" style="176" customWidth="1"/>
    <col min="2312" max="2560" width="9.140625" style="176"/>
    <col min="2561" max="2561" width="14.140625" style="176" customWidth="1"/>
    <col min="2562" max="2562" width="10.140625" style="176" bestFit="1" customWidth="1"/>
    <col min="2563" max="2563" width="39.7109375" style="176" customWidth="1"/>
    <col min="2564" max="2564" width="4.5703125" style="176" customWidth="1"/>
    <col min="2565" max="2565" width="17.7109375" style="176" customWidth="1"/>
    <col min="2566" max="2566" width="16.85546875" style="176" customWidth="1"/>
    <col min="2567" max="2567" width="17.140625" style="176" customWidth="1"/>
    <col min="2568" max="2816" width="9.140625" style="176"/>
    <col min="2817" max="2817" width="14.140625" style="176" customWidth="1"/>
    <col min="2818" max="2818" width="10.140625" style="176" bestFit="1" customWidth="1"/>
    <col min="2819" max="2819" width="39.7109375" style="176" customWidth="1"/>
    <col min="2820" max="2820" width="4.5703125" style="176" customWidth="1"/>
    <col min="2821" max="2821" width="17.7109375" style="176" customWidth="1"/>
    <col min="2822" max="2822" width="16.85546875" style="176" customWidth="1"/>
    <col min="2823" max="2823" width="17.140625" style="176" customWidth="1"/>
    <col min="2824" max="3072" width="9.140625" style="176"/>
    <col min="3073" max="3073" width="14.140625" style="176" customWidth="1"/>
    <col min="3074" max="3074" width="10.140625" style="176" bestFit="1" customWidth="1"/>
    <col min="3075" max="3075" width="39.7109375" style="176" customWidth="1"/>
    <col min="3076" max="3076" width="4.5703125" style="176" customWidth="1"/>
    <col min="3077" max="3077" width="17.7109375" style="176" customWidth="1"/>
    <col min="3078" max="3078" width="16.85546875" style="176" customWidth="1"/>
    <col min="3079" max="3079" width="17.140625" style="176" customWidth="1"/>
    <col min="3080" max="3328" width="9.140625" style="176"/>
    <col min="3329" max="3329" width="14.140625" style="176" customWidth="1"/>
    <col min="3330" max="3330" width="10.140625" style="176" bestFit="1" customWidth="1"/>
    <col min="3331" max="3331" width="39.7109375" style="176" customWidth="1"/>
    <col min="3332" max="3332" width="4.5703125" style="176" customWidth="1"/>
    <col min="3333" max="3333" width="17.7109375" style="176" customWidth="1"/>
    <col min="3334" max="3334" width="16.85546875" style="176" customWidth="1"/>
    <col min="3335" max="3335" width="17.140625" style="176" customWidth="1"/>
    <col min="3336" max="3584" width="9.140625" style="176"/>
    <col min="3585" max="3585" width="14.140625" style="176" customWidth="1"/>
    <col min="3586" max="3586" width="10.140625" style="176" bestFit="1" customWidth="1"/>
    <col min="3587" max="3587" width="39.7109375" style="176" customWidth="1"/>
    <col min="3588" max="3588" width="4.5703125" style="176" customWidth="1"/>
    <col min="3589" max="3589" width="17.7109375" style="176" customWidth="1"/>
    <col min="3590" max="3590" width="16.85546875" style="176" customWidth="1"/>
    <col min="3591" max="3591" width="17.140625" style="176" customWidth="1"/>
    <col min="3592" max="3840" width="9.140625" style="176"/>
    <col min="3841" max="3841" width="14.140625" style="176" customWidth="1"/>
    <col min="3842" max="3842" width="10.140625" style="176" bestFit="1" customWidth="1"/>
    <col min="3843" max="3843" width="39.7109375" style="176" customWidth="1"/>
    <col min="3844" max="3844" width="4.5703125" style="176" customWidth="1"/>
    <col min="3845" max="3845" width="17.7109375" style="176" customWidth="1"/>
    <col min="3846" max="3846" width="16.85546875" style="176" customWidth="1"/>
    <col min="3847" max="3847" width="17.140625" style="176" customWidth="1"/>
    <col min="3848" max="4096" width="9.140625" style="176"/>
    <col min="4097" max="4097" width="14.140625" style="176" customWidth="1"/>
    <col min="4098" max="4098" width="10.140625" style="176" bestFit="1" customWidth="1"/>
    <col min="4099" max="4099" width="39.7109375" style="176" customWidth="1"/>
    <col min="4100" max="4100" width="4.5703125" style="176" customWidth="1"/>
    <col min="4101" max="4101" width="17.7109375" style="176" customWidth="1"/>
    <col min="4102" max="4102" width="16.85546875" style="176" customWidth="1"/>
    <col min="4103" max="4103" width="17.140625" style="176" customWidth="1"/>
    <col min="4104" max="4352" width="9.140625" style="176"/>
    <col min="4353" max="4353" width="14.140625" style="176" customWidth="1"/>
    <col min="4354" max="4354" width="10.140625" style="176" bestFit="1" customWidth="1"/>
    <col min="4355" max="4355" width="39.7109375" style="176" customWidth="1"/>
    <col min="4356" max="4356" width="4.5703125" style="176" customWidth="1"/>
    <col min="4357" max="4357" width="17.7109375" style="176" customWidth="1"/>
    <col min="4358" max="4358" width="16.85546875" style="176" customWidth="1"/>
    <col min="4359" max="4359" width="17.140625" style="176" customWidth="1"/>
    <col min="4360" max="4608" width="9.140625" style="176"/>
    <col min="4609" max="4609" width="14.140625" style="176" customWidth="1"/>
    <col min="4610" max="4610" width="10.140625" style="176" bestFit="1" customWidth="1"/>
    <col min="4611" max="4611" width="39.7109375" style="176" customWidth="1"/>
    <col min="4612" max="4612" width="4.5703125" style="176" customWidth="1"/>
    <col min="4613" max="4613" width="17.7109375" style="176" customWidth="1"/>
    <col min="4614" max="4614" width="16.85546875" style="176" customWidth="1"/>
    <col min="4615" max="4615" width="17.140625" style="176" customWidth="1"/>
    <col min="4616" max="4864" width="9.140625" style="176"/>
    <col min="4865" max="4865" width="14.140625" style="176" customWidth="1"/>
    <col min="4866" max="4866" width="10.140625" style="176" bestFit="1" customWidth="1"/>
    <col min="4867" max="4867" width="39.7109375" style="176" customWidth="1"/>
    <col min="4868" max="4868" width="4.5703125" style="176" customWidth="1"/>
    <col min="4869" max="4869" width="17.7109375" style="176" customWidth="1"/>
    <col min="4870" max="4870" width="16.85546875" style="176" customWidth="1"/>
    <col min="4871" max="4871" width="17.140625" style="176" customWidth="1"/>
    <col min="4872" max="5120" width="9.140625" style="176"/>
    <col min="5121" max="5121" width="14.140625" style="176" customWidth="1"/>
    <col min="5122" max="5122" width="10.140625" style="176" bestFit="1" customWidth="1"/>
    <col min="5123" max="5123" width="39.7109375" style="176" customWidth="1"/>
    <col min="5124" max="5124" width="4.5703125" style="176" customWidth="1"/>
    <col min="5125" max="5125" width="17.7109375" style="176" customWidth="1"/>
    <col min="5126" max="5126" width="16.85546875" style="176" customWidth="1"/>
    <col min="5127" max="5127" width="17.140625" style="176" customWidth="1"/>
    <col min="5128" max="5376" width="9.140625" style="176"/>
    <col min="5377" max="5377" width="14.140625" style="176" customWidth="1"/>
    <col min="5378" max="5378" width="10.140625" style="176" bestFit="1" customWidth="1"/>
    <col min="5379" max="5379" width="39.7109375" style="176" customWidth="1"/>
    <col min="5380" max="5380" width="4.5703125" style="176" customWidth="1"/>
    <col min="5381" max="5381" width="17.7109375" style="176" customWidth="1"/>
    <col min="5382" max="5382" width="16.85546875" style="176" customWidth="1"/>
    <col min="5383" max="5383" width="17.140625" style="176" customWidth="1"/>
    <col min="5384" max="5632" width="9.140625" style="176"/>
    <col min="5633" max="5633" width="14.140625" style="176" customWidth="1"/>
    <col min="5634" max="5634" width="10.140625" style="176" bestFit="1" customWidth="1"/>
    <col min="5635" max="5635" width="39.7109375" style="176" customWidth="1"/>
    <col min="5636" max="5636" width="4.5703125" style="176" customWidth="1"/>
    <col min="5637" max="5637" width="17.7109375" style="176" customWidth="1"/>
    <col min="5638" max="5638" width="16.85546875" style="176" customWidth="1"/>
    <col min="5639" max="5639" width="17.140625" style="176" customWidth="1"/>
    <col min="5640" max="5888" width="9.140625" style="176"/>
    <col min="5889" max="5889" width="14.140625" style="176" customWidth="1"/>
    <col min="5890" max="5890" width="10.140625" style="176" bestFit="1" customWidth="1"/>
    <col min="5891" max="5891" width="39.7109375" style="176" customWidth="1"/>
    <col min="5892" max="5892" width="4.5703125" style="176" customWidth="1"/>
    <col min="5893" max="5893" width="17.7109375" style="176" customWidth="1"/>
    <col min="5894" max="5894" width="16.85546875" style="176" customWidth="1"/>
    <col min="5895" max="5895" width="17.140625" style="176" customWidth="1"/>
    <col min="5896" max="6144" width="9.140625" style="176"/>
    <col min="6145" max="6145" width="14.140625" style="176" customWidth="1"/>
    <col min="6146" max="6146" width="10.140625" style="176" bestFit="1" customWidth="1"/>
    <col min="6147" max="6147" width="39.7109375" style="176" customWidth="1"/>
    <col min="6148" max="6148" width="4.5703125" style="176" customWidth="1"/>
    <col min="6149" max="6149" width="17.7109375" style="176" customWidth="1"/>
    <col min="6150" max="6150" width="16.85546875" style="176" customWidth="1"/>
    <col min="6151" max="6151" width="17.140625" style="176" customWidth="1"/>
    <col min="6152" max="6400" width="9.140625" style="176"/>
    <col min="6401" max="6401" width="14.140625" style="176" customWidth="1"/>
    <col min="6402" max="6402" width="10.140625" style="176" bestFit="1" customWidth="1"/>
    <col min="6403" max="6403" width="39.7109375" style="176" customWidth="1"/>
    <col min="6404" max="6404" width="4.5703125" style="176" customWidth="1"/>
    <col min="6405" max="6405" width="17.7109375" style="176" customWidth="1"/>
    <col min="6406" max="6406" width="16.85546875" style="176" customWidth="1"/>
    <col min="6407" max="6407" width="17.140625" style="176" customWidth="1"/>
    <col min="6408" max="6656" width="9.140625" style="176"/>
    <col min="6657" max="6657" width="14.140625" style="176" customWidth="1"/>
    <col min="6658" max="6658" width="10.140625" style="176" bestFit="1" customWidth="1"/>
    <col min="6659" max="6659" width="39.7109375" style="176" customWidth="1"/>
    <col min="6660" max="6660" width="4.5703125" style="176" customWidth="1"/>
    <col min="6661" max="6661" width="17.7109375" style="176" customWidth="1"/>
    <col min="6662" max="6662" width="16.85546875" style="176" customWidth="1"/>
    <col min="6663" max="6663" width="17.140625" style="176" customWidth="1"/>
    <col min="6664" max="6912" width="9.140625" style="176"/>
    <col min="6913" max="6913" width="14.140625" style="176" customWidth="1"/>
    <col min="6914" max="6914" width="10.140625" style="176" bestFit="1" customWidth="1"/>
    <col min="6915" max="6915" width="39.7109375" style="176" customWidth="1"/>
    <col min="6916" max="6916" width="4.5703125" style="176" customWidth="1"/>
    <col min="6917" max="6917" width="17.7109375" style="176" customWidth="1"/>
    <col min="6918" max="6918" width="16.85546875" style="176" customWidth="1"/>
    <col min="6919" max="6919" width="17.140625" style="176" customWidth="1"/>
    <col min="6920" max="7168" width="9.140625" style="176"/>
    <col min="7169" max="7169" width="14.140625" style="176" customWidth="1"/>
    <col min="7170" max="7170" width="10.140625" style="176" bestFit="1" customWidth="1"/>
    <col min="7171" max="7171" width="39.7109375" style="176" customWidth="1"/>
    <col min="7172" max="7172" width="4.5703125" style="176" customWidth="1"/>
    <col min="7173" max="7173" width="17.7109375" style="176" customWidth="1"/>
    <col min="7174" max="7174" width="16.85546875" style="176" customWidth="1"/>
    <col min="7175" max="7175" width="17.140625" style="176" customWidth="1"/>
    <col min="7176" max="7424" width="9.140625" style="176"/>
    <col min="7425" max="7425" width="14.140625" style="176" customWidth="1"/>
    <col min="7426" max="7426" width="10.140625" style="176" bestFit="1" customWidth="1"/>
    <col min="7427" max="7427" width="39.7109375" style="176" customWidth="1"/>
    <col min="7428" max="7428" width="4.5703125" style="176" customWidth="1"/>
    <col min="7429" max="7429" width="17.7109375" style="176" customWidth="1"/>
    <col min="7430" max="7430" width="16.85546875" style="176" customWidth="1"/>
    <col min="7431" max="7431" width="17.140625" style="176" customWidth="1"/>
    <col min="7432" max="7680" width="9.140625" style="176"/>
    <col min="7681" max="7681" width="14.140625" style="176" customWidth="1"/>
    <col min="7682" max="7682" width="10.140625" style="176" bestFit="1" customWidth="1"/>
    <col min="7683" max="7683" width="39.7109375" style="176" customWidth="1"/>
    <col min="7684" max="7684" width="4.5703125" style="176" customWidth="1"/>
    <col min="7685" max="7685" width="17.7109375" style="176" customWidth="1"/>
    <col min="7686" max="7686" width="16.85546875" style="176" customWidth="1"/>
    <col min="7687" max="7687" width="17.140625" style="176" customWidth="1"/>
    <col min="7688" max="7936" width="9.140625" style="176"/>
    <col min="7937" max="7937" width="14.140625" style="176" customWidth="1"/>
    <col min="7938" max="7938" width="10.140625" style="176" bestFit="1" customWidth="1"/>
    <col min="7939" max="7939" width="39.7109375" style="176" customWidth="1"/>
    <col min="7940" max="7940" width="4.5703125" style="176" customWidth="1"/>
    <col min="7941" max="7941" width="17.7109375" style="176" customWidth="1"/>
    <col min="7942" max="7942" width="16.85546875" style="176" customWidth="1"/>
    <col min="7943" max="7943" width="17.140625" style="176" customWidth="1"/>
    <col min="7944" max="8192" width="9.140625" style="176"/>
    <col min="8193" max="8193" width="14.140625" style="176" customWidth="1"/>
    <col min="8194" max="8194" width="10.140625" style="176" bestFit="1" customWidth="1"/>
    <col min="8195" max="8195" width="39.7109375" style="176" customWidth="1"/>
    <col min="8196" max="8196" width="4.5703125" style="176" customWidth="1"/>
    <col min="8197" max="8197" width="17.7109375" style="176" customWidth="1"/>
    <col min="8198" max="8198" width="16.85546875" style="176" customWidth="1"/>
    <col min="8199" max="8199" width="17.140625" style="176" customWidth="1"/>
    <col min="8200" max="8448" width="9.140625" style="176"/>
    <col min="8449" max="8449" width="14.140625" style="176" customWidth="1"/>
    <col min="8450" max="8450" width="10.140625" style="176" bestFit="1" customWidth="1"/>
    <col min="8451" max="8451" width="39.7109375" style="176" customWidth="1"/>
    <col min="8452" max="8452" width="4.5703125" style="176" customWidth="1"/>
    <col min="8453" max="8453" width="17.7109375" style="176" customWidth="1"/>
    <col min="8454" max="8454" width="16.85546875" style="176" customWidth="1"/>
    <col min="8455" max="8455" width="17.140625" style="176" customWidth="1"/>
    <col min="8456" max="8704" width="9.140625" style="176"/>
    <col min="8705" max="8705" width="14.140625" style="176" customWidth="1"/>
    <col min="8706" max="8706" width="10.140625" style="176" bestFit="1" customWidth="1"/>
    <col min="8707" max="8707" width="39.7109375" style="176" customWidth="1"/>
    <col min="8708" max="8708" width="4.5703125" style="176" customWidth="1"/>
    <col min="8709" max="8709" width="17.7109375" style="176" customWidth="1"/>
    <col min="8710" max="8710" width="16.85546875" style="176" customWidth="1"/>
    <col min="8711" max="8711" width="17.140625" style="176" customWidth="1"/>
    <col min="8712" max="8960" width="9.140625" style="176"/>
    <col min="8961" max="8961" width="14.140625" style="176" customWidth="1"/>
    <col min="8962" max="8962" width="10.140625" style="176" bestFit="1" customWidth="1"/>
    <col min="8963" max="8963" width="39.7109375" style="176" customWidth="1"/>
    <col min="8964" max="8964" width="4.5703125" style="176" customWidth="1"/>
    <col min="8965" max="8965" width="17.7109375" style="176" customWidth="1"/>
    <col min="8966" max="8966" width="16.85546875" style="176" customWidth="1"/>
    <col min="8967" max="8967" width="17.140625" style="176" customWidth="1"/>
    <col min="8968" max="9216" width="9.140625" style="176"/>
    <col min="9217" max="9217" width="14.140625" style="176" customWidth="1"/>
    <col min="9218" max="9218" width="10.140625" style="176" bestFit="1" customWidth="1"/>
    <col min="9219" max="9219" width="39.7109375" style="176" customWidth="1"/>
    <col min="9220" max="9220" width="4.5703125" style="176" customWidth="1"/>
    <col min="9221" max="9221" width="17.7109375" style="176" customWidth="1"/>
    <col min="9222" max="9222" width="16.85546875" style="176" customWidth="1"/>
    <col min="9223" max="9223" width="17.140625" style="176" customWidth="1"/>
    <col min="9224" max="9472" width="9.140625" style="176"/>
    <col min="9473" max="9473" width="14.140625" style="176" customWidth="1"/>
    <col min="9474" max="9474" width="10.140625" style="176" bestFit="1" customWidth="1"/>
    <col min="9475" max="9475" width="39.7109375" style="176" customWidth="1"/>
    <col min="9476" max="9476" width="4.5703125" style="176" customWidth="1"/>
    <col min="9477" max="9477" width="17.7109375" style="176" customWidth="1"/>
    <col min="9478" max="9478" width="16.85546875" style="176" customWidth="1"/>
    <col min="9479" max="9479" width="17.140625" style="176" customWidth="1"/>
    <col min="9480" max="9728" width="9.140625" style="176"/>
    <col min="9729" max="9729" width="14.140625" style="176" customWidth="1"/>
    <col min="9730" max="9730" width="10.140625" style="176" bestFit="1" customWidth="1"/>
    <col min="9731" max="9731" width="39.7109375" style="176" customWidth="1"/>
    <col min="9732" max="9732" width="4.5703125" style="176" customWidth="1"/>
    <col min="9733" max="9733" width="17.7109375" style="176" customWidth="1"/>
    <col min="9734" max="9734" width="16.85546875" style="176" customWidth="1"/>
    <col min="9735" max="9735" width="17.140625" style="176" customWidth="1"/>
    <col min="9736" max="9984" width="9.140625" style="176"/>
    <col min="9985" max="9985" width="14.140625" style="176" customWidth="1"/>
    <col min="9986" max="9986" width="10.140625" style="176" bestFit="1" customWidth="1"/>
    <col min="9987" max="9987" width="39.7109375" style="176" customWidth="1"/>
    <col min="9988" max="9988" width="4.5703125" style="176" customWidth="1"/>
    <col min="9989" max="9989" width="17.7109375" style="176" customWidth="1"/>
    <col min="9990" max="9990" width="16.85546875" style="176" customWidth="1"/>
    <col min="9991" max="9991" width="17.140625" style="176" customWidth="1"/>
    <col min="9992" max="10240" width="9.140625" style="176"/>
    <col min="10241" max="10241" width="14.140625" style="176" customWidth="1"/>
    <col min="10242" max="10242" width="10.140625" style="176" bestFit="1" customWidth="1"/>
    <col min="10243" max="10243" width="39.7109375" style="176" customWidth="1"/>
    <col min="10244" max="10244" width="4.5703125" style="176" customWidth="1"/>
    <col min="10245" max="10245" width="17.7109375" style="176" customWidth="1"/>
    <col min="10246" max="10246" width="16.85546875" style="176" customWidth="1"/>
    <col min="10247" max="10247" width="17.140625" style="176" customWidth="1"/>
    <col min="10248" max="10496" width="9.140625" style="176"/>
    <col min="10497" max="10497" width="14.140625" style="176" customWidth="1"/>
    <col min="10498" max="10498" width="10.140625" style="176" bestFit="1" customWidth="1"/>
    <col min="10499" max="10499" width="39.7109375" style="176" customWidth="1"/>
    <col min="10500" max="10500" width="4.5703125" style="176" customWidth="1"/>
    <col min="10501" max="10501" width="17.7109375" style="176" customWidth="1"/>
    <col min="10502" max="10502" width="16.85546875" style="176" customWidth="1"/>
    <col min="10503" max="10503" width="17.140625" style="176" customWidth="1"/>
    <col min="10504" max="10752" width="9.140625" style="176"/>
    <col min="10753" max="10753" width="14.140625" style="176" customWidth="1"/>
    <col min="10754" max="10754" width="10.140625" style="176" bestFit="1" customWidth="1"/>
    <col min="10755" max="10755" width="39.7109375" style="176" customWidth="1"/>
    <col min="10756" max="10756" width="4.5703125" style="176" customWidth="1"/>
    <col min="10757" max="10757" width="17.7109375" style="176" customWidth="1"/>
    <col min="10758" max="10758" width="16.85546875" style="176" customWidth="1"/>
    <col min="10759" max="10759" width="17.140625" style="176" customWidth="1"/>
    <col min="10760" max="11008" width="9.140625" style="176"/>
    <col min="11009" max="11009" width="14.140625" style="176" customWidth="1"/>
    <col min="11010" max="11010" width="10.140625" style="176" bestFit="1" customWidth="1"/>
    <col min="11011" max="11011" width="39.7109375" style="176" customWidth="1"/>
    <col min="11012" max="11012" width="4.5703125" style="176" customWidth="1"/>
    <col min="11013" max="11013" width="17.7109375" style="176" customWidth="1"/>
    <col min="11014" max="11014" width="16.85546875" style="176" customWidth="1"/>
    <col min="11015" max="11015" width="17.140625" style="176" customWidth="1"/>
    <col min="11016" max="11264" width="9.140625" style="176"/>
    <col min="11265" max="11265" width="14.140625" style="176" customWidth="1"/>
    <col min="11266" max="11266" width="10.140625" style="176" bestFit="1" customWidth="1"/>
    <col min="11267" max="11267" width="39.7109375" style="176" customWidth="1"/>
    <col min="11268" max="11268" width="4.5703125" style="176" customWidth="1"/>
    <col min="11269" max="11269" width="17.7109375" style="176" customWidth="1"/>
    <col min="11270" max="11270" width="16.85546875" style="176" customWidth="1"/>
    <col min="11271" max="11271" width="17.140625" style="176" customWidth="1"/>
    <col min="11272" max="11520" width="9.140625" style="176"/>
    <col min="11521" max="11521" width="14.140625" style="176" customWidth="1"/>
    <col min="11522" max="11522" width="10.140625" style="176" bestFit="1" customWidth="1"/>
    <col min="11523" max="11523" width="39.7109375" style="176" customWidth="1"/>
    <col min="11524" max="11524" width="4.5703125" style="176" customWidth="1"/>
    <col min="11525" max="11525" width="17.7109375" style="176" customWidth="1"/>
    <col min="11526" max="11526" width="16.85546875" style="176" customWidth="1"/>
    <col min="11527" max="11527" width="17.140625" style="176" customWidth="1"/>
    <col min="11528" max="11776" width="9.140625" style="176"/>
    <col min="11777" max="11777" width="14.140625" style="176" customWidth="1"/>
    <col min="11778" max="11778" width="10.140625" style="176" bestFit="1" customWidth="1"/>
    <col min="11779" max="11779" width="39.7109375" style="176" customWidth="1"/>
    <col min="11780" max="11780" width="4.5703125" style="176" customWidth="1"/>
    <col min="11781" max="11781" width="17.7109375" style="176" customWidth="1"/>
    <col min="11782" max="11782" width="16.85546875" style="176" customWidth="1"/>
    <col min="11783" max="11783" width="17.140625" style="176" customWidth="1"/>
    <col min="11784" max="12032" width="9.140625" style="176"/>
    <col min="12033" max="12033" width="14.140625" style="176" customWidth="1"/>
    <col min="12034" max="12034" width="10.140625" style="176" bestFit="1" customWidth="1"/>
    <col min="12035" max="12035" width="39.7109375" style="176" customWidth="1"/>
    <col min="12036" max="12036" width="4.5703125" style="176" customWidth="1"/>
    <col min="12037" max="12037" width="17.7109375" style="176" customWidth="1"/>
    <col min="12038" max="12038" width="16.85546875" style="176" customWidth="1"/>
    <col min="12039" max="12039" width="17.140625" style="176" customWidth="1"/>
    <col min="12040" max="12288" width="9.140625" style="176"/>
    <col min="12289" max="12289" width="14.140625" style="176" customWidth="1"/>
    <col min="12290" max="12290" width="10.140625" style="176" bestFit="1" customWidth="1"/>
    <col min="12291" max="12291" width="39.7109375" style="176" customWidth="1"/>
    <col min="12292" max="12292" width="4.5703125" style="176" customWidth="1"/>
    <col min="12293" max="12293" width="17.7109375" style="176" customWidth="1"/>
    <col min="12294" max="12294" width="16.85546875" style="176" customWidth="1"/>
    <col min="12295" max="12295" width="17.140625" style="176" customWidth="1"/>
    <col min="12296" max="12544" width="9.140625" style="176"/>
    <col min="12545" max="12545" width="14.140625" style="176" customWidth="1"/>
    <col min="12546" max="12546" width="10.140625" style="176" bestFit="1" customWidth="1"/>
    <col min="12547" max="12547" width="39.7109375" style="176" customWidth="1"/>
    <col min="12548" max="12548" width="4.5703125" style="176" customWidth="1"/>
    <col min="12549" max="12549" width="17.7109375" style="176" customWidth="1"/>
    <col min="12550" max="12550" width="16.85546875" style="176" customWidth="1"/>
    <col min="12551" max="12551" width="17.140625" style="176" customWidth="1"/>
    <col min="12552" max="12800" width="9.140625" style="176"/>
    <col min="12801" max="12801" width="14.140625" style="176" customWidth="1"/>
    <col min="12802" max="12802" width="10.140625" style="176" bestFit="1" customWidth="1"/>
    <col min="12803" max="12803" width="39.7109375" style="176" customWidth="1"/>
    <col min="12804" max="12804" width="4.5703125" style="176" customWidth="1"/>
    <col min="12805" max="12805" width="17.7109375" style="176" customWidth="1"/>
    <col min="12806" max="12806" width="16.85546875" style="176" customWidth="1"/>
    <col min="12807" max="12807" width="17.140625" style="176" customWidth="1"/>
    <col min="12808" max="13056" width="9.140625" style="176"/>
    <col min="13057" max="13057" width="14.140625" style="176" customWidth="1"/>
    <col min="13058" max="13058" width="10.140625" style="176" bestFit="1" customWidth="1"/>
    <col min="13059" max="13059" width="39.7109375" style="176" customWidth="1"/>
    <col min="13060" max="13060" width="4.5703125" style="176" customWidth="1"/>
    <col min="13061" max="13061" width="17.7109375" style="176" customWidth="1"/>
    <col min="13062" max="13062" width="16.85546875" style="176" customWidth="1"/>
    <col min="13063" max="13063" width="17.140625" style="176" customWidth="1"/>
    <col min="13064" max="13312" width="9.140625" style="176"/>
    <col min="13313" max="13313" width="14.140625" style="176" customWidth="1"/>
    <col min="13314" max="13314" width="10.140625" style="176" bestFit="1" customWidth="1"/>
    <col min="13315" max="13315" width="39.7109375" style="176" customWidth="1"/>
    <col min="13316" max="13316" width="4.5703125" style="176" customWidth="1"/>
    <col min="13317" max="13317" width="17.7109375" style="176" customWidth="1"/>
    <col min="13318" max="13318" width="16.85546875" style="176" customWidth="1"/>
    <col min="13319" max="13319" width="17.140625" style="176" customWidth="1"/>
    <col min="13320" max="13568" width="9.140625" style="176"/>
    <col min="13569" max="13569" width="14.140625" style="176" customWidth="1"/>
    <col min="13570" max="13570" width="10.140625" style="176" bestFit="1" customWidth="1"/>
    <col min="13571" max="13571" width="39.7109375" style="176" customWidth="1"/>
    <col min="13572" max="13572" width="4.5703125" style="176" customWidth="1"/>
    <col min="13573" max="13573" width="17.7109375" style="176" customWidth="1"/>
    <col min="13574" max="13574" width="16.85546875" style="176" customWidth="1"/>
    <col min="13575" max="13575" width="17.140625" style="176" customWidth="1"/>
    <col min="13576" max="13824" width="9.140625" style="176"/>
    <col min="13825" max="13825" width="14.140625" style="176" customWidth="1"/>
    <col min="13826" max="13826" width="10.140625" style="176" bestFit="1" customWidth="1"/>
    <col min="13827" max="13827" width="39.7109375" style="176" customWidth="1"/>
    <col min="13828" max="13828" width="4.5703125" style="176" customWidth="1"/>
    <col min="13829" max="13829" width="17.7109375" style="176" customWidth="1"/>
    <col min="13830" max="13830" width="16.85546875" style="176" customWidth="1"/>
    <col min="13831" max="13831" width="17.140625" style="176" customWidth="1"/>
    <col min="13832" max="14080" width="9.140625" style="176"/>
    <col min="14081" max="14081" width="14.140625" style="176" customWidth="1"/>
    <col min="14082" max="14082" width="10.140625" style="176" bestFit="1" customWidth="1"/>
    <col min="14083" max="14083" width="39.7109375" style="176" customWidth="1"/>
    <col min="14084" max="14084" width="4.5703125" style="176" customWidth="1"/>
    <col min="14085" max="14085" width="17.7109375" style="176" customWidth="1"/>
    <col min="14086" max="14086" width="16.85546875" style="176" customWidth="1"/>
    <col min="14087" max="14087" width="17.140625" style="176" customWidth="1"/>
    <col min="14088" max="14336" width="9.140625" style="176"/>
    <col min="14337" max="14337" width="14.140625" style="176" customWidth="1"/>
    <col min="14338" max="14338" width="10.140625" style="176" bestFit="1" customWidth="1"/>
    <col min="14339" max="14339" width="39.7109375" style="176" customWidth="1"/>
    <col min="14340" max="14340" width="4.5703125" style="176" customWidth="1"/>
    <col min="14341" max="14341" width="17.7109375" style="176" customWidth="1"/>
    <col min="14342" max="14342" width="16.85546875" style="176" customWidth="1"/>
    <col min="14343" max="14343" width="17.140625" style="176" customWidth="1"/>
    <col min="14344" max="14592" width="9.140625" style="176"/>
    <col min="14593" max="14593" width="14.140625" style="176" customWidth="1"/>
    <col min="14594" max="14594" width="10.140625" style="176" bestFit="1" customWidth="1"/>
    <col min="14595" max="14595" width="39.7109375" style="176" customWidth="1"/>
    <col min="14596" max="14596" width="4.5703125" style="176" customWidth="1"/>
    <col min="14597" max="14597" width="17.7109375" style="176" customWidth="1"/>
    <col min="14598" max="14598" width="16.85546875" style="176" customWidth="1"/>
    <col min="14599" max="14599" width="17.140625" style="176" customWidth="1"/>
    <col min="14600" max="14848" width="9.140625" style="176"/>
    <col min="14849" max="14849" width="14.140625" style="176" customWidth="1"/>
    <col min="14850" max="14850" width="10.140625" style="176" bestFit="1" customWidth="1"/>
    <col min="14851" max="14851" width="39.7109375" style="176" customWidth="1"/>
    <col min="14852" max="14852" width="4.5703125" style="176" customWidth="1"/>
    <col min="14853" max="14853" width="17.7109375" style="176" customWidth="1"/>
    <col min="14854" max="14854" width="16.85546875" style="176" customWidth="1"/>
    <col min="14855" max="14855" width="17.140625" style="176" customWidth="1"/>
    <col min="14856" max="15104" width="9.140625" style="176"/>
    <col min="15105" max="15105" width="14.140625" style="176" customWidth="1"/>
    <col min="15106" max="15106" width="10.140625" style="176" bestFit="1" customWidth="1"/>
    <col min="15107" max="15107" width="39.7109375" style="176" customWidth="1"/>
    <col min="15108" max="15108" width="4.5703125" style="176" customWidth="1"/>
    <col min="15109" max="15109" width="17.7109375" style="176" customWidth="1"/>
    <col min="15110" max="15110" width="16.85546875" style="176" customWidth="1"/>
    <col min="15111" max="15111" width="17.140625" style="176" customWidth="1"/>
    <col min="15112" max="15360" width="9.140625" style="176"/>
    <col min="15361" max="15361" width="14.140625" style="176" customWidth="1"/>
    <col min="15362" max="15362" width="10.140625" style="176" bestFit="1" customWidth="1"/>
    <col min="15363" max="15363" width="39.7109375" style="176" customWidth="1"/>
    <col min="15364" max="15364" width="4.5703125" style="176" customWidth="1"/>
    <col min="15365" max="15365" width="17.7109375" style="176" customWidth="1"/>
    <col min="15366" max="15366" width="16.85546875" style="176" customWidth="1"/>
    <col min="15367" max="15367" width="17.140625" style="176" customWidth="1"/>
    <col min="15368" max="15616" width="9.140625" style="176"/>
    <col min="15617" max="15617" width="14.140625" style="176" customWidth="1"/>
    <col min="15618" max="15618" width="10.140625" style="176" bestFit="1" customWidth="1"/>
    <col min="15619" max="15619" width="39.7109375" style="176" customWidth="1"/>
    <col min="15620" max="15620" width="4.5703125" style="176" customWidth="1"/>
    <col min="15621" max="15621" width="17.7109375" style="176" customWidth="1"/>
    <col min="15622" max="15622" width="16.85546875" style="176" customWidth="1"/>
    <col min="15623" max="15623" width="17.140625" style="176" customWidth="1"/>
    <col min="15624" max="15872" width="9.140625" style="176"/>
    <col min="15873" max="15873" width="14.140625" style="176" customWidth="1"/>
    <col min="15874" max="15874" width="10.140625" style="176" bestFit="1" customWidth="1"/>
    <col min="15875" max="15875" width="39.7109375" style="176" customWidth="1"/>
    <col min="15876" max="15876" width="4.5703125" style="176" customWidth="1"/>
    <col min="15877" max="15877" width="17.7109375" style="176" customWidth="1"/>
    <col min="15878" max="15878" width="16.85546875" style="176" customWidth="1"/>
    <col min="15879" max="15879" width="17.140625" style="176" customWidth="1"/>
    <col min="15880" max="16128" width="9.140625" style="176"/>
    <col min="16129" max="16129" width="14.140625" style="176" customWidth="1"/>
    <col min="16130" max="16130" width="10.140625" style="176" bestFit="1" customWidth="1"/>
    <col min="16131" max="16131" width="39.7109375" style="176" customWidth="1"/>
    <col min="16132" max="16132" width="4.5703125" style="176" customWidth="1"/>
    <col min="16133" max="16133" width="17.7109375" style="176" customWidth="1"/>
    <col min="16134" max="16134" width="16.85546875" style="176" customWidth="1"/>
    <col min="16135" max="16135" width="17.140625" style="176" customWidth="1"/>
    <col min="16136" max="16384" width="9.140625" style="176"/>
  </cols>
  <sheetData>
    <row r="1" spans="1:14" s="144" customFormat="1" ht="15">
      <c r="A1" s="685" t="s">
        <v>35</v>
      </c>
      <c r="B1" s="685"/>
      <c r="C1" s="685"/>
      <c r="D1" s="685"/>
      <c r="E1" s="685"/>
      <c r="F1" s="685"/>
      <c r="G1" s="685"/>
      <c r="H1" s="142"/>
      <c r="I1" s="142"/>
      <c r="J1" s="142"/>
      <c r="K1" s="155"/>
      <c r="L1" s="128"/>
      <c r="M1" s="130"/>
    </row>
    <row r="2" spans="1:14" s="144" customFormat="1" ht="15">
      <c r="A2" s="685" t="s">
        <v>36</v>
      </c>
      <c r="B2" s="685"/>
      <c r="C2" s="685"/>
      <c r="D2" s="685"/>
      <c r="E2" s="685"/>
      <c r="F2" s="685"/>
      <c r="G2" s="685"/>
      <c r="H2" s="142"/>
      <c r="I2" s="142"/>
      <c r="J2" s="142"/>
      <c r="K2" s="155"/>
      <c r="L2" s="128"/>
      <c r="M2" s="130"/>
    </row>
    <row r="3" spans="1:14" s="144" customFormat="1" ht="15">
      <c r="A3" s="685" t="s">
        <v>5924</v>
      </c>
      <c r="B3" s="685"/>
      <c r="C3" s="685"/>
      <c r="D3" s="685"/>
      <c r="E3" s="685"/>
      <c r="F3" s="685"/>
      <c r="G3" s="685"/>
      <c r="H3" s="142"/>
      <c r="I3" s="142"/>
      <c r="J3" s="142"/>
      <c r="K3" s="155"/>
      <c r="L3" s="128"/>
      <c r="M3" s="130"/>
    </row>
    <row r="4" spans="1:14" s="144" customFormat="1" ht="15">
      <c r="A4" s="157"/>
      <c r="B4" s="157"/>
      <c r="C4" s="157"/>
      <c r="D4" s="121" t="s">
        <v>29</v>
      </c>
      <c r="E4" s="169"/>
      <c r="F4" s="154"/>
      <c r="G4" s="147"/>
      <c r="H4" s="148"/>
      <c r="I4" s="148"/>
      <c r="J4" s="53"/>
      <c r="K4" s="155"/>
      <c r="L4" s="128"/>
      <c r="M4" s="130"/>
    </row>
    <row r="5" spans="1:14" s="144" customFormat="1" ht="15">
      <c r="A5" s="157"/>
      <c r="B5" s="157"/>
      <c r="C5" s="157"/>
      <c r="D5" s="121"/>
      <c r="E5" s="169"/>
      <c r="F5" s="154"/>
      <c r="G5" s="147"/>
      <c r="H5" s="148"/>
      <c r="I5" s="148"/>
      <c r="J5" s="53"/>
      <c r="K5" s="155"/>
      <c r="L5" s="155"/>
      <c r="M5" s="130"/>
    </row>
    <row r="6" spans="1:14" s="144" customFormat="1" ht="18.75">
      <c r="A6" s="728" t="s">
        <v>9301</v>
      </c>
      <c r="B6" s="728"/>
      <c r="C6" s="728"/>
      <c r="D6" s="728"/>
      <c r="E6" s="728"/>
      <c r="F6" s="728"/>
      <c r="G6" s="728"/>
      <c r="H6" s="387"/>
      <c r="I6" s="208"/>
      <c r="J6" s="208"/>
      <c r="K6" s="155"/>
      <c r="L6" s="128"/>
      <c r="M6" s="130"/>
    </row>
    <row r="7" spans="1:14" s="201" customFormat="1" ht="15">
      <c r="A7" s="131"/>
      <c r="B7" s="131"/>
      <c r="C7" s="344"/>
      <c r="D7" s="132"/>
      <c r="E7" s="168"/>
      <c r="F7" s="131"/>
      <c r="G7" s="127"/>
      <c r="H7" s="138"/>
      <c r="I7" s="344"/>
      <c r="J7" s="126"/>
      <c r="K7" s="122"/>
      <c r="L7" s="129"/>
      <c r="M7" s="137"/>
    </row>
    <row r="8" spans="1:14" s="201" customFormat="1" ht="15">
      <c r="A8" s="199" t="s">
        <v>5251</v>
      </c>
      <c r="B8" s="120" t="str">
        <f>'Orç - Canteiro e Adm'!B9:J9</f>
        <v>Construção do edifício UEP-FCE</v>
      </c>
      <c r="C8" s="151"/>
      <c r="D8" s="151"/>
      <c r="E8" s="170"/>
      <c r="F8" s="151"/>
      <c r="G8" s="151"/>
      <c r="H8" s="56"/>
      <c r="I8" s="54"/>
      <c r="K8" s="156"/>
      <c r="L8" s="156"/>
      <c r="M8" s="152"/>
      <c r="N8" s="152"/>
    </row>
    <row r="9" spans="1:14" s="201" customFormat="1" ht="15">
      <c r="A9" s="199" t="s">
        <v>131</v>
      </c>
      <c r="B9" s="120" t="str">
        <f>'Orç - Canteiro e Adm'!B10:J10</f>
        <v>QNN 14, Área Especial, Campus UnB Ceilândia, RA IX</v>
      </c>
      <c r="C9" s="151"/>
      <c r="D9" s="151"/>
      <c r="E9" s="170"/>
      <c r="F9" s="151"/>
      <c r="G9" s="151"/>
      <c r="H9" s="56"/>
      <c r="I9" s="54"/>
      <c r="K9" s="156"/>
      <c r="L9" s="156"/>
      <c r="M9" s="152"/>
      <c r="N9" s="152"/>
    </row>
    <row r="10" spans="1:14" s="201" customFormat="1" ht="15">
      <c r="A10" s="199" t="s">
        <v>5252</v>
      </c>
      <c r="B10" s="120" t="str">
        <f>'Orç - Canteiro e Adm'!B11:J11</f>
        <v>Agosto de 2019</v>
      </c>
      <c r="C10" s="151"/>
      <c r="D10" s="151"/>
      <c r="E10" s="170"/>
      <c r="F10" s="151"/>
      <c r="G10" s="151"/>
      <c r="H10" s="56"/>
      <c r="I10" s="54"/>
      <c r="K10" s="156"/>
      <c r="L10" s="156"/>
      <c r="M10" s="152"/>
      <c r="N10" s="152"/>
    </row>
    <row r="12" spans="1:14">
      <c r="A12" s="242" t="s">
        <v>8083</v>
      </c>
      <c r="B12" s="243" t="s">
        <v>6815</v>
      </c>
      <c r="C12" s="243" t="s">
        <v>8084</v>
      </c>
      <c r="D12" s="243" t="s">
        <v>8085</v>
      </c>
      <c r="E12" s="734" t="s">
        <v>8086</v>
      </c>
      <c r="F12" s="735"/>
      <c r="G12" s="736"/>
    </row>
    <row r="14" spans="1:14" ht="26.25" customHeight="1">
      <c r="A14" s="263" t="str">
        <f>'Orç - Prédio'!A91</f>
        <v>03.03.201.02</v>
      </c>
      <c r="B14" s="731" t="str">
        <f>'Orç - Prédio'!D91</f>
        <v>Perfil quadrado metalon 40x40, espessura 1,25mm, 1,53 kg/m (pontaletes e tirantes)</v>
      </c>
      <c r="C14" s="731"/>
      <c r="D14" s="265" t="s">
        <v>6774</v>
      </c>
      <c r="E14" s="245" t="s">
        <v>9646</v>
      </c>
      <c r="F14" s="245"/>
      <c r="G14" s="246"/>
      <c r="H14" s="176" t="s">
        <v>8979</v>
      </c>
    </row>
    <row r="15" spans="1:14">
      <c r="A15" s="247"/>
      <c r="B15" s="248" t="s">
        <v>8094</v>
      </c>
      <c r="C15" s="266"/>
      <c r="D15" s="267"/>
      <c r="E15" s="249" t="s">
        <v>8092</v>
      </c>
      <c r="F15" s="249"/>
      <c r="G15" s="249"/>
      <c r="H15" s="268"/>
    </row>
    <row r="16" spans="1:14">
      <c r="A16" s="251"/>
      <c r="B16" s="252" t="s">
        <v>8087</v>
      </c>
      <c r="C16" s="252"/>
      <c r="D16" s="269"/>
      <c r="E16" s="253">
        <f>69.21/6</f>
        <v>11.534999999999998</v>
      </c>
      <c r="F16" s="253"/>
      <c r="G16" s="253"/>
      <c r="H16" s="268"/>
    </row>
    <row r="17" spans="1:8">
      <c r="A17" s="251"/>
      <c r="B17" s="252" t="s">
        <v>8088</v>
      </c>
      <c r="C17" s="270"/>
      <c r="D17" s="270"/>
      <c r="E17" s="254" t="s">
        <v>9648</v>
      </c>
      <c r="F17" s="254"/>
      <c r="G17" s="254"/>
      <c r="H17" s="268"/>
    </row>
    <row r="18" spans="1:8">
      <c r="A18" s="251"/>
      <c r="B18" s="252" t="s">
        <v>5506</v>
      </c>
      <c r="C18" s="271"/>
      <c r="D18" s="269"/>
      <c r="E18" s="254" t="s">
        <v>9649</v>
      </c>
      <c r="F18" s="254"/>
      <c r="G18" s="255"/>
      <c r="H18" s="268"/>
    </row>
    <row r="19" spans="1:8" ht="56.25">
      <c r="A19" s="251"/>
      <c r="B19" s="252" t="s">
        <v>8093</v>
      </c>
      <c r="C19" s="271"/>
      <c r="D19" s="269"/>
      <c r="E19" s="254" t="s">
        <v>9650</v>
      </c>
      <c r="F19" s="254"/>
      <c r="G19" s="255"/>
      <c r="H19" s="268"/>
    </row>
    <row r="20" spans="1:8" ht="22.5">
      <c r="A20" s="251"/>
      <c r="B20" s="252" t="s">
        <v>8089</v>
      </c>
      <c r="C20" s="271"/>
      <c r="D20" s="269"/>
      <c r="E20" s="254" t="s">
        <v>9651</v>
      </c>
      <c r="F20" s="254"/>
      <c r="G20" s="255"/>
      <c r="H20" s="268"/>
    </row>
    <row r="21" spans="1:8">
      <c r="A21" s="251"/>
      <c r="B21" s="256" t="s">
        <v>8090</v>
      </c>
      <c r="C21" s="272"/>
      <c r="D21" s="273"/>
      <c r="E21" s="257">
        <v>43711</v>
      </c>
      <c r="F21" s="257"/>
      <c r="G21" s="257"/>
      <c r="H21" s="268"/>
    </row>
    <row r="22" spans="1:8">
      <c r="A22" s="258"/>
      <c r="B22" s="259"/>
      <c r="C22" s="274"/>
      <c r="D22" s="275"/>
      <c r="E22" s="262" t="s">
        <v>8091</v>
      </c>
      <c r="F22" s="260">
        <f>MEDIAN(E16:G16)</f>
        <v>11.534999999999998</v>
      </c>
      <c r="G22" s="261"/>
    </row>
    <row r="24" spans="1:8">
      <c r="A24" s="263" t="s">
        <v>7917</v>
      </c>
      <c r="B24" s="731" t="s">
        <v>15381</v>
      </c>
      <c r="C24" s="731"/>
      <c r="D24" s="265" t="s">
        <v>6337</v>
      </c>
      <c r="E24" s="245" t="s">
        <v>15382</v>
      </c>
      <c r="F24" s="245" t="s">
        <v>15386</v>
      </c>
      <c r="G24" s="246" t="s">
        <v>15499</v>
      </c>
      <c r="H24" s="176" t="s">
        <v>8979</v>
      </c>
    </row>
    <row r="25" spans="1:8">
      <c r="A25" s="247"/>
      <c r="B25" s="248" t="s">
        <v>8094</v>
      </c>
      <c r="C25" s="266"/>
      <c r="D25" s="267"/>
      <c r="E25" s="249" t="s">
        <v>8092</v>
      </c>
      <c r="F25" s="249" t="s">
        <v>8092</v>
      </c>
      <c r="G25" s="249" t="s">
        <v>8092</v>
      </c>
      <c r="H25" s="268"/>
    </row>
    <row r="26" spans="1:8">
      <c r="A26" s="251"/>
      <c r="B26" s="252" t="s">
        <v>8087</v>
      </c>
      <c r="C26" s="252"/>
      <c r="D26" s="269"/>
      <c r="E26" s="253">
        <v>11.31</v>
      </c>
      <c r="F26" s="253">
        <v>10.69</v>
      </c>
      <c r="G26" s="253">
        <v>12.11</v>
      </c>
      <c r="H26" s="268"/>
    </row>
    <row r="27" spans="1:8">
      <c r="A27" s="251"/>
      <c r="B27" s="252" t="s">
        <v>8088</v>
      </c>
      <c r="C27" s="270"/>
      <c r="D27" s="270"/>
      <c r="E27" s="254" t="s">
        <v>15383</v>
      </c>
      <c r="F27" s="254" t="s">
        <v>15387</v>
      </c>
      <c r="G27" s="254" t="s">
        <v>15390</v>
      </c>
      <c r="H27" s="268"/>
    </row>
    <row r="28" spans="1:8">
      <c r="A28" s="251"/>
      <c r="B28" s="252" t="s">
        <v>5506</v>
      </c>
      <c r="C28" s="271"/>
      <c r="D28" s="269"/>
      <c r="E28" s="254" t="s">
        <v>15384</v>
      </c>
      <c r="F28" s="254" t="s">
        <v>15388</v>
      </c>
      <c r="G28" s="255" t="s">
        <v>15391</v>
      </c>
      <c r="H28" s="268"/>
    </row>
    <row r="29" spans="1:8" ht="157.5">
      <c r="A29" s="251"/>
      <c r="B29" s="252" t="s">
        <v>8093</v>
      </c>
      <c r="C29" s="271"/>
      <c r="D29" s="269"/>
      <c r="E29" s="254" t="s">
        <v>15385</v>
      </c>
      <c r="F29" s="254" t="s">
        <v>15389</v>
      </c>
      <c r="G29" s="254" t="s">
        <v>15392</v>
      </c>
      <c r="H29" s="268"/>
    </row>
    <row r="30" spans="1:8">
      <c r="A30" s="251"/>
      <c r="B30" s="252" t="s">
        <v>8089</v>
      </c>
      <c r="C30" s="271"/>
      <c r="D30" s="269"/>
      <c r="E30" s="254" t="s">
        <v>8137</v>
      </c>
      <c r="F30" s="254" t="s">
        <v>8137</v>
      </c>
      <c r="G30" s="255" t="s">
        <v>8137</v>
      </c>
      <c r="H30" s="268"/>
    </row>
    <row r="31" spans="1:8">
      <c r="A31" s="251"/>
      <c r="B31" s="256" t="s">
        <v>8090</v>
      </c>
      <c r="C31" s="272"/>
      <c r="D31" s="273"/>
      <c r="E31" s="257">
        <v>43711</v>
      </c>
      <c r="F31" s="257">
        <v>43711</v>
      </c>
      <c r="G31" s="257">
        <v>43711</v>
      </c>
      <c r="H31" s="268"/>
    </row>
    <row r="32" spans="1:8">
      <c r="A32" s="258"/>
      <c r="B32" s="259"/>
      <c r="C32" s="274"/>
      <c r="D32" s="275"/>
      <c r="E32" s="262" t="s">
        <v>8091</v>
      </c>
      <c r="F32" s="260">
        <f>MEDIAN(E26:G26)</f>
        <v>11.31</v>
      </c>
      <c r="G32" s="261"/>
    </row>
    <row r="34" spans="1:8" ht="27.75" customHeight="1">
      <c r="A34" s="263" t="str">
        <f>'Orç - Prédio'!A412</f>
        <v>06.01.206.01</v>
      </c>
      <c r="B34" s="731" t="str">
        <f>'Orç - Prédio'!D412</f>
        <v>Elo fusível de distribuição, tipo K, corrente nominal 80 A (elo 80K)</v>
      </c>
      <c r="C34" s="731"/>
      <c r="D34" s="265" t="str">
        <f>'Orç - Prédio'!F511</f>
        <v>unidade</v>
      </c>
      <c r="E34" s="245" t="s">
        <v>15464</v>
      </c>
      <c r="F34" s="245"/>
      <c r="G34" s="246"/>
      <c r="H34" s="176" t="s">
        <v>8979</v>
      </c>
    </row>
    <row r="35" spans="1:8">
      <c r="A35" s="247"/>
      <c r="B35" s="248" t="s">
        <v>8094</v>
      </c>
      <c r="C35" s="266"/>
      <c r="D35" s="267"/>
      <c r="E35" s="249" t="s">
        <v>8092</v>
      </c>
      <c r="F35" s="249"/>
      <c r="G35" s="249"/>
      <c r="H35" s="268"/>
    </row>
    <row r="36" spans="1:8">
      <c r="A36" s="251"/>
      <c r="B36" s="252" t="s">
        <v>8087</v>
      </c>
      <c r="C36" s="252"/>
      <c r="D36" s="269"/>
      <c r="E36" s="253">
        <v>28</v>
      </c>
      <c r="F36" s="253"/>
      <c r="G36" s="253"/>
      <c r="H36" s="268"/>
    </row>
    <row r="37" spans="1:8">
      <c r="A37" s="251"/>
      <c r="B37" s="252" t="s">
        <v>8088</v>
      </c>
      <c r="C37" s="270"/>
      <c r="D37" s="270"/>
      <c r="E37" s="254" t="s">
        <v>15465</v>
      </c>
      <c r="F37" s="254"/>
      <c r="G37" s="254"/>
      <c r="H37" s="268"/>
    </row>
    <row r="38" spans="1:8">
      <c r="A38" s="251"/>
      <c r="B38" s="252" t="s">
        <v>5506</v>
      </c>
      <c r="C38" s="271"/>
      <c r="D38" s="269"/>
      <c r="E38" s="254" t="s">
        <v>15466</v>
      </c>
      <c r="F38" s="254"/>
      <c r="G38" s="255"/>
      <c r="H38" s="268"/>
    </row>
    <row r="39" spans="1:8" ht="45">
      <c r="A39" s="251"/>
      <c r="B39" s="252" t="s">
        <v>8093</v>
      </c>
      <c r="C39" s="271"/>
      <c r="D39" s="269"/>
      <c r="E39" s="254" t="s">
        <v>15467</v>
      </c>
      <c r="F39" s="254"/>
      <c r="G39" s="255"/>
      <c r="H39" s="268"/>
    </row>
    <row r="40" spans="1:8" ht="22.5">
      <c r="A40" s="251"/>
      <c r="B40" s="252" t="s">
        <v>8089</v>
      </c>
      <c r="C40" s="271"/>
      <c r="D40" s="269"/>
      <c r="E40" s="254" t="s">
        <v>15468</v>
      </c>
      <c r="F40" s="254"/>
      <c r="G40" s="255"/>
      <c r="H40" s="268"/>
    </row>
    <row r="41" spans="1:8">
      <c r="A41" s="251"/>
      <c r="B41" s="256" t="s">
        <v>8090</v>
      </c>
      <c r="C41" s="272"/>
      <c r="D41" s="273"/>
      <c r="E41" s="257">
        <v>43714</v>
      </c>
      <c r="F41" s="257"/>
      <c r="G41" s="257"/>
      <c r="H41" s="268"/>
    </row>
    <row r="42" spans="1:8">
      <c r="A42" s="258"/>
      <c r="B42" s="259"/>
      <c r="C42" s="274"/>
      <c r="D42" s="275"/>
      <c r="E42" s="262" t="s">
        <v>8091</v>
      </c>
      <c r="F42" s="260">
        <f>MEDIAN(E36:G36)</f>
        <v>28</v>
      </c>
      <c r="G42" s="261"/>
    </row>
    <row r="44" spans="1:8" ht="42.75" customHeight="1">
      <c r="A44" s="263" t="str">
        <f>'Orç - Prédio'!A521</f>
        <v>06.01.314.01</v>
      </c>
      <c r="B44" s="731" t="str">
        <f>'Orç - Prédio'!D521</f>
        <v>Estabilizador 60kVA, trifásico, 380/220V-220/127V, com todos os acessórios inclusos, APENAS FORNECIMENTO</v>
      </c>
      <c r="C44" s="731"/>
      <c r="D44" s="265" t="str">
        <f>'Orç - Prédio'!F521</f>
        <v>unidade</v>
      </c>
      <c r="E44" s="245" t="s">
        <v>9223</v>
      </c>
      <c r="F44" s="245" t="s">
        <v>9285</v>
      </c>
      <c r="G44" s="246" t="s">
        <v>9287</v>
      </c>
      <c r="H44" s="176" t="s">
        <v>8979</v>
      </c>
    </row>
    <row r="45" spans="1:8">
      <c r="A45" s="247"/>
      <c r="B45" s="248" t="s">
        <v>8094</v>
      </c>
      <c r="C45" s="266"/>
      <c r="D45" s="267"/>
      <c r="E45" s="249" t="s">
        <v>9009</v>
      </c>
      <c r="F45" s="249" t="s">
        <v>9009</v>
      </c>
      <c r="G45" s="249" t="s">
        <v>9009</v>
      </c>
      <c r="H45" s="268"/>
    </row>
    <row r="46" spans="1:8">
      <c r="A46" s="251"/>
      <c r="B46" s="252" t="s">
        <v>8087</v>
      </c>
      <c r="C46" s="252"/>
      <c r="D46" s="269"/>
      <c r="E46" s="253">
        <v>31000</v>
      </c>
      <c r="F46" s="253" t="s">
        <v>9286</v>
      </c>
      <c r="G46" s="253" t="s">
        <v>9286</v>
      </c>
      <c r="H46" s="268"/>
    </row>
    <row r="47" spans="1:8">
      <c r="A47" s="251"/>
      <c r="B47" s="252" t="s">
        <v>8088</v>
      </c>
      <c r="C47" s="270"/>
      <c r="D47" s="270"/>
      <c r="E47" s="254" t="s">
        <v>9224</v>
      </c>
      <c r="F47" s="254"/>
      <c r="G47" s="254"/>
      <c r="H47" s="268"/>
    </row>
    <row r="48" spans="1:8">
      <c r="A48" s="251"/>
      <c r="B48" s="252" t="s">
        <v>5506</v>
      </c>
      <c r="C48" s="271"/>
      <c r="D48" s="269"/>
      <c r="E48" s="254" t="s">
        <v>9225</v>
      </c>
      <c r="F48" s="254"/>
      <c r="G48" s="255"/>
      <c r="H48" s="268"/>
    </row>
    <row r="49" spans="1:8">
      <c r="A49" s="251"/>
      <c r="B49" s="252" t="s">
        <v>8093</v>
      </c>
      <c r="C49" s="271"/>
      <c r="D49" s="269"/>
      <c r="E49" s="254" t="s">
        <v>9226</v>
      </c>
      <c r="F49" s="254"/>
      <c r="G49" s="255"/>
      <c r="H49" s="268"/>
    </row>
    <row r="50" spans="1:8" ht="22.5">
      <c r="A50" s="251"/>
      <c r="B50" s="252" t="s">
        <v>8089</v>
      </c>
      <c r="C50" s="271"/>
      <c r="D50" s="269"/>
      <c r="E50" s="254" t="s">
        <v>9227</v>
      </c>
      <c r="F50" s="254"/>
      <c r="G50" s="255"/>
      <c r="H50" s="268"/>
    </row>
    <row r="51" spans="1:8">
      <c r="A51" s="251"/>
      <c r="B51" s="256" t="s">
        <v>8090</v>
      </c>
      <c r="C51" s="272"/>
      <c r="D51" s="273"/>
      <c r="E51" s="257">
        <v>43515</v>
      </c>
      <c r="F51" s="257"/>
      <c r="G51" s="257"/>
      <c r="H51" s="268"/>
    </row>
    <row r="52" spans="1:8">
      <c r="A52" s="258"/>
      <c r="B52" s="259"/>
      <c r="C52" s="274"/>
      <c r="D52" s="275"/>
      <c r="E52" s="262" t="s">
        <v>8091</v>
      </c>
      <c r="F52" s="260">
        <f>MEDIAN(E46:G46)</f>
        <v>31000</v>
      </c>
      <c r="G52" s="261"/>
    </row>
    <row r="54" spans="1:8" ht="39.75" customHeight="1">
      <c r="A54" s="263" t="str">
        <f>'Orç - Prédio'!A523</f>
        <v>06.01.315.01</v>
      </c>
      <c r="B54" s="731" t="str">
        <f>'Orç - Prédio'!D523</f>
        <v>NoBreak 40kVA, trifásico, 380/220V-380/220V, autonomia a plena carga de 20 min, com todos os acessórios inclusos, APENAS FORNECIMENTO</v>
      </c>
      <c r="C54" s="731"/>
      <c r="D54" s="265" t="str">
        <f>'Orç - Prédio'!F523</f>
        <v>unidade</v>
      </c>
      <c r="E54" s="245" t="s">
        <v>9223</v>
      </c>
      <c r="F54" s="245" t="s">
        <v>9285</v>
      </c>
      <c r="G54" s="246" t="s">
        <v>9287</v>
      </c>
      <c r="H54" s="176" t="s">
        <v>8979</v>
      </c>
    </row>
    <row r="55" spans="1:8">
      <c r="A55" s="247"/>
      <c r="B55" s="248" t="s">
        <v>8094</v>
      </c>
      <c r="C55" s="266"/>
      <c r="D55" s="267"/>
      <c r="E55" s="249" t="s">
        <v>9009</v>
      </c>
      <c r="F55" s="249" t="s">
        <v>9009</v>
      </c>
      <c r="G55" s="249" t="s">
        <v>9009</v>
      </c>
      <c r="H55" s="268"/>
    </row>
    <row r="56" spans="1:8">
      <c r="A56" s="251"/>
      <c r="B56" s="252" t="s">
        <v>8087</v>
      </c>
      <c r="C56" s="252"/>
      <c r="D56" s="269"/>
      <c r="E56" s="253">
        <v>96000</v>
      </c>
      <c r="F56" s="253" t="s">
        <v>9286</v>
      </c>
      <c r="G56" s="253" t="s">
        <v>9286</v>
      </c>
      <c r="H56" s="268"/>
    </row>
    <row r="57" spans="1:8">
      <c r="A57" s="251"/>
      <c r="B57" s="252" t="s">
        <v>8088</v>
      </c>
      <c r="C57" s="270"/>
      <c r="D57" s="270"/>
      <c r="E57" s="254" t="s">
        <v>9224</v>
      </c>
      <c r="F57" s="254"/>
      <c r="G57" s="254"/>
      <c r="H57" s="268"/>
    </row>
    <row r="58" spans="1:8">
      <c r="A58" s="251"/>
      <c r="B58" s="252" t="s">
        <v>5506</v>
      </c>
      <c r="C58" s="271"/>
      <c r="D58" s="269"/>
      <c r="E58" s="254" t="s">
        <v>9225</v>
      </c>
      <c r="F58" s="254"/>
      <c r="G58" s="255"/>
      <c r="H58" s="268"/>
    </row>
    <row r="59" spans="1:8">
      <c r="A59" s="251"/>
      <c r="B59" s="252" t="s">
        <v>8093</v>
      </c>
      <c r="C59" s="271"/>
      <c r="D59" s="269"/>
      <c r="E59" s="254" t="s">
        <v>9226</v>
      </c>
      <c r="F59" s="254"/>
      <c r="G59" s="255"/>
      <c r="H59" s="268"/>
    </row>
    <row r="60" spans="1:8" ht="22.5">
      <c r="A60" s="251"/>
      <c r="B60" s="252" t="s">
        <v>8089</v>
      </c>
      <c r="C60" s="271"/>
      <c r="D60" s="269"/>
      <c r="E60" s="254" t="s">
        <v>9227</v>
      </c>
      <c r="F60" s="254"/>
      <c r="G60" s="255"/>
      <c r="H60" s="268"/>
    </row>
    <row r="61" spans="1:8">
      <c r="A61" s="251"/>
      <c r="B61" s="256" t="s">
        <v>8090</v>
      </c>
      <c r="C61" s="272"/>
      <c r="D61" s="273"/>
      <c r="E61" s="257">
        <v>43515</v>
      </c>
      <c r="F61" s="257"/>
      <c r="G61" s="257"/>
      <c r="H61" s="268"/>
    </row>
    <row r="62" spans="1:8">
      <c r="A62" s="258"/>
      <c r="B62" s="259"/>
      <c r="C62" s="274"/>
      <c r="D62" s="275"/>
      <c r="E62" s="262" t="s">
        <v>8091</v>
      </c>
      <c r="F62" s="260">
        <f>MEDIAN(E56:G56)</f>
        <v>96000</v>
      </c>
      <c r="G62" s="261"/>
    </row>
    <row r="64" spans="1:8" ht="36.75" customHeight="1">
      <c r="A64" s="263" t="s">
        <v>9018</v>
      </c>
      <c r="B64" s="731" t="str">
        <f>'Orç - Prédio'!D579</f>
        <v>Switch 24 portas 10/100/1000Base-TX, 4 portas SFP fixas, 2 portas de empilhamento, fornecimento e instalação</v>
      </c>
      <c r="C64" s="731"/>
      <c r="D64" s="265" t="str">
        <f>'Orç - Prédio'!F630</f>
        <v>unidade</v>
      </c>
      <c r="E64" s="245" t="s">
        <v>9023</v>
      </c>
      <c r="F64" s="245"/>
      <c r="G64" s="246"/>
      <c r="H64" s="176" t="s">
        <v>8979</v>
      </c>
    </row>
    <row r="65" spans="1:8">
      <c r="A65" s="247"/>
      <c r="B65" s="248" t="s">
        <v>8094</v>
      </c>
      <c r="C65" s="266"/>
      <c r="D65" s="267"/>
      <c r="E65" s="249" t="s">
        <v>9009</v>
      </c>
      <c r="F65" s="249"/>
      <c r="G65" s="250"/>
      <c r="H65" s="268"/>
    </row>
    <row r="66" spans="1:8">
      <c r="A66" s="251"/>
      <c r="B66" s="252" t="s">
        <v>8087</v>
      </c>
      <c r="C66" s="252"/>
      <c r="D66" s="269"/>
      <c r="E66" s="253">
        <v>10929</v>
      </c>
      <c r="F66" s="253"/>
      <c r="G66" s="253"/>
      <c r="H66" s="268"/>
    </row>
    <row r="67" spans="1:8">
      <c r="A67" s="251"/>
      <c r="B67" s="252" t="s">
        <v>8088</v>
      </c>
      <c r="C67" s="270"/>
      <c r="D67" s="270"/>
      <c r="E67" s="254" t="s">
        <v>9019</v>
      </c>
      <c r="F67" s="254"/>
      <c r="G67" s="254"/>
      <c r="H67" s="268"/>
    </row>
    <row r="68" spans="1:8">
      <c r="A68" s="251"/>
      <c r="B68" s="252" t="s">
        <v>5506</v>
      </c>
      <c r="C68" s="271"/>
      <c r="D68" s="269"/>
      <c r="E68" s="254" t="s">
        <v>9020</v>
      </c>
      <c r="F68" s="254"/>
      <c r="G68" s="255"/>
      <c r="H68" s="268"/>
    </row>
    <row r="69" spans="1:8" ht="22.5">
      <c r="A69" s="251"/>
      <c r="B69" s="252" t="s">
        <v>8093</v>
      </c>
      <c r="C69" s="271"/>
      <c r="D69" s="269"/>
      <c r="E69" s="254" t="s">
        <v>9021</v>
      </c>
      <c r="F69" s="254"/>
      <c r="G69" s="255"/>
      <c r="H69" s="268"/>
    </row>
    <row r="70" spans="1:8">
      <c r="A70" s="251"/>
      <c r="B70" s="252" t="s">
        <v>8089</v>
      </c>
      <c r="C70" s="271"/>
      <c r="D70" s="269"/>
      <c r="E70" s="254" t="s">
        <v>9022</v>
      </c>
      <c r="F70" s="254"/>
      <c r="G70" s="255"/>
      <c r="H70" s="268"/>
    </row>
    <row r="71" spans="1:8">
      <c r="A71" s="251"/>
      <c r="B71" s="256" t="s">
        <v>8090</v>
      </c>
      <c r="C71" s="272"/>
      <c r="D71" s="273"/>
      <c r="E71" s="257">
        <v>43510</v>
      </c>
      <c r="F71" s="257"/>
      <c r="G71" s="257"/>
      <c r="H71" s="268"/>
    </row>
    <row r="72" spans="1:8">
      <c r="A72" s="258"/>
      <c r="B72" s="259"/>
      <c r="C72" s="274"/>
      <c r="D72" s="275"/>
      <c r="E72" s="262" t="s">
        <v>8091</v>
      </c>
      <c r="F72" s="260">
        <f>MEDIAN(E66:G66)</f>
        <v>10929</v>
      </c>
      <c r="G72" s="261"/>
    </row>
    <row r="74" spans="1:8" ht="33.75">
      <c r="A74" s="263" t="str">
        <f>'Orç - Prédio'!A632</f>
        <v>06.09.014</v>
      </c>
      <c r="B74" s="732" t="str">
        <f>'Orç - Prédio'!D632</f>
        <v>Fusão da fibra óptica</v>
      </c>
      <c r="C74" s="732"/>
      <c r="D74" s="265" t="str">
        <f>'Orç - Prédio'!F632</f>
        <v>pares de fusão</v>
      </c>
      <c r="E74" s="245"/>
      <c r="F74" s="245"/>
      <c r="G74" s="246"/>
      <c r="H74" s="176" t="s">
        <v>8979</v>
      </c>
    </row>
    <row r="75" spans="1:8" ht="22.5">
      <c r="A75" s="247"/>
      <c r="B75" s="248" t="s">
        <v>8094</v>
      </c>
      <c r="C75" s="266"/>
      <c r="D75" s="267"/>
      <c r="E75" s="249" t="s">
        <v>8999</v>
      </c>
      <c r="F75" s="249" t="s">
        <v>8999</v>
      </c>
      <c r="G75" s="249"/>
      <c r="H75" s="268"/>
    </row>
    <row r="76" spans="1:8" ht="33.75">
      <c r="A76" s="251"/>
      <c r="B76" s="367" t="s">
        <v>9000</v>
      </c>
      <c r="C76" s="367"/>
      <c r="D76" s="270"/>
      <c r="E76" s="254" t="s">
        <v>15423</v>
      </c>
      <c r="F76" s="254" t="s">
        <v>15425</v>
      </c>
      <c r="G76" s="254"/>
      <c r="H76" s="268"/>
    </row>
    <row r="77" spans="1:8" ht="33.75">
      <c r="A77" s="251"/>
      <c r="B77" s="367" t="s">
        <v>9003</v>
      </c>
      <c r="C77" s="367"/>
      <c r="D77" s="269"/>
      <c r="E77" s="253">
        <v>60</v>
      </c>
      <c r="F77" s="253">
        <v>103.25</v>
      </c>
      <c r="G77" s="253"/>
      <c r="H77" s="268"/>
    </row>
    <row r="78" spans="1:8" ht="22.5">
      <c r="A78" s="251"/>
      <c r="B78" s="252" t="s">
        <v>9004</v>
      </c>
      <c r="C78" s="271"/>
      <c r="D78" s="269"/>
      <c r="E78" s="369" t="s">
        <v>15424</v>
      </c>
      <c r="F78" s="370" t="s">
        <v>15426</v>
      </c>
      <c r="G78" s="370"/>
      <c r="H78" s="268"/>
    </row>
    <row r="79" spans="1:8">
      <c r="A79" s="251"/>
      <c r="B79" s="252" t="s">
        <v>9001</v>
      </c>
      <c r="C79" s="271"/>
      <c r="D79" s="269"/>
      <c r="E79" s="366">
        <v>925006</v>
      </c>
      <c r="F79" s="368">
        <v>160313</v>
      </c>
      <c r="G79" s="368"/>
      <c r="H79" s="268"/>
    </row>
    <row r="80" spans="1:8">
      <c r="A80" s="251"/>
      <c r="B80" s="252"/>
      <c r="C80" s="271"/>
      <c r="D80" s="269"/>
      <c r="E80" s="254"/>
      <c r="F80" s="255"/>
      <c r="G80" s="255"/>
      <c r="H80" s="268"/>
    </row>
    <row r="81" spans="1:8" ht="22.5">
      <c r="A81" s="251"/>
      <c r="B81" s="256" t="s">
        <v>9005</v>
      </c>
      <c r="C81" s="272"/>
      <c r="D81" s="273"/>
      <c r="E81" s="257">
        <v>43585</v>
      </c>
      <c r="F81" s="257">
        <v>43650</v>
      </c>
      <c r="G81" s="257"/>
      <c r="H81" s="268"/>
    </row>
    <row r="82" spans="1:8">
      <c r="A82" s="258"/>
      <c r="B82" s="259"/>
      <c r="C82" s="274"/>
      <c r="D82" s="275"/>
      <c r="E82" s="262" t="s">
        <v>8091</v>
      </c>
      <c r="F82" s="260">
        <f>MEDIAN(E77:G77)</f>
        <v>81.625</v>
      </c>
      <c r="G82" s="261"/>
    </row>
    <row r="84" spans="1:8" ht="70.5" customHeight="1">
      <c r="A84" s="263" t="str">
        <f>'Orç - Prédio'!A651</f>
        <v>07.01.101</v>
      </c>
      <c r="B84" s="733" t="str">
        <f>'Orç - Prédio'!D651</f>
        <v>Plataforma enclausurada, modelo Vertical Hidro Easy fabricante ThyssenKrupp Elevadores ou equivalente, Carga nominal: 250 kg; Cabina: 900 x 1400 x 1100 mm (medidas internas mínimas), incluindo o enclausuramento em vidro laminado</v>
      </c>
      <c r="C84" s="733"/>
      <c r="D84" s="265" t="str">
        <f>'Orç - Prédio'!F651</f>
        <v>unidade</v>
      </c>
      <c r="E84" s="245" t="s">
        <v>9107</v>
      </c>
      <c r="F84" s="245" t="s">
        <v>9108</v>
      </c>
      <c r="G84" s="246"/>
      <c r="H84" s="176" t="s">
        <v>8979</v>
      </c>
    </row>
    <row r="85" spans="1:8">
      <c r="A85" s="247"/>
      <c r="B85" s="248" t="s">
        <v>8094</v>
      </c>
      <c r="C85" s="266"/>
      <c r="D85" s="267"/>
      <c r="E85" s="249" t="s">
        <v>9009</v>
      </c>
      <c r="F85" s="249" t="s">
        <v>9009</v>
      </c>
      <c r="G85" s="250"/>
      <c r="H85" s="268"/>
    </row>
    <row r="86" spans="1:8">
      <c r="A86" s="251"/>
      <c r="B86" s="252" t="s">
        <v>8087</v>
      </c>
      <c r="C86" s="252"/>
      <c r="D86" s="269"/>
      <c r="E86" s="253">
        <v>59890</v>
      </c>
      <c r="F86" s="253">
        <v>67726.7</v>
      </c>
      <c r="G86" s="253"/>
      <c r="H86" s="268"/>
    </row>
    <row r="87" spans="1:8">
      <c r="A87" s="251"/>
      <c r="B87" s="252" t="s">
        <v>8088</v>
      </c>
      <c r="C87" s="270"/>
      <c r="D87" s="270"/>
      <c r="E87" s="254" t="s">
        <v>9010</v>
      </c>
      <c r="F87" s="254" t="s">
        <v>9109</v>
      </c>
      <c r="G87" s="254"/>
      <c r="H87" s="268"/>
    </row>
    <row r="88" spans="1:8">
      <c r="A88" s="251"/>
      <c r="B88" s="252" t="s">
        <v>5506</v>
      </c>
      <c r="C88" s="271"/>
      <c r="D88" s="269"/>
      <c r="E88" s="254" t="s">
        <v>9011</v>
      </c>
      <c r="F88" s="254" t="s">
        <v>9110</v>
      </c>
      <c r="G88" s="255"/>
      <c r="H88" s="268"/>
    </row>
    <row r="89" spans="1:8" ht="22.5">
      <c r="A89" s="251"/>
      <c r="B89" s="252" t="s">
        <v>8093</v>
      </c>
      <c r="C89" s="271"/>
      <c r="D89" s="269"/>
      <c r="E89" s="254" t="s">
        <v>9012</v>
      </c>
      <c r="F89" s="254" t="s">
        <v>9111</v>
      </c>
      <c r="G89" s="255"/>
      <c r="H89" s="268"/>
    </row>
    <row r="90" spans="1:8" ht="22.5">
      <c r="A90" s="251"/>
      <c r="B90" s="252" t="s">
        <v>8089</v>
      </c>
      <c r="C90" s="271"/>
      <c r="D90" s="269"/>
      <c r="E90" s="254" t="s">
        <v>9013</v>
      </c>
      <c r="F90" s="254" t="s">
        <v>9112</v>
      </c>
      <c r="G90" s="255"/>
      <c r="H90" s="268"/>
    </row>
    <row r="91" spans="1:8">
      <c r="A91" s="251"/>
      <c r="B91" s="256" t="s">
        <v>8090</v>
      </c>
      <c r="C91" s="272"/>
      <c r="D91" s="273"/>
      <c r="E91" s="257">
        <v>43501</v>
      </c>
      <c r="F91" s="257">
        <v>43514</v>
      </c>
      <c r="G91" s="257"/>
      <c r="H91" s="268"/>
    </row>
    <row r="92" spans="1:8">
      <c r="A92" s="258"/>
      <c r="B92" s="259"/>
      <c r="C92" s="274"/>
      <c r="D92" s="275"/>
      <c r="E92" s="262" t="s">
        <v>8091</v>
      </c>
      <c r="F92" s="260">
        <f>MEDIAN(E86:G86)</f>
        <v>63808.35</v>
      </c>
      <c r="G92" s="261"/>
    </row>
    <row r="94" spans="1:8" ht="57.75" customHeight="1">
      <c r="A94" s="263" t="str">
        <f>'Orç - Prédio'!A655</f>
        <v>07.02.001</v>
      </c>
      <c r="B94" s="731" t="str">
        <f>'Orç - Prédio'!D655</f>
        <v>Conjunto de unidades condensadoras e evaporadoras, conforme projeto de ar-condicionado, apenas fornecimento de máquinas, inclusive controles remotos e paineis das unidades cassete</v>
      </c>
      <c r="C94" s="731"/>
      <c r="D94" s="265" t="s">
        <v>15549</v>
      </c>
      <c r="E94" s="245" t="s">
        <v>15550</v>
      </c>
      <c r="F94" s="245"/>
      <c r="G94" s="246"/>
      <c r="H94" s="176" t="s">
        <v>8979</v>
      </c>
    </row>
    <row r="95" spans="1:8">
      <c r="A95" s="247"/>
      <c r="B95" s="248" t="s">
        <v>8094</v>
      </c>
      <c r="C95" s="266"/>
      <c r="D95" s="267"/>
      <c r="E95" s="249" t="s">
        <v>15551</v>
      </c>
      <c r="F95" s="249"/>
      <c r="G95" s="250"/>
      <c r="H95" s="268"/>
    </row>
    <row r="96" spans="1:8">
      <c r="A96" s="251"/>
      <c r="B96" s="252" t="s">
        <v>8087</v>
      </c>
      <c r="C96" s="252"/>
      <c r="D96" s="269"/>
      <c r="E96" s="253">
        <v>468321.4</v>
      </c>
      <c r="F96" s="253"/>
      <c r="G96" s="253"/>
      <c r="H96" s="268"/>
    </row>
    <row r="97" spans="1:8">
      <c r="A97" s="251"/>
      <c r="B97" s="252" t="s">
        <v>8088</v>
      </c>
      <c r="C97" s="270"/>
      <c r="D97" s="270"/>
      <c r="E97" s="254" t="s">
        <v>15552</v>
      </c>
      <c r="F97" s="254"/>
      <c r="G97" s="254"/>
      <c r="H97" s="268"/>
    </row>
    <row r="98" spans="1:8">
      <c r="A98" s="251"/>
      <c r="B98" s="252" t="s">
        <v>5506</v>
      </c>
      <c r="C98" s="271"/>
      <c r="D98" s="269"/>
      <c r="E98" s="254" t="s">
        <v>15554</v>
      </c>
      <c r="F98" s="254"/>
      <c r="G98" s="255"/>
      <c r="H98" s="268"/>
    </row>
    <row r="99" spans="1:8" ht="22.5">
      <c r="A99" s="251"/>
      <c r="B99" s="252" t="s">
        <v>8093</v>
      </c>
      <c r="C99" s="271"/>
      <c r="D99" s="269"/>
      <c r="E99" s="254" t="s">
        <v>15555</v>
      </c>
      <c r="F99" s="254"/>
      <c r="G99" s="255"/>
      <c r="H99" s="268"/>
    </row>
    <row r="100" spans="1:8" ht="22.5">
      <c r="A100" s="251"/>
      <c r="B100" s="252" t="s">
        <v>8089</v>
      </c>
      <c r="C100" s="271"/>
      <c r="D100" s="269"/>
      <c r="E100" s="254" t="s">
        <v>15553</v>
      </c>
      <c r="F100" s="254"/>
      <c r="G100" s="255"/>
      <c r="H100" s="268"/>
    </row>
    <row r="101" spans="1:8">
      <c r="A101" s="251"/>
      <c r="B101" s="256" t="s">
        <v>8090</v>
      </c>
      <c r="C101" s="272"/>
      <c r="D101" s="273"/>
      <c r="E101" s="257">
        <v>43724</v>
      </c>
      <c r="F101" s="257"/>
      <c r="G101" s="257"/>
      <c r="H101" s="268"/>
    </row>
    <row r="102" spans="1:8">
      <c r="A102" s="258"/>
      <c r="B102" s="259"/>
      <c r="C102" s="274"/>
      <c r="D102" s="275"/>
      <c r="E102" s="262" t="s">
        <v>8091</v>
      </c>
      <c r="F102" s="260">
        <f>MEDIAN(E96:G96)</f>
        <v>468321.4</v>
      </c>
      <c r="G102" s="261"/>
    </row>
    <row r="104" spans="1:8" ht="33.75">
      <c r="A104" s="263" t="str">
        <f>'Orç - Prédio'!A665</f>
        <v>07.02.305.02</v>
      </c>
      <c r="B104" s="244"/>
      <c r="C104" s="264" t="str">
        <f>'Orç - Prédio'!D665</f>
        <v>Canto para duto tipo TDC 25mm - POWERMATIC ou EQUIVALENTE</v>
      </c>
      <c r="D104" s="265" t="str">
        <f>'Orç - Prédio'!F665</f>
        <v>unidade</v>
      </c>
      <c r="E104" s="245" t="s">
        <v>15411</v>
      </c>
      <c r="F104" s="245"/>
      <c r="G104" s="246"/>
      <c r="H104" s="176" t="s">
        <v>8979</v>
      </c>
    </row>
    <row r="105" spans="1:8">
      <c r="A105" s="247"/>
      <c r="B105" s="248" t="s">
        <v>8094</v>
      </c>
      <c r="C105" s="266"/>
      <c r="D105" s="267"/>
      <c r="E105" s="249" t="s">
        <v>8092</v>
      </c>
      <c r="F105" s="249"/>
      <c r="G105" s="250"/>
      <c r="H105" s="268"/>
    </row>
    <row r="106" spans="1:8">
      <c r="A106" s="251"/>
      <c r="B106" s="252" t="s">
        <v>8087</v>
      </c>
      <c r="C106" s="252"/>
      <c r="D106" s="269"/>
      <c r="E106" s="253">
        <v>0.46</v>
      </c>
      <c r="F106" s="253"/>
      <c r="G106" s="253"/>
      <c r="H106" s="268"/>
    </row>
    <row r="107" spans="1:8">
      <c r="A107" s="251"/>
      <c r="B107" s="252" t="s">
        <v>8088</v>
      </c>
      <c r="C107" s="270"/>
      <c r="D107" s="270"/>
      <c r="E107" s="254" t="s">
        <v>15412</v>
      </c>
      <c r="F107" s="254"/>
      <c r="G107" s="254"/>
      <c r="H107" s="268"/>
    </row>
    <row r="108" spans="1:8">
      <c r="A108" s="251"/>
      <c r="B108" s="252" t="s">
        <v>5506</v>
      </c>
      <c r="C108" s="271"/>
      <c r="D108" s="269"/>
      <c r="E108" s="254" t="s">
        <v>15413</v>
      </c>
      <c r="F108" s="254"/>
      <c r="G108" s="255"/>
      <c r="H108" s="268"/>
    </row>
    <row r="109" spans="1:8" ht="56.25">
      <c r="A109" s="251"/>
      <c r="B109" s="252" t="s">
        <v>8093</v>
      </c>
      <c r="C109" s="271"/>
      <c r="D109" s="269"/>
      <c r="E109" s="254" t="s">
        <v>15414</v>
      </c>
      <c r="F109" s="254"/>
      <c r="G109" s="255"/>
      <c r="H109" s="268"/>
    </row>
    <row r="110" spans="1:8">
      <c r="A110" s="251"/>
      <c r="B110" s="252" t="s">
        <v>8089</v>
      </c>
      <c r="C110" s="271"/>
      <c r="D110" s="269"/>
      <c r="E110" s="254" t="s">
        <v>15415</v>
      </c>
      <c r="F110" s="254"/>
      <c r="G110" s="255"/>
      <c r="H110" s="268"/>
    </row>
    <row r="111" spans="1:8">
      <c r="A111" s="251"/>
      <c r="B111" s="256" t="s">
        <v>8090</v>
      </c>
      <c r="C111" s="272"/>
      <c r="D111" s="273"/>
      <c r="E111" s="257">
        <v>43713</v>
      </c>
      <c r="F111" s="257"/>
      <c r="G111" s="257"/>
      <c r="H111" s="268"/>
    </row>
    <row r="112" spans="1:8">
      <c r="A112" s="258"/>
      <c r="B112" s="259"/>
      <c r="C112" s="274"/>
      <c r="D112" s="275"/>
      <c r="E112" s="262" t="s">
        <v>8091</v>
      </c>
      <c r="F112" s="260">
        <f>MEDIAN(E106:G106)</f>
        <v>0.46</v>
      </c>
      <c r="G112" s="261"/>
    </row>
    <row r="114" spans="1:8" ht="33.75">
      <c r="A114" s="263" t="str">
        <f>'Orç - Prédio'!A666</f>
        <v>07.02.305.03</v>
      </c>
      <c r="B114" s="244"/>
      <c r="C114" s="264" t="str">
        <f>'Orç - Prédio'!D666</f>
        <v>Fita de vedação 20 x 4mm, rolo com 10m - POWERMATIC ou EQUIVALENTE</v>
      </c>
      <c r="D114" s="265" t="str">
        <f>'Orç - Prédio'!F672</f>
        <v>unidade</v>
      </c>
      <c r="E114" s="245" t="s">
        <v>15411</v>
      </c>
      <c r="F114" s="245"/>
      <c r="G114" s="246"/>
      <c r="H114" s="176" t="s">
        <v>8979</v>
      </c>
    </row>
    <row r="115" spans="1:8">
      <c r="A115" s="247"/>
      <c r="B115" s="248" t="s">
        <v>8094</v>
      </c>
      <c r="C115" s="266"/>
      <c r="D115" s="267"/>
      <c r="E115" s="249" t="s">
        <v>8092</v>
      </c>
      <c r="F115" s="249"/>
      <c r="G115" s="250"/>
      <c r="H115" s="268"/>
    </row>
    <row r="116" spans="1:8">
      <c r="A116" s="251"/>
      <c r="B116" s="252" t="s">
        <v>8087</v>
      </c>
      <c r="C116" s="252"/>
      <c r="D116" s="269"/>
      <c r="E116" s="253">
        <v>6</v>
      </c>
      <c r="F116" s="253"/>
      <c r="G116" s="253"/>
      <c r="H116" s="268"/>
    </row>
    <row r="117" spans="1:8">
      <c r="A117" s="251"/>
      <c r="B117" s="252" t="s">
        <v>8088</v>
      </c>
      <c r="C117" s="270"/>
      <c r="D117" s="270"/>
      <c r="E117" s="254" t="s">
        <v>15412</v>
      </c>
      <c r="F117" s="254"/>
      <c r="G117" s="254"/>
      <c r="H117" s="268"/>
    </row>
    <row r="118" spans="1:8">
      <c r="A118" s="251"/>
      <c r="B118" s="252" t="s">
        <v>5506</v>
      </c>
      <c r="C118" s="271"/>
      <c r="D118" s="269"/>
      <c r="E118" s="254" t="s">
        <v>15413</v>
      </c>
      <c r="F118" s="254"/>
      <c r="G118" s="255"/>
      <c r="H118" s="268"/>
    </row>
    <row r="119" spans="1:8" ht="56.25">
      <c r="A119" s="251"/>
      <c r="B119" s="252" t="s">
        <v>8093</v>
      </c>
      <c r="C119" s="271"/>
      <c r="D119" s="269"/>
      <c r="E119" s="254" t="s">
        <v>15414</v>
      </c>
      <c r="F119" s="254"/>
      <c r="G119" s="255"/>
      <c r="H119" s="268"/>
    </row>
    <row r="120" spans="1:8">
      <c r="A120" s="251"/>
      <c r="B120" s="252" t="s">
        <v>8089</v>
      </c>
      <c r="C120" s="271"/>
      <c r="D120" s="269"/>
      <c r="E120" s="254" t="s">
        <v>15415</v>
      </c>
      <c r="F120" s="254"/>
      <c r="G120" s="255"/>
      <c r="H120" s="268"/>
    </row>
    <row r="121" spans="1:8">
      <c r="A121" s="251"/>
      <c r="B121" s="256" t="s">
        <v>8090</v>
      </c>
      <c r="C121" s="272"/>
      <c r="D121" s="273"/>
      <c r="E121" s="257">
        <v>43713</v>
      </c>
      <c r="F121" s="257"/>
      <c r="G121" s="257"/>
      <c r="H121" s="268"/>
    </row>
    <row r="122" spans="1:8">
      <c r="A122" s="258"/>
      <c r="B122" s="259"/>
      <c r="C122" s="274"/>
      <c r="D122" s="275"/>
      <c r="E122" s="262" t="s">
        <v>8091</v>
      </c>
      <c r="F122" s="260">
        <f>MEDIAN(E116:G116)</f>
        <v>6</v>
      </c>
      <c r="G122" s="261"/>
    </row>
    <row r="124" spans="1:8" ht="22.5">
      <c r="A124" s="263" t="str">
        <f>'Orç - Prédio'!A676</f>
        <v>07.02.501.01</v>
      </c>
      <c r="B124" s="244"/>
      <c r="C124" s="264" t="str">
        <f>'Orç - Prédio'!D676</f>
        <v>Valvula de serviço, Ref.: GBC (Danfoss) 7/8”</v>
      </c>
      <c r="D124" s="245" t="str">
        <f>'Orç - Prédio'!F676</f>
        <v>unidade</v>
      </c>
      <c r="E124" s="245" t="s">
        <v>9028</v>
      </c>
      <c r="F124" s="245" t="s">
        <v>9032</v>
      </c>
      <c r="G124" s="246" t="s">
        <v>9036</v>
      </c>
      <c r="H124" s="176" t="s">
        <v>8979</v>
      </c>
    </row>
    <row r="125" spans="1:8">
      <c r="A125" s="247"/>
      <c r="B125" s="248" t="s">
        <v>8094</v>
      </c>
      <c r="C125" s="266"/>
      <c r="D125" s="267"/>
      <c r="E125" s="249" t="s">
        <v>8092</v>
      </c>
      <c r="F125" s="249" t="s">
        <v>8092</v>
      </c>
      <c r="G125" s="249" t="s">
        <v>8092</v>
      </c>
      <c r="H125" s="268"/>
    </row>
    <row r="126" spans="1:8">
      <c r="A126" s="251"/>
      <c r="B126" s="252" t="s">
        <v>8087</v>
      </c>
      <c r="C126" s="252"/>
      <c r="D126" s="269"/>
      <c r="E126" s="253">
        <v>285.99</v>
      </c>
      <c r="F126" s="253">
        <v>53.11</v>
      </c>
      <c r="G126" s="253">
        <v>213.75</v>
      </c>
      <c r="H126" s="268"/>
    </row>
    <row r="127" spans="1:8">
      <c r="A127" s="251"/>
      <c r="B127" s="252" t="s">
        <v>8088</v>
      </c>
      <c r="C127" s="270"/>
      <c r="D127" s="270"/>
      <c r="E127" s="254" t="s">
        <v>8137</v>
      </c>
      <c r="F127" s="254" t="s">
        <v>9038</v>
      </c>
      <c r="G127" s="254" t="s">
        <v>9039</v>
      </c>
      <c r="H127" s="268"/>
    </row>
    <row r="128" spans="1:8">
      <c r="A128" s="251"/>
      <c r="B128" s="252" t="s">
        <v>5506</v>
      </c>
      <c r="C128" s="271"/>
      <c r="D128" s="269"/>
      <c r="E128" s="254" t="s">
        <v>9030</v>
      </c>
      <c r="F128" s="254" t="s">
        <v>9034</v>
      </c>
      <c r="G128" s="254" t="s">
        <v>9037</v>
      </c>
      <c r="H128" s="268"/>
    </row>
    <row r="129" spans="1:8" ht="78.75">
      <c r="A129" s="251"/>
      <c r="B129" s="252" t="s">
        <v>8093</v>
      </c>
      <c r="C129" s="271"/>
      <c r="D129" s="269"/>
      <c r="E129" s="254" t="s">
        <v>9029</v>
      </c>
      <c r="F129" s="254" t="s">
        <v>9033</v>
      </c>
      <c r="G129" s="254" t="s">
        <v>9040</v>
      </c>
      <c r="H129" s="268"/>
    </row>
    <row r="130" spans="1:8" ht="22.5">
      <c r="A130" s="251"/>
      <c r="B130" s="252" t="s">
        <v>8089</v>
      </c>
      <c r="C130" s="271"/>
      <c r="D130" s="269"/>
      <c r="E130" s="254" t="s">
        <v>9031</v>
      </c>
      <c r="F130" s="254" t="s">
        <v>9035</v>
      </c>
      <c r="G130" s="254" t="s">
        <v>9041</v>
      </c>
      <c r="H130" s="268"/>
    </row>
    <row r="131" spans="1:8">
      <c r="A131" s="251"/>
      <c r="B131" s="256" t="s">
        <v>8090</v>
      </c>
      <c r="C131" s="272"/>
      <c r="D131" s="273"/>
      <c r="E131" s="257">
        <v>43713</v>
      </c>
      <c r="F131" s="257">
        <v>43713</v>
      </c>
      <c r="G131" s="257">
        <v>43713</v>
      </c>
      <c r="H131" s="268"/>
    </row>
    <row r="132" spans="1:8">
      <c r="A132" s="258"/>
      <c r="B132" s="259"/>
      <c r="C132" s="274"/>
      <c r="D132" s="275"/>
      <c r="E132" s="262" t="s">
        <v>8091</v>
      </c>
      <c r="F132" s="260">
        <f>MEDIAN(E126:G126)</f>
        <v>213.75</v>
      </c>
      <c r="G132" s="261"/>
    </row>
    <row r="134" spans="1:8" ht="22.5">
      <c r="A134" s="263" t="str">
        <f>'Orç - Prédio'!A677</f>
        <v>07.02.501.02</v>
      </c>
      <c r="B134" s="244"/>
      <c r="C134" s="264" t="str">
        <f>'Orç - Prédio'!D677</f>
        <v>Valvula de serviço, Ref.: GBC (Danfoss) 5/8”</v>
      </c>
      <c r="D134" s="245" t="str">
        <f>'Orç - Prédio'!F677</f>
        <v>unidade</v>
      </c>
      <c r="E134" s="245" t="s">
        <v>9028</v>
      </c>
      <c r="F134" s="245" t="s">
        <v>9043</v>
      </c>
      <c r="G134" s="246" t="s">
        <v>9049</v>
      </c>
      <c r="H134" s="176" t="s">
        <v>8979</v>
      </c>
    </row>
    <row r="135" spans="1:8">
      <c r="A135" s="247"/>
      <c r="B135" s="248" t="s">
        <v>8094</v>
      </c>
      <c r="C135" s="266"/>
      <c r="D135" s="267"/>
      <c r="E135" s="249" t="s">
        <v>8092</v>
      </c>
      <c r="F135" s="249" t="s">
        <v>8092</v>
      </c>
      <c r="G135" s="249" t="s">
        <v>8092</v>
      </c>
      <c r="H135" s="268"/>
    </row>
    <row r="136" spans="1:8">
      <c r="A136" s="251"/>
      <c r="B136" s="252" t="s">
        <v>8087</v>
      </c>
      <c r="C136" s="252"/>
      <c r="D136" s="269"/>
      <c r="E136" s="253">
        <v>75.91</v>
      </c>
      <c r="F136" s="253">
        <v>79</v>
      </c>
      <c r="G136" s="253">
        <v>46</v>
      </c>
      <c r="H136" s="268"/>
    </row>
    <row r="137" spans="1:8">
      <c r="A137" s="251"/>
      <c r="B137" s="252" t="s">
        <v>8088</v>
      </c>
      <c r="C137" s="270"/>
      <c r="D137" s="270"/>
      <c r="E137" s="254" t="s">
        <v>8137</v>
      </c>
      <c r="F137" s="254" t="s">
        <v>9046</v>
      </c>
      <c r="G137" s="254" t="s">
        <v>9051</v>
      </c>
      <c r="H137" s="268"/>
    </row>
    <row r="138" spans="1:8">
      <c r="A138" s="251"/>
      <c r="B138" s="252" t="s">
        <v>5506</v>
      </c>
      <c r="C138" s="271"/>
      <c r="D138" s="269"/>
      <c r="E138" s="254" t="s">
        <v>9030</v>
      </c>
      <c r="F138" s="254" t="s">
        <v>9047</v>
      </c>
      <c r="G138" s="254" t="s">
        <v>9052</v>
      </c>
      <c r="H138" s="268"/>
    </row>
    <row r="139" spans="1:8" ht="56.25">
      <c r="A139" s="251"/>
      <c r="B139" s="252" t="s">
        <v>8093</v>
      </c>
      <c r="C139" s="271"/>
      <c r="D139" s="269"/>
      <c r="E139" s="254" t="s">
        <v>9044</v>
      </c>
      <c r="F139" s="254" t="s">
        <v>9045</v>
      </c>
      <c r="G139" s="254" t="s">
        <v>9050</v>
      </c>
      <c r="H139" s="268"/>
    </row>
    <row r="140" spans="1:8" ht="22.5">
      <c r="A140" s="251"/>
      <c r="B140" s="252" t="s">
        <v>8089</v>
      </c>
      <c r="C140" s="271"/>
      <c r="D140" s="269"/>
      <c r="E140" s="254" t="s">
        <v>9031</v>
      </c>
      <c r="F140" s="254" t="s">
        <v>9048</v>
      </c>
      <c r="G140" s="254" t="s">
        <v>9053</v>
      </c>
      <c r="H140" s="268"/>
    </row>
    <row r="141" spans="1:8">
      <c r="A141" s="251"/>
      <c r="B141" s="256" t="s">
        <v>8090</v>
      </c>
      <c r="C141" s="272"/>
      <c r="D141" s="273"/>
      <c r="E141" s="257">
        <v>43713</v>
      </c>
      <c r="F141" s="257">
        <v>43713</v>
      </c>
      <c r="G141" s="257">
        <v>43713</v>
      </c>
      <c r="H141" s="268"/>
    </row>
    <row r="142" spans="1:8">
      <c r="A142" s="258"/>
      <c r="B142" s="259"/>
      <c r="C142" s="274"/>
      <c r="D142" s="275"/>
      <c r="E142" s="262" t="s">
        <v>8091</v>
      </c>
      <c r="F142" s="260">
        <f>MEDIAN(E136:G136)</f>
        <v>75.91</v>
      </c>
      <c r="G142" s="261"/>
    </row>
    <row r="144" spans="1:8" ht="22.5">
      <c r="A144" s="263" t="str">
        <f>'Orç - Prédio'!A678</f>
        <v>07.02.501.03</v>
      </c>
      <c r="B144" s="244"/>
      <c r="C144" s="264" t="str">
        <f>'Orç - Prédio'!D678</f>
        <v>Valvula de serviço, Ref.: GBC (Danfoss) 1/2”</v>
      </c>
      <c r="D144" s="245" t="str">
        <f>'Orç - Prédio'!F678</f>
        <v>unidade</v>
      </c>
      <c r="E144" s="372" t="s">
        <v>9036</v>
      </c>
      <c r="F144" s="373" t="s">
        <v>9043</v>
      </c>
      <c r="G144" s="372" t="s">
        <v>9049</v>
      </c>
      <c r="H144" s="176" t="s">
        <v>8979</v>
      </c>
    </row>
    <row r="145" spans="1:8">
      <c r="A145" s="247"/>
      <c r="B145" s="248" t="s">
        <v>8094</v>
      </c>
      <c r="C145" s="266"/>
      <c r="D145" s="267"/>
      <c r="E145" s="254" t="s">
        <v>8092</v>
      </c>
      <c r="F145" s="254" t="s">
        <v>8092</v>
      </c>
      <c r="G145" s="254" t="s">
        <v>8092</v>
      </c>
      <c r="H145" s="268"/>
    </row>
    <row r="146" spans="1:8">
      <c r="A146" s="251"/>
      <c r="B146" s="252" t="s">
        <v>8087</v>
      </c>
      <c r="C146" s="252"/>
      <c r="D146" s="269"/>
      <c r="E146" s="253">
        <v>23.75</v>
      </c>
      <c r="F146" s="253">
        <v>67.900000000000006</v>
      </c>
      <c r="G146" s="253">
        <v>46</v>
      </c>
      <c r="H146" s="268"/>
    </row>
    <row r="147" spans="1:8">
      <c r="A147" s="251"/>
      <c r="B147" s="252" t="s">
        <v>8088</v>
      </c>
      <c r="C147" s="270"/>
      <c r="D147" s="270"/>
      <c r="E147" s="254" t="s">
        <v>9039</v>
      </c>
      <c r="F147" s="254" t="s">
        <v>9046</v>
      </c>
      <c r="G147" s="254" t="s">
        <v>9051</v>
      </c>
      <c r="H147" s="268"/>
    </row>
    <row r="148" spans="1:8">
      <c r="A148" s="251"/>
      <c r="B148" s="252" t="s">
        <v>5506</v>
      </c>
      <c r="C148" s="271"/>
      <c r="D148" s="269"/>
      <c r="E148" s="254" t="s">
        <v>9037</v>
      </c>
      <c r="F148" s="254" t="s">
        <v>9047</v>
      </c>
      <c r="G148" s="254" t="s">
        <v>9052</v>
      </c>
      <c r="H148" s="268"/>
    </row>
    <row r="149" spans="1:8" ht="56.25">
      <c r="A149" s="251"/>
      <c r="B149" s="252" t="s">
        <v>8093</v>
      </c>
      <c r="C149" s="271"/>
      <c r="D149" s="269"/>
      <c r="E149" s="254" t="s">
        <v>9055</v>
      </c>
      <c r="F149" s="254" t="s">
        <v>9056</v>
      </c>
      <c r="G149" s="254" t="s">
        <v>9057</v>
      </c>
      <c r="H149" s="268"/>
    </row>
    <row r="150" spans="1:8" ht="22.5">
      <c r="A150" s="251"/>
      <c r="B150" s="252" t="s">
        <v>8089</v>
      </c>
      <c r="C150" s="271"/>
      <c r="D150" s="269"/>
      <c r="E150" s="254" t="s">
        <v>9041</v>
      </c>
      <c r="F150" s="254" t="s">
        <v>9048</v>
      </c>
      <c r="G150" s="254" t="s">
        <v>9053</v>
      </c>
      <c r="H150" s="268"/>
    </row>
    <row r="151" spans="1:8">
      <c r="A151" s="251"/>
      <c r="B151" s="256" t="s">
        <v>8090</v>
      </c>
      <c r="C151" s="272"/>
      <c r="D151" s="273"/>
      <c r="E151" s="257">
        <v>43713</v>
      </c>
      <c r="F151" s="257">
        <v>43713</v>
      </c>
      <c r="G151" s="257">
        <v>43713</v>
      </c>
      <c r="H151" s="268"/>
    </row>
    <row r="152" spans="1:8">
      <c r="A152" s="258"/>
      <c r="B152" s="259"/>
      <c r="C152" s="274"/>
      <c r="D152" s="275"/>
      <c r="E152" s="262" t="s">
        <v>8091</v>
      </c>
      <c r="F152" s="260">
        <f>MEDIAN(E146:G146)</f>
        <v>46</v>
      </c>
      <c r="G152" s="261"/>
    </row>
    <row r="154" spans="1:8" ht="22.5">
      <c r="A154" s="263" t="str">
        <f>'Orç - Prédio'!A679</f>
        <v>07.02.501.04</v>
      </c>
      <c r="B154" s="244"/>
      <c r="C154" s="264" t="str">
        <f>'Orç - Prédio'!D679</f>
        <v>Valvula de serviço, Ref.: GBC (Danfoss) 3/8”</v>
      </c>
      <c r="D154" s="245" t="str">
        <f>'Orç - Prédio'!F679</f>
        <v>unidade</v>
      </c>
      <c r="E154" s="372" t="s">
        <v>9036</v>
      </c>
      <c r="F154" s="373" t="s">
        <v>9043</v>
      </c>
      <c r="G154" s="372" t="s">
        <v>9049</v>
      </c>
      <c r="H154" s="176" t="s">
        <v>8979</v>
      </c>
    </row>
    <row r="155" spans="1:8">
      <c r="A155" s="247"/>
      <c r="B155" s="248" t="s">
        <v>8094</v>
      </c>
      <c r="C155" s="266"/>
      <c r="D155" s="267"/>
      <c r="E155" s="254" t="s">
        <v>8092</v>
      </c>
      <c r="F155" s="254" t="s">
        <v>8092</v>
      </c>
      <c r="G155" s="254" t="s">
        <v>8092</v>
      </c>
      <c r="H155" s="268"/>
    </row>
    <row r="156" spans="1:8">
      <c r="A156" s="251"/>
      <c r="B156" s="252" t="s">
        <v>8087</v>
      </c>
      <c r="C156" s="252"/>
      <c r="D156" s="269"/>
      <c r="E156" s="253">
        <v>42.75</v>
      </c>
      <c r="F156" s="253">
        <v>63.9</v>
      </c>
      <c r="G156" s="253">
        <v>35</v>
      </c>
      <c r="H156" s="268"/>
    </row>
    <row r="157" spans="1:8">
      <c r="A157" s="251"/>
      <c r="B157" s="252" t="s">
        <v>8088</v>
      </c>
      <c r="C157" s="270"/>
      <c r="D157" s="270"/>
      <c r="E157" s="254" t="s">
        <v>9039</v>
      </c>
      <c r="F157" s="254" t="s">
        <v>9046</v>
      </c>
      <c r="G157" s="254" t="s">
        <v>9051</v>
      </c>
      <c r="H157" s="268"/>
    </row>
    <row r="158" spans="1:8">
      <c r="A158" s="251"/>
      <c r="B158" s="252" t="s">
        <v>5506</v>
      </c>
      <c r="C158" s="271"/>
      <c r="D158" s="269"/>
      <c r="E158" s="254" t="s">
        <v>9037</v>
      </c>
      <c r="F158" s="254" t="s">
        <v>9047</v>
      </c>
      <c r="G158" s="254" t="s">
        <v>9052</v>
      </c>
      <c r="H158" s="268"/>
    </row>
    <row r="159" spans="1:8" ht="56.25">
      <c r="A159" s="251"/>
      <c r="B159" s="252" t="s">
        <v>8093</v>
      </c>
      <c r="C159" s="271"/>
      <c r="D159" s="269"/>
      <c r="E159" s="254" t="s">
        <v>9059</v>
      </c>
      <c r="F159" s="254" t="s">
        <v>9060</v>
      </c>
      <c r="G159" s="254" t="s">
        <v>9057</v>
      </c>
      <c r="H159" s="268"/>
    </row>
    <row r="160" spans="1:8" ht="22.5">
      <c r="A160" s="251"/>
      <c r="B160" s="252" t="s">
        <v>8089</v>
      </c>
      <c r="C160" s="271"/>
      <c r="D160" s="269"/>
      <c r="E160" s="254" t="s">
        <v>9041</v>
      </c>
      <c r="F160" s="254" t="s">
        <v>9048</v>
      </c>
      <c r="G160" s="254" t="s">
        <v>9053</v>
      </c>
      <c r="H160" s="268"/>
    </row>
    <row r="161" spans="1:8">
      <c r="A161" s="251"/>
      <c r="B161" s="256" t="s">
        <v>8090</v>
      </c>
      <c r="C161" s="272"/>
      <c r="D161" s="273"/>
      <c r="E161" s="257">
        <v>43713</v>
      </c>
      <c r="F161" s="257">
        <v>43713</v>
      </c>
      <c r="G161" s="257">
        <v>43713</v>
      </c>
      <c r="H161" s="268"/>
    </row>
    <row r="162" spans="1:8">
      <c r="A162" s="258"/>
      <c r="B162" s="259"/>
      <c r="C162" s="274"/>
      <c r="D162" s="275"/>
      <c r="E162" s="262" t="s">
        <v>8091</v>
      </c>
      <c r="F162" s="260">
        <f>MEDIAN(E156:G156)</f>
        <v>42.75</v>
      </c>
      <c r="G162" s="261"/>
    </row>
    <row r="164" spans="1:8" ht="22.5">
      <c r="A164" s="263" t="str">
        <f>'Orç - Prédio'!A680</f>
        <v>07.02.501.05</v>
      </c>
      <c r="B164" s="244"/>
      <c r="C164" s="264" t="str">
        <f>'Orç - Prédio'!D680</f>
        <v>Valvula de serviço, Ref.: GBC (Danfoss) 1/4”</v>
      </c>
      <c r="D164" s="245" t="str">
        <f>'Orç - Prédio'!F680</f>
        <v>unidade</v>
      </c>
      <c r="E164" s="372" t="s">
        <v>9036</v>
      </c>
      <c r="F164" s="245" t="s">
        <v>9028</v>
      </c>
      <c r="G164" s="372" t="s">
        <v>9049</v>
      </c>
      <c r="H164" s="176" t="s">
        <v>8979</v>
      </c>
    </row>
    <row r="165" spans="1:8">
      <c r="A165" s="247"/>
      <c r="B165" s="248" t="s">
        <v>8094</v>
      </c>
      <c r="C165" s="266"/>
      <c r="D165" s="267"/>
      <c r="E165" s="254" t="s">
        <v>8092</v>
      </c>
      <c r="F165" s="249" t="s">
        <v>8092</v>
      </c>
      <c r="G165" s="254" t="s">
        <v>8092</v>
      </c>
      <c r="H165" s="268"/>
    </row>
    <row r="166" spans="1:8">
      <c r="A166" s="251"/>
      <c r="B166" s="252" t="s">
        <v>8087</v>
      </c>
      <c r="C166" s="252"/>
      <c r="D166" s="269"/>
      <c r="E166" s="253">
        <v>17.100000000000001</v>
      </c>
      <c r="F166" s="253">
        <v>43.06</v>
      </c>
      <c r="G166" s="253">
        <v>32</v>
      </c>
      <c r="H166" s="268"/>
    </row>
    <row r="167" spans="1:8">
      <c r="A167" s="251"/>
      <c r="B167" s="252" t="s">
        <v>8088</v>
      </c>
      <c r="C167" s="270"/>
      <c r="D167" s="270"/>
      <c r="E167" s="254" t="s">
        <v>9039</v>
      </c>
      <c r="F167" s="254" t="s">
        <v>8137</v>
      </c>
      <c r="G167" s="254" t="s">
        <v>9051</v>
      </c>
      <c r="H167" s="268"/>
    </row>
    <row r="168" spans="1:8">
      <c r="A168" s="251"/>
      <c r="B168" s="252" t="s">
        <v>5506</v>
      </c>
      <c r="C168" s="271"/>
      <c r="D168" s="269"/>
      <c r="E168" s="254" t="s">
        <v>9037</v>
      </c>
      <c r="F168" s="254" t="s">
        <v>9030</v>
      </c>
      <c r="G168" s="254" t="s">
        <v>9052</v>
      </c>
      <c r="H168" s="268"/>
    </row>
    <row r="169" spans="1:8" ht="70.5" customHeight="1">
      <c r="A169" s="251"/>
      <c r="B169" s="252" t="s">
        <v>8093</v>
      </c>
      <c r="C169" s="271"/>
      <c r="D169" s="269"/>
      <c r="E169" s="254" t="s">
        <v>9062</v>
      </c>
      <c r="F169" s="254" t="s">
        <v>9063</v>
      </c>
      <c r="G169" s="254" t="s">
        <v>9064</v>
      </c>
      <c r="H169" s="268"/>
    </row>
    <row r="170" spans="1:8" ht="22.5">
      <c r="A170" s="251"/>
      <c r="B170" s="252" t="s">
        <v>8089</v>
      </c>
      <c r="C170" s="271"/>
      <c r="D170" s="269"/>
      <c r="E170" s="254" t="s">
        <v>9041</v>
      </c>
      <c r="F170" s="254" t="s">
        <v>9031</v>
      </c>
      <c r="G170" s="254" t="s">
        <v>9053</v>
      </c>
      <c r="H170" s="268"/>
    </row>
    <row r="171" spans="1:8">
      <c r="A171" s="251"/>
      <c r="B171" s="256" t="s">
        <v>8090</v>
      </c>
      <c r="C171" s="272"/>
      <c r="D171" s="273"/>
      <c r="E171" s="257">
        <v>43713</v>
      </c>
      <c r="F171" s="257">
        <v>43713</v>
      </c>
      <c r="G171" s="257">
        <v>43713</v>
      </c>
      <c r="H171" s="268"/>
    </row>
    <row r="172" spans="1:8">
      <c r="A172" s="258"/>
      <c r="B172" s="259"/>
      <c r="C172" s="274"/>
      <c r="D172" s="275"/>
      <c r="E172" s="262" t="s">
        <v>8091</v>
      </c>
      <c r="F172" s="260">
        <f>MEDIAN(E166:G166)</f>
        <v>32</v>
      </c>
      <c r="G172" s="261"/>
    </row>
    <row r="174" spans="1:8" ht="45">
      <c r="A174" s="263" t="str">
        <f>'Orç - Prédio'!A681</f>
        <v>07.02.502.01</v>
      </c>
      <c r="B174" s="244"/>
      <c r="C174" s="264" t="str">
        <f>'Orç - Prédio'!D681</f>
        <v>Gabinete de ventilação para ar exterior (BOOSTER) com filtragem (G4/F7) vazão=9.198m3/h x 60 mmca</v>
      </c>
      <c r="D174" s="245" t="str">
        <f>'Orç - Prédio'!F681</f>
        <v>unidade</v>
      </c>
      <c r="E174" s="372" t="s">
        <v>9291</v>
      </c>
      <c r="F174" s="373" t="s">
        <v>9292</v>
      </c>
      <c r="G174" s="372"/>
      <c r="H174" s="176" t="s">
        <v>8979</v>
      </c>
    </row>
    <row r="175" spans="1:8">
      <c r="A175" s="247"/>
      <c r="B175" s="248" t="s">
        <v>8094</v>
      </c>
      <c r="C175" s="266"/>
      <c r="D175" s="267"/>
      <c r="E175" s="254" t="s">
        <v>9009</v>
      </c>
      <c r="F175" s="254" t="s">
        <v>9009</v>
      </c>
      <c r="G175" s="254"/>
      <c r="H175" s="268"/>
    </row>
    <row r="176" spans="1:8">
      <c r="A176" s="251"/>
      <c r="B176" s="252" t="s">
        <v>8087</v>
      </c>
      <c r="C176" s="252"/>
      <c r="D176" s="269"/>
      <c r="E176" s="253">
        <v>5051</v>
      </c>
      <c r="F176" s="253">
        <v>9772</v>
      </c>
      <c r="G176" s="253"/>
      <c r="H176" s="268"/>
    </row>
    <row r="177" spans="1:8">
      <c r="A177" s="251"/>
      <c r="B177" s="252" t="s">
        <v>8088</v>
      </c>
      <c r="C177" s="270"/>
      <c r="D177" s="270"/>
      <c r="E177" s="254" t="s">
        <v>9288</v>
      </c>
      <c r="F177" s="254" t="s">
        <v>9293</v>
      </c>
      <c r="G177" s="254"/>
      <c r="H177" s="268"/>
    </row>
    <row r="178" spans="1:8">
      <c r="A178" s="251"/>
      <c r="B178" s="252" t="s">
        <v>5506</v>
      </c>
      <c r="C178" s="271"/>
      <c r="D178" s="269"/>
      <c r="E178" s="254" t="s">
        <v>9289</v>
      </c>
      <c r="F178" s="254" t="s">
        <v>9294</v>
      </c>
      <c r="G178" s="254"/>
      <c r="H178" s="268"/>
    </row>
    <row r="179" spans="1:8" ht="56.25" customHeight="1">
      <c r="A179" s="251"/>
      <c r="B179" s="252" t="s">
        <v>8093</v>
      </c>
      <c r="C179" s="271"/>
      <c r="D179" s="269"/>
      <c r="E179" s="254" t="s">
        <v>8137</v>
      </c>
      <c r="F179" s="254" t="s">
        <v>9295</v>
      </c>
      <c r="G179" s="254"/>
      <c r="H179" s="268"/>
    </row>
    <row r="180" spans="1:8" ht="22.5">
      <c r="A180" s="251"/>
      <c r="B180" s="252" t="s">
        <v>8089</v>
      </c>
      <c r="C180" s="271"/>
      <c r="D180" s="269"/>
      <c r="E180" s="254" t="s">
        <v>9290</v>
      </c>
      <c r="F180" s="254" t="s">
        <v>9296</v>
      </c>
      <c r="G180" s="254"/>
      <c r="H180" s="268"/>
    </row>
    <row r="181" spans="1:8">
      <c r="A181" s="251"/>
      <c r="B181" s="256" t="s">
        <v>8090</v>
      </c>
      <c r="C181" s="272"/>
      <c r="D181" s="273"/>
      <c r="E181" s="257">
        <v>43518</v>
      </c>
      <c r="F181" s="257">
        <v>43518</v>
      </c>
      <c r="G181" s="257"/>
      <c r="H181" s="268"/>
    </row>
    <row r="182" spans="1:8">
      <c r="A182" s="258"/>
      <c r="B182" s="259"/>
      <c r="C182" s="274"/>
      <c r="D182" s="275"/>
      <c r="E182" s="262" t="s">
        <v>8091</v>
      </c>
      <c r="F182" s="260">
        <f>MEDIAN(E176:G176)</f>
        <v>7411.5</v>
      </c>
      <c r="G182" s="261"/>
    </row>
    <row r="184" spans="1:8" ht="45">
      <c r="A184" s="263" t="str">
        <f>'Orç - Prédio'!A682</f>
        <v>07.02.502.02</v>
      </c>
      <c r="B184" s="244"/>
      <c r="C184" s="264" t="str">
        <f>'Orç - Prédio'!D682</f>
        <v>Gabinete de ventilação para ar exterior (BOOSTER) com filtragem (G4/F7) vazão=5.970m3/h x 60 mmca</v>
      </c>
      <c r="D184" s="245" t="str">
        <f>'Orç - Prédio'!F682</f>
        <v>unidade</v>
      </c>
      <c r="E184" s="372" t="s">
        <v>9291</v>
      </c>
      <c r="F184" s="373" t="s">
        <v>9292</v>
      </c>
      <c r="G184" s="372"/>
      <c r="H184" s="176" t="s">
        <v>8979</v>
      </c>
    </row>
    <row r="185" spans="1:8">
      <c r="A185" s="247"/>
      <c r="B185" s="248" t="s">
        <v>8094</v>
      </c>
      <c r="C185" s="266"/>
      <c r="D185" s="267"/>
      <c r="E185" s="254" t="s">
        <v>9009</v>
      </c>
      <c r="F185" s="254" t="s">
        <v>9009</v>
      </c>
      <c r="G185" s="254"/>
      <c r="H185" s="268"/>
    </row>
    <row r="186" spans="1:8">
      <c r="A186" s="251"/>
      <c r="B186" s="252" t="s">
        <v>8087</v>
      </c>
      <c r="C186" s="252"/>
      <c r="D186" s="269"/>
      <c r="E186" s="253">
        <v>3812</v>
      </c>
      <c r="F186" s="253">
        <v>7922.9</v>
      </c>
      <c r="G186" s="253"/>
      <c r="H186" s="268"/>
    </row>
    <row r="187" spans="1:8">
      <c r="A187" s="251"/>
      <c r="B187" s="252" t="s">
        <v>8088</v>
      </c>
      <c r="C187" s="270"/>
      <c r="D187" s="270"/>
      <c r="E187" s="254" t="s">
        <v>9288</v>
      </c>
      <c r="F187" s="254" t="s">
        <v>9293</v>
      </c>
      <c r="G187" s="254"/>
      <c r="H187" s="268"/>
    </row>
    <row r="188" spans="1:8">
      <c r="A188" s="251"/>
      <c r="B188" s="252" t="s">
        <v>5506</v>
      </c>
      <c r="C188" s="271"/>
      <c r="D188" s="269"/>
      <c r="E188" s="254" t="s">
        <v>9289</v>
      </c>
      <c r="F188" s="254" t="s">
        <v>9294</v>
      </c>
      <c r="G188" s="254"/>
      <c r="H188" s="268"/>
    </row>
    <row r="189" spans="1:8" ht="56.25" customHeight="1">
      <c r="A189" s="251"/>
      <c r="B189" s="252" t="s">
        <v>8093</v>
      </c>
      <c r="C189" s="271"/>
      <c r="D189" s="269"/>
      <c r="E189" s="254" t="s">
        <v>8137</v>
      </c>
      <c r="F189" s="254" t="s">
        <v>9295</v>
      </c>
      <c r="G189" s="254"/>
      <c r="H189" s="268"/>
    </row>
    <row r="190" spans="1:8" ht="22.5">
      <c r="A190" s="251"/>
      <c r="B190" s="252" t="s">
        <v>8089</v>
      </c>
      <c r="C190" s="271"/>
      <c r="D190" s="269"/>
      <c r="E190" s="254" t="s">
        <v>9290</v>
      </c>
      <c r="F190" s="254" t="s">
        <v>9296</v>
      </c>
      <c r="G190" s="254"/>
      <c r="H190" s="268"/>
    </row>
    <row r="191" spans="1:8">
      <c r="A191" s="251"/>
      <c r="B191" s="256" t="s">
        <v>8090</v>
      </c>
      <c r="C191" s="272"/>
      <c r="D191" s="273"/>
      <c r="E191" s="257">
        <v>43518</v>
      </c>
      <c r="F191" s="257">
        <v>43518</v>
      </c>
      <c r="G191" s="257"/>
      <c r="H191" s="268"/>
    </row>
    <row r="192" spans="1:8">
      <c r="A192" s="258"/>
      <c r="B192" s="259"/>
      <c r="C192" s="274"/>
      <c r="D192" s="275"/>
      <c r="E192" s="262" t="s">
        <v>8091</v>
      </c>
      <c r="F192" s="260">
        <f>MEDIAN(E186:G186)</f>
        <v>5867.45</v>
      </c>
      <c r="G192" s="261"/>
    </row>
    <row r="194" spans="1:8" ht="22.5">
      <c r="A194" s="263" t="str">
        <f>'Orç - Prédio'!A683</f>
        <v>07.02.502.03</v>
      </c>
      <c r="B194" s="244"/>
      <c r="C194" s="264" t="str">
        <f>'Orç - Prédio'!D683</f>
        <v>Gabinete de exaustão vazão=5.100m3/h x 30 mmca</v>
      </c>
      <c r="D194" s="245" t="str">
        <f>'Orç - Prédio'!F683</f>
        <v>unidade</v>
      </c>
      <c r="E194" s="372" t="s">
        <v>9291</v>
      </c>
      <c r="F194" s="373" t="s">
        <v>9292</v>
      </c>
      <c r="G194" s="372"/>
      <c r="H194" s="176" t="s">
        <v>8979</v>
      </c>
    </row>
    <row r="195" spans="1:8">
      <c r="A195" s="247"/>
      <c r="B195" s="248" t="s">
        <v>8094</v>
      </c>
      <c r="C195" s="266"/>
      <c r="D195" s="267"/>
      <c r="E195" s="254" t="s">
        <v>9009</v>
      </c>
      <c r="F195" s="254" t="s">
        <v>9009</v>
      </c>
      <c r="G195" s="254"/>
      <c r="H195" s="268"/>
    </row>
    <row r="196" spans="1:8">
      <c r="A196" s="251"/>
      <c r="B196" s="252" t="s">
        <v>8087</v>
      </c>
      <c r="C196" s="252"/>
      <c r="D196" s="269"/>
      <c r="E196" s="253">
        <v>2923</v>
      </c>
      <c r="F196" s="253">
        <v>4785</v>
      </c>
      <c r="G196" s="253"/>
      <c r="H196" s="268"/>
    </row>
    <row r="197" spans="1:8">
      <c r="A197" s="251"/>
      <c r="B197" s="252" t="s">
        <v>8088</v>
      </c>
      <c r="C197" s="270"/>
      <c r="D197" s="270"/>
      <c r="E197" s="254" t="s">
        <v>9288</v>
      </c>
      <c r="F197" s="254" t="s">
        <v>9293</v>
      </c>
      <c r="G197" s="254"/>
      <c r="H197" s="268"/>
    </row>
    <row r="198" spans="1:8">
      <c r="A198" s="251"/>
      <c r="B198" s="252" t="s">
        <v>5506</v>
      </c>
      <c r="C198" s="271"/>
      <c r="D198" s="269"/>
      <c r="E198" s="254" t="s">
        <v>9289</v>
      </c>
      <c r="F198" s="254" t="s">
        <v>9294</v>
      </c>
      <c r="G198" s="254"/>
      <c r="H198" s="268"/>
    </row>
    <row r="199" spans="1:8" ht="56.25" customHeight="1">
      <c r="A199" s="251"/>
      <c r="B199" s="252" t="s">
        <v>8093</v>
      </c>
      <c r="C199" s="271"/>
      <c r="D199" s="269"/>
      <c r="E199" s="254" t="s">
        <v>8137</v>
      </c>
      <c r="F199" s="254" t="s">
        <v>9295</v>
      </c>
      <c r="G199" s="254"/>
      <c r="H199" s="268"/>
    </row>
    <row r="200" spans="1:8" ht="22.5">
      <c r="A200" s="251"/>
      <c r="B200" s="252" t="s">
        <v>8089</v>
      </c>
      <c r="C200" s="271"/>
      <c r="D200" s="269"/>
      <c r="E200" s="254" t="s">
        <v>9290</v>
      </c>
      <c r="F200" s="254" t="s">
        <v>9296</v>
      </c>
      <c r="G200" s="254"/>
      <c r="H200" s="268"/>
    </row>
    <row r="201" spans="1:8">
      <c r="A201" s="251"/>
      <c r="B201" s="256" t="s">
        <v>8090</v>
      </c>
      <c r="C201" s="272"/>
      <c r="D201" s="273"/>
      <c r="E201" s="257">
        <v>43518</v>
      </c>
      <c r="F201" s="257">
        <v>43518</v>
      </c>
      <c r="G201" s="257"/>
      <c r="H201" s="268"/>
    </row>
    <row r="202" spans="1:8">
      <c r="A202" s="258"/>
      <c r="B202" s="259"/>
      <c r="C202" s="274"/>
      <c r="D202" s="275"/>
      <c r="E202" s="262" t="s">
        <v>8091</v>
      </c>
      <c r="F202" s="260">
        <f>MEDIAN(E196:G196)</f>
        <v>3854</v>
      </c>
      <c r="G202" s="261"/>
    </row>
    <row r="204" spans="1:8" ht="33.75">
      <c r="A204" s="263" t="str">
        <f>'Orç - Prédio'!A745</f>
        <v>08.01.521</v>
      </c>
      <c r="B204" s="244"/>
      <c r="C204" s="264" t="str">
        <f>'Orç - Prédio'!D745</f>
        <v>Tanque de pressão capacidade mínima 10L, classe 150</v>
      </c>
      <c r="D204" s="265" t="str">
        <f>'Orç - Prédio'!F737</f>
        <v>unidade</v>
      </c>
      <c r="E204" s="245"/>
      <c r="F204" s="245"/>
      <c r="G204" s="246"/>
      <c r="H204" s="176" t="s">
        <v>8979</v>
      </c>
    </row>
    <row r="205" spans="1:8" ht="22.5">
      <c r="A205" s="247"/>
      <c r="B205" s="248" t="s">
        <v>8094</v>
      </c>
      <c r="C205" s="266"/>
      <c r="D205" s="267"/>
      <c r="E205" s="249" t="s">
        <v>8999</v>
      </c>
      <c r="F205" s="249"/>
      <c r="G205" s="249"/>
      <c r="H205" s="268"/>
    </row>
    <row r="206" spans="1:8" ht="22.5">
      <c r="A206" s="251"/>
      <c r="B206" s="367" t="s">
        <v>9000</v>
      </c>
      <c r="C206" s="367"/>
      <c r="D206" s="270"/>
      <c r="E206" s="254" t="s">
        <v>15427</v>
      </c>
      <c r="F206" s="254"/>
      <c r="G206" s="254"/>
      <c r="H206" s="268"/>
    </row>
    <row r="207" spans="1:8" ht="33.75">
      <c r="A207" s="251"/>
      <c r="B207" s="367" t="s">
        <v>9003</v>
      </c>
      <c r="C207" s="367"/>
      <c r="D207" s="269"/>
      <c r="E207" s="253">
        <v>450</v>
      </c>
      <c r="F207" s="253"/>
      <c r="G207" s="253"/>
      <c r="H207" s="268"/>
    </row>
    <row r="208" spans="1:8" ht="22.5">
      <c r="A208" s="251"/>
      <c r="B208" s="252" t="s">
        <v>9004</v>
      </c>
      <c r="C208" s="271"/>
      <c r="D208" s="269"/>
      <c r="E208" s="369" t="s">
        <v>15428</v>
      </c>
      <c r="F208" s="370"/>
      <c r="G208" s="370"/>
      <c r="H208" s="268"/>
    </row>
    <row r="209" spans="1:8">
      <c r="A209" s="251"/>
      <c r="B209" s="252" t="s">
        <v>9001</v>
      </c>
      <c r="C209" s="271"/>
      <c r="D209" s="269"/>
      <c r="E209" s="366">
        <v>926040</v>
      </c>
      <c r="F209" s="368"/>
      <c r="G209" s="368"/>
      <c r="H209" s="268"/>
    </row>
    <row r="210" spans="1:8">
      <c r="A210" s="251"/>
      <c r="B210" s="252"/>
      <c r="C210" s="271"/>
      <c r="D210" s="269"/>
      <c r="E210" s="254"/>
      <c r="F210" s="255"/>
      <c r="G210" s="255"/>
      <c r="H210" s="268"/>
    </row>
    <row r="211" spans="1:8" ht="22.5">
      <c r="A211" s="251"/>
      <c r="B211" s="256" t="s">
        <v>9005</v>
      </c>
      <c r="C211" s="272"/>
      <c r="D211" s="273"/>
      <c r="E211" s="257">
        <v>43644</v>
      </c>
      <c r="F211" s="257"/>
      <c r="G211" s="257"/>
      <c r="H211" s="268"/>
    </row>
    <row r="212" spans="1:8">
      <c r="A212" s="258"/>
      <c r="B212" s="259"/>
      <c r="C212" s="274"/>
      <c r="D212" s="275"/>
      <c r="E212" s="262" t="s">
        <v>8091</v>
      </c>
      <c r="F212" s="260">
        <f>MEDIAN(E207:G207)</f>
        <v>450</v>
      </c>
      <c r="G212" s="261"/>
    </row>
  </sheetData>
  <mergeCells count="14">
    <mergeCell ref="E12:G12"/>
    <mergeCell ref="A1:G1"/>
    <mergeCell ref="A2:G2"/>
    <mergeCell ref="A3:G3"/>
    <mergeCell ref="A6:G6"/>
    <mergeCell ref="B64:C64"/>
    <mergeCell ref="B74:C74"/>
    <mergeCell ref="B84:C84"/>
    <mergeCell ref="B94:C94"/>
    <mergeCell ref="B14:C14"/>
    <mergeCell ref="B24:C24"/>
    <mergeCell ref="B34:C34"/>
    <mergeCell ref="B44:C44"/>
    <mergeCell ref="B54:C54"/>
  </mergeCells>
  <hyperlinks>
    <hyperlink ref="E89" r:id="rId1"/>
    <hyperlink ref="E90" r:id="rId2"/>
    <hyperlink ref="E69" r:id="rId3"/>
    <hyperlink ref="E70" r:id="rId4"/>
    <hyperlink ref="E129" r:id="rId5"/>
    <hyperlink ref="E130" r:id="rId6"/>
    <hyperlink ref="F130" r:id="rId7"/>
    <hyperlink ref="G129" r:id="rId8"/>
    <hyperlink ref="G130" r:id="rId9"/>
    <hyperlink ref="E140" r:id="rId10"/>
    <hyperlink ref="F140" r:id="rId11"/>
    <hyperlink ref="G140" r:id="rId12"/>
    <hyperlink ref="F150" r:id="rId13"/>
    <hyperlink ref="G150" r:id="rId14"/>
    <hyperlink ref="E150" r:id="rId15"/>
    <hyperlink ref="F160" r:id="rId16"/>
    <hyperlink ref="G160" r:id="rId17"/>
    <hyperlink ref="E160" r:id="rId18"/>
    <hyperlink ref="G170" r:id="rId19"/>
    <hyperlink ref="E170" r:id="rId20"/>
    <hyperlink ref="F170" r:id="rId21"/>
    <hyperlink ref="E59" r:id="rId22"/>
    <hyperlink ref="E60" r:id="rId23"/>
    <hyperlink ref="E180" r:id="rId24"/>
    <hyperlink ref="E190" r:id="rId25"/>
    <hyperlink ref="E200" r:id="rId26"/>
    <hyperlink ref="F179" r:id="rId27"/>
    <hyperlink ref="F180" r:id="rId28"/>
    <hyperlink ref="F189" r:id="rId29"/>
    <hyperlink ref="F190" r:id="rId30"/>
    <hyperlink ref="F199" r:id="rId31"/>
    <hyperlink ref="F200" r:id="rId32"/>
    <hyperlink ref="E19" r:id="rId33"/>
    <hyperlink ref="E29" r:id="rId34"/>
    <hyperlink ref="F29" r:id="rId35"/>
    <hyperlink ref="G29" display="https://www.lojadomecanico.com.br/produto/69535/49/729/Fixador-de-Porta-para-Piso/153/?utm_source=googleshopping&amp;utm_campaign=xmlshopping&amp;utm_medium=cpc&amp;utm_content=69535&amp;gclid=CjwKCAjwnrjrBRAMEiwAXsCc46ZzSGn8EToq5x4yVzDZBJN5NzJBFY-DnGSzqh4-a2QlxmKxB_tj7x"/>
    <hyperlink ref="E109" r:id="rId36"/>
    <hyperlink ref="E110" r:id="rId37"/>
    <hyperlink ref="E119" r:id="rId38"/>
    <hyperlink ref="E120" r:id="rId39"/>
    <hyperlink ref="F129" r:id="rId40"/>
    <hyperlink ref="E139" r:id="rId41"/>
    <hyperlink ref="F139" r:id="rId42"/>
    <hyperlink ref="G139" r:id="rId43"/>
    <hyperlink ref="E149" r:id="rId44"/>
    <hyperlink ref="F149" r:id="rId45"/>
    <hyperlink ref="G149" r:id="rId46"/>
    <hyperlink ref="E159" r:id="rId47"/>
    <hyperlink ref="F159" r:id="rId48"/>
    <hyperlink ref="G159" r:id="rId49"/>
    <hyperlink ref="E169" r:id="rId50"/>
    <hyperlink ref="F169" r:id="rId51"/>
    <hyperlink ref="G169" r:id="rId52"/>
    <hyperlink ref="E50" r:id="rId53"/>
    <hyperlink ref="E49" r:id="rId54"/>
    <hyperlink ref="E39" r:id="rId55"/>
    <hyperlink ref="E40" r:id="rId56"/>
    <hyperlink ref="E100" r:id="rId57"/>
    <hyperlink ref="E99" r:id="rId58"/>
  </hyperlinks>
  <pageMargins left="0.51181102362204722" right="0.51181102362204722" top="0.78740157480314965" bottom="0.86614173228346458" header="0.31496062992125984" footer="0.19685039370078741"/>
  <pageSetup paperSize="9" scale="79" firstPageNumber="174" orientation="portrait" useFirstPageNumber="1" r:id="rId59"/>
  <headerFooter>
    <oddHeader xml:space="preserve">&amp;L
&amp;C&amp;"Arial,Negrito"
</oddHeader>
    <oddFooter xml:space="preserve">&amp;CEng. Civil Daniele Firme Miranda
CREA: 24.965/D-DF
ART nº 0720190034483&amp;RPágina &amp;P de 208
</oddFooter>
  </headerFooter>
  <rowBreaks count="3" manualBreakCount="3">
    <brk id="43" max="16383" man="1"/>
    <brk id="83" max="16383" man="1"/>
    <brk id="193" max="16383" man="1"/>
  </rowBreaks>
  <colBreaks count="1" manualBreakCount="1">
    <brk id="7" max="1048575" man="1"/>
  </colBreaks>
  <drawing r:id="rId6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dimension ref="A1:I50"/>
  <sheetViews>
    <sheetView view="pageLayout" topLeftCell="A43" zoomScaleNormal="100" zoomScaleSheetLayoutView="85" workbookViewId="0">
      <selection activeCell="E25" sqref="E25"/>
    </sheetView>
  </sheetViews>
  <sheetFormatPr defaultRowHeight="12.75"/>
  <cols>
    <col min="1" max="1" width="16.42578125" style="48" customWidth="1"/>
    <col min="2" max="2" width="12.140625" style="48" customWidth="1"/>
    <col min="3" max="3" width="41.7109375" style="48" customWidth="1"/>
    <col min="4" max="4" width="18.28515625" style="48" customWidth="1"/>
    <col min="5" max="5" width="21.42578125" style="48" customWidth="1"/>
    <col min="6" max="6" width="8.85546875" style="48" customWidth="1"/>
    <col min="7" max="16384" width="9.140625" style="48"/>
  </cols>
  <sheetData>
    <row r="1" spans="1:9" ht="15">
      <c r="A1" s="38"/>
      <c r="B1" s="38"/>
      <c r="C1" s="39"/>
      <c r="D1" s="69"/>
      <c r="E1" s="40"/>
      <c r="F1" s="31"/>
      <c r="G1" s="31"/>
      <c r="H1" s="31"/>
      <c r="I1" s="32"/>
    </row>
    <row r="2" spans="1:9" ht="15">
      <c r="A2" s="685" t="s">
        <v>35</v>
      </c>
      <c r="B2" s="685"/>
      <c r="C2" s="685"/>
      <c r="D2" s="685"/>
      <c r="E2" s="685"/>
      <c r="F2" s="685"/>
      <c r="G2" s="19"/>
      <c r="H2" s="19"/>
      <c r="I2" s="19"/>
    </row>
    <row r="3" spans="1:9" ht="15">
      <c r="A3" s="685" t="s">
        <v>36</v>
      </c>
      <c r="B3" s="685"/>
      <c r="C3" s="685"/>
      <c r="D3" s="685"/>
      <c r="E3" s="685"/>
      <c r="F3" s="685"/>
      <c r="G3" s="19"/>
      <c r="H3" s="19"/>
      <c r="I3" s="19"/>
    </row>
    <row r="4" spans="1:9" ht="15">
      <c r="A4" s="685" t="s">
        <v>5924</v>
      </c>
      <c r="B4" s="685"/>
      <c r="C4" s="685"/>
      <c r="D4" s="685"/>
      <c r="E4" s="685"/>
      <c r="F4" s="685"/>
      <c r="G4" s="19"/>
      <c r="H4" s="19"/>
      <c r="I4" s="19"/>
    </row>
    <row r="5" spans="1:9" ht="15">
      <c r="A5" s="33"/>
      <c r="B5" s="33"/>
      <c r="C5" s="34" t="s">
        <v>29</v>
      </c>
      <c r="D5" s="70"/>
      <c r="E5" s="51"/>
      <c r="F5" s="41"/>
      <c r="G5" s="41"/>
      <c r="H5" s="41"/>
      <c r="I5" s="35"/>
    </row>
    <row r="6" spans="1:9" ht="15">
      <c r="A6" s="33"/>
      <c r="B6" s="33"/>
      <c r="C6" s="34"/>
      <c r="D6" s="70"/>
      <c r="E6" s="42"/>
      <c r="F6" s="31"/>
      <c r="G6" s="31"/>
      <c r="H6" s="31"/>
      <c r="I6" s="32"/>
    </row>
    <row r="7" spans="1:9" ht="21">
      <c r="A7" s="689" t="s">
        <v>6180</v>
      </c>
      <c r="B7" s="689"/>
      <c r="C7" s="689"/>
      <c r="D7" s="689"/>
      <c r="E7" s="689"/>
      <c r="F7" s="689"/>
      <c r="G7" s="19"/>
      <c r="H7" s="19"/>
      <c r="I7" s="19"/>
    </row>
    <row r="8" spans="1:9" ht="15">
      <c r="A8" s="33"/>
      <c r="B8" s="33"/>
      <c r="C8" s="34"/>
      <c r="D8" s="70"/>
      <c r="E8" s="51"/>
      <c r="F8" s="41"/>
      <c r="G8" s="41"/>
      <c r="H8" s="41"/>
      <c r="I8" s="35"/>
    </row>
    <row r="9" spans="1:9" ht="15">
      <c r="A9" s="43" t="s">
        <v>5251</v>
      </c>
      <c r="B9" s="691" t="str">
        <f>'Orç - Canteiro e Adm'!B9:J9</f>
        <v>Construção do edifício UEP-FCE</v>
      </c>
      <c r="C9" s="691"/>
      <c r="D9" s="691"/>
      <c r="E9" s="691"/>
      <c r="F9" s="691"/>
      <c r="G9" s="71"/>
      <c r="H9" s="71"/>
      <c r="I9" s="43"/>
    </row>
    <row r="10" spans="1:9" ht="15">
      <c r="A10" s="43" t="s">
        <v>131</v>
      </c>
      <c r="B10" s="691" t="str">
        <f>'Orç - Canteiro e Adm'!B10:J10</f>
        <v>QNN 14, Área Especial, Campus UnB Ceilândia, RA IX</v>
      </c>
      <c r="C10" s="691"/>
      <c r="D10" s="691"/>
      <c r="E10" s="691"/>
      <c r="F10" s="691"/>
      <c r="G10" s="71"/>
      <c r="H10" s="71"/>
      <c r="I10" s="43"/>
    </row>
    <row r="11" spans="1:9" ht="15">
      <c r="A11" s="43" t="s">
        <v>5252</v>
      </c>
      <c r="B11" s="740" t="str">
        <f>'Orç - Canteiro e Adm'!B11:J11</f>
        <v>Agosto de 2019</v>
      </c>
      <c r="C11" s="740"/>
      <c r="D11" s="740"/>
      <c r="E11" s="740"/>
      <c r="F11" s="740"/>
      <c r="G11" s="72"/>
      <c r="H11" s="72"/>
      <c r="I11" s="43"/>
    </row>
    <row r="12" spans="1:9" ht="15">
      <c r="A12" s="37"/>
      <c r="B12" s="37"/>
      <c r="C12" s="52"/>
      <c r="D12" s="73"/>
      <c r="E12" s="36"/>
      <c r="F12" s="31"/>
      <c r="G12" s="31"/>
      <c r="H12" s="31"/>
      <c r="I12" s="32"/>
    </row>
    <row r="13" spans="1:9" ht="15">
      <c r="A13" s="71"/>
      <c r="B13" s="695" t="s">
        <v>6181</v>
      </c>
      <c r="C13" s="695"/>
      <c r="D13" s="695"/>
      <c r="E13" s="71"/>
      <c r="F13" s="71"/>
      <c r="G13" s="71"/>
      <c r="H13" s="71"/>
      <c r="I13" s="71"/>
    </row>
    <row r="14" spans="1:9" ht="63.75" customHeight="1">
      <c r="A14" s="71"/>
      <c r="B14" s="13"/>
      <c r="C14" s="13"/>
      <c r="D14" s="13"/>
      <c r="E14" s="71"/>
      <c r="F14" s="71"/>
      <c r="G14" s="71"/>
      <c r="H14" s="71"/>
      <c r="I14" s="71"/>
    </row>
    <row r="15" spans="1:9" ht="15">
      <c r="A15" s="71"/>
      <c r="B15" s="741" t="s">
        <v>6182</v>
      </c>
      <c r="C15" s="741"/>
      <c r="D15" s="741"/>
      <c r="E15" s="71"/>
      <c r="F15" s="71"/>
      <c r="G15" s="71"/>
      <c r="H15" s="71"/>
      <c r="I15" s="71"/>
    </row>
    <row r="16" spans="1:9" ht="6" customHeight="1">
      <c r="A16" s="71"/>
      <c r="B16" s="13"/>
      <c r="C16" s="13"/>
      <c r="D16" s="13"/>
      <c r="E16" s="71"/>
      <c r="F16" s="71"/>
      <c r="G16" s="71"/>
      <c r="H16" s="71"/>
      <c r="I16" s="71"/>
    </row>
    <row r="17" spans="1:9" ht="15">
      <c r="A17" s="37"/>
      <c r="B17" s="74" t="s">
        <v>6</v>
      </c>
      <c r="C17" s="74" t="s">
        <v>6183</v>
      </c>
      <c r="D17" s="75" t="s">
        <v>6184</v>
      </c>
      <c r="E17" s="37"/>
      <c r="F17" s="37"/>
      <c r="G17" s="71"/>
      <c r="H17" s="71"/>
      <c r="I17" s="71"/>
    </row>
    <row r="18" spans="1:9" ht="15">
      <c r="B18" s="76" t="s">
        <v>21</v>
      </c>
      <c r="C18" s="77" t="s">
        <v>6185</v>
      </c>
      <c r="D18" s="78">
        <v>0.04</v>
      </c>
    </row>
    <row r="19" spans="1:9" ht="15">
      <c r="B19" s="76" t="s">
        <v>22</v>
      </c>
      <c r="C19" s="77" t="s">
        <v>6186</v>
      </c>
      <c r="D19" s="78">
        <v>1.23E-2</v>
      </c>
    </row>
    <row r="20" spans="1:9" ht="15">
      <c r="B20" s="76" t="s">
        <v>6187</v>
      </c>
      <c r="C20" s="79" t="s">
        <v>6188</v>
      </c>
      <c r="D20" s="80">
        <v>8.0000000000000002E-3</v>
      </c>
    </row>
    <row r="21" spans="1:9" ht="15">
      <c r="B21" s="737" t="s">
        <v>6189</v>
      </c>
      <c r="C21" s="81" t="s">
        <v>6190</v>
      </c>
      <c r="D21" s="82">
        <v>0.01</v>
      </c>
    </row>
    <row r="22" spans="1:9" ht="15">
      <c r="B22" s="737"/>
      <c r="C22" s="83" t="s">
        <v>6191</v>
      </c>
      <c r="D22" s="84">
        <v>6.4999999999999997E-3</v>
      </c>
    </row>
    <row r="23" spans="1:9" ht="15">
      <c r="B23" s="737"/>
      <c r="C23" s="83" t="s">
        <v>6192</v>
      </c>
      <c r="D23" s="84">
        <v>0.03</v>
      </c>
    </row>
    <row r="24" spans="1:9" ht="15">
      <c r="B24" s="737"/>
      <c r="C24" s="85" t="s">
        <v>6193</v>
      </c>
      <c r="D24" s="86">
        <v>4.65E-2</v>
      </c>
    </row>
    <row r="25" spans="1:9" ht="15">
      <c r="B25" s="76" t="s">
        <v>6194</v>
      </c>
      <c r="C25" s="87" t="s">
        <v>6195</v>
      </c>
      <c r="D25" s="88">
        <v>7.3999999999999996E-2</v>
      </c>
    </row>
    <row r="26" spans="1:9" ht="15">
      <c r="B26" s="76" t="s">
        <v>6196</v>
      </c>
      <c r="C26" s="77" t="s">
        <v>6197</v>
      </c>
      <c r="D26" s="78">
        <v>1.2699999999999999E-2</v>
      </c>
    </row>
    <row r="27" spans="1:9" ht="15">
      <c r="B27" s="76" t="s">
        <v>4053</v>
      </c>
      <c r="C27" s="77" t="s">
        <v>6198</v>
      </c>
      <c r="D27" s="78">
        <v>4.4999999999999998E-2</v>
      </c>
    </row>
    <row r="28" spans="1:9" ht="8.25" customHeight="1"/>
    <row r="29" spans="1:9" ht="15">
      <c r="A29" s="89"/>
      <c r="B29" s="738" t="s">
        <v>6199</v>
      </c>
      <c r="C29" s="739"/>
      <c r="D29" s="90">
        <v>0.26934932211337381</v>
      </c>
      <c r="E29" s="89"/>
      <c r="F29" s="89"/>
      <c r="G29" s="89"/>
      <c r="H29" s="89"/>
      <c r="I29" s="89"/>
    </row>
    <row r="34" spans="2:4" ht="15">
      <c r="B34" s="741" t="s">
        <v>6200</v>
      </c>
      <c r="C34" s="741"/>
      <c r="D34" s="741"/>
    </row>
    <row r="35" spans="2:4" ht="6.75" customHeight="1">
      <c r="B35" s="13"/>
      <c r="C35" s="13"/>
      <c r="D35" s="13"/>
    </row>
    <row r="36" spans="2:4" ht="15">
      <c r="B36" s="74" t="s">
        <v>6</v>
      </c>
      <c r="C36" s="74" t="s">
        <v>6183</v>
      </c>
      <c r="D36" s="75" t="s">
        <v>6184</v>
      </c>
    </row>
    <row r="37" spans="2:4" ht="15">
      <c r="B37" s="76" t="s">
        <v>21</v>
      </c>
      <c r="C37" s="77" t="s">
        <v>6185</v>
      </c>
      <c r="D37" s="78">
        <v>3.4500000000000003E-2</v>
      </c>
    </row>
    <row r="38" spans="2:4" ht="15">
      <c r="B38" s="76" t="s">
        <v>22</v>
      </c>
      <c r="C38" s="77" t="s">
        <v>6186</v>
      </c>
      <c r="D38" s="78">
        <v>8.5000000000000006E-3</v>
      </c>
    </row>
    <row r="39" spans="2:4" ht="15">
      <c r="B39" s="76" t="s">
        <v>6187</v>
      </c>
      <c r="C39" s="79" t="s">
        <v>6188</v>
      </c>
      <c r="D39" s="80">
        <v>4.7999999999999996E-3</v>
      </c>
    </row>
    <row r="40" spans="2:4" ht="15">
      <c r="B40" s="737" t="s">
        <v>6189</v>
      </c>
      <c r="C40" s="81" t="s">
        <v>6190</v>
      </c>
      <c r="D40" s="82">
        <v>0</v>
      </c>
    </row>
    <row r="41" spans="2:4" ht="15">
      <c r="B41" s="737"/>
      <c r="C41" s="83" t="s">
        <v>6191</v>
      </c>
      <c r="D41" s="84">
        <v>6.4999999999999997E-3</v>
      </c>
    </row>
    <row r="42" spans="2:4" ht="15">
      <c r="B42" s="737"/>
      <c r="C42" s="83" t="s">
        <v>6192</v>
      </c>
      <c r="D42" s="84">
        <v>0.03</v>
      </c>
    </row>
    <row r="43" spans="2:4" ht="15">
      <c r="B43" s="737"/>
      <c r="C43" s="85" t="s">
        <v>6193</v>
      </c>
      <c r="D43" s="86">
        <v>3.6499999999999998E-2</v>
      </c>
    </row>
    <row r="44" spans="2:4" ht="15">
      <c r="B44" s="76" t="s">
        <v>6194</v>
      </c>
      <c r="C44" s="87" t="s">
        <v>6195</v>
      </c>
      <c r="D44" s="88">
        <v>5.11E-2</v>
      </c>
    </row>
    <row r="45" spans="2:4" ht="15">
      <c r="B45" s="76" t="s">
        <v>6196</v>
      </c>
      <c r="C45" s="77" t="s">
        <v>6197</v>
      </c>
      <c r="D45" s="78">
        <v>8.5000000000000006E-3</v>
      </c>
    </row>
    <row r="46" spans="2:4" ht="15">
      <c r="B46" s="76" t="s">
        <v>4053</v>
      </c>
      <c r="C46" s="77" t="s">
        <v>6198</v>
      </c>
      <c r="D46" s="78">
        <v>4.4999999999999998E-2</v>
      </c>
    </row>
    <row r="47" spans="2:4" ht="6.75" customHeight="1"/>
    <row r="48" spans="2:4" ht="15">
      <c r="B48" s="738" t="s">
        <v>9346</v>
      </c>
      <c r="C48" s="739"/>
      <c r="D48" s="90">
        <v>0.20925856497550321</v>
      </c>
    </row>
    <row r="50" spans="4:4" ht="15">
      <c r="D50" s="91"/>
    </row>
  </sheetData>
  <mergeCells count="14">
    <mergeCell ref="B40:B43"/>
    <mergeCell ref="B48:C48"/>
    <mergeCell ref="B11:F11"/>
    <mergeCell ref="B13:D13"/>
    <mergeCell ref="B15:D15"/>
    <mergeCell ref="B21:B24"/>
    <mergeCell ref="B29:C29"/>
    <mergeCell ref="B34:D34"/>
    <mergeCell ref="B10:F10"/>
    <mergeCell ref="A2:F2"/>
    <mergeCell ref="A3:F3"/>
    <mergeCell ref="A4:F4"/>
    <mergeCell ref="A7:F7"/>
    <mergeCell ref="B9:F9"/>
  </mergeCells>
  <pageMargins left="0.51181102362204722" right="0.51181102362204722" top="0.78740157480314965" bottom="0.78740157480314965" header="0.31496062992125984" footer="0.31496062992125984"/>
  <pageSetup paperSize="9" scale="78" firstPageNumber="180" orientation="portrait" useFirstPageNumber="1" r:id="rId1"/>
  <headerFooter>
    <oddFooter xml:space="preserve">&amp;CEng. Civil Daniele Firme Miranda
CREA: 24.965/D-DF
ART nº 0720190034483&amp;RPágina &amp;P de 208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dimension ref="A1:F55"/>
  <sheetViews>
    <sheetView view="pageLayout" topLeftCell="A40" zoomScaleNormal="100" zoomScaleSheetLayoutView="100" workbookViewId="0">
      <selection activeCell="E25" sqref="E25"/>
    </sheetView>
  </sheetViews>
  <sheetFormatPr defaultRowHeight="12.75"/>
  <cols>
    <col min="1" max="1" width="16.5703125" style="48" customWidth="1"/>
    <col min="2" max="2" width="14.42578125" style="48" customWidth="1"/>
    <col min="3" max="3" width="40.140625" style="48" customWidth="1"/>
    <col min="4" max="4" width="16.42578125" style="48" customWidth="1"/>
    <col min="5" max="5" width="21.85546875" style="48" customWidth="1"/>
    <col min="6" max="16384" width="9.140625" style="48"/>
  </cols>
  <sheetData>
    <row r="1" spans="1:6" ht="15">
      <c r="A1" s="38"/>
      <c r="B1" s="38"/>
      <c r="C1" s="39"/>
      <c r="D1" s="45"/>
      <c r="E1" s="40"/>
      <c r="F1" s="31"/>
    </row>
    <row r="2" spans="1:6" ht="15">
      <c r="A2" s="685" t="s">
        <v>35</v>
      </c>
      <c r="B2" s="685"/>
      <c r="C2" s="685"/>
      <c r="D2" s="685"/>
      <c r="E2" s="685"/>
      <c r="F2" s="685"/>
    </row>
    <row r="3" spans="1:6" ht="15">
      <c r="A3" s="685" t="s">
        <v>36</v>
      </c>
      <c r="B3" s="685"/>
      <c r="C3" s="685"/>
      <c r="D3" s="685"/>
      <c r="E3" s="685"/>
      <c r="F3" s="685"/>
    </row>
    <row r="4" spans="1:6" ht="15">
      <c r="A4" s="685" t="s">
        <v>5924</v>
      </c>
      <c r="B4" s="685"/>
      <c r="C4" s="685"/>
      <c r="D4" s="685"/>
      <c r="E4" s="685"/>
      <c r="F4" s="685"/>
    </row>
    <row r="5" spans="1:6" ht="15">
      <c r="A5" s="33"/>
      <c r="B5" s="33"/>
      <c r="C5" s="34" t="s">
        <v>29</v>
      </c>
      <c r="D5" s="46"/>
      <c r="E5" s="51"/>
      <c r="F5" s="41"/>
    </row>
    <row r="6" spans="1:6" ht="15">
      <c r="A6" s="33"/>
      <c r="B6" s="33"/>
      <c r="C6" s="34"/>
      <c r="D6" s="46"/>
      <c r="E6" s="42"/>
      <c r="F6" s="31"/>
    </row>
    <row r="7" spans="1:6" ht="21">
      <c r="A7" s="689" t="s">
        <v>6201</v>
      </c>
      <c r="B7" s="689"/>
      <c r="C7" s="689"/>
      <c r="D7" s="689"/>
      <c r="E7" s="689"/>
      <c r="F7" s="689"/>
    </row>
    <row r="8" spans="1:6" ht="15">
      <c r="A8" s="33"/>
      <c r="B8" s="33"/>
      <c r="C8" s="34"/>
      <c r="D8" s="46"/>
      <c r="E8" s="51"/>
      <c r="F8" s="41"/>
    </row>
    <row r="9" spans="1:6" ht="15">
      <c r="A9" s="43" t="s">
        <v>5251</v>
      </c>
      <c r="B9" s="691" t="str">
        <f>'Orç - Canteiro e Adm'!B9:J9</f>
        <v>Construção do edifício UEP-FCE</v>
      </c>
      <c r="C9" s="691"/>
      <c r="D9" s="691"/>
      <c r="E9" s="691"/>
      <c r="F9" s="691"/>
    </row>
    <row r="10" spans="1:6" ht="15">
      <c r="A10" s="43" t="s">
        <v>131</v>
      </c>
      <c r="B10" s="691" t="str">
        <f>'Orç - Canteiro e Adm'!B10:J10</f>
        <v>QNN 14, Área Especial, Campus UnB Ceilândia, RA IX</v>
      </c>
      <c r="C10" s="691"/>
      <c r="D10" s="691"/>
      <c r="E10" s="691"/>
      <c r="F10" s="691"/>
    </row>
    <row r="11" spans="1:6" ht="15">
      <c r="A11" s="43" t="s">
        <v>5252</v>
      </c>
      <c r="B11" s="740" t="str">
        <f>'Orç - Canteiro e Adm'!B11:J11</f>
        <v>Agosto de 2019</v>
      </c>
      <c r="C11" s="740"/>
      <c r="D11" s="740"/>
      <c r="E11" s="740"/>
      <c r="F11" s="740"/>
    </row>
    <row r="12" spans="1:6" ht="15">
      <c r="A12" s="37"/>
      <c r="B12" s="37"/>
      <c r="C12" s="52"/>
      <c r="D12" s="47"/>
      <c r="E12" s="36"/>
      <c r="F12" s="31"/>
    </row>
    <row r="13" spans="1:6" ht="53.25" customHeight="1">
      <c r="A13" s="744" t="s">
        <v>6202</v>
      </c>
      <c r="B13" s="744"/>
      <c r="C13" s="744"/>
      <c r="D13" s="744"/>
      <c r="E13" s="744"/>
      <c r="F13" s="744"/>
    </row>
    <row r="14" spans="1:6" ht="15.75" thickBot="1">
      <c r="A14" s="37"/>
      <c r="B14" s="37"/>
      <c r="C14" s="52"/>
      <c r="D14" s="47"/>
      <c r="E14" s="36"/>
      <c r="F14" s="31"/>
    </row>
    <row r="15" spans="1:6" ht="15.75" thickBot="1">
      <c r="B15" s="92" t="s">
        <v>6</v>
      </c>
      <c r="C15" s="93" t="s">
        <v>124</v>
      </c>
      <c r="D15" s="94" t="s">
        <v>6203</v>
      </c>
      <c r="E15" s="95" t="s">
        <v>6204</v>
      </c>
    </row>
    <row r="16" spans="1:6" ht="5.25" customHeight="1">
      <c r="B16" s="96"/>
      <c r="C16" s="96"/>
      <c r="D16" s="97"/>
      <c r="E16" s="98"/>
    </row>
    <row r="17" spans="2:5" ht="15">
      <c r="B17" s="99" t="s">
        <v>6205</v>
      </c>
      <c r="C17" s="99" t="s">
        <v>6206</v>
      </c>
      <c r="D17" s="99"/>
      <c r="E17" s="99"/>
    </row>
    <row r="18" spans="2:5" ht="15">
      <c r="B18" s="100" t="s">
        <v>6207</v>
      </c>
      <c r="C18" s="100" t="s">
        <v>6208</v>
      </c>
      <c r="D18" s="101">
        <v>0</v>
      </c>
      <c r="E18" s="102">
        <v>0</v>
      </c>
    </row>
    <row r="19" spans="2:5" ht="15">
      <c r="B19" s="100" t="s">
        <v>6209</v>
      </c>
      <c r="C19" s="100" t="s">
        <v>6210</v>
      </c>
      <c r="D19" s="101">
        <v>1.4999999999999999E-2</v>
      </c>
      <c r="E19" s="102">
        <v>1.4999999999999999E-2</v>
      </c>
    </row>
    <row r="20" spans="2:5" ht="15">
      <c r="B20" s="100" t="s">
        <v>6211</v>
      </c>
      <c r="C20" s="100" t="s">
        <v>6212</v>
      </c>
      <c r="D20" s="101">
        <v>0.01</v>
      </c>
      <c r="E20" s="102">
        <v>0.01</v>
      </c>
    </row>
    <row r="21" spans="2:5" ht="15">
      <c r="B21" s="100" t="s">
        <v>6213</v>
      </c>
      <c r="C21" s="100" t="s">
        <v>6214</v>
      </c>
      <c r="D21" s="101">
        <v>2E-3</v>
      </c>
      <c r="E21" s="102">
        <v>2E-3</v>
      </c>
    </row>
    <row r="22" spans="2:5" ht="15">
      <c r="B22" s="100" t="s">
        <v>6215</v>
      </c>
      <c r="C22" s="100" t="s">
        <v>6216</v>
      </c>
      <c r="D22" s="101">
        <v>6.0000000000000001E-3</v>
      </c>
      <c r="E22" s="102">
        <v>6.0000000000000001E-3</v>
      </c>
    </row>
    <row r="23" spans="2:5" ht="15">
      <c r="B23" s="100" t="s">
        <v>6217</v>
      </c>
      <c r="C23" s="100" t="s">
        <v>6218</v>
      </c>
      <c r="D23" s="101">
        <v>2.5000000000000001E-2</v>
      </c>
      <c r="E23" s="102">
        <v>2.5000000000000001E-2</v>
      </c>
    </row>
    <row r="24" spans="2:5" ht="15">
      <c r="B24" s="100" t="s">
        <v>6219</v>
      </c>
      <c r="C24" s="100" t="s">
        <v>6220</v>
      </c>
      <c r="D24" s="101">
        <v>0.03</v>
      </c>
      <c r="E24" s="102">
        <v>0.03</v>
      </c>
    </row>
    <row r="25" spans="2:5" ht="15">
      <c r="B25" s="100" t="s">
        <v>6221</v>
      </c>
      <c r="C25" s="100" t="s">
        <v>6222</v>
      </c>
      <c r="D25" s="101">
        <v>0.08</v>
      </c>
      <c r="E25" s="102">
        <v>0.08</v>
      </c>
    </row>
    <row r="26" spans="2:5" ht="15">
      <c r="B26" s="100" t="s">
        <v>6223</v>
      </c>
      <c r="C26" s="100" t="s">
        <v>6224</v>
      </c>
      <c r="D26" s="101">
        <v>0.01</v>
      </c>
      <c r="E26" s="102">
        <v>0.01</v>
      </c>
    </row>
    <row r="27" spans="2:5" ht="15">
      <c r="B27" s="742" t="s">
        <v>6225</v>
      </c>
      <c r="C27" s="743"/>
      <c r="D27" s="103">
        <v>0.17799999999999999</v>
      </c>
      <c r="E27" s="104">
        <v>0.17799999999999999</v>
      </c>
    </row>
    <row r="28" spans="2:5" ht="7.5" customHeight="1">
      <c r="B28" s="30"/>
      <c r="C28" s="30"/>
      <c r="D28" s="105"/>
      <c r="E28" s="106"/>
    </row>
    <row r="29" spans="2:5" ht="15">
      <c r="B29" s="107" t="s">
        <v>6226</v>
      </c>
      <c r="C29" s="107" t="s">
        <v>6227</v>
      </c>
      <c r="D29" s="107"/>
      <c r="E29" s="107"/>
    </row>
    <row r="30" spans="2:5" ht="15">
      <c r="B30" s="100" t="s">
        <v>6228</v>
      </c>
      <c r="C30" s="100" t="s">
        <v>6229</v>
      </c>
      <c r="D30" s="101">
        <v>0.1777</v>
      </c>
      <c r="E30" s="102" t="s">
        <v>6230</v>
      </c>
    </row>
    <row r="31" spans="2:5" ht="15">
      <c r="B31" s="100" t="s">
        <v>6231</v>
      </c>
      <c r="C31" s="100" t="s">
        <v>6232</v>
      </c>
      <c r="D31" s="101">
        <v>3.4099999999999998E-2</v>
      </c>
      <c r="E31" s="102" t="s">
        <v>6230</v>
      </c>
    </row>
    <row r="32" spans="2:5" ht="15">
      <c r="B32" s="100" t="s">
        <v>6233</v>
      </c>
      <c r="C32" s="100" t="s">
        <v>6234</v>
      </c>
      <c r="D32" s="101">
        <v>8.9999999999999993E-3</v>
      </c>
      <c r="E32" s="102">
        <v>7.0000000000000001E-3</v>
      </c>
    </row>
    <row r="33" spans="2:5" ht="15">
      <c r="B33" s="100" t="s">
        <v>6235</v>
      </c>
      <c r="C33" s="100" t="s">
        <v>6236</v>
      </c>
      <c r="D33" s="101">
        <v>0.1072</v>
      </c>
      <c r="E33" s="102">
        <v>8.3299999999999999E-2</v>
      </c>
    </row>
    <row r="34" spans="2:5" ht="15">
      <c r="B34" s="100" t="s">
        <v>6237</v>
      </c>
      <c r="C34" s="100" t="s">
        <v>6238</v>
      </c>
      <c r="D34" s="101">
        <v>5.9999999999999995E-4</v>
      </c>
      <c r="E34" s="102">
        <v>5.0000000000000001E-4</v>
      </c>
    </row>
    <row r="35" spans="2:5" ht="15">
      <c r="B35" s="100" t="s">
        <v>6239</v>
      </c>
      <c r="C35" s="100" t="s">
        <v>6240</v>
      </c>
      <c r="D35" s="101">
        <v>7.1000000000000004E-3</v>
      </c>
      <c r="E35" s="102">
        <v>5.5999999999999999E-3</v>
      </c>
    </row>
    <row r="36" spans="2:5" ht="15">
      <c r="B36" s="100" t="s">
        <v>6241</v>
      </c>
      <c r="C36" s="100" t="s">
        <v>6242</v>
      </c>
      <c r="D36" s="101">
        <v>1.4200000000000001E-2</v>
      </c>
      <c r="E36" s="102" t="s">
        <v>6230</v>
      </c>
    </row>
    <row r="37" spans="2:5" ht="15">
      <c r="B37" s="100" t="s">
        <v>6243</v>
      </c>
      <c r="C37" s="100" t="s">
        <v>6244</v>
      </c>
      <c r="D37" s="101">
        <v>1.1000000000000001E-3</v>
      </c>
      <c r="E37" s="102">
        <v>8.0000000000000004E-4</v>
      </c>
    </row>
    <row r="38" spans="2:5" ht="15">
      <c r="B38" s="100" t="s">
        <v>6245</v>
      </c>
      <c r="C38" s="100" t="s">
        <v>6246</v>
      </c>
      <c r="D38" s="101">
        <v>8.1199999999999994E-2</v>
      </c>
      <c r="E38" s="102">
        <v>6.3100000000000003E-2</v>
      </c>
    </row>
    <row r="39" spans="2:5" ht="15">
      <c r="B39" s="100" t="s">
        <v>6247</v>
      </c>
      <c r="C39" s="100" t="s">
        <v>6248</v>
      </c>
      <c r="D39" s="101">
        <v>2.9999999999999997E-4</v>
      </c>
      <c r="E39" s="102">
        <v>2.0000000000000001E-4</v>
      </c>
    </row>
    <row r="40" spans="2:5" ht="15">
      <c r="B40" s="742" t="s">
        <v>6249</v>
      </c>
      <c r="C40" s="743"/>
      <c r="D40" s="103">
        <v>0.4325</v>
      </c>
      <c r="E40" s="104">
        <v>0.1605</v>
      </c>
    </row>
    <row r="41" spans="2:5" ht="5.25" customHeight="1">
      <c r="B41" s="30"/>
      <c r="C41" s="30"/>
      <c r="D41" s="105"/>
      <c r="E41" s="106"/>
    </row>
    <row r="42" spans="2:5" ht="15">
      <c r="B42" s="107" t="s">
        <v>6250</v>
      </c>
      <c r="C42" s="107" t="s">
        <v>6251</v>
      </c>
      <c r="D42" s="107"/>
      <c r="E42" s="107"/>
    </row>
    <row r="43" spans="2:5" ht="15">
      <c r="B43" s="100" t="s">
        <v>6252</v>
      </c>
      <c r="C43" s="100" t="s">
        <v>6253</v>
      </c>
      <c r="D43" s="101">
        <v>5.1900000000000002E-2</v>
      </c>
      <c r="E43" s="102">
        <v>4.0399999999999998E-2</v>
      </c>
    </row>
    <row r="44" spans="2:5" ht="15">
      <c r="B44" s="100" t="s">
        <v>6254</v>
      </c>
      <c r="C44" s="100" t="s">
        <v>6255</v>
      </c>
      <c r="D44" s="101">
        <v>1.1999999999999999E-3</v>
      </c>
      <c r="E44" s="102">
        <v>1E-3</v>
      </c>
    </row>
    <row r="45" spans="2:5" ht="15">
      <c r="B45" s="100" t="s">
        <v>6256</v>
      </c>
      <c r="C45" s="100" t="s">
        <v>6257</v>
      </c>
      <c r="D45" s="101">
        <v>5.2400000000000002E-2</v>
      </c>
      <c r="E45" s="102">
        <v>4.0800000000000003E-2</v>
      </c>
    </row>
    <row r="46" spans="2:5" ht="15">
      <c r="B46" s="100" t="s">
        <v>6258</v>
      </c>
      <c r="C46" s="100" t="s">
        <v>6259</v>
      </c>
      <c r="D46" s="101">
        <v>4.9799999999999997E-2</v>
      </c>
      <c r="E46" s="102">
        <v>3.8800000000000001E-2</v>
      </c>
    </row>
    <row r="47" spans="2:5" ht="15">
      <c r="B47" s="100" t="s">
        <v>6260</v>
      </c>
      <c r="C47" s="100" t="s">
        <v>6261</v>
      </c>
      <c r="D47" s="101">
        <v>4.4000000000000003E-3</v>
      </c>
      <c r="E47" s="102">
        <v>3.3999999999999998E-3</v>
      </c>
    </row>
    <row r="48" spans="2:5" ht="15">
      <c r="B48" s="742" t="s">
        <v>6262</v>
      </c>
      <c r="C48" s="743"/>
      <c r="D48" s="103">
        <v>0.15969999999999998</v>
      </c>
      <c r="E48" s="104">
        <v>0.1244</v>
      </c>
    </row>
    <row r="49" spans="2:5" ht="5.25" customHeight="1">
      <c r="B49" s="30"/>
      <c r="C49" s="30"/>
      <c r="D49" s="105"/>
      <c r="E49" s="106"/>
    </row>
    <row r="50" spans="2:5" ht="15">
      <c r="B50" s="107" t="s">
        <v>6263</v>
      </c>
      <c r="C50" s="107" t="s">
        <v>6264</v>
      </c>
      <c r="D50" s="107"/>
      <c r="E50" s="107"/>
    </row>
    <row r="51" spans="2:5" ht="15">
      <c r="B51" s="100" t="s">
        <v>6265</v>
      </c>
      <c r="C51" s="100" t="s">
        <v>6266</v>
      </c>
      <c r="D51" s="101">
        <v>7.6999999999999999E-2</v>
      </c>
      <c r="E51" s="102">
        <v>2.86E-2</v>
      </c>
    </row>
    <row r="52" spans="2:5" ht="45">
      <c r="B52" s="100" t="s">
        <v>6267</v>
      </c>
      <c r="C52" s="108" t="s">
        <v>6268</v>
      </c>
      <c r="D52" s="101">
        <v>4.4000000000000003E-3</v>
      </c>
      <c r="E52" s="102">
        <v>3.3999999999999998E-3</v>
      </c>
    </row>
    <row r="53" spans="2:5" ht="15">
      <c r="B53" s="742" t="s">
        <v>6269</v>
      </c>
      <c r="C53" s="743"/>
      <c r="D53" s="103">
        <v>8.14E-2</v>
      </c>
      <c r="E53" s="104">
        <v>3.2000000000000001E-2</v>
      </c>
    </row>
    <row r="55" spans="2:5" ht="15">
      <c r="B55" s="107" t="s">
        <v>6270</v>
      </c>
      <c r="C55" s="109" t="s">
        <v>6271</v>
      </c>
      <c r="D55" s="110">
        <v>0.85159999999999991</v>
      </c>
      <c r="E55" s="110">
        <v>0.49489999999999995</v>
      </c>
    </row>
  </sheetData>
  <mergeCells count="12">
    <mergeCell ref="B53:C53"/>
    <mergeCell ref="A2:F2"/>
    <mergeCell ref="A3:F3"/>
    <mergeCell ref="A4:F4"/>
    <mergeCell ref="A7:F7"/>
    <mergeCell ref="B9:F9"/>
    <mergeCell ref="B10:F10"/>
    <mergeCell ref="B11:F11"/>
    <mergeCell ref="A13:F13"/>
    <mergeCell ref="B27:C27"/>
    <mergeCell ref="B40:C40"/>
    <mergeCell ref="B48:C48"/>
  </mergeCells>
  <pageMargins left="0.51181102362204722" right="0.51181102362204722" top="0.78740157480314965" bottom="0.78740157480314965" header="0.31496062992125984" footer="0.31496062992125984"/>
  <pageSetup paperSize="9" scale="78" firstPageNumber="181" orientation="portrait" useFirstPageNumber="1" r:id="rId1"/>
  <headerFooter>
    <oddFooter xml:space="preserve">&amp;CEng. Civil Daniele Firme Miranda
CREA: 24.965/D-DF
ART nº 0720190034483&amp;RPágina &amp;P de 208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dimension ref="A1:N103"/>
  <sheetViews>
    <sheetView view="pageLayout" topLeftCell="A67" zoomScaleNormal="100" zoomScaleSheetLayoutView="115" workbookViewId="0">
      <selection activeCell="E25" sqref="E25"/>
    </sheetView>
  </sheetViews>
  <sheetFormatPr defaultRowHeight="12.75"/>
  <cols>
    <col min="1" max="1" width="10.5703125" style="178" customWidth="1"/>
    <col min="2" max="2" width="25.85546875" style="176" customWidth="1"/>
    <col min="3" max="3" width="8.7109375" style="176" bestFit="1" customWidth="1"/>
    <col min="4" max="4" width="8" style="176" bestFit="1" customWidth="1"/>
    <col min="5" max="5" width="9.7109375" style="176" bestFit="1" customWidth="1"/>
    <col min="6" max="6" width="8" style="176" bestFit="1" customWidth="1"/>
    <col min="7" max="7" width="9.7109375" style="176" bestFit="1" customWidth="1"/>
    <col min="8" max="8" width="7.42578125" style="176" bestFit="1" customWidth="1"/>
    <col min="9" max="9" width="8.85546875" style="176" bestFit="1" customWidth="1"/>
    <col min="10" max="10" width="8.5703125" style="176" bestFit="1" customWidth="1"/>
    <col min="11" max="11" width="8.28515625" style="176" customWidth="1"/>
    <col min="12" max="13" width="10.42578125" style="176" bestFit="1" customWidth="1"/>
    <col min="14" max="14" width="13.140625" style="176" bestFit="1" customWidth="1"/>
    <col min="15" max="256" width="9.140625" style="176"/>
    <col min="257" max="257" width="9.140625" style="176" customWidth="1"/>
    <col min="258" max="258" width="25.85546875" style="176" customWidth="1"/>
    <col min="259" max="259" width="5.7109375" style="176" bestFit="1" customWidth="1"/>
    <col min="260" max="260" width="7.140625" style="176" bestFit="1" customWidth="1"/>
    <col min="261" max="261" width="7.28515625" style="176" bestFit="1" customWidth="1"/>
    <col min="262" max="262" width="6.140625" style="176" bestFit="1" customWidth="1"/>
    <col min="263" max="265" width="7.28515625" style="176" bestFit="1" customWidth="1"/>
    <col min="266" max="266" width="8" style="176" bestFit="1" customWidth="1"/>
    <col min="267" max="267" width="8.28515625" style="176" customWidth="1"/>
    <col min="268" max="269" width="10.42578125" style="176" bestFit="1" customWidth="1"/>
    <col min="270" max="270" width="13.140625" style="176" bestFit="1" customWidth="1"/>
    <col min="271" max="512" width="9.140625" style="176"/>
    <col min="513" max="513" width="9.140625" style="176" customWidth="1"/>
    <col min="514" max="514" width="25.85546875" style="176" customWidth="1"/>
    <col min="515" max="515" width="5.7109375" style="176" bestFit="1" customWidth="1"/>
    <col min="516" max="516" width="7.140625" style="176" bestFit="1" customWidth="1"/>
    <col min="517" max="517" width="7.28515625" style="176" bestFit="1" customWidth="1"/>
    <col min="518" max="518" width="6.140625" style="176" bestFit="1" customWidth="1"/>
    <col min="519" max="521" width="7.28515625" style="176" bestFit="1" customWidth="1"/>
    <col min="522" max="522" width="8" style="176" bestFit="1" customWidth="1"/>
    <col min="523" max="523" width="8.28515625" style="176" customWidth="1"/>
    <col min="524" max="525" width="10.42578125" style="176" bestFit="1" customWidth="1"/>
    <col min="526" max="526" width="13.140625" style="176" bestFit="1" customWidth="1"/>
    <col min="527" max="768" width="9.140625" style="176"/>
    <col min="769" max="769" width="9.140625" style="176" customWidth="1"/>
    <col min="770" max="770" width="25.85546875" style="176" customWidth="1"/>
    <col min="771" max="771" width="5.7109375" style="176" bestFit="1" customWidth="1"/>
    <col min="772" max="772" width="7.140625" style="176" bestFit="1" customWidth="1"/>
    <col min="773" max="773" width="7.28515625" style="176" bestFit="1" customWidth="1"/>
    <col min="774" max="774" width="6.140625" style="176" bestFit="1" customWidth="1"/>
    <col min="775" max="777" width="7.28515625" style="176" bestFit="1" customWidth="1"/>
    <col min="778" max="778" width="8" style="176" bestFit="1" customWidth="1"/>
    <col min="779" max="779" width="8.28515625" style="176" customWidth="1"/>
    <col min="780" max="781" width="10.42578125" style="176" bestFit="1" customWidth="1"/>
    <col min="782" max="782" width="13.140625" style="176" bestFit="1" customWidth="1"/>
    <col min="783" max="1024" width="9.140625" style="176"/>
    <col min="1025" max="1025" width="9.140625" style="176" customWidth="1"/>
    <col min="1026" max="1026" width="25.85546875" style="176" customWidth="1"/>
    <col min="1027" max="1027" width="5.7109375" style="176" bestFit="1" customWidth="1"/>
    <col min="1028" max="1028" width="7.140625" style="176" bestFit="1" customWidth="1"/>
    <col min="1029" max="1029" width="7.28515625" style="176" bestFit="1" customWidth="1"/>
    <col min="1030" max="1030" width="6.140625" style="176" bestFit="1" customWidth="1"/>
    <col min="1031" max="1033" width="7.28515625" style="176" bestFit="1" customWidth="1"/>
    <col min="1034" max="1034" width="8" style="176" bestFit="1" customWidth="1"/>
    <col min="1035" max="1035" width="8.28515625" style="176" customWidth="1"/>
    <col min="1036" max="1037" width="10.42578125" style="176" bestFit="1" customWidth="1"/>
    <col min="1038" max="1038" width="13.140625" style="176" bestFit="1" customWidth="1"/>
    <col min="1039" max="1280" width="9.140625" style="176"/>
    <col min="1281" max="1281" width="9.140625" style="176" customWidth="1"/>
    <col min="1282" max="1282" width="25.85546875" style="176" customWidth="1"/>
    <col min="1283" max="1283" width="5.7109375" style="176" bestFit="1" customWidth="1"/>
    <col min="1284" max="1284" width="7.140625" style="176" bestFit="1" customWidth="1"/>
    <col min="1285" max="1285" width="7.28515625" style="176" bestFit="1" customWidth="1"/>
    <col min="1286" max="1286" width="6.140625" style="176" bestFit="1" customWidth="1"/>
    <col min="1287" max="1289" width="7.28515625" style="176" bestFit="1" customWidth="1"/>
    <col min="1290" max="1290" width="8" style="176" bestFit="1" customWidth="1"/>
    <col min="1291" max="1291" width="8.28515625" style="176" customWidth="1"/>
    <col min="1292" max="1293" width="10.42578125" style="176" bestFit="1" customWidth="1"/>
    <col min="1294" max="1294" width="13.140625" style="176" bestFit="1" customWidth="1"/>
    <col min="1295" max="1536" width="9.140625" style="176"/>
    <col min="1537" max="1537" width="9.140625" style="176" customWidth="1"/>
    <col min="1538" max="1538" width="25.85546875" style="176" customWidth="1"/>
    <col min="1539" max="1539" width="5.7109375" style="176" bestFit="1" customWidth="1"/>
    <col min="1540" max="1540" width="7.140625" style="176" bestFit="1" customWidth="1"/>
    <col min="1541" max="1541" width="7.28515625" style="176" bestFit="1" customWidth="1"/>
    <col min="1542" max="1542" width="6.140625" style="176" bestFit="1" customWidth="1"/>
    <col min="1543" max="1545" width="7.28515625" style="176" bestFit="1" customWidth="1"/>
    <col min="1546" max="1546" width="8" style="176" bestFit="1" customWidth="1"/>
    <col min="1547" max="1547" width="8.28515625" style="176" customWidth="1"/>
    <col min="1548" max="1549" width="10.42578125" style="176" bestFit="1" customWidth="1"/>
    <col min="1550" max="1550" width="13.140625" style="176" bestFit="1" customWidth="1"/>
    <col min="1551" max="1792" width="9.140625" style="176"/>
    <col min="1793" max="1793" width="9.140625" style="176" customWidth="1"/>
    <col min="1794" max="1794" width="25.85546875" style="176" customWidth="1"/>
    <col min="1795" max="1795" width="5.7109375" style="176" bestFit="1" customWidth="1"/>
    <col min="1796" max="1796" width="7.140625" style="176" bestFit="1" customWidth="1"/>
    <col min="1797" max="1797" width="7.28515625" style="176" bestFit="1" customWidth="1"/>
    <col min="1798" max="1798" width="6.140625" style="176" bestFit="1" customWidth="1"/>
    <col min="1799" max="1801" width="7.28515625" style="176" bestFit="1" customWidth="1"/>
    <col min="1802" max="1802" width="8" style="176" bestFit="1" customWidth="1"/>
    <col min="1803" max="1803" width="8.28515625" style="176" customWidth="1"/>
    <col min="1804" max="1805" width="10.42578125" style="176" bestFit="1" customWidth="1"/>
    <col min="1806" max="1806" width="13.140625" style="176" bestFit="1" customWidth="1"/>
    <col min="1807" max="2048" width="9.140625" style="176"/>
    <col min="2049" max="2049" width="9.140625" style="176" customWidth="1"/>
    <col min="2050" max="2050" width="25.85546875" style="176" customWidth="1"/>
    <col min="2051" max="2051" width="5.7109375" style="176" bestFit="1" customWidth="1"/>
    <col min="2052" max="2052" width="7.140625" style="176" bestFit="1" customWidth="1"/>
    <col min="2053" max="2053" width="7.28515625" style="176" bestFit="1" customWidth="1"/>
    <col min="2054" max="2054" width="6.140625" style="176" bestFit="1" customWidth="1"/>
    <col min="2055" max="2057" width="7.28515625" style="176" bestFit="1" customWidth="1"/>
    <col min="2058" max="2058" width="8" style="176" bestFit="1" customWidth="1"/>
    <col min="2059" max="2059" width="8.28515625" style="176" customWidth="1"/>
    <col min="2060" max="2061" width="10.42578125" style="176" bestFit="1" customWidth="1"/>
    <col min="2062" max="2062" width="13.140625" style="176" bestFit="1" customWidth="1"/>
    <col min="2063" max="2304" width="9.140625" style="176"/>
    <col min="2305" max="2305" width="9.140625" style="176" customWidth="1"/>
    <col min="2306" max="2306" width="25.85546875" style="176" customWidth="1"/>
    <col min="2307" max="2307" width="5.7109375" style="176" bestFit="1" customWidth="1"/>
    <col min="2308" max="2308" width="7.140625" style="176" bestFit="1" customWidth="1"/>
    <col min="2309" max="2309" width="7.28515625" style="176" bestFit="1" customWidth="1"/>
    <col min="2310" max="2310" width="6.140625" style="176" bestFit="1" customWidth="1"/>
    <col min="2311" max="2313" width="7.28515625" style="176" bestFit="1" customWidth="1"/>
    <col min="2314" max="2314" width="8" style="176" bestFit="1" customWidth="1"/>
    <col min="2315" max="2315" width="8.28515625" style="176" customWidth="1"/>
    <col min="2316" max="2317" width="10.42578125" style="176" bestFit="1" customWidth="1"/>
    <col min="2318" max="2318" width="13.140625" style="176" bestFit="1" customWidth="1"/>
    <col min="2319" max="2560" width="9.140625" style="176"/>
    <col min="2561" max="2561" width="9.140625" style="176" customWidth="1"/>
    <col min="2562" max="2562" width="25.85546875" style="176" customWidth="1"/>
    <col min="2563" max="2563" width="5.7109375" style="176" bestFit="1" customWidth="1"/>
    <col min="2564" max="2564" width="7.140625" style="176" bestFit="1" customWidth="1"/>
    <col min="2565" max="2565" width="7.28515625" style="176" bestFit="1" customWidth="1"/>
    <col min="2566" max="2566" width="6.140625" style="176" bestFit="1" customWidth="1"/>
    <col min="2567" max="2569" width="7.28515625" style="176" bestFit="1" customWidth="1"/>
    <col min="2570" max="2570" width="8" style="176" bestFit="1" customWidth="1"/>
    <col min="2571" max="2571" width="8.28515625" style="176" customWidth="1"/>
    <col min="2572" max="2573" width="10.42578125" style="176" bestFit="1" customWidth="1"/>
    <col min="2574" max="2574" width="13.140625" style="176" bestFit="1" customWidth="1"/>
    <col min="2575" max="2816" width="9.140625" style="176"/>
    <col min="2817" max="2817" width="9.140625" style="176" customWidth="1"/>
    <col min="2818" max="2818" width="25.85546875" style="176" customWidth="1"/>
    <col min="2819" max="2819" width="5.7109375" style="176" bestFit="1" customWidth="1"/>
    <col min="2820" max="2820" width="7.140625" style="176" bestFit="1" customWidth="1"/>
    <col min="2821" max="2821" width="7.28515625" style="176" bestFit="1" customWidth="1"/>
    <col min="2822" max="2822" width="6.140625" style="176" bestFit="1" customWidth="1"/>
    <col min="2823" max="2825" width="7.28515625" style="176" bestFit="1" customWidth="1"/>
    <col min="2826" max="2826" width="8" style="176" bestFit="1" customWidth="1"/>
    <col min="2827" max="2827" width="8.28515625" style="176" customWidth="1"/>
    <col min="2828" max="2829" width="10.42578125" style="176" bestFit="1" customWidth="1"/>
    <col min="2830" max="2830" width="13.140625" style="176" bestFit="1" customWidth="1"/>
    <col min="2831" max="3072" width="9.140625" style="176"/>
    <col min="3073" max="3073" width="9.140625" style="176" customWidth="1"/>
    <col min="3074" max="3074" width="25.85546875" style="176" customWidth="1"/>
    <col min="3075" max="3075" width="5.7109375" style="176" bestFit="1" customWidth="1"/>
    <col min="3076" max="3076" width="7.140625" style="176" bestFit="1" customWidth="1"/>
    <col min="3077" max="3077" width="7.28515625" style="176" bestFit="1" customWidth="1"/>
    <col min="3078" max="3078" width="6.140625" style="176" bestFit="1" customWidth="1"/>
    <col min="3079" max="3081" width="7.28515625" style="176" bestFit="1" customWidth="1"/>
    <col min="3082" max="3082" width="8" style="176" bestFit="1" customWidth="1"/>
    <col min="3083" max="3083" width="8.28515625" style="176" customWidth="1"/>
    <col min="3084" max="3085" width="10.42578125" style="176" bestFit="1" customWidth="1"/>
    <col min="3086" max="3086" width="13.140625" style="176" bestFit="1" customWidth="1"/>
    <col min="3087" max="3328" width="9.140625" style="176"/>
    <col min="3329" max="3329" width="9.140625" style="176" customWidth="1"/>
    <col min="3330" max="3330" width="25.85546875" style="176" customWidth="1"/>
    <col min="3331" max="3331" width="5.7109375" style="176" bestFit="1" customWidth="1"/>
    <col min="3332" max="3332" width="7.140625" style="176" bestFit="1" customWidth="1"/>
    <col min="3333" max="3333" width="7.28515625" style="176" bestFit="1" customWidth="1"/>
    <col min="3334" max="3334" width="6.140625" style="176" bestFit="1" customWidth="1"/>
    <col min="3335" max="3337" width="7.28515625" style="176" bestFit="1" customWidth="1"/>
    <col min="3338" max="3338" width="8" style="176" bestFit="1" customWidth="1"/>
    <col min="3339" max="3339" width="8.28515625" style="176" customWidth="1"/>
    <col min="3340" max="3341" width="10.42578125" style="176" bestFit="1" customWidth="1"/>
    <col min="3342" max="3342" width="13.140625" style="176" bestFit="1" customWidth="1"/>
    <col min="3343" max="3584" width="9.140625" style="176"/>
    <col min="3585" max="3585" width="9.140625" style="176" customWidth="1"/>
    <col min="3586" max="3586" width="25.85546875" style="176" customWidth="1"/>
    <col min="3587" max="3587" width="5.7109375" style="176" bestFit="1" customWidth="1"/>
    <col min="3588" max="3588" width="7.140625" style="176" bestFit="1" customWidth="1"/>
    <col min="3589" max="3589" width="7.28515625" style="176" bestFit="1" customWidth="1"/>
    <col min="3590" max="3590" width="6.140625" style="176" bestFit="1" customWidth="1"/>
    <col min="3591" max="3593" width="7.28515625" style="176" bestFit="1" customWidth="1"/>
    <col min="3594" max="3594" width="8" style="176" bestFit="1" customWidth="1"/>
    <col min="3595" max="3595" width="8.28515625" style="176" customWidth="1"/>
    <col min="3596" max="3597" width="10.42578125" style="176" bestFit="1" customWidth="1"/>
    <col min="3598" max="3598" width="13.140625" style="176" bestFit="1" customWidth="1"/>
    <col min="3599" max="3840" width="9.140625" style="176"/>
    <col min="3841" max="3841" width="9.140625" style="176" customWidth="1"/>
    <col min="3842" max="3842" width="25.85546875" style="176" customWidth="1"/>
    <col min="3843" max="3843" width="5.7109375" style="176" bestFit="1" customWidth="1"/>
    <col min="3844" max="3844" width="7.140625" style="176" bestFit="1" customWidth="1"/>
    <col min="3845" max="3845" width="7.28515625" style="176" bestFit="1" customWidth="1"/>
    <col min="3846" max="3846" width="6.140625" style="176" bestFit="1" customWidth="1"/>
    <col min="3847" max="3849" width="7.28515625" style="176" bestFit="1" customWidth="1"/>
    <col min="3850" max="3850" width="8" style="176" bestFit="1" customWidth="1"/>
    <col min="3851" max="3851" width="8.28515625" style="176" customWidth="1"/>
    <col min="3852" max="3853" width="10.42578125" style="176" bestFit="1" customWidth="1"/>
    <col min="3854" max="3854" width="13.140625" style="176" bestFit="1" customWidth="1"/>
    <col min="3855" max="4096" width="9.140625" style="176"/>
    <col min="4097" max="4097" width="9.140625" style="176" customWidth="1"/>
    <col min="4098" max="4098" width="25.85546875" style="176" customWidth="1"/>
    <col min="4099" max="4099" width="5.7109375" style="176" bestFit="1" customWidth="1"/>
    <col min="4100" max="4100" width="7.140625" style="176" bestFit="1" customWidth="1"/>
    <col min="4101" max="4101" width="7.28515625" style="176" bestFit="1" customWidth="1"/>
    <col min="4102" max="4102" width="6.140625" style="176" bestFit="1" customWidth="1"/>
    <col min="4103" max="4105" width="7.28515625" style="176" bestFit="1" customWidth="1"/>
    <col min="4106" max="4106" width="8" style="176" bestFit="1" customWidth="1"/>
    <col min="4107" max="4107" width="8.28515625" style="176" customWidth="1"/>
    <col min="4108" max="4109" width="10.42578125" style="176" bestFit="1" customWidth="1"/>
    <col min="4110" max="4110" width="13.140625" style="176" bestFit="1" customWidth="1"/>
    <col min="4111" max="4352" width="9.140625" style="176"/>
    <col min="4353" max="4353" width="9.140625" style="176" customWidth="1"/>
    <col min="4354" max="4354" width="25.85546875" style="176" customWidth="1"/>
    <col min="4355" max="4355" width="5.7109375" style="176" bestFit="1" customWidth="1"/>
    <col min="4356" max="4356" width="7.140625" style="176" bestFit="1" customWidth="1"/>
    <col min="4357" max="4357" width="7.28515625" style="176" bestFit="1" customWidth="1"/>
    <col min="4358" max="4358" width="6.140625" style="176" bestFit="1" customWidth="1"/>
    <col min="4359" max="4361" width="7.28515625" style="176" bestFit="1" customWidth="1"/>
    <col min="4362" max="4362" width="8" style="176" bestFit="1" customWidth="1"/>
    <col min="4363" max="4363" width="8.28515625" style="176" customWidth="1"/>
    <col min="4364" max="4365" width="10.42578125" style="176" bestFit="1" customWidth="1"/>
    <col min="4366" max="4366" width="13.140625" style="176" bestFit="1" customWidth="1"/>
    <col min="4367" max="4608" width="9.140625" style="176"/>
    <col min="4609" max="4609" width="9.140625" style="176" customWidth="1"/>
    <col min="4610" max="4610" width="25.85546875" style="176" customWidth="1"/>
    <col min="4611" max="4611" width="5.7109375" style="176" bestFit="1" customWidth="1"/>
    <col min="4612" max="4612" width="7.140625" style="176" bestFit="1" customWidth="1"/>
    <col min="4613" max="4613" width="7.28515625" style="176" bestFit="1" customWidth="1"/>
    <col min="4614" max="4614" width="6.140625" style="176" bestFit="1" customWidth="1"/>
    <col min="4615" max="4617" width="7.28515625" style="176" bestFit="1" customWidth="1"/>
    <col min="4618" max="4618" width="8" style="176" bestFit="1" customWidth="1"/>
    <col min="4619" max="4619" width="8.28515625" style="176" customWidth="1"/>
    <col min="4620" max="4621" width="10.42578125" style="176" bestFit="1" customWidth="1"/>
    <col min="4622" max="4622" width="13.140625" style="176" bestFit="1" customWidth="1"/>
    <col min="4623" max="4864" width="9.140625" style="176"/>
    <col min="4865" max="4865" width="9.140625" style="176" customWidth="1"/>
    <col min="4866" max="4866" width="25.85546875" style="176" customWidth="1"/>
    <col min="4867" max="4867" width="5.7109375" style="176" bestFit="1" customWidth="1"/>
    <col min="4868" max="4868" width="7.140625" style="176" bestFit="1" customWidth="1"/>
    <col min="4869" max="4869" width="7.28515625" style="176" bestFit="1" customWidth="1"/>
    <col min="4870" max="4870" width="6.140625" style="176" bestFit="1" customWidth="1"/>
    <col min="4871" max="4873" width="7.28515625" style="176" bestFit="1" customWidth="1"/>
    <col min="4874" max="4874" width="8" style="176" bestFit="1" customWidth="1"/>
    <col min="4875" max="4875" width="8.28515625" style="176" customWidth="1"/>
    <col min="4876" max="4877" width="10.42578125" style="176" bestFit="1" customWidth="1"/>
    <col min="4878" max="4878" width="13.140625" style="176" bestFit="1" customWidth="1"/>
    <col min="4879" max="5120" width="9.140625" style="176"/>
    <col min="5121" max="5121" width="9.140625" style="176" customWidth="1"/>
    <col min="5122" max="5122" width="25.85546875" style="176" customWidth="1"/>
    <col min="5123" max="5123" width="5.7109375" style="176" bestFit="1" customWidth="1"/>
    <col min="5124" max="5124" width="7.140625" style="176" bestFit="1" customWidth="1"/>
    <col min="5125" max="5125" width="7.28515625" style="176" bestFit="1" customWidth="1"/>
    <col min="5126" max="5126" width="6.140625" style="176" bestFit="1" customWidth="1"/>
    <col min="5127" max="5129" width="7.28515625" style="176" bestFit="1" customWidth="1"/>
    <col min="5130" max="5130" width="8" style="176" bestFit="1" customWidth="1"/>
    <col min="5131" max="5131" width="8.28515625" style="176" customWidth="1"/>
    <col min="5132" max="5133" width="10.42578125" style="176" bestFit="1" customWidth="1"/>
    <col min="5134" max="5134" width="13.140625" style="176" bestFit="1" customWidth="1"/>
    <col min="5135" max="5376" width="9.140625" style="176"/>
    <col min="5377" max="5377" width="9.140625" style="176" customWidth="1"/>
    <col min="5378" max="5378" width="25.85546875" style="176" customWidth="1"/>
    <col min="5379" max="5379" width="5.7109375" style="176" bestFit="1" customWidth="1"/>
    <col min="5380" max="5380" width="7.140625" style="176" bestFit="1" customWidth="1"/>
    <col min="5381" max="5381" width="7.28515625" style="176" bestFit="1" customWidth="1"/>
    <col min="5382" max="5382" width="6.140625" style="176" bestFit="1" customWidth="1"/>
    <col min="5383" max="5385" width="7.28515625" style="176" bestFit="1" customWidth="1"/>
    <col min="5386" max="5386" width="8" style="176" bestFit="1" customWidth="1"/>
    <col min="5387" max="5387" width="8.28515625" style="176" customWidth="1"/>
    <col min="5388" max="5389" width="10.42578125" style="176" bestFit="1" customWidth="1"/>
    <col min="5390" max="5390" width="13.140625" style="176" bestFit="1" customWidth="1"/>
    <col min="5391" max="5632" width="9.140625" style="176"/>
    <col min="5633" max="5633" width="9.140625" style="176" customWidth="1"/>
    <col min="5634" max="5634" width="25.85546875" style="176" customWidth="1"/>
    <col min="5635" max="5635" width="5.7109375" style="176" bestFit="1" customWidth="1"/>
    <col min="5636" max="5636" width="7.140625" style="176" bestFit="1" customWidth="1"/>
    <col min="5637" max="5637" width="7.28515625" style="176" bestFit="1" customWidth="1"/>
    <col min="5638" max="5638" width="6.140625" style="176" bestFit="1" customWidth="1"/>
    <col min="5639" max="5641" width="7.28515625" style="176" bestFit="1" customWidth="1"/>
    <col min="5642" max="5642" width="8" style="176" bestFit="1" customWidth="1"/>
    <col min="5643" max="5643" width="8.28515625" style="176" customWidth="1"/>
    <col min="5644" max="5645" width="10.42578125" style="176" bestFit="1" customWidth="1"/>
    <col min="5646" max="5646" width="13.140625" style="176" bestFit="1" customWidth="1"/>
    <col min="5647" max="5888" width="9.140625" style="176"/>
    <col min="5889" max="5889" width="9.140625" style="176" customWidth="1"/>
    <col min="5890" max="5890" width="25.85546875" style="176" customWidth="1"/>
    <col min="5891" max="5891" width="5.7109375" style="176" bestFit="1" customWidth="1"/>
    <col min="5892" max="5892" width="7.140625" style="176" bestFit="1" customWidth="1"/>
    <col min="5893" max="5893" width="7.28515625" style="176" bestFit="1" customWidth="1"/>
    <col min="5894" max="5894" width="6.140625" style="176" bestFit="1" customWidth="1"/>
    <col min="5895" max="5897" width="7.28515625" style="176" bestFit="1" customWidth="1"/>
    <col min="5898" max="5898" width="8" style="176" bestFit="1" customWidth="1"/>
    <col min="5899" max="5899" width="8.28515625" style="176" customWidth="1"/>
    <col min="5900" max="5901" width="10.42578125" style="176" bestFit="1" customWidth="1"/>
    <col min="5902" max="5902" width="13.140625" style="176" bestFit="1" customWidth="1"/>
    <col min="5903" max="6144" width="9.140625" style="176"/>
    <col min="6145" max="6145" width="9.140625" style="176" customWidth="1"/>
    <col min="6146" max="6146" width="25.85546875" style="176" customWidth="1"/>
    <col min="6147" max="6147" width="5.7109375" style="176" bestFit="1" customWidth="1"/>
    <col min="6148" max="6148" width="7.140625" style="176" bestFit="1" customWidth="1"/>
    <col min="6149" max="6149" width="7.28515625" style="176" bestFit="1" customWidth="1"/>
    <col min="6150" max="6150" width="6.140625" style="176" bestFit="1" customWidth="1"/>
    <col min="6151" max="6153" width="7.28515625" style="176" bestFit="1" customWidth="1"/>
    <col min="6154" max="6154" width="8" style="176" bestFit="1" customWidth="1"/>
    <col min="6155" max="6155" width="8.28515625" style="176" customWidth="1"/>
    <col min="6156" max="6157" width="10.42578125" style="176" bestFit="1" customWidth="1"/>
    <col min="6158" max="6158" width="13.140625" style="176" bestFit="1" customWidth="1"/>
    <col min="6159" max="6400" width="9.140625" style="176"/>
    <col min="6401" max="6401" width="9.140625" style="176" customWidth="1"/>
    <col min="6402" max="6402" width="25.85546875" style="176" customWidth="1"/>
    <col min="6403" max="6403" width="5.7109375" style="176" bestFit="1" customWidth="1"/>
    <col min="6404" max="6404" width="7.140625" style="176" bestFit="1" customWidth="1"/>
    <col min="6405" max="6405" width="7.28515625" style="176" bestFit="1" customWidth="1"/>
    <col min="6406" max="6406" width="6.140625" style="176" bestFit="1" customWidth="1"/>
    <col min="6407" max="6409" width="7.28515625" style="176" bestFit="1" customWidth="1"/>
    <col min="6410" max="6410" width="8" style="176" bestFit="1" customWidth="1"/>
    <col min="6411" max="6411" width="8.28515625" style="176" customWidth="1"/>
    <col min="6412" max="6413" width="10.42578125" style="176" bestFit="1" customWidth="1"/>
    <col min="6414" max="6414" width="13.140625" style="176" bestFit="1" customWidth="1"/>
    <col min="6415" max="6656" width="9.140625" style="176"/>
    <col min="6657" max="6657" width="9.140625" style="176" customWidth="1"/>
    <col min="6658" max="6658" width="25.85546875" style="176" customWidth="1"/>
    <col min="6659" max="6659" width="5.7109375" style="176" bestFit="1" customWidth="1"/>
    <col min="6660" max="6660" width="7.140625" style="176" bestFit="1" customWidth="1"/>
    <col min="6661" max="6661" width="7.28515625" style="176" bestFit="1" customWidth="1"/>
    <col min="6662" max="6662" width="6.140625" style="176" bestFit="1" customWidth="1"/>
    <col min="6663" max="6665" width="7.28515625" style="176" bestFit="1" customWidth="1"/>
    <col min="6666" max="6666" width="8" style="176" bestFit="1" customWidth="1"/>
    <col min="6667" max="6667" width="8.28515625" style="176" customWidth="1"/>
    <col min="6668" max="6669" width="10.42578125" style="176" bestFit="1" customWidth="1"/>
    <col min="6670" max="6670" width="13.140625" style="176" bestFit="1" customWidth="1"/>
    <col min="6671" max="6912" width="9.140625" style="176"/>
    <col min="6913" max="6913" width="9.140625" style="176" customWidth="1"/>
    <col min="6914" max="6914" width="25.85546875" style="176" customWidth="1"/>
    <col min="6915" max="6915" width="5.7109375" style="176" bestFit="1" customWidth="1"/>
    <col min="6916" max="6916" width="7.140625" style="176" bestFit="1" customWidth="1"/>
    <col min="6917" max="6917" width="7.28515625" style="176" bestFit="1" customWidth="1"/>
    <col min="6918" max="6918" width="6.140625" style="176" bestFit="1" customWidth="1"/>
    <col min="6919" max="6921" width="7.28515625" style="176" bestFit="1" customWidth="1"/>
    <col min="6922" max="6922" width="8" style="176" bestFit="1" customWidth="1"/>
    <col min="6923" max="6923" width="8.28515625" style="176" customWidth="1"/>
    <col min="6924" max="6925" width="10.42578125" style="176" bestFit="1" customWidth="1"/>
    <col min="6926" max="6926" width="13.140625" style="176" bestFit="1" customWidth="1"/>
    <col min="6927" max="7168" width="9.140625" style="176"/>
    <col min="7169" max="7169" width="9.140625" style="176" customWidth="1"/>
    <col min="7170" max="7170" width="25.85546875" style="176" customWidth="1"/>
    <col min="7171" max="7171" width="5.7109375" style="176" bestFit="1" customWidth="1"/>
    <col min="7172" max="7172" width="7.140625" style="176" bestFit="1" customWidth="1"/>
    <col min="7173" max="7173" width="7.28515625" style="176" bestFit="1" customWidth="1"/>
    <col min="7174" max="7174" width="6.140625" style="176" bestFit="1" customWidth="1"/>
    <col min="7175" max="7177" width="7.28515625" style="176" bestFit="1" customWidth="1"/>
    <col min="7178" max="7178" width="8" style="176" bestFit="1" customWidth="1"/>
    <col min="7179" max="7179" width="8.28515625" style="176" customWidth="1"/>
    <col min="7180" max="7181" width="10.42578125" style="176" bestFit="1" customWidth="1"/>
    <col min="7182" max="7182" width="13.140625" style="176" bestFit="1" customWidth="1"/>
    <col min="7183" max="7424" width="9.140625" style="176"/>
    <col min="7425" max="7425" width="9.140625" style="176" customWidth="1"/>
    <col min="7426" max="7426" width="25.85546875" style="176" customWidth="1"/>
    <col min="7427" max="7427" width="5.7109375" style="176" bestFit="1" customWidth="1"/>
    <col min="7428" max="7428" width="7.140625" style="176" bestFit="1" customWidth="1"/>
    <col min="7429" max="7429" width="7.28515625" style="176" bestFit="1" customWidth="1"/>
    <col min="7430" max="7430" width="6.140625" style="176" bestFit="1" customWidth="1"/>
    <col min="7431" max="7433" width="7.28515625" style="176" bestFit="1" customWidth="1"/>
    <col min="7434" max="7434" width="8" style="176" bestFit="1" customWidth="1"/>
    <col min="7435" max="7435" width="8.28515625" style="176" customWidth="1"/>
    <col min="7436" max="7437" width="10.42578125" style="176" bestFit="1" customWidth="1"/>
    <col min="7438" max="7438" width="13.140625" style="176" bestFit="1" customWidth="1"/>
    <col min="7439" max="7680" width="9.140625" style="176"/>
    <col min="7681" max="7681" width="9.140625" style="176" customWidth="1"/>
    <col min="7682" max="7682" width="25.85546875" style="176" customWidth="1"/>
    <col min="7683" max="7683" width="5.7109375" style="176" bestFit="1" customWidth="1"/>
    <col min="7684" max="7684" width="7.140625" style="176" bestFit="1" customWidth="1"/>
    <col min="7685" max="7685" width="7.28515625" style="176" bestFit="1" customWidth="1"/>
    <col min="7686" max="7686" width="6.140625" style="176" bestFit="1" customWidth="1"/>
    <col min="7687" max="7689" width="7.28515625" style="176" bestFit="1" customWidth="1"/>
    <col min="7690" max="7690" width="8" style="176" bestFit="1" customWidth="1"/>
    <col min="7691" max="7691" width="8.28515625" style="176" customWidth="1"/>
    <col min="7692" max="7693" width="10.42578125" style="176" bestFit="1" customWidth="1"/>
    <col min="7694" max="7694" width="13.140625" style="176" bestFit="1" customWidth="1"/>
    <col min="7695" max="7936" width="9.140625" style="176"/>
    <col min="7937" max="7937" width="9.140625" style="176" customWidth="1"/>
    <col min="7938" max="7938" width="25.85546875" style="176" customWidth="1"/>
    <col min="7939" max="7939" width="5.7109375" style="176" bestFit="1" customWidth="1"/>
    <col min="7940" max="7940" width="7.140625" style="176" bestFit="1" customWidth="1"/>
    <col min="7941" max="7941" width="7.28515625" style="176" bestFit="1" customWidth="1"/>
    <col min="7942" max="7942" width="6.140625" style="176" bestFit="1" customWidth="1"/>
    <col min="7943" max="7945" width="7.28515625" style="176" bestFit="1" customWidth="1"/>
    <col min="7946" max="7946" width="8" style="176" bestFit="1" customWidth="1"/>
    <col min="7947" max="7947" width="8.28515625" style="176" customWidth="1"/>
    <col min="7948" max="7949" width="10.42578125" style="176" bestFit="1" customWidth="1"/>
    <col min="7950" max="7950" width="13.140625" style="176" bestFit="1" customWidth="1"/>
    <col min="7951" max="8192" width="9.140625" style="176"/>
    <col min="8193" max="8193" width="9.140625" style="176" customWidth="1"/>
    <col min="8194" max="8194" width="25.85546875" style="176" customWidth="1"/>
    <col min="8195" max="8195" width="5.7109375" style="176" bestFit="1" customWidth="1"/>
    <col min="8196" max="8196" width="7.140625" style="176" bestFit="1" customWidth="1"/>
    <col min="8197" max="8197" width="7.28515625" style="176" bestFit="1" customWidth="1"/>
    <col min="8198" max="8198" width="6.140625" style="176" bestFit="1" customWidth="1"/>
    <col min="8199" max="8201" width="7.28515625" style="176" bestFit="1" customWidth="1"/>
    <col min="8202" max="8202" width="8" style="176" bestFit="1" customWidth="1"/>
    <col min="8203" max="8203" width="8.28515625" style="176" customWidth="1"/>
    <col min="8204" max="8205" width="10.42578125" style="176" bestFit="1" customWidth="1"/>
    <col min="8206" max="8206" width="13.140625" style="176" bestFit="1" customWidth="1"/>
    <col min="8207" max="8448" width="9.140625" style="176"/>
    <col min="8449" max="8449" width="9.140625" style="176" customWidth="1"/>
    <col min="8450" max="8450" width="25.85546875" style="176" customWidth="1"/>
    <col min="8451" max="8451" width="5.7109375" style="176" bestFit="1" customWidth="1"/>
    <col min="8452" max="8452" width="7.140625" style="176" bestFit="1" customWidth="1"/>
    <col min="8453" max="8453" width="7.28515625" style="176" bestFit="1" customWidth="1"/>
    <col min="8454" max="8454" width="6.140625" style="176" bestFit="1" customWidth="1"/>
    <col min="8455" max="8457" width="7.28515625" style="176" bestFit="1" customWidth="1"/>
    <col min="8458" max="8458" width="8" style="176" bestFit="1" customWidth="1"/>
    <col min="8459" max="8459" width="8.28515625" style="176" customWidth="1"/>
    <col min="8460" max="8461" width="10.42578125" style="176" bestFit="1" customWidth="1"/>
    <col min="8462" max="8462" width="13.140625" style="176" bestFit="1" customWidth="1"/>
    <col min="8463" max="8704" width="9.140625" style="176"/>
    <col min="8705" max="8705" width="9.140625" style="176" customWidth="1"/>
    <col min="8706" max="8706" width="25.85546875" style="176" customWidth="1"/>
    <col min="8707" max="8707" width="5.7109375" style="176" bestFit="1" customWidth="1"/>
    <col min="8708" max="8708" width="7.140625" style="176" bestFit="1" customWidth="1"/>
    <col min="8709" max="8709" width="7.28515625" style="176" bestFit="1" customWidth="1"/>
    <col min="8710" max="8710" width="6.140625" style="176" bestFit="1" customWidth="1"/>
    <col min="8711" max="8713" width="7.28515625" style="176" bestFit="1" customWidth="1"/>
    <col min="8714" max="8714" width="8" style="176" bestFit="1" customWidth="1"/>
    <col min="8715" max="8715" width="8.28515625" style="176" customWidth="1"/>
    <col min="8716" max="8717" width="10.42578125" style="176" bestFit="1" customWidth="1"/>
    <col min="8718" max="8718" width="13.140625" style="176" bestFit="1" customWidth="1"/>
    <col min="8719" max="8960" width="9.140625" style="176"/>
    <col min="8961" max="8961" width="9.140625" style="176" customWidth="1"/>
    <col min="8962" max="8962" width="25.85546875" style="176" customWidth="1"/>
    <col min="8963" max="8963" width="5.7109375" style="176" bestFit="1" customWidth="1"/>
    <col min="8964" max="8964" width="7.140625" style="176" bestFit="1" customWidth="1"/>
    <col min="8965" max="8965" width="7.28515625" style="176" bestFit="1" customWidth="1"/>
    <col min="8966" max="8966" width="6.140625" style="176" bestFit="1" customWidth="1"/>
    <col min="8967" max="8969" width="7.28515625" style="176" bestFit="1" customWidth="1"/>
    <col min="8970" max="8970" width="8" style="176" bestFit="1" customWidth="1"/>
    <col min="8971" max="8971" width="8.28515625" style="176" customWidth="1"/>
    <col min="8972" max="8973" width="10.42578125" style="176" bestFit="1" customWidth="1"/>
    <col min="8974" max="8974" width="13.140625" style="176" bestFit="1" customWidth="1"/>
    <col min="8975" max="9216" width="9.140625" style="176"/>
    <col min="9217" max="9217" width="9.140625" style="176" customWidth="1"/>
    <col min="9218" max="9218" width="25.85546875" style="176" customWidth="1"/>
    <col min="9219" max="9219" width="5.7109375" style="176" bestFit="1" customWidth="1"/>
    <col min="9220" max="9220" width="7.140625" style="176" bestFit="1" customWidth="1"/>
    <col min="9221" max="9221" width="7.28515625" style="176" bestFit="1" customWidth="1"/>
    <col min="9222" max="9222" width="6.140625" style="176" bestFit="1" customWidth="1"/>
    <col min="9223" max="9225" width="7.28515625" style="176" bestFit="1" customWidth="1"/>
    <col min="9226" max="9226" width="8" style="176" bestFit="1" customWidth="1"/>
    <col min="9227" max="9227" width="8.28515625" style="176" customWidth="1"/>
    <col min="9228" max="9229" width="10.42578125" style="176" bestFit="1" customWidth="1"/>
    <col min="9230" max="9230" width="13.140625" style="176" bestFit="1" customWidth="1"/>
    <col min="9231" max="9472" width="9.140625" style="176"/>
    <col min="9473" max="9473" width="9.140625" style="176" customWidth="1"/>
    <col min="9474" max="9474" width="25.85546875" style="176" customWidth="1"/>
    <col min="9475" max="9475" width="5.7109375" style="176" bestFit="1" customWidth="1"/>
    <col min="9476" max="9476" width="7.140625" style="176" bestFit="1" customWidth="1"/>
    <col min="9477" max="9477" width="7.28515625" style="176" bestFit="1" customWidth="1"/>
    <col min="9478" max="9478" width="6.140625" style="176" bestFit="1" customWidth="1"/>
    <col min="9479" max="9481" width="7.28515625" style="176" bestFit="1" customWidth="1"/>
    <col min="9482" max="9482" width="8" style="176" bestFit="1" customWidth="1"/>
    <col min="9483" max="9483" width="8.28515625" style="176" customWidth="1"/>
    <col min="9484" max="9485" width="10.42578125" style="176" bestFit="1" customWidth="1"/>
    <col min="9486" max="9486" width="13.140625" style="176" bestFit="1" customWidth="1"/>
    <col min="9487" max="9728" width="9.140625" style="176"/>
    <col min="9729" max="9729" width="9.140625" style="176" customWidth="1"/>
    <col min="9730" max="9730" width="25.85546875" style="176" customWidth="1"/>
    <col min="9731" max="9731" width="5.7109375" style="176" bestFit="1" customWidth="1"/>
    <col min="9732" max="9732" width="7.140625" style="176" bestFit="1" customWidth="1"/>
    <col min="9733" max="9733" width="7.28515625" style="176" bestFit="1" customWidth="1"/>
    <col min="9734" max="9734" width="6.140625" style="176" bestFit="1" customWidth="1"/>
    <col min="9735" max="9737" width="7.28515625" style="176" bestFit="1" customWidth="1"/>
    <col min="9738" max="9738" width="8" style="176" bestFit="1" customWidth="1"/>
    <col min="9739" max="9739" width="8.28515625" style="176" customWidth="1"/>
    <col min="9740" max="9741" width="10.42578125" style="176" bestFit="1" customWidth="1"/>
    <col min="9742" max="9742" width="13.140625" style="176" bestFit="1" customWidth="1"/>
    <col min="9743" max="9984" width="9.140625" style="176"/>
    <col min="9985" max="9985" width="9.140625" style="176" customWidth="1"/>
    <col min="9986" max="9986" width="25.85546875" style="176" customWidth="1"/>
    <col min="9987" max="9987" width="5.7109375" style="176" bestFit="1" customWidth="1"/>
    <col min="9988" max="9988" width="7.140625" style="176" bestFit="1" customWidth="1"/>
    <col min="9989" max="9989" width="7.28515625" style="176" bestFit="1" customWidth="1"/>
    <col min="9990" max="9990" width="6.140625" style="176" bestFit="1" customWidth="1"/>
    <col min="9991" max="9993" width="7.28515625" style="176" bestFit="1" customWidth="1"/>
    <col min="9994" max="9994" width="8" style="176" bestFit="1" customWidth="1"/>
    <col min="9995" max="9995" width="8.28515625" style="176" customWidth="1"/>
    <col min="9996" max="9997" width="10.42578125" style="176" bestFit="1" customWidth="1"/>
    <col min="9998" max="9998" width="13.140625" style="176" bestFit="1" customWidth="1"/>
    <col min="9999" max="10240" width="9.140625" style="176"/>
    <col min="10241" max="10241" width="9.140625" style="176" customWidth="1"/>
    <col min="10242" max="10242" width="25.85546875" style="176" customWidth="1"/>
    <col min="10243" max="10243" width="5.7109375" style="176" bestFit="1" customWidth="1"/>
    <col min="10244" max="10244" width="7.140625" style="176" bestFit="1" customWidth="1"/>
    <col min="10245" max="10245" width="7.28515625" style="176" bestFit="1" customWidth="1"/>
    <col min="10246" max="10246" width="6.140625" style="176" bestFit="1" customWidth="1"/>
    <col min="10247" max="10249" width="7.28515625" style="176" bestFit="1" customWidth="1"/>
    <col min="10250" max="10250" width="8" style="176" bestFit="1" customWidth="1"/>
    <col min="10251" max="10251" width="8.28515625" style="176" customWidth="1"/>
    <col min="10252" max="10253" width="10.42578125" style="176" bestFit="1" customWidth="1"/>
    <col min="10254" max="10254" width="13.140625" style="176" bestFit="1" customWidth="1"/>
    <col min="10255" max="10496" width="9.140625" style="176"/>
    <col min="10497" max="10497" width="9.140625" style="176" customWidth="1"/>
    <col min="10498" max="10498" width="25.85546875" style="176" customWidth="1"/>
    <col min="10499" max="10499" width="5.7109375" style="176" bestFit="1" customWidth="1"/>
    <col min="10500" max="10500" width="7.140625" style="176" bestFit="1" customWidth="1"/>
    <col min="10501" max="10501" width="7.28515625" style="176" bestFit="1" customWidth="1"/>
    <col min="10502" max="10502" width="6.140625" style="176" bestFit="1" customWidth="1"/>
    <col min="10503" max="10505" width="7.28515625" style="176" bestFit="1" customWidth="1"/>
    <col min="10506" max="10506" width="8" style="176" bestFit="1" customWidth="1"/>
    <col min="10507" max="10507" width="8.28515625" style="176" customWidth="1"/>
    <col min="10508" max="10509" width="10.42578125" style="176" bestFit="1" customWidth="1"/>
    <col min="10510" max="10510" width="13.140625" style="176" bestFit="1" customWidth="1"/>
    <col min="10511" max="10752" width="9.140625" style="176"/>
    <col min="10753" max="10753" width="9.140625" style="176" customWidth="1"/>
    <col min="10754" max="10754" width="25.85546875" style="176" customWidth="1"/>
    <col min="10755" max="10755" width="5.7109375" style="176" bestFit="1" customWidth="1"/>
    <col min="10756" max="10756" width="7.140625" style="176" bestFit="1" customWidth="1"/>
    <col min="10757" max="10757" width="7.28515625" style="176" bestFit="1" customWidth="1"/>
    <col min="10758" max="10758" width="6.140625" style="176" bestFit="1" customWidth="1"/>
    <col min="10759" max="10761" width="7.28515625" style="176" bestFit="1" customWidth="1"/>
    <col min="10762" max="10762" width="8" style="176" bestFit="1" customWidth="1"/>
    <col min="10763" max="10763" width="8.28515625" style="176" customWidth="1"/>
    <col min="10764" max="10765" width="10.42578125" style="176" bestFit="1" customWidth="1"/>
    <col min="10766" max="10766" width="13.140625" style="176" bestFit="1" customWidth="1"/>
    <col min="10767" max="11008" width="9.140625" style="176"/>
    <col min="11009" max="11009" width="9.140625" style="176" customWidth="1"/>
    <col min="11010" max="11010" width="25.85546875" style="176" customWidth="1"/>
    <col min="11011" max="11011" width="5.7109375" style="176" bestFit="1" customWidth="1"/>
    <col min="11012" max="11012" width="7.140625" style="176" bestFit="1" customWidth="1"/>
    <col min="11013" max="11013" width="7.28515625" style="176" bestFit="1" customWidth="1"/>
    <col min="11014" max="11014" width="6.140625" style="176" bestFit="1" customWidth="1"/>
    <col min="11015" max="11017" width="7.28515625" style="176" bestFit="1" customWidth="1"/>
    <col min="11018" max="11018" width="8" style="176" bestFit="1" customWidth="1"/>
    <col min="11019" max="11019" width="8.28515625" style="176" customWidth="1"/>
    <col min="11020" max="11021" width="10.42578125" style="176" bestFit="1" customWidth="1"/>
    <col min="11022" max="11022" width="13.140625" style="176" bestFit="1" customWidth="1"/>
    <col min="11023" max="11264" width="9.140625" style="176"/>
    <col min="11265" max="11265" width="9.140625" style="176" customWidth="1"/>
    <col min="11266" max="11266" width="25.85546875" style="176" customWidth="1"/>
    <col min="11267" max="11267" width="5.7109375" style="176" bestFit="1" customWidth="1"/>
    <col min="11268" max="11268" width="7.140625" style="176" bestFit="1" customWidth="1"/>
    <col min="11269" max="11269" width="7.28515625" style="176" bestFit="1" customWidth="1"/>
    <col min="11270" max="11270" width="6.140625" style="176" bestFit="1" customWidth="1"/>
    <col min="11271" max="11273" width="7.28515625" style="176" bestFit="1" customWidth="1"/>
    <col min="11274" max="11274" width="8" style="176" bestFit="1" customWidth="1"/>
    <col min="11275" max="11275" width="8.28515625" style="176" customWidth="1"/>
    <col min="11276" max="11277" width="10.42578125" style="176" bestFit="1" customWidth="1"/>
    <col min="11278" max="11278" width="13.140625" style="176" bestFit="1" customWidth="1"/>
    <col min="11279" max="11520" width="9.140625" style="176"/>
    <col min="11521" max="11521" width="9.140625" style="176" customWidth="1"/>
    <col min="11522" max="11522" width="25.85546875" style="176" customWidth="1"/>
    <col min="11523" max="11523" width="5.7109375" style="176" bestFit="1" customWidth="1"/>
    <col min="11524" max="11524" width="7.140625" style="176" bestFit="1" customWidth="1"/>
    <col min="11525" max="11525" width="7.28515625" style="176" bestFit="1" customWidth="1"/>
    <col min="11526" max="11526" width="6.140625" style="176" bestFit="1" customWidth="1"/>
    <col min="11527" max="11529" width="7.28515625" style="176" bestFit="1" customWidth="1"/>
    <col min="11530" max="11530" width="8" style="176" bestFit="1" customWidth="1"/>
    <col min="11531" max="11531" width="8.28515625" style="176" customWidth="1"/>
    <col min="11532" max="11533" width="10.42578125" style="176" bestFit="1" customWidth="1"/>
    <col min="11534" max="11534" width="13.140625" style="176" bestFit="1" customWidth="1"/>
    <col min="11535" max="11776" width="9.140625" style="176"/>
    <col min="11777" max="11777" width="9.140625" style="176" customWidth="1"/>
    <col min="11778" max="11778" width="25.85546875" style="176" customWidth="1"/>
    <col min="11779" max="11779" width="5.7109375" style="176" bestFit="1" customWidth="1"/>
    <col min="11780" max="11780" width="7.140625" style="176" bestFit="1" customWidth="1"/>
    <col min="11781" max="11781" width="7.28515625" style="176" bestFit="1" customWidth="1"/>
    <col min="11782" max="11782" width="6.140625" style="176" bestFit="1" customWidth="1"/>
    <col min="11783" max="11785" width="7.28515625" style="176" bestFit="1" customWidth="1"/>
    <col min="11786" max="11786" width="8" style="176" bestFit="1" customWidth="1"/>
    <col min="11787" max="11787" width="8.28515625" style="176" customWidth="1"/>
    <col min="11788" max="11789" width="10.42578125" style="176" bestFit="1" customWidth="1"/>
    <col min="11790" max="11790" width="13.140625" style="176" bestFit="1" customWidth="1"/>
    <col min="11791" max="12032" width="9.140625" style="176"/>
    <col min="12033" max="12033" width="9.140625" style="176" customWidth="1"/>
    <col min="12034" max="12034" width="25.85546875" style="176" customWidth="1"/>
    <col min="12035" max="12035" width="5.7109375" style="176" bestFit="1" customWidth="1"/>
    <col min="12036" max="12036" width="7.140625" style="176" bestFit="1" customWidth="1"/>
    <col min="12037" max="12037" width="7.28515625" style="176" bestFit="1" customWidth="1"/>
    <col min="12038" max="12038" width="6.140625" style="176" bestFit="1" customWidth="1"/>
    <col min="12039" max="12041" width="7.28515625" style="176" bestFit="1" customWidth="1"/>
    <col min="12042" max="12042" width="8" style="176" bestFit="1" customWidth="1"/>
    <col min="12043" max="12043" width="8.28515625" style="176" customWidth="1"/>
    <col min="12044" max="12045" width="10.42578125" style="176" bestFit="1" customWidth="1"/>
    <col min="12046" max="12046" width="13.140625" style="176" bestFit="1" customWidth="1"/>
    <col min="12047" max="12288" width="9.140625" style="176"/>
    <col min="12289" max="12289" width="9.140625" style="176" customWidth="1"/>
    <col min="12290" max="12290" width="25.85546875" style="176" customWidth="1"/>
    <col min="12291" max="12291" width="5.7109375" style="176" bestFit="1" customWidth="1"/>
    <col min="12292" max="12292" width="7.140625" style="176" bestFit="1" customWidth="1"/>
    <col min="12293" max="12293" width="7.28515625" style="176" bestFit="1" customWidth="1"/>
    <col min="12294" max="12294" width="6.140625" style="176" bestFit="1" customWidth="1"/>
    <col min="12295" max="12297" width="7.28515625" style="176" bestFit="1" customWidth="1"/>
    <col min="12298" max="12298" width="8" style="176" bestFit="1" customWidth="1"/>
    <col min="12299" max="12299" width="8.28515625" style="176" customWidth="1"/>
    <col min="12300" max="12301" width="10.42578125" style="176" bestFit="1" customWidth="1"/>
    <col min="12302" max="12302" width="13.140625" style="176" bestFit="1" customWidth="1"/>
    <col min="12303" max="12544" width="9.140625" style="176"/>
    <col min="12545" max="12545" width="9.140625" style="176" customWidth="1"/>
    <col min="12546" max="12546" width="25.85546875" style="176" customWidth="1"/>
    <col min="12547" max="12547" width="5.7109375" style="176" bestFit="1" customWidth="1"/>
    <col min="12548" max="12548" width="7.140625" style="176" bestFit="1" customWidth="1"/>
    <col min="12549" max="12549" width="7.28515625" style="176" bestFit="1" customWidth="1"/>
    <col min="12550" max="12550" width="6.140625" style="176" bestFit="1" customWidth="1"/>
    <col min="12551" max="12553" width="7.28515625" style="176" bestFit="1" customWidth="1"/>
    <col min="12554" max="12554" width="8" style="176" bestFit="1" customWidth="1"/>
    <col min="12555" max="12555" width="8.28515625" style="176" customWidth="1"/>
    <col min="12556" max="12557" width="10.42578125" style="176" bestFit="1" customWidth="1"/>
    <col min="12558" max="12558" width="13.140625" style="176" bestFit="1" customWidth="1"/>
    <col min="12559" max="12800" width="9.140625" style="176"/>
    <col min="12801" max="12801" width="9.140625" style="176" customWidth="1"/>
    <col min="12802" max="12802" width="25.85546875" style="176" customWidth="1"/>
    <col min="12803" max="12803" width="5.7109375" style="176" bestFit="1" customWidth="1"/>
    <col min="12804" max="12804" width="7.140625" style="176" bestFit="1" customWidth="1"/>
    <col min="12805" max="12805" width="7.28515625" style="176" bestFit="1" customWidth="1"/>
    <col min="12806" max="12806" width="6.140625" style="176" bestFit="1" customWidth="1"/>
    <col min="12807" max="12809" width="7.28515625" style="176" bestFit="1" customWidth="1"/>
    <col min="12810" max="12810" width="8" style="176" bestFit="1" customWidth="1"/>
    <col min="12811" max="12811" width="8.28515625" style="176" customWidth="1"/>
    <col min="12812" max="12813" width="10.42578125" style="176" bestFit="1" customWidth="1"/>
    <col min="12814" max="12814" width="13.140625" style="176" bestFit="1" customWidth="1"/>
    <col min="12815" max="13056" width="9.140625" style="176"/>
    <col min="13057" max="13057" width="9.140625" style="176" customWidth="1"/>
    <col min="13058" max="13058" width="25.85546875" style="176" customWidth="1"/>
    <col min="13059" max="13059" width="5.7109375" style="176" bestFit="1" customWidth="1"/>
    <col min="13060" max="13060" width="7.140625" style="176" bestFit="1" customWidth="1"/>
    <col min="13061" max="13061" width="7.28515625" style="176" bestFit="1" customWidth="1"/>
    <col min="13062" max="13062" width="6.140625" style="176" bestFit="1" customWidth="1"/>
    <col min="13063" max="13065" width="7.28515625" style="176" bestFit="1" customWidth="1"/>
    <col min="13066" max="13066" width="8" style="176" bestFit="1" customWidth="1"/>
    <col min="13067" max="13067" width="8.28515625" style="176" customWidth="1"/>
    <col min="13068" max="13069" width="10.42578125" style="176" bestFit="1" customWidth="1"/>
    <col min="13070" max="13070" width="13.140625" style="176" bestFit="1" customWidth="1"/>
    <col min="13071" max="13312" width="9.140625" style="176"/>
    <col min="13313" max="13313" width="9.140625" style="176" customWidth="1"/>
    <col min="13314" max="13314" width="25.85546875" style="176" customWidth="1"/>
    <col min="13315" max="13315" width="5.7109375" style="176" bestFit="1" customWidth="1"/>
    <col min="13316" max="13316" width="7.140625" style="176" bestFit="1" customWidth="1"/>
    <col min="13317" max="13317" width="7.28515625" style="176" bestFit="1" customWidth="1"/>
    <col min="13318" max="13318" width="6.140625" style="176" bestFit="1" customWidth="1"/>
    <col min="13319" max="13321" width="7.28515625" style="176" bestFit="1" customWidth="1"/>
    <col min="13322" max="13322" width="8" style="176" bestFit="1" customWidth="1"/>
    <col min="13323" max="13323" width="8.28515625" style="176" customWidth="1"/>
    <col min="13324" max="13325" width="10.42578125" style="176" bestFit="1" customWidth="1"/>
    <col min="13326" max="13326" width="13.140625" style="176" bestFit="1" customWidth="1"/>
    <col min="13327" max="13568" width="9.140625" style="176"/>
    <col min="13569" max="13569" width="9.140625" style="176" customWidth="1"/>
    <col min="13570" max="13570" width="25.85546875" style="176" customWidth="1"/>
    <col min="13571" max="13571" width="5.7109375" style="176" bestFit="1" customWidth="1"/>
    <col min="13572" max="13572" width="7.140625" style="176" bestFit="1" customWidth="1"/>
    <col min="13573" max="13573" width="7.28515625" style="176" bestFit="1" customWidth="1"/>
    <col min="13574" max="13574" width="6.140625" style="176" bestFit="1" customWidth="1"/>
    <col min="13575" max="13577" width="7.28515625" style="176" bestFit="1" customWidth="1"/>
    <col min="13578" max="13578" width="8" style="176" bestFit="1" customWidth="1"/>
    <col min="13579" max="13579" width="8.28515625" style="176" customWidth="1"/>
    <col min="13580" max="13581" width="10.42578125" style="176" bestFit="1" customWidth="1"/>
    <col min="13582" max="13582" width="13.140625" style="176" bestFit="1" customWidth="1"/>
    <col min="13583" max="13824" width="9.140625" style="176"/>
    <col min="13825" max="13825" width="9.140625" style="176" customWidth="1"/>
    <col min="13826" max="13826" width="25.85546875" style="176" customWidth="1"/>
    <col min="13827" max="13827" width="5.7109375" style="176" bestFit="1" customWidth="1"/>
    <col min="13828" max="13828" width="7.140625" style="176" bestFit="1" customWidth="1"/>
    <col min="13829" max="13829" width="7.28515625" style="176" bestFit="1" customWidth="1"/>
    <col min="13830" max="13830" width="6.140625" style="176" bestFit="1" customWidth="1"/>
    <col min="13831" max="13833" width="7.28515625" style="176" bestFit="1" customWidth="1"/>
    <col min="13834" max="13834" width="8" style="176" bestFit="1" customWidth="1"/>
    <col min="13835" max="13835" width="8.28515625" style="176" customWidth="1"/>
    <col min="13836" max="13837" width="10.42578125" style="176" bestFit="1" customWidth="1"/>
    <col min="13838" max="13838" width="13.140625" style="176" bestFit="1" customWidth="1"/>
    <col min="13839" max="14080" width="9.140625" style="176"/>
    <col min="14081" max="14081" width="9.140625" style="176" customWidth="1"/>
    <col min="14082" max="14082" width="25.85546875" style="176" customWidth="1"/>
    <col min="14083" max="14083" width="5.7109375" style="176" bestFit="1" customWidth="1"/>
    <col min="14084" max="14084" width="7.140625" style="176" bestFit="1" customWidth="1"/>
    <col min="14085" max="14085" width="7.28515625" style="176" bestFit="1" customWidth="1"/>
    <col min="14086" max="14086" width="6.140625" style="176" bestFit="1" customWidth="1"/>
    <col min="14087" max="14089" width="7.28515625" style="176" bestFit="1" customWidth="1"/>
    <col min="14090" max="14090" width="8" style="176" bestFit="1" customWidth="1"/>
    <col min="14091" max="14091" width="8.28515625" style="176" customWidth="1"/>
    <col min="14092" max="14093" width="10.42578125" style="176" bestFit="1" customWidth="1"/>
    <col min="14094" max="14094" width="13.140625" style="176" bestFit="1" customWidth="1"/>
    <col min="14095" max="14336" width="9.140625" style="176"/>
    <col min="14337" max="14337" width="9.140625" style="176" customWidth="1"/>
    <col min="14338" max="14338" width="25.85546875" style="176" customWidth="1"/>
    <col min="14339" max="14339" width="5.7109375" style="176" bestFit="1" customWidth="1"/>
    <col min="14340" max="14340" width="7.140625" style="176" bestFit="1" customWidth="1"/>
    <col min="14341" max="14341" width="7.28515625" style="176" bestFit="1" customWidth="1"/>
    <col min="14342" max="14342" width="6.140625" style="176" bestFit="1" customWidth="1"/>
    <col min="14343" max="14345" width="7.28515625" style="176" bestFit="1" customWidth="1"/>
    <col min="14346" max="14346" width="8" style="176" bestFit="1" customWidth="1"/>
    <col min="14347" max="14347" width="8.28515625" style="176" customWidth="1"/>
    <col min="14348" max="14349" width="10.42578125" style="176" bestFit="1" customWidth="1"/>
    <col min="14350" max="14350" width="13.140625" style="176" bestFit="1" customWidth="1"/>
    <col min="14351" max="14592" width="9.140625" style="176"/>
    <col min="14593" max="14593" width="9.140625" style="176" customWidth="1"/>
    <col min="14594" max="14594" width="25.85546875" style="176" customWidth="1"/>
    <col min="14595" max="14595" width="5.7109375" style="176" bestFit="1" customWidth="1"/>
    <col min="14596" max="14596" width="7.140625" style="176" bestFit="1" customWidth="1"/>
    <col min="14597" max="14597" width="7.28515625" style="176" bestFit="1" customWidth="1"/>
    <col min="14598" max="14598" width="6.140625" style="176" bestFit="1" customWidth="1"/>
    <col min="14599" max="14601" width="7.28515625" style="176" bestFit="1" customWidth="1"/>
    <col min="14602" max="14602" width="8" style="176" bestFit="1" customWidth="1"/>
    <col min="14603" max="14603" width="8.28515625" style="176" customWidth="1"/>
    <col min="14604" max="14605" width="10.42578125" style="176" bestFit="1" customWidth="1"/>
    <col min="14606" max="14606" width="13.140625" style="176" bestFit="1" customWidth="1"/>
    <col min="14607" max="14848" width="9.140625" style="176"/>
    <col min="14849" max="14849" width="9.140625" style="176" customWidth="1"/>
    <col min="14850" max="14850" width="25.85546875" style="176" customWidth="1"/>
    <col min="14851" max="14851" width="5.7109375" style="176" bestFit="1" customWidth="1"/>
    <col min="14852" max="14852" width="7.140625" style="176" bestFit="1" customWidth="1"/>
    <col min="14853" max="14853" width="7.28515625" style="176" bestFit="1" customWidth="1"/>
    <col min="14854" max="14854" width="6.140625" style="176" bestFit="1" customWidth="1"/>
    <col min="14855" max="14857" width="7.28515625" style="176" bestFit="1" customWidth="1"/>
    <col min="14858" max="14858" width="8" style="176" bestFit="1" customWidth="1"/>
    <col min="14859" max="14859" width="8.28515625" style="176" customWidth="1"/>
    <col min="14860" max="14861" width="10.42578125" style="176" bestFit="1" customWidth="1"/>
    <col min="14862" max="14862" width="13.140625" style="176" bestFit="1" customWidth="1"/>
    <col min="14863" max="15104" width="9.140625" style="176"/>
    <col min="15105" max="15105" width="9.140625" style="176" customWidth="1"/>
    <col min="15106" max="15106" width="25.85546875" style="176" customWidth="1"/>
    <col min="15107" max="15107" width="5.7109375" style="176" bestFit="1" customWidth="1"/>
    <col min="15108" max="15108" width="7.140625" style="176" bestFit="1" customWidth="1"/>
    <col min="15109" max="15109" width="7.28515625" style="176" bestFit="1" customWidth="1"/>
    <col min="15110" max="15110" width="6.140625" style="176" bestFit="1" customWidth="1"/>
    <col min="15111" max="15113" width="7.28515625" style="176" bestFit="1" customWidth="1"/>
    <col min="15114" max="15114" width="8" style="176" bestFit="1" customWidth="1"/>
    <col min="15115" max="15115" width="8.28515625" style="176" customWidth="1"/>
    <col min="15116" max="15117" width="10.42578125" style="176" bestFit="1" customWidth="1"/>
    <col min="15118" max="15118" width="13.140625" style="176" bestFit="1" customWidth="1"/>
    <col min="15119" max="15360" width="9.140625" style="176"/>
    <col min="15361" max="15361" width="9.140625" style="176" customWidth="1"/>
    <col min="15362" max="15362" width="25.85546875" style="176" customWidth="1"/>
    <col min="15363" max="15363" width="5.7109375" style="176" bestFit="1" customWidth="1"/>
    <col min="15364" max="15364" width="7.140625" style="176" bestFit="1" customWidth="1"/>
    <col min="15365" max="15365" width="7.28515625" style="176" bestFit="1" customWidth="1"/>
    <col min="15366" max="15366" width="6.140625" style="176" bestFit="1" customWidth="1"/>
    <col min="15367" max="15369" width="7.28515625" style="176" bestFit="1" customWidth="1"/>
    <col min="15370" max="15370" width="8" style="176" bestFit="1" customWidth="1"/>
    <col min="15371" max="15371" width="8.28515625" style="176" customWidth="1"/>
    <col min="15372" max="15373" width="10.42578125" style="176" bestFit="1" customWidth="1"/>
    <col min="15374" max="15374" width="13.140625" style="176" bestFit="1" customWidth="1"/>
    <col min="15375" max="15616" width="9.140625" style="176"/>
    <col min="15617" max="15617" width="9.140625" style="176" customWidth="1"/>
    <col min="15618" max="15618" width="25.85546875" style="176" customWidth="1"/>
    <col min="15619" max="15619" width="5.7109375" style="176" bestFit="1" customWidth="1"/>
    <col min="15620" max="15620" width="7.140625" style="176" bestFit="1" customWidth="1"/>
    <col min="15621" max="15621" width="7.28515625" style="176" bestFit="1" customWidth="1"/>
    <col min="15622" max="15622" width="6.140625" style="176" bestFit="1" customWidth="1"/>
    <col min="15623" max="15625" width="7.28515625" style="176" bestFit="1" customWidth="1"/>
    <col min="15626" max="15626" width="8" style="176" bestFit="1" customWidth="1"/>
    <col min="15627" max="15627" width="8.28515625" style="176" customWidth="1"/>
    <col min="15628" max="15629" width="10.42578125" style="176" bestFit="1" customWidth="1"/>
    <col min="15630" max="15630" width="13.140625" style="176" bestFit="1" customWidth="1"/>
    <col min="15631" max="15872" width="9.140625" style="176"/>
    <col min="15873" max="15873" width="9.140625" style="176" customWidth="1"/>
    <col min="15874" max="15874" width="25.85546875" style="176" customWidth="1"/>
    <col min="15875" max="15875" width="5.7109375" style="176" bestFit="1" customWidth="1"/>
    <col min="15876" max="15876" width="7.140625" style="176" bestFit="1" customWidth="1"/>
    <col min="15877" max="15877" width="7.28515625" style="176" bestFit="1" customWidth="1"/>
    <col min="15878" max="15878" width="6.140625" style="176" bestFit="1" customWidth="1"/>
    <col min="15879" max="15881" width="7.28515625" style="176" bestFit="1" customWidth="1"/>
    <col min="15882" max="15882" width="8" style="176" bestFit="1" customWidth="1"/>
    <col min="15883" max="15883" width="8.28515625" style="176" customWidth="1"/>
    <col min="15884" max="15885" width="10.42578125" style="176" bestFit="1" customWidth="1"/>
    <col min="15886" max="15886" width="13.140625" style="176" bestFit="1" customWidth="1"/>
    <col min="15887" max="16128" width="9.140625" style="176"/>
    <col min="16129" max="16129" width="9.140625" style="176" customWidth="1"/>
    <col min="16130" max="16130" width="25.85546875" style="176" customWidth="1"/>
    <col min="16131" max="16131" width="5.7109375" style="176" bestFit="1" customWidth="1"/>
    <col min="16132" max="16132" width="7.140625" style="176" bestFit="1" customWidth="1"/>
    <col min="16133" max="16133" width="7.28515625" style="176" bestFit="1" customWidth="1"/>
    <col min="16134" max="16134" width="6.140625" style="176" bestFit="1" customWidth="1"/>
    <col min="16135" max="16137" width="7.28515625" style="176" bestFit="1" customWidth="1"/>
    <col min="16138" max="16138" width="8" style="176" bestFit="1" customWidth="1"/>
    <col min="16139" max="16139" width="8.28515625" style="176" customWidth="1"/>
    <col min="16140" max="16141" width="10.42578125" style="176" bestFit="1" customWidth="1"/>
    <col min="16142" max="16142" width="13.140625" style="176" bestFit="1" customWidth="1"/>
    <col min="16143" max="16384" width="9.140625" style="176"/>
  </cols>
  <sheetData>
    <row r="1" spans="1:14" s="183" customFormat="1" ht="15">
      <c r="A1" s="140"/>
      <c r="B1" s="140"/>
      <c r="C1" s="140"/>
      <c r="D1" s="39"/>
      <c r="E1" s="45"/>
      <c r="F1" s="40"/>
      <c r="G1" s="141"/>
      <c r="H1" s="141"/>
      <c r="I1" s="141"/>
      <c r="J1" s="429"/>
      <c r="K1" s="382"/>
      <c r="L1" s="383"/>
      <c r="M1" s="1"/>
      <c r="N1" s="1"/>
    </row>
    <row r="2" spans="1:14" s="183" customFormat="1">
      <c r="A2" s="706" t="s">
        <v>35</v>
      </c>
      <c r="B2" s="706"/>
      <c r="C2" s="706"/>
      <c r="D2" s="706"/>
      <c r="E2" s="706"/>
      <c r="F2" s="706"/>
      <c r="G2" s="706"/>
      <c r="H2" s="706"/>
      <c r="I2" s="706"/>
      <c r="J2" s="706"/>
      <c r="K2" s="706"/>
      <c r="L2" s="17"/>
      <c r="M2" s="17"/>
      <c r="N2" s="18"/>
    </row>
    <row r="3" spans="1:14" s="183" customFormat="1">
      <c r="A3" s="706" t="s">
        <v>36</v>
      </c>
      <c r="B3" s="706"/>
      <c r="C3" s="706"/>
      <c r="D3" s="706"/>
      <c r="E3" s="706"/>
      <c r="F3" s="706"/>
      <c r="G3" s="706"/>
      <c r="H3" s="706"/>
      <c r="I3" s="706"/>
      <c r="J3" s="706"/>
      <c r="K3" s="706"/>
      <c r="L3" s="17"/>
      <c r="M3" s="17"/>
      <c r="N3" s="18"/>
    </row>
    <row r="4" spans="1:14" s="183" customFormat="1">
      <c r="A4" s="706" t="s">
        <v>5924</v>
      </c>
      <c r="B4" s="706"/>
      <c r="C4" s="706"/>
      <c r="D4" s="706"/>
      <c r="E4" s="706"/>
      <c r="F4" s="706"/>
      <c r="G4" s="706"/>
      <c r="H4" s="706"/>
      <c r="I4" s="706"/>
      <c r="J4" s="706"/>
      <c r="K4" s="706"/>
      <c r="L4" s="17"/>
      <c r="M4" s="17"/>
      <c r="N4" s="18"/>
    </row>
    <row r="5" spans="1:14" s="183" customFormat="1" ht="15">
      <c r="A5" s="33"/>
      <c r="B5" s="33"/>
      <c r="C5" s="33"/>
      <c r="D5" s="34" t="s">
        <v>29</v>
      </c>
      <c r="E5" s="186"/>
      <c r="F5" s="424"/>
      <c r="G5" s="41"/>
      <c r="H5" s="41"/>
      <c r="I5" s="41"/>
      <c r="J5" s="428"/>
      <c r="K5" s="384"/>
      <c r="L5" s="17"/>
      <c r="M5" s="17"/>
      <c r="N5" s="18"/>
    </row>
    <row r="6" spans="1:14" s="183" customFormat="1" ht="15">
      <c r="A6" s="33"/>
      <c r="B6" s="33"/>
      <c r="C6" s="33"/>
      <c r="D6" s="34"/>
      <c r="E6" s="186"/>
      <c r="F6" s="42"/>
      <c r="G6" s="141"/>
      <c r="H6" s="141"/>
      <c r="I6" s="141"/>
      <c r="J6" s="429"/>
      <c r="K6" s="382"/>
      <c r="L6" s="383"/>
      <c r="M6" s="1"/>
      <c r="N6" s="1"/>
    </row>
    <row r="7" spans="1:14" s="183" customFormat="1" ht="15.75">
      <c r="A7" s="749" t="s">
        <v>9601</v>
      </c>
      <c r="B7" s="749"/>
      <c r="C7" s="749"/>
      <c r="D7" s="749"/>
      <c r="E7" s="749"/>
      <c r="F7" s="749"/>
      <c r="G7" s="749"/>
      <c r="H7" s="749"/>
      <c r="I7" s="749"/>
      <c r="J7" s="749"/>
      <c r="K7" s="749"/>
      <c r="L7" s="17"/>
      <c r="M7" s="17"/>
      <c r="N7" s="18"/>
    </row>
    <row r="8" spans="1:14" s="183" customFormat="1" ht="15">
      <c r="A8" s="33"/>
      <c r="B8" s="33"/>
      <c r="C8" s="33"/>
      <c r="D8" s="34"/>
      <c r="E8" s="186"/>
      <c r="F8" s="424"/>
      <c r="G8" s="41"/>
      <c r="H8" s="41"/>
      <c r="I8" s="41"/>
      <c r="J8" s="428"/>
      <c r="K8" s="384"/>
      <c r="L8" s="17"/>
      <c r="M8" s="17"/>
      <c r="N8" s="18"/>
    </row>
    <row r="9" spans="1:14" s="4" customFormat="1">
      <c r="A9" s="438" t="s">
        <v>5251</v>
      </c>
      <c r="B9" s="705" t="str">
        <f>'Orç - Canteiro e Adm'!B9:J9</f>
        <v>Construção do edifício UEP-FCE</v>
      </c>
      <c r="C9" s="705"/>
      <c r="D9" s="705"/>
      <c r="E9" s="705"/>
      <c r="F9" s="705"/>
      <c r="G9" s="705"/>
      <c r="H9" s="705"/>
      <c r="I9" s="705"/>
      <c r="J9" s="705"/>
      <c r="K9" s="384"/>
      <c r="L9" s="384"/>
      <c r="M9" s="1"/>
      <c r="N9" s="1"/>
    </row>
    <row r="10" spans="1:14" s="183" customFormat="1">
      <c r="A10" s="438" t="s">
        <v>131</v>
      </c>
      <c r="B10" s="705" t="str">
        <f>'Orç - Canteiro e Adm'!B10:J10</f>
        <v>QNN 14, Área Especial, Campus UnB Ceilândia, RA IX</v>
      </c>
      <c r="C10" s="705"/>
      <c r="D10" s="705"/>
      <c r="E10" s="705"/>
      <c r="F10" s="705"/>
      <c r="G10" s="705"/>
      <c r="H10" s="705"/>
      <c r="I10" s="705"/>
      <c r="J10" s="705"/>
      <c r="K10" s="384"/>
      <c r="L10" s="384"/>
      <c r="M10" s="1"/>
      <c r="N10" s="1"/>
    </row>
    <row r="11" spans="1:14" s="183" customFormat="1">
      <c r="A11" s="438" t="s">
        <v>5252</v>
      </c>
      <c r="B11" s="705" t="str">
        <f>'Orç - Canteiro e Adm'!B11:J11</f>
        <v>Agosto de 2019</v>
      </c>
      <c r="C11" s="705"/>
      <c r="D11" s="705"/>
      <c r="E11" s="705"/>
      <c r="F11" s="705"/>
      <c r="G11" s="705"/>
      <c r="H11" s="705"/>
      <c r="I11" s="705"/>
      <c r="J11" s="705"/>
      <c r="K11" s="384"/>
      <c r="L11" s="384"/>
      <c r="M11" s="1"/>
      <c r="N11" s="1"/>
    </row>
    <row r="12" spans="1:14">
      <c r="A12" s="277"/>
      <c r="B12" s="746"/>
      <c r="C12" s="746"/>
      <c r="D12" s="746"/>
      <c r="E12" s="746"/>
      <c r="F12" s="746"/>
      <c r="G12" s="746"/>
      <c r="H12" s="746"/>
      <c r="I12" s="746"/>
      <c r="J12" s="746"/>
      <c r="K12" s="277"/>
    </row>
    <row r="13" spans="1:14">
      <c r="A13" s="226" t="str">
        <f>'Orç - Canteiro e Adm'!A41</f>
        <v>02.01.401</v>
      </c>
      <c r="B13" s="748" t="str">
        <f>'Orç - Canteiro e Adm'!D41</f>
        <v>Tapume com telha metálica, inclusive portão, altura 2,20m</v>
      </c>
      <c r="C13" s="748"/>
      <c r="D13" s="748"/>
      <c r="E13" s="748"/>
      <c r="F13" s="748"/>
      <c r="G13" s="748"/>
      <c r="H13" s="748"/>
      <c r="I13" s="748"/>
      <c r="J13" s="748"/>
      <c r="K13" s="227" t="str">
        <f>'Orç - Canteiro e Adm'!F41</f>
        <v>m2</v>
      </c>
    </row>
    <row r="14" spans="1:14">
      <c r="A14" s="745"/>
      <c r="B14" s="745"/>
      <c r="C14" s="218"/>
      <c r="D14" s="218"/>
      <c r="E14" s="218"/>
      <c r="F14" s="218"/>
      <c r="G14" s="745" t="s">
        <v>7863</v>
      </c>
      <c r="H14" s="745"/>
      <c r="I14" s="745" t="s">
        <v>7864</v>
      </c>
      <c r="J14" s="745"/>
      <c r="K14" s="745"/>
    </row>
    <row r="15" spans="1:14">
      <c r="A15" s="745" t="s">
        <v>7880</v>
      </c>
      <c r="B15" s="745"/>
      <c r="C15" s="745" t="s">
        <v>7865</v>
      </c>
      <c r="D15" s="745" t="s">
        <v>7866</v>
      </c>
      <c r="E15" s="745" t="s">
        <v>7867</v>
      </c>
      <c r="F15" s="745" t="s">
        <v>7868</v>
      </c>
      <c r="G15" s="472" t="s">
        <v>7869</v>
      </c>
      <c r="H15" s="472" t="s">
        <v>7870</v>
      </c>
      <c r="I15" s="472" t="s">
        <v>7871</v>
      </c>
      <c r="J15" s="472" t="s">
        <v>7869</v>
      </c>
      <c r="K15" s="472" t="s">
        <v>7870</v>
      </c>
    </row>
    <row r="16" spans="1:14">
      <c r="A16" s="745"/>
      <c r="B16" s="745"/>
      <c r="C16" s="745"/>
      <c r="D16" s="745"/>
      <c r="E16" s="745"/>
      <c r="F16" s="745"/>
      <c r="G16" s="472" t="s">
        <v>7872</v>
      </c>
      <c r="H16" s="472" t="s">
        <v>7873</v>
      </c>
      <c r="I16" s="472" t="s">
        <v>7874</v>
      </c>
      <c r="J16" s="472" t="s">
        <v>7872</v>
      </c>
      <c r="K16" s="472" t="s">
        <v>7873</v>
      </c>
    </row>
    <row r="17" spans="1:11">
      <c r="A17" s="472"/>
      <c r="B17" s="219" t="s">
        <v>15369</v>
      </c>
      <c r="C17" s="222">
        <v>1</v>
      </c>
      <c r="D17" s="222">
        <v>50.91</v>
      </c>
      <c r="E17" s="225"/>
      <c r="F17" s="222">
        <v>2.2000000000000002</v>
      </c>
      <c r="G17" s="221">
        <f t="shared" ref="G17:G22" si="0">D17*F17</f>
        <v>112.002</v>
      </c>
      <c r="H17" s="220"/>
      <c r="I17" s="220"/>
      <c r="J17" s="220">
        <f t="shared" ref="J17:J19" si="1">C17*G17</f>
        <v>112.002</v>
      </c>
      <c r="K17" s="220">
        <f t="shared" ref="K17:K19" si="2">C17*H17</f>
        <v>0</v>
      </c>
    </row>
    <row r="18" spans="1:11">
      <c r="A18" s="472"/>
      <c r="B18" s="219" t="s">
        <v>15369</v>
      </c>
      <c r="C18" s="222">
        <v>1</v>
      </c>
      <c r="D18" s="222">
        <v>13.9</v>
      </c>
      <c r="E18" s="225"/>
      <c r="F18" s="222">
        <v>2.2000000000000002</v>
      </c>
      <c r="G18" s="221">
        <f t="shared" si="0"/>
        <v>30.580000000000002</v>
      </c>
      <c r="H18" s="220"/>
      <c r="I18" s="220"/>
      <c r="J18" s="220">
        <f t="shared" si="1"/>
        <v>30.580000000000002</v>
      </c>
      <c r="K18" s="220">
        <f t="shared" si="2"/>
        <v>0</v>
      </c>
    </row>
    <row r="19" spans="1:11">
      <c r="A19" s="472"/>
      <c r="B19" s="219" t="s">
        <v>15369</v>
      </c>
      <c r="C19" s="222">
        <v>1</v>
      </c>
      <c r="D19" s="222">
        <v>83.76</v>
      </c>
      <c r="E19" s="225"/>
      <c r="F19" s="222">
        <v>2.2000000000000002</v>
      </c>
      <c r="G19" s="221">
        <f t="shared" si="0"/>
        <v>184.27200000000002</v>
      </c>
      <c r="H19" s="220"/>
      <c r="I19" s="220"/>
      <c r="J19" s="220">
        <f t="shared" si="1"/>
        <v>184.27200000000002</v>
      </c>
      <c r="K19" s="220">
        <f t="shared" si="2"/>
        <v>0</v>
      </c>
    </row>
    <row r="20" spans="1:11">
      <c r="A20" s="472"/>
      <c r="B20" s="219" t="s">
        <v>15369</v>
      </c>
      <c r="C20" s="222">
        <v>1</v>
      </c>
      <c r="D20" s="222">
        <v>7.98</v>
      </c>
      <c r="E20" s="225"/>
      <c r="F20" s="222">
        <v>2.2000000000000002</v>
      </c>
      <c r="G20" s="221">
        <f t="shared" si="0"/>
        <v>17.556000000000001</v>
      </c>
      <c r="H20" s="220"/>
      <c r="I20" s="220"/>
      <c r="J20" s="220">
        <f>C20*G20</f>
        <v>17.556000000000001</v>
      </c>
      <c r="K20" s="220">
        <f>C20*H20</f>
        <v>0</v>
      </c>
    </row>
    <row r="21" spans="1:11">
      <c r="A21" s="472"/>
      <c r="B21" s="219" t="s">
        <v>15369</v>
      </c>
      <c r="C21" s="222">
        <v>1</v>
      </c>
      <c r="D21" s="222">
        <v>52.44</v>
      </c>
      <c r="E21" s="225"/>
      <c r="F21" s="222">
        <v>2.2000000000000002</v>
      </c>
      <c r="G21" s="221">
        <f t="shared" si="0"/>
        <v>115.36800000000001</v>
      </c>
      <c r="H21" s="220"/>
      <c r="I21" s="220"/>
      <c r="J21" s="220">
        <f>C21*G21</f>
        <v>115.36800000000001</v>
      </c>
      <c r="K21" s="220">
        <f>C21*H21</f>
        <v>0</v>
      </c>
    </row>
    <row r="22" spans="1:11">
      <c r="A22" s="472"/>
      <c r="B22" s="219" t="s">
        <v>15369</v>
      </c>
      <c r="C22" s="222">
        <v>1</v>
      </c>
      <c r="D22" s="222">
        <v>102.84</v>
      </c>
      <c r="E22" s="225"/>
      <c r="F22" s="222">
        <v>2.2000000000000002</v>
      </c>
      <c r="G22" s="221">
        <f t="shared" si="0"/>
        <v>226.24800000000002</v>
      </c>
      <c r="H22" s="220"/>
      <c r="I22" s="220"/>
      <c r="J22" s="220">
        <f>C22*G22</f>
        <v>226.24800000000002</v>
      </c>
      <c r="K22" s="220">
        <f>C22*H22</f>
        <v>0</v>
      </c>
    </row>
    <row r="23" spans="1:11">
      <c r="A23" s="228"/>
      <c r="B23" s="229"/>
      <c r="C23" s="229"/>
      <c r="D23" s="229"/>
      <c r="E23" s="229"/>
      <c r="F23" s="747" t="s">
        <v>7875</v>
      </c>
      <c r="G23" s="747"/>
      <c r="H23" s="747"/>
      <c r="I23" s="230"/>
      <c r="J23" s="230">
        <f>ROUND(SUM(J17:J22),2)</f>
        <v>686.03</v>
      </c>
      <c r="K23" s="230"/>
    </row>
    <row r="24" spans="1:11">
      <c r="A24" s="472"/>
      <c r="B24" s="746"/>
      <c r="C24" s="746"/>
      <c r="D24" s="746"/>
      <c r="E24" s="746"/>
      <c r="F24" s="746"/>
      <c r="G24" s="746"/>
      <c r="H24" s="746"/>
      <c r="I24" s="746"/>
      <c r="J24" s="746"/>
      <c r="K24" s="472"/>
    </row>
    <row r="25" spans="1:11">
      <c r="A25" s="226" t="str">
        <f>'Orç - Canteiro e Adm'!A42</f>
        <v>02.01.402</v>
      </c>
      <c r="B25" s="748" t="str">
        <f>'Orç - Canteiro e Adm'!D42</f>
        <v>Isolamento de obra com tela plástica tipo tapume, estrutura de madeira pontaletada, altura 1,20m</v>
      </c>
      <c r="C25" s="748"/>
      <c r="D25" s="748"/>
      <c r="E25" s="748"/>
      <c r="F25" s="748"/>
      <c r="G25" s="748"/>
      <c r="H25" s="748"/>
      <c r="I25" s="748"/>
      <c r="J25" s="748"/>
      <c r="K25" s="227" t="str">
        <f>'Orç - Canteiro e Adm'!F42</f>
        <v>m2</v>
      </c>
    </row>
    <row r="26" spans="1:11">
      <c r="A26" s="745"/>
      <c r="B26" s="745"/>
      <c r="C26" s="218"/>
      <c r="D26" s="218"/>
      <c r="E26" s="218"/>
      <c r="F26" s="218"/>
      <c r="G26" s="745" t="s">
        <v>7863</v>
      </c>
      <c r="H26" s="745"/>
      <c r="I26" s="745" t="s">
        <v>7864</v>
      </c>
      <c r="J26" s="745"/>
      <c r="K26" s="745"/>
    </row>
    <row r="27" spans="1:11">
      <c r="A27" s="745" t="s">
        <v>7880</v>
      </c>
      <c r="B27" s="745"/>
      <c r="C27" s="745" t="s">
        <v>7865</v>
      </c>
      <c r="D27" s="745" t="s">
        <v>7866</v>
      </c>
      <c r="E27" s="745" t="s">
        <v>7867</v>
      </c>
      <c r="F27" s="745" t="s">
        <v>7868</v>
      </c>
      <c r="G27" s="472" t="s">
        <v>7869</v>
      </c>
      <c r="H27" s="472" t="s">
        <v>7870</v>
      </c>
      <c r="I27" s="472" t="s">
        <v>7871</v>
      </c>
      <c r="J27" s="472" t="s">
        <v>7869</v>
      </c>
      <c r="K27" s="472" t="s">
        <v>7870</v>
      </c>
    </row>
    <row r="28" spans="1:11">
      <c r="A28" s="745"/>
      <c r="B28" s="745"/>
      <c r="C28" s="745"/>
      <c r="D28" s="745"/>
      <c r="E28" s="745"/>
      <c r="F28" s="745"/>
      <c r="G28" s="472" t="s">
        <v>7872</v>
      </c>
      <c r="H28" s="472" t="s">
        <v>7873</v>
      </c>
      <c r="I28" s="472" t="s">
        <v>7874</v>
      </c>
      <c r="J28" s="472" t="s">
        <v>7872</v>
      </c>
      <c r="K28" s="472" t="s">
        <v>7873</v>
      </c>
    </row>
    <row r="29" spans="1:11">
      <c r="A29" s="472"/>
      <c r="B29" s="219" t="s">
        <v>15369</v>
      </c>
      <c r="C29" s="222">
        <v>1</v>
      </c>
      <c r="D29" s="222">
        <v>52.44</v>
      </c>
      <c r="E29" s="225"/>
      <c r="F29" s="222">
        <v>1.2</v>
      </c>
      <c r="G29" s="221">
        <f t="shared" ref="G29:G34" si="3">D29*F29</f>
        <v>62.927999999999997</v>
      </c>
      <c r="H29" s="220"/>
      <c r="I29" s="220"/>
      <c r="J29" s="220">
        <f>C29*G29</f>
        <v>62.927999999999997</v>
      </c>
      <c r="K29" s="220">
        <f t="shared" ref="K29:K31" si="4">C29*H29</f>
        <v>0</v>
      </c>
    </row>
    <row r="30" spans="1:11">
      <c r="A30" s="472"/>
      <c r="B30" s="219" t="s">
        <v>15369</v>
      </c>
      <c r="C30" s="222">
        <v>1</v>
      </c>
      <c r="D30" s="222">
        <v>34.97</v>
      </c>
      <c r="E30" s="225"/>
      <c r="F30" s="222">
        <v>1.2</v>
      </c>
      <c r="G30" s="221">
        <f t="shared" si="3"/>
        <v>41.963999999999999</v>
      </c>
      <c r="H30" s="220"/>
      <c r="I30" s="220"/>
      <c r="J30" s="220">
        <f>C30*G30</f>
        <v>41.963999999999999</v>
      </c>
      <c r="K30" s="220">
        <f t="shared" si="4"/>
        <v>0</v>
      </c>
    </row>
    <row r="31" spans="1:11">
      <c r="A31" s="472"/>
      <c r="B31" s="219" t="s">
        <v>15369</v>
      </c>
      <c r="C31" s="222">
        <v>1</v>
      </c>
      <c r="D31" s="222">
        <v>15.17</v>
      </c>
      <c r="E31" s="225"/>
      <c r="F31" s="222">
        <v>1.2</v>
      </c>
      <c r="G31" s="221">
        <f t="shared" si="3"/>
        <v>18.204000000000001</v>
      </c>
      <c r="H31" s="220"/>
      <c r="I31" s="220"/>
      <c r="J31" s="220">
        <f t="shared" ref="J31" si="5">C31*G31</f>
        <v>18.204000000000001</v>
      </c>
      <c r="K31" s="220">
        <f t="shared" si="4"/>
        <v>0</v>
      </c>
    </row>
    <row r="32" spans="1:11">
      <c r="A32" s="472"/>
      <c r="B32" s="219" t="s">
        <v>15369</v>
      </c>
      <c r="C32" s="222">
        <v>1</v>
      </c>
      <c r="D32" s="222">
        <v>79.040000000000006</v>
      </c>
      <c r="E32" s="225"/>
      <c r="F32" s="222">
        <v>1.2</v>
      </c>
      <c r="G32" s="221">
        <f t="shared" si="3"/>
        <v>94.847999999999999</v>
      </c>
      <c r="H32" s="220"/>
      <c r="I32" s="220"/>
      <c r="J32" s="220">
        <f>C32*G32</f>
        <v>94.847999999999999</v>
      </c>
      <c r="K32" s="220">
        <f>C32*H32</f>
        <v>0</v>
      </c>
    </row>
    <row r="33" spans="1:11">
      <c r="A33" s="472"/>
      <c r="B33" s="219" t="s">
        <v>15369</v>
      </c>
      <c r="C33" s="222">
        <v>1</v>
      </c>
      <c r="D33" s="222">
        <v>2.6</v>
      </c>
      <c r="E33" s="225"/>
      <c r="F33" s="222">
        <v>1.2</v>
      </c>
      <c r="G33" s="221">
        <f t="shared" si="3"/>
        <v>3.12</v>
      </c>
      <c r="H33" s="220"/>
      <c r="I33" s="220"/>
      <c r="J33" s="220">
        <f>C33*G33</f>
        <v>3.12</v>
      </c>
      <c r="K33" s="220">
        <f>C33*H33</f>
        <v>0</v>
      </c>
    </row>
    <row r="34" spans="1:11">
      <c r="A34" s="472"/>
      <c r="B34" s="219" t="s">
        <v>15369</v>
      </c>
      <c r="C34" s="222">
        <v>1</v>
      </c>
      <c r="D34" s="222">
        <v>79.47</v>
      </c>
      <c r="E34" s="225"/>
      <c r="F34" s="222">
        <v>1.2</v>
      </c>
      <c r="G34" s="221">
        <f t="shared" si="3"/>
        <v>95.36399999999999</v>
      </c>
      <c r="H34" s="220"/>
      <c r="I34" s="220"/>
      <c r="J34" s="220">
        <f>C34*G34</f>
        <v>95.36399999999999</v>
      </c>
      <c r="K34" s="220">
        <f>C34*H34</f>
        <v>0</v>
      </c>
    </row>
    <row r="35" spans="1:11">
      <c r="A35" s="228"/>
      <c r="B35" s="229"/>
      <c r="C35" s="229"/>
      <c r="D35" s="229"/>
      <c r="E35" s="229"/>
      <c r="F35" s="747" t="s">
        <v>7875</v>
      </c>
      <c r="G35" s="747"/>
      <c r="H35" s="747"/>
      <c r="I35" s="230"/>
      <c r="J35" s="230">
        <f>ROUND(SUM(J29:J34),2)</f>
        <v>316.43</v>
      </c>
      <c r="K35" s="230"/>
    </row>
    <row r="36" spans="1:11">
      <c r="A36" s="472"/>
      <c r="B36" s="746"/>
      <c r="C36" s="746"/>
      <c r="D36" s="746"/>
      <c r="E36" s="746"/>
      <c r="F36" s="746"/>
      <c r="G36" s="746"/>
      <c r="H36" s="746"/>
      <c r="I36" s="746"/>
      <c r="J36" s="746"/>
      <c r="K36" s="472"/>
    </row>
    <row r="37" spans="1:11">
      <c r="A37" s="226" t="str">
        <f>'Orç - Canteiro e Adm'!A43</f>
        <v>02.01.404</v>
      </c>
      <c r="B37" s="748" t="str">
        <f>'Orç - Canteiro e Adm'!D43</f>
        <v>Placa de obra em chapa de aço galvanizado (3 placas de 3,00x1,85m + 1 placa 2,00x1,00m - IBRAM)</v>
      </c>
      <c r="C37" s="748"/>
      <c r="D37" s="748"/>
      <c r="E37" s="748"/>
      <c r="F37" s="748"/>
      <c r="G37" s="748"/>
      <c r="H37" s="748"/>
      <c r="I37" s="748"/>
      <c r="J37" s="748"/>
      <c r="K37" s="227" t="str">
        <f>'Orç - Canteiro e Adm'!F43</f>
        <v>m2</v>
      </c>
    </row>
    <row r="38" spans="1:11">
      <c r="A38" s="745"/>
      <c r="B38" s="745"/>
      <c r="C38" s="218"/>
      <c r="D38" s="218"/>
      <c r="E38" s="218"/>
      <c r="F38" s="218"/>
      <c r="G38" s="745" t="s">
        <v>7863</v>
      </c>
      <c r="H38" s="745"/>
      <c r="I38" s="745" t="s">
        <v>7864</v>
      </c>
      <c r="J38" s="745"/>
      <c r="K38" s="745"/>
    </row>
    <row r="39" spans="1:11">
      <c r="A39" s="745" t="s">
        <v>7880</v>
      </c>
      <c r="B39" s="745"/>
      <c r="C39" s="745" t="s">
        <v>7865</v>
      </c>
      <c r="D39" s="745" t="s">
        <v>7866</v>
      </c>
      <c r="E39" s="745" t="s">
        <v>7867</v>
      </c>
      <c r="F39" s="745" t="s">
        <v>7868</v>
      </c>
      <c r="G39" s="277" t="s">
        <v>7869</v>
      </c>
      <c r="H39" s="277" t="s">
        <v>7870</v>
      </c>
      <c r="I39" s="277" t="s">
        <v>7871</v>
      </c>
      <c r="J39" s="277" t="s">
        <v>7869</v>
      </c>
      <c r="K39" s="277" t="s">
        <v>7870</v>
      </c>
    </row>
    <row r="40" spans="1:11">
      <c r="A40" s="745"/>
      <c r="B40" s="745"/>
      <c r="C40" s="745"/>
      <c r="D40" s="745"/>
      <c r="E40" s="745"/>
      <c r="F40" s="745"/>
      <c r="G40" s="277" t="s">
        <v>7872</v>
      </c>
      <c r="H40" s="277" t="s">
        <v>7873</v>
      </c>
      <c r="I40" s="277" t="s">
        <v>7874</v>
      </c>
      <c r="J40" s="277" t="s">
        <v>7872</v>
      </c>
      <c r="K40" s="277" t="s">
        <v>7873</v>
      </c>
    </row>
    <row r="41" spans="1:11">
      <c r="A41" s="277"/>
      <c r="B41" s="219" t="s">
        <v>7876</v>
      </c>
      <c r="C41" s="222">
        <v>1</v>
      </c>
      <c r="D41" s="222">
        <v>3</v>
      </c>
      <c r="E41" s="225"/>
      <c r="F41" s="222">
        <v>1.85</v>
      </c>
      <c r="G41" s="221">
        <f>D41*F41</f>
        <v>5.5500000000000007</v>
      </c>
      <c r="H41" s="220"/>
      <c r="I41" s="220"/>
      <c r="J41" s="220">
        <f>C41*G41</f>
        <v>5.5500000000000007</v>
      </c>
      <c r="K41" s="220">
        <f>C41*H41</f>
        <v>0</v>
      </c>
    </row>
    <row r="42" spans="1:11">
      <c r="A42" s="277"/>
      <c r="B42" s="219" t="s">
        <v>7877</v>
      </c>
      <c r="C42" s="222">
        <v>1</v>
      </c>
      <c r="D42" s="222">
        <v>3</v>
      </c>
      <c r="E42" s="225"/>
      <c r="F42" s="222">
        <v>1.85</v>
      </c>
      <c r="G42" s="221">
        <f>D42*F42</f>
        <v>5.5500000000000007</v>
      </c>
      <c r="H42" s="220"/>
      <c r="I42" s="220"/>
      <c r="J42" s="220">
        <f>C42*G42</f>
        <v>5.5500000000000007</v>
      </c>
      <c r="K42" s="220">
        <f>C42*H42</f>
        <v>0</v>
      </c>
    </row>
    <row r="43" spans="1:11">
      <c r="A43" s="277"/>
      <c r="B43" s="219" t="s">
        <v>7878</v>
      </c>
      <c r="C43" s="222">
        <v>1</v>
      </c>
      <c r="D43" s="222">
        <v>3</v>
      </c>
      <c r="E43" s="225"/>
      <c r="F43" s="222">
        <v>1.85</v>
      </c>
      <c r="G43" s="221">
        <f>D43*F43</f>
        <v>5.5500000000000007</v>
      </c>
      <c r="H43" s="220"/>
      <c r="I43" s="220"/>
      <c r="J43" s="220">
        <f>C43*G43</f>
        <v>5.5500000000000007</v>
      </c>
      <c r="K43" s="220">
        <f>C43*H43</f>
        <v>0</v>
      </c>
    </row>
    <row r="44" spans="1:11">
      <c r="A44" s="472"/>
      <c r="B44" s="219" t="s">
        <v>15368</v>
      </c>
      <c r="C44" s="222">
        <v>1</v>
      </c>
      <c r="D44" s="222">
        <v>2</v>
      </c>
      <c r="E44" s="225"/>
      <c r="F44" s="222">
        <v>1</v>
      </c>
      <c r="G44" s="221">
        <f>D44*F44</f>
        <v>2</v>
      </c>
      <c r="H44" s="220"/>
      <c r="I44" s="220"/>
      <c r="J44" s="220">
        <f>C44*G44</f>
        <v>2</v>
      </c>
      <c r="K44" s="220">
        <f>C44*H44</f>
        <v>0</v>
      </c>
    </row>
    <row r="45" spans="1:11">
      <c r="A45" s="228"/>
      <c r="B45" s="229"/>
      <c r="C45" s="229"/>
      <c r="D45" s="229"/>
      <c r="E45" s="229"/>
      <c r="F45" s="747" t="s">
        <v>7875</v>
      </c>
      <c r="G45" s="747"/>
      <c r="H45" s="747"/>
      <c r="I45" s="230">
        <f>ROUND(SUM(I41:I43),2)</f>
        <v>0</v>
      </c>
      <c r="J45" s="230">
        <f>ROUND(SUM(J41:J44),2)</f>
        <v>18.649999999999999</v>
      </c>
      <c r="K45" s="230">
        <f>ROUND(SUM(K41:K43),2)</f>
        <v>0</v>
      </c>
    </row>
    <row r="46" spans="1:11">
      <c r="A46" s="277"/>
      <c r="B46" s="746"/>
      <c r="C46" s="746"/>
      <c r="D46" s="746"/>
      <c r="E46" s="746"/>
      <c r="F46" s="746"/>
      <c r="G46" s="746"/>
      <c r="H46" s="746"/>
      <c r="I46" s="746"/>
      <c r="J46" s="746"/>
      <c r="K46" s="277"/>
    </row>
    <row r="47" spans="1:11">
      <c r="A47" s="226" t="str">
        <f>'Orç - Canteiro e Adm'!A48</f>
        <v>02.04.101</v>
      </c>
      <c r="B47" s="748" t="str">
        <f>'Orç - Canteiro e Adm'!D48</f>
        <v>Limpeza mecanizada de terreno com remoção de camada vegetal utilizando motoniveladora (remoção de 10 cm de solo)</v>
      </c>
      <c r="C47" s="748"/>
      <c r="D47" s="748"/>
      <c r="E47" s="748"/>
      <c r="F47" s="748"/>
      <c r="G47" s="748"/>
      <c r="H47" s="748"/>
      <c r="I47" s="748"/>
      <c r="J47" s="748"/>
      <c r="K47" s="227" t="str">
        <f>'Orç - Canteiro e Adm'!F48</f>
        <v>m2</v>
      </c>
    </row>
    <row r="48" spans="1:11">
      <c r="A48" s="745"/>
      <c r="B48" s="745"/>
      <c r="C48" s="218"/>
      <c r="D48" s="218"/>
      <c r="E48" s="218"/>
      <c r="F48" s="218"/>
      <c r="G48" s="745" t="s">
        <v>7863</v>
      </c>
      <c r="H48" s="745"/>
      <c r="I48" s="745" t="s">
        <v>7864</v>
      </c>
      <c r="J48" s="745"/>
      <c r="K48" s="745"/>
    </row>
    <row r="49" spans="1:11">
      <c r="A49" s="745" t="s">
        <v>7880</v>
      </c>
      <c r="B49" s="745"/>
      <c r="C49" s="745" t="s">
        <v>7865</v>
      </c>
      <c r="D49" s="745" t="s">
        <v>7866</v>
      </c>
      <c r="E49" s="745" t="s">
        <v>7867</v>
      </c>
      <c r="F49" s="745" t="s">
        <v>7868</v>
      </c>
      <c r="G49" s="277" t="s">
        <v>7869</v>
      </c>
      <c r="H49" s="277" t="s">
        <v>7870</v>
      </c>
      <c r="I49" s="277" t="s">
        <v>7871</v>
      </c>
      <c r="J49" s="277" t="s">
        <v>7869</v>
      </c>
      <c r="K49" s="277" t="s">
        <v>7870</v>
      </c>
    </row>
    <row r="50" spans="1:11">
      <c r="A50" s="745"/>
      <c r="B50" s="745"/>
      <c r="C50" s="745"/>
      <c r="D50" s="745"/>
      <c r="E50" s="745"/>
      <c r="F50" s="745"/>
      <c r="G50" s="277" t="s">
        <v>7872</v>
      </c>
      <c r="H50" s="277" t="s">
        <v>7873</v>
      </c>
      <c r="I50" s="277" t="s">
        <v>7874</v>
      </c>
      <c r="J50" s="277" t="s">
        <v>7872</v>
      </c>
      <c r="K50" s="277" t="s">
        <v>7873</v>
      </c>
    </row>
    <row r="51" spans="1:11">
      <c r="A51" s="390"/>
      <c r="B51" s="219" t="s">
        <v>15563</v>
      </c>
      <c r="C51" s="222">
        <v>1</v>
      </c>
      <c r="D51" s="222"/>
      <c r="E51" s="225"/>
      <c r="F51" s="222"/>
      <c r="G51" s="221">
        <v>1232.1600000000001</v>
      </c>
      <c r="H51" s="220"/>
      <c r="I51" s="220"/>
      <c r="J51" s="220">
        <f t="shared" ref="J51:J56" si="6">C51*G51</f>
        <v>1232.1600000000001</v>
      </c>
      <c r="K51" s="220">
        <f t="shared" ref="K51:K56" si="7">C51*H51</f>
        <v>0</v>
      </c>
    </row>
    <row r="52" spans="1:11" ht="22.5">
      <c r="A52" s="390"/>
      <c r="B52" s="219" t="s">
        <v>15564</v>
      </c>
      <c r="C52" s="222">
        <v>1</v>
      </c>
      <c r="D52" s="222"/>
      <c r="E52" s="225"/>
      <c r="F52" s="222"/>
      <c r="G52" s="221">
        <v>150.80000000000001</v>
      </c>
      <c r="H52" s="220"/>
      <c r="I52" s="220"/>
      <c r="J52" s="220">
        <f t="shared" si="6"/>
        <v>150.80000000000001</v>
      </c>
      <c r="K52" s="220">
        <f t="shared" si="7"/>
        <v>0</v>
      </c>
    </row>
    <row r="53" spans="1:11">
      <c r="A53" s="390"/>
      <c r="B53" s="219" t="s">
        <v>9261</v>
      </c>
      <c r="C53" s="222">
        <v>1</v>
      </c>
      <c r="D53" s="222"/>
      <c r="E53" s="225"/>
      <c r="F53" s="222"/>
      <c r="G53" s="221">
        <v>947.02</v>
      </c>
      <c r="H53" s="220"/>
      <c r="I53" s="220"/>
      <c r="J53" s="220">
        <f t="shared" si="6"/>
        <v>947.02</v>
      </c>
      <c r="K53" s="220">
        <f t="shared" si="7"/>
        <v>0</v>
      </c>
    </row>
    <row r="54" spans="1:11">
      <c r="A54" s="390"/>
      <c r="B54" s="219" t="s">
        <v>9394</v>
      </c>
      <c r="C54" s="222">
        <v>1</v>
      </c>
      <c r="D54" s="222"/>
      <c r="E54" s="225"/>
      <c r="F54" s="222"/>
      <c r="G54" s="221">
        <v>1717.7</v>
      </c>
      <c r="H54" s="220"/>
      <c r="I54" s="220"/>
      <c r="J54" s="220">
        <f t="shared" si="6"/>
        <v>1717.7</v>
      </c>
      <c r="K54" s="220">
        <f t="shared" si="7"/>
        <v>0</v>
      </c>
    </row>
    <row r="55" spans="1:11">
      <c r="A55" s="390"/>
      <c r="B55" s="219" t="s">
        <v>9395</v>
      </c>
      <c r="C55" s="222">
        <v>1</v>
      </c>
      <c r="D55" s="222"/>
      <c r="E55" s="225"/>
      <c r="F55" s="222"/>
      <c r="G55" s="221">
        <v>433.67</v>
      </c>
      <c r="H55" s="220"/>
      <c r="I55" s="220"/>
      <c r="J55" s="220">
        <f t="shared" si="6"/>
        <v>433.67</v>
      </c>
      <c r="K55" s="220">
        <f t="shared" si="7"/>
        <v>0</v>
      </c>
    </row>
    <row r="56" spans="1:11">
      <c r="A56" s="390"/>
      <c r="B56" s="219" t="s">
        <v>9390</v>
      </c>
      <c r="C56" s="222">
        <v>1</v>
      </c>
      <c r="D56" s="222"/>
      <c r="E56" s="225"/>
      <c r="F56" s="222"/>
      <c r="G56" s="221">
        <v>669.4</v>
      </c>
      <c r="H56" s="220"/>
      <c r="I56" s="220"/>
      <c r="J56" s="220">
        <f t="shared" si="6"/>
        <v>669.4</v>
      </c>
      <c r="K56" s="220">
        <f t="shared" si="7"/>
        <v>0</v>
      </c>
    </row>
    <row r="57" spans="1:11">
      <c r="A57" s="228"/>
      <c r="B57" s="229"/>
      <c r="C57" s="229"/>
      <c r="D57" s="229"/>
      <c r="E57" s="229"/>
      <c r="F57" s="747" t="s">
        <v>7875</v>
      </c>
      <c r="G57" s="747"/>
      <c r="H57" s="747"/>
      <c r="I57" s="230"/>
      <c r="J57" s="230">
        <f>ROUND(SUM(J50:J56),2)</f>
        <v>5150.75</v>
      </c>
      <c r="K57" s="230"/>
    </row>
    <row r="58" spans="1:11">
      <c r="A58" s="277"/>
      <c r="B58" s="746"/>
      <c r="C58" s="746"/>
      <c r="D58" s="746"/>
      <c r="E58" s="746"/>
      <c r="F58" s="746"/>
      <c r="G58" s="746"/>
      <c r="H58" s="746"/>
      <c r="I58" s="746"/>
      <c r="J58" s="746"/>
      <c r="K58" s="277"/>
    </row>
    <row r="59" spans="1:11">
      <c r="A59" s="226" t="str">
        <f>'Orç - Canteiro e Adm'!A49</f>
        <v>02.04.402.01</v>
      </c>
      <c r="B59" s="748" t="str">
        <f>'Orç - Canteiro e Adm'!D49</f>
        <v>Carga e descarga mecanizadas de entulho em caminhão basculante 6 m3</v>
      </c>
      <c r="C59" s="748"/>
      <c r="D59" s="748"/>
      <c r="E59" s="748"/>
      <c r="F59" s="748"/>
      <c r="G59" s="748"/>
      <c r="H59" s="748"/>
      <c r="I59" s="748"/>
      <c r="J59" s="748"/>
      <c r="K59" s="227" t="str">
        <f>'Orç - Canteiro e Adm'!F49</f>
        <v>m3</v>
      </c>
    </row>
    <row r="60" spans="1:11">
      <c r="A60" s="745"/>
      <c r="B60" s="745"/>
      <c r="C60" s="218"/>
      <c r="D60" s="218"/>
      <c r="E60" s="218"/>
      <c r="F60" s="218"/>
      <c r="G60" s="745" t="s">
        <v>7863</v>
      </c>
      <c r="H60" s="745"/>
      <c r="I60" s="745" t="s">
        <v>7864</v>
      </c>
      <c r="J60" s="745"/>
      <c r="K60" s="745"/>
    </row>
    <row r="61" spans="1:11">
      <c r="A61" s="745" t="s">
        <v>7880</v>
      </c>
      <c r="B61" s="745"/>
      <c r="C61" s="745" t="s">
        <v>7865</v>
      </c>
      <c r="D61" s="745" t="s">
        <v>7866</v>
      </c>
      <c r="E61" s="745" t="s">
        <v>7867</v>
      </c>
      <c r="F61" s="745" t="s">
        <v>7868</v>
      </c>
      <c r="G61" s="390" t="s">
        <v>7869</v>
      </c>
      <c r="H61" s="390" t="s">
        <v>7870</v>
      </c>
      <c r="I61" s="390" t="s">
        <v>7871</v>
      </c>
      <c r="J61" s="390" t="s">
        <v>7869</v>
      </c>
      <c r="K61" s="390" t="s">
        <v>7870</v>
      </c>
    </row>
    <row r="62" spans="1:11">
      <c r="A62" s="745"/>
      <c r="B62" s="745"/>
      <c r="C62" s="745"/>
      <c r="D62" s="745"/>
      <c r="E62" s="745"/>
      <c r="F62" s="745"/>
      <c r="G62" s="390" t="s">
        <v>7872</v>
      </c>
      <c r="H62" s="390" t="s">
        <v>7873</v>
      </c>
      <c r="I62" s="390" t="s">
        <v>7874</v>
      </c>
      <c r="J62" s="390" t="s">
        <v>7872</v>
      </c>
      <c r="K62" s="390" t="s">
        <v>7873</v>
      </c>
    </row>
    <row r="63" spans="1:11">
      <c r="A63" s="390"/>
      <c r="B63" s="219" t="s">
        <v>9413</v>
      </c>
      <c r="C63" s="222">
        <v>0.1</v>
      </c>
      <c r="D63" s="222"/>
      <c r="E63" s="225"/>
      <c r="F63" s="222"/>
      <c r="G63" s="221">
        <f>J57</f>
        <v>5150.75</v>
      </c>
      <c r="H63" s="220"/>
      <c r="I63" s="220"/>
      <c r="J63" s="220"/>
      <c r="K63" s="220">
        <f>G63*C63</f>
        <v>515.07500000000005</v>
      </c>
    </row>
    <row r="64" spans="1:11">
      <c r="A64" s="390"/>
      <c r="B64" s="219" t="s">
        <v>9454</v>
      </c>
      <c r="C64" s="395">
        <v>-10</v>
      </c>
      <c r="D64" s="222"/>
      <c r="E64" s="225"/>
      <c r="F64" s="222"/>
      <c r="G64" s="221"/>
      <c r="H64" s="396">
        <v>0.20499999999999999</v>
      </c>
      <c r="I64" s="220"/>
      <c r="J64" s="220"/>
      <c r="K64" s="220">
        <f>C64*H64</f>
        <v>-2.0499999999999998</v>
      </c>
    </row>
    <row r="65" spans="1:11">
      <c r="A65" s="390"/>
      <c r="B65" s="219" t="s">
        <v>9414</v>
      </c>
      <c r="C65" s="222">
        <v>-1717.7</v>
      </c>
      <c r="D65" s="222"/>
      <c r="E65" s="225"/>
      <c r="F65" s="222"/>
      <c r="G65" s="221"/>
      <c r="H65" s="220">
        <v>0.03</v>
      </c>
      <c r="I65" s="220"/>
      <c r="J65" s="220"/>
      <c r="K65" s="220">
        <f>C65*H65</f>
        <v>-51.530999999999999</v>
      </c>
    </row>
    <row r="66" spans="1:11">
      <c r="A66" s="390"/>
      <c r="B66" s="219" t="s">
        <v>9415</v>
      </c>
      <c r="C66" s="222">
        <v>-669.4</v>
      </c>
      <c r="D66" s="222"/>
      <c r="E66" s="225"/>
      <c r="F66" s="222"/>
      <c r="G66" s="221"/>
      <c r="H66" s="220">
        <v>4.4600000000000001E-2</v>
      </c>
      <c r="I66" s="220"/>
      <c r="J66" s="220"/>
      <c r="K66" s="220">
        <f>C66*H66</f>
        <v>-29.855239999999998</v>
      </c>
    </row>
    <row r="67" spans="1:11">
      <c r="A67" s="228"/>
      <c r="B67" s="229"/>
      <c r="C67" s="229"/>
      <c r="D67" s="229"/>
      <c r="E67" s="229"/>
      <c r="F67" s="747" t="s">
        <v>7875</v>
      </c>
      <c r="G67" s="747"/>
      <c r="H67" s="747"/>
      <c r="I67" s="230"/>
      <c r="J67" s="230"/>
      <c r="K67" s="230">
        <f>ROUND(SUM(K63:K66),2)</f>
        <v>431.64</v>
      </c>
    </row>
    <row r="68" spans="1:11">
      <c r="A68" s="390"/>
      <c r="B68" s="746"/>
      <c r="C68" s="746"/>
      <c r="D68" s="746"/>
      <c r="E68" s="746"/>
      <c r="F68" s="746"/>
      <c r="G68" s="746"/>
      <c r="H68" s="746"/>
      <c r="I68" s="746"/>
      <c r="J68" s="746"/>
      <c r="K68" s="390"/>
    </row>
    <row r="69" spans="1:11">
      <c r="A69" s="226" t="str">
        <f>'Orç - Canteiro e Adm'!A53</f>
        <v>02.04.302</v>
      </c>
      <c r="B69" s="748" t="str">
        <f>'Orç - Canteiro e Adm'!D53</f>
        <v>Argila vermelha ou arenosa, retirada na jazida, sem transporte</v>
      </c>
      <c r="C69" s="748"/>
      <c r="D69" s="748"/>
      <c r="E69" s="748"/>
      <c r="F69" s="748"/>
      <c r="G69" s="748"/>
      <c r="H69" s="748"/>
      <c r="I69" s="748"/>
      <c r="J69" s="748"/>
      <c r="K69" s="227" t="str">
        <f>'Orç - Canteiro e Adm'!F53</f>
        <v>m3</v>
      </c>
    </row>
    <row r="70" spans="1:11">
      <c r="A70" s="745"/>
      <c r="B70" s="745"/>
      <c r="C70" s="218"/>
      <c r="D70" s="218"/>
      <c r="E70" s="218"/>
      <c r="F70" s="218"/>
      <c r="G70" s="745"/>
      <c r="H70" s="745"/>
      <c r="I70" s="745" t="s">
        <v>7864</v>
      </c>
      <c r="J70" s="745"/>
      <c r="K70" s="745"/>
    </row>
    <row r="71" spans="1:11">
      <c r="A71" s="745" t="s">
        <v>7880</v>
      </c>
      <c r="B71" s="745"/>
      <c r="C71" s="745"/>
      <c r="D71" s="745" t="s">
        <v>9167</v>
      </c>
      <c r="E71" s="745" t="s">
        <v>9168</v>
      </c>
      <c r="F71" s="745" t="s">
        <v>9169</v>
      </c>
      <c r="G71" s="374"/>
      <c r="H71" s="374"/>
      <c r="I71" s="374" t="s">
        <v>9177</v>
      </c>
      <c r="J71" s="374" t="s">
        <v>9172</v>
      </c>
      <c r="K71" s="374"/>
    </row>
    <row r="72" spans="1:11">
      <c r="A72" s="745"/>
      <c r="B72" s="745"/>
      <c r="C72" s="745"/>
      <c r="D72" s="745"/>
      <c r="E72" s="745"/>
      <c r="F72" s="745"/>
      <c r="G72" s="374"/>
      <c r="H72" s="374"/>
      <c r="I72" s="374"/>
      <c r="J72" s="374" t="s">
        <v>9173</v>
      </c>
      <c r="K72" s="374"/>
    </row>
    <row r="73" spans="1:11">
      <c r="A73" s="374"/>
      <c r="B73" s="219" t="s">
        <v>9171</v>
      </c>
      <c r="C73" s="222"/>
      <c r="D73" s="222"/>
      <c r="E73" s="225">
        <f>1.57*F73</f>
        <v>2746.4167000000002</v>
      </c>
      <c r="F73" s="222">
        <v>1749.31</v>
      </c>
      <c r="G73" s="221"/>
      <c r="H73" s="220"/>
      <c r="I73" s="220"/>
      <c r="J73" s="220">
        <f>E73</f>
        <v>2746.4167000000002</v>
      </c>
      <c r="K73" s="220"/>
    </row>
    <row r="74" spans="1:11" ht="22.5">
      <c r="A74" s="374"/>
      <c r="B74" s="219" t="s">
        <v>9175</v>
      </c>
      <c r="C74" s="222"/>
      <c r="D74" s="222">
        <f>-60-8</f>
        <v>-68</v>
      </c>
      <c r="E74" s="225">
        <f>D74*1.4</f>
        <v>-95.199999999999989</v>
      </c>
      <c r="F74" s="222"/>
      <c r="G74" s="221"/>
      <c r="H74" s="220"/>
      <c r="I74" s="220"/>
      <c r="J74" s="220">
        <f>E74</f>
        <v>-95.199999999999989</v>
      </c>
      <c r="K74" s="220"/>
    </row>
    <row r="75" spans="1:11" ht="22.5">
      <c r="A75" s="374"/>
      <c r="B75" s="219" t="s">
        <v>9174</v>
      </c>
      <c r="C75" s="222"/>
      <c r="D75" s="222">
        <f>-83-15</f>
        <v>-98</v>
      </c>
      <c r="E75" s="225">
        <f t="shared" ref="E75:E79" si="8">D75*1.4</f>
        <v>-137.19999999999999</v>
      </c>
      <c r="F75" s="222"/>
      <c r="G75" s="221"/>
      <c r="H75" s="220"/>
      <c r="I75" s="220"/>
      <c r="J75" s="220">
        <f t="shared" ref="J75:J79" si="9">E75</f>
        <v>-137.19999999999999</v>
      </c>
      <c r="K75" s="220"/>
    </row>
    <row r="76" spans="1:11">
      <c r="A76" s="374"/>
      <c r="B76" s="219"/>
      <c r="C76" s="222"/>
      <c r="D76" s="222"/>
      <c r="E76" s="225"/>
      <c r="F76" s="222"/>
      <c r="G76" s="221"/>
      <c r="H76" s="220"/>
      <c r="I76" s="220"/>
      <c r="J76" s="220"/>
      <c r="K76" s="220"/>
    </row>
    <row r="77" spans="1:11">
      <c r="A77" s="374"/>
      <c r="B77" s="219"/>
      <c r="C77" s="222"/>
      <c r="D77" s="222"/>
      <c r="E77" s="225"/>
      <c r="F77" s="222"/>
      <c r="G77" s="221"/>
      <c r="H77" s="220"/>
      <c r="I77" s="220"/>
      <c r="J77" s="220"/>
      <c r="K77" s="220"/>
    </row>
    <row r="78" spans="1:11" ht="22.5">
      <c r="A78" s="403"/>
      <c r="B78" s="219" t="s">
        <v>9176</v>
      </c>
      <c r="C78" s="222"/>
      <c r="D78" s="222">
        <v>-205</v>
      </c>
      <c r="E78" s="225">
        <f t="shared" ref="E78" si="10">D78*1.4</f>
        <v>-287</v>
      </c>
      <c r="F78" s="222"/>
      <c r="G78" s="221"/>
      <c r="H78" s="220"/>
      <c r="I78" s="220"/>
      <c r="J78" s="220">
        <f t="shared" ref="J78" si="11">E78</f>
        <v>-287</v>
      </c>
      <c r="K78" s="220"/>
    </row>
    <row r="79" spans="1:11" ht="22.5">
      <c r="A79" s="374"/>
      <c r="B79" s="219" t="s">
        <v>9512</v>
      </c>
      <c r="C79" s="222"/>
      <c r="D79" s="222">
        <v>-225.3</v>
      </c>
      <c r="E79" s="225">
        <f t="shared" si="8"/>
        <v>-315.42</v>
      </c>
      <c r="F79" s="222"/>
      <c r="G79" s="221"/>
      <c r="H79" s="220"/>
      <c r="I79" s="220"/>
      <c r="J79" s="220">
        <f t="shared" si="9"/>
        <v>-315.42</v>
      </c>
      <c r="K79" s="220"/>
    </row>
    <row r="80" spans="1:11" ht="56.25">
      <c r="A80" s="228"/>
      <c r="B80" s="375" t="s">
        <v>9170</v>
      </c>
      <c r="C80" s="229"/>
      <c r="D80" s="229"/>
      <c r="E80" s="229"/>
      <c r="F80" s="747" t="s">
        <v>7875</v>
      </c>
      <c r="G80" s="747"/>
      <c r="H80" s="747"/>
      <c r="I80" s="230">
        <f>0.71*J80</f>
        <v>1357.2359999999999</v>
      </c>
      <c r="J80" s="230">
        <f>ROUND(SUM(J72:J79),2)</f>
        <v>1911.6</v>
      </c>
      <c r="K80" s="230"/>
    </row>
    <row r="81" spans="1:11">
      <c r="A81" s="374"/>
      <c r="B81" s="746"/>
      <c r="C81" s="746"/>
      <c r="D81" s="746"/>
      <c r="E81" s="746"/>
      <c r="F81" s="746"/>
      <c r="G81" s="746"/>
      <c r="H81" s="746"/>
      <c r="I81" s="746"/>
      <c r="J81" s="746"/>
      <c r="K81" s="374"/>
    </row>
    <row r="82" spans="1:11">
      <c r="A82" s="226" t="str">
        <f>'Orç - Canteiro e Adm'!A49</f>
        <v>02.04.402.01</v>
      </c>
      <c r="B82" s="748" t="str">
        <f>'Orç - Canteiro e Adm'!D49</f>
        <v>Carga e descarga mecanizadas de entulho em caminhão basculante 6 m3</v>
      </c>
      <c r="C82" s="748"/>
      <c r="D82" s="748"/>
      <c r="E82" s="748"/>
      <c r="F82" s="748"/>
      <c r="G82" s="748"/>
      <c r="H82" s="748"/>
      <c r="I82" s="748"/>
      <c r="J82" s="748"/>
      <c r="K82" s="227" t="str">
        <f>'Orç - Canteiro e Adm'!F49</f>
        <v>m3</v>
      </c>
    </row>
    <row r="83" spans="1:11">
      <c r="A83" s="745"/>
      <c r="B83" s="745"/>
      <c r="C83" s="218"/>
      <c r="D83" s="218"/>
      <c r="E83" s="218"/>
      <c r="F83" s="218"/>
      <c r="G83" s="745" t="s">
        <v>7863</v>
      </c>
      <c r="H83" s="745"/>
      <c r="I83" s="745" t="s">
        <v>7864</v>
      </c>
      <c r="J83" s="745"/>
      <c r="K83" s="745"/>
    </row>
    <row r="84" spans="1:11">
      <c r="A84" s="745" t="s">
        <v>7880</v>
      </c>
      <c r="B84" s="745"/>
      <c r="C84" s="745" t="s">
        <v>7865</v>
      </c>
      <c r="D84" s="745" t="s">
        <v>7866</v>
      </c>
      <c r="E84" s="745" t="s">
        <v>7867</v>
      </c>
      <c r="F84" s="745" t="s">
        <v>7868</v>
      </c>
      <c r="G84" s="277" t="s">
        <v>7869</v>
      </c>
      <c r="H84" s="277" t="s">
        <v>7870</v>
      </c>
      <c r="I84" s="277" t="s">
        <v>7871</v>
      </c>
      <c r="J84" s="277" t="s">
        <v>7869</v>
      </c>
      <c r="K84" s="277" t="s">
        <v>7870</v>
      </c>
    </row>
    <row r="85" spans="1:11">
      <c r="A85" s="745"/>
      <c r="B85" s="745"/>
      <c r="C85" s="745"/>
      <c r="D85" s="745"/>
      <c r="E85" s="745"/>
      <c r="F85" s="745"/>
      <c r="G85" s="277" t="s">
        <v>7872</v>
      </c>
      <c r="H85" s="277" t="s">
        <v>7873</v>
      </c>
      <c r="I85" s="277" t="s">
        <v>7874</v>
      </c>
      <c r="J85" s="277" t="s">
        <v>7872</v>
      </c>
      <c r="K85" s="277" t="s">
        <v>7873</v>
      </c>
    </row>
    <row r="86" spans="1:11" ht="45">
      <c r="A86" s="277"/>
      <c r="B86" s="219" t="s">
        <v>7879</v>
      </c>
      <c r="C86" s="222">
        <v>1</v>
      </c>
      <c r="D86" s="222"/>
      <c r="E86" s="225"/>
      <c r="F86" s="231">
        <v>0.1</v>
      </c>
      <c r="G86" s="221">
        <f>J57</f>
        <v>5150.75</v>
      </c>
      <c r="H86" s="220">
        <f>G86*F86</f>
        <v>515.07500000000005</v>
      </c>
      <c r="I86" s="220"/>
      <c r="J86" s="220"/>
      <c r="K86" s="220">
        <f>C86*H86</f>
        <v>515.07500000000005</v>
      </c>
    </row>
    <row r="87" spans="1:11">
      <c r="A87" s="228"/>
      <c r="B87" s="229"/>
      <c r="C87" s="229"/>
      <c r="D87" s="229"/>
      <c r="E87" s="229"/>
      <c r="F87" s="747" t="s">
        <v>7875</v>
      </c>
      <c r="G87" s="747"/>
      <c r="H87" s="747"/>
      <c r="I87" s="230">
        <f>ROUND(SUM(I86:I86),2)</f>
        <v>0</v>
      </c>
      <c r="J87" s="230">
        <f>ROUND(SUM(J86:J86),2)</f>
        <v>0</v>
      </c>
      <c r="K87" s="230">
        <f>ROUND(SUM(K86:K86),2)</f>
        <v>515.08000000000004</v>
      </c>
    </row>
    <row r="88" spans="1:11">
      <c r="A88" s="277"/>
      <c r="B88" s="746"/>
      <c r="C88" s="746"/>
      <c r="D88" s="746"/>
      <c r="E88" s="746"/>
      <c r="F88" s="746"/>
      <c r="G88" s="746"/>
      <c r="H88" s="746"/>
      <c r="I88" s="746"/>
      <c r="J88" s="746"/>
      <c r="K88" s="277"/>
    </row>
    <row r="89" spans="1:11">
      <c r="A89" s="226" t="str">
        <f>'Orç - Canteiro e Adm'!A96</f>
        <v>10.01.205</v>
      </c>
      <c r="B89" s="748" t="str">
        <f>'Orç - Canteiro e Adm'!D96</f>
        <v>Vigia noturno com encargos complementares</v>
      </c>
      <c r="C89" s="748"/>
      <c r="D89" s="748"/>
      <c r="E89" s="748"/>
      <c r="F89" s="748"/>
      <c r="G89" s="748"/>
      <c r="H89" s="748"/>
      <c r="I89" s="748"/>
      <c r="J89" s="748"/>
      <c r="K89" s="227" t="str">
        <f>'Orç - Canteiro e Adm'!F96</f>
        <v>h</v>
      </c>
    </row>
    <row r="90" spans="1:11">
      <c r="A90" s="745"/>
      <c r="B90" s="745"/>
      <c r="C90" s="218"/>
      <c r="D90" s="218"/>
      <c r="E90" s="218"/>
      <c r="F90" s="218"/>
      <c r="G90" s="745"/>
      <c r="H90" s="745"/>
      <c r="I90" s="745"/>
      <c r="J90" s="745"/>
      <c r="K90" s="745"/>
    </row>
    <row r="91" spans="1:11">
      <c r="A91" s="745" t="s">
        <v>7880</v>
      </c>
      <c r="B91" s="745"/>
      <c r="C91" s="745" t="s">
        <v>9488</v>
      </c>
      <c r="D91" s="745" t="s">
        <v>9489</v>
      </c>
      <c r="E91" s="745" t="s">
        <v>9490</v>
      </c>
      <c r="F91" s="745"/>
      <c r="G91" s="394"/>
      <c r="H91" s="394"/>
      <c r="I91" s="228" t="s">
        <v>9491</v>
      </c>
      <c r="J91" s="394"/>
      <c r="K91" s="394"/>
    </row>
    <row r="92" spans="1:11">
      <c r="A92" s="745"/>
      <c r="B92" s="745"/>
      <c r="C92" s="745"/>
      <c r="D92" s="745"/>
      <c r="E92" s="745"/>
      <c r="F92" s="745"/>
      <c r="G92" s="394"/>
      <c r="H92" s="394"/>
      <c r="I92" s="228" t="s">
        <v>9492</v>
      </c>
      <c r="J92" s="394"/>
      <c r="K92" s="394"/>
    </row>
    <row r="93" spans="1:11">
      <c r="A93" s="394"/>
      <c r="B93" s="219" t="s">
        <v>9486</v>
      </c>
      <c r="C93" s="222">
        <v>12</v>
      </c>
      <c r="D93" s="222">
        <v>21</v>
      </c>
      <c r="E93" s="225">
        <v>14</v>
      </c>
      <c r="F93" s="231"/>
      <c r="G93" s="221"/>
      <c r="H93" s="220"/>
      <c r="I93" s="220">
        <f>E93*D93*C93</f>
        <v>3528</v>
      </c>
      <c r="J93" s="220"/>
      <c r="K93" s="220"/>
    </row>
    <row r="94" spans="1:11">
      <c r="A94" s="394"/>
      <c r="B94" s="219" t="s">
        <v>9487</v>
      </c>
      <c r="C94" s="222">
        <v>24</v>
      </c>
      <c r="D94" s="222">
        <v>9</v>
      </c>
      <c r="E94" s="225">
        <v>14</v>
      </c>
      <c r="F94" s="231"/>
      <c r="G94" s="221"/>
      <c r="H94" s="220"/>
      <c r="I94" s="220">
        <f>E94*D94*C94</f>
        <v>3024</v>
      </c>
      <c r="J94" s="220"/>
      <c r="K94" s="220"/>
    </row>
    <row r="95" spans="1:11">
      <c r="A95" s="228"/>
      <c r="B95" s="229"/>
      <c r="C95" s="229"/>
      <c r="D95" s="229"/>
      <c r="E95" s="229"/>
      <c r="F95" s="747" t="s">
        <v>7875</v>
      </c>
      <c r="G95" s="747"/>
      <c r="H95" s="747"/>
      <c r="I95" s="230">
        <f>ROUND(SUM(I93:I94),2)</f>
        <v>6552</v>
      </c>
      <c r="J95" s="230"/>
      <c r="K95" s="230"/>
    </row>
    <row r="96" spans="1:11">
      <c r="A96" s="394"/>
      <c r="B96" s="746"/>
      <c r="C96" s="746"/>
      <c r="D96" s="746"/>
      <c r="E96" s="746"/>
      <c r="F96" s="746"/>
      <c r="G96" s="746"/>
      <c r="H96" s="746"/>
      <c r="I96" s="746"/>
      <c r="J96" s="746"/>
      <c r="K96" s="394"/>
    </row>
    <row r="97" spans="1:11">
      <c r="A97" s="226" t="str">
        <f>'Orç - Canteiro e Adm'!A101</f>
        <v>10.03.703.01</v>
      </c>
      <c r="B97" s="748" t="str">
        <f>'Orç - Canteiro e Adm'!D101</f>
        <v>Locação de andaime fachadeiro</v>
      </c>
      <c r="C97" s="748"/>
      <c r="D97" s="748"/>
      <c r="E97" s="748"/>
      <c r="F97" s="748"/>
      <c r="G97" s="748"/>
      <c r="H97" s="748"/>
      <c r="I97" s="748"/>
      <c r="J97" s="748"/>
      <c r="K97" s="227" t="str">
        <f>'Orç - Canteiro e Adm'!F101</f>
        <v>m2 x mês</v>
      </c>
    </row>
    <row r="98" spans="1:11">
      <c r="A98" s="745"/>
      <c r="B98" s="745"/>
      <c r="C98" s="218"/>
      <c r="D98" s="218"/>
      <c r="E98" s="218"/>
      <c r="F98" s="218"/>
      <c r="G98" s="745" t="s">
        <v>7863</v>
      </c>
      <c r="H98" s="745"/>
      <c r="I98" s="745" t="s">
        <v>7864</v>
      </c>
      <c r="J98" s="745"/>
      <c r="K98" s="745"/>
    </row>
    <row r="99" spans="1:11">
      <c r="A99" s="745" t="s">
        <v>7880</v>
      </c>
      <c r="B99" s="745"/>
      <c r="C99" s="745" t="s">
        <v>9278</v>
      </c>
      <c r="D99" s="745" t="s">
        <v>7866</v>
      </c>
      <c r="E99" s="745" t="s">
        <v>7867</v>
      </c>
      <c r="F99" s="745" t="s">
        <v>7868</v>
      </c>
      <c r="G99" s="386" t="s">
        <v>7869</v>
      </c>
      <c r="H99" s="386" t="s">
        <v>7870</v>
      </c>
      <c r="I99" s="386" t="s">
        <v>7871</v>
      </c>
      <c r="J99" s="386" t="s">
        <v>7869</v>
      </c>
      <c r="K99" s="386" t="s">
        <v>7870</v>
      </c>
    </row>
    <row r="100" spans="1:11">
      <c r="A100" s="745"/>
      <c r="B100" s="745"/>
      <c r="C100" s="745"/>
      <c r="D100" s="745"/>
      <c r="E100" s="745"/>
      <c r="F100" s="745"/>
      <c r="G100" s="386" t="s">
        <v>7872</v>
      </c>
      <c r="H100" s="386" t="s">
        <v>7873</v>
      </c>
      <c r="I100" s="386" t="s">
        <v>7874</v>
      </c>
      <c r="J100" s="386" t="s">
        <v>7872</v>
      </c>
      <c r="K100" s="386" t="s">
        <v>7873</v>
      </c>
    </row>
    <row r="101" spans="1:11">
      <c r="A101" s="386"/>
      <c r="B101" s="219" t="s">
        <v>9277</v>
      </c>
      <c r="C101" s="222">
        <v>12</v>
      </c>
      <c r="D101" s="222"/>
      <c r="E101" s="225">
        <v>7.1</v>
      </c>
      <c r="F101" s="231">
        <v>7.1</v>
      </c>
      <c r="G101" s="221">
        <f>J74</f>
        <v>-95.199999999999989</v>
      </c>
      <c r="H101" s="220"/>
      <c r="I101" s="220"/>
      <c r="J101" s="220">
        <f>G101*C101</f>
        <v>-1142.3999999999999</v>
      </c>
      <c r="K101" s="220">
        <f>C101*H101</f>
        <v>0</v>
      </c>
    </row>
    <row r="102" spans="1:11">
      <c r="A102" s="228"/>
      <c r="B102" s="229"/>
      <c r="C102" s="229"/>
      <c r="D102" s="229"/>
      <c r="E102" s="229"/>
      <c r="F102" s="747" t="s">
        <v>7875</v>
      </c>
      <c r="G102" s="747"/>
      <c r="H102" s="747"/>
      <c r="I102" s="230">
        <f>ROUND(SUM(I101:I101),2)</f>
        <v>0</v>
      </c>
      <c r="J102" s="230">
        <f>ROUND(SUM(J101:J101),2)</f>
        <v>-1142.4000000000001</v>
      </c>
      <c r="K102" s="230">
        <f>ROUND(SUM(K101:K101),2)</f>
        <v>0</v>
      </c>
    </row>
    <row r="103" spans="1:11">
      <c r="A103" s="386"/>
      <c r="B103" s="746"/>
      <c r="C103" s="746"/>
      <c r="D103" s="746"/>
      <c r="E103" s="746"/>
      <c r="F103" s="746"/>
      <c r="G103" s="746"/>
      <c r="H103" s="746"/>
      <c r="I103" s="746"/>
      <c r="J103" s="746"/>
      <c r="K103" s="386"/>
    </row>
  </sheetData>
  <mergeCells count="107">
    <mergeCell ref="F35:H35"/>
    <mergeCell ref="B36:J36"/>
    <mergeCell ref="A27:B28"/>
    <mergeCell ref="C27:C28"/>
    <mergeCell ref="D27:D28"/>
    <mergeCell ref="E27:E28"/>
    <mergeCell ref="F27:F28"/>
    <mergeCell ref="F23:H23"/>
    <mergeCell ref="B24:J24"/>
    <mergeCell ref="B25:J25"/>
    <mergeCell ref="A26:B26"/>
    <mergeCell ref="G26:H26"/>
    <mergeCell ref="I26:K26"/>
    <mergeCell ref="A15:B16"/>
    <mergeCell ref="C15:C16"/>
    <mergeCell ref="D15:D16"/>
    <mergeCell ref="E15:E16"/>
    <mergeCell ref="F15:F16"/>
    <mergeCell ref="B10:J10"/>
    <mergeCell ref="B11:J11"/>
    <mergeCell ref="A7:K7"/>
    <mergeCell ref="A2:K2"/>
    <mergeCell ref="A3:K3"/>
    <mergeCell ref="A4:K4"/>
    <mergeCell ref="B9:J9"/>
    <mergeCell ref="B12:J12"/>
    <mergeCell ref="B13:J13"/>
    <mergeCell ref="A14:B14"/>
    <mergeCell ref="G14:H14"/>
    <mergeCell ref="I14:K14"/>
    <mergeCell ref="F95:H95"/>
    <mergeCell ref="B96:J96"/>
    <mergeCell ref="B89:J89"/>
    <mergeCell ref="A90:B90"/>
    <mergeCell ref="G90:H90"/>
    <mergeCell ref="I90:K90"/>
    <mergeCell ref="A91:B92"/>
    <mergeCell ref="C91:C92"/>
    <mergeCell ref="D91:D92"/>
    <mergeCell ref="E91:E92"/>
    <mergeCell ref="F91:F92"/>
    <mergeCell ref="F102:H102"/>
    <mergeCell ref="B103:J103"/>
    <mergeCell ref="B97:J97"/>
    <mergeCell ref="A98:B98"/>
    <mergeCell ref="G98:H98"/>
    <mergeCell ref="I98:K98"/>
    <mergeCell ref="A99:B100"/>
    <mergeCell ref="C99:C100"/>
    <mergeCell ref="D99:D100"/>
    <mergeCell ref="E99:E100"/>
    <mergeCell ref="F99:F100"/>
    <mergeCell ref="F45:H45"/>
    <mergeCell ref="B46:J46"/>
    <mergeCell ref="B37:J37"/>
    <mergeCell ref="A38:B38"/>
    <mergeCell ref="G38:H38"/>
    <mergeCell ref="I38:K38"/>
    <mergeCell ref="A39:B40"/>
    <mergeCell ref="C39:C40"/>
    <mergeCell ref="D39:D40"/>
    <mergeCell ref="E39:E40"/>
    <mergeCell ref="F39:F40"/>
    <mergeCell ref="B47:J47"/>
    <mergeCell ref="A48:B48"/>
    <mergeCell ref="G48:H48"/>
    <mergeCell ref="I48:K48"/>
    <mergeCell ref="A49:B50"/>
    <mergeCell ref="C49:C50"/>
    <mergeCell ref="D49:D50"/>
    <mergeCell ref="E49:E50"/>
    <mergeCell ref="F49:F50"/>
    <mergeCell ref="F57:H57"/>
    <mergeCell ref="B58:J58"/>
    <mergeCell ref="B82:J82"/>
    <mergeCell ref="A83:B83"/>
    <mergeCell ref="G83:H83"/>
    <mergeCell ref="I83:K83"/>
    <mergeCell ref="B69:J69"/>
    <mergeCell ref="A70:B70"/>
    <mergeCell ref="G70:H70"/>
    <mergeCell ref="I70:K70"/>
    <mergeCell ref="A71:B72"/>
    <mergeCell ref="C71:C72"/>
    <mergeCell ref="D71:D72"/>
    <mergeCell ref="E71:E72"/>
    <mergeCell ref="F71:F72"/>
    <mergeCell ref="F80:H80"/>
    <mergeCell ref="B81:J81"/>
    <mergeCell ref="B59:J59"/>
    <mergeCell ref="A60:B60"/>
    <mergeCell ref="G60:H60"/>
    <mergeCell ref="I60:K60"/>
    <mergeCell ref="A61:B62"/>
    <mergeCell ref="C61:C62"/>
    <mergeCell ref="D61:D62"/>
    <mergeCell ref="E61:E62"/>
    <mergeCell ref="F61:F62"/>
    <mergeCell ref="B88:J88"/>
    <mergeCell ref="A84:B85"/>
    <mergeCell ref="C84:C85"/>
    <mergeCell ref="D84:D85"/>
    <mergeCell ref="E84:E85"/>
    <mergeCell ref="F84:F85"/>
    <mergeCell ref="F87:H87"/>
    <mergeCell ref="F67:H67"/>
    <mergeCell ref="B68:J68"/>
  </mergeCells>
  <pageMargins left="0.23622047244094491" right="0.23622047244094491" top="0.74803149606299213" bottom="0.74803149606299213" header="0.31496062992125984" footer="0.31496062992125984"/>
  <pageSetup paperSize="9" scale="89" firstPageNumber="182" fitToHeight="30" orientation="portrait" useFirstPageNumber="1" r:id="rId1"/>
  <headerFooter>
    <oddFooter>&amp;CEng. Civil Daniele Firme Miranda
CREA: 24.965/D-DF
ART nº 0720190034483&amp;RPágina &amp;P de 208</oddFooter>
  </headerFooter>
  <rowBreaks count="1" manualBreakCount="1">
    <brk id="58" max="1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dimension ref="A1:N726"/>
  <sheetViews>
    <sheetView view="pageLayout" topLeftCell="A713" zoomScaleNormal="100" zoomScaleSheetLayoutView="145" workbookViewId="0">
      <selection activeCell="E25" sqref="E25"/>
    </sheetView>
  </sheetViews>
  <sheetFormatPr defaultRowHeight="12.75"/>
  <cols>
    <col min="1" max="1" width="9.140625" style="178" customWidth="1"/>
    <col min="2" max="2" width="25.85546875" style="176" customWidth="1"/>
    <col min="3" max="3" width="6.7109375" style="176" bestFit="1" customWidth="1"/>
    <col min="4" max="4" width="8.7109375" style="176" bestFit="1" customWidth="1"/>
    <col min="5" max="5" width="7.28515625" style="176" bestFit="1" customWidth="1"/>
    <col min="6" max="6" width="8.7109375" style="176" bestFit="1" customWidth="1"/>
    <col min="7" max="7" width="9.5703125" style="176" bestFit="1" customWidth="1"/>
    <col min="8" max="9" width="7.28515625" style="176" bestFit="1" customWidth="1"/>
    <col min="10" max="10" width="8" style="176" bestFit="1" customWidth="1"/>
    <col min="11" max="11" width="8.28515625" style="176" customWidth="1"/>
    <col min="12" max="13" width="10.42578125" style="176" bestFit="1" customWidth="1"/>
    <col min="14" max="14" width="13.140625" style="176" bestFit="1" customWidth="1"/>
    <col min="15" max="256" width="9.140625" style="176"/>
    <col min="257" max="257" width="9.140625" style="176" customWidth="1"/>
    <col min="258" max="258" width="25.85546875" style="176" customWidth="1"/>
    <col min="259" max="259" width="5.7109375" style="176" bestFit="1" customWidth="1"/>
    <col min="260" max="260" width="7.140625" style="176" bestFit="1" customWidth="1"/>
    <col min="261" max="261" width="7.28515625" style="176" bestFit="1" customWidth="1"/>
    <col min="262" max="262" width="6.140625" style="176" bestFit="1" customWidth="1"/>
    <col min="263" max="265" width="7.28515625" style="176" bestFit="1" customWidth="1"/>
    <col min="266" max="266" width="8" style="176" bestFit="1" customWidth="1"/>
    <col min="267" max="267" width="8.28515625" style="176" customWidth="1"/>
    <col min="268" max="269" width="10.42578125" style="176" bestFit="1" customWidth="1"/>
    <col min="270" max="270" width="13.140625" style="176" bestFit="1" customWidth="1"/>
    <col min="271" max="512" width="9.140625" style="176"/>
    <col min="513" max="513" width="9.140625" style="176" customWidth="1"/>
    <col min="514" max="514" width="25.85546875" style="176" customWidth="1"/>
    <col min="515" max="515" width="5.7109375" style="176" bestFit="1" customWidth="1"/>
    <col min="516" max="516" width="7.140625" style="176" bestFit="1" customWidth="1"/>
    <col min="517" max="517" width="7.28515625" style="176" bestFit="1" customWidth="1"/>
    <col min="518" max="518" width="6.140625" style="176" bestFit="1" customWidth="1"/>
    <col min="519" max="521" width="7.28515625" style="176" bestFit="1" customWidth="1"/>
    <col min="522" max="522" width="8" style="176" bestFit="1" customWidth="1"/>
    <col min="523" max="523" width="8.28515625" style="176" customWidth="1"/>
    <col min="524" max="525" width="10.42578125" style="176" bestFit="1" customWidth="1"/>
    <col min="526" max="526" width="13.140625" style="176" bestFit="1" customWidth="1"/>
    <col min="527" max="768" width="9.140625" style="176"/>
    <col min="769" max="769" width="9.140625" style="176" customWidth="1"/>
    <col min="770" max="770" width="25.85546875" style="176" customWidth="1"/>
    <col min="771" max="771" width="5.7109375" style="176" bestFit="1" customWidth="1"/>
    <col min="772" max="772" width="7.140625" style="176" bestFit="1" customWidth="1"/>
    <col min="773" max="773" width="7.28515625" style="176" bestFit="1" customWidth="1"/>
    <col min="774" max="774" width="6.140625" style="176" bestFit="1" customWidth="1"/>
    <col min="775" max="777" width="7.28515625" style="176" bestFit="1" customWidth="1"/>
    <col min="778" max="778" width="8" style="176" bestFit="1" customWidth="1"/>
    <col min="779" max="779" width="8.28515625" style="176" customWidth="1"/>
    <col min="780" max="781" width="10.42578125" style="176" bestFit="1" customWidth="1"/>
    <col min="782" max="782" width="13.140625" style="176" bestFit="1" customWidth="1"/>
    <col min="783" max="1024" width="9.140625" style="176"/>
    <col min="1025" max="1025" width="9.140625" style="176" customWidth="1"/>
    <col min="1026" max="1026" width="25.85546875" style="176" customWidth="1"/>
    <col min="1027" max="1027" width="5.7109375" style="176" bestFit="1" customWidth="1"/>
    <col min="1028" max="1028" width="7.140625" style="176" bestFit="1" customWidth="1"/>
    <col min="1029" max="1029" width="7.28515625" style="176" bestFit="1" customWidth="1"/>
    <col min="1030" max="1030" width="6.140625" style="176" bestFit="1" customWidth="1"/>
    <col min="1031" max="1033" width="7.28515625" style="176" bestFit="1" customWidth="1"/>
    <col min="1034" max="1034" width="8" style="176" bestFit="1" customWidth="1"/>
    <col min="1035" max="1035" width="8.28515625" style="176" customWidth="1"/>
    <col min="1036" max="1037" width="10.42578125" style="176" bestFit="1" customWidth="1"/>
    <col min="1038" max="1038" width="13.140625" style="176" bestFit="1" customWidth="1"/>
    <col min="1039" max="1280" width="9.140625" style="176"/>
    <col min="1281" max="1281" width="9.140625" style="176" customWidth="1"/>
    <col min="1282" max="1282" width="25.85546875" style="176" customWidth="1"/>
    <col min="1283" max="1283" width="5.7109375" style="176" bestFit="1" customWidth="1"/>
    <col min="1284" max="1284" width="7.140625" style="176" bestFit="1" customWidth="1"/>
    <col min="1285" max="1285" width="7.28515625" style="176" bestFit="1" customWidth="1"/>
    <col min="1286" max="1286" width="6.140625" style="176" bestFit="1" customWidth="1"/>
    <col min="1287" max="1289" width="7.28515625" style="176" bestFit="1" customWidth="1"/>
    <col min="1290" max="1290" width="8" style="176" bestFit="1" customWidth="1"/>
    <col min="1291" max="1291" width="8.28515625" style="176" customWidth="1"/>
    <col min="1292" max="1293" width="10.42578125" style="176" bestFit="1" customWidth="1"/>
    <col min="1294" max="1294" width="13.140625" style="176" bestFit="1" customWidth="1"/>
    <col min="1295" max="1536" width="9.140625" style="176"/>
    <col min="1537" max="1537" width="9.140625" style="176" customWidth="1"/>
    <col min="1538" max="1538" width="25.85546875" style="176" customWidth="1"/>
    <col min="1539" max="1539" width="5.7109375" style="176" bestFit="1" customWidth="1"/>
    <col min="1540" max="1540" width="7.140625" style="176" bestFit="1" customWidth="1"/>
    <col min="1541" max="1541" width="7.28515625" style="176" bestFit="1" customWidth="1"/>
    <col min="1542" max="1542" width="6.140625" style="176" bestFit="1" customWidth="1"/>
    <col min="1543" max="1545" width="7.28515625" style="176" bestFit="1" customWidth="1"/>
    <col min="1546" max="1546" width="8" style="176" bestFit="1" customWidth="1"/>
    <col min="1547" max="1547" width="8.28515625" style="176" customWidth="1"/>
    <col min="1548" max="1549" width="10.42578125" style="176" bestFit="1" customWidth="1"/>
    <col min="1550" max="1550" width="13.140625" style="176" bestFit="1" customWidth="1"/>
    <col min="1551" max="1792" width="9.140625" style="176"/>
    <col min="1793" max="1793" width="9.140625" style="176" customWidth="1"/>
    <col min="1794" max="1794" width="25.85546875" style="176" customWidth="1"/>
    <col min="1795" max="1795" width="5.7109375" style="176" bestFit="1" customWidth="1"/>
    <col min="1796" max="1796" width="7.140625" style="176" bestFit="1" customWidth="1"/>
    <col min="1797" max="1797" width="7.28515625" style="176" bestFit="1" customWidth="1"/>
    <col min="1798" max="1798" width="6.140625" style="176" bestFit="1" customWidth="1"/>
    <col min="1799" max="1801" width="7.28515625" style="176" bestFit="1" customWidth="1"/>
    <col min="1802" max="1802" width="8" style="176" bestFit="1" customWidth="1"/>
    <col min="1803" max="1803" width="8.28515625" style="176" customWidth="1"/>
    <col min="1804" max="1805" width="10.42578125" style="176" bestFit="1" customWidth="1"/>
    <col min="1806" max="1806" width="13.140625" style="176" bestFit="1" customWidth="1"/>
    <col min="1807" max="2048" width="9.140625" style="176"/>
    <col min="2049" max="2049" width="9.140625" style="176" customWidth="1"/>
    <col min="2050" max="2050" width="25.85546875" style="176" customWidth="1"/>
    <col min="2051" max="2051" width="5.7109375" style="176" bestFit="1" customWidth="1"/>
    <col min="2052" max="2052" width="7.140625" style="176" bestFit="1" customWidth="1"/>
    <col min="2053" max="2053" width="7.28515625" style="176" bestFit="1" customWidth="1"/>
    <col min="2054" max="2054" width="6.140625" style="176" bestFit="1" customWidth="1"/>
    <col min="2055" max="2057" width="7.28515625" style="176" bestFit="1" customWidth="1"/>
    <col min="2058" max="2058" width="8" style="176" bestFit="1" customWidth="1"/>
    <col min="2059" max="2059" width="8.28515625" style="176" customWidth="1"/>
    <col min="2060" max="2061" width="10.42578125" style="176" bestFit="1" customWidth="1"/>
    <col min="2062" max="2062" width="13.140625" style="176" bestFit="1" customWidth="1"/>
    <col min="2063" max="2304" width="9.140625" style="176"/>
    <col min="2305" max="2305" width="9.140625" style="176" customWidth="1"/>
    <col min="2306" max="2306" width="25.85546875" style="176" customWidth="1"/>
    <col min="2307" max="2307" width="5.7109375" style="176" bestFit="1" customWidth="1"/>
    <col min="2308" max="2308" width="7.140625" style="176" bestFit="1" customWidth="1"/>
    <col min="2309" max="2309" width="7.28515625" style="176" bestFit="1" customWidth="1"/>
    <col min="2310" max="2310" width="6.140625" style="176" bestFit="1" customWidth="1"/>
    <col min="2311" max="2313" width="7.28515625" style="176" bestFit="1" customWidth="1"/>
    <col min="2314" max="2314" width="8" style="176" bestFit="1" customWidth="1"/>
    <col min="2315" max="2315" width="8.28515625" style="176" customWidth="1"/>
    <col min="2316" max="2317" width="10.42578125" style="176" bestFit="1" customWidth="1"/>
    <col min="2318" max="2318" width="13.140625" style="176" bestFit="1" customWidth="1"/>
    <col min="2319" max="2560" width="9.140625" style="176"/>
    <col min="2561" max="2561" width="9.140625" style="176" customWidth="1"/>
    <col min="2562" max="2562" width="25.85546875" style="176" customWidth="1"/>
    <col min="2563" max="2563" width="5.7109375" style="176" bestFit="1" customWidth="1"/>
    <col min="2564" max="2564" width="7.140625" style="176" bestFit="1" customWidth="1"/>
    <col min="2565" max="2565" width="7.28515625" style="176" bestFit="1" customWidth="1"/>
    <col min="2566" max="2566" width="6.140625" style="176" bestFit="1" customWidth="1"/>
    <col min="2567" max="2569" width="7.28515625" style="176" bestFit="1" customWidth="1"/>
    <col min="2570" max="2570" width="8" style="176" bestFit="1" customWidth="1"/>
    <col min="2571" max="2571" width="8.28515625" style="176" customWidth="1"/>
    <col min="2572" max="2573" width="10.42578125" style="176" bestFit="1" customWidth="1"/>
    <col min="2574" max="2574" width="13.140625" style="176" bestFit="1" customWidth="1"/>
    <col min="2575" max="2816" width="9.140625" style="176"/>
    <col min="2817" max="2817" width="9.140625" style="176" customWidth="1"/>
    <col min="2818" max="2818" width="25.85546875" style="176" customWidth="1"/>
    <col min="2819" max="2819" width="5.7109375" style="176" bestFit="1" customWidth="1"/>
    <col min="2820" max="2820" width="7.140625" style="176" bestFit="1" customWidth="1"/>
    <col min="2821" max="2821" width="7.28515625" style="176" bestFit="1" customWidth="1"/>
    <col min="2822" max="2822" width="6.140625" style="176" bestFit="1" customWidth="1"/>
    <col min="2823" max="2825" width="7.28515625" style="176" bestFit="1" customWidth="1"/>
    <col min="2826" max="2826" width="8" style="176" bestFit="1" customWidth="1"/>
    <col min="2827" max="2827" width="8.28515625" style="176" customWidth="1"/>
    <col min="2828" max="2829" width="10.42578125" style="176" bestFit="1" customWidth="1"/>
    <col min="2830" max="2830" width="13.140625" style="176" bestFit="1" customWidth="1"/>
    <col min="2831" max="3072" width="9.140625" style="176"/>
    <col min="3073" max="3073" width="9.140625" style="176" customWidth="1"/>
    <col min="3074" max="3074" width="25.85546875" style="176" customWidth="1"/>
    <col min="3075" max="3075" width="5.7109375" style="176" bestFit="1" customWidth="1"/>
    <col min="3076" max="3076" width="7.140625" style="176" bestFit="1" customWidth="1"/>
    <col min="3077" max="3077" width="7.28515625" style="176" bestFit="1" customWidth="1"/>
    <col min="3078" max="3078" width="6.140625" style="176" bestFit="1" customWidth="1"/>
    <col min="3079" max="3081" width="7.28515625" style="176" bestFit="1" customWidth="1"/>
    <col min="3082" max="3082" width="8" style="176" bestFit="1" customWidth="1"/>
    <col min="3083" max="3083" width="8.28515625" style="176" customWidth="1"/>
    <col min="3084" max="3085" width="10.42578125" style="176" bestFit="1" customWidth="1"/>
    <col min="3086" max="3086" width="13.140625" style="176" bestFit="1" customWidth="1"/>
    <col min="3087" max="3328" width="9.140625" style="176"/>
    <col min="3329" max="3329" width="9.140625" style="176" customWidth="1"/>
    <col min="3330" max="3330" width="25.85546875" style="176" customWidth="1"/>
    <col min="3331" max="3331" width="5.7109375" style="176" bestFit="1" customWidth="1"/>
    <col min="3332" max="3332" width="7.140625" style="176" bestFit="1" customWidth="1"/>
    <col min="3333" max="3333" width="7.28515625" style="176" bestFit="1" customWidth="1"/>
    <col min="3334" max="3334" width="6.140625" style="176" bestFit="1" customWidth="1"/>
    <col min="3335" max="3337" width="7.28515625" style="176" bestFit="1" customWidth="1"/>
    <col min="3338" max="3338" width="8" style="176" bestFit="1" customWidth="1"/>
    <col min="3339" max="3339" width="8.28515625" style="176" customWidth="1"/>
    <col min="3340" max="3341" width="10.42578125" style="176" bestFit="1" customWidth="1"/>
    <col min="3342" max="3342" width="13.140625" style="176" bestFit="1" customWidth="1"/>
    <col min="3343" max="3584" width="9.140625" style="176"/>
    <col min="3585" max="3585" width="9.140625" style="176" customWidth="1"/>
    <col min="3586" max="3586" width="25.85546875" style="176" customWidth="1"/>
    <col min="3587" max="3587" width="5.7109375" style="176" bestFit="1" customWidth="1"/>
    <col min="3588" max="3588" width="7.140625" style="176" bestFit="1" customWidth="1"/>
    <col min="3589" max="3589" width="7.28515625" style="176" bestFit="1" customWidth="1"/>
    <col min="3590" max="3590" width="6.140625" style="176" bestFit="1" customWidth="1"/>
    <col min="3591" max="3593" width="7.28515625" style="176" bestFit="1" customWidth="1"/>
    <col min="3594" max="3594" width="8" style="176" bestFit="1" customWidth="1"/>
    <col min="3595" max="3595" width="8.28515625" style="176" customWidth="1"/>
    <col min="3596" max="3597" width="10.42578125" style="176" bestFit="1" customWidth="1"/>
    <col min="3598" max="3598" width="13.140625" style="176" bestFit="1" customWidth="1"/>
    <col min="3599" max="3840" width="9.140625" style="176"/>
    <col min="3841" max="3841" width="9.140625" style="176" customWidth="1"/>
    <col min="3842" max="3842" width="25.85546875" style="176" customWidth="1"/>
    <col min="3843" max="3843" width="5.7109375" style="176" bestFit="1" customWidth="1"/>
    <col min="3844" max="3844" width="7.140625" style="176" bestFit="1" customWidth="1"/>
    <col min="3845" max="3845" width="7.28515625" style="176" bestFit="1" customWidth="1"/>
    <col min="3846" max="3846" width="6.140625" style="176" bestFit="1" customWidth="1"/>
    <col min="3847" max="3849" width="7.28515625" style="176" bestFit="1" customWidth="1"/>
    <col min="3850" max="3850" width="8" style="176" bestFit="1" customWidth="1"/>
    <col min="3851" max="3851" width="8.28515625" style="176" customWidth="1"/>
    <col min="3852" max="3853" width="10.42578125" style="176" bestFit="1" customWidth="1"/>
    <col min="3854" max="3854" width="13.140625" style="176" bestFit="1" customWidth="1"/>
    <col min="3855" max="4096" width="9.140625" style="176"/>
    <col min="4097" max="4097" width="9.140625" style="176" customWidth="1"/>
    <col min="4098" max="4098" width="25.85546875" style="176" customWidth="1"/>
    <col min="4099" max="4099" width="5.7109375" style="176" bestFit="1" customWidth="1"/>
    <col min="4100" max="4100" width="7.140625" style="176" bestFit="1" customWidth="1"/>
    <col min="4101" max="4101" width="7.28515625" style="176" bestFit="1" customWidth="1"/>
    <col min="4102" max="4102" width="6.140625" style="176" bestFit="1" customWidth="1"/>
    <col min="4103" max="4105" width="7.28515625" style="176" bestFit="1" customWidth="1"/>
    <col min="4106" max="4106" width="8" style="176" bestFit="1" customWidth="1"/>
    <col min="4107" max="4107" width="8.28515625" style="176" customWidth="1"/>
    <col min="4108" max="4109" width="10.42578125" style="176" bestFit="1" customWidth="1"/>
    <col min="4110" max="4110" width="13.140625" style="176" bestFit="1" customWidth="1"/>
    <col min="4111" max="4352" width="9.140625" style="176"/>
    <col min="4353" max="4353" width="9.140625" style="176" customWidth="1"/>
    <col min="4354" max="4354" width="25.85546875" style="176" customWidth="1"/>
    <col min="4355" max="4355" width="5.7109375" style="176" bestFit="1" customWidth="1"/>
    <col min="4356" max="4356" width="7.140625" style="176" bestFit="1" customWidth="1"/>
    <col min="4357" max="4357" width="7.28515625" style="176" bestFit="1" customWidth="1"/>
    <col min="4358" max="4358" width="6.140625" style="176" bestFit="1" customWidth="1"/>
    <col min="4359" max="4361" width="7.28515625" style="176" bestFit="1" customWidth="1"/>
    <col min="4362" max="4362" width="8" style="176" bestFit="1" customWidth="1"/>
    <col min="4363" max="4363" width="8.28515625" style="176" customWidth="1"/>
    <col min="4364" max="4365" width="10.42578125" style="176" bestFit="1" customWidth="1"/>
    <col min="4366" max="4366" width="13.140625" style="176" bestFit="1" customWidth="1"/>
    <col min="4367" max="4608" width="9.140625" style="176"/>
    <col min="4609" max="4609" width="9.140625" style="176" customWidth="1"/>
    <col min="4610" max="4610" width="25.85546875" style="176" customWidth="1"/>
    <col min="4611" max="4611" width="5.7109375" style="176" bestFit="1" customWidth="1"/>
    <col min="4612" max="4612" width="7.140625" style="176" bestFit="1" customWidth="1"/>
    <col min="4613" max="4613" width="7.28515625" style="176" bestFit="1" customWidth="1"/>
    <col min="4614" max="4614" width="6.140625" style="176" bestFit="1" customWidth="1"/>
    <col min="4615" max="4617" width="7.28515625" style="176" bestFit="1" customWidth="1"/>
    <col min="4618" max="4618" width="8" style="176" bestFit="1" customWidth="1"/>
    <col min="4619" max="4619" width="8.28515625" style="176" customWidth="1"/>
    <col min="4620" max="4621" width="10.42578125" style="176" bestFit="1" customWidth="1"/>
    <col min="4622" max="4622" width="13.140625" style="176" bestFit="1" customWidth="1"/>
    <col min="4623" max="4864" width="9.140625" style="176"/>
    <col min="4865" max="4865" width="9.140625" style="176" customWidth="1"/>
    <col min="4866" max="4866" width="25.85546875" style="176" customWidth="1"/>
    <col min="4867" max="4867" width="5.7109375" style="176" bestFit="1" customWidth="1"/>
    <col min="4868" max="4868" width="7.140625" style="176" bestFit="1" customWidth="1"/>
    <col min="4869" max="4869" width="7.28515625" style="176" bestFit="1" customWidth="1"/>
    <col min="4870" max="4870" width="6.140625" style="176" bestFit="1" customWidth="1"/>
    <col min="4871" max="4873" width="7.28515625" style="176" bestFit="1" customWidth="1"/>
    <col min="4874" max="4874" width="8" style="176" bestFit="1" customWidth="1"/>
    <col min="4875" max="4875" width="8.28515625" style="176" customWidth="1"/>
    <col min="4876" max="4877" width="10.42578125" style="176" bestFit="1" customWidth="1"/>
    <col min="4878" max="4878" width="13.140625" style="176" bestFit="1" customWidth="1"/>
    <col min="4879" max="5120" width="9.140625" style="176"/>
    <col min="5121" max="5121" width="9.140625" style="176" customWidth="1"/>
    <col min="5122" max="5122" width="25.85546875" style="176" customWidth="1"/>
    <col min="5123" max="5123" width="5.7109375" style="176" bestFit="1" customWidth="1"/>
    <col min="5124" max="5124" width="7.140625" style="176" bestFit="1" customWidth="1"/>
    <col min="5125" max="5125" width="7.28515625" style="176" bestFit="1" customWidth="1"/>
    <col min="5126" max="5126" width="6.140625" style="176" bestFit="1" customWidth="1"/>
    <col min="5127" max="5129" width="7.28515625" style="176" bestFit="1" customWidth="1"/>
    <col min="5130" max="5130" width="8" style="176" bestFit="1" customWidth="1"/>
    <col min="5131" max="5131" width="8.28515625" style="176" customWidth="1"/>
    <col min="5132" max="5133" width="10.42578125" style="176" bestFit="1" customWidth="1"/>
    <col min="5134" max="5134" width="13.140625" style="176" bestFit="1" customWidth="1"/>
    <col min="5135" max="5376" width="9.140625" style="176"/>
    <col min="5377" max="5377" width="9.140625" style="176" customWidth="1"/>
    <col min="5378" max="5378" width="25.85546875" style="176" customWidth="1"/>
    <col min="5379" max="5379" width="5.7109375" style="176" bestFit="1" customWidth="1"/>
    <col min="5380" max="5380" width="7.140625" style="176" bestFit="1" customWidth="1"/>
    <col min="5381" max="5381" width="7.28515625" style="176" bestFit="1" customWidth="1"/>
    <col min="5382" max="5382" width="6.140625" style="176" bestFit="1" customWidth="1"/>
    <col min="5383" max="5385" width="7.28515625" style="176" bestFit="1" customWidth="1"/>
    <col min="5386" max="5386" width="8" style="176" bestFit="1" customWidth="1"/>
    <col min="5387" max="5387" width="8.28515625" style="176" customWidth="1"/>
    <col min="5388" max="5389" width="10.42578125" style="176" bestFit="1" customWidth="1"/>
    <col min="5390" max="5390" width="13.140625" style="176" bestFit="1" customWidth="1"/>
    <col min="5391" max="5632" width="9.140625" style="176"/>
    <col min="5633" max="5633" width="9.140625" style="176" customWidth="1"/>
    <col min="5634" max="5634" width="25.85546875" style="176" customWidth="1"/>
    <col min="5635" max="5635" width="5.7109375" style="176" bestFit="1" customWidth="1"/>
    <col min="5636" max="5636" width="7.140625" style="176" bestFit="1" customWidth="1"/>
    <col min="5637" max="5637" width="7.28515625" style="176" bestFit="1" customWidth="1"/>
    <col min="5638" max="5638" width="6.140625" style="176" bestFit="1" customWidth="1"/>
    <col min="5639" max="5641" width="7.28515625" style="176" bestFit="1" customWidth="1"/>
    <col min="5642" max="5642" width="8" style="176" bestFit="1" customWidth="1"/>
    <col min="5643" max="5643" width="8.28515625" style="176" customWidth="1"/>
    <col min="5644" max="5645" width="10.42578125" style="176" bestFit="1" customWidth="1"/>
    <col min="5646" max="5646" width="13.140625" style="176" bestFit="1" customWidth="1"/>
    <col min="5647" max="5888" width="9.140625" style="176"/>
    <col min="5889" max="5889" width="9.140625" style="176" customWidth="1"/>
    <col min="5890" max="5890" width="25.85546875" style="176" customWidth="1"/>
    <col min="5891" max="5891" width="5.7109375" style="176" bestFit="1" customWidth="1"/>
    <col min="5892" max="5892" width="7.140625" style="176" bestFit="1" customWidth="1"/>
    <col min="5893" max="5893" width="7.28515625" style="176" bestFit="1" customWidth="1"/>
    <col min="5894" max="5894" width="6.140625" style="176" bestFit="1" customWidth="1"/>
    <col min="5895" max="5897" width="7.28515625" style="176" bestFit="1" customWidth="1"/>
    <col min="5898" max="5898" width="8" style="176" bestFit="1" customWidth="1"/>
    <col min="5899" max="5899" width="8.28515625" style="176" customWidth="1"/>
    <col min="5900" max="5901" width="10.42578125" style="176" bestFit="1" customWidth="1"/>
    <col min="5902" max="5902" width="13.140625" style="176" bestFit="1" customWidth="1"/>
    <col min="5903" max="6144" width="9.140625" style="176"/>
    <col min="6145" max="6145" width="9.140625" style="176" customWidth="1"/>
    <col min="6146" max="6146" width="25.85546875" style="176" customWidth="1"/>
    <col min="6147" max="6147" width="5.7109375" style="176" bestFit="1" customWidth="1"/>
    <col min="6148" max="6148" width="7.140625" style="176" bestFit="1" customWidth="1"/>
    <col min="6149" max="6149" width="7.28515625" style="176" bestFit="1" customWidth="1"/>
    <col min="6150" max="6150" width="6.140625" style="176" bestFit="1" customWidth="1"/>
    <col min="6151" max="6153" width="7.28515625" style="176" bestFit="1" customWidth="1"/>
    <col min="6154" max="6154" width="8" style="176" bestFit="1" customWidth="1"/>
    <col min="6155" max="6155" width="8.28515625" style="176" customWidth="1"/>
    <col min="6156" max="6157" width="10.42578125" style="176" bestFit="1" customWidth="1"/>
    <col min="6158" max="6158" width="13.140625" style="176" bestFit="1" customWidth="1"/>
    <col min="6159" max="6400" width="9.140625" style="176"/>
    <col min="6401" max="6401" width="9.140625" style="176" customWidth="1"/>
    <col min="6402" max="6402" width="25.85546875" style="176" customWidth="1"/>
    <col min="6403" max="6403" width="5.7109375" style="176" bestFit="1" customWidth="1"/>
    <col min="6404" max="6404" width="7.140625" style="176" bestFit="1" customWidth="1"/>
    <col min="6405" max="6405" width="7.28515625" style="176" bestFit="1" customWidth="1"/>
    <col min="6406" max="6406" width="6.140625" style="176" bestFit="1" customWidth="1"/>
    <col min="6407" max="6409" width="7.28515625" style="176" bestFit="1" customWidth="1"/>
    <col min="6410" max="6410" width="8" style="176" bestFit="1" customWidth="1"/>
    <col min="6411" max="6411" width="8.28515625" style="176" customWidth="1"/>
    <col min="6412" max="6413" width="10.42578125" style="176" bestFit="1" customWidth="1"/>
    <col min="6414" max="6414" width="13.140625" style="176" bestFit="1" customWidth="1"/>
    <col min="6415" max="6656" width="9.140625" style="176"/>
    <col min="6657" max="6657" width="9.140625" style="176" customWidth="1"/>
    <col min="6658" max="6658" width="25.85546875" style="176" customWidth="1"/>
    <col min="6659" max="6659" width="5.7109375" style="176" bestFit="1" customWidth="1"/>
    <col min="6660" max="6660" width="7.140625" style="176" bestFit="1" customWidth="1"/>
    <col min="6661" max="6661" width="7.28515625" style="176" bestFit="1" customWidth="1"/>
    <col min="6662" max="6662" width="6.140625" style="176" bestFit="1" customWidth="1"/>
    <col min="6663" max="6665" width="7.28515625" style="176" bestFit="1" customWidth="1"/>
    <col min="6666" max="6666" width="8" style="176" bestFit="1" customWidth="1"/>
    <col min="6667" max="6667" width="8.28515625" style="176" customWidth="1"/>
    <col min="6668" max="6669" width="10.42578125" style="176" bestFit="1" customWidth="1"/>
    <col min="6670" max="6670" width="13.140625" style="176" bestFit="1" customWidth="1"/>
    <col min="6671" max="6912" width="9.140625" style="176"/>
    <col min="6913" max="6913" width="9.140625" style="176" customWidth="1"/>
    <col min="6914" max="6914" width="25.85546875" style="176" customWidth="1"/>
    <col min="6915" max="6915" width="5.7109375" style="176" bestFit="1" customWidth="1"/>
    <col min="6916" max="6916" width="7.140625" style="176" bestFit="1" customWidth="1"/>
    <col min="6917" max="6917" width="7.28515625" style="176" bestFit="1" customWidth="1"/>
    <col min="6918" max="6918" width="6.140625" style="176" bestFit="1" customWidth="1"/>
    <col min="6919" max="6921" width="7.28515625" style="176" bestFit="1" customWidth="1"/>
    <col min="6922" max="6922" width="8" style="176" bestFit="1" customWidth="1"/>
    <col min="6923" max="6923" width="8.28515625" style="176" customWidth="1"/>
    <col min="6924" max="6925" width="10.42578125" style="176" bestFit="1" customWidth="1"/>
    <col min="6926" max="6926" width="13.140625" style="176" bestFit="1" customWidth="1"/>
    <col min="6927" max="7168" width="9.140625" style="176"/>
    <col min="7169" max="7169" width="9.140625" style="176" customWidth="1"/>
    <col min="7170" max="7170" width="25.85546875" style="176" customWidth="1"/>
    <col min="7171" max="7171" width="5.7109375" style="176" bestFit="1" customWidth="1"/>
    <col min="7172" max="7172" width="7.140625" style="176" bestFit="1" customWidth="1"/>
    <col min="7173" max="7173" width="7.28515625" style="176" bestFit="1" customWidth="1"/>
    <col min="7174" max="7174" width="6.140625" style="176" bestFit="1" customWidth="1"/>
    <col min="7175" max="7177" width="7.28515625" style="176" bestFit="1" customWidth="1"/>
    <col min="7178" max="7178" width="8" style="176" bestFit="1" customWidth="1"/>
    <col min="7179" max="7179" width="8.28515625" style="176" customWidth="1"/>
    <col min="7180" max="7181" width="10.42578125" style="176" bestFit="1" customWidth="1"/>
    <col min="7182" max="7182" width="13.140625" style="176" bestFit="1" customWidth="1"/>
    <col min="7183" max="7424" width="9.140625" style="176"/>
    <col min="7425" max="7425" width="9.140625" style="176" customWidth="1"/>
    <col min="7426" max="7426" width="25.85546875" style="176" customWidth="1"/>
    <col min="7427" max="7427" width="5.7109375" style="176" bestFit="1" customWidth="1"/>
    <col min="7428" max="7428" width="7.140625" style="176" bestFit="1" customWidth="1"/>
    <col min="7429" max="7429" width="7.28515625" style="176" bestFit="1" customWidth="1"/>
    <col min="7430" max="7430" width="6.140625" style="176" bestFit="1" customWidth="1"/>
    <col min="7431" max="7433" width="7.28515625" style="176" bestFit="1" customWidth="1"/>
    <col min="7434" max="7434" width="8" style="176" bestFit="1" customWidth="1"/>
    <col min="7435" max="7435" width="8.28515625" style="176" customWidth="1"/>
    <col min="7436" max="7437" width="10.42578125" style="176" bestFit="1" customWidth="1"/>
    <col min="7438" max="7438" width="13.140625" style="176" bestFit="1" customWidth="1"/>
    <col min="7439" max="7680" width="9.140625" style="176"/>
    <col min="7681" max="7681" width="9.140625" style="176" customWidth="1"/>
    <col min="7682" max="7682" width="25.85546875" style="176" customWidth="1"/>
    <col min="7683" max="7683" width="5.7109375" style="176" bestFit="1" customWidth="1"/>
    <col min="7684" max="7684" width="7.140625" style="176" bestFit="1" customWidth="1"/>
    <col min="7685" max="7685" width="7.28515625" style="176" bestFit="1" customWidth="1"/>
    <col min="7686" max="7686" width="6.140625" style="176" bestFit="1" customWidth="1"/>
    <col min="7687" max="7689" width="7.28515625" style="176" bestFit="1" customWidth="1"/>
    <col min="7690" max="7690" width="8" style="176" bestFit="1" customWidth="1"/>
    <col min="7691" max="7691" width="8.28515625" style="176" customWidth="1"/>
    <col min="7692" max="7693" width="10.42578125" style="176" bestFit="1" customWidth="1"/>
    <col min="7694" max="7694" width="13.140625" style="176" bestFit="1" customWidth="1"/>
    <col min="7695" max="7936" width="9.140625" style="176"/>
    <col min="7937" max="7937" width="9.140625" style="176" customWidth="1"/>
    <col min="7938" max="7938" width="25.85546875" style="176" customWidth="1"/>
    <col min="7939" max="7939" width="5.7109375" style="176" bestFit="1" customWidth="1"/>
    <col min="7940" max="7940" width="7.140625" style="176" bestFit="1" customWidth="1"/>
    <col min="7941" max="7941" width="7.28515625" style="176" bestFit="1" customWidth="1"/>
    <col min="7942" max="7942" width="6.140625" style="176" bestFit="1" customWidth="1"/>
    <col min="7943" max="7945" width="7.28515625" style="176" bestFit="1" customWidth="1"/>
    <col min="7946" max="7946" width="8" style="176" bestFit="1" customWidth="1"/>
    <col min="7947" max="7947" width="8.28515625" style="176" customWidth="1"/>
    <col min="7948" max="7949" width="10.42578125" style="176" bestFit="1" customWidth="1"/>
    <col min="7950" max="7950" width="13.140625" style="176" bestFit="1" customWidth="1"/>
    <col min="7951" max="8192" width="9.140625" style="176"/>
    <col min="8193" max="8193" width="9.140625" style="176" customWidth="1"/>
    <col min="8194" max="8194" width="25.85546875" style="176" customWidth="1"/>
    <col min="8195" max="8195" width="5.7109375" style="176" bestFit="1" customWidth="1"/>
    <col min="8196" max="8196" width="7.140625" style="176" bestFit="1" customWidth="1"/>
    <col min="8197" max="8197" width="7.28515625" style="176" bestFit="1" customWidth="1"/>
    <col min="8198" max="8198" width="6.140625" style="176" bestFit="1" customWidth="1"/>
    <col min="8199" max="8201" width="7.28515625" style="176" bestFit="1" customWidth="1"/>
    <col min="8202" max="8202" width="8" style="176" bestFit="1" customWidth="1"/>
    <col min="8203" max="8203" width="8.28515625" style="176" customWidth="1"/>
    <col min="8204" max="8205" width="10.42578125" style="176" bestFit="1" customWidth="1"/>
    <col min="8206" max="8206" width="13.140625" style="176" bestFit="1" customWidth="1"/>
    <col min="8207" max="8448" width="9.140625" style="176"/>
    <col min="8449" max="8449" width="9.140625" style="176" customWidth="1"/>
    <col min="8450" max="8450" width="25.85546875" style="176" customWidth="1"/>
    <col min="8451" max="8451" width="5.7109375" style="176" bestFit="1" customWidth="1"/>
    <col min="8452" max="8452" width="7.140625" style="176" bestFit="1" customWidth="1"/>
    <col min="8453" max="8453" width="7.28515625" style="176" bestFit="1" customWidth="1"/>
    <col min="8454" max="8454" width="6.140625" style="176" bestFit="1" customWidth="1"/>
    <col min="8455" max="8457" width="7.28515625" style="176" bestFit="1" customWidth="1"/>
    <col min="8458" max="8458" width="8" style="176" bestFit="1" customWidth="1"/>
    <col min="8459" max="8459" width="8.28515625" style="176" customWidth="1"/>
    <col min="8460" max="8461" width="10.42578125" style="176" bestFit="1" customWidth="1"/>
    <col min="8462" max="8462" width="13.140625" style="176" bestFit="1" customWidth="1"/>
    <col min="8463" max="8704" width="9.140625" style="176"/>
    <col min="8705" max="8705" width="9.140625" style="176" customWidth="1"/>
    <col min="8706" max="8706" width="25.85546875" style="176" customWidth="1"/>
    <col min="8707" max="8707" width="5.7109375" style="176" bestFit="1" customWidth="1"/>
    <col min="8708" max="8708" width="7.140625" style="176" bestFit="1" customWidth="1"/>
    <col min="8709" max="8709" width="7.28515625" style="176" bestFit="1" customWidth="1"/>
    <col min="8710" max="8710" width="6.140625" style="176" bestFit="1" customWidth="1"/>
    <col min="8711" max="8713" width="7.28515625" style="176" bestFit="1" customWidth="1"/>
    <col min="8714" max="8714" width="8" style="176" bestFit="1" customWidth="1"/>
    <col min="8715" max="8715" width="8.28515625" style="176" customWidth="1"/>
    <col min="8716" max="8717" width="10.42578125" style="176" bestFit="1" customWidth="1"/>
    <col min="8718" max="8718" width="13.140625" style="176" bestFit="1" customWidth="1"/>
    <col min="8719" max="8960" width="9.140625" style="176"/>
    <col min="8961" max="8961" width="9.140625" style="176" customWidth="1"/>
    <col min="8962" max="8962" width="25.85546875" style="176" customWidth="1"/>
    <col min="8963" max="8963" width="5.7109375" style="176" bestFit="1" customWidth="1"/>
    <col min="8964" max="8964" width="7.140625" style="176" bestFit="1" customWidth="1"/>
    <col min="8965" max="8965" width="7.28515625" style="176" bestFit="1" customWidth="1"/>
    <col min="8966" max="8966" width="6.140625" style="176" bestFit="1" customWidth="1"/>
    <col min="8967" max="8969" width="7.28515625" style="176" bestFit="1" customWidth="1"/>
    <col min="8970" max="8970" width="8" style="176" bestFit="1" customWidth="1"/>
    <col min="8971" max="8971" width="8.28515625" style="176" customWidth="1"/>
    <col min="8972" max="8973" width="10.42578125" style="176" bestFit="1" customWidth="1"/>
    <col min="8974" max="8974" width="13.140625" style="176" bestFit="1" customWidth="1"/>
    <col min="8975" max="9216" width="9.140625" style="176"/>
    <col min="9217" max="9217" width="9.140625" style="176" customWidth="1"/>
    <col min="9218" max="9218" width="25.85546875" style="176" customWidth="1"/>
    <col min="9219" max="9219" width="5.7109375" style="176" bestFit="1" customWidth="1"/>
    <col min="9220" max="9220" width="7.140625" style="176" bestFit="1" customWidth="1"/>
    <col min="9221" max="9221" width="7.28515625" style="176" bestFit="1" customWidth="1"/>
    <col min="9222" max="9222" width="6.140625" style="176" bestFit="1" customWidth="1"/>
    <col min="9223" max="9225" width="7.28515625" style="176" bestFit="1" customWidth="1"/>
    <col min="9226" max="9226" width="8" style="176" bestFit="1" customWidth="1"/>
    <col min="9227" max="9227" width="8.28515625" style="176" customWidth="1"/>
    <col min="9228" max="9229" width="10.42578125" style="176" bestFit="1" customWidth="1"/>
    <col min="9230" max="9230" width="13.140625" style="176" bestFit="1" customWidth="1"/>
    <col min="9231" max="9472" width="9.140625" style="176"/>
    <col min="9473" max="9473" width="9.140625" style="176" customWidth="1"/>
    <col min="9474" max="9474" width="25.85546875" style="176" customWidth="1"/>
    <col min="9475" max="9475" width="5.7109375" style="176" bestFit="1" customWidth="1"/>
    <col min="9476" max="9476" width="7.140625" style="176" bestFit="1" customWidth="1"/>
    <col min="9477" max="9477" width="7.28515625" style="176" bestFit="1" customWidth="1"/>
    <col min="9478" max="9478" width="6.140625" style="176" bestFit="1" customWidth="1"/>
    <col min="9479" max="9481" width="7.28515625" style="176" bestFit="1" customWidth="1"/>
    <col min="9482" max="9482" width="8" style="176" bestFit="1" customWidth="1"/>
    <col min="9483" max="9483" width="8.28515625" style="176" customWidth="1"/>
    <col min="9484" max="9485" width="10.42578125" style="176" bestFit="1" customWidth="1"/>
    <col min="9486" max="9486" width="13.140625" style="176" bestFit="1" customWidth="1"/>
    <col min="9487" max="9728" width="9.140625" style="176"/>
    <col min="9729" max="9729" width="9.140625" style="176" customWidth="1"/>
    <col min="9730" max="9730" width="25.85546875" style="176" customWidth="1"/>
    <col min="9731" max="9731" width="5.7109375" style="176" bestFit="1" customWidth="1"/>
    <col min="9732" max="9732" width="7.140625" style="176" bestFit="1" customWidth="1"/>
    <col min="9733" max="9733" width="7.28515625" style="176" bestFit="1" customWidth="1"/>
    <col min="9734" max="9734" width="6.140625" style="176" bestFit="1" customWidth="1"/>
    <col min="9735" max="9737" width="7.28515625" style="176" bestFit="1" customWidth="1"/>
    <col min="9738" max="9738" width="8" style="176" bestFit="1" customWidth="1"/>
    <col min="9739" max="9739" width="8.28515625" style="176" customWidth="1"/>
    <col min="9740" max="9741" width="10.42578125" style="176" bestFit="1" customWidth="1"/>
    <col min="9742" max="9742" width="13.140625" style="176" bestFit="1" customWidth="1"/>
    <col min="9743" max="9984" width="9.140625" style="176"/>
    <col min="9985" max="9985" width="9.140625" style="176" customWidth="1"/>
    <col min="9986" max="9986" width="25.85546875" style="176" customWidth="1"/>
    <col min="9987" max="9987" width="5.7109375" style="176" bestFit="1" customWidth="1"/>
    <col min="9988" max="9988" width="7.140625" style="176" bestFit="1" customWidth="1"/>
    <col min="9989" max="9989" width="7.28515625" style="176" bestFit="1" customWidth="1"/>
    <col min="9990" max="9990" width="6.140625" style="176" bestFit="1" customWidth="1"/>
    <col min="9991" max="9993" width="7.28515625" style="176" bestFit="1" customWidth="1"/>
    <col min="9994" max="9994" width="8" style="176" bestFit="1" customWidth="1"/>
    <col min="9995" max="9995" width="8.28515625" style="176" customWidth="1"/>
    <col min="9996" max="9997" width="10.42578125" style="176" bestFit="1" customWidth="1"/>
    <col min="9998" max="9998" width="13.140625" style="176" bestFit="1" customWidth="1"/>
    <col min="9999" max="10240" width="9.140625" style="176"/>
    <col min="10241" max="10241" width="9.140625" style="176" customWidth="1"/>
    <col min="10242" max="10242" width="25.85546875" style="176" customWidth="1"/>
    <col min="10243" max="10243" width="5.7109375" style="176" bestFit="1" customWidth="1"/>
    <col min="10244" max="10244" width="7.140625" style="176" bestFit="1" customWidth="1"/>
    <col min="10245" max="10245" width="7.28515625" style="176" bestFit="1" customWidth="1"/>
    <col min="10246" max="10246" width="6.140625" style="176" bestFit="1" customWidth="1"/>
    <col min="10247" max="10249" width="7.28515625" style="176" bestFit="1" customWidth="1"/>
    <col min="10250" max="10250" width="8" style="176" bestFit="1" customWidth="1"/>
    <col min="10251" max="10251" width="8.28515625" style="176" customWidth="1"/>
    <col min="10252" max="10253" width="10.42578125" style="176" bestFit="1" customWidth="1"/>
    <col min="10254" max="10254" width="13.140625" style="176" bestFit="1" customWidth="1"/>
    <col min="10255" max="10496" width="9.140625" style="176"/>
    <col min="10497" max="10497" width="9.140625" style="176" customWidth="1"/>
    <col min="10498" max="10498" width="25.85546875" style="176" customWidth="1"/>
    <col min="10499" max="10499" width="5.7109375" style="176" bestFit="1" customWidth="1"/>
    <col min="10500" max="10500" width="7.140625" style="176" bestFit="1" customWidth="1"/>
    <col min="10501" max="10501" width="7.28515625" style="176" bestFit="1" customWidth="1"/>
    <col min="10502" max="10502" width="6.140625" style="176" bestFit="1" customWidth="1"/>
    <col min="10503" max="10505" width="7.28515625" style="176" bestFit="1" customWidth="1"/>
    <col min="10506" max="10506" width="8" style="176" bestFit="1" customWidth="1"/>
    <col min="10507" max="10507" width="8.28515625" style="176" customWidth="1"/>
    <col min="10508" max="10509" width="10.42578125" style="176" bestFit="1" customWidth="1"/>
    <col min="10510" max="10510" width="13.140625" style="176" bestFit="1" customWidth="1"/>
    <col min="10511" max="10752" width="9.140625" style="176"/>
    <col min="10753" max="10753" width="9.140625" style="176" customWidth="1"/>
    <col min="10754" max="10754" width="25.85546875" style="176" customWidth="1"/>
    <col min="10755" max="10755" width="5.7109375" style="176" bestFit="1" customWidth="1"/>
    <col min="10756" max="10756" width="7.140625" style="176" bestFit="1" customWidth="1"/>
    <col min="10757" max="10757" width="7.28515625" style="176" bestFit="1" customWidth="1"/>
    <col min="10758" max="10758" width="6.140625" style="176" bestFit="1" customWidth="1"/>
    <col min="10759" max="10761" width="7.28515625" style="176" bestFit="1" customWidth="1"/>
    <col min="10762" max="10762" width="8" style="176" bestFit="1" customWidth="1"/>
    <col min="10763" max="10763" width="8.28515625" style="176" customWidth="1"/>
    <col min="10764" max="10765" width="10.42578125" style="176" bestFit="1" customWidth="1"/>
    <col min="10766" max="10766" width="13.140625" style="176" bestFit="1" customWidth="1"/>
    <col min="10767" max="11008" width="9.140625" style="176"/>
    <col min="11009" max="11009" width="9.140625" style="176" customWidth="1"/>
    <col min="11010" max="11010" width="25.85546875" style="176" customWidth="1"/>
    <col min="11011" max="11011" width="5.7109375" style="176" bestFit="1" customWidth="1"/>
    <col min="11012" max="11012" width="7.140625" style="176" bestFit="1" customWidth="1"/>
    <col min="11013" max="11013" width="7.28515625" style="176" bestFit="1" customWidth="1"/>
    <col min="11014" max="11014" width="6.140625" style="176" bestFit="1" customWidth="1"/>
    <col min="11015" max="11017" width="7.28515625" style="176" bestFit="1" customWidth="1"/>
    <col min="11018" max="11018" width="8" style="176" bestFit="1" customWidth="1"/>
    <col min="11019" max="11019" width="8.28515625" style="176" customWidth="1"/>
    <col min="11020" max="11021" width="10.42578125" style="176" bestFit="1" customWidth="1"/>
    <col min="11022" max="11022" width="13.140625" style="176" bestFit="1" customWidth="1"/>
    <col min="11023" max="11264" width="9.140625" style="176"/>
    <col min="11265" max="11265" width="9.140625" style="176" customWidth="1"/>
    <col min="11266" max="11266" width="25.85546875" style="176" customWidth="1"/>
    <col min="11267" max="11267" width="5.7109375" style="176" bestFit="1" customWidth="1"/>
    <col min="11268" max="11268" width="7.140625" style="176" bestFit="1" customWidth="1"/>
    <col min="11269" max="11269" width="7.28515625" style="176" bestFit="1" customWidth="1"/>
    <col min="11270" max="11270" width="6.140625" style="176" bestFit="1" customWidth="1"/>
    <col min="11271" max="11273" width="7.28515625" style="176" bestFit="1" customWidth="1"/>
    <col min="11274" max="11274" width="8" style="176" bestFit="1" customWidth="1"/>
    <col min="11275" max="11275" width="8.28515625" style="176" customWidth="1"/>
    <col min="11276" max="11277" width="10.42578125" style="176" bestFit="1" customWidth="1"/>
    <col min="11278" max="11278" width="13.140625" style="176" bestFit="1" customWidth="1"/>
    <col min="11279" max="11520" width="9.140625" style="176"/>
    <col min="11521" max="11521" width="9.140625" style="176" customWidth="1"/>
    <col min="11522" max="11522" width="25.85546875" style="176" customWidth="1"/>
    <col min="11523" max="11523" width="5.7109375" style="176" bestFit="1" customWidth="1"/>
    <col min="11524" max="11524" width="7.140625" style="176" bestFit="1" customWidth="1"/>
    <col min="11525" max="11525" width="7.28515625" style="176" bestFit="1" customWidth="1"/>
    <col min="11526" max="11526" width="6.140625" style="176" bestFit="1" customWidth="1"/>
    <col min="11527" max="11529" width="7.28515625" style="176" bestFit="1" customWidth="1"/>
    <col min="11530" max="11530" width="8" style="176" bestFit="1" customWidth="1"/>
    <col min="11531" max="11531" width="8.28515625" style="176" customWidth="1"/>
    <col min="11532" max="11533" width="10.42578125" style="176" bestFit="1" customWidth="1"/>
    <col min="11534" max="11534" width="13.140625" style="176" bestFit="1" customWidth="1"/>
    <col min="11535" max="11776" width="9.140625" style="176"/>
    <col min="11777" max="11777" width="9.140625" style="176" customWidth="1"/>
    <col min="11778" max="11778" width="25.85546875" style="176" customWidth="1"/>
    <col min="11779" max="11779" width="5.7109375" style="176" bestFit="1" customWidth="1"/>
    <col min="11780" max="11780" width="7.140625" style="176" bestFit="1" customWidth="1"/>
    <col min="11781" max="11781" width="7.28515625" style="176" bestFit="1" customWidth="1"/>
    <col min="11782" max="11782" width="6.140625" style="176" bestFit="1" customWidth="1"/>
    <col min="11783" max="11785" width="7.28515625" style="176" bestFit="1" customWidth="1"/>
    <col min="11786" max="11786" width="8" style="176" bestFit="1" customWidth="1"/>
    <col min="11787" max="11787" width="8.28515625" style="176" customWidth="1"/>
    <col min="11788" max="11789" width="10.42578125" style="176" bestFit="1" customWidth="1"/>
    <col min="11790" max="11790" width="13.140625" style="176" bestFit="1" customWidth="1"/>
    <col min="11791" max="12032" width="9.140625" style="176"/>
    <col min="12033" max="12033" width="9.140625" style="176" customWidth="1"/>
    <col min="12034" max="12034" width="25.85546875" style="176" customWidth="1"/>
    <col min="12035" max="12035" width="5.7109375" style="176" bestFit="1" customWidth="1"/>
    <col min="12036" max="12036" width="7.140625" style="176" bestFit="1" customWidth="1"/>
    <col min="12037" max="12037" width="7.28515625" style="176" bestFit="1" customWidth="1"/>
    <col min="12038" max="12038" width="6.140625" style="176" bestFit="1" customWidth="1"/>
    <col min="12039" max="12041" width="7.28515625" style="176" bestFit="1" customWidth="1"/>
    <col min="12042" max="12042" width="8" style="176" bestFit="1" customWidth="1"/>
    <col min="12043" max="12043" width="8.28515625" style="176" customWidth="1"/>
    <col min="12044" max="12045" width="10.42578125" style="176" bestFit="1" customWidth="1"/>
    <col min="12046" max="12046" width="13.140625" style="176" bestFit="1" customWidth="1"/>
    <col min="12047" max="12288" width="9.140625" style="176"/>
    <col min="12289" max="12289" width="9.140625" style="176" customWidth="1"/>
    <col min="12290" max="12290" width="25.85546875" style="176" customWidth="1"/>
    <col min="12291" max="12291" width="5.7109375" style="176" bestFit="1" customWidth="1"/>
    <col min="12292" max="12292" width="7.140625" style="176" bestFit="1" customWidth="1"/>
    <col min="12293" max="12293" width="7.28515625" style="176" bestFit="1" customWidth="1"/>
    <col min="12294" max="12294" width="6.140625" style="176" bestFit="1" customWidth="1"/>
    <col min="12295" max="12297" width="7.28515625" style="176" bestFit="1" customWidth="1"/>
    <col min="12298" max="12298" width="8" style="176" bestFit="1" customWidth="1"/>
    <col min="12299" max="12299" width="8.28515625" style="176" customWidth="1"/>
    <col min="12300" max="12301" width="10.42578125" style="176" bestFit="1" customWidth="1"/>
    <col min="12302" max="12302" width="13.140625" style="176" bestFit="1" customWidth="1"/>
    <col min="12303" max="12544" width="9.140625" style="176"/>
    <col min="12545" max="12545" width="9.140625" style="176" customWidth="1"/>
    <col min="12546" max="12546" width="25.85546875" style="176" customWidth="1"/>
    <col min="12547" max="12547" width="5.7109375" style="176" bestFit="1" customWidth="1"/>
    <col min="12548" max="12548" width="7.140625" style="176" bestFit="1" customWidth="1"/>
    <col min="12549" max="12549" width="7.28515625" style="176" bestFit="1" customWidth="1"/>
    <col min="12550" max="12550" width="6.140625" style="176" bestFit="1" customWidth="1"/>
    <col min="12551" max="12553" width="7.28515625" style="176" bestFit="1" customWidth="1"/>
    <col min="12554" max="12554" width="8" style="176" bestFit="1" customWidth="1"/>
    <col min="12555" max="12555" width="8.28515625" style="176" customWidth="1"/>
    <col min="12556" max="12557" width="10.42578125" style="176" bestFit="1" customWidth="1"/>
    <col min="12558" max="12558" width="13.140625" style="176" bestFit="1" customWidth="1"/>
    <col min="12559" max="12800" width="9.140625" style="176"/>
    <col min="12801" max="12801" width="9.140625" style="176" customWidth="1"/>
    <col min="12802" max="12802" width="25.85546875" style="176" customWidth="1"/>
    <col min="12803" max="12803" width="5.7109375" style="176" bestFit="1" customWidth="1"/>
    <col min="12804" max="12804" width="7.140625" style="176" bestFit="1" customWidth="1"/>
    <col min="12805" max="12805" width="7.28515625" style="176" bestFit="1" customWidth="1"/>
    <col min="12806" max="12806" width="6.140625" style="176" bestFit="1" customWidth="1"/>
    <col min="12807" max="12809" width="7.28515625" style="176" bestFit="1" customWidth="1"/>
    <col min="12810" max="12810" width="8" style="176" bestFit="1" customWidth="1"/>
    <col min="12811" max="12811" width="8.28515625" style="176" customWidth="1"/>
    <col min="12812" max="12813" width="10.42578125" style="176" bestFit="1" customWidth="1"/>
    <col min="12814" max="12814" width="13.140625" style="176" bestFit="1" customWidth="1"/>
    <col min="12815" max="13056" width="9.140625" style="176"/>
    <col min="13057" max="13057" width="9.140625" style="176" customWidth="1"/>
    <col min="13058" max="13058" width="25.85546875" style="176" customWidth="1"/>
    <col min="13059" max="13059" width="5.7109375" style="176" bestFit="1" customWidth="1"/>
    <col min="13060" max="13060" width="7.140625" style="176" bestFit="1" customWidth="1"/>
    <col min="13061" max="13061" width="7.28515625" style="176" bestFit="1" customWidth="1"/>
    <col min="13062" max="13062" width="6.140625" style="176" bestFit="1" customWidth="1"/>
    <col min="13063" max="13065" width="7.28515625" style="176" bestFit="1" customWidth="1"/>
    <col min="13066" max="13066" width="8" style="176" bestFit="1" customWidth="1"/>
    <col min="13067" max="13067" width="8.28515625" style="176" customWidth="1"/>
    <col min="13068" max="13069" width="10.42578125" style="176" bestFit="1" customWidth="1"/>
    <col min="13070" max="13070" width="13.140625" style="176" bestFit="1" customWidth="1"/>
    <col min="13071" max="13312" width="9.140625" style="176"/>
    <col min="13313" max="13313" width="9.140625" style="176" customWidth="1"/>
    <col min="13314" max="13314" width="25.85546875" style="176" customWidth="1"/>
    <col min="13315" max="13315" width="5.7109375" style="176" bestFit="1" customWidth="1"/>
    <col min="13316" max="13316" width="7.140625" style="176" bestFit="1" customWidth="1"/>
    <col min="13317" max="13317" width="7.28515625" style="176" bestFit="1" customWidth="1"/>
    <col min="13318" max="13318" width="6.140625" style="176" bestFit="1" customWidth="1"/>
    <col min="13319" max="13321" width="7.28515625" style="176" bestFit="1" customWidth="1"/>
    <col min="13322" max="13322" width="8" style="176" bestFit="1" customWidth="1"/>
    <col min="13323" max="13323" width="8.28515625" style="176" customWidth="1"/>
    <col min="13324" max="13325" width="10.42578125" style="176" bestFit="1" customWidth="1"/>
    <col min="13326" max="13326" width="13.140625" style="176" bestFit="1" customWidth="1"/>
    <col min="13327" max="13568" width="9.140625" style="176"/>
    <col min="13569" max="13569" width="9.140625" style="176" customWidth="1"/>
    <col min="13570" max="13570" width="25.85546875" style="176" customWidth="1"/>
    <col min="13571" max="13571" width="5.7109375" style="176" bestFit="1" customWidth="1"/>
    <col min="13572" max="13572" width="7.140625" style="176" bestFit="1" customWidth="1"/>
    <col min="13573" max="13573" width="7.28515625" style="176" bestFit="1" customWidth="1"/>
    <col min="13574" max="13574" width="6.140625" style="176" bestFit="1" customWidth="1"/>
    <col min="13575" max="13577" width="7.28515625" style="176" bestFit="1" customWidth="1"/>
    <col min="13578" max="13578" width="8" style="176" bestFit="1" customWidth="1"/>
    <col min="13579" max="13579" width="8.28515625" style="176" customWidth="1"/>
    <col min="13580" max="13581" width="10.42578125" style="176" bestFit="1" customWidth="1"/>
    <col min="13582" max="13582" width="13.140625" style="176" bestFit="1" customWidth="1"/>
    <col min="13583" max="13824" width="9.140625" style="176"/>
    <col min="13825" max="13825" width="9.140625" style="176" customWidth="1"/>
    <col min="13826" max="13826" width="25.85546875" style="176" customWidth="1"/>
    <col min="13827" max="13827" width="5.7109375" style="176" bestFit="1" customWidth="1"/>
    <col min="13828" max="13828" width="7.140625" style="176" bestFit="1" customWidth="1"/>
    <col min="13829" max="13829" width="7.28515625" style="176" bestFit="1" customWidth="1"/>
    <col min="13830" max="13830" width="6.140625" style="176" bestFit="1" customWidth="1"/>
    <col min="13831" max="13833" width="7.28515625" style="176" bestFit="1" customWidth="1"/>
    <col min="13834" max="13834" width="8" style="176" bestFit="1" customWidth="1"/>
    <col min="13835" max="13835" width="8.28515625" style="176" customWidth="1"/>
    <col min="13836" max="13837" width="10.42578125" style="176" bestFit="1" customWidth="1"/>
    <col min="13838" max="13838" width="13.140625" style="176" bestFit="1" customWidth="1"/>
    <col min="13839" max="14080" width="9.140625" style="176"/>
    <col min="14081" max="14081" width="9.140625" style="176" customWidth="1"/>
    <col min="14082" max="14082" width="25.85546875" style="176" customWidth="1"/>
    <col min="14083" max="14083" width="5.7109375" style="176" bestFit="1" customWidth="1"/>
    <col min="14084" max="14084" width="7.140625" style="176" bestFit="1" customWidth="1"/>
    <col min="14085" max="14085" width="7.28515625" style="176" bestFit="1" customWidth="1"/>
    <col min="14086" max="14086" width="6.140625" style="176" bestFit="1" customWidth="1"/>
    <col min="14087" max="14089" width="7.28515625" style="176" bestFit="1" customWidth="1"/>
    <col min="14090" max="14090" width="8" style="176" bestFit="1" customWidth="1"/>
    <col min="14091" max="14091" width="8.28515625" style="176" customWidth="1"/>
    <col min="14092" max="14093" width="10.42578125" style="176" bestFit="1" customWidth="1"/>
    <col min="14094" max="14094" width="13.140625" style="176" bestFit="1" customWidth="1"/>
    <col min="14095" max="14336" width="9.140625" style="176"/>
    <col min="14337" max="14337" width="9.140625" style="176" customWidth="1"/>
    <col min="14338" max="14338" width="25.85546875" style="176" customWidth="1"/>
    <col min="14339" max="14339" width="5.7109375" style="176" bestFit="1" customWidth="1"/>
    <col min="14340" max="14340" width="7.140625" style="176" bestFit="1" customWidth="1"/>
    <col min="14341" max="14341" width="7.28515625" style="176" bestFit="1" customWidth="1"/>
    <col min="14342" max="14342" width="6.140625" style="176" bestFit="1" customWidth="1"/>
    <col min="14343" max="14345" width="7.28515625" style="176" bestFit="1" customWidth="1"/>
    <col min="14346" max="14346" width="8" style="176" bestFit="1" customWidth="1"/>
    <col min="14347" max="14347" width="8.28515625" style="176" customWidth="1"/>
    <col min="14348" max="14349" width="10.42578125" style="176" bestFit="1" customWidth="1"/>
    <col min="14350" max="14350" width="13.140625" style="176" bestFit="1" customWidth="1"/>
    <col min="14351" max="14592" width="9.140625" style="176"/>
    <col min="14593" max="14593" width="9.140625" style="176" customWidth="1"/>
    <col min="14594" max="14594" width="25.85546875" style="176" customWidth="1"/>
    <col min="14595" max="14595" width="5.7109375" style="176" bestFit="1" customWidth="1"/>
    <col min="14596" max="14596" width="7.140625" style="176" bestFit="1" customWidth="1"/>
    <col min="14597" max="14597" width="7.28515625" style="176" bestFit="1" customWidth="1"/>
    <col min="14598" max="14598" width="6.140625" style="176" bestFit="1" customWidth="1"/>
    <col min="14599" max="14601" width="7.28515625" style="176" bestFit="1" customWidth="1"/>
    <col min="14602" max="14602" width="8" style="176" bestFit="1" customWidth="1"/>
    <col min="14603" max="14603" width="8.28515625" style="176" customWidth="1"/>
    <col min="14604" max="14605" width="10.42578125" style="176" bestFit="1" customWidth="1"/>
    <col min="14606" max="14606" width="13.140625" style="176" bestFit="1" customWidth="1"/>
    <col min="14607" max="14848" width="9.140625" style="176"/>
    <col min="14849" max="14849" width="9.140625" style="176" customWidth="1"/>
    <col min="14850" max="14850" width="25.85546875" style="176" customWidth="1"/>
    <col min="14851" max="14851" width="5.7109375" style="176" bestFit="1" customWidth="1"/>
    <col min="14852" max="14852" width="7.140625" style="176" bestFit="1" customWidth="1"/>
    <col min="14853" max="14853" width="7.28515625" style="176" bestFit="1" customWidth="1"/>
    <col min="14854" max="14854" width="6.140625" style="176" bestFit="1" customWidth="1"/>
    <col min="14855" max="14857" width="7.28515625" style="176" bestFit="1" customWidth="1"/>
    <col min="14858" max="14858" width="8" style="176" bestFit="1" customWidth="1"/>
    <col min="14859" max="14859" width="8.28515625" style="176" customWidth="1"/>
    <col min="14860" max="14861" width="10.42578125" style="176" bestFit="1" customWidth="1"/>
    <col min="14862" max="14862" width="13.140625" style="176" bestFit="1" customWidth="1"/>
    <col min="14863" max="15104" width="9.140625" style="176"/>
    <col min="15105" max="15105" width="9.140625" style="176" customWidth="1"/>
    <col min="15106" max="15106" width="25.85546875" style="176" customWidth="1"/>
    <col min="15107" max="15107" width="5.7109375" style="176" bestFit="1" customWidth="1"/>
    <col min="15108" max="15108" width="7.140625" style="176" bestFit="1" customWidth="1"/>
    <col min="15109" max="15109" width="7.28515625" style="176" bestFit="1" customWidth="1"/>
    <col min="15110" max="15110" width="6.140625" style="176" bestFit="1" customWidth="1"/>
    <col min="15111" max="15113" width="7.28515625" style="176" bestFit="1" customWidth="1"/>
    <col min="15114" max="15114" width="8" style="176" bestFit="1" customWidth="1"/>
    <col min="15115" max="15115" width="8.28515625" style="176" customWidth="1"/>
    <col min="15116" max="15117" width="10.42578125" style="176" bestFit="1" customWidth="1"/>
    <col min="15118" max="15118" width="13.140625" style="176" bestFit="1" customWidth="1"/>
    <col min="15119" max="15360" width="9.140625" style="176"/>
    <col min="15361" max="15361" width="9.140625" style="176" customWidth="1"/>
    <col min="15362" max="15362" width="25.85546875" style="176" customWidth="1"/>
    <col min="15363" max="15363" width="5.7109375" style="176" bestFit="1" customWidth="1"/>
    <col min="15364" max="15364" width="7.140625" style="176" bestFit="1" customWidth="1"/>
    <col min="15365" max="15365" width="7.28515625" style="176" bestFit="1" customWidth="1"/>
    <col min="15366" max="15366" width="6.140625" style="176" bestFit="1" customWidth="1"/>
    <col min="15367" max="15369" width="7.28515625" style="176" bestFit="1" customWidth="1"/>
    <col min="15370" max="15370" width="8" style="176" bestFit="1" customWidth="1"/>
    <col min="15371" max="15371" width="8.28515625" style="176" customWidth="1"/>
    <col min="15372" max="15373" width="10.42578125" style="176" bestFit="1" customWidth="1"/>
    <col min="15374" max="15374" width="13.140625" style="176" bestFit="1" customWidth="1"/>
    <col min="15375" max="15616" width="9.140625" style="176"/>
    <col min="15617" max="15617" width="9.140625" style="176" customWidth="1"/>
    <col min="15618" max="15618" width="25.85546875" style="176" customWidth="1"/>
    <col min="15619" max="15619" width="5.7109375" style="176" bestFit="1" customWidth="1"/>
    <col min="15620" max="15620" width="7.140625" style="176" bestFit="1" customWidth="1"/>
    <col min="15621" max="15621" width="7.28515625" style="176" bestFit="1" customWidth="1"/>
    <col min="15622" max="15622" width="6.140625" style="176" bestFit="1" customWidth="1"/>
    <col min="15623" max="15625" width="7.28515625" style="176" bestFit="1" customWidth="1"/>
    <col min="15626" max="15626" width="8" style="176" bestFit="1" customWidth="1"/>
    <col min="15627" max="15627" width="8.28515625" style="176" customWidth="1"/>
    <col min="15628" max="15629" width="10.42578125" style="176" bestFit="1" customWidth="1"/>
    <col min="15630" max="15630" width="13.140625" style="176" bestFit="1" customWidth="1"/>
    <col min="15631" max="15872" width="9.140625" style="176"/>
    <col min="15873" max="15873" width="9.140625" style="176" customWidth="1"/>
    <col min="15874" max="15874" width="25.85546875" style="176" customWidth="1"/>
    <col min="15875" max="15875" width="5.7109375" style="176" bestFit="1" customWidth="1"/>
    <col min="15876" max="15876" width="7.140625" style="176" bestFit="1" customWidth="1"/>
    <col min="15877" max="15877" width="7.28515625" style="176" bestFit="1" customWidth="1"/>
    <col min="15878" max="15878" width="6.140625" style="176" bestFit="1" customWidth="1"/>
    <col min="15879" max="15881" width="7.28515625" style="176" bestFit="1" customWidth="1"/>
    <col min="15882" max="15882" width="8" style="176" bestFit="1" customWidth="1"/>
    <col min="15883" max="15883" width="8.28515625" style="176" customWidth="1"/>
    <col min="15884" max="15885" width="10.42578125" style="176" bestFit="1" customWidth="1"/>
    <col min="15886" max="15886" width="13.140625" style="176" bestFit="1" customWidth="1"/>
    <col min="15887" max="16128" width="9.140625" style="176"/>
    <col min="16129" max="16129" width="9.140625" style="176" customWidth="1"/>
    <col min="16130" max="16130" width="25.85546875" style="176" customWidth="1"/>
    <col min="16131" max="16131" width="5.7109375" style="176" bestFit="1" customWidth="1"/>
    <col min="16132" max="16132" width="7.140625" style="176" bestFit="1" customWidth="1"/>
    <col min="16133" max="16133" width="7.28515625" style="176" bestFit="1" customWidth="1"/>
    <col min="16134" max="16134" width="6.140625" style="176" bestFit="1" customWidth="1"/>
    <col min="16135" max="16137" width="7.28515625" style="176" bestFit="1" customWidth="1"/>
    <col min="16138" max="16138" width="8" style="176" bestFit="1" customWidth="1"/>
    <col min="16139" max="16139" width="8.28515625" style="176" customWidth="1"/>
    <col min="16140" max="16141" width="10.42578125" style="176" bestFit="1" customWidth="1"/>
    <col min="16142" max="16142" width="13.140625" style="176" bestFit="1" customWidth="1"/>
    <col min="16143" max="16384" width="9.140625" style="176"/>
  </cols>
  <sheetData>
    <row r="1" spans="1:14" s="183" customFormat="1" ht="15">
      <c r="A1" s="140"/>
      <c r="B1" s="140"/>
      <c r="C1" s="140"/>
      <c r="D1" s="39"/>
      <c r="E1" s="45"/>
      <c r="F1" s="40"/>
      <c r="G1" s="141"/>
      <c r="H1" s="141"/>
      <c r="I1" s="141"/>
      <c r="J1" s="429"/>
      <c r="K1" s="382"/>
      <c r="L1" s="383"/>
      <c r="M1" s="1"/>
      <c r="N1" s="1"/>
    </row>
    <row r="2" spans="1:14" s="183" customFormat="1">
      <c r="A2" s="706" t="s">
        <v>35</v>
      </c>
      <c r="B2" s="706"/>
      <c r="C2" s="706"/>
      <c r="D2" s="706"/>
      <c r="E2" s="706"/>
      <c r="F2" s="706"/>
      <c r="G2" s="706"/>
      <c r="H2" s="706"/>
      <c r="I2" s="706"/>
      <c r="J2" s="706"/>
      <c r="K2" s="706"/>
      <c r="L2" s="17"/>
      <c r="M2" s="17"/>
      <c r="N2" s="18"/>
    </row>
    <row r="3" spans="1:14" s="183" customFormat="1">
      <c r="A3" s="706" t="s">
        <v>36</v>
      </c>
      <c r="B3" s="706"/>
      <c r="C3" s="706"/>
      <c r="D3" s="706"/>
      <c r="E3" s="706"/>
      <c r="F3" s="706"/>
      <c r="G3" s="706"/>
      <c r="H3" s="706"/>
      <c r="I3" s="706"/>
      <c r="J3" s="706"/>
      <c r="K3" s="706"/>
      <c r="L3" s="17"/>
      <c r="M3" s="17"/>
      <c r="N3" s="18"/>
    </row>
    <row r="4" spans="1:14" s="183" customFormat="1">
      <c r="A4" s="706" t="s">
        <v>5924</v>
      </c>
      <c r="B4" s="706"/>
      <c r="C4" s="706"/>
      <c r="D4" s="706"/>
      <c r="E4" s="706"/>
      <c r="F4" s="706"/>
      <c r="G4" s="706"/>
      <c r="H4" s="706"/>
      <c r="I4" s="706"/>
      <c r="J4" s="706"/>
      <c r="K4" s="706"/>
      <c r="L4" s="17"/>
      <c r="M4" s="17"/>
      <c r="N4" s="18"/>
    </row>
    <row r="5" spans="1:14" s="183" customFormat="1" ht="15">
      <c r="A5" s="33"/>
      <c r="B5" s="33"/>
      <c r="C5" s="33"/>
      <c r="D5" s="34" t="s">
        <v>29</v>
      </c>
      <c r="E5" s="186"/>
      <c r="F5" s="424"/>
      <c r="G5" s="41"/>
      <c r="H5" s="41"/>
      <c r="I5" s="41"/>
      <c r="J5" s="428"/>
      <c r="K5" s="384"/>
      <c r="L5" s="17"/>
      <c r="M5" s="17"/>
      <c r="N5" s="18"/>
    </row>
    <row r="6" spans="1:14" s="183" customFormat="1" ht="15">
      <c r="A6" s="33"/>
      <c r="B6" s="33"/>
      <c r="C6" s="33"/>
      <c r="D6" s="34"/>
      <c r="E6" s="186"/>
      <c r="F6" s="42"/>
      <c r="G6" s="141"/>
      <c r="H6" s="141"/>
      <c r="I6" s="141"/>
      <c r="J6" s="429"/>
      <c r="K6" s="382"/>
      <c r="L6" s="383"/>
      <c r="M6" s="1"/>
      <c r="N6" s="1"/>
    </row>
    <row r="7" spans="1:14" s="183" customFormat="1" ht="15.75">
      <c r="A7" s="749" t="s">
        <v>9602</v>
      </c>
      <c r="B7" s="749"/>
      <c r="C7" s="749"/>
      <c r="D7" s="749"/>
      <c r="E7" s="749"/>
      <c r="F7" s="749"/>
      <c r="G7" s="749"/>
      <c r="H7" s="749"/>
      <c r="I7" s="749"/>
      <c r="J7" s="749"/>
      <c r="K7" s="749"/>
      <c r="L7" s="17"/>
      <c r="M7" s="17"/>
      <c r="N7" s="18"/>
    </row>
    <row r="8" spans="1:14" s="183" customFormat="1" ht="15">
      <c r="A8" s="33"/>
      <c r="B8" s="33"/>
      <c r="C8" s="33"/>
      <c r="D8" s="34"/>
      <c r="E8" s="186"/>
      <c r="F8" s="424"/>
      <c r="G8" s="41"/>
      <c r="H8" s="41"/>
      <c r="I8" s="41"/>
      <c r="J8" s="428"/>
      <c r="K8" s="384"/>
      <c r="L8" s="17"/>
      <c r="M8" s="17"/>
      <c r="N8" s="18"/>
    </row>
    <row r="9" spans="1:14" s="4" customFormat="1">
      <c r="A9" s="438" t="s">
        <v>5251</v>
      </c>
      <c r="B9" s="705" t="str">
        <f>'Orç - Canteiro e Adm'!B9:J9</f>
        <v>Construção do edifício UEP-FCE</v>
      </c>
      <c r="C9" s="705"/>
      <c r="D9" s="705"/>
      <c r="E9" s="705"/>
      <c r="F9" s="705"/>
      <c r="G9" s="705"/>
      <c r="H9" s="705"/>
      <c r="I9" s="705"/>
      <c r="J9" s="705"/>
      <c r="K9" s="384"/>
      <c r="L9" s="384"/>
      <c r="M9" s="1"/>
      <c r="N9" s="1"/>
    </row>
    <row r="10" spans="1:14" s="183" customFormat="1" ht="25.5">
      <c r="A10" s="438" t="s">
        <v>131</v>
      </c>
      <c r="B10" s="705" t="str">
        <f>'Orç - Canteiro e Adm'!B10:J10</f>
        <v>QNN 14, Área Especial, Campus UnB Ceilândia, RA IX</v>
      </c>
      <c r="C10" s="705"/>
      <c r="D10" s="705"/>
      <c r="E10" s="705"/>
      <c r="F10" s="705"/>
      <c r="G10" s="705"/>
      <c r="H10" s="705"/>
      <c r="I10" s="705"/>
      <c r="J10" s="705"/>
      <c r="K10" s="384"/>
      <c r="L10" s="384"/>
      <c r="M10" s="1"/>
      <c r="N10" s="1"/>
    </row>
    <row r="11" spans="1:14" s="183" customFormat="1">
      <c r="A11" s="438" t="s">
        <v>5252</v>
      </c>
      <c r="B11" s="705" t="str">
        <f>'Orç - Canteiro e Adm'!B11:J11</f>
        <v>Agosto de 2019</v>
      </c>
      <c r="C11" s="705"/>
      <c r="D11" s="705"/>
      <c r="E11" s="705"/>
      <c r="F11" s="705"/>
      <c r="G11" s="705"/>
      <c r="H11" s="705"/>
      <c r="I11" s="705"/>
      <c r="J11" s="705"/>
      <c r="K11" s="384"/>
      <c r="L11" s="384"/>
      <c r="M11" s="1"/>
      <c r="N11" s="1"/>
    </row>
    <row r="12" spans="1:14">
      <c r="A12" s="425"/>
      <c r="B12" s="746"/>
      <c r="C12" s="746"/>
      <c r="D12" s="746"/>
      <c r="E12" s="746"/>
      <c r="F12" s="746"/>
      <c r="G12" s="746"/>
      <c r="H12" s="746"/>
      <c r="I12" s="746"/>
      <c r="J12" s="746"/>
      <c r="K12" s="425"/>
    </row>
    <row r="13" spans="1:14">
      <c r="A13" s="226" t="str">
        <f>'Orç - Prédio'!A25</f>
        <v>01.06.002</v>
      </c>
      <c r="B13" s="748" t="str">
        <f>'Orç - Prédio'!D25</f>
        <v>Ensaio de abatimento de tronco de cone (1 a cada caminhão de 8m3 de concreto usinado)</v>
      </c>
      <c r="C13" s="748"/>
      <c r="D13" s="748"/>
      <c r="E13" s="748"/>
      <c r="F13" s="748"/>
      <c r="G13" s="748"/>
      <c r="H13" s="748"/>
      <c r="I13" s="748"/>
      <c r="J13" s="748"/>
      <c r="K13" s="227"/>
      <c r="L13" s="176" t="s">
        <v>8979</v>
      </c>
    </row>
    <row r="14" spans="1:14">
      <c r="A14" s="745"/>
      <c r="B14" s="745"/>
      <c r="C14" s="218"/>
      <c r="D14" s="218"/>
      <c r="E14" s="218"/>
      <c r="F14" s="218"/>
      <c r="G14" s="745"/>
      <c r="H14" s="745"/>
      <c r="I14" s="745"/>
      <c r="J14" s="745"/>
      <c r="K14" s="745"/>
    </row>
    <row r="15" spans="1:14">
      <c r="A15" s="745" t="s">
        <v>7880</v>
      </c>
      <c r="B15" s="745"/>
      <c r="C15" s="745"/>
      <c r="D15" s="745"/>
      <c r="E15" s="745"/>
      <c r="F15" s="745"/>
      <c r="G15" s="317"/>
      <c r="H15" s="317" t="s">
        <v>7870</v>
      </c>
      <c r="I15" s="317"/>
      <c r="J15" s="317" t="s">
        <v>8125</v>
      </c>
      <c r="K15" s="317"/>
    </row>
    <row r="16" spans="1:14">
      <c r="A16" s="745"/>
      <c r="B16" s="745"/>
      <c r="C16" s="745"/>
      <c r="D16" s="745"/>
      <c r="E16" s="745"/>
      <c r="F16" s="745"/>
      <c r="G16" s="317"/>
      <c r="H16" s="317" t="s">
        <v>7873</v>
      </c>
      <c r="I16" s="317"/>
      <c r="J16" s="317" t="s">
        <v>8692</v>
      </c>
      <c r="K16" s="317"/>
    </row>
    <row r="17" spans="1:12">
      <c r="A17" s="317"/>
      <c r="B17" s="219" t="s">
        <v>8693</v>
      </c>
      <c r="C17" s="222"/>
      <c r="D17" s="222"/>
      <c r="E17" s="225"/>
      <c r="F17" s="222"/>
      <c r="G17" s="221"/>
      <c r="H17" s="220">
        <v>200.54</v>
      </c>
      <c r="I17" s="220"/>
      <c r="J17" s="220">
        <f>ROUND(H17/8,0)</f>
        <v>25</v>
      </c>
      <c r="K17" s="220">
        <f>C17*H17</f>
        <v>0</v>
      </c>
    </row>
    <row r="18" spans="1:12">
      <c r="A18" s="317"/>
      <c r="B18" s="219" t="s">
        <v>8694</v>
      </c>
      <c r="C18" s="222"/>
      <c r="D18" s="222"/>
      <c r="E18" s="225"/>
      <c r="F18" s="222"/>
      <c r="G18" s="221"/>
      <c r="H18" s="220">
        <v>60</v>
      </c>
      <c r="I18" s="220"/>
      <c r="J18" s="220">
        <f>ROUND(H18/8,0)</f>
        <v>8</v>
      </c>
      <c r="K18" s="220">
        <f>C18*H18</f>
        <v>0</v>
      </c>
    </row>
    <row r="19" spans="1:12">
      <c r="A19" s="317"/>
      <c r="B19" s="219" t="s">
        <v>8696</v>
      </c>
      <c r="C19" s="222"/>
      <c r="D19" s="222"/>
      <c r="E19" s="225"/>
      <c r="F19" s="222"/>
      <c r="G19" s="221"/>
      <c r="H19" s="220">
        <v>73.400000000000006</v>
      </c>
      <c r="I19" s="220"/>
      <c r="J19" s="220">
        <f>ROUND(H19/8,0)</f>
        <v>9</v>
      </c>
      <c r="K19" s="220">
        <f>C19*H19</f>
        <v>0</v>
      </c>
    </row>
    <row r="20" spans="1:12">
      <c r="A20" s="317"/>
      <c r="B20" s="219" t="s">
        <v>8695</v>
      </c>
      <c r="C20" s="222"/>
      <c r="D20" s="222"/>
      <c r="E20" s="225"/>
      <c r="F20" s="222"/>
      <c r="G20" s="221"/>
      <c r="H20" s="220">
        <v>6.32</v>
      </c>
      <c r="I20" s="220"/>
      <c r="J20" s="220">
        <f>ROUND(H20/8,0)</f>
        <v>1</v>
      </c>
      <c r="K20" s="220">
        <f>C20*H20</f>
        <v>0</v>
      </c>
    </row>
    <row r="21" spans="1:12">
      <c r="A21" s="317"/>
      <c r="B21" s="219" t="s">
        <v>8697</v>
      </c>
      <c r="C21" s="222"/>
      <c r="D21" s="222"/>
      <c r="E21" s="225"/>
      <c r="F21" s="222"/>
      <c r="G21" s="221"/>
      <c r="H21" s="220">
        <v>9</v>
      </c>
      <c r="I21" s="220"/>
      <c r="J21" s="220">
        <f>ROUND(H21/8,0)</f>
        <v>1</v>
      </c>
      <c r="K21" s="220">
        <f>C21*H21</f>
        <v>0</v>
      </c>
    </row>
    <row r="22" spans="1:12">
      <c r="A22" s="228"/>
      <c r="B22" s="229"/>
      <c r="C22" s="229"/>
      <c r="D22" s="229"/>
      <c r="E22" s="229"/>
      <c r="F22" s="747" t="s">
        <v>7875</v>
      </c>
      <c r="G22" s="747"/>
      <c r="H22" s="747"/>
      <c r="I22" s="230"/>
      <c r="J22" s="230">
        <f>SUM(J17:J21)</f>
        <v>44</v>
      </c>
      <c r="K22" s="230"/>
    </row>
    <row r="23" spans="1:12">
      <c r="A23" s="317"/>
      <c r="B23" s="746"/>
      <c r="C23" s="746"/>
      <c r="D23" s="746"/>
      <c r="E23" s="746"/>
      <c r="F23" s="746"/>
      <c r="G23" s="746"/>
      <c r="H23" s="746"/>
      <c r="I23" s="746"/>
      <c r="J23" s="746"/>
      <c r="K23" s="317"/>
    </row>
    <row r="24" spans="1:12">
      <c r="A24" s="226" t="str">
        <f>'Orç - Prédio'!A34</f>
        <v>02.03.101</v>
      </c>
      <c r="B24" s="748" t="str">
        <f>'Orç - Prédio'!D34</f>
        <v>Locação convencional de obra, através de gabarito de tábuas corridas pontaletadas a cada 2,00m, 2 utilizações</v>
      </c>
      <c r="C24" s="748"/>
      <c r="D24" s="748"/>
      <c r="E24" s="748"/>
      <c r="F24" s="748"/>
      <c r="G24" s="748"/>
      <c r="H24" s="748"/>
      <c r="I24" s="748"/>
      <c r="J24" s="748"/>
      <c r="K24" s="227" t="str">
        <f>'Orç - Prédio'!F34</f>
        <v>m</v>
      </c>
      <c r="L24" s="176" t="s">
        <v>8979</v>
      </c>
    </row>
    <row r="25" spans="1:12">
      <c r="A25" s="745"/>
      <c r="B25" s="745"/>
      <c r="C25" s="218"/>
      <c r="D25" s="218"/>
      <c r="E25" s="218"/>
      <c r="F25" s="218"/>
      <c r="G25" s="745" t="s">
        <v>7863</v>
      </c>
      <c r="H25" s="745"/>
      <c r="I25" s="745" t="s">
        <v>7864</v>
      </c>
      <c r="J25" s="745"/>
      <c r="K25" s="745"/>
    </row>
    <row r="26" spans="1:12" ht="22.5">
      <c r="A26" s="745" t="s">
        <v>7880</v>
      </c>
      <c r="B26" s="745"/>
      <c r="C26" s="745" t="s">
        <v>7865</v>
      </c>
      <c r="D26" s="745" t="s">
        <v>7866</v>
      </c>
      <c r="E26" s="745" t="s">
        <v>7867</v>
      </c>
      <c r="F26" s="745" t="s">
        <v>7868</v>
      </c>
      <c r="G26" s="223" t="s">
        <v>7869</v>
      </c>
      <c r="H26" s="223" t="s">
        <v>7870</v>
      </c>
      <c r="I26" s="223" t="s">
        <v>7871</v>
      </c>
      <c r="J26" s="223" t="s">
        <v>7869</v>
      </c>
      <c r="K26" s="223" t="s">
        <v>7870</v>
      </c>
    </row>
    <row r="27" spans="1:12">
      <c r="A27" s="745"/>
      <c r="B27" s="745"/>
      <c r="C27" s="745"/>
      <c r="D27" s="745"/>
      <c r="E27" s="745"/>
      <c r="F27" s="745"/>
      <c r="G27" s="223" t="s">
        <v>7872</v>
      </c>
      <c r="H27" s="223" t="s">
        <v>7873</v>
      </c>
      <c r="I27" s="223" t="s">
        <v>7874</v>
      </c>
      <c r="J27" s="223" t="s">
        <v>7872</v>
      </c>
      <c r="K27" s="223" t="s">
        <v>7873</v>
      </c>
    </row>
    <row r="28" spans="1:12" ht="22.5">
      <c r="A28" s="223"/>
      <c r="B28" s="219" t="s">
        <v>15367</v>
      </c>
      <c r="C28" s="222">
        <v>1</v>
      </c>
      <c r="D28" s="222">
        <v>201.6</v>
      </c>
      <c r="E28" s="225"/>
      <c r="F28" s="222"/>
      <c r="G28" s="221"/>
      <c r="H28" s="220"/>
      <c r="I28" s="220">
        <f>D28*C28</f>
        <v>201.6</v>
      </c>
      <c r="J28" s="220">
        <f>C28*G28</f>
        <v>0</v>
      </c>
      <c r="K28" s="220">
        <f>C28*H28</f>
        <v>0</v>
      </c>
    </row>
    <row r="29" spans="1:12">
      <c r="A29" s="228"/>
      <c r="B29" s="229"/>
      <c r="C29" s="229"/>
      <c r="D29" s="229"/>
      <c r="E29" s="229"/>
      <c r="F29" s="747" t="s">
        <v>7875</v>
      </c>
      <c r="G29" s="747"/>
      <c r="H29" s="747"/>
      <c r="I29" s="230">
        <f>ROUND(SUM(I28:I28),2)</f>
        <v>201.6</v>
      </c>
      <c r="J29" s="230">
        <f>ROUND(SUM(J28:J28),2)</f>
        <v>0</v>
      </c>
      <c r="K29" s="230">
        <f>ROUND(SUM(K28:K28),2)</f>
        <v>0</v>
      </c>
    </row>
    <row r="30" spans="1:12">
      <c r="A30" s="223"/>
      <c r="B30" s="746"/>
      <c r="C30" s="746"/>
      <c r="D30" s="746"/>
      <c r="E30" s="746"/>
      <c r="F30" s="746"/>
      <c r="G30" s="746"/>
      <c r="H30" s="746"/>
      <c r="I30" s="746"/>
      <c r="J30" s="746"/>
      <c r="K30" s="223"/>
    </row>
    <row r="31" spans="1:12">
      <c r="A31" s="226" t="str">
        <f>'Orç - Prédio'!A69</f>
        <v>03.01.602</v>
      </c>
      <c r="B31" s="748" t="str">
        <f>'Orç - Prédio'!D69</f>
        <v>Impermeabilização de superfícies (faces de blocos de fundação e vigas baldrame) com emulsão asfáltica, duas demãos</v>
      </c>
      <c r="C31" s="748"/>
      <c r="D31" s="748"/>
      <c r="E31" s="748"/>
      <c r="F31" s="748"/>
      <c r="G31" s="748"/>
      <c r="H31" s="748"/>
      <c r="I31" s="748"/>
      <c r="J31" s="748"/>
      <c r="K31" s="227" t="str">
        <f>'Orç - Prédio'!F69</f>
        <v>m2</v>
      </c>
      <c r="L31" s="176" t="s">
        <v>8979</v>
      </c>
    </row>
    <row r="32" spans="1:12">
      <c r="A32" s="745"/>
      <c r="B32" s="745"/>
      <c r="C32" s="218"/>
      <c r="D32" s="218"/>
      <c r="E32" s="218"/>
      <c r="F32" s="218"/>
      <c r="G32" s="745" t="s">
        <v>7863</v>
      </c>
      <c r="H32" s="745"/>
      <c r="I32" s="745" t="s">
        <v>7864</v>
      </c>
      <c r="J32" s="745"/>
      <c r="K32" s="745"/>
    </row>
    <row r="33" spans="1:13" ht="22.5">
      <c r="A33" s="745" t="s">
        <v>7880</v>
      </c>
      <c r="B33" s="745"/>
      <c r="C33" s="745" t="s">
        <v>7865</v>
      </c>
      <c r="D33" s="745" t="s">
        <v>8152</v>
      </c>
      <c r="E33" s="745" t="s">
        <v>7868</v>
      </c>
      <c r="F33" s="745" t="s">
        <v>8807</v>
      </c>
      <c r="G33" s="330" t="s">
        <v>7869</v>
      </c>
      <c r="H33" s="330" t="s">
        <v>7870</v>
      </c>
      <c r="I33" s="330" t="s">
        <v>7871</v>
      </c>
      <c r="J33" s="330" t="s">
        <v>7869</v>
      </c>
      <c r="K33" s="330" t="s">
        <v>7870</v>
      </c>
    </row>
    <row r="34" spans="1:13">
      <c r="A34" s="745"/>
      <c r="B34" s="745"/>
      <c r="C34" s="745"/>
      <c r="D34" s="745"/>
      <c r="E34" s="745"/>
      <c r="F34" s="745"/>
      <c r="G34" s="330" t="s">
        <v>7872</v>
      </c>
      <c r="H34" s="330" t="s">
        <v>7873</v>
      </c>
      <c r="I34" s="330" t="s">
        <v>7874</v>
      </c>
      <c r="J34" s="330" t="s">
        <v>7872</v>
      </c>
      <c r="K34" s="330" t="s">
        <v>7873</v>
      </c>
    </row>
    <row r="35" spans="1:13">
      <c r="A35" s="330"/>
      <c r="B35" s="219" t="s">
        <v>8808</v>
      </c>
      <c r="C35" s="222">
        <v>20</v>
      </c>
      <c r="D35" s="222">
        <f>2*2+2*0.8</f>
        <v>5.6</v>
      </c>
      <c r="E35" s="225">
        <v>1</v>
      </c>
      <c r="F35" s="222">
        <f>2*0.8</f>
        <v>1.6</v>
      </c>
      <c r="G35" s="221">
        <f>E35*D35+F35</f>
        <v>7.1999999999999993</v>
      </c>
      <c r="H35" s="220"/>
      <c r="I35" s="220"/>
      <c r="J35" s="220">
        <f>G35*C35</f>
        <v>144</v>
      </c>
      <c r="K35" s="220">
        <f>C35*H35</f>
        <v>0</v>
      </c>
    </row>
    <row r="36" spans="1:13">
      <c r="A36" s="330"/>
      <c r="B36" s="219" t="s">
        <v>8809</v>
      </c>
      <c r="C36" s="222">
        <v>7</v>
      </c>
      <c r="D36" s="222">
        <f>2*4</f>
        <v>8</v>
      </c>
      <c r="E36" s="225">
        <f>1</f>
        <v>1</v>
      </c>
      <c r="F36" s="222">
        <f>2*2</f>
        <v>4</v>
      </c>
      <c r="G36" s="221">
        <f>E36*D36+F36</f>
        <v>12</v>
      </c>
      <c r="H36" s="220"/>
      <c r="I36" s="220"/>
      <c r="J36" s="220">
        <f t="shared" ref="J36:J37" si="0">G36*C36</f>
        <v>84</v>
      </c>
      <c r="K36" s="220">
        <f>C36*H36</f>
        <v>0</v>
      </c>
    </row>
    <row r="37" spans="1:13">
      <c r="A37" s="330"/>
      <c r="B37" s="219" t="s">
        <v>8810</v>
      </c>
      <c r="C37" s="222">
        <v>1</v>
      </c>
      <c r="D37" s="222">
        <v>912.49</v>
      </c>
      <c r="E37" s="225">
        <v>0.8</v>
      </c>
      <c r="F37" s="222">
        <v>118</v>
      </c>
      <c r="G37" s="221">
        <f>E37*D37+F37</f>
        <v>847.99200000000008</v>
      </c>
      <c r="H37" s="220"/>
      <c r="I37" s="220"/>
      <c r="J37" s="220">
        <f t="shared" si="0"/>
        <v>847.99200000000008</v>
      </c>
      <c r="K37" s="220">
        <f>C37*H37</f>
        <v>0</v>
      </c>
    </row>
    <row r="38" spans="1:13">
      <c r="A38" s="228"/>
      <c r="B38" s="229"/>
      <c r="C38" s="229"/>
      <c r="D38" s="229"/>
      <c r="E38" s="229"/>
      <c r="F38" s="747" t="s">
        <v>7875</v>
      </c>
      <c r="G38" s="747"/>
      <c r="H38" s="747"/>
      <c r="I38" s="230">
        <f>ROUND(SUM(I37:I37),2)</f>
        <v>0</v>
      </c>
      <c r="J38" s="230">
        <f>ROUND(SUM(J35:J37),2)</f>
        <v>1075.99</v>
      </c>
      <c r="K38" s="230">
        <f>ROUND(SUM(K37:K37),2)</f>
        <v>0</v>
      </c>
    </row>
    <row r="39" spans="1:13">
      <c r="A39" s="330"/>
      <c r="B39" s="746"/>
      <c r="C39" s="746"/>
      <c r="D39" s="746"/>
      <c r="E39" s="746"/>
      <c r="F39" s="746"/>
      <c r="G39" s="746"/>
      <c r="H39" s="746"/>
      <c r="I39" s="746"/>
      <c r="J39" s="746"/>
      <c r="K39" s="330"/>
    </row>
    <row r="40" spans="1:13" ht="24.75" customHeight="1">
      <c r="A40" s="226" t="str">
        <f>'Orç - Prédio'!A74</f>
        <v>03.02.181</v>
      </c>
      <c r="B40" s="748" t="str">
        <f>'Orç - Prédio'!D74</f>
        <v>Fabricação, montagem e desmontagem de forma para escadas em chapa de madeira compensada plastificada, 18mm, 8 utilizações, inclusive escoramento metálico</v>
      </c>
      <c r="C40" s="748"/>
      <c r="D40" s="748"/>
      <c r="E40" s="748"/>
      <c r="F40" s="748"/>
      <c r="G40" s="748"/>
      <c r="H40" s="748"/>
      <c r="I40" s="748"/>
      <c r="J40" s="748"/>
      <c r="K40" s="227" t="str">
        <f>'Orç - Prédio'!F74</f>
        <v>m2</v>
      </c>
      <c r="L40" s="176" t="s">
        <v>8979</v>
      </c>
    </row>
    <row r="41" spans="1:13">
      <c r="A41" s="745"/>
      <c r="B41" s="745"/>
      <c r="C41" s="218"/>
      <c r="D41" s="218"/>
      <c r="E41" s="218"/>
      <c r="F41" s="218"/>
      <c r="G41" s="745" t="s">
        <v>7863</v>
      </c>
      <c r="H41" s="745"/>
      <c r="I41" s="745" t="s">
        <v>7864</v>
      </c>
      <c r="J41" s="745"/>
      <c r="K41" s="745"/>
    </row>
    <row r="42" spans="1:13" ht="22.5">
      <c r="A42" s="745" t="s">
        <v>7880</v>
      </c>
      <c r="B42" s="745"/>
      <c r="C42" s="745" t="s">
        <v>7865</v>
      </c>
      <c r="D42" s="745" t="s">
        <v>7866</v>
      </c>
      <c r="E42" s="745" t="s">
        <v>7867</v>
      </c>
      <c r="F42" s="745" t="s">
        <v>7868</v>
      </c>
      <c r="G42" s="277" t="s">
        <v>7869</v>
      </c>
      <c r="H42" s="277" t="s">
        <v>7870</v>
      </c>
      <c r="I42" s="277" t="s">
        <v>7871</v>
      </c>
      <c r="J42" s="277" t="s">
        <v>7869</v>
      </c>
      <c r="K42" s="277" t="s">
        <v>7870</v>
      </c>
    </row>
    <row r="43" spans="1:13">
      <c r="A43" s="745"/>
      <c r="B43" s="745"/>
      <c r="C43" s="745"/>
      <c r="D43" s="745"/>
      <c r="E43" s="745"/>
      <c r="F43" s="745"/>
      <c r="G43" s="277" t="s">
        <v>7872</v>
      </c>
      <c r="H43" s="277" t="s">
        <v>7873</v>
      </c>
      <c r="I43" s="277" t="s">
        <v>7874</v>
      </c>
      <c r="J43" s="277" t="s">
        <v>7872</v>
      </c>
      <c r="K43" s="277" t="s">
        <v>7873</v>
      </c>
    </row>
    <row r="44" spans="1:13">
      <c r="A44" s="277"/>
      <c r="B44" s="232" t="s">
        <v>8130</v>
      </c>
      <c r="C44" s="222">
        <v>1</v>
      </c>
      <c r="D44" s="222">
        <f>9.83/4</f>
        <v>2.4575</v>
      </c>
      <c r="E44" s="225">
        <v>1.52</v>
      </c>
      <c r="F44" s="222"/>
      <c r="G44" s="221">
        <f>E44*D44</f>
        <v>3.7354000000000003</v>
      </c>
      <c r="H44" s="220"/>
      <c r="I44" s="220"/>
      <c r="J44" s="220">
        <f>G44*C44</f>
        <v>3.7354000000000003</v>
      </c>
      <c r="K44" s="220">
        <f t="shared" ref="K44:K51" si="1">C44*H44</f>
        <v>0</v>
      </c>
      <c r="L44" s="278"/>
      <c r="M44" s="179"/>
    </row>
    <row r="45" spans="1:13">
      <c r="A45" s="277"/>
      <c r="B45" s="232" t="s">
        <v>8131</v>
      </c>
      <c r="C45" s="222">
        <v>1</v>
      </c>
      <c r="D45" s="222">
        <f>9.65/4</f>
        <v>2.4125000000000001</v>
      </c>
      <c r="E45" s="225">
        <v>1.52</v>
      </c>
      <c r="F45" s="222"/>
      <c r="G45" s="221">
        <f>E45*D45</f>
        <v>3.6670000000000003</v>
      </c>
      <c r="H45" s="220"/>
      <c r="I45" s="220"/>
      <c r="J45" s="220">
        <f>G45*C45</f>
        <v>3.6670000000000003</v>
      </c>
      <c r="K45" s="220">
        <f t="shared" si="1"/>
        <v>0</v>
      </c>
      <c r="L45" s="278"/>
      <c r="M45" s="179"/>
    </row>
    <row r="46" spans="1:13">
      <c r="A46" s="277"/>
      <c r="B46" s="232" t="s">
        <v>8132</v>
      </c>
      <c r="C46" s="222">
        <v>1</v>
      </c>
      <c r="D46" s="222">
        <f>8.24/4</f>
        <v>2.06</v>
      </c>
      <c r="E46" s="225">
        <v>1.52</v>
      </c>
      <c r="F46" s="222"/>
      <c r="G46" s="221">
        <f>E46*D46</f>
        <v>3.1312000000000002</v>
      </c>
      <c r="H46" s="220"/>
      <c r="I46" s="220"/>
      <c r="J46" s="220">
        <f t="shared" ref="J46:J51" si="2">G46*C46</f>
        <v>3.1312000000000002</v>
      </c>
      <c r="K46" s="220">
        <f t="shared" si="1"/>
        <v>0</v>
      </c>
      <c r="L46" s="278"/>
      <c r="M46" s="179"/>
    </row>
    <row r="47" spans="1:13">
      <c r="A47" s="277"/>
      <c r="B47" s="232" t="s">
        <v>8138</v>
      </c>
      <c r="C47" s="222">
        <v>2</v>
      </c>
      <c r="D47" s="222">
        <v>1.52</v>
      </c>
      <c r="E47" s="225">
        <v>1.52</v>
      </c>
      <c r="F47" s="222"/>
      <c r="G47" s="221">
        <f>E47*D47</f>
        <v>2.3104</v>
      </c>
      <c r="H47" s="220"/>
      <c r="I47" s="220"/>
      <c r="J47" s="220">
        <f>G47*C47</f>
        <v>4.6208</v>
      </c>
      <c r="K47" s="220">
        <f>C47*H47</f>
        <v>0</v>
      </c>
      <c r="L47" s="278"/>
      <c r="M47" s="179"/>
    </row>
    <row r="48" spans="1:13">
      <c r="A48" s="277"/>
      <c r="B48" s="232" t="s">
        <v>8139</v>
      </c>
      <c r="C48" s="222">
        <v>4</v>
      </c>
      <c r="D48" s="222">
        <v>1.52</v>
      </c>
      <c r="E48" s="225">
        <v>0.15</v>
      </c>
      <c r="F48" s="222"/>
      <c r="G48" s="221">
        <f>E48*D48</f>
        <v>0.22799999999999998</v>
      </c>
      <c r="H48" s="220"/>
      <c r="I48" s="220"/>
      <c r="J48" s="220">
        <f>G48*C48</f>
        <v>0.91199999999999992</v>
      </c>
      <c r="K48" s="220">
        <f t="shared" si="1"/>
        <v>0</v>
      </c>
      <c r="L48" s="278"/>
      <c r="M48" s="179"/>
    </row>
    <row r="49" spans="1:13">
      <c r="A49" s="277"/>
      <c r="B49" s="232" t="s">
        <v>8134</v>
      </c>
      <c r="C49" s="222">
        <v>2</v>
      </c>
      <c r="D49" s="222" t="s">
        <v>8137</v>
      </c>
      <c r="E49" s="225" t="s">
        <v>8137</v>
      </c>
      <c r="F49" s="222"/>
      <c r="G49" s="221">
        <f>8.72/16</f>
        <v>0.54500000000000004</v>
      </c>
      <c r="H49" s="220"/>
      <c r="I49" s="220"/>
      <c r="J49" s="220">
        <f t="shared" si="2"/>
        <v>1.0900000000000001</v>
      </c>
      <c r="K49" s="220">
        <f t="shared" si="1"/>
        <v>0</v>
      </c>
      <c r="L49" s="278"/>
      <c r="M49" s="179"/>
    </row>
    <row r="50" spans="1:13">
      <c r="A50" s="277"/>
      <c r="B50" s="232" t="s">
        <v>8135</v>
      </c>
      <c r="C50" s="222">
        <v>2</v>
      </c>
      <c r="D50" s="222" t="s">
        <v>8137</v>
      </c>
      <c r="E50" s="225" t="s">
        <v>8137</v>
      </c>
      <c r="F50" s="222"/>
      <c r="G50" s="221">
        <f>8.64/16</f>
        <v>0.54</v>
      </c>
      <c r="H50" s="220"/>
      <c r="I50" s="220"/>
      <c r="J50" s="220">
        <f t="shared" si="2"/>
        <v>1.08</v>
      </c>
      <c r="K50" s="220">
        <f t="shared" si="1"/>
        <v>0</v>
      </c>
      <c r="L50" s="278"/>
      <c r="M50" s="179"/>
    </row>
    <row r="51" spans="1:13">
      <c r="A51" s="277"/>
      <c r="B51" s="232" t="s">
        <v>8136</v>
      </c>
      <c r="C51" s="222">
        <v>2</v>
      </c>
      <c r="D51" s="222" t="s">
        <v>8137</v>
      </c>
      <c r="E51" s="225" t="s">
        <v>8137</v>
      </c>
      <c r="F51" s="222"/>
      <c r="G51" s="221">
        <f>8.59/16</f>
        <v>0.53687499999999999</v>
      </c>
      <c r="H51" s="220"/>
      <c r="I51" s="220"/>
      <c r="J51" s="220">
        <f t="shared" si="2"/>
        <v>1.07375</v>
      </c>
      <c r="K51" s="220">
        <f t="shared" si="1"/>
        <v>0</v>
      </c>
      <c r="L51" s="278"/>
      <c r="M51" s="179"/>
    </row>
    <row r="52" spans="1:13">
      <c r="A52" s="228"/>
      <c r="B52" s="229"/>
      <c r="C52" s="229"/>
      <c r="D52" s="229"/>
      <c r="E52" s="229"/>
      <c r="F52" s="747" t="s">
        <v>8140</v>
      </c>
      <c r="G52" s="747"/>
      <c r="H52" s="747"/>
      <c r="I52" s="230">
        <f>ROUND(SUM(I43:I51),2)</f>
        <v>0</v>
      </c>
      <c r="J52" s="230">
        <f>ROUND(SUM(J43:J51),2)</f>
        <v>19.309999999999999</v>
      </c>
      <c r="K52" s="230">
        <f>ROUND(SUM(K43:K51),2)</f>
        <v>0</v>
      </c>
      <c r="M52" s="179"/>
    </row>
    <row r="53" spans="1:13">
      <c r="A53" s="228"/>
      <c r="B53" s="229"/>
      <c r="C53" s="229"/>
      <c r="D53" s="229"/>
      <c r="E53" s="229"/>
      <c r="F53" s="747" t="s">
        <v>8141</v>
      </c>
      <c r="G53" s="747"/>
      <c r="H53" s="747"/>
      <c r="I53" s="230">
        <f>ROUND(SUM(I44:I52),2)</f>
        <v>0</v>
      </c>
      <c r="J53" s="230">
        <f>J52*2</f>
        <v>38.619999999999997</v>
      </c>
      <c r="K53" s="230">
        <f>ROUND(SUM(K44:K52),2)</f>
        <v>0</v>
      </c>
      <c r="M53" s="179"/>
    </row>
    <row r="54" spans="1:13">
      <c r="A54" s="277"/>
      <c r="B54" s="746"/>
      <c r="C54" s="746"/>
      <c r="D54" s="746"/>
      <c r="E54" s="746"/>
      <c r="F54" s="746"/>
      <c r="G54" s="746"/>
      <c r="H54" s="746"/>
      <c r="I54" s="746"/>
      <c r="J54" s="746"/>
      <c r="K54" s="277"/>
      <c r="M54" s="179"/>
    </row>
    <row r="55" spans="1:13">
      <c r="A55" s="226" t="str">
        <f>'Orç - Prédio'!A77</f>
        <v>03.02.183</v>
      </c>
      <c r="B55" s="748" t="str">
        <f>'Orç - Prédio'!D77</f>
        <v>Concreto fck = 40 MPa, lançado, adensado e acabado</v>
      </c>
      <c r="C55" s="748"/>
      <c r="D55" s="748"/>
      <c r="E55" s="748"/>
      <c r="F55" s="748"/>
      <c r="G55" s="748"/>
      <c r="H55" s="748"/>
      <c r="I55" s="748"/>
      <c r="J55" s="748"/>
      <c r="K55" s="227" t="str">
        <f>'Orç - Prédio'!F77</f>
        <v>m3</v>
      </c>
      <c r="L55" s="176" t="s">
        <v>8979</v>
      </c>
    </row>
    <row r="56" spans="1:13">
      <c r="A56" s="745"/>
      <c r="B56" s="745"/>
      <c r="C56" s="218"/>
      <c r="D56" s="218"/>
      <c r="E56" s="218"/>
      <c r="F56" s="218"/>
      <c r="G56" s="745" t="s">
        <v>7863</v>
      </c>
      <c r="H56" s="745"/>
      <c r="I56" s="745" t="s">
        <v>7864</v>
      </c>
      <c r="J56" s="745"/>
      <c r="K56" s="745"/>
    </row>
    <row r="57" spans="1:13" ht="22.5">
      <c r="A57" s="745" t="s">
        <v>7880</v>
      </c>
      <c r="B57" s="745"/>
      <c r="C57" s="745" t="s">
        <v>7865</v>
      </c>
      <c r="D57" s="745"/>
      <c r="E57" s="745" t="s">
        <v>8145</v>
      </c>
      <c r="F57" s="745" t="s">
        <v>7867</v>
      </c>
      <c r="G57" s="277" t="s">
        <v>7869</v>
      </c>
      <c r="H57" s="277" t="s">
        <v>7870</v>
      </c>
      <c r="I57" s="277" t="s">
        <v>7871</v>
      </c>
      <c r="J57" s="277" t="s">
        <v>7869</v>
      </c>
      <c r="K57" s="277" t="s">
        <v>7870</v>
      </c>
    </row>
    <row r="58" spans="1:13">
      <c r="A58" s="745"/>
      <c r="B58" s="745"/>
      <c r="C58" s="745"/>
      <c r="D58" s="745"/>
      <c r="E58" s="745"/>
      <c r="F58" s="745"/>
      <c r="G58" s="277" t="s">
        <v>7872</v>
      </c>
      <c r="H58" s="277" t="s">
        <v>7873</v>
      </c>
      <c r="I58" s="277" t="s">
        <v>7874</v>
      </c>
      <c r="J58" s="277" t="s">
        <v>7872</v>
      </c>
      <c r="K58" s="277" t="s">
        <v>7873</v>
      </c>
    </row>
    <row r="59" spans="1:13">
      <c r="A59" s="277"/>
      <c r="B59" s="232" t="s">
        <v>8142</v>
      </c>
      <c r="C59" s="222">
        <v>1</v>
      </c>
      <c r="D59" s="222"/>
      <c r="E59" s="225">
        <v>0.54500000000000004</v>
      </c>
      <c r="F59" s="222">
        <v>1.52</v>
      </c>
      <c r="G59" s="221"/>
      <c r="H59" s="220">
        <f>F59*E59</f>
        <v>0.82840000000000003</v>
      </c>
      <c r="I59" s="220"/>
      <c r="J59" s="220">
        <f t="shared" ref="J59:J62" si="3">G59*C59</f>
        <v>0</v>
      </c>
      <c r="K59" s="220">
        <f>C59*H59</f>
        <v>0.82840000000000003</v>
      </c>
      <c r="L59" s="278"/>
      <c r="M59" s="179"/>
    </row>
    <row r="60" spans="1:13">
      <c r="A60" s="277"/>
      <c r="B60" s="232" t="s">
        <v>8143</v>
      </c>
      <c r="C60" s="222">
        <v>1</v>
      </c>
      <c r="D60" s="222"/>
      <c r="E60" s="225">
        <v>0.54</v>
      </c>
      <c r="F60" s="222">
        <v>1.52</v>
      </c>
      <c r="G60" s="221"/>
      <c r="H60" s="220">
        <f>F60*E60</f>
        <v>0.82080000000000009</v>
      </c>
      <c r="I60" s="220"/>
      <c r="J60" s="220">
        <f t="shared" si="3"/>
        <v>0</v>
      </c>
      <c r="K60" s="220">
        <f t="shared" ref="K60:K62" si="4">C60*H60</f>
        <v>0.82080000000000009</v>
      </c>
      <c r="L60" s="278"/>
      <c r="M60" s="179"/>
    </row>
    <row r="61" spans="1:13">
      <c r="A61" s="277"/>
      <c r="B61" s="232" t="s">
        <v>8144</v>
      </c>
      <c r="C61" s="222">
        <v>1</v>
      </c>
      <c r="D61" s="222"/>
      <c r="E61" s="225">
        <v>0.53690000000000004</v>
      </c>
      <c r="F61" s="222">
        <v>1.52</v>
      </c>
      <c r="G61" s="221"/>
      <c r="H61" s="220">
        <f>F61*E61</f>
        <v>0.81608800000000004</v>
      </c>
      <c r="I61" s="220"/>
      <c r="J61" s="220">
        <f t="shared" si="3"/>
        <v>0</v>
      </c>
      <c r="K61" s="220">
        <f t="shared" si="4"/>
        <v>0.81608800000000004</v>
      </c>
      <c r="L61" s="278"/>
      <c r="M61" s="179"/>
    </row>
    <row r="62" spans="1:13">
      <c r="A62" s="277"/>
      <c r="B62" s="232" t="s">
        <v>8133</v>
      </c>
      <c r="C62" s="222">
        <v>2</v>
      </c>
      <c r="D62" s="222"/>
      <c r="E62" s="225">
        <f>0.15*1.52</f>
        <v>0.22799999999999998</v>
      </c>
      <c r="F62" s="222">
        <v>1.52</v>
      </c>
      <c r="G62" s="221"/>
      <c r="H62" s="220">
        <f>F62*E62</f>
        <v>0.34655999999999998</v>
      </c>
      <c r="I62" s="220"/>
      <c r="J62" s="220">
        <f t="shared" si="3"/>
        <v>0</v>
      </c>
      <c r="K62" s="220">
        <f t="shared" si="4"/>
        <v>0.69311999999999996</v>
      </c>
      <c r="L62" s="278"/>
      <c r="M62" s="179"/>
    </row>
    <row r="63" spans="1:13">
      <c r="A63" s="228"/>
      <c r="B63" s="229"/>
      <c r="C63" s="229"/>
      <c r="D63" s="229"/>
      <c r="E63" s="229"/>
      <c r="F63" s="747" t="s">
        <v>8140</v>
      </c>
      <c r="G63" s="747"/>
      <c r="H63" s="747"/>
      <c r="I63" s="230">
        <f>ROUND(SUM(I58:I62),2)</f>
        <v>0</v>
      </c>
      <c r="J63" s="230">
        <f>ROUND(SUM(J58:J62),2)</f>
        <v>0</v>
      </c>
      <c r="K63" s="230">
        <f>ROUND(SUM(K58:K62),2)</f>
        <v>3.16</v>
      </c>
      <c r="M63" s="179"/>
    </row>
    <row r="64" spans="1:13">
      <c r="A64" s="228"/>
      <c r="B64" s="229"/>
      <c r="C64" s="229"/>
      <c r="D64" s="229"/>
      <c r="E64" s="229"/>
      <c r="F64" s="747" t="s">
        <v>8141</v>
      </c>
      <c r="G64" s="747"/>
      <c r="H64" s="747"/>
      <c r="I64" s="230">
        <f>ROUND(SUM(I59:I63),2)</f>
        <v>0</v>
      </c>
      <c r="J64" s="230">
        <f>J63*2</f>
        <v>0</v>
      </c>
      <c r="K64" s="230">
        <f>ROUND(SUM(K59:K63),2)</f>
        <v>6.32</v>
      </c>
      <c r="M64" s="179"/>
    </row>
    <row r="65" spans="1:13">
      <c r="A65" s="277"/>
      <c r="B65" s="746"/>
      <c r="C65" s="746"/>
      <c r="D65" s="746"/>
      <c r="E65" s="746"/>
      <c r="F65" s="746"/>
      <c r="G65" s="746"/>
      <c r="H65" s="746"/>
      <c r="I65" s="746"/>
      <c r="J65" s="746"/>
      <c r="K65" s="277"/>
      <c r="M65" s="179"/>
    </row>
    <row r="66" spans="1:13">
      <c r="A66" s="226" t="str">
        <f>'Orç - Prédio'!A83</f>
        <v>03.02.320</v>
      </c>
      <c r="B66" s="748" t="str">
        <f>'Orç - Prédio'!D83</f>
        <v xml:space="preserve">Pilares em concreto armado, pré-moldado, fck = 35 MPa </v>
      </c>
      <c r="C66" s="748"/>
      <c r="D66" s="748"/>
      <c r="E66" s="748"/>
      <c r="F66" s="748"/>
      <c r="G66" s="748"/>
      <c r="H66" s="748"/>
      <c r="I66" s="748"/>
      <c r="J66" s="748"/>
      <c r="K66" s="227" t="str">
        <f>'Orç - Prédio'!F83</f>
        <v>m3</v>
      </c>
      <c r="L66" s="176" t="s">
        <v>8979</v>
      </c>
    </row>
    <row r="67" spans="1:13">
      <c r="A67" s="745"/>
      <c r="B67" s="745"/>
      <c r="C67" s="218"/>
      <c r="D67" s="218"/>
      <c r="E67" s="218"/>
      <c r="F67" s="218"/>
      <c r="G67" s="745" t="s">
        <v>7863</v>
      </c>
      <c r="H67" s="745"/>
      <c r="I67" s="745" t="s">
        <v>7864</v>
      </c>
      <c r="J67" s="745"/>
      <c r="K67" s="745"/>
    </row>
    <row r="68" spans="1:13" ht="22.5">
      <c r="A68" s="745" t="s">
        <v>7880</v>
      </c>
      <c r="B68" s="745"/>
      <c r="C68" s="745" t="s">
        <v>7865</v>
      </c>
      <c r="D68" s="745"/>
      <c r="E68" s="745"/>
      <c r="F68" s="745"/>
      <c r="G68" s="241" t="s">
        <v>7869</v>
      </c>
      <c r="H68" s="241" t="s">
        <v>7870</v>
      </c>
      <c r="I68" s="241" t="s">
        <v>7871</v>
      </c>
      <c r="J68" s="241" t="s">
        <v>7869</v>
      </c>
      <c r="K68" s="241" t="s">
        <v>7870</v>
      </c>
    </row>
    <row r="69" spans="1:13">
      <c r="A69" s="745"/>
      <c r="B69" s="745"/>
      <c r="C69" s="745"/>
      <c r="D69" s="745"/>
      <c r="E69" s="745"/>
      <c r="F69" s="745"/>
      <c r="G69" s="241" t="s">
        <v>7872</v>
      </c>
      <c r="H69" s="241" t="s">
        <v>7873</v>
      </c>
      <c r="I69" s="241" t="s">
        <v>7874</v>
      </c>
      <c r="J69" s="241" t="s">
        <v>7872</v>
      </c>
      <c r="K69" s="241" t="s">
        <v>7873</v>
      </c>
    </row>
    <row r="70" spans="1:13" ht="22.5">
      <c r="A70" s="241"/>
      <c r="B70" s="282" t="s">
        <v>15375</v>
      </c>
      <c r="C70" s="222">
        <v>1</v>
      </c>
      <c r="D70" s="222"/>
      <c r="E70" s="225"/>
      <c r="F70" s="222"/>
      <c r="G70" s="221">
        <f>D70*E70+F70</f>
        <v>0</v>
      </c>
      <c r="H70" s="220">
        <v>4.9800000000000004</v>
      </c>
      <c r="I70" s="220"/>
      <c r="J70" s="220">
        <f>G70*C70</f>
        <v>0</v>
      </c>
      <c r="K70" s="220">
        <f t="shared" ref="K70:K72" si="5">C70*H70</f>
        <v>4.9800000000000004</v>
      </c>
      <c r="L70" s="278"/>
      <c r="M70" s="179"/>
    </row>
    <row r="71" spans="1:13" ht="22.5">
      <c r="A71" s="241"/>
      <c r="B71" s="282" t="s">
        <v>15376</v>
      </c>
      <c r="C71" s="222">
        <v>1</v>
      </c>
      <c r="D71" s="222"/>
      <c r="E71" s="225"/>
      <c r="F71" s="222"/>
      <c r="G71" s="221">
        <f>D71*E71+F71</f>
        <v>0</v>
      </c>
      <c r="H71" s="220">
        <v>13.23</v>
      </c>
      <c r="I71" s="220"/>
      <c r="J71" s="220">
        <f>G71*C71</f>
        <v>0</v>
      </c>
      <c r="K71" s="220">
        <f t="shared" si="5"/>
        <v>13.23</v>
      </c>
      <c r="L71" s="278"/>
      <c r="M71" s="179"/>
    </row>
    <row r="72" spans="1:13" ht="22.5">
      <c r="A72" s="241"/>
      <c r="B72" s="282" t="s">
        <v>15377</v>
      </c>
      <c r="C72" s="222">
        <v>1</v>
      </c>
      <c r="D72" s="222"/>
      <c r="E72" s="225"/>
      <c r="F72" s="222"/>
      <c r="G72" s="221">
        <f t="shared" ref="G72" si="6">D72*E72+F72</f>
        <v>0</v>
      </c>
      <c r="H72" s="220">
        <v>13.55</v>
      </c>
      <c r="I72" s="220"/>
      <c r="J72" s="220">
        <f t="shared" ref="J72" si="7">G72*C72</f>
        <v>0</v>
      </c>
      <c r="K72" s="220">
        <f t="shared" si="5"/>
        <v>13.55</v>
      </c>
      <c r="L72" s="278"/>
      <c r="M72" s="179"/>
    </row>
    <row r="73" spans="1:13">
      <c r="A73" s="228"/>
      <c r="B73" s="229"/>
      <c r="C73" s="229"/>
      <c r="D73" s="229"/>
      <c r="E73" s="229"/>
      <c r="F73" s="747" t="s">
        <v>7875</v>
      </c>
      <c r="G73" s="747"/>
      <c r="H73" s="747"/>
      <c r="I73" s="230">
        <f>ROUND(SUM(I69:I72),2)</f>
        <v>0</v>
      </c>
      <c r="J73" s="230">
        <f>ROUND(SUM(J69:J72),2)</f>
        <v>0</v>
      </c>
      <c r="K73" s="230">
        <f>ROUND(SUM(K69:K72),2)</f>
        <v>31.76</v>
      </c>
      <c r="M73" s="179"/>
    </row>
    <row r="74" spans="1:13">
      <c r="A74" s="241"/>
      <c r="B74" s="746"/>
      <c r="C74" s="746"/>
      <c r="D74" s="746"/>
      <c r="E74" s="746"/>
      <c r="F74" s="746"/>
      <c r="G74" s="746"/>
      <c r="H74" s="746"/>
      <c r="I74" s="746"/>
      <c r="J74" s="746"/>
      <c r="K74" s="241"/>
      <c r="M74" s="179"/>
    </row>
    <row r="75" spans="1:13">
      <c r="A75" s="226" t="str">
        <f>'Orç - Prédio'!A84</f>
        <v>03.02.330</v>
      </c>
      <c r="B75" s="748" t="str">
        <f>'Orç - Prédio'!D84</f>
        <v xml:space="preserve">Vigas em concreto armado, pré-moldado, fck = 40 MPa </v>
      </c>
      <c r="C75" s="748"/>
      <c r="D75" s="748"/>
      <c r="E75" s="748"/>
      <c r="F75" s="748"/>
      <c r="G75" s="748"/>
      <c r="H75" s="748"/>
      <c r="I75" s="748"/>
      <c r="J75" s="748"/>
      <c r="K75" s="227" t="str">
        <f>'Orç - Prédio'!F84</f>
        <v>m3</v>
      </c>
      <c r="L75" s="176" t="s">
        <v>8979</v>
      </c>
    </row>
    <row r="76" spans="1:13">
      <c r="A76" s="745"/>
      <c r="B76" s="745"/>
      <c r="C76" s="218"/>
      <c r="D76" s="218"/>
      <c r="E76" s="218"/>
      <c r="F76" s="218"/>
      <c r="G76" s="745" t="s">
        <v>7863</v>
      </c>
      <c r="H76" s="745"/>
      <c r="I76" s="745" t="s">
        <v>7864</v>
      </c>
      <c r="J76" s="745"/>
      <c r="K76" s="745"/>
    </row>
    <row r="77" spans="1:13" ht="22.5">
      <c r="A77" s="745" t="s">
        <v>7880</v>
      </c>
      <c r="B77" s="745"/>
      <c r="C77" s="745" t="s">
        <v>7865</v>
      </c>
      <c r="D77" s="745" t="s">
        <v>7881</v>
      </c>
      <c r="E77" s="745" t="s">
        <v>7882</v>
      </c>
      <c r="F77" s="745" t="s">
        <v>7883</v>
      </c>
      <c r="G77" s="241" t="s">
        <v>7869</v>
      </c>
      <c r="H77" s="241" t="s">
        <v>7870</v>
      </c>
      <c r="I77" s="241" t="s">
        <v>7871</v>
      </c>
      <c r="J77" s="241" t="s">
        <v>7869</v>
      </c>
      <c r="K77" s="241" t="s">
        <v>7870</v>
      </c>
    </row>
    <row r="78" spans="1:13">
      <c r="A78" s="745"/>
      <c r="B78" s="745"/>
      <c r="C78" s="745"/>
      <c r="D78" s="745"/>
      <c r="E78" s="745"/>
      <c r="F78" s="745"/>
      <c r="G78" s="241" t="s">
        <v>7872</v>
      </c>
      <c r="H78" s="241" t="s">
        <v>7873</v>
      </c>
      <c r="I78" s="241" t="s">
        <v>7874</v>
      </c>
      <c r="J78" s="241" t="s">
        <v>7872</v>
      </c>
      <c r="K78" s="241" t="s">
        <v>7873</v>
      </c>
    </row>
    <row r="79" spans="1:13" ht="22.5">
      <c r="A79" s="241"/>
      <c r="B79" s="282" t="s">
        <v>15376</v>
      </c>
      <c r="C79" s="222">
        <v>1</v>
      </c>
      <c r="D79" s="222"/>
      <c r="E79" s="225"/>
      <c r="F79" s="222"/>
      <c r="G79" s="221"/>
      <c r="H79" s="220">
        <v>91.38</v>
      </c>
      <c r="I79" s="220"/>
      <c r="J79" s="220">
        <f>G79*C79</f>
        <v>0</v>
      </c>
      <c r="K79" s="220">
        <f t="shared" ref="K79:K80" si="8">C79*H79</f>
        <v>91.38</v>
      </c>
      <c r="L79" s="278"/>
      <c r="M79" s="179"/>
    </row>
    <row r="80" spans="1:13" ht="22.5">
      <c r="A80" s="241"/>
      <c r="B80" s="282" t="s">
        <v>15377</v>
      </c>
      <c r="C80" s="222">
        <v>1</v>
      </c>
      <c r="D80" s="222"/>
      <c r="E80" s="225"/>
      <c r="F80" s="222"/>
      <c r="G80" s="221"/>
      <c r="H80" s="220">
        <v>83.7</v>
      </c>
      <c r="I80" s="220"/>
      <c r="J80" s="220">
        <f t="shared" ref="J80" si="9">G80*C80</f>
        <v>0</v>
      </c>
      <c r="K80" s="220">
        <f t="shared" si="8"/>
        <v>83.7</v>
      </c>
      <c r="L80" s="278"/>
      <c r="M80" s="179"/>
    </row>
    <row r="81" spans="1:13" ht="22.5">
      <c r="A81" s="228"/>
      <c r="B81" s="229" t="s">
        <v>15378</v>
      </c>
      <c r="C81" s="229"/>
      <c r="D81" s="229"/>
      <c r="E81" s="229"/>
      <c r="F81" s="747" t="s">
        <v>7875</v>
      </c>
      <c r="G81" s="747"/>
      <c r="H81" s="747"/>
      <c r="I81" s="230">
        <f>ROUND(SUM(I78:I80),2)</f>
        <v>0</v>
      </c>
      <c r="J81" s="230">
        <f>ROUND(SUM(J78:J80),2)</f>
        <v>0</v>
      </c>
      <c r="K81" s="230">
        <f>ROUND(SUM(K78:K80),2)</f>
        <v>175.08</v>
      </c>
      <c r="M81" s="179"/>
    </row>
    <row r="82" spans="1:13">
      <c r="A82" s="241"/>
      <c r="B82" s="746"/>
      <c r="C82" s="746"/>
      <c r="D82" s="746"/>
      <c r="E82" s="746"/>
      <c r="F82" s="746"/>
      <c r="G82" s="746"/>
      <c r="H82" s="746"/>
      <c r="I82" s="746"/>
      <c r="J82" s="746"/>
      <c r="K82" s="241"/>
      <c r="M82" s="179"/>
    </row>
    <row r="83" spans="1:13">
      <c r="A83" s="226" t="str">
        <f>'Orç - Prédio'!A85</f>
        <v>03.02.340</v>
      </c>
      <c r="B83" s="748" t="str">
        <f>'Orç - Prédio'!D85</f>
        <v>Laje em painel pré-fabricado protendido alveolar, concreto 40 MPa espessura 20cm, inclusive capeamento de 5 cm com tela soldada</v>
      </c>
      <c r="C83" s="748"/>
      <c r="D83" s="748"/>
      <c r="E83" s="748"/>
      <c r="F83" s="748"/>
      <c r="G83" s="748"/>
      <c r="H83" s="748"/>
      <c r="I83" s="748"/>
      <c r="J83" s="748"/>
      <c r="K83" s="227" t="str">
        <f>'Orç - Prédio'!F85</f>
        <v>m2</v>
      </c>
      <c r="L83" s="176" t="s">
        <v>8979</v>
      </c>
    </row>
    <row r="84" spans="1:13">
      <c r="A84" s="745"/>
      <c r="B84" s="745"/>
      <c r="C84" s="218"/>
      <c r="D84" s="218"/>
      <c r="E84" s="218"/>
      <c r="F84" s="218"/>
      <c r="G84" s="745" t="s">
        <v>7863</v>
      </c>
      <c r="H84" s="745"/>
      <c r="I84" s="745" t="s">
        <v>7864</v>
      </c>
      <c r="J84" s="745"/>
      <c r="K84" s="745"/>
    </row>
    <row r="85" spans="1:13" ht="22.5">
      <c r="A85" s="745" t="s">
        <v>7880</v>
      </c>
      <c r="B85" s="745"/>
      <c r="C85" s="745" t="s">
        <v>7865</v>
      </c>
      <c r="D85" s="745" t="s">
        <v>7881</v>
      </c>
      <c r="E85" s="745" t="s">
        <v>7882</v>
      </c>
      <c r="F85" s="745" t="s">
        <v>7883</v>
      </c>
      <c r="G85" s="241" t="s">
        <v>7869</v>
      </c>
      <c r="H85" s="241" t="s">
        <v>7870</v>
      </c>
      <c r="I85" s="241" t="s">
        <v>7871</v>
      </c>
      <c r="J85" s="241" t="s">
        <v>7869</v>
      </c>
      <c r="K85" s="241" t="s">
        <v>7870</v>
      </c>
    </row>
    <row r="86" spans="1:13">
      <c r="A86" s="745"/>
      <c r="B86" s="745"/>
      <c r="C86" s="745"/>
      <c r="D86" s="745"/>
      <c r="E86" s="745"/>
      <c r="F86" s="745"/>
      <c r="G86" s="241" t="s">
        <v>7872</v>
      </c>
      <c r="H86" s="241" t="s">
        <v>7873</v>
      </c>
      <c r="I86" s="241" t="s">
        <v>7874</v>
      </c>
      <c r="J86" s="241" t="s">
        <v>7872</v>
      </c>
      <c r="K86" s="241" t="s">
        <v>7873</v>
      </c>
    </row>
    <row r="87" spans="1:13" ht="22.5">
      <c r="A87" s="241"/>
      <c r="B87" s="282" t="s">
        <v>15376</v>
      </c>
      <c r="C87" s="222">
        <v>1</v>
      </c>
      <c r="D87" s="222"/>
      <c r="E87" s="225"/>
      <c r="F87" s="222"/>
      <c r="G87" s="221">
        <v>802.83</v>
      </c>
      <c r="H87" s="220"/>
      <c r="I87" s="220"/>
      <c r="J87" s="220">
        <f>G87*C87</f>
        <v>802.83</v>
      </c>
      <c r="K87" s="220">
        <f t="shared" ref="K87:K88" si="10">C87*H87</f>
        <v>0</v>
      </c>
      <c r="L87" s="278"/>
      <c r="M87" s="179"/>
    </row>
    <row r="88" spans="1:13" ht="22.5">
      <c r="A88" s="241"/>
      <c r="B88" s="282" t="s">
        <v>15377</v>
      </c>
      <c r="C88" s="222">
        <v>1</v>
      </c>
      <c r="D88" s="222"/>
      <c r="E88" s="225"/>
      <c r="F88" s="222"/>
      <c r="G88" s="221">
        <v>1128.56</v>
      </c>
      <c r="H88" s="220"/>
      <c r="I88" s="220"/>
      <c r="J88" s="220">
        <f>G88*C88</f>
        <v>1128.56</v>
      </c>
      <c r="K88" s="220">
        <f t="shared" si="10"/>
        <v>0</v>
      </c>
      <c r="L88" s="278"/>
      <c r="M88" s="179"/>
    </row>
    <row r="89" spans="1:13">
      <c r="A89" s="228"/>
      <c r="B89" s="229"/>
      <c r="C89" s="229"/>
      <c r="D89" s="229"/>
      <c r="E89" s="229"/>
      <c r="F89" s="747" t="s">
        <v>7875</v>
      </c>
      <c r="G89" s="747"/>
      <c r="H89" s="747"/>
      <c r="I89" s="230">
        <f>ROUND(SUM(I86:I88),2)</f>
        <v>0</v>
      </c>
      <c r="J89" s="230">
        <f>ROUND(SUM(J86:J88),2)</f>
        <v>1931.39</v>
      </c>
      <c r="K89" s="230">
        <f>ROUND(SUM(K86:K88),2)</f>
        <v>0</v>
      </c>
      <c r="M89" s="179"/>
    </row>
    <row r="90" spans="1:13">
      <c r="A90" s="241"/>
      <c r="B90" s="746"/>
      <c r="C90" s="746"/>
      <c r="D90" s="746"/>
      <c r="E90" s="746"/>
      <c r="F90" s="746"/>
      <c r="G90" s="746"/>
      <c r="H90" s="746"/>
      <c r="I90" s="746"/>
      <c r="J90" s="746"/>
      <c r="K90" s="241"/>
      <c r="M90" s="179"/>
    </row>
    <row r="91" spans="1:13">
      <c r="A91" s="226" t="str">
        <f>'Orç - Prédio'!A80</f>
        <v>03.02.442</v>
      </c>
      <c r="B91" s="748" t="str">
        <f>'Orç - Prédio'!D80</f>
        <v>Armação para base de concreto das bancadas, em tela de aço CA-60, nervurada, 4,2mm, malha 15x15cm</v>
      </c>
      <c r="C91" s="748"/>
      <c r="D91" s="748"/>
      <c r="E91" s="748"/>
      <c r="F91" s="748"/>
      <c r="G91" s="748"/>
      <c r="H91" s="748"/>
      <c r="I91" s="748"/>
      <c r="J91" s="748"/>
      <c r="K91" s="227" t="str">
        <f>'Orç - Prédio'!F80</f>
        <v>kg</v>
      </c>
      <c r="L91" s="176" t="s">
        <v>8979</v>
      </c>
    </row>
    <row r="92" spans="1:13">
      <c r="A92" s="745"/>
      <c r="B92" s="745"/>
      <c r="C92" s="218"/>
      <c r="D92" s="218"/>
      <c r="E92" s="218"/>
      <c r="F92" s="218"/>
      <c r="G92" s="745" t="s">
        <v>7863</v>
      </c>
      <c r="H92" s="745"/>
      <c r="I92" s="745" t="s">
        <v>7864</v>
      </c>
      <c r="J92" s="745"/>
      <c r="K92" s="745"/>
    </row>
    <row r="93" spans="1:13" ht="22.5">
      <c r="A93" s="745" t="s">
        <v>7880</v>
      </c>
      <c r="B93" s="745"/>
      <c r="C93" s="745" t="s">
        <v>7865</v>
      </c>
      <c r="D93" s="745" t="s">
        <v>7881</v>
      </c>
      <c r="E93" s="745" t="s">
        <v>7882</v>
      </c>
      <c r="F93" s="745" t="s">
        <v>7883</v>
      </c>
      <c r="G93" s="407" t="s">
        <v>7869</v>
      </c>
      <c r="H93" s="407" t="s">
        <v>7870</v>
      </c>
      <c r="I93" s="407" t="s">
        <v>7871</v>
      </c>
      <c r="J93" s="407" t="s">
        <v>7869</v>
      </c>
      <c r="K93" s="407" t="s">
        <v>7870</v>
      </c>
    </row>
    <row r="94" spans="1:13">
      <c r="A94" s="745"/>
      <c r="B94" s="745"/>
      <c r="C94" s="745"/>
      <c r="D94" s="745"/>
      <c r="E94" s="745"/>
      <c r="F94" s="745"/>
      <c r="G94" s="407" t="s">
        <v>7872</v>
      </c>
      <c r="H94" s="407" t="s">
        <v>7873</v>
      </c>
      <c r="I94" s="407" t="s">
        <v>7874</v>
      </c>
      <c r="J94" s="407" t="s">
        <v>7872</v>
      </c>
      <c r="K94" s="407" t="s">
        <v>7873</v>
      </c>
    </row>
    <row r="95" spans="1:13">
      <c r="A95" s="407"/>
      <c r="B95" s="232" t="s">
        <v>6931</v>
      </c>
      <c r="C95" s="222">
        <v>2</v>
      </c>
      <c r="D95" s="222">
        <v>14.73</v>
      </c>
      <c r="E95" s="225">
        <v>0.82</v>
      </c>
      <c r="F95" s="222">
        <f>5.76</f>
        <v>5.76</v>
      </c>
      <c r="G95" s="221">
        <f>F95</f>
        <v>5.76</v>
      </c>
      <c r="H95" s="220"/>
      <c r="I95" s="220"/>
      <c r="J95" s="220">
        <f>G95*C95</f>
        <v>11.52</v>
      </c>
      <c r="K95" s="220">
        <f t="shared" ref="K95:K113" si="11">C95*H95</f>
        <v>0</v>
      </c>
      <c r="L95" s="278"/>
      <c r="M95" s="179"/>
    </row>
    <row r="96" spans="1:13">
      <c r="A96" s="407"/>
      <c r="B96" s="232" t="s">
        <v>6932</v>
      </c>
      <c r="C96" s="222">
        <v>4</v>
      </c>
      <c r="D96" s="222">
        <v>11.8</v>
      </c>
      <c r="E96" s="225">
        <v>0.82</v>
      </c>
      <c r="F96" s="222">
        <f>4.2</f>
        <v>4.2</v>
      </c>
      <c r="G96" s="221">
        <f t="shared" ref="G96:G113" si="12">F96</f>
        <v>4.2</v>
      </c>
      <c r="H96" s="220"/>
      <c r="I96" s="220"/>
      <c r="J96" s="220">
        <f>G96*C96</f>
        <v>16.8</v>
      </c>
      <c r="K96" s="220">
        <f t="shared" si="11"/>
        <v>0</v>
      </c>
      <c r="L96" s="278"/>
      <c r="M96" s="179"/>
    </row>
    <row r="97" spans="1:13">
      <c r="A97" s="407"/>
      <c r="B97" s="232" t="s">
        <v>6933</v>
      </c>
      <c r="C97" s="222">
        <v>12</v>
      </c>
      <c r="D97" s="222">
        <v>14.72</v>
      </c>
      <c r="E97" s="225">
        <v>0.82</v>
      </c>
      <c r="F97" s="222">
        <f>4.92</f>
        <v>4.92</v>
      </c>
      <c r="G97" s="221">
        <f t="shared" si="12"/>
        <v>4.92</v>
      </c>
      <c r="H97" s="220"/>
      <c r="I97" s="220"/>
      <c r="J97" s="220">
        <f t="shared" ref="J97:J113" si="13">G97*C97</f>
        <v>59.04</v>
      </c>
      <c r="K97" s="220">
        <f t="shared" si="11"/>
        <v>0</v>
      </c>
      <c r="L97" s="278"/>
      <c r="M97" s="179"/>
    </row>
    <row r="98" spans="1:13">
      <c r="A98" s="407"/>
      <c r="B98" s="232" t="s">
        <v>6934</v>
      </c>
      <c r="C98" s="222">
        <v>4</v>
      </c>
      <c r="D98" s="222">
        <v>16.12</v>
      </c>
      <c r="E98" s="225">
        <v>0.82</v>
      </c>
      <c r="F98" s="222">
        <f>5.76</f>
        <v>5.76</v>
      </c>
      <c r="G98" s="221">
        <f t="shared" si="12"/>
        <v>5.76</v>
      </c>
      <c r="H98" s="220"/>
      <c r="I98" s="220"/>
      <c r="J98" s="220">
        <f t="shared" si="13"/>
        <v>23.04</v>
      </c>
      <c r="K98" s="220">
        <f t="shared" si="11"/>
        <v>0</v>
      </c>
      <c r="L98" s="278"/>
      <c r="M98" s="179"/>
    </row>
    <row r="99" spans="1:13">
      <c r="A99" s="407"/>
      <c r="B99" s="232" t="s">
        <v>6935</v>
      </c>
      <c r="C99" s="222">
        <v>5</v>
      </c>
      <c r="D99" s="222">
        <f>2*(2*0.8+2*0.12)</f>
        <v>3.68</v>
      </c>
      <c r="E99" s="225">
        <v>0.8</v>
      </c>
      <c r="F99" s="222">
        <f>0.8*1.9</f>
        <v>1.52</v>
      </c>
      <c r="G99" s="221">
        <f t="shared" si="12"/>
        <v>1.52</v>
      </c>
      <c r="H99" s="220"/>
      <c r="I99" s="220"/>
      <c r="J99" s="220">
        <f t="shared" si="13"/>
        <v>7.6</v>
      </c>
      <c r="K99" s="220">
        <f t="shared" si="11"/>
        <v>0</v>
      </c>
      <c r="L99" s="278"/>
      <c r="M99" s="179"/>
    </row>
    <row r="100" spans="1:13">
      <c r="A100" s="407"/>
      <c r="B100" s="232" t="s">
        <v>6936</v>
      </c>
      <c r="C100" s="222">
        <v>1</v>
      </c>
      <c r="D100" s="222">
        <f>3*(2*0.12+2*0.8)</f>
        <v>5.5200000000000005</v>
      </c>
      <c r="E100" s="225">
        <v>0.8</v>
      </c>
      <c r="F100" s="222">
        <f>2.37*0.8</f>
        <v>1.8960000000000001</v>
      </c>
      <c r="G100" s="221">
        <f t="shared" si="12"/>
        <v>1.8960000000000001</v>
      </c>
      <c r="H100" s="220"/>
      <c r="I100" s="220"/>
      <c r="J100" s="220">
        <f t="shared" si="13"/>
        <v>1.8960000000000001</v>
      </c>
      <c r="K100" s="220">
        <f t="shared" si="11"/>
        <v>0</v>
      </c>
      <c r="L100" s="278"/>
      <c r="M100" s="179"/>
    </row>
    <row r="101" spans="1:13">
      <c r="A101" s="407"/>
      <c r="B101" s="232" t="s">
        <v>6937</v>
      </c>
      <c r="C101" s="222">
        <v>2</v>
      </c>
      <c r="D101" s="222">
        <f>3*(2*0.12+2*0.7)</f>
        <v>4.92</v>
      </c>
      <c r="E101" s="225">
        <v>0.8</v>
      </c>
      <c r="F101" s="222">
        <f>2.5*0.7</f>
        <v>1.75</v>
      </c>
      <c r="G101" s="221">
        <f t="shared" si="12"/>
        <v>1.75</v>
      </c>
      <c r="H101" s="220"/>
      <c r="I101" s="220"/>
      <c r="J101" s="220">
        <f t="shared" si="13"/>
        <v>3.5</v>
      </c>
      <c r="K101" s="220">
        <f t="shared" si="11"/>
        <v>0</v>
      </c>
      <c r="L101" s="278"/>
      <c r="M101" s="179"/>
    </row>
    <row r="102" spans="1:13">
      <c r="A102" s="407"/>
      <c r="B102" s="232" t="s">
        <v>6938</v>
      </c>
      <c r="C102" s="222">
        <v>2</v>
      </c>
      <c r="D102" s="222">
        <f>4*(2*0.12+2*0.8)</f>
        <v>7.36</v>
      </c>
      <c r="E102" s="225">
        <v>0.8</v>
      </c>
      <c r="F102" s="222">
        <f>2.97*0.8</f>
        <v>2.3760000000000003</v>
      </c>
      <c r="G102" s="221">
        <f t="shared" si="12"/>
        <v>2.3760000000000003</v>
      </c>
      <c r="H102" s="220"/>
      <c r="I102" s="220"/>
      <c r="J102" s="220">
        <f t="shared" si="13"/>
        <v>4.7520000000000007</v>
      </c>
      <c r="K102" s="220">
        <f t="shared" si="11"/>
        <v>0</v>
      </c>
      <c r="L102" s="278"/>
      <c r="M102" s="179"/>
    </row>
    <row r="103" spans="1:13">
      <c r="A103" s="407"/>
      <c r="B103" s="232" t="s">
        <v>6939</v>
      </c>
      <c r="C103" s="222">
        <v>1</v>
      </c>
      <c r="D103" s="222">
        <f>4*(2*0.12+2*0.8)</f>
        <v>7.36</v>
      </c>
      <c r="E103" s="225">
        <v>0.8</v>
      </c>
      <c r="F103" s="222">
        <f>2.97*0.8</f>
        <v>2.3760000000000003</v>
      </c>
      <c r="G103" s="221">
        <f t="shared" si="12"/>
        <v>2.3760000000000003</v>
      </c>
      <c r="H103" s="220"/>
      <c r="I103" s="220"/>
      <c r="J103" s="220">
        <f t="shared" si="13"/>
        <v>2.3760000000000003</v>
      </c>
      <c r="K103" s="220">
        <f t="shared" si="11"/>
        <v>0</v>
      </c>
      <c r="L103" s="278"/>
      <c r="M103" s="179"/>
    </row>
    <row r="104" spans="1:13">
      <c r="A104" s="407"/>
      <c r="B104" s="232" t="s">
        <v>6940</v>
      </c>
      <c r="C104" s="222">
        <v>1</v>
      </c>
      <c r="D104" s="222">
        <f>6*(2*0.12+2*0.7)</f>
        <v>9.84</v>
      </c>
      <c r="E104" s="225">
        <v>0.8</v>
      </c>
      <c r="F104" s="222">
        <f>6.1*0.7</f>
        <v>4.2699999999999996</v>
      </c>
      <c r="G104" s="221">
        <f t="shared" si="12"/>
        <v>4.2699999999999996</v>
      </c>
      <c r="H104" s="220"/>
      <c r="I104" s="220"/>
      <c r="J104" s="220">
        <f t="shared" si="13"/>
        <v>4.2699999999999996</v>
      </c>
      <c r="K104" s="220">
        <f t="shared" si="11"/>
        <v>0</v>
      </c>
      <c r="L104" s="278"/>
      <c r="M104" s="179"/>
    </row>
    <row r="105" spans="1:13">
      <c r="A105" s="407"/>
      <c r="B105" s="232" t="s">
        <v>6941</v>
      </c>
      <c r="C105" s="222">
        <v>1</v>
      </c>
      <c r="D105" s="222">
        <f>4*(2*0.12+2*0.8)+0.12*0.67</f>
        <v>7.4404000000000003</v>
      </c>
      <c r="E105" s="225">
        <v>0.8</v>
      </c>
      <c r="F105" s="222">
        <f>4.91</f>
        <v>4.91</v>
      </c>
      <c r="G105" s="221">
        <f t="shared" si="12"/>
        <v>4.91</v>
      </c>
      <c r="H105" s="220"/>
      <c r="I105" s="220"/>
      <c r="J105" s="220">
        <f t="shared" si="13"/>
        <v>4.91</v>
      </c>
      <c r="K105" s="220">
        <f t="shared" si="11"/>
        <v>0</v>
      </c>
      <c r="L105" s="278"/>
      <c r="M105" s="179"/>
    </row>
    <row r="106" spans="1:13">
      <c r="A106" s="407"/>
      <c r="B106" s="232" t="s">
        <v>6942</v>
      </c>
      <c r="C106" s="222">
        <v>3</v>
      </c>
      <c r="D106" s="222">
        <f>2*(2*0.12+2*0.6)</f>
        <v>2.88</v>
      </c>
      <c r="E106" s="225">
        <v>0.82</v>
      </c>
      <c r="F106" s="222">
        <f>0.6*1.5</f>
        <v>0.89999999999999991</v>
      </c>
      <c r="G106" s="221">
        <f t="shared" si="12"/>
        <v>0.89999999999999991</v>
      </c>
      <c r="H106" s="220"/>
      <c r="I106" s="220"/>
      <c r="J106" s="220">
        <f t="shared" si="13"/>
        <v>2.6999999999999997</v>
      </c>
      <c r="K106" s="220">
        <f t="shared" si="11"/>
        <v>0</v>
      </c>
      <c r="L106" s="278"/>
      <c r="M106" s="179"/>
    </row>
    <row r="107" spans="1:13">
      <c r="A107" s="407"/>
      <c r="B107" s="232" t="s">
        <v>6943</v>
      </c>
      <c r="C107" s="222">
        <v>1</v>
      </c>
      <c r="D107" s="222">
        <f>3*(2*0.12+2*0.6)+1.5*0.6+1.87*0.6</f>
        <v>6.3420000000000005</v>
      </c>
      <c r="E107" s="225">
        <v>0.82</v>
      </c>
      <c r="F107" s="222">
        <f>0.6*1.87</f>
        <v>1.1220000000000001</v>
      </c>
      <c r="G107" s="221">
        <f t="shared" si="12"/>
        <v>1.1220000000000001</v>
      </c>
      <c r="H107" s="220"/>
      <c r="I107" s="220"/>
      <c r="J107" s="220">
        <f t="shared" si="13"/>
        <v>1.1220000000000001</v>
      </c>
      <c r="K107" s="220">
        <f t="shared" si="11"/>
        <v>0</v>
      </c>
      <c r="L107" s="278"/>
      <c r="M107" s="179"/>
    </row>
    <row r="108" spans="1:13">
      <c r="A108" s="407"/>
      <c r="B108" s="232" t="s">
        <v>6944</v>
      </c>
      <c r="C108" s="222">
        <v>1</v>
      </c>
      <c r="D108" s="222">
        <f>3*(2*0.12+2*0.5)+1.87*0.5</f>
        <v>4.6549999999999994</v>
      </c>
      <c r="E108" s="225">
        <v>0.82</v>
      </c>
      <c r="F108" s="222">
        <f>1.87*0.5</f>
        <v>0.93500000000000005</v>
      </c>
      <c r="G108" s="221">
        <f t="shared" si="12"/>
        <v>0.93500000000000005</v>
      </c>
      <c r="H108" s="220"/>
      <c r="I108" s="220"/>
      <c r="J108" s="220">
        <f t="shared" si="13"/>
        <v>0.93500000000000005</v>
      </c>
      <c r="K108" s="220">
        <f t="shared" si="11"/>
        <v>0</v>
      </c>
      <c r="L108" s="278"/>
      <c r="M108" s="179"/>
    </row>
    <row r="109" spans="1:13">
      <c r="A109" s="407"/>
      <c r="B109" s="232" t="s">
        <v>6945</v>
      </c>
      <c r="C109" s="222">
        <v>2</v>
      </c>
      <c r="D109" s="222">
        <f>3*(2*0.12+2*0.8)</f>
        <v>5.5200000000000005</v>
      </c>
      <c r="E109" s="225">
        <v>0.82</v>
      </c>
      <c r="F109" s="222">
        <f>2.3*0.8</f>
        <v>1.8399999999999999</v>
      </c>
      <c r="G109" s="221">
        <f t="shared" si="12"/>
        <v>1.8399999999999999</v>
      </c>
      <c r="H109" s="220"/>
      <c r="I109" s="220"/>
      <c r="J109" s="220">
        <f t="shared" si="13"/>
        <v>3.6799999999999997</v>
      </c>
      <c r="K109" s="220">
        <f t="shared" si="11"/>
        <v>0</v>
      </c>
      <c r="L109" s="278"/>
      <c r="M109" s="179"/>
    </row>
    <row r="110" spans="1:13">
      <c r="A110" s="407"/>
      <c r="B110" s="232" t="s">
        <v>6946</v>
      </c>
      <c r="C110" s="222">
        <v>3</v>
      </c>
      <c r="D110" s="222">
        <f>4*(2*0.12+2*1)</f>
        <v>8.9600000000000009</v>
      </c>
      <c r="E110" s="225">
        <v>0.82</v>
      </c>
      <c r="F110" s="222">
        <f>4.1*0.98</f>
        <v>4.0179999999999998</v>
      </c>
      <c r="G110" s="221">
        <f t="shared" si="12"/>
        <v>4.0179999999999998</v>
      </c>
      <c r="H110" s="220"/>
      <c r="I110" s="220"/>
      <c r="J110" s="220">
        <f t="shared" si="13"/>
        <v>12.053999999999998</v>
      </c>
      <c r="K110" s="220">
        <f t="shared" si="11"/>
        <v>0</v>
      </c>
      <c r="L110" s="278"/>
      <c r="M110" s="179"/>
    </row>
    <row r="111" spans="1:13">
      <c r="A111" s="407"/>
      <c r="B111" s="232" t="s">
        <v>6947</v>
      </c>
      <c r="C111" s="222">
        <v>2</v>
      </c>
      <c r="D111" s="222">
        <f>4*(2*0.12+2*0.78)+4.1*0.78</f>
        <v>10.398</v>
      </c>
      <c r="E111" s="225">
        <v>0.82</v>
      </c>
      <c r="F111" s="222">
        <f>4.1*0.78</f>
        <v>3.198</v>
      </c>
      <c r="G111" s="221">
        <f t="shared" si="12"/>
        <v>3.198</v>
      </c>
      <c r="H111" s="220"/>
      <c r="I111" s="220"/>
      <c r="J111" s="220">
        <f t="shared" si="13"/>
        <v>6.3959999999999999</v>
      </c>
      <c r="K111" s="220">
        <f t="shared" si="11"/>
        <v>0</v>
      </c>
      <c r="L111" s="278"/>
      <c r="M111" s="179"/>
    </row>
    <row r="112" spans="1:13">
      <c r="A112" s="407"/>
      <c r="B112" s="232" t="s">
        <v>6948</v>
      </c>
      <c r="C112" s="222">
        <v>2</v>
      </c>
      <c r="D112" s="222">
        <f>5*(2+2*0.12)</f>
        <v>11.200000000000001</v>
      </c>
      <c r="E112" s="225">
        <v>0.82</v>
      </c>
      <c r="F112" s="222">
        <f>5.45</f>
        <v>5.45</v>
      </c>
      <c r="G112" s="221">
        <f t="shared" si="12"/>
        <v>5.45</v>
      </c>
      <c r="H112" s="220"/>
      <c r="I112" s="220"/>
      <c r="J112" s="220">
        <f t="shared" si="13"/>
        <v>10.9</v>
      </c>
      <c r="K112" s="220">
        <f t="shared" si="11"/>
        <v>0</v>
      </c>
      <c r="L112" s="278"/>
      <c r="M112" s="179"/>
    </row>
    <row r="113" spans="1:13">
      <c r="A113" s="407"/>
      <c r="B113" s="232" t="s">
        <v>6949</v>
      </c>
      <c r="C113" s="222">
        <v>1</v>
      </c>
      <c r="D113" s="222">
        <f>5*(2*0.12+2*0.8)</f>
        <v>9.2000000000000011</v>
      </c>
      <c r="E113" s="225">
        <v>0.82</v>
      </c>
      <c r="F113" s="222">
        <f>5.55*0.8</f>
        <v>4.4400000000000004</v>
      </c>
      <c r="G113" s="221">
        <f t="shared" si="12"/>
        <v>4.4400000000000004</v>
      </c>
      <c r="H113" s="220"/>
      <c r="I113" s="220"/>
      <c r="J113" s="220">
        <f t="shared" si="13"/>
        <v>4.4400000000000004</v>
      </c>
      <c r="K113" s="220">
        <f t="shared" si="11"/>
        <v>0</v>
      </c>
      <c r="L113" s="278"/>
      <c r="M113" s="179"/>
    </row>
    <row r="114" spans="1:13">
      <c r="A114" s="228"/>
      <c r="B114" s="229"/>
      <c r="C114" s="229"/>
      <c r="D114" s="229"/>
      <c r="E114" s="229"/>
      <c r="F114" s="747" t="s">
        <v>7875</v>
      </c>
      <c r="G114" s="747"/>
      <c r="H114" s="747"/>
      <c r="I114" s="230">
        <f>ROUND(SUM(I94:I113),2)</f>
        <v>0</v>
      </c>
      <c r="J114" s="230">
        <f>ROUND(SUM(J94:J113),2)</f>
        <v>181.93</v>
      </c>
      <c r="K114" s="230" t="s">
        <v>6339</v>
      </c>
      <c r="M114" s="179"/>
    </row>
    <row r="115" spans="1:13">
      <c r="A115" s="228"/>
      <c r="B115" s="229"/>
      <c r="C115" s="229"/>
      <c r="D115" s="229"/>
      <c r="E115" s="229"/>
      <c r="F115" s="747" t="s">
        <v>9552</v>
      </c>
      <c r="G115" s="747"/>
      <c r="H115" s="747"/>
      <c r="I115" s="230"/>
      <c r="J115" s="230">
        <f>J114*2.2</f>
        <v>400.24600000000004</v>
      </c>
      <c r="K115" s="230" t="s">
        <v>6744</v>
      </c>
      <c r="M115" s="179"/>
    </row>
    <row r="116" spans="1:13">
      <c r="A116" s="407"/>
      <c r="B116" s="746"/>
      <c r="C116" s="746"/>
      <c r="D116" s="746"/>
      <c r="E116" s="746"/>
      <c r="F116" s="746"/>
      <c r="G116" s="746"/>
      <c r="H116" s="746"/>
      <c r="I116" s="746"/>
      <c r="J116" s="746"/>
      <c r="K116" s="407"/>
      <c r="M116" s="179"/>
    </row>
    <row r="117" spans="1:13" ht="27.75" customHeight="1">
      <c r="A117" s="226" t="str">
        <f>'Orç - Prédio'!A79</f>
        <v>03.02.441</v>
      </c>
      <c r="B117" s="748" t="str">
        <f>'Orç - Prédio'!D79</f>
        <v>Montagem e desmontagem de forma para pilares retangulares e estruturas similares, com área média das seções menor ou igual a 0,25m2, em chapa de madeira compensada plastificada, 10 utilizações</v>
      </c>
      <c r="C117" s="748"/>
      <c r="D117" s="748"/>
      <c r="E117" s="748"/>
      <c r="F117" s="748"/>
      <c r="G117" s="748"/>
      <c r="H117" s="748"/>
      <c r="I117" s="748"/>
      <c r="J117" s="748"/>
      <c r="K117" s="227" t="str">
        <f>'Orç - Prédio'!F79</f>
        <v>m2</v>
      </c>
      <c r="L117" s="176" t="s">
        <v>8979</v>
      </c>
    </row>
    <row r="118" spans="1:13">
      <c r="A118" s="745"/>
      <c r="B118" s="745"/>
      <c r="C118" s="218"/>
      <c r="D118" s="218"/>
      <c r="E118" s="218"/>
      <c r="F118" s="218"/>
      <c r="G118" s="745" t="s">
        <v>7863</v>
      </c>
      <c r="H118" s="745"/>
      <c r="I118" s="745" t="s">
        <v>7864</v>
      </c>
      <c r="J118" s="745"/>
      <c r="K118" s="745"/>
    </row>
    <row r="119" spans="1:13" ht="22.5">
      <c r="A119" s="745" t="s">
        <v>7880</v>
      </c>
      <c r="B119" s="745"/>
      <c r="C119" s="745" t="s">
        <v>7865</v>
      </c>
      <c r="D119" s="745" t="s">
        <v>7881</v>
      </c>
      <c r="E119" s="745" t="s">
        <v>7882</v>
      </c>
      <c r="F119" s="745" t="s">
        <v>7883</v>
      </c>
      <c r="G119" s="223" t="s">
        <v>7869</v>
      </c>
      <c r="H119" s="223" t="s">
        <v>7870</v>
      </c>
      <c r="I119" s="223" t="s">
        <v>7871</v>
      </c>
      <c r="J119" s="223" t="s">
        <v>7869</v>
      </c>
      <c r="K119" s="223" t="s">
        <v>7870</v>
      </c>
    </row>
    <row r="120" spans="1:13">
      <c r="A120" s="745"/>
      <c r="B120" s="745"/>
      <c r="C120" s="745"/>
      <c r="D120" s="745"/>
      <c r="E120" s="745"/>
      <c r="F120" s="745"/>
      <c r="G120" s="223" t="s">
        <v>7872</v>
      </c>
      <c r="H120" s="223" t="s">
        <v>7873</v>
      </c>
      <c r="I120" s="223" t="s">
        <v>7874</v>
      </c>
      <c r="J120" s="223" t="s">
        <v>7872</v>
      </c>
      <c r="K120" s="223" t="s">
        <v>7873</v>
      </c>
    </row>
    <row r="121" spans="1:13">
      <c r="A121" s="223"/>
      <c r="B121" s="232" t="s">
        <v>6931</v>
      </c>
      <c r="C121" s="222">
        <v>2</v>
      </c>
      <c r="D121" s="222">
        <v>14.73</v>
      </c>
      <c r="E121" s="225">
        <v>0.82</v>
      </c>
      <c r="F121" s="222">
        <f>5.76</f>
        <v>5.76</v>
      </c>
      <c r="G121" s="221">
        <f>D121*E121+F121</f>
        <v>17.8386</v>
      </c>
      <c r="H121" s="220"/>
      <c r="I121" s="220"/>
      <c r="J121" s="220">
        <f>G121*C121</f>
        <v>35.677199999999999</v>
      </c>
      <c r="K121" s="220">
        <f t="shared" ref="K121:K145" si="14">C121*H121</f>
        <v>0</v>
      </c>
      <c r="L121" s="278"/>
      <c r="M121" s="179"/>
    </row>
    <row r="122" spans="1:13">
      <c r="A122" s="223"/>
      <c r="B122" s="232" t="s">
        <v>6932</v>
      </c>
      <c r="C122" s="222">
        <v>4</v>
      </c>
      <c r="D122" s="222">
        <v>11.8</v>
      </c>
      <c r="E122" s="225">
        <v>0.82</v>
      </c>
      <c r="F122" s="222">
        <f>4.2</f>
        <v>4.2</v>
      </c>
      <c r="G122" s="221">
        <f>D122*E122+F122</f>
        <v>13.876000000000001</v>
      </c>
      <c r="H122" s="220"/>
      <c r="I122" s="220"/>
      <c r="J122" s="220">
        <f>G122*C122</f>
        <v>55.504000000000005</v>
      </c>
      <c r="K122" s="220">
        <f t="shared" si="14"/>
        <v>0</v>
      </c>
      <c r="L122" s="278"/>
      <c r="M122" s="179"/>
    </row>
    <row r="123" spans="1:13">
      <c r="A123" s="223"/>
      <c r="B123" s="232" t="s">
        <v>6933</v>
      </c>
      <c r="C123" s="222">
        <v>12</v>
      </c>
      <c r="D123" s="222">
        <v>14.72</v>
      </c>
      <c r="E123" s="225">
        <v>0.82</v>
      </c>
      <c r="F123" s="222">
        <f>4.92</f>
        <v>4.92</v>
      </c>
      <c r="G123" s="221">
        <f>D123*E123+F123</f>
        <v>16.990400000000001</v>
      </c>
      <c r="H123" s="220"/>
      <c r="I123" s="220"/>
      <c r="J123" s="220">
        <f t="shared" ref="J123:J145" si="15">G123*C123</f>
        <v>203.88480000000001</v>
      </c>
      <c r="K123" s="220">
        <f t="shared" si="14"/>
        <v>0</v>
      </c>
      <c r="L123" s="278"/>
      <c r="M123" s="179"/>
    </row>
    <row r="124" spans="1:13">
      <c r="A124" s="223"/>
      <c r="B124" s="232" t="s">
        <v>6934</v>
      </c>
      <c r="C124" s="222">
        <v>4</v>
      </c>
      <c r="D124" s="222">
        <v>16.12</v>
      </c>
      <c r="E124" s="225">
        <v>0.82</v>
      </c>
      <c r="F124" s="222">
        <f>5.76</f>
        <v>5.76</v>
      </c>
      <c r="G124" s="221">
        <f t="shared" ref="G124:G145" si="16">D124*E124+F124</f>
        <v>18.978400000000001</v>
      </c>
      <c r="H124" s="220"/>
      <c r="I124" s="220"/>
      <c r="J124" s="220">
        <f t="shared" si="15"/>
        <v>75.913600000000002</v>
      </c>
      <c r="K124" s="220">
        <f t="shared" si="14"/>
        <v>0</v>
      </c>
      <c r="L124" s="278"/>
      <c r="M124" s="179"/>
    </row>
    <row r="125" spans="1:13">
      <c r="A125" s="223"/>
      <c r="B125" s="232" t="s">
        <v>6935</v>
      </c>
      <c r="C125" s="222">
        <v>5</v>
      </c>
      <c r="D125" s="222">
        <f>2*(2*0.8+2*0.12)</f>
        <v>3.68</v>
      </c>
      <c r="E125" s="225">
        <v>0.8</v>
      </c>
      <c r="F125" s="222">
        <f>0.8*1.9</f>
        <v>1.52</v>
      </c>
      <c r="G125" s="221">
        <f t="shared" si="16"/>
        <v>4.4640000000000004</v>
      </c>
      <c r="H125" s="220"/>
      <c r="I125" s="220"/>
      <c r="J125" s="220">
        <f t="shared" si="15"/>
        <v>22.32</v>
      </c>
      <c r="K125" s="220">
        <f t="shared" si="14"/>
        <v>0</v>
      </c>
      <c r="L125" s="278"/>
      <c r="M125" s="179"/>
    </row>
    <row r="126" spans="1:13">
      <c r="A126" s="223"/>
      <c r="B126" s="232" t="s">
        <v>6936</v>
      </c>
      <c r="C126" s="222">
        <v>1</v>
      </c>
      <c r="D126" s="222">
        <f>3*(2*0.12+2*0.8)</f>
        <v>5.5200000000000005</v>
      </c>
      <c r="E126" s="225">
        <v>0.8</v>
      </c>
      <c r="F126" s="222">
        <f>2.37*0.8</f>
        <v>1.8960000000000001</v>
      </c>
      <c r="G126" s="221">
        <f t="shared" si="16"/>
        <v>6.3120000000000003</v>
      </c>
      <c r="H126" s="220"/>
      <c r="I126" s="220"/>
      <c r="J126" s="220">
        <f t="shared" si="15"/>
        <v>6.3120000000000003</v>
      </c>
      <c r="K126" s="220">
        <f t="shared" si="14"/>
        <v>0</v>
      </c>
      <c r="L126" s="278"/>
      <c r="M126" s="179"/>
    </row>
    <row r="127" spans="1:13">
      <c r="A127" s="223"/>
      <c r="B127" s="232" t="s">
        <v>6937</v>
      </c>
      <c r="C127" s="222">
        <v>2</v>
      </c>
      <c r="D127" s="222">
        <f>3*(2*0.12+2*0.7)</f>
        <v>4.92</v>
      </c>
      <c r="E127" s="225">
        <v>0.8</v>
      </c>
      <c r="F127" s="222">
        <f>2.5*0.7</f>
        <v>1.75</v>
      </c>
      <c r="G127" s="221">
        <f t="shared" si="16"/>
        <v>5.6859999999999999</v>
      </c>
      <c r="H127" s="220"/>
      <c r="I127" s="220"/>
      <c r="J127" s="220">
        <f t="shared" si="15"/>
        <v>11.372</v>
      </c>
      <c r="K127" s="220">
        <f t="shared" si="14"/>
        <v>0</v>
      </c>
      <c r="L127" s="278"/>
      <c r="M127" s="179"/>
    </row>
    <row r="128" spans="1:13">
      <c r="A128" s="223"/>
      <c r="B128" s="232" t="s">
        <v>6938</v>
      </c>
      <c r="C128" s="222">
        <v>2</v>
      </c>
      <c r="D128" s="222">
        <f>4*(2*0.12+2*0.8)</f>
        <v>7.36</v>
      </c>
      <c r="E128" s="225">
        <v>0.8</v>
      </c>
      <c r="F128" s="222">
        <f>2.97*0.8</f>
        <v>2.3760000000000003</v>
      </c>
      <c r="G128" s="221">
        <f t="shared" si="16"/>
        <v>8.2640000000000011</v>
      </c>
      <c r="H128" s="220"/>
      <c r="I128" s="220"/>
      <c r="J128" s="220">
        <f t="shared" si="15"/>
        <v>16.528000000000002</v>
      </c>
      <c r="K128" s="220">
        <f t="shared" si="14"/>
        <v>0</v>
      </c>
      <c r="L128" s="278"/>
      <c r="M128" s="179"/>
    </row>
    <row r="129" spans="1:13">
      <c r="A129" s="223"/>
      <c r="B129" s="232" t="s">
        <v>6939</v>
      </c>
      <c r="C129" s="222">
        <v>1</v>
      </c>
      <c r="D129" s="222">
        <f>4*(2*0.12+2*0.8)</f>
        <v>7.36</v>
      </c>
      <c r="E129" s="225">
        <v>0.8</v>
      </c>
      <c r="F129" s="222">
        <f>2.97*0.8</f>
        <v>2.3760000000000003</v>
      </c>
      <c r="G129" s="221">
        <f t="shared" si="16"/>
        <v>8.2640000000000011</v>
      </c>
      <c r="H129" s="220"/>
      <c r="I129" s="220"/>
      <c r="J129" s="220">
        <f t="shared" si="15"/>
        <v>8.2640000000000011</v>
      </c>
      <c r="K129" s="220">
        <f t="shared" si="14"/>
        <v>0</v>
      </c>
      <c r="L129" s="278"/>
      <c r="M129" s="179"/>
    </row>
    <row r="130" spans="1:13">
      <c r="A130" s="223"/>
      <c r="B130" s="232" t="s">
        <v>6940</v>
      </c>
      <c r="C130" s="222">
        <v>1</v>
      </c>
      <c r="D130" s="222">
        <f>6*(2*0.12+2*0.7)</f>
        <v>9.84</v>
      </c>
      <c r="E130" s="225">
        <v>0.8</v>
      </c>
      <c r="F130" s="222">
        <f>6.1*0.7</f>
        <v>4.2699999999999996</v>
      </c>
      <c r="G130" s="221">
        <f t="shared" si="16"/>
        <v>12.141999999999999</v>
      </c>
      <c r="H130" s="220"/>
      <c r="I130" s="220"/>
      <c r="J130" s="220">
        <f t="shared" si="15"/>
        <v>12.141999999999999</v>
      </c>
      <c r="K130" s="220">
        <f t="shared" si="14"/>
        <v>0</v>
      </c>
      <c r="L130" s="278"/>
      <c r="M130" s="179"/>
    </row>
    <row r="131" spans="1:13">
      <c r="A131" s="223"/>
      <c r="B131" s="232" t="s">
        <v>6941</v>
      </c>
      <c r="C131" s="222">
        <v>1</v>
      </c>
      <c r="D131" s="222">
        <f>4*(2*0.12+2*0.8)+0.12*0.67</f>
        <v>7.4404000000000003</v>
      </c>
      <c r="E131" s="225">
        <v>0.8</v>
      </c>
      <c r="F131" s="222">
        <f>4.91</f>
        <v>4.91</v>
      </c>
      <c r="G131" s="221">
        <f t="shared" si="16"/>
        <v>10.86232</v>
      </c>
      <c r="H131" s="220"/>
      <c r="I131" s="220"/>
      <c r="J131" s="220">
        <f t="shared" si="15"/>
        <v>10.86232</v>
      </c>
      <c r="K131" s="220">
        <f t="shared" si="14"/>
        <v>0</v>
      </c>
      <c r="L131" s="278"/>
      <c r="M131" s="179"/>
    </row>
    <row r="132" spans="1:13">
      <c r="A132" s="223"/>
      <c r="B132" s="232" t="s">
        <v>6942</v>
      </c>
      <c r="C132" s="222">
        <v>3</v>
      </c>
      <c r="D132" s="222">
        <f>2*(2*0.12+2*0.6)</f>
        <v>2.88</v>
      </c>
      <c r="E132" s="225">
        <v>0.82</v>
      </c>
      <c r="F132" s="222">
        <f>0.6*1.5</f>
        <v>0.89999999999999991</v>
      </c>
      <c r="G132" s="221">
        <f t="shared" si="16"/>
        <v>3.2615999999999996</v>
      </c>
      <c r="H132" s="220"/>
      <c r="I132" s="220"/>
      <c r="J132" s="220">
        <f t="shared" si="15"/>
        <v>9.7847999999999988</v>
      </c>
      <c r="K132" s="220">
        <f t="shared" si="14"/>
        <v>0</v>
      </c>
      <c r="L132" s="278"/>
      <c r="M132" s="179"/>
    </row>
    <row r="133" spans="1:13">
      <c r="A133" s="223"/>
      <c r="B133" s="232" t="s">
        <v>6943</v>
      </c>
      <c r="C133" s="222">
        <v>1</v>
      </c>
      <c r="D133" s="222">
        <f>3*(2*0.12+2*0.6)+1.5*0.6+1.87*0.6</f>
        <v>6.3420000000000005</v>
      </c>
      <c r="E133" s="225">
        <v>0.82</v>
      </c>
      <c r="F133" s="222">
        <f>0.6*1.87</f>
        <v>1.1220000000000001</v>
      </c>
      <c r="G133" s="221">
        <f t="shared" si="16"/>
        <v>6.3224400000000003</v>
      </c>
      <c r="H133" s="220"/>
      <c r="I133" s="220"/>
      <c r="J133" s="220">
        <f t="shared" si="15"/>
        <v>6.3224400000000003</v>
      </c>
      <c r="K133" s="220">
        <f t="shared" si="14"/>
        <v>0</v>
      </c>
      <c r="L133" s="278"/>
      <c r="M133" s="179"/>
    </row>
    <row r="134" spans="1:13">
      <c r="A134" s="223"/>
      <c r="B134" s="232" t="s">
        <v>6944</v>
      </c>
      <c r="C134" s="222">
        <v>1</v>
      </c>
      <c r="D134" s="222">
        <f>3*(2*0.12+2*0.5)+1.87*0.5</f>
        <v>4.6549999999999994</v>
      </c>
      <c r="E134" s="225">
        <v>0.82</v>
      </c>
      <c r="F134" s="222">
        <f>1.87*0.5</f>
        <v>0.93500000000000005</v>
      </c>
      <c r="G134" s="221">
        <f t="shared" si="16"/>
        <v>4.7520999999999987</v>
      </c>
      <c r="H134" s="220"/>
      <c r="I134" s="220"/>
      <c r="J134" s="220">
        <f t="shared" si="15"/>
        <v>4.7520999999999987</v>
      </c>
      <c r="K134" s="220">
        <f t="shared" si="14"/>
        <v>0</v>
      </c>
      <c r="L134" s="278"/>
      <c r="M134" s="179"/>
    </row>
    <row r="135" spans="1:13">
      <c r="A135" s="223"/>
      <c r="B135" s="232" t="s">
        <v>6945</v>
      </c>
      <c r="C135" s="222">
        <v>2</v>
      </c>
      <c r="D135" s="222">
        <f>3*(2*0.12+2*0.8)</f>
        <v>5.5200000000000005</v>
      </c>
      <c r="E135" s="225">
        <v>0.82</v>
      </c>
      <c r="F135" s="222">
        <f>2.3*0.8</f>
        <v>1.8399999999999999</v>
      </c>
      <c r="G135" s="221">
        <f t="shared" si="16"/>
        <v>6.3663999999999996</v>
      </c>
      <c r="H135" s="220"/>
      <c r="I135" s="220"/>
      <c r="J135" s="220">
        <f t="shared" si="15"/>
        <v>12.732799999999999</v>
      </c>
      <c r="K135" s="220">
        <f t="shared" si="14"/>
        <v>0</v>
      </c>
      <c r="L135" s="278"/>
      <c r="M135" s="179"/>
    </row>
    <row r="136" spans="1:13">
      <c r="A136" s="223"/>
      <c r="B136" s="232" t="s">
        <v>6946</v>
      </c>
      <c r="C136" s="222">
        <v>3</v>
      </c>
      <c r="D136" s="222">
        <f>4*(2*0.12+2*1)</f>
        <v>8.9600000000000009</v>
      </c>
      <c r="E136" s="225">
        <v>0.82</v>
      </c>
      <c r="F136" s="222">
        <f>4.1*0.98</f>
        <v>4.0179999999999998</v>
      </c>
      <c r="G136" s="221">
        <f t="shared" si="16"/>
        <v>11.3652</v>
      </c>
      <c r="H136" s="220"/>
      <c r="I136" s="220"/>
      <c r="J136" s="220">
        <f t="shared" si="15"/>
        <v>34.095599999999997</v>
      </c>
      <c r="K136" s="220">
        <f t="shared" si="14"/>
        <v>0</v>
      </c>
      <c r="L136" s="278"/>
      <c r="M136" s="179"/>
    </row>
    <row r="137" spans="1:13">
      <c r="A137" s="223"/>
      <c r="B137" s="232" t="s">
        <v>6947</v>
      </c>
      <c r="C137" s="222">
        <v>2</v>
      </c>
      <c r="D137" s="222">
        <f>4*(2*0.12+2*0.78)+4.1*0.78</f>
        <v>10.398</v>
      </c>
      <c r="E137" s="225">
        <v>0.82</v>
      </c>
      <c r="F137" s="222">
        <f>4.1*0.78</f>
        <v>3.198</v>
      </c>
      <c r="G137" s="221">
        <f t="shared" si="16"/>
        <v>11.724359999999999</v>
      </c>
      <c r="H137" s="220"/>
      <c r="I137" s="220"/>
      <c r="J137" s="220">
        <f t="shared" si="15"/>
        <v>23.448719999999998</v>
      </c>
      <c r="K137" s="220">
        <f t="shared" si="14"/>
        <v>0</v>
      </c>
      <c r="L137" s="278"/>
      <c r="M137" s="179"/>
    </row>
    <row r="138" spans="1:13">
      <c r="A138" s="223"/>
      <c r="B138" s="232" t="s">
        <v>6948</v>
      </c>
      <c r="C138" s="222">
        <v>2</v>
      </c>
      <c r="D138" s="222">
        <f>5*(2+2*0.12)</f>
        <v>11.200000000000001</v>
      </c>
      <c r="E138" s="225">
        <v>0.82</v>
      </c>
      <c r="F138" s="222">
        <f>5.45</f>
        <v>5.45</v>
      </c>
      <c r="G138" s="221">
        <f t="shared" si="16"/>
        <v>14.634</v>
      </c>
      <c r="H138" s="220"/>
      <c r="I138" s="220"/>
      <c r="J138" s="220">
        <f t="shared" si="15"/>
        <v>29.268000000000001</v>
      </c>
      <c r="K138" s="220">
        <f t="shared" si="14"/>
        <v>0</v>
      </c>
      <c r="L138" s="278"/>
      <c r="M138" s="179"/>
    </row>
    <row r="139" spans="1:13">
      <c r="A139" s="223"/>
      <c r="B139" s="232" t="s">
        <v>6949</v>
      </c>
      <c r="C139" s="222">
        <v>1</v>
      </c>
      <c r="D139" s="222">
        <f>5*(2*0.12+2*0.8)</f>
        <v>9.2000000000000011</v>
      </c>
      <c r="E139" s="225">
        <v>0.82</v>
      </c>
      <c r="F139" s="222">
        <f>5.55*0.8</f>
        <v>4.4400000000000004</v>
      </c>
      <c r="G139" s="221">
        <f t="shared" si="16"/>
        <v>11.984000000000002</v>
      </c>
      <c r="H139" s="220"/>
      <c r="I139" s="220"/>
      <c r="J139" s="220">
        <f t="shared" si="15"/>
        <v>11.984000000000002</v>
      </c>
      <c r="K139" s="220">
        <f t="shared" si="14"/>
        <v>0</v>
      </c>
      <c r="L139" s="278"/>
      <c r="M139" s="179"/>
    </row>
    <row r="140" spans="1:13">
      <c r="A140" s="223"/>
      <c r="B140" s="232" t="s">
        <v>6950</v>
      </c>
      <c r="C140" s="222">
        <v>2</v>
      </c>
      <c r="D140" s="222">
        <v>0</v>
      </c>
      <c r="E140" s="225">
        <v>0</v>
      </c>
      <c r="F140" s="222">
        <v>0</v>
      </c>
      <c r="G140" s="221">
        <f t="shared" si="16"/>
        <v>0</v>
      </c>
      <c r="H140" s="220"/>
      <c r="I140" s="220"/>
      <c r="J140" s="220">
        <f t="shared" si="15"/>
        <v>0</v>
      </c>
      <c r="K140" s="220">
        <f t="shared" si="14"/>
        <v>0</v>
      </c>
      <c r="L140" s="278"/>
      <c r="M140" s="179"/>
    </row>
    <row r="141" spans="1:13">
      <c r="A141" s="223"/>
      <c r="B141" s="232" t="s">
        <v>6951</v>
      </c>
      <c r="C141" s="222">
        <v>2</v>
      </c>
      <c r="D141" s="222">
        <v>0</v>
      </c>
      <c r="E141" s="225">
        <v>0</v>
      </c>
      <c r="F141" s="222">
        <v>0</v>
      </c>
      <c r="G141" s="221">
        <f t="shared" si="16"/>
        <v>0</v>
      </c>
      <c r="H141" s="220"/>
      <c r="I141" s="220"/>
      <c r="J141" s="220">
        <f t="shared" si="15"/>
        <v>0</v>
      </c>
      <c r="K141" s="220">
        <f t="shared" si="14"/>
        <v>0</v>
      </c>
      <c r="L141" s="278"/>
      <c r="M141" s="179"/>
    </row>
    <row r="142" spans="1:13">
      <c r="A142" s="223"/>
      <c r="B142" s="232" t="s">
        <v>6952</v>
      </c>
      <c r="C142" s="222">
        <v>1</v>
      </c>
      <c r="D142" s="222">
        <v>0</v>
      </c>
      <c r="E142" s="225">
        <v>0</v>
      </c>
      <c r="F142" s="222">
        <v>0</v>
      </c>
      <c r="G142" s="221">
        <f t="shared" si="16"/>
        <v>0</v>
      </c>
      <c r="H142" s="220"/>
      <c r="I142" s="220"/>
      <c r="J142" s="220">
        <f t="shared" si="15"/>
        <v>0</v>
      </c>
      <c r="K142" s="220">
        <f t="shared" si="14"/>
        <v>0</v>
      </c>
      <c r="L142" s="278"/>
      <c r="M142" s="179"/>
    </row>
    <row r="143" spans="1:13">
      <c r="A143" s="223"/>
      <c r="B143" s="232" t="s">
        <v>6953</v>
      </c>
      <c r="C143" s="222">
        <v>1</v>
      </c>
      <c r="D143" s="222">
        <v>0</v>
      </c>
      <c r="E143" s="225">
        <v>0</v>
      </c>
      <c r="F143" s="222">
        <v>0</v>
      </c>
      <c r="G143" s="221">
        <f t="shared" si="16"/>
        <v>0</v>
      </c>
      <c r="H143" s="220"/>
      <c r="I143" s="220"/>
      <c r="J143" s="220">
        <f t="shared" si="15"/>
        <v>0</v>
      </c>
      <c r="K143" s="220">
        <f t="shared" si="14"/>
        <v>0</v>
      </c>
      <c r="L143" s="278"/>
      <c r="M143" s="179"/>
    </row>
    <row r="144" spans="1:13">
      <c r="A144" s="223"/>
      <c r="B144" s="232" t="s">
        <v>6955</v>
      </c>
      <c r="C144" s="222">
        <v>1</v>
      </c>
      <c r="D144" s="222">
        <v>0</v>
      </c>
      <c r="E144" s="225">
        <v>0</v>
      </c>
      <c r="F144" s="222">
        <v>0</v>
      </c>
      <c r="G144" s="221">
        <f t="shared" si="16"/>
        <v>0</v>
      </c>
      <c r="H144" s="220"/>
      <c r="I144" s="220"/>
      <c r="J144" s="220">
        <f t="shared" si="15"/>
        <v>0</v>
      </c>
      <c r="K144" s="220">
        <f t="shared" si="14"/>
        <v>0</v>
      </c>
      <c r="L144" s="278"/>
      <c r="M144" s="179"/>
    </row>
    <row r="145" spans="1:13">
      <c r="A145" s="223"/>
      <c r="B145" s="232" t="s">
        <v>6954</v>
      </c>
      <c r="C145" s="222">
        <v>2</v>
      </c>
      <c r="D145" s="222">
        <v>0</v>
      </c>
      <c r="E145" s="225">
        <v>0</v>
      </c>
      <c r="F145" s="222">
        <v>0</v>
      </c>
      <c r="G145" s="221">
        <f t="shared" si="16"/>
        <v>0</v>
      </c>
      <c r="H145" s="220"/>
      <c r="I145" s="220"/>
      <c r="J145" s="220">
        <f t="shared" si="15"/>
        <v>0</v>
      </c>
      <c r="K145" s="220">
        <f t="shared" si="14"/>
        <v>0</v>
      </c>
      <c r="L145" s="278"/>
      <c r="M145" s="179"/>
    </row>
    <row r="146" spans="1:13">
      <c r="A146" s="228"/>
      <c r="B146" s="229"/>
      <c r="C146" s="229"/>
      <c r="D146" s="229"/>
      <c r="E146" s="229"/>
      <c r="F146" s="747" t="s">
        <v>7875</v>
      </c>
      <c r="G146" s="747"/>
      <c r="H146" s="747"/>
      <c r="I146" s="230">
        <f>ROUND(SUM(I120:I145),2)</f>
        <v>0</v>
      </c>
      <c r="J146" s="230">
        <f>ROUND(SUM(J120:J145),2)</f>
        <v>591.16999999999996</v>
      </c>
      <c r="K146" s="230">
        <f>ROUND(SUM(K120:K145),2)</f>
        <v>0</v>
      </c>
      <c r="M146" s="179"/>
    </row>
    <row r="147" spans="1:13">
      <c r="A147" s="223"/>
      <c r="B147" s="746"/>
      <c r="C147" s="746"/>
      <c r="D147" s="746"/>
      <c r="E147" s="746"/>
      <c r="F147" s="746"/>
      <c r="G147" s="746"/>
      <c r="H147" s="746"/>
      <c r="I147" s="746"/>
      <c r="J147" s="746"/>
      <c r="K147" s="223"/>
      <c r="M147" s="179"/>
    </row>
    <row r="148" spans="1:13">
      <c r="A148" s="226" t="str">
        <f>'Orç - Prédio'!A81</f>
        <v>03.02.443</v>
      </c>
      <c r="B148" s="748" t="str">
        <f>'Orç - Prédio'!D81</f>
        <v>Concreto fck = 15 MPa, traço 1:3,4:3,5 (cimento/areia média/brita 1), preparo mecânico com betoneira</v>
      </c>
      <c r="C148" s="748"/>
      <c r="D148" s="748"/>
      <c r="E148" s="748"/>
      <c r="F148" s="748"/>
      <c r="G148" s="748"/>
      <c r="H148" s="748"/>
      <c r="I148" s="748"/>
      <c r="J148" s="748"/>
      <c r="K148" s="227"/>
      <c r="L148" s="176" t="s">
        <v>8979</v>
      </c>
      <c r="M148" s="179"/>
    </row>
    <row r="149" spans="1:13">
      <c r="A149" s="745"/>
      <c r="B149" s="745"/>
      <c r="C149" s="218"/>
      <c r="D149" s="218"/>
      <c r="E149" s="218"/>
      <c r="F149" s="218"/>
      <c r="G149" s="745" t="s">
        <v>7863</v>
      </c>
      <c r="H149" s="745"/>
      <c r="I149" s="745" t="s">
        <v>7864</v>
      </c>
      <c r="J149" s="745"/>
      <c r="K149" s="745"/>
      <c r="M149" s="179"/>
    </row>
    <row r="150" spans="1:13" ht="22.5">
      <c r="A150" s="745" t="s">
        <v>7880</v>
      </c>
      <c r="B150" s="745"/>
      <c r="C150" s="745" t="s">
        <v>7865</v>
      </c>
      <c r="D150" s="745" t="s">
        <v>7866</v>
      </c>
      <c r="E150" s="745" t="s">
        <v>7867</v>
      </c>
      <c r="F150" s="745" t="s">
        <v>7868</v>
      </c>
      <c r="G150" s="223" t="s">
        <v>7869</v>
      </c>
      <c r="H150" s="223" t="s">
        <v>7870</v>
      </c>
      <c r="I150" s="223" t="s">
        <v>7871</v>
      </c>
      <c r="J150" s="223" t="s">
        <v>7869</v>
      </c>
      <c r="K150" s="223" t="s">
        <v>7870</v>
      </c>
      <c r="M150" s="179"/>
    </row>
    <row r="151" spans="1:13">
      <c r="A151" s="745"/>
      <c r="B151" s="745"/>
      <c r="C151" s="745"/>
      <c r="D151" s="745"/>
      <c r="E151" s="745"/>
      <c r="F151" s="745"/>
      <c r="G151" s="223" t="s">
        <v>7872</v>
      </c>
      <c r="H151" s="223" t="s">
        <v>7873</v>
      </c>
      <c r="I151" s="223" t="s">
        <v>7874</v>
      </c>
      <c r="J151" s="223" t="s">
        <v>7872</v>
      </c>
      <c r="K151" s="223" t="s">
        <v>7873</v>
      </c>
      <c r="M151" s="179"/>
    </row>
    <row r="152" spans="1:13">
      <c r="A152" s="223"/>
      <c r="B152" s="232" t="s">
        <v>6931</v>
      </c>
      <c r="C152" s="222">
        <v>2</v>
      </c>
      <c r="D152" s="222"/>
      <c r="E152" s="225"/>
      <c r="F152" s="222"/>
      <c r="G152" s="221"/>
      <c r="H152" s="220">
        <f>0.87*0.82+5.76*0.06</f>
        <v>1.0589999999999999</v>
      </c>
      <c r="I152" s="220"/>
      <c r="J152" s="220">
        <f>G152*C152</f>
        <v>0</v>
      </c>
      <c r="K152" s="220">
        <f t="shared" ref="K152:K177" si="17">C152*H152</f>
        <v>2.1179999999999999</v>
      </c>
      <c r="L152" s="278"/>
      <c r="M152" s="179"/>
    </row>
    <row r="153" spans="1:13">
      <c r="A153" s="223"/>
      <c r="B153" s="232" t="s">
        <v>6932</v>
      </c>
      <c r="C153" s="222">
        <v>4</v>
      </c>
      <c r="D153" s="222"/>
      <c r="E153" s="225"/>
      <c r="F153" s="222"/>
      <c r="G153" s="221"/>
      <c r="H153" s="220">
        <f>0.69*0.82</f>
        <v>0.56579999999999997</v>
      </c>
      <c r="I153" s="220"/>
      <c r="J153" s="220">
        <f>G153*C153</f>
        <v>0</v>
      </c>
      <c r="K153" s="220">
        <f t="shared" si="17"/>
        <v>2.2631999999999999</v>
      </c>
      <c r="L153" s="278"/>
      <c r="M153" s="179"/>
    </row>
    <row r="154" spans="1:13">
      <c r="A154" s="223"/>
      <c r="B154" s="232" t="s">
        <v>6933</v>
      </c>
      <c r="C154" s="222">
        <v>12</v>
      </c>
      <c r="D154" s="222"/>
      <c r="E154" s="225"/>
      <c r="F154" s="222"/>
      <c r="G154" s="221"/>
      <c r="H154" s="220">
        <f>0.87*0.82</f>
        <v>0.71339999999999992</v>
      </c>
      <c r="I154" s="220"/>
      <c r="J154" s="220">
        <f t="shared" ref="J154:J176" si="18">G154*C154</f>
        <v>0</v>
      </c>
      <c r="K154" s="220">
        <f t="shared" si="17"/>
        <v>8.5607999999999986</v>
      </c>
      <c r="L154" s="278"/>
      <c r="M154" s="179"/>
    </row>
    <row r="155" spans="1:13">
      <c r="A155" s="223"/>
      <c r="B155" s="232" t="s">
        <v>6934</v>
      </c>
      <c r="C155" s="222">
        <v>4</v>
      </c>
      <c r="D155" s="222"/>
      <c r="E155" s="225"/>
      <c r="F155" s="222"/>
      <c r="G155" s="221"/>
      <c r="H155" s="220">
        <f>0.9528*0.82</f>
        <v>0.78129599999999999</v>
      </c>
      <c r="I155" s="220"/>
      <c r="J155" s="220">
        <f t="shared" si="18"/>
        <v>0</v>
      </c>
      <c r="K155" s="220">
        <f t="shared" si="17"/>
        <v>3.125184</v>
      </c>
      <c r="L155" s="278"/>
      <c r="M155" s="179"/>
    </row>
    <row r="156" spans="1:13">
      <c r="A156" s="223"/>
      <c r="B156" s="232" t="s">
        <v>6935</v>
      </c>
      <c r="C156" s="222">
        <v>5</v>
      </c>
      <c r="D156" s="222"/>
      <c r="E156" s="225"/>
      <c r="F156" s="222"/>
      <c r="G156" s="221"/>
      <c r="H156" s="220">
        <f>0.8*0.12*0.8*2</f>
        <v>0.15360000000000001</v>
      </c>
      <c r="I156" s="220"/>
      <c r="J156" s="220">
        <f t="shared" si="18"/>
        <v>0</v>
      </c>
      <c r="K156" s="220">
        <f t="shared" si="17"/>
        <v>0.76800000000000002</v>
      </c>
      <c r="L156" s="278"/>
      <c r="M156" s="179"/>
    </row>
    <row r="157" spans="1:13">
      <c r="A157" s="223"/>
      <c r="B157" s="232" t="s">
        <v>6936</v>
      </c>
      <c r="C157" s="222">
        <v>1</v>
      </c>
      <c r="D157" s="222"/>
      <c r="E157" s="225"/>
      <c r="F157" s="222"/>
      <c r="G157" s="221"/>
      <c r="H157" s="220">
        <f>3*0.12*0.8*0.8</f>
        <v>0.23039999999999999</v>
      </c>
      <c r="I157" s="220"/>
      <c r="J157" s="220">
        <f t="shared" si="18"/>
        <v>0</v>
      </c>
      <c r="K157" s="220">
        <f t="shared" si="17"/>
        <v>0.23039999999999999</v>
      </c>
      <c r="L157" s="278"/>
      <c r="M157" s="179"/>
    </row>
    <row r="158" spans="1:13">
      <c r="A158" s="223"/>
      <c r="B158" s="232" t="s">
        <v>6937</v>
      </c>
      <c r="C158" s="222">
        <v>2</v>
      </c>
      <c r="D158" s="222"/>
      <c r="E158" s="225"/>
      <c r="F158" s="222"/>
      <c r="G158" s="221"/>
      <c r="H158" s="220">
        <f>3*0.12*0.7*0.8</f>
        <v>0.2016</v>
      </c>
      <c r="I158" s="220"/>
      <c r="J158" s="220">
        <f t="shared" si="18"/>
        <v>0</v>
      </c>
      <c r="K158" s="220">
        <f t="shared" si="17"/>
        <v>0.4032</v>
      </c>
      <c r="L158" s="278"/>
      <c r="M158" s="179"/>
    </row>
    <row r="159" spans="1:13">
      <c r="A159" s="223"/>
      <c r="B159" s="232" t="s">
        <v>6938</v>
      </c>
      <c r="C159" s="222">
        <v>2</v>
      </c>
      <c r="D159" s="222"/>
      <c r="E159" s="225"/>
      <c r="F159" s="222"/>
      <c r="G159" s="221"/>
      <c r="H159" s="220">
        <f>4*0.12*0.8*0.8</f>
        <v>0.30720000000000003</v>
      </c>
      <c r="I159" s="220"/>
      <c r="J159" s="220">
        <f t="shared" si="18"/>
        <v>0</v>
      </c>
      <c r="K159" s="220">
        <f t="shared" si="17"/>
        <v>0.61440000000000006</v>
      </c>
      <c r="L159" s="278"/>
      <c r="M159" s="179"/>
    </row>
    <row r="160" spans="1:13">
      <c r="A160" s="223"/>
      <c r="B160" s="232" t="s">
        <v>6939</v>
      </c>
      <c r="C160" s="222">
        <v>1</v>
      </c>
      <c r="D160" s="222"/>
      <c r="E160" s="225"/>
      <c r="F160" s="222"/>
      <c r="G160" s="221"/>
      <c r="H160" s="220">
        <f>4*0.12*0.8*0.8</f>
        <v>0.30720000000000003</v>
      </c>
      <c r="I160" s="220"/>
      <c r="J160" s="220">
        <f t="shared" si="18"/>
        <v>0</v>
      </c>
      <c r="K160" s="220">
        <f t="shared" si="17"/>
        <v>0.30720000000000003</v>
      </c>
      <c r="L160" s="278"/>
      <c r="M160" s="179"/>
    </row>
    <row r="161" spans="1:13">
      <c r="A161" s="223"/>
      <c r="B161" s="232" t="s">
        <v>6940</v>
      </c>
      <c r="C161" s="222">
        <v>1</v>
      </c>
      <c r="D161" s="222"/>
      <c r="E161" s="225"/>
      <c r="F161" s="222"/>
      <c r="G161" s="221"/>
      <c r="H161" s="220">
        <f>6*0.12*0.7*0.8</f>
        <v>0.4032</v>
      </c>
      <c r="I161" s="220"/>
      <c r="J161" s="220">
        <f t="shared" si="18"/>
        <v>0</v>
      </c>
      <c r="K161" s="220">
        <f t="shared" si="17"/>
        <v>0.4032</v>
      </c>
      <c r="L161" s="278"/>
      <c r="M161" s="179"/>
    </row>
    <row r="162" spans="1:13">
      <c r="A162" s="223"/>
      <c r="B162" s="232" t="s">
        <v>6941</v>
      </c>
      <c r="C162" s="222">
        <v>1</v>
      </c>
      <c r="D162" s="222"/>
      <c r="E162" s="225"/>
      <c r="F162" s="222"/>
      <c r="G162" s="221"/>
      <c r="H162" s="220">
        <f>4*0.12*0.8*0.8+0.12*0.8*0.67</f>
        <v>0.37152000000000002</v>
      </c>
      <c r="I162" s="220"/>
      <c r="J162" s="220">
        <f t="shared" si="18"/>
        <v>0</v>
      </c>
      <c r="K162" s="220">
        <f t="shared" si="17"/>
        <v>0.37152000000000002</v>
      </c>
      <c r="L162" s="278"/>
      <c r="M162" s="179"/>
    </row>
    <row r="163" spans="1:13">
      <c r="A163" s="223"/>
      <c r="B163" s="232" t="s">
        <v>6942</v>
      </c>
      <c r="C163" s="222">
        <v>3</v>
      </c>
      <c r="D163" s="222"/>
      <c r="E163" s="225"/>
      <c r="F163" s="222"/>
      <c r="G163" s="221"/>
      <c r="H163" s="220">
        <f>2*0.82*0.12*0.6+0.08*0.06*1.5</f>
        <v>0.12527999999999997</v>
      </c>
      <c r="I163" s="220"/>
      <c r="J163" s="220">
        <f t="shared" si="18"/>
        <v>0</v>
      </c>
      <c r="K163" s="220">
        <f t="shared" si="17"/>
        <v>0.37583999999999995</v>
      </c>
      <c r="L163" s="278"/>
      <c r="M163" s="179"/>
    </row>
    <row r="164" spans="1:13">
      <c r="A164" s="223"/>
      <c r="B164" s="232" t="s">
        <v>6943</v>
      </c>
      <c r="C164" s="222">
        <v>1</v>
      </c>
      <c r="D164" s="222"/>
      <c r="E164" s="225"/>
      <c r="F164" s="222"/>
      <c r="G164" s="221"/>
      <c r="H164" s="220">
        <f>3*0.82*0.12*0.6+1.87*0.6*0.08</f>
        <v>0.26688000000000001</v>
      </c>
      <c r="I164" s="220"/>
      <c r="J164" s="220">
        <f t="shared" si="18"/>
        <v>0</v>
      </c>
      <c r="K164" s="220">
        <f t="shared" si="17"/>
        <v>0.26688000000000001</v>
      </c>
      <c r="L164" s="278"/>
      <c r="M164" s="179"/>
    </row>
    <row r="165" spans="1:13">
      <c r="A165" s="223"/>
      <c r="B165" s="232" t="s">
        <v>6944</v>
      </c>
      <c r="C165" s="222">
        <v>1</v>
      </c>
      <c r="D165" s="222"/>
      <c r="E165" s="225"/>
      <c r="F165" s="222"/>
      <c r="G165" s="221"/>
      <c r="H165" s="220">
        <f>3*0.82*0.12*0.5+1.87*0.5*0.08</f>
        <v>0.22239999999999999</v>
      </c>
      <c r="I165" s="220"/>
      <c r="J165" s="220">
        <f t="shared" si="18"/>
        <v>0</v>
      </c>
      <c r="K165" s="220">
        <f t="shared" si="17"/>
        <v>0.22239999999999999</v>
      </c>
      <c r="L165" s="278"/>
      <c r="M165" s="179"/>
    </row>
    <row r="166" spans="1:13">
      <c r="A166" s="223"/>
      <c r="B166" s="232" t="s">
        <v>6945</v>
      </c>
      <c r="C166" s="222">
        <v>2</v>
      </c>
      <c r="D166" s="222"/>
      <c r="E166" s="225"/>
      <c r="F166" s="222"/>
      <c r="G166" s="221"/>
      <c r="H166" s="220">
        <f>3*0.12*0.8*0.82+0.8*2.3*0.08</f>
        <v>0.38335999999999998</v>
      </c>
      <c r="I166" s="220"/>
      <c r="J166" s="220">
        <f t="shared" si="18"/>
        <v>0</v>
      </c>
      <c r="K166" s="220">
        <f t="shared" si="17"/>
        <v>0.76671999999999996</v>
      </c>
      <c r="L166" s="278"/>
      <c r="M166" s="179"/>
    </row>
    <row r="167" spans="1:13">
      <c r="A167" s="223"/>
      <c r="B167" s="232" t="s">
        <v>6946</v>
      </c>
      <c r="C167" s="222">
        <v>3</v>
      </c>
      <c r="D167" s="222"/>
      <c r="E167" s="225"/>
      <c r="F167" s="222"/>
      <c r="G167" s="221"/>
      <c r="H167" s="220">
        <f>4*0.82*0.12+0.08*4.1*1</f>
        <v>0.72159999999999991</v>
      </c>
      <c r="I167" s="220"/>
      <c r="J167" s="220">
        <f t="shared" si="18"/>
        <v>0</v>
      </c>
      <c r="K167" s="220">
        <f t="shared" si="17"/>
        <v>2.1647999999999996</v>
      </c>
      <c r="L167" s="278"/>
      <c r="M167" s="179"/>
    </row>
    <row r="168" spans="1:13">
      <c r="A168" s="223"/>
      <c r="B168" s="232" t="s">
        <v>6947</v>
      </c>
      <c r="C168" s="222">
        <v>2</v>
      </c>
      <c r="D168" s="222"/>
      <c r="E168" s="225"/>
      <c r="F168" s="222"/>
      <c r="G168" s="221"/>
      <c r="H168" s="220">
        <f>4*0.12*0.78*0.82+0.08*4.1*0.78</f>
        <v>0.56284800000000001</v>
      </c>
      <c r="I168" s="220"/>
      <c r="J168" s="220">
        <f t="shared" si="18"/>
        <v>0</v>
      </c>
      <c r="K168" s="220">
        <f t="shared" si="17"/>
        <v>1.125696</v>
      </c>
      <c r="L168" s="278"/>
      <c r="M168" s="179"/>
    </row>
    <row r="169" spans="1:13">
      <c r="A169" s="223"/>
      <c r="B169" s="232" t="s">
        <v>6948</v>
      </c>
      <c r="C169" s="222">
        <v>2</v>
      </c>
      <c r="D169" s="222"/>
      <c r="E169" s="225"/>
      <c r="F169" s="222"/>
      <c r="G169" s="221"/>
      <c r="H169" s="220">
        <f>5*0.82*0.12*1+0.08*1*5.45</f>
        <v>0.92799999999999994</v>
      </c>
      <c r="I169" s="220"/>
      <c r="J169" s="220">
        <f t="shared" si="18"/>
        <v>0</v>
      </c>
      <c r="K169" s="220">
        <f t="shared" si="17"/>
        <v>1.8559999999999999</v>
      </c>
      <c r="L169" s="278"/>
      <c r="M169" s="179"/>
    </row>
    <row r="170" spans="1:13">
      <c r="A170" s="223"/>
      <c r="B170" s="232" t="s">
        <v>6949</v>
      </c>
      <c r="C170" s="222">
        <v>1</v>
      </c>
      <c r="D170" s="222"/>
      <c r="E170" s="225"/>
      <c r="F170" s="222"/>
      <c r="G170" s="221"/>
      <c r="H170" s="220">
        <f>5*0.82*0.12*0.8+0.08*5.55*0.8</f>
        <v>0.74879999999999991</v>
      </c>
      <c r="I170" s="220"/>
      <c r="J170" s="220">
        <f t="shared" si="18"/>
        <v>0</v>
      </c>
      <c r="K170" s="220">
        <f t="shared" si="17"/>
        <v>0.74879999999999991</v>
      </c>
      <c r="L170" s="278"/>
      <c r="M170" s="179"/>
    </row>
    <row r="171" spans="1:13">
      <c r="A171" s="223"/>
      <c r="B171" s="232" t="s">
        <v>6950</v>
      </c>
      <c r="C171" s="222">
        <v>1</v>
      </c>
      <c r="D171" s="222">
        <v>0</v>
      </c>
      <c r="E171" s="225">
        <v>0</v>
      </c>
      <c r="F171" s="222">
        <v>0</v>
      </c>
      <c r="G171" s="221">
        <f t="shared" ref="G171:G176" si="19">D171*E171+F171</f>
        <v>0</v>
      </c>
      <c r="H171" s="220">
        <v>0</v>
      </c>
      <c r="I171" s="220"/>
      <c r="J171" s="220">
        <f t="shared" si="18"/>
        <v>0</v>
      </c>
      <c r="K171" s="220">
        <f t="shared" si="17"/>
        <v>0</v>
      </c>
      <c r="L171" s="278"/>
      <c r="M171" s="179"/>
    </row>
    <row r="172" spans="1:13">
      <c r="A172" s="223"/>
      <c r="B172" s="232" t="s">
        <v>6951</v>
      </c>
      <c r="C172" s="222">
        <v>1</v>
      </c>
      <c r="D172" s="222">
        <v>0</v>
      </c>
      <c r="E172" s="225">
        <v>0</v>
      </c>
      <c r="F172" s="222">
        <v>0</v>
      </c>
      <c r="G172" s="221">
        <f t="shared" si="19"/>
        <v>0</v>
      </c>
      <c r="H172" s="220">
        <v>0</v>
      </c>
      <c r="I172" s="220"/>
      <c r="J172" s="220">
        <f t="shared" si="18"/>
        <v>0</v>
      </c>
      <c r="K172" s="220">
        <f t="shared" si="17"/>
        <v>0</v>
      </c>
      <c r="L172" s="278"/>
      <c r="M172" s="179"/>
    </row>
    <row r="173" spans="1:13">
      <c r="A173" s="223"/>
      <c r="B173" s="232" t="s">
        <v>6952</v>
      </c>
      <c r="C173" s="222">
        <v>1</v>
      </c>
      <c r="D173" s="222">
        <v>0</v>
      </c>
      <c r="E173" s="225">
        <v>0</v>
      </c>
      <c r="F173" s="222">
        <v>0</v>
      </c>
      <c r="G173" s="221">
        <f t="shared" si="19"/>
        <v>0</v>
      </c>
      <c r="H173" s="220">
        <v>0</v>
      </c>
      <c r="I173" s="220"/>
      <c r="J173" s="220">
        <f t="shared" si="18"/>
        <v>0</v>
      </c>
      <c r="K173" s="220">
        <f t="shared" si="17"/>
        <v>0</v>
      </c>
      <c r="L173" s="278"/>
      <c r="M173" s="179"/>
    </row>
    <row r="174" spans="1:13">
      <c r="A174" s="223"/>
      <c r="B174" s="232" t="s">
        <v>6953</v>
      </c>
      <c r="C174" s="222">
        <v>1</v>
      </c>
      <c r="D174" s="222">
        <v>0</v>
      </c>
      <c r="E174" s="225">
        <v>0</v>
      </c>
      <c r="F174" s="222">
        <v>0</v>
      </c>
      <c r="G174" s="221">
        <f t="shared" si="19"/>
        <v>0</v>
      </c>
      <c r="H174" s="220">
        <v>0</v>
      </c>
      <c r="I174" s="220"/>
      <c r="J174" s="220">
        <f t="shared" si="18"/>
        <v>0</v>
      </c>
      <c r="K174" s="220">
        <f t="shared" si="17"/>
        <v>0</v>
      </c>
      <c r="L174" s="278"/>
      <c r="M174" s="179"/>
    </row>
    <row r="175" spans="1:13">
      <c r="A175" s="223"/>
      <c r="B175" s="232" t="s">
        <v>6955</v>
      </c>
      <c r="C175" s="222">
        <v>1</v>
      </c>
      <c r="D175" s="222">
        <v>0</v>
      </c>
      <c r="E175" s="225">
        <v>0</v>
      </c>
      <c r="F175" s="222">
        <v>0</v>
      </c>
      <c r="G175" s="221">
        <f t="shared" si="19"/>
        <v>0</v>
      </c>
      <c r="H175" s="220">
        <v>0</v>
      </c>
      <c r="I175" s="220"/>
      <c r="J175" s="220">
        <f t="shared" si="18"/>
        <v>0</v>
      </c>
      <c r="K175" s="220">
        <f t="shared" si="17"/>
        <v>0</v>
      </c>
      <c r="L175" s="278"/>
      <c r="M175" s="179"/>
    </row>
    <row r="176" spans="1:13">
      <c r="A176" s="223"/>
      <c r="B176" s="232" t="s">
        <v>6954</v>
      </c>
      <c r="C176" s="222">
        <v>1</v>
      </c>
      <c r="D176" s="222">
        <v>0</v>
      </c>
      <c r="E176" s="225">
        <v>0</v>
      </c>
      <c r="F176" s="222">
        <v>0</v>
      </c>
      <c r="G176" s="221">
        <f t="shared" si="19"/>
        <v>0</v>
      </c>
      <c r="H176" s="220">
        <v>0</v>
      </c>
      <c r="I176" s="220"/>
      <c r="J176" s="220">
        <f t="shared" si="18"/>
        <v>0</v>
      </c>
      <c r="K176" s="220">
        <f t="shared" si="17"/>
        <v>0</v>
      </c>
      <c r="L176" s="278"/>
      <c r="M176" s="179"/>
    </row>
    <row r="177" spans="1:13">
      <c r="A177" s="223"/>
      <c r="B177" s="219"/>
      <c r="C177" s="222"/>
      <c r="D177" s="222"/>
      <c r="E177" s="225"/>
      <c r="F177" s="222"/>
      <c r="G177" s="221"/>
      <c r="H177" s="220"/>
      <c r="I177" s="220"/>
      <c r="J177" s="220"/>
      <c r="K177" s="220">
        <f t="shared" si="17"/>
        <v>0</v>
      </c>
      <c r="M177" s="179"/>
    </row>
    <row r="178" spans="1:13">
      <c r="A178" s="228"/>
      <c r="B178" s="229"/>
      <c r="C178" s="229"/>
      <c r="D178" s="229"/>
      <c r="E178" s="229"/>
      <c r="F178" s="747" t="s">
        <v>7875</v>
      </c>
      <c r="G178" s="747"/>
      <c r="H178" s="747"/>
      <c r="I178" s="230">
        <f>ROUND(SUM(I152:I177),2)</f>
        <v>0</v>
      </c>
      <c r="J178" s="230">
        <f>ROUND(SUM(J152:J177),2)</f>
        <v>0</v>
      </c>
      <c r="K178" s="230">
        <f>ROUND(SUM(K152:K177),2)</f>
        <v>26.69</v>
      </c>
      <c r="M178" s="179"/>
    </row>
    <row r="179" spans="1:13">
      <c r="A179" s="223"/>
      <c r="B179" s="746"/>
      <c r="C179" s="746"/>
      <c r="D179" s="746"/>
      <c r="E179" s="746"/>
      <c r="F179" s="746"/>
      <c r="G179" s="746"/>
      <c r="H179" s="746"/>
      <c r="I179" s="746"/>
      <c r="J179" s="746"/>
      <c r="K179" s="223"/>
    </row>
    <row r="180" spans="1:13" ht="22.5">
      <c r="A180" s="226" t="str">
        <f>'Orç - Prédio'!A105</f>
        <v>04.01.102.01</v>
      </c>
      <c r="B180" s="748" t="str">
        <f>'Orç - Prédio'!D105</f>
        <v>Alvenaria de vedação de blocos vazados de cerâmica de 9x19x19 cm (espessura 9cm)</v>
      </c>
      <c r="C180" s="748"/>
      <c r="D180" s="748"/>
      <c r="E180" s="748"/>
      <c r="F180" s="748"/>
      <c r="G180" s="748"/>
      <c r="H180" s="748"/>
      <c r="I180" s="748"/>
      <c r="J180" s="748"/>
      <c r="K180" s="227" t="str">
        <f>'Orç - Prédio'!F105</f>
        <v>m2</v>
      </c>
      <c r="L180" s="176" t="s">
        <v>8979</v>
      </c>
    </row>
    <row r="181" spans="1:13">
      <c r="A181" s="745"/>
      <c r="B181" s="745"/>
      <c r="C181" s="218"/>
      <c r="D181" s="218"/>
      <c r="E181" s="218"/>
      <c r="F181" s="218"/>
      <c r="G181" s="745" t="s">
        <v>7863</v>
      </c>
      <c r="H181" s="745"/>
      <c r="I181" s="745" t="s">
        <v>7864</v>
      </c>
      <c r="J181" s="745"/>
      <c r="K181" s="745"/>
      <c r="L181" s="177"/>
      <c r="M181" s="177"/>
    </row>
    <row r="182" spans="1:13" ht="22.5">
      <c r="A182" s="745" t="s">
        <v>7880</v>
      </c>
      <c r="B182" s="745"/>
      <c r="C182" s="745" t="s">
        <v>7865</v>
      </c>
      <c r="D182" s="745" t="s">
        <v>7866</v>
      </c>
      <c r="E182" s="745" t="s">
        <v>7867</v>
      </c>
      <c r="F182" s="745" t="s">
        <v>7868</v>
      </c>
      <c r="G182" s="224" t="s">
        <v>7869</v>
      </c>
      <c r="H182" s="224" t="s">
        <v>7870</v>
      </c>
      <c r="I182" s="224" t="s">
        <v>7871</v>
      </c>
      <c r="J182" s="224" t="s">
        <v>7869</v>
      </c>
      <c r="K182" s="224" t="s">
        <v>7870</v>
      </c>
      <c r="L182" s="177"/>
      <c r="M182" s="177"/>
    </row>
    <row r="183" spans="1:13">
      <c r="A183" s="745"/>
      <c r="B183" s="745"/>
      <c r="C183" s="745"/>
      <c r="D183" s="745"/>
      <c r="E183" s="745"/>
      <c r="F183" s="745"/>
      <c r="G183" s="224" t="s">
        <v>7872</v>
      </c>
      <c r="H183" s="224" t="s">
        <v>7873</v>
      </c>
      <c r="I183" s="224" t="s">
        <v>7874</v>
      </c>
      <c r="J183" s="224" t="s">
        <v>7872</v>
      </c>
      <c r="K183" s="224" t="s">
        <v>7873</v>
      </c>
      <c r="L183" s="177"/>
      <c r="M183" s="177"/>
    </row>
    <row r="184" spans="1:13">
      <c r="A184" s="224"/>
      <c r="B184" s="234" t="s">
        <v>6875</v>
      </c>
      <c r="C184" s="222">
        <v>1</v>
      </c>
      <c r="D184" s="222">
        <v>125.56</v>
      </c>
      <c r="E184" s="225"/>
      <c r="F184" s="231">
        <v>3.45</v>
      </c>
      <c r="G184" s="221">
        <f>F184*D184</f>
        <v>433.18200000000002</v>
      </c>
      <c r="H184" s="220"/>
      <c r="I184" s="220"/>
      <c r="J184" s="220">
        <f t="shared" ref="J184:J189" si="20">G184*C184</f>
        <v>433.18200000000002</v>
      </c>
      <c r="K184" s="220">
        <f t="shared" ref="K184:K189" si="21">C184*H184</f>
        <v>0</v>
      </c>
      <c r="L184" s="279"/>
      <c r="M184" s="177"/>
    </row>
    <row r="185" spans="1:13">
      <c r="A185" s="224"/>
      <c r="B185" s="234" t="s">
        <v>6876</v>
      </c>
      <c r="C185" s="222">
        <v>1</v>
      </c>
      <c r="D185" s="222">
        <v>122.65</v>
      </c>
      <c r="E185" s="225"/>
      <c r="F185" s="231">
        <v>3.45</v>
      </c>
      <c r="G185" s="221">
        <f>F185*D185</f>
        <v>423.14250000000004</v>
      </c>
      <c r="H185" s="220"/>
      <c r="I185" s="220"/>
      <c r="J185" s="220">
        <f t="shared" si="20"/>
        <v>423.14250000000004</v>
      </c>
      <c r="K185" s="220">
        <f t="shared" si="21"/>
        <v>0</v>
      </c>
      <c r="L185" s="279"/>
      <c r="M185" s="177"/>
    </row>
    <row r="186" spans="1:13">
      <c r="A186" s="224"/>
      <c r="B186" s="234" t="s">
        <v>7895</v>
      </c>
      <c r="C186" s="222">
        <v>1</v>
      </c>
      <c r="D186" s="222">
        <v>32.76</v>
      </c>
      <c r="E186" s="225"/>
      <c r="F186" s="231">
        <v>2.6</v>
      </c>
      <c r="G186" s="221">
        <f>F186*D186</f>
        <v>85.176000000000002</v>
      </c>
      <c r="H186" s="220"/>
      <c r="I186" s="220"/>
      <c r="J186" s="220">
        <f t="shared" si="20"/>
        <v>85.176000000000002</v>
      </c>
      <c r="K186" s="220">
        <f t="shared" si="21"/>
        <v>0</v>
      </c>
      <c r="L186" s="279"/>
      <c r="M186" s="177"/>
    </row>
    <row r="187" spans="1:13">
      <c r="A187" s="408"/>
      <c r="B187" s="234" t="s">
        <v>9594</v>
      </c>
      <c r="C187" s="222">
        <v>1</v>
      </c>
      <c r="D187" s="222">
        <v>119.4</v>
      </c>
      <c r="E187" s="225"/>
      <c r="F187" s="231">
        <v>0.3</v>
      </c>
      <c r="G187" s="221">
        <f>F187*D187</f>
        <v>35.82</v>
      </c>
      <c r="H187" s="220"/>
      <c r="I187" s="220"/>
      <c r="J187" s="220">
        <f t="shared" si="20"/>
        <v>35.82</v>
      </c>
      <c r="K187" s="220">
        <f t="shared" si="21"/>
        <v>0</v>
      </c>
      <c r="L187" s="279"/>
      <c r="M187" s="177"/>
    </row>
    <row r="188" spans="1:13">
      <c r="A188" s="224"/>
      <c r="B188" s="234" t="s">
        <v>7896</v>
      </c>
      <c r="C188" s="222">
        <v>1</v>
      </c>
      <c r="D188" s="222">
        <v>3.56</v>
      </c>
      <c r="E188" s="225"/>
      <c r="F188" s="231">
        <v>2.1</v>
      </c>
      <c r="G188" s="221">
        <f>F188*D188</f>
        <v>7.4760000000000009</v>
      </c>
      <c r="H188" s="220"/>
      <c r="I188" s="220"/>
      <c r="J188" s="220">
        <f t="shared" si="20"/>
        <v>7.4760000000000009</v>
      </c>
      <c r="K188" s="220">
        <f t="shared" si="21"/>
        <v>0</v>
      </c>
      <c r="L188" s="279"/>
      <c r="M188" s="177"/>
    </row>
    <row r="189" spans="1:13">
      <c r="A189" s="224"/>
      <c r="B189" s="234" t="s">
        <v>6878</v>
      </c>
      <c r="C189" s="222">
        <v>1</v>
      </c>
      <c r="D189" s="222">
        <v>0</v>
      </c>
      <c r="E189" s="225">
        <v>0</v>
      </c>
      <c r="F189" s="231">
        <v>0</v>
      </c>
      <c r="G189" s="221">
        <f>6.92+2.43+4.86+14.04+6.08</f>
        <v>34.33</v>
      </c>
      <c r="H189" s="220">
        <f>G189*F189</f>
        <v>0</v>
      </c>
      <c r="I189" s="220"/>
      <c r="J189" s="220">
        <f t="shared" si="20"/>
        <v>34.33</v>
      </c>
      <c r="K189" s="220">
        <f t="shared" si="21"/>
        <v>0</v>
      </c>
      <c r="L189" s="177"/>
      <c r="M189" s="177"/>
    </row>
    <row r="190" spans="1:13">
      <c r="A190" s="228"/>
      <c r="B190" s="229"/>
      <c r="C190" s="229"/>
      <c r="D190" s="229"/>
      <c r="E190" s="229"/>
      <c r="F190" s="747" t="s">
        <v>7875</v>
      </c>
      <c r="G190" s="747"/>
      <c r="H190" s="747"/>
      <c r="I190" s="230">
        <f>ROUND(SUM(I184:I189),2)</f>
        <v>0</v>
      </c>
      <c r="J190" s="230">
        <f>ROUND(SUM(J184:J189),2)</f>
        <v>1019.13</v>
      </c>
      <c r="K190" s="230">
        <f>ROUND(SUM(K184:K189),2)</f>
        <v>0</v>
      </c>
      <c r="L190" s="177"/>
      <c r="M190" s="177"/>
    </row>
    <row r="191" spans="1:13">
      <c r="A191" s="224"/>
      <c r="B191" s="746"/>
      <c r="C191" s="746"/>
      <c r="D191" s="746"/>
      <c r="E191" s="746"/>
      <c r="F191" s="746"/>
      <c r="G191" s="746"/>
      <c r="H191" s="746"/>
      <c r="I191" s="746"/>
      <c r="J191" s="746"/>
      <c r="K191" s="224"/>
      <c r="L191" s="177"/>
      <c r="M191" s="177"/>
    </row>
    <row r="192" spans="1:13" ht="22.5">
      <c r="A192" s="226" t="str">
        <f>'Orç - Prédio'!A106</f>
        <v>04.01.102.02</v>
      </c>
      <c r="B192" s="748" t="str">
        <f>'Orç - Prédio'!D106</f>
        <v>Alvenaria de vedação de blocos vazados de cerâmica de 14x9x19 cm (espessura 14cm)</v>
      </c>
      <c r="C192" s="748"/>
      <c r="D192" s="748"/>
      <c r="E192" s="748"/>
      <c r="F192" s="748"/>
      <c r="G192" s="748"/>
      <c r="H192" s="748"/>
      <c r="I192" s="748"/>
      <c r="J192" s="748"/>
      <c r="K192" s="227" t="str">
        <f>'Orç - Prédio'!F106</f>
        <v>m2</v>
      </c>
      <c r="L192" s="176" t="s">
        <v>8979</v>
      </c>
    </row>
    <row r="193" spans="1:13">
      <c r="A193" s="745"/>
      <c r="B193" s="745"/>
      <c r="C193" s="218"/>
      <c r="D193" s="218"/>
      <c r="E193" s="218"/>
      <c r="F193" s="218"/>
      <c r="G193" s="745" t="s">
        <v>7863</v>
      </c>
      <c r="H193" s="745"/>
      <c r="I193" s="745" t="s">
        <v>7864</v>
      </c>
      <c r="J193" s="745"/>
      <c r="K193" s="745"/>
      <c r="L193" s="177"/>
      <c r="M193" s="177"/>
    </row>
    <row r="194" spans="1:13" ht="22.5">
      <c r="A194" s="745" t="s">
        <v>7880</v>
      </c>
      <c r="B194" s="745"/>
      <c r="C194" s="745" t="s">
        <v>7865</v>
      </c>
      <c r="D194" s="745" t="s">
        <v>7866</v>
      </c>
      <c r="E194" s="745" t="s">
        <v>7867</v>
      </c>
      <c r="F194" s="745" t="s">
        <v>7868</v>
      </c>
      <c r="G194" s="224" t="s">
        <v>7869</v>
      </c>
      <c r="H194" s="224" t="s">
        <v>7870</v>
      </c>
      <c r="I194" s="224" t="s">
        <v>7871</v>
      </c>
      <c r="J194" s="224" t="s">
        <v>7869</v>
      </c>
      <c r="K194" s="224" t="s">
        <v>7870</v>
      </c>
      <c r="L194" s="177"/>
      <c r="M194" s="177"/>
    </row>
    <row r="195" spans="1:13">
      <c r="A195" s="745"/>
      <c r="B195" s="745"/>
      <c r="C195" s="745"/>
      <c r="D195" s="745"/>
      <c r="E195" s="745"/>
      <c r="F195" s="745"/>
      <c r="G195" s="224" t="s">
        <v>7872</v>
      </c>
      <c r="H195" s="224" t="s">
        <v>7873</v>
      </c>
      <c r="I195" s="224" t="s">
        <v>7874</v>
      </c>
      <c r="J195" s="224" t="s">
        <v>7872</v>
      </c>
      <c r="K195" s="224" t="s">
        <v>7873</v>
      </c>
      <c r="L195" s="177"/>
      <c r="M195" s="177"/>
    </row>
    <row r="196" spans="1:13">
      <c r="A196" s="224"/>
      <c r="B196" s="234" t="s">
        <v>6875</v>
      </c>
      <c r="C196" s="222">
        <v>1</v>
      </c>
      <c r="D196" s="222">
        <v>86.35</v>
      </c>
      <c r="E196" s="225"/>
      <c r="F196" s="231">
        <v>3.45</v>
      </c>
      <c r="G196" s="221">
        <f>F196*D196</f>
        <v>297.90749999999997</v>
      </c>
      <c r="H196" s="220"/>
      <c r="I196" s="220"/>
      <c r="J196" s="220">
        <f>G196*C196</f>
        <v>297.90749999999997</v>
      </c>
      <c r="K196" s="220">
        <f>C196*H196</f>
        <v>0</v>
      </c>
      <c r="L196" s="279"/>
      <c r="M196" s="177"/>
    </row>
    <row r="197" spans="1:13">
      <c r="A197" s="224"/>
      <c r="B197" s="234" t="s">
        <v>6876</v>
      </c>
      <c r="C197" s="222">
        <v>1</v>
      </c>
      <c r="D197" s="222">
        <v>80.599999999999994</v>
      </c>
      <c r="E197" s="225"/>
      <c r="F197" s="231">
        <v>3.45</v>
      </c>
      <c r="G197" s="221">
        <f>F197*D197</f>
        <v>278.07</v>
      </c>
      <c r="H197" s="220"/>
      <c r="I197" s="220"/>
      <c r="J197" s="220">
        <f>G197*C197</f>
        <v>278.07</v>
      </c>
      <c r="K197" s="220">
        <f>C197*H197</f>
        <v>0</v>
      </c>
      <c r="L197" s="279"/>
      <c r="M197" s="177"/>
    </row>
    <row r="198" spans="1:13">
      <c r="A198" s="224"/>
      <c r="B198" s="234" t="s">
        <v>6879</v>
      </c>
      <c r="C198" s="222">
        <v>1</v>
      </c>
      <c r="D198" s="222">
        <v>0</v>
      </c>
      <c r="E198" s="225">
        <v>0</v>
      </c>
      <c r="F198" s="231">
        <v>0</v>
      </c>
      <c r="G198" s="221">
        <f>120.05+120.05+92.74+22.77</f>
        <v>355.60999999999996</v>
      </c>
      <c r="H198" s="220">
        <f>G198*F198</f>
        <v>0</v>
      </c>
      <c r="I198" s="220"/>
      <c r="J198" s="220">
        <f>G198*C198</f>
        <v>355.60999999999996</v>
      </c>
      <c r="K198" s="220">
        <f>C198*H198</f>
        <v>0</v>
      </c>
      <c r="L198" s="177"/>
      <c r="M198" s="177"/>
    </row>
    <row r="199" spans="1:13">
      <c r="A199" s="228"/>
      <c r="B199" s="229"/>
      <c r="C199" s="229"/>
      <c r="D199" s="229"/>
      <c r="E199" s="229"/>
      <c r="F199" s="747" t="s">
        <v>7875</v>
      </c>
      <c r="G199" s="747"/>
      <c r="H199" s="747"/>
      <c r="I199" s="230">
        <f>ROUND(SUM(I196:I198),2)</f>
        <v>0</v>
      </c>
      <c r="J199" s="230">
        <f>ROUND(SUM(J196:J198),2)</f>
        <v>931.59</v>
      </c>
      <c r="K199" s="230">
        <f>ROUND(SUM(K196:K198),2)</f>
        <v>0</v>
      </c>
      <c r="L199" s="177"/>
      <c r="M199" s="177"/>
    </row>
    <row r="200" spans="1:13">
      <c r="A200" s="224"/>
      <c r="B200" s="746"/>
      <c r="C200" s="746"/>
      <c r="D200" s="746"/>
      <c r="E200" s="746"/>
      <c r="F200" s="746"/>
      <c r="G200" s="746"/>
      <c r="H200" s="746"/>
      <c r="I200" s="746"/>
      <c r="J200" s="746"/>
      <c r="K200" s="224"/>
      <c r="L200" s="177"/>
      <c r="M200" s="177"/>
    </row>
    <row r="201" spans="1:13" ht="22.5">
      <c r="A201" s="226" t="str">
        <f>'Orç - Prédio'!A107</f>
        <v>04.01.102.03</v>
      </c>
      <c r="B201" s="748" t="str">
        <f>'Orç - Prédio'!D107</f>
        <v>Alvenaria de vedação de blocos vazados de cerâmica de 19x19x39 cm (espessura 19cm)</v>
      </c>
      <c r="C201" s="748"/>
      <c r="D201" s="748"/>
      <c r="E201" s="748"/>
      <c r="F201" s="748"/>
      <c r="G201" s="748"/>
      <c r="H201" s="748"/>
      <c r="I201" s="748"/>
      <c r="J201" s="748"/>
      <c r="K201" s="227" t="str">
        <f>'Orç - Prédio'!F107</f>
        <v>m2</v>
      </c>
      <c r="L201" s="176" t="s">
        <v>8979</v>
      </c>
    </row>
    <row r="202" spans="1:13">
      <c r="A202" s="745"/>
      <c r="B202" s="745"/>
      <c r="C202" s="218"/>
      <c r="D202" s="218"/>
      <c r="E202" s="218"/>
      <c r="F202" s="218"/>
      <c r="G202" s="745" t="s">
        <v>7863</v>
      </c>
      <c r="H202" s="745"/>
      <c r="I202" s="745" t="s">
        <v>7864</v>
      </c>
      <c r="J202" s="745"/>
      <c r="K202" s="745"/>
      <c r="L202" s="177"/>
      <c r="M202" s="177"/>
    </row>
    <row r="203" spans="1:13" ht="22.5">
      <c r="A203" s="745" t="s">
        <v>7880</v>
      </c>
      <c r="B203" s="745"/>
      <c r="C203" s="745" t="s">
        <v>7865</v>
      </c>
      <c r="D203" s="745" t="s">
        <v>7866</v>
      </c>
      <c r="E203" s="745" t="s">
        <v>7867</v>
      </c>
      <c r="F203" s="745" t="s">
        <v>7868</v>
      </c>
      <c r="G203" s="224" t="s">
        <v>7869</v>
      </c>
      <c r="H203" s="224" t="s">
        <v>7870</v>
      </c>
      <c r="I203" s="224" t="s">
        <v>7871</v>
      </c>
      <c r="J203" s="224" t="s">
        <v>7869</v>
      </c>
      <c r="K203" s="224" t="s">
        <v>7870</v>
      </c>
      <c r="L203" s="177"/>
      <c r="M203" s="177"/>
    </row>
    <row r="204" spans="1:13">
      <c r="A204" s="745"/>
      <c r="B204" s="745"/>
      <c r="C204" s="745"/>
      <c r="D204" s="745"/>
      <c r="E204" s="745"/>
      <c r="F204" s="745"/>
      <c r="G204" s="224" t="s">
        <v>7872</v>
      </c>
      <c r="H204" s="224" t="s">
        <v>7873</v>
      </c>
      <c r="I204" s="224" t="s">
        <v>7874</v>
      </c>
      <c r="J204" s="224" t="s">
        <v>7872</v>
      </c>
      <c r="K204" s="224" t="s">
        <v>7873</v>
      </c>
      <c r="L204" s="177"/>
      <c r="M204" s="177"/>
    </row>
    <row r="205" spans="1:13">
      <c r="A205" s="224"/>
      <c r="B205" s="234" t="s">
        <v>6875</v>
      </c>
      <c r="C205" s="222">
        <v>1</v>
      </c>
      <c r="D205" s="222">
        <v>4.88</v>
      </c>
      <c r="E205" s="225"/>
      <c r="F205" s="231">
        <v>3.45</v>
      </c>
      <c r="G205" s="221">
        <f>F205*D205</f>
        <v>16.836000000000002</v>
      </c>
      <c r="H205" s="220"/>
      <c r="I205" s="220"/>
      <c r="J205" s="220">
        <f>G205*C205</f>
        <v>16.836000000000002</v>
      </c>
      <c r="K205" s="220">
        <f>C205*H205</f>
        <v>0</v>
      </c>
      <c r="L205" s="279"/>
      <c r="M205" s="177"/>
    </row>
    <row r="206" spans="1:13">
      <c r="A206" s="224"/>
      <c r="B206" s="234" t="s">
        <v>6876</v>
      </c>
      <c r="C206" s="222">
        <v>1</v>
      </c>
      <c r="D206" s="222">
        <v>4.83</v>
      </c>
      <c r="E206" s="225"/>
      <c r="F206" s="231">
        <v>3.45</v>
      </c>
      <c r="G206" s="221">
        <f>F206*D206</f>
        <v>16.663500000000003</v>
      </c>
      <c r="H206" s="220"/>
      <c r="I206" s="220"/>
      <c r="J206" s="220">
        <f>G206*C206</f>
        <v>16.663500000000003</v>
      </c>
      <c r="K206" s="220">
        <f>C206*H206</f>
        <v>0</v>
      </c>
      <c r="L206" s="279"/>
      <c r="M206" s="177"/>
    </row>
    <row r="207" spans="1:13">
      <c r="A207" s="228"/>
      <c r="B207" s="229"/>
      <c r="C207" s="229"/>
      <c r="D207" s="229"/>
      <c r="E207" s="229"/>
      <c r="F207" s="747" t="s">
        <v>7875</v>
      </c>
      <c r="G207" s="747"/>
      <c r="H207" s="747"/>
      <c r="I207" s="230">
        <f>ROUND(SUM(I205:I206),2)</f>
        <v>0</v>
      </c>
      <c r="J207" s="230">
        <f>ROUND(SUM(J205:J206),2)</f>
        <v>33.5</v>
      </c>
      <c r="K207" s="230">
        <f>ROUND(SUM(K205:K206),2)</f>
        <v>0</v>
      </c>
      <c r="L207" s="177"/>
      <c r="M207" s="177"/>
    </row>
    <row r="208" spans="1:13">
      <c r="A208" s="224"/>
      <c r="B208" s="746"/>
      <c r="C208" s="746"/>
      <c r="D208" s="746"/>
      <c r="E208" s="746"/>
      <c r="F208" s="746"/>
      <c r="G208" s="746"/>
      <c r="H208" s="746"/>
      <c r="I208" s="746"/>
      <c r="J208" s="746"/>
      <c r="K208" s="224"/>
      <c r="L208" s="177"/>
      <c r="M208" s="177"/>
    </row>
    <row r="209" spans="1:13" ht="22.5">
      <c r="A209" s="226" t="str">
        <f>'Orç - Prédio'!A108</f>
        <v>04.01.102.04</v>
      </c>
      <c r="B209" s="748" t="str">
        <f>'Orç - Prédio'!D108</f>
        <v>Cinta de amarração de alvenaria moldada in loco em concreto (passando na altura das vergas, direto)</v>
      </c>
      <c r="C209" s="748"/>
      <c r="D209" s="748"/>
      <c r="E209" s="748"/>
      <c r="F209" s="748"/>
      <c r="G209" s="748"/>
      <c r="H209" s="748"/>
      <c r="I209" s="748"/>
      <c r="J209" s="748"/>
      <c r="K209" s="227" t="str">
        <f>'Orç - Prédio'!F108</f>
        <v>m</v>
      </c>
      <c r="L209" s="176" t="s">
        <v>8979</v>
      </c>
    </row>
    <row r="210" spans="1:13">
      <c r="A210" s="745"/>
      <c r="B210" s="745"/>
      <c r="C210" s="218"/>
      <c r="D210" s="218"/>
      <c r="E210" s="218"/>
      <c r="F210" s="218"/>
      <c r="G210" s="745" t="s">
        <v>7863</v>
      </c>
      <c r="H210" s="745"/>
      <c r="I210" s="745" t="s">
        <v>7864</v>
      </c>
      <c r="J210" s="745"/>
      <c r="K210" s="745"/>
      <c r="L210" s="177"/>
      <c r="M210" s="177"/>
    </row>
    <row r="211" spans="1:13" ht="22.5">
      <c r="A211" s="745" t="s">
        <v>7880</v>
      </c>
      <c r="B211" s="745"/>
      <c r="C211" s="745" t="s">
        <v>7865</v>
      </c>
      <c r="D211" s="745" t="s">
        <v>7866</v>
      </c>
      <c r="E211" s="745" t="s">
        <v>7867</v>
      </c>
      <c r="F211" s="745" t="s">
        <v>7868</v>
      </c>
      <c r="G211" s="224" t="s">
        <v>7869</v>
      </c>
      <c r="H211" s="224" t="s">
        <v>7870</v>
      </c>
      <c r="I211" s="224" t="s">
        <v>7871</v>
      </c>
      <c r="J211" s="224" t="s">
        <v>7869</v>
      </c>
      <c r="K211" s="224" t="s">
        <v>7870</v>
      </c>
      <c r="L211" s="177"/>
      <c r="M211" s="177"/>
    </row>
    <row r="212" spans="1:13">
      <c r="A212" s="745"/>
      <c r="B212" s="745"/>
      <c r="C212" s="745"/>
      <c r="D212" s="745"/>
      <c r="E212" s="745"/>
      <c r="F212" s="745"/>
      <c r="G212" s="224" t="s">
        <v>7872</v>
      </c>
      <c r="H212" s="224" t="s">
        <v>7873</v>
      </c>
      <c r="I212" s="224" t="s">
        <v>7874</v>
      </c>
      <c r="J212" s="224" t="s">
        <v>7872</v>
      </c>
      <c r="K212" s="224" t="s">
        <v>7873</v>
      </c>
      <c r="L212" s="177"/>
      <c r="M212" s="177"/>
    </row>
    <row r="213" spans="1:13">
      <c r="A213" s="224"/>
      <c r="B213" s="234" t="s">
        <v>6875</v>
      </c>
      <c r="C213" s="222">
        <v>1</v>
      </c>
      <c r="D213" s="235">
        <f>86.35+125.56+4.88</f>
        <v>216.79</v>
      </c>
      <c r="E213" s="225"/>
      <c r="F213" s="231"/>
      <c r="G213" s="221">
        <f>F213*D213</f>
        <v>0</v>
      </c>
      <c r="H213" s="220"/>
      <c r="I213" s="220">
        <f>D213*C213</f>
        <v>216.79</v>
      </c>
      <c r="J213" s="220">
        <f>G213*C213</f>
        <v>0</v>
      </c>
      <c r="K213" s="220">
        <f>C213*H213</f>
        <v>0</v>
      </c>
      <c r="L213" s="279"/>
      <c r="M213" s="177"/>
    </row>
    <row r="214" spans="1:13">
      <c r="A214" s="224"/>
      <c r="B214" s="234" t="s">
        <v>6876</v>
      </c>
      <c r="C214" s="222">
        <v>1</v>
      </c>
      <c r="D214" s="235">
        <f>80.6+122.65+4.83</f>
        <v>208.08</v>
      </c>
      <c r="E214" s="225"/>
      <c r="F214" s="231"/>
      <c r="G214" s="221">
        <f>F214*D214</f>
        <v>0</v>
      </c>
      <c r="H214" s="220"/>
      <c r="I214" s="220">
        <f>D214*C214</f>
        <v>208.08</v>
      </c>
      <c r="J214" s="220">
        <f>G214*C214</f>
        <v>0</v>
      </c>
      <c r="K214" s="220">
        <f>C214*H214</f>
        <v>0</v>
      </c>
      <c r="L214" s="279"/>
      <c r="M214" s="177"/>
    </row>
    <row r="215" spans="1:13">
      <c r="A215" s="228"/>
      <c r="B215" s="229"/>
      <c r="C215" s="229"/>
      <c r="D215" s="229"/>
      <c r="E215" s="229"/>
      <c r="F215" s="747" t="s">
        <v>7875</v>
      </c>
      <c r="G215" s="747"/>
      <c r="H215" s="747"/>
      <c r="I215" s="230">
        <f>ROUND(SUM(I213:I214),2)</f>
        <v>424.87</v>
      </c>
      <c r="J215" s="230">
        <f>ROUND(SUM(J213:J214),2)</f>
        <v>0</v>
      </c>
      <c r="K215" s="230">
        <f>ROUND(SUM(K213:K214),2)</f>
        <v>0</v>
      </c>
      <c r="L215" s="177"/>
      <c r="M215" s="177"/>
    </row>
    <row r="216" spans="1:13">
      <c r="A216" s="224"/>
      <c r="B216" s="746"/>
      <c r="C216" s="746"/>
      <c r="D216" s="746"/>
      <c r="E216" s="746"/>
      <c r="F216" s="746"/>
      <c r="G216" s="746"/>
      <c r="H216" s="746"/>
      <c r="I216" s="746"/>
      <c r="J216" s="746"/>
      <c r="K216" s="224"/>
      <c r="L216" s="177"/>
      <c r="M216" s="177"/>
    </row>
    <row r="217" spans="1:13" ht="22.5">
      <c r="A217" s="226" t="str">
        <f>'Orç - Prédio'!A109</f>
        <v>04.01.102.05</v>
      </c>
      <c r="B217" s="748" t="str">
        <f>'Orç - Prédio'!D109</f>
        <v>Contraverga moldada in loco em concreto para janelas com mais de 1,5m de vão</v>
      </c>
      <c r="C217" s="748"/>
      <c r="D217" s="748"/>
      <c r="E217" s="748"/>
      <c r="F217" s="748"/>
      <c r="G217" s="748"/>
      <c r="H217" s="748"/>
      <c r="I217" s="748"/>
      <c r="J217" s="748"/>
      <c r="K217" s="227" t="str">
        <f>'Orç - Prédio'!F109</f>
        <v>m</v>
      </c>
      <c r="L217" s="176" t="s">
        <v>8979</v>
      </c>
    </row>
    <row r="218" spans="1:13">
      <c r="A218" s="745"/>
      <c r="B218" s="745"/>
      <c r="C218" s="218"/>
      <c r="D218" s="218"/>
      <c r="E218" s="218"/>
      <c r="F218" s="218"/>
      <c r="G218" s="745" t="s">
        <v>7863</v>
      </c>
      <c r="H218" s="745"/>
      <c r="I218" s="745" t="s">
        <v>7864</v>
      </c>
      <c r="J218" s="745"/>
      <c r="K218" s="745"/>
      <c r="L218" s="177"/>
      <c r="M218" s="177"/>
    </row>
    <row r="219" spans="1:13" ht="22.5">
      <c r="A219" s="745" t="s">
        <v>7880</v>
      </c>
      <c r="B219" s="745"/>
      <c r="C219" s="745" t="s">
        <v>7865</v>
      </c>
      <c r="D219" s="745" t="s">
        <v>7866</v>
      </c>
      <c r="E219" s="745" t="s">
        <v>7867</v>
      </c>
      <c r="F219" s="745" t="s">
        <v>7868</v>
      </c>
      <c r="G219" s="224" t="s">
        <v>7869</v>
      </c>
      <c r="H219" s="224" t="s">
        <v>7870</v>
      </c>
      <c r="I219" s="224" t="s">
        <v>7871</v>
      </c>
      <c r="J219" s="224" t="s">
        <v>7869</v>
      </c>
      <c r="K219" s="224" t="s">
        <v>7870</v>
      </c>
      <c r="L219" s="177"/>
      <c r="M219" s="177"/>
    </row>
    <row r="220" spans="1:13">
      <c r="A220" s="745"/>
      <c r="B220" s="745"/>
      <c r="C220" s="745"/>
      <c r="D220" s="745"/>
      <c r="E220" s="745"/>
      <c r="F220" s="745"/>
      <c r="G220" s="224" t="s">
        <v>7872</v>
      </c>
      <c r="H220" s="224" t="s">
        <v>7873</v>
      </c>
      <c r="I220" s="224" t="s">
        <v>7874</v>
      </c>
      <c r="J220" s="224" t="s">
        <v>7872</v>
      </c>
      <c r="K220" s="224" t="s">
        <v>7873</v>
      </c>
      <c r="L220" s="177"/>
      <c r="M220" s="177"/>
    </row>
    <row r="221" spans="1:13">
      <c r="A221" s="224"/>
      <c r="B221" s="234" t="s">
        <v>6880</v>
      </c>
      <c r="C221" s="222">
        <v>1</v>
      </c>
      <c r="D221" s="235">
        <f>8*7.32+8*7.32+6*7.54+2*6.9</f>
        <v>176.16000000000003</v>
      </c>
      <c r="E221" s="225"/>
      <c r="F221" s="231"/>
      <c r="G221" s="221">
        <f>F221*D221</f>
        <v>0</v>
      </c>
      <c r="H221" s="220"/>
      <c r="I221" s="220">
        <f>D221*C221</f>
        <v>176.16000000000003</v>
      </c>
      <c r="J221" s="220">
        <f>G221*C221</f>
        <v>0</v>
      </c>
      <c r="K221" s="220">
        <f>C221*H221</f>
        <v>0</v>
      </c>
      <c r="L221" s="279"/>
      <c r="M221" s="177"/>
    </row>
    <row r="222" spans="1:13">
      <c r="A222" s="228"/>
      <c r="B222" s="229"/>
      <c r="C222" s="229"/>
      <c r="D222" s="229"/>
      <c r="E222" s="229"/>
      <c r="F222" s="747" t="s">
        <v>7875</v>
      </c>
      <c r="G222" s="747"/>
      <c r="H222" s="747"/>
      <c r="I222" s="230">
        <f>ROUND(SUM(I221:I221),2)</f>
        <v>176.16</v>
      </c>
      <c r="J222" s="230">
        <f>ROUND(SUM(J221:J221),2)</f>
        <v>0</v>
      </c>
      <c r="K222" s="230">
        <f>ROUND(SUM(K221:K221),2)</f>
        <v>0</v>
      </c>
      <c r="L222" s="177"/>
      <c r="M222" s="177"/>
    </row>
    <row r="223" spans="1:13">
      <c r="A223" s="224"/>
      <c r="B223" s="746"/>
      <c r="C223" s="746"/>
      <c r="D223" s="746"/>
      <c r="E223" s="746"/>
      <c r="F223" s="746"/>
      <c r="G223" s="746"/>
      <c r="H223" s="746"/>
      <c r="I223" s="746"/>
      <c r="J223" s="746"/>
      <c r="K223" s="224"/>
      <c r="L223" s="177"/>
      <c r="M223" s="177"/>
    </row>
    <row r="224" spans="1:13" ht="22.5">
      <c r="A224" s="226" t="str">
        <f>'Orç - Prédio'!A110</f>
        <v>04.01.102.06</v>
      </c>
      <c r="B224" s="748" t="str">
        <f>'Orç - Prédio'!D110</f>
        <v>Pilarete de amarração para alvenaria moldada in loco em concreto (9x9cm)</v>
      </c>
      <c r="C224" s="748"/>
      <c r="D224" s="748"/>
      <c r="E224" s="748"/>
      <c r="F224" s="748"/>
      <c r="G224" s="748"/>
      <c r="H224" s="748"/>
      <c r="I224" s="748"/>
      <c r="J224" s="748"/>
      <c r="K224" s="227" t="str">
        <f>'Orç - Prédio'!F110</f>
        <v>m</v>
      </c>
      <c r="L224" s="176" t="s">
        <v>8979</v>
      </c>
    </row>
    <row r="225" spans="1:13">
      <c r="A225" s="745"/>
      <c r="B225" s="745"/>
      <c r="C225" s="218"/>
      <c r="D225" s="218"/>
      <c r="E225" s="218"/>
      <c r="F225" s="218"/>
      <c r="G225" s="745" t="s">
        <v>7863</v>
      </c>
      <c r="H225" s="745"/>
      <c r="I225" s="745" t="s">
        <v>7864</v>
      </c>
      <c r="J225" s="745"/>
      <c r="K225" s="745"/>
      <c r="L225" s="177"/>
      <c r="M225" s="177"/>
    </row>
    <row r="226" spans="1:13" ht="22.5">
      <c r="A226" s="745" t="s">
        <v>7880</v>
      </c>
      <c r="B226" s="745"/>
      <c r="C226" s="745" t="s">
        <v>7865</v>
      </c>
      <c r="D226" s="745" t="s">
        <v>7897</v>
      </c>
      <c r="E226" s="745" t="s">
        <v>7867</v>
      </c>
      <c r="F226" s="745" t="s">
        <v>7868</v>
      </c>
      <c r="G226" s="224" t="s">
        <v>7869</v>
      </c>
      <c r="H226" s="224" t="s">
        <v>7870</v>
      </c>
      <c r="I226" s="224" t="s">
        <v>7871</v>
      </c>
      <c r="J226" s="224" t="s">
        <v>7869</v>
      </c>
      <c r="K226" s="224" t="s">
        <v>7870</v>
      </c>
      <c r="L226" s="177"/>
      <c r="M226" s="177"/>
    </row>
    <row r="227" spans="1:13">
      <c r="A227" s="745"/>
      <c r="B227" s="745"/>
      <c r="C227" s="745"/>
      <c r="D227" s="745"/>
      <c r="E227" s="745"/>
      <c r="F227" s="745"/>
      <c r="G227" s="224" t="s">
        <v>7872</v>
      </c>
      <c r="H227" s="224" t="s">
        <v>7873</v>
      </c>
      <c r="I227" s="224" t="s">
        <v>7874</v>
      </c>
      <c r="J227" s="224" t="s">
        <v>7872</v>
      </c>
      <c r="K227" s="224" t="s">
        <v>7873</v>
      </c>
      <c r="L227" s="177"/>
      <c r="M227" s="177"/>
    </row>
    <row r="228" spans="1:13">
      <c r="A228" s="224"/>
      <c r="B228" s="234" t="s">
        <v>6875</v>
      </c>
      <c r="C228" s="222">
        <v>1</v>
      </c>
      <c r="D228" s="222">
        <f>(86.35+125.56+4.88)/5</f>
        <v>43.357999999999997</v>
      </c>
      <c r="E228" s="225"/>
      <c r="F228" s="231">
        <v>3.45</v>
      </c>
      <c r="G228" s="221">
        <v>0</v>
      </c>
      <c r="H228" s="220"/>
      <c r="I228" s="220">
        <f>F228*D228</f>
        <v>149.58510000000001</v>
      </c>
      <c r="J228" s="220">
        <f>G228*C228</f>
        <v>0</v>
      </c>
      <c r="K228" s="220">
        <f>C228*H228</f>
        <v>0</v>
      </c>
      <c r="L228" s="279"/>
      <c r="M228" s="177"/>
    </row>
    <row r="229" spans="1:13">
      <c r="A229" s="224"/>
      <c r="B229" s="234" t="s">
        <v>6876</v>
      </c>
      <c r="C229" s="222">
        <v>1</v>
      </c>
      <c r="D229" s="222">
        <f>(80.6+122.65+4.83)/5</f>
        <v>41.616</v>
      </c>
      <c r="E229" s="225"/>
      <c r="F229" s="231">
        <v>3.45</v>
      </c>
      <c r="G229" s="221">
        <v>0</v>
      </c>
      <c r="H229" s="220"/>
      <c r="I229" s="220">
        <f>F229*D229</f>
        <v>143.5752</v>
      </c>
      <c r="J229" s="220">
        <f>G229*C229</f>
        <v>0</v>
      </c>
      <c r="K229" s="220">
        <f>C229*H229</f>
        <v>0</v>
      </c>
      <c r="L229" s="279"/>
      <c r="M229" s="177"/>
    </row>
    <row r="230" spans="1:13">
      <c r="A230" s="224"/>
      <c r="B230" s="234" t="s">
        <v>6877</v>
      </c>
      <c r="C230" s="222">
        <v>1</v>
      </c>
      <c r="D230" s="222">
        <f>32.76/5</f>
        <v>6.5519999999999996</v>
      </c>
      <c r="E230" s="225"/>
      <c r="F230" s="231">
        <v>2.6</v>
      </c>
      <c r="G230" s="221">
        <v>0</v>
      </c>
      <c r="H230" s="220"/>
      <c r="I230" s="220">
        <f>F230*D230</f>
        <v>17.0352</v>
      </c>
      <c r="J230" s="220">
        <f>G230*C230</f>
        <v>0</v>
      </c>
      <c r="K230" s="220">
        <f>C230*H230</f>
        <v>0</v>
      </c>
      <c r="L230" s="177"/>
      <c r="M230" s="177"/>
    </row>
    <row r="231" spans="1:13">
      <c r="A231" s="228"/>
      <c r="B231" s="229"/>
      <c r="C231" s="229"/>
      <c r="D231" s="229"/>
      <c r="E231" s="229"/>
      <c r="F231" s="747" t="s">
        <v>7875</v>
      </c>
      <c r="G231" s="747"/>
      <c r="H231" s="747"/>
      <c r="I231" s="230">
        <f>ROUND(SUM(I228:I230),2)</f>
        <v>310.2</v>
      </c>
      <c r="J231" s="230">
        <f>ROUND(SUM(J228:J230),2)</f>
        <v>0</v>
      </c>
      <c r="K231" s="230">
        <f>ROUND(SUM(K228:K230),2)</f>
        <v>0</v>
      </c>
      <c r="L231" s="177"/>
      <c r="M231" s="177"/>
    </row>
    <row r="232" spans="1:13">
      <c r="A232" s="224"/>
      <c r="B232" s="746"/>
      <c r="C232" s="746"/>
      <c r="D232" s="746"/>
      <c r="E232" s="746"/>
      <c r="F232" s="746"/>
      <c r="G232" s="746"/>
      <c r="H232" s="746"/>
      <c r="I232" s="746"/>
      <c r="J232" s="746"/>
      <c r="K232" s="224"/>
      <c r="L232" s="177"/>
      <c r="M232" s="177"/>
    </row>
    <row r="233" spans="1:13" ht="22.5">
      <c r="A233" s="226" t="str">
        <f>'Orç - Prédio'!A111</f>
        <v>04.01.102.07</v>
      </c>
      <c r="B233" s="748" t="str">
        <f>'Orç - Prédio'!D111</f>
        <v>Fixação (encunhamento) de alvenaria de vedação com espuma de poliuretano expansiva</v>
      </c>
      <c r="C233" s="748"/>
      <c r="D233" s="748"/>
      <c r="E233" s="748"/>
      <c r="F233" s="748"/>
      <c r="G233" s="748"/>
      <c r="H233" s="748"/>
      <c r="I233" s="748"/>
      <c r="J233" s="748"/>
      <c r="K233" s="227" t="str">
        <f>'Orç - Prédio'!F111</f>
        <v>m</v>
      </c>
      <c r="L233" s="176" t="s">
        <v>8979</v>
      </c>
    </row>
    <row r="234" spans="1:13">
      <c r="A234" s="745"/>
      <c r="B234" s="745"/>
      <c r="C234" s="218"/>
      <c r="D234" s="218"/>
      <c r="E234" s="218"/>
      <c r="F234" s="218"/>
      <c r="G234" s="745" t="s">
        <v>7863</v>
      </c>
      <c r="H234" s="745"/>
      <c r="I234" s="745" t="s">
        <v>7864</v>
      </c>
      <c r="J234" s="745"/>
      <c r="K234" s="745"/>
      <c r="L234" s="177"/>
      <c r="M234" s="177"/>
    </row>
    <row r="235" spans="1:13" ht="22.5">
      <c r="A235" s="745" t="s">
        <v>7880</v>
      </c>
      <c r="B235" s="745"/>
      <c r="C235" s="745" t="s">
        <v>7865</v>
      </c>
      <c r="D235" s="745" t="s">
        <v>7866</v>
      </c>
      <c r="E235" s="745" t="s">
        <v>7867</v>
      </c>
      <c r="F235" s="745" t="s">
        <v>7868</v>
      </c>
      <c r="G235" s="224" t="s">
        <v>7869</v>
      </c>
      <c r="H235" s="224" t="s">
        <v>7870</v>
      </c>
      <c r="I235" s="224" t="s">
        <v>7871</v>
      </c>
      <c r="J235" s="224" t="s">
        <v>7869</v>
      </c>
      <c r="K235" s="224" t="s">
        <v>7870</v>
      </c>
      <c r="L235" s="177"/>
      <c r="M235" s="177"/>
    </row>
    <row r="236" spans="1:13">
      <c r="A236" s="745"/>
      <c r="B236" s="745"/>
      <c r="C236" s="745"/>
      <c r="D236" s="745"/>
      <c r="E236" s="745"/>
      <c r="F236" s="745"/>
      <c r="G236" s="224" t="s">
        <v>7872</v>
      </c>
      <c r="H236" s="224" t="s">
        <v>7873</v>
      </c>
      <c r="I236" s="224" t="s">
        <v>7874</v>
      </c>
      <c r="J236" s="224" t="s">
        <v>7872</v>
      </c>
      <c r="K236" s="224" t="s">
        <v>7873</v>
      </c>
      <c r="L236" s="177"/>
      <c r="M236" s="177"/>
    </row>
    <row r="237" spans="1:13">
      <c r="A237" s="224"/>
      <c r="B237" s="234" t="s">
        <v>6875</v>
      </c>
      <c r="C237" s="222">
        <v>1</v>
      </c>
      <c r="D237" s="222">
        <f>86.35+125.56+4.88</f>
        <v>216.79</v>
      </c>
      <c r="E237" s="225"/>
      <c r="F237" s="231"/>
      <c r="G237" s="221">
        <f>F237*D237</f>
        <v>0</v>
      </c>
      <c r="H237" s="220"/>
      <c r="I237" s="220">
        <f>C237*D237</f>
        <v>216.79</v>
      </c>
      <c r="J237" s="220">
        <f>G237*C237</f>
        <v>0</v>
      </c>
      <c r="K237" s="220">
        <f>C237*H237</f>
        <v>0</v>
      </c>
      <c r="L237" s="279"/>
      <c r="M237" s="177"/>
    </row>
    <row r="238" spans="1:13">
      <c r="A238" s="224"/>
      <c r="B238" s="234" t="s">
        <v>6876</v>
      </c>
      <c r="C238" s="222">
        <v>1</v>
      </c>
      <c r="D238" s="222">
        <f>80.6+122.65+4.83</f>
        <v>208.08</v>
      </c>
      <c r="E238" s="225"/>
      <c r="F238" s="231"/>
      <c r="G238" s="221">
        <f>F238*D238</f>
        <v>0</v>
      </c>
      <c r="H238" s="220"/>
      <c r="I238" s="220">
        <f>C238*D238</f>
        <v>208.08</v>
      </c>
      <c r="J238" s="220">
        <f>G238*C238</f>
        <v>0</v>
      </c>
      <c r="K238" s="220">
        <f>C238*H238</f>
        <v>0</v>
      </c>
      <c r="L238" s="279"/>
      <c r="M238" s="177"/>
    </row>
    <row r="239" spans="1:13">
      <c r="A239" s="228"/>
      <c r="B239" s="229"/>
      <c r="C239" s="229"/>
      <c r="D239" s="229"/>
      <c r="E239" s="229"/>
      <c r="F239" s="747" t="s">
        <v>7875</v>
      </c>
      <c r="G239" s="747"/>
      <c r="H239" s="747"/>
      <c r="I239" s="230">
        <f>ROUND(SUM(I237:I238),2)</f>
        <v>424.87</v>
      </c>
      <c r="J239" s="230">
        <f>ROUND(SUM(J237:J238),2)</f>
        <v>0</v>
      </c>
      <c r="K239" s="230">
        <f>ROUND(SUM(K237:K238),2)</f>
        <v>0</v>
      </c>
      <c r="L239" s="177"/>
      <c r="M239" s="177"/>
    </row>
    <row r="240" spans="1:13">
      <c r="A240" s="224"/>
      <c r="B240" s="746"/>
      <c r="C240" s="746"/>
      <c r="D240" s="746"/>
      <c r="E240" s="746"/>
      <c r="F240" s="746"/>
      <c r="G240" s="746"/>
      <c r="H240" s="746"/>
      <c r="I240" s="746"/>
      <c r="J240" s="746"/>
      <c r="K240" s="224"/>
      <c r="L240" s="177"/>
      <c r="M240" s="177"/>
    </row>
    <row r="241" spans="1:13">
      <c r="A241" s="226" t="str">
        <f>'Orç - Prédio'!A113</f>
        <v>04.01.120</v>
      </c>
      <c r="B241" s="748" t="str">
        <f>'Orç - Prédio'!D113</f>
        <v>Divisória em granito cinza andorinha, esp = 3cm, assentado com argamassa traço 1:4, arremate em cimento branco, inclusive ferragens</v>
      </c>
      <c r="C241" s="748"/>
      <c r="D241" s="748"/>
      <c r="E241" s="748"/>
      <c r="F241" s="748"/>
      <c r="G241" s="748"/>
      <c r="H241" s="748"/>
      <c r="I241" s="748"/>
      <c r="J241" s="748"/>
      <c r="K241" s="227" t="str">
        <f>'Orç - Prédio'!F113</f>
        <v>m2</v>
      </c>
      <c r="L241" s="176" t="s">
        <v>8979</v>
      </c>
      <c r="M241" s="179"/>
    </row>
    <row r="242" spans="1:13">
      <c r="A242" s="745"/>
      <c r="B242" s="745"/>
      <c r="C242" s="218"/>
      <c r="D242" s="218"/>
      <c r="E242" s="218"/>
      <c r="F242" s="218"/>
      <c r="G242" s="745" t="s">
        <v>7863</v>
      </c>
      <c r="H242" s="745"/>
      <c r="I242" s="745" t="s">
        <v>7864</v>
      </c>
      <c r="J242" s="745"/>
      <c r="K242" s="745"/>
      <c r="M242" s="179"/>
    </row>
    <row r="243" spans="1:13" ht="22.5">
      <c r="A243" s="745" t="s">
        <v>7880</v>
      </c>
      <c r="B243" s="745"/>
      <c r="C243" s="745" t="s">
        <v>7865</v>
      </c>
      <c r="D243" s="745" t="s">
        <v>7866</v>
      </c>
      <c r="E243" s="745" t="s">
        <v>7867</v>
      </c>
      <c r="F243" s="745" t="s">
        <v>7868</v>
      </c>
      <c r="G243" s="224" t="s">
        <v>7869</v>
      </c>
      <c r="H243" s="224" t="s">
        <v>7870</v>
      </c>
      <c r="I243" s="224" t="s">
        <v>7871</v>
      </c>
      <c r="J243" s="224" t="s">
        <v>7869</v>
      </c>
      <c r="K243" s="224" t="s">
        <v>7870</v>
      </c>
      <c r="M243" s="179"/>
    </row>
    <row r="244" spans="1:13">
      <c r="A244" s="745"/>
      <c r="B244" s="745"/>
      <c r="C244" s="745"/>
      <c r="D244" s="745"/>
      <c r="E244" s="745"/>
      <c r="F244" s="745"/>
      <c r="G244" s="224" t="s">
        <v>7872</v>
      </c>
      <c r="H244" s="224" t="s">
        <v>7873</v>
      </c>
      <c r="I244" s="224" t="s">
        <v>7874</v>
      </c>
      <c r="J244" s="224" t="s">
        <v>7872</v>
      </c>
      <c r="K244" s="224" t="s">
        <v>7873</v>
      </c>
      <c r="M244" s="179"/>
    </row>
    <row r="245" spans="1:13">
      <c r="A245" s="224"/>
      <c r="B245" s="234" t="s">
        <v>6920</v>
      </c>
      <c r="C245" s="222">
        <v>10</v>
      </c>
      <c r="D245" s="222"/>
      <c r="E245" s="225">
        <v>1.37</v>
      </c>
      <c r="F245" s="222">
        <v>1.82</v>
      </c>
      <c r="G245" s="221">
        <f>F245*E245</f>
        <v>2.4934000000000003</v>
      </c>
      <c r="H245" s="220"/>
      <c r="I245" s="220"/>
      <c r="J245" s="220">
        <f>G245*C245</f>
        <v>24.934000000000005</v>
      </c>
      <c r="K245" s="220">
        <f t="shared" ref="K245:K255" si="22">C245*H245</f>
        <v>0</v>
      </c>
      <c r="L245" s="278"/>
      <c r="M245" s="179"/>
    </row>
    <row r="246" spans="1:13">
      <c r="A246" s="224"/>
      <c r="B246" s="234" t="s">
        <v>6921</v>
      </c>
      <c r="C246" s="222">
        <v>2</v>
      </c>
      <c r="D246" s="222"/>
      <c r="E246" s="225">
        <v>0.28000000000000003</v>
      </c>
      <c r="F246" s="222">
        <v>1.82</v>
      </c>
      <c r="G246" s="221">
        <f t="shared" ref="G246:G255" si="23">F246*E246</f>
        <v>0.50960000000000005</v>
      </c>
      <c r="H246" s="220"/>
      <c r="I246" s="220"/>
      <c r="J246" s="220">
        <f>G246*C246</f>
        <v>1.0192000000000001</v>
      </c>
      <c r="K246" s="220">
        <f t="shared" si="22"/>
        <v>0</v>
      </c>
      <c r="L246" s="278"/>
      <c r="M246" s="179"/>
    </row>
    <row r="247" spans="1:13">
      <c r="A247" s="224"/>
      <c r="B247" s="234" t="s">
        <v>6922</v>
      </c>
      <c r="C247" s="222">
        <v>4</v>
      </c>
      <c r="D247" s="222"/>
      <c r="E247" s="225">
        <v>0.12</v>
      </c>
      <c r="F247" s="222">
        <v>1.82</v>
      </c>
      <c r="G247" s="221">
        <f t="shared" si="23"/>
        <v>0.21840000000000001</v>
      </c>
      <c r="H247" s="220"/>
      <c r="I247" s="220"/>
      <c r="J247" s="220">
        <f t="shared" ref="J247:J255" si="24">G247*C247</f>
        <v>0.87360000000000004</v>
      </c>
      <c r="K247" s="220">
        <f t="shared" si="22"/>
        <v>0</v>
      </c>
      <c r="L247" s="278"/>
      <c r="M247" s="179"/>
    </row>
    <row r="248" spans="1:13">
      <c r="A248" s="224"/>
      <c r="B248" s="234" t="s">
        <v>6923</v>
      </c>
      <c r="C248" s="222">
        <v>8</v>
      </c>
      <c r="D248" s="222"/>
      <c r="E248" s="225">
        <v>0.38</v>
      </c>
      <c r="F248" s="222">
        <v>1.82</v>
      </c>
      <c r="G248" s="221">
        <f t="shared" si="23"/>
        <v>0.69159999999999999</v>
      </c>
      <c r="H248" s="220"/>
      <c r="I248" s="220"/>
      <c r="J248" s="220">
        <f t="shared" si="24"/>
        <v>5.5327999999999999</v>
      </c>
      <c r="K248" s="220">
        <f t="shared" si="22"/>
        <v>0</v>
      </c>
      <c r="L248" s="278"/>
      <c r="M248" s="179"/>
    </row>
    <row r="249" spans="1:13">
      <c r="A249" s="224"/>
      <c r="B249" s="234" t="s">
        <v>6924</v>
      </c>
      <c r="C249" s="222">
        <v>4</v>
      </c>
      <c r="D249" s="222"/>
      <c r="E249" s="225">
        <v>1.47</v>
      </c>
      <c r="F249" s="222">
        <v>1.82</v>
      </c>
      <c r="G249" s="221">
        <f t="shared" si="23"/>
        <v>2.6754000000000002</v>
      </c>
      <c r="H249" s="220"/>
      <c r="I249" s="220"/>
      <c r="J249" s="220">
        <f t="shared" si="24"/>
        <v>10.701600000000001</v>
      </c>
      <c r="K249" s="220">
        <f t="shared" si="22"/>
        <v>0</v>
      </c>
      <c r="L249" s="278"/>
      <c r="M249" s="179"/>
    </row>
    <row r="250" spans="1:13">
      <c r="A250" s="224"/>
      <c r="B250" s="234" t="s">
        <v>6925</v>
      </c>
      <c r="C250" s="222">
        <v>4</v>
      </c>
      <c r="D250" s="222"/>
      <c r="E250" s="225">
        <v>0.93</v>
      </c>
      <c r="F250" s="222">
        <v>1.82</v>
      </c>
      <c r="G250" s="221">
        <f t="shared" si="23"/>
        <v>1.6926000000000001</v>
      </c>
      <c r="H250" s="220"/>
      <c r="I250" s="220"/>
      <c r="J250" s="220">
        <f t="shared" si="24"/>
        <v>6.7704000000000004</v>
      </c>
      <c r="K250" s="220">
        <f t="shared" si="22"/>
        <v>0</v>
      </c>
      <c r="L250" s="278"/>
      <c r="M250" s="179"/>
    </row>
    <row r="251" spans="1:13">
      <c r="A251" s="224"/>
      <c r="B251" s="234" t="s">
        <v>6926</v>
      </c>
      <c r="C251" s="222">
        <v>4</v>
      </c>
      <c r="D251" s="222"/>
      <c r="E251" s="225">
        <v>0.23</v>
      </c>
      <c r="F251" s="222">
        <v>1.82</v>
      </c>
      <c r="G251" s="221">
        <f t="shared" si="23"/>
        <v>0.41860000000000003</v>
      </c>
      <c r="H251" s="220"/>
      <c r="I251" s="220"/>
      <c r="J251" s="220">
        <f t="shared" si="24"/>
        <v>1.6744000000000001</v>
      </c>
      <c r="K251" s="220">
        <f t="shared" si="22"/>
        <v>0</v>
      </c>
      <c r="L251" s="278"/>
      <c r="M251" s="179"/>
    </row>
    <row r="252" spans="1:13">
      <c r="A252" s="224"/>
      <c r="B252" s="234" t="s">
        <v>6927</v>
      </c>
      <c r="C252" s="222">
        <v>4</v>
      </c>
      <c r="D252" s="222"/>
      <c r="E252" s="225">
        <v>0.32</v>
      </c>
      <c r="F252" s="222">
        <v>1.82</v>
      </c>
      <c r="G252" s="221">
        <f t="shared" si="23"/>
        <v>0.58240000000000003</v>
      </c>
      <c r="H252" s="220"/>
      <c r="I252" s="220"/>
      <c r="J252" s="220">
        <f t="shared" si="24"/>
        <v>2.3296000000000001</v>
      </c>
      <c r="K252" s="220">
        <f t="shared" si="22"/>
        <v>0</v>
      </c>
      <c r="L252" s="278"/>
      <c r="M252" s="179"/>
    </row>
    <row r="253" spans="1:13">
      <c r="A253" s="224"/>
      <c r="B253" s="234" t="s">
        <v>6928</v>
      </c>
      <c r="C253" s="222">
        <v>2</v>
      </c>
      <c r="D253" s="222"/>
      <c r="E253" s="225">
        <v>0.42</v>
      </c>
      <c r="F253" s="222">
        <v>1.82</v>
      </c>
      <c r="G253" s="221">
        <f t="shared" si="23"/>
        <v>0.76439999999999997</v>
      </c>
      <c r="H253" s="220"/>
      <c r="I253" s="220"/>
      <c r="J253" s="220">
        <f t="shared" si="24"/>
        <v>1.5287999999999999</v>
      </c>
      <c r="K253" s="220">
        <f t="shared" si="22"/>
        <v>0</v>
      </c>
      <c r="L253" s="278"/>
      <c r="M253" s="179"/>
    </row>
    <row r="254" spans="1:13">
      <c r="A254" s="224"/>
      <c r="B254" s="234" t="s">
        <v>6929</v>
      </c>
      <c r="C254" s="222">
        <v>4</v>
      </c>
      <c r="D254" s="222"/>
      <c r="E254" s="225">
        <v>0.67</v>
      </c>
      <c r="F254" s="222">
        <v>1.82</v>
      </c>
      <c r="G254" s="221">
        <f t="shared" si="23"/>
        <v>1.2194</v>
      </c>
      <c r="H254" s="220"/>
      <c r="I254" s="220"/>
      <c r="J254" s="220">
        <f t="shared" si="24"/>
        <v>4.8776000000000002</v>
      </c>
      <c r="K254" s="220">
        <f t="shared" si="22"/>
        <v>0</v>
      </c>
      <c r="L254" s="278"/>
      <c r="M254" s="179"/>
    </row>
    <row r="255" spans="1:13">
      <c r="A255" s="224"/>
      <c r="B255" s="234" t="s">
        <v>6930</v>
      </c>
      <c r="C255" s="222">
        <v>2</v>
      </c>
      <c r="D255" s="222"/>
      <c r="E255" s="225">
        <v>0.25</v>
      </c>
      <c r="F255" s="222">
        <v>1.82</v>
      </c>
      <c r="G255" s="221">
        <f t="shared" si="23"/>
        <v>0.45500000000000002</v>
      </c>
      <c r="H255" s="220"/>
      <c r="I255" s="220"/>
      <c r="J255" s="220">
        <f t="shared" si="24"/>
        <v>0.91</v>
      </c>
      <c r="K255" s="220">
        <f t="shared" si="22"/>
        <v>0</v>
      </c>
      <c r="L255" s="278"/>
      <c r="M255" s="179"/>
    </row>
    <row r="256" spans="1:13">
      <c r="A256" s="228"/>
      <c r="B256" s="229"/>
      <c r="C256" s="229"/>
      <c r="D256" s="229"/>
      <c r="E256" s="229"/>
      <c r="F256" s="747" t="s">
        <v>7875</v>
      </c>
      <c r="G256" s="747"/>
      <c r="H256" s="747"/>
      <c r="I256" s="230">
        <f>ROUND(SUM(I245:I255),2)</f>
        <v>0</v>
      </c>
      <c r="J256" s="230">
        <f>ROUND(SUM(J245:J255),2)</f>
        <v>61.15</v>
      </c>
      <c r="K256" s="230">
        <f>ROUND(SUM(K245:K255),2)</f>
        <v>0</v>
      </c>
      <c r="M256" s="179"/>
    </row>
    <row r="257" spans="1:13">
      <c r="A257" s="224"/>
      <c r="B257" s="746"/>
      <c r="C257" s="746"/>
      <c r="D257" s="746"/>
      <c r="E257" s="746"/>
      <c r="F257" s="746"/>
      <c r="G257" s="746"/>
      <c r="H257" s="746"/>
      <c r="I257" s="746"/>
      <c r="J257" s="746"/>
      <c r="K257" s="224"/>
    </row>
    <row r="258" spans="1:13" ht="22.5">
      <c r="A258" s="226" t="str">
        <f>'Orç - Prédio'!A114</f>
        <v>04.01.121.01</v>
      </c>
      <c r="B258" s="748" t="str">
        <f>'Orç - Prédio'!D114</f>
        <v>Parede com placas de gesso acartonado (drywall), para uso interno, com duas faces simples, com vãos</v>
      </c>
      <c r="C258" s="748"/>
      <c r="D258" s="748"/>
      <c r="E258" s="748"/>
      <c r="F258" s="748"/>
      <c r="G258" s="748"/>
      <c r="H258" s="748"/>
      <c r="I258" s="748"/>
      <c r="J258" s="748"/>
      <c r="K258" s="227" t="str">
        <f>'Orç - Prédio'!F114</f>
        <v>m2</v>
      </c>
      <c r="L258" s="176" t="s">
        <v>8979</v>
      </c>
    </row>
    <row r="259" spans="1:13">
      <c r="A259" s="745"/>
      <c r="B259" s="745"/>
      <c r="C259" s="218"/>
      <c r="D259" s="218"/>
      <c r="E259" s="218"/>
      <c r="F259" s="218"/>
      <c r="G259" s="745" t="s">
        <v>7863</v>
      </c>
      <c r="H259" s="745"/>
      <c r="I259" s="745" t="s">
        <v>7864</v>
      </c>
      <c r="J259" s="745"/>
      <c r="K259" s="745"/>
      <c r="L259" s="177"/>
      <c r="M259" s="177"/>
    </row>
    <row r="260" spans="1:13" ht="22.5">
      <c r="A260" s="745" t="s">
        <v>7880</v>
      </c>
      <c r="B260" s="745"/>
      <c r="C260" s="745" t="s">
        <v>7865</v>
      </c>
      <c r="D260" s="745" t="s">
        <v>7866</v>
      </c>
      <c r="E260" s="745" t="s">
        <v>7867</v>
      </c>
      <c r="F260" s="745" t="s">
        <v>7868</v>
      </c>
      <c r="G260" s="224" t="s">
        <v>7869</v>
      </c>
      <c r="H260" s="224" t="s">
        <v>7870</v>
      </c>
      <c r="I260" s="224" t="s">
        <v>7871</v>
      </c>
      <c r="J260" s="224" t="s">
        <v>7869</v>
      </c>
      <c r="K260" s="224" t="s">
        <v>7870</v>
      </c>
      <c r="L260" s="177"/>
      <c r="M260" s="177"/>
    </row>
    <row r="261" spans="1:13">
      <c r="A261" s="745"/>
      <c r="B261" s="745"/>
      <c r="C261" s="745"/>
      <c r="D261" s="745"/>
      <c r="E261" s="745"/>
      <c r="F261" s="745"/>
      <c r="G261" s="224" t="s">
        <v>7872</v>
      </c>
      <c r="H261" s="224" t="s">
        <v>7873</v>
      </c>
      <c r="I261" s="224" t="s">
        <v>7874</v>
      </c>
      <c r="J261" s="224" t="s">
        <v>7872</v>
      </c>
      <c r="K261" s="224" t="s">
        <v>7873</v>
      </c>
      <c r="L261" s="177"/>
      <c r="M261" s="177"/>
    </row>
    <row r="262" spans="1:13">
      <c r="A262" s="224"/>
      <c r="B262" s="234" t="s">
        <v>6875</v>
      </c>
      <c r="C262" s="222">
        <v>1</v>
      </c>
      <c r="D262" s="222">
        <v>32.19</v>
      </c>
      <c r="E262" s="225"/>
      <c r="F262" s="231">
        <v>2.75</v>
      </c>
      <c r="G262" s="221">
        <f>F262*D262</f>
        <v>88.522499999999994</v>
      </c>
      <c r="H262" s="220"/>
      <c r="I262" s="220"/>
      <c r="J262" s="220">
        <f>G262*C262</f>
        <v>88.522499999999994</v>
      </c>
      <c r="K262" s="220">
        <f>C262*H262</f>
        <v>0</v>
      </c>
      <c r="L262" s="279"/>
      <c r="M262" s="177"/>
    </row>
    <row r="263" spans="1:13">
      <c r="A263" s="224"/>
      <c r="B263" s="234" t="s">
        <v>6876</v>
      </c>
      <c r="C263" s="222">
        <v>1</v>
      </c>
      <c r="D263" s="222">
        <v>69.69</v>
      </c>
      <c r="E263" s="225"/>
      <c r="F263" s="231">
        <v>2.75</v>
      </c>
      <c r="G263" s="221">
        <f>F263*D263</f>
        <v>191.64749999999998</v>
      </c>
      <c r="H263" s="220"/>
      <c r="I263" s="220"/>
      <c r="J263" s="220">
        <f>G263*C263</f>
        <v>191.64749999999998</v>
      </c>
      <c r="K263" s="220">
        <f>C263*H263</f>
        <v>0</v>
      </c>
      <c r="L263" s="279"/>
      <c r="M263" s="177"/>
    </row>
    <row r="264" spans="1:13">
      <c r="A264" s="224"/>
      <c r="B264" s="234" t="s">
        <v>6879</v>
      </c>
      <c r="C264" s="222">
        <v>1</v>
      </c>
      <c r="D264" s="222"/>
      <c r="E264" s="225"/>
      <c r="F264" s="231"/>
      <c r="G264" s="221">
        <f>5.43+8.84+11.63</f>
        <v>25.9</v>
      </c>
      <c r="H264" s="220"/>
      <c r="I264" s="220"/>
      <c r="J264" s="220">
        <f>G264*C264</f>
        <v>25.9</v>
      </c>
      <c r="K264" s="220">
        <f>C264*H264</f>
        <v>0</v>
      </c>
      <c r="L264" s="279"/>
      <c r="M264" s="177"/>
    </row>
    <row r="265" spans="1:13">
      <c r="A265" s="224"/>
      <c r="B265" s="234" t="s">
        <v>6878</v>
      </c>
      <c r="C265" s="222">
        <v>1</v>
      </c>
      <c r="D265" s="222"/>
      <c r="E265" s="225"/>
      <c r="F265" s="231"/>
      <c r="G265" s="221">
        <f>5.37+2.34+8.45+9.95+0.59</f>
        <v>26.7</v>
      </c>
      <c r="H265" s="220"/>
      <c r="I265" s="220"/>
      <c r="J265" s="220">
        <f>G265*C265</f>
        <v>26.7</v>
      </c>
      <c r="K265" s="220">
        <f>C265*H265</f>
        <v>0</v>
      </c>
      <c r="L265" s="279"/>
      <c r="M265" s="177"/>
    </row>
    <row r="266" spans="1:13">
      <c r="A266" s="228"/>
      <c r="B266" s="229"/>
      <c r="C266" s="229"/>
      <c r="D266" s="229"/>
      <c r="E266" s="229"/>
      <c r="F266" s="747" t="s">
        <v>7875</v>
      </c>
      <c r="G266" s="747"/>
      <c r="H266" s="747"/>
      <c r="I266" s="230">
        <f>ROUND(SUM(I262:I265),2)</f>
        <v>0</v>
      </c>
      <c r="J266" s="230">
        <f>ROUND(SUM(J262:J265),2)</f>
        <v>332.77</v>
      </c>
      <c r="K266" s="230">
        <f>ROUND(SUM(K262:K265),2)</f>
        <v>0</v>
      </c>
      <c r="L266" s="177"/>
      <c r="M266" s="177"/>
    </row>
    <row r="267" spans="1:13">
      <c r="A267" s="224"/>
      <c r="B267" s="746"/>
      <c r="C267" s="746"/>
      <c r="D267" s="746"/>
      <c r="E267" s="746"/>
      <c r="F267" s="746"/>
      <c r="G267" s="746"/>
      <c r="H267" s="746"/>
      <c r="I267" s="746"/>
      <c r="J267" s="746"/>
      <c r="K267" s="224"/>
      <c r="L267" s="177"/>
      <c r="M267" s="177"/>
    </row>
    <row r="268" spans="1:13" ht="22.5">
      <c r="A268" s="226" t="str">
        <f>'Orç - Prédio'!A139</f>
        <v>04.01.305.01</v>
      </c>
      <c r="B268" s="748" t="str">
        <f>'Orç - Prédio'!D139</f>
        <v>Vidro comum laminado, liso, incolor, duplo, espessura total 6 mm, colocado (EA-01, 02, 03, 04, 08, 09)</v>
      </c>
      <c r="C268" s="748"/>
      <c r="D268" s="748"/>
      <c r="E268" s="748"/>
      <c r="F268" s="748"/>
      <c r="G268" s="748"/>
      <c r="H268" s="748"/>
      <c r="I268" s="748"/>
      <c r="J268" s="748"/>
      <c r="K268" s="227" t="str">
        <f>'Orç - Prédio'!F139</f>
        <v>m2</v>
      </c>
      <c r="L268" s="176" t="s">
        <v>8979</v>
      </c>
    </row>
    <row r="269" spans="1:13">
      <c r="A269" s="745"/>
      <c r="B269" s="745"/>
      <c r="C269" s="218"/>
      <c r="D269" s="218"/>
      <c r="E269" s="218"/>
      <c r="F269" s="218"/>
      <c r="G269" s="745" t="s">
        <v>7863</v>
      </c>
      <c r="H269" s="745"/>
      <c r="I269" s="745" t="s">
        <v>7864</v>
      </c>
      <c r="J269" s="745"/>
      <c r="K269" s="745"/>
      <c r="L269" s="177"/>
      <c r="M269" s="177"/>
    </row>
    <row r="270" spans="1:13" ht="22.5">
      <c r="A270" s="745" t="s">
        <v>7880</v>
      </c>
      <c r="B270" s="745"/>
      <c r="C270" s="745" t="s">
        <v>7865</v>
      </c>
      <c r="D270" s="745" t="s">
        <v>7866</v>
      </c>
      <c r="E270" s="745" t="s">
        <v>7867</v>
      </c>
      <c r="F270" s="745" t="s">
        <v>7868</v>
      </c>
      <c r="G270" s="224" t="s">
        <v>7869</v>
      </c>
      <c r="H270" s="224" t="s">
        <v>7870</v>
      </c>
      <c r="I270" s="224" t="s">
        <v>7871</v>
      </c>
      <c r="J270" s="224" t="s">
        <v>7869</v>
      </c>
      <c r="K270" s="224" t="s">
        <v>7870</v>
      </c>
      <c r="L270" s="177"/>
      <c r="M270" s="177"/>
    </row>
    <row r="271" spans="1:13">
      <c r="A271" s="745"/>
      <c r="B271" s="745"/>
      <c r="C271" s="745"/>
      <c r="D271" s="745"/>
      <c r="E271" s="745"/>
      <c r="F271" s="745"/>
      <c r="G271" s="224" t="s">
        <v>7872</v>
      </c>
      <c r="H271" s="224" t="s">
        <v>7873</v>
      </c>
      <c r="I271" s="224" t="s">
        <v>7874</v>
      </c>
      <c r="J271" s="224" t="s">
        <v>7872</v>
      </c>
      <c r="K271" s="224" t="s">
        <v>7873</v>
      </c>
      <c r="L271" s="177"/>
      <c r="M271" s="177"/>
    </row>
    <row r="272" spans="1:13">
      <c r="A272" s="224"/>
      <c r="B272" s="234" t="s">
        <v>6881</v>
      </c>
      <c r="C272" s="222">
        <v>8</v>
      </c>
      <c r="D272" s="222"/>
      <c r="E272" s="225"/>
      <c r="F272" s="231"/>
      <c r="G272" s="236">
        <f>(0.4877*11+0.158*11+0.2908+0.0958)</f>
        <v>7.4893000000000001</v>
      </c>
      <c r="H272" s="220"/>
      <c r="I272" s="220"/>
      <c r="J272" s="220">
        <f t="shared" ref="J272:J277" si="25">G272*C272</f>
        <v>59.914400000000001</v>
      </c>
      <c r="K272" s="220">
        <f t="shared" ref="K272:K277" si="26">C272*H272</f>
        <v>0</v>
      </c>
      <c r="L272" s="279"/>
      <c r="M272" s="177"/>
    </row>
    <row r="273" spans="1:13">
      <c r="A273" s="224"/>
      <c r="B273" s="234" t="s">
        <v>6882</v>
      </c>
      <c r="C273" s="222">
        <v>8</v>
      </c>
      <c r="D273" s="222"/>
      <c r="E273" s="225"/>
      <c r="F273" s="231"/>
      <c r="G273" s="236">
        <f>(0.4877*11+0.158*11+0.2908+0.0958)</f>
        <v>7.4893000000000001</v>
      </c>
      <c r="H273" s="220"/>
      <c r="I273" s="220"/>
      <c r="J273" s="220">
        <f t="shared" si="25"/>
        <v>59.914400000000001</v>
      </c>
      <c r="K273" s="220">
        <f t="shared" si="26"/>
        <v>0</v>
      </c>
      <c r="L273" s="279"/>
      <c r="M273" s="177"/>
    </row>
    <row r="274" spans="1:13">
      <c r="A274" s="224"/>
      <c r="B274" s="234" t="s">
        <v>6883</v>
      </c>
      <c r="C274" s="222">
        <v>6</v>
      </c>
      <c r="D274" s="222"/>
      <c r="E274" s="225"/>
      <c r="F274" s="231"/>
      <c r="G274" s="236">
        <f>(0.4877*12+0.158*12)</f>
        <v>7.7484000000000002</v>
      </c>
      <c r="H274" s="220"/>
      <c r="I274" s="220"/>
      <c r="J274" s="220">
        <f t="shared" si="25"/>
        <v>46.490400000000001</v>
      </c>
      <c r="K274" s="220">
        <f t="shared" si="26"/>
        <v>0</v>
      </c>
      <c r="L274" s="279"/>
      <c r="M274" s="177"/>
    </row>
    <row r="275" spans="1:13">
      <c r="A275" s="224"/>
      <c r="B275" s="234" t="s">
        <v>6884</v>
      </c>
      <c r="C275" s="222">
        <v>2</v>
      </c>
      <c r="D275" s="222"/>
      <c r="E275" s="225"/>
      <c r="F275" s="231"/>
      <c r="G275" s="236">
        <f>0.10218*40+0.0421*8</f>
        <v>4.4240000000000004</v>
      </c>
      <c r="H275" s="220"/>
      <c r="I275" s="220"/>
      <c r="J275" s="220">
        <f t="shared" si="25"/>
        <v>8.8480000000000008</v>
      </c>
      <c r="K275" s="220">
        <f t="shared" si="26"/>
        <v>0</v>
      </c>
      <c r="L275" s="279"/>
      <c r="M275" s="177"/>
    </row>
    <row r="276" spans="1:13">
      <c r="A276" s="224"/>
      <c r="B276" s="234" t="s">
        <v>6885</v>
      </c>
      <c r="C276" s="222">
        <v>1</v>
      </c>
      <c r="D276" s="222"/>
      <c r="E276" s="225"/>
      <c r="F276" s="231"/>
      <c r="G276" s="236">
        <f>1.9</f>
        <v>1.9</v>
      </c>
      <c r="H276" s="220"/>
      <c r="I276" s="220"/>
      <c r="J276" s="220">
        <f t="shared" si="25"/>
        <v>1.9</v>
      </c>
      <c r="K276" s="220">
        <f t="shared" si="26"/>
        <v>0</v>
      </c>
      <c r="L276" s="279"/>
      <c r="M276" s="177"/>
    </row>
    <row r="277" spans="1:13">
      <c r="A277" s="224"/>
      <c r="B277" s="234" t="s">
        <v>6886</v>
      </c>
      <c r="C277" s="222">
        <v>1</v>
      </c>
      <c r="D277" s="222"/>
      <c r="E277" s="225"/>
      <c r="F277" s="231"/>
      <c r="G277" s="236">
        <f>3.75</f>
        <v>3.75</v>
      </c>
      <c r="H277" s="220"/>
      <c r="I277" s="220"/>
      <c r="J277" s="220">
        <f t="shared" si="25"/>
        <v>3.75</v>
      </c>
      <c r="K277" s="220">
        <f t="shared" si="26"/>
        <v>0</v>
      </c>
      <c r="L277" s="279"/>
      <c r="M277" s="177"/>
    </row>
    <row r="278" spans="1:13">
      <c r="A278" s="228"/>
      <c r="B278" s="229"/>
      <c r="C278" s="229"/>
      <c r="D278" s="229"/>
      <c r="E278" s="229"/>
      <c r="F278" s="747" t="s">
        <v>7875</v>
      </c>
      <c r="G278" s="747"/>
      <c r="H278" s="747"/>
      <c r="I278" s="230">
        <f>ROUND(SUM(I272:I277),2)</f>
        <v>0</v>
      </c>
      <c r="J278" s="230">
        <f>ROUND(SUM(J272:J277),2)</f>
        <v>180.82</v>
      </c>
      <c r="K278" s="230">
        <f>ROUND(SUM(K272:K277),2)</f>
        <v>0</v>
      </c>
      <c r="L278" s="177"/>
      <c r="M278" s="177"/>
    </row>
    <row r="279" spans="1:13">
      <c r="A279" s="224"/>
      <c r="B279" s="746"/>
      <c r="C279" s="746"/>
      <c r="D279" s="746"/>
      <c r="E279" s="746"/>
      <c r="F279" s="746"/>
      <c r="G279" s="746"/>
      <c r="H279" s="746"/>
      <c r="I279" s="746"/>
      <c r="J279" s="746"/>
      <c r="K279" s="224"/>
      <c r="L279" s="177"/>
      <c r="M279" s="177"/>
    </row>
    <row r="280" spans="1:13" ht="22.5">
      <c r="A280" s="226" t="str">
        <f>'Orç - Prédio'!A141</f>
        <v>04.01.305.03</v>
      </c>
      <c r="B280" s="748" t="str">
        <f>'Orç - Prédio'!D141</f>
        <v>Vidro comum laminado, liso, incolor, duplo, espessura total 8 mm, colocado (EA-05 e 06)</v>
      </c>
      <c r="C280" s="748"/>
      <c r="D280" s="748"/>
      <c r="E280" s="748"/>
      <c r="F280" s="748"/>
      <c r="G280" s="748"/>
      <c r="H280" s="748"/>
      <c r="I280" s="748"/>
      <c r="J280" s="748"/>
      <c r="K280" s="227" t="str">
        <f>'Orç - Prédio'!F141</f>
        <v>m2</v>
      </c>
      <c r="L280" s="176" t="s">
        <v>8979</v>
      </c>
    </row>
    <row r="281" spans="1:13">
      <c r="A281" s="745"/>
      <c r="B281" s="745"/>
      <c r="C281" s="218"/>
      <c r="D281" s="218"/>
      <c r="E281" s="218"/>
      <c r="F281" s="218"/>
      <c r="G281" s="745" t="s">
        <v>7863</v>
      </c>
      <c r="H281" s="745"/>
      <c r="I281" s="745" t="s">
        <v>7864</v>
      </c>
      <c r="J281" s="745"/>
      <c r="K281" s="745"/>
      <c r="L281" s="177"/>
      <c r="M281" s="177"/>
    </row>
    <row r="282" spans="1:13" ht="22.5">
      <c r="A282" s="745" t="s">
        <v>7880</v>
      </c>
      <c r="B282" s="745"/>
      <c r="C282" s="745" t="s">
        <v>7865</v>
      </c>
      <c r="D282" s="745" t="s">
        <v>7866</v>
      </c>
      <c r="E282" s="745" t="s">
        <v>7867</v>
      </c>
      <c r="F282" s="745" t="s">
        <v>7868</v>
      </c>
      <c r="G282" s="224" t="s">
        <v>7869</v>
      </c>
      <c r="H282" s="224" t="s">
        <v>7870</v>
      </c>
      <c r="I282" s="224" t="s">
        <v>7871</v>
      </c>
      <c r="J282" s="224" t="s">
        <v>7869</v>
      </c>
      <c r="K282" s="224" t="s">
        <v>7870</v>
      </c>
      <c r="L282" s="177"/>
      <c r="M282" s="177"/>
    </row>
    <row r="283" spans="1:13">
      <c r="A283" s="745"/>
      <c r="B283" s="745"/>
      <c r="C283" s="745"/>
      <c r="D283" s="745"/>
      <c r="E283" s="745"/>
      <c r="F283" s="745"/>
      <c r="G283" s="224" t="s">
        <v>7872</v>
      </c>
      <c r="H283" s="224" t="s">
        <v>7873</v>
      </c>
      <c r="I283" s="224" t="s">
        <v>7874</v>
      </c>
      <c r="J283" s="224" t="s">
        <v>7872</v>
      </c>
      <c r="K283" s="224" t="s">
        <v>7873</v>
      </c>
      <c r="L283" s="177"/>
      <c r="M283" s="177"/>
    </row>
    <row r="284" spans="1:13">
      <c r="A284" s="224"/>
      <c r="B284" s="234" t="s">
        <v>6887</v>
      </c>
      <c r="C284" s="222">
        <v>1</v>
      </c>
      <c r="D284" s="222"/>
      <c r="E284" s="225"/>
      <c r="F284" s="231"/>
      <c r="G284" s="237">
        <f>1.0564*6*5+0.8872*6+0.23*3</f>
        <v>37.705199999999998</v>
      </c>
      <c r="H284" s="220"/>
      <c r="I284" s="220"/>
      <c r="J284" s="220">
        <f>G284*C284</f>
        <v>37.705199999999998</v>
      </c>
      <c r="K284" s="220">
        <f>C284*H284</f>
        <v>0</v>
      </c>
      <c r="L284" s="279"/>
      <c r="M284" s="177"/>
    </row>
    <row r="285" spans="1:13">
      <c r="A285" s="224"/>
      <c r="B285" s="234" t="s">
        <v>6888</v>
      </c>
      <c r="C285" s="222">
        <v>1</v>
      </c>
      <c r="D285" s="222"/>
      <c r="E285" s="225"/>
      <c r="F285" s="231"/>
      <c r="G285" s="237">
        <f>2*1.0564*6*5+0.8872*9+0.5587*3</f>
        <v>73.044899999999998</v>
      </c>
      <c r="H285" s="220"/>
      <c r="I285" s="220"/>
      <c r="J285" s="220">
        <f>G285*C285</f>
        <v>73.044899999999998</v>
      </c>
      <c r="K285" s="220">
        <f>C285*H285</f>
        <v>0</v>
      </c>
      <c r="L285" s="279"/>
      <c r="M285" s="177"/>
    </row>
    <row r="286" spans="1:13">
      <c r="A286" s="228"/>
      <c r="B286" s="229"/>
      <c r="C286" s="229"/>
      <c r="D286" s="229"/>
      <c r="E286" s="229"/>
      <c r="F286" s="747" t="s">
        <v>7875</v>
      </c>
      <c r="G286" s="747"/>
      <c r="H286" s="747"/>
      <c r="I286" s="230">
        <f>ROUND(SUM(I284:I285),2)</f>
        <v>0</v>
      </c>
      <c r="J286" s="230">
        <f>ROUND(SUM(J284:J285),2)</f>
        <v>110.75</v>
      </c>
      <c r="K286" s="230">
        <f>ROUND(SUM(K284:K285),2)</f>
        <v>0</v>
      </c>
      <c r="L286" s="177"/>
      <c r="M286" s="177"/>
    </row>
    <row r="287" spans="1:13">
      <c r="A287" s="224"/>
      <c r="B287" s="746"/>
      <c r="C287" s="746"/>
      <c r="D287" s="746"/>
      <c r="E287" s="746"/>
      <c r="F287" s="746"/>
      <c r="G287" s="746"/>
      <c r="H287" s="746"/>
      <c r="I287" s="746"/>
      <c r="J287" s="746"/>
      <c r="K287" s="224"/>
      <c r="L287" s="177"/>
      <c r="M287" s="177"/>
    </row>
    <row r="288" spans="1:13" ht="22.5">
      <c r="A288" s="226" t="str">
        <f>'Orç - Prédio'!A142</f>
        <v>04.01.305.04</v>
      </c>
      <c r="B288" s="748" t="str">
        <f>'Orç - Prédio'!D142</f>
        <v>Vidro comum laminado liso, incolor, duplo, espessura total 10mm, colocado (guarda-corpos)</v>
      </c>
      <c r="C288" s="748"/>
      <c r="D288" s="748"/>
      <c r="E288" s="748"/>
      <c r="F288" s="748"/>
      <c r="G288" s="748"/>
      <c r="H288" s="748"/>
      <c r="I288" s="748"/>
      <c r="J288" s="748"/>
      <c r="K288" s="227" t="str">
        <f>'Orç - Prédio'!F142</f>
        <v>m2</v>
      </c>
      <c r="L288" s="176" t="s">
        <v>8979</v>
      </c>
    </row>
    <row r="289" spans="1:13">
      <c r="A289" s="745"/>
      <c r="B289" s="745"/>
      <c r="C289" s="218"/>
      <c r="D289" s="218"/>
      <c r="E289" s="218"/>
      <c r="F289" s="218"/>
      <c r="G289" s="745" t="s">
        <v>7863</v>
      </c>
      <c r="H289" s="745"/>
      <c r="I289" s="745" t="s">
        <v>7864</v>
      </c>
      <c r="J289" s="745"/>
      <c r="K289" s="745"/>
      <c r="L289" s="177"/>
      <c r="M289" s="177"/>
    </row>
    <row r="290" spans="1:13" ht="22.5">
      <c r="A290" s="745" t="s">
        <v>7880</v>
      </c>
      <c r="B290" s="745"/>
      <c r="C290" s="745" t="s">
        <v>7865</v>
      </c>
      <c r="D290" s="745" t="s">
        <v>7866</v>
      </c>
      <c r="E290" s="745" t="s">
        <v>7867</v>
      </c>
      <c r="F290" s="745" t="s">
        <v>7868</v>
      </c>
      <c r="G290" s="224" t="s">
        <v>7869</v>
      </c>
      <c r="H290" s="224" t="s">
        <v>7870</v>
      </c>
      <c r="I290" s="224" t="s">
        <v>7871</v>
      </c>
      <c r="J290" s="224" t="s">
        <v>7869</v>
      </c>
      <c r="K290" s="224" t="s">
        <v>7870</v>
      </c>
      <c r="L290" s="177"/>
      <c r="M290" s="177"/>
    </row>
    <row r="291" spans="1:13">
      <c r="A291" s="745"/>
      <c r="B291" s="745"/>
      <c r="C291" s="745"/>
      <c r="D291" s="745"/>
      <c r="E291" s="745"/>
      <c r="F291" s="745"/>
      <c r="G291" s="224" t="s">
        <v>7872</v>
      </c>
      <c r="H291" s="224" t="s">
        <v>7873</v>
      </c>
      <c r="I291" s="224" t="s">
        <v>7874</v>
      </c>
      <c r="J291" s="224" t="s">
        <v>7872</v>
      </c>
      <c r="K291" s="224" t="s">
        <v>7873</v>
      </c>
      <c r="L291" s="177"/>
      <c r="M291" s="177"/>
    </row>
    <row r="292" spans="1:13">
      <c r="A292" s="224"/>
      <c r="B292" s="234" t="s">
        <v>6889</v>
      </c>
      <c r="C292" s="222">
        <v>1</v>
      </c>
      <c r="D292" s="222"/>
      <c r="E292" s="225"/>
      <c r="F292" s="231"/>
      <c r="G292" s="237">
        <f>2*(2*0.895+2*0.895+1.04+2*0.945+2*0.945+1.14+2*0.748+2*0.945+0.816+1.21+1.34)</f>
        <v>32.584000000000003</v>
      </c>
      <c r="H292" s="220"/>
      <c r="I292" s="220"/>
      <c r="J292" s="220">
        <f>G292*C292</f>
        <v>32.584000000000003</v>
      </c>
      <c r="K292" s="220">
        <f>C292*H292</f>
        <v>0</v>
      </c>
      <c r="L292" s="279"/>
      <c r="M292" s="177"/>
    </row>
    <row r="293" spans="1:13">
      <c r="A293" s="224"/>
      <c r="B293" s="234" t="s">
        <v>6890</v>
      </c>
      <c r="C293" s="222">
        <v>1</v>
      </c>
      <c r="D293" s="222"/>
      <c r="E293" s="225"/>
      <c r="F293" s="231"/>
      <c r="G293" s="237">
        <f>7.362*1</f>
        <v>7.3620000000000001</v>
      </c>
      <c r="H293" s="220"/>
      <c r="I293" s="220"/>
      <c r="J293" s="220">
        <f>G293*C293</f>
        <v>7.3620000000000001</v>
      </c>
      <c r="K293" s="220">
        <f>C293*H293</f>
        <v>0</v>
      </c>
      <c r="L293" s="279"/>
      <c r="M293" s="177"/>
    </row>
    <row r="294" spans="1:13">
      <c r="A294" s="224"/>
      <c r="B294" s="234" t="s">
        <v>6891</v>
      </c>
      <c r="C294" s="222">
        <v>1</v>
      </c>
      <c r="D294" s="222"/>
      <c r="E294" s="225"/>
      <c r="F294" s="231"/>
      <c r="G294" s="237">
        <v>7</v>
      </c>
      <c r="H294" s="220"/>
      <c r="I294" s="220"/>
      <c r="J294" s="220">
        <f>G294*C294</f>
        <v>7</v>
      </c>
      <c r="K294" s="220">
        <f>C294*H294</f>
        <v>0</v>
      </c>
      <c r="L294" s="279"/>
      <c r="M294" s="177"/>
    </row>
    <row r="295" spans="1:13">
      <c r="A295" s="224"/>
      <c r="B295" s="234" t="s">
        <v>6892</v>
      </c>
      <c r="C295" s="222">
        <v>1</v>
      </c>
      <c r="D295" s="222"/>
      <c r="E295" s="225"/>
      <c r="F295" s="231"/>
      <c r="G295" s="237">
        <f>4.25*1+1.4*1</f>
        <v>5.65</v>
      </c>
      <c r="H295" s="220"/>
      <c r="I295" s="220"/>
      <c r="J295" s="220">
        <f>G295*C295</f>
        <v>5.65</v>
      </c>
      <c r="K295" s="220">
        <f>C295*H295</f>
        <v>0</v>
      </c>
      <c r="L295" s="279"/>
      <c r="M295" s="177"/>
    </row>
    <row r="296" spans="1:13">
      <c r="A296" s="228"/>
      <c r="B296" s="229"/>
      <c r="C296" s="229"/>
      <c r="D296" s="229"/>
      <c r="E296" s="229"/>
      <c r="F296" s="747" t="s">
        <v>7875</v>
      </c>
      <c r="G296" s="747"/>
      <c r="H296" s="747"/>
      <c r="I296" s="230">
        <f>ROUND(SUM(I292:I295),2)</f>
        <v>0</v>
      </c>
      <c r="J296" s="230">
        <f>ROUND(SUM(J292:J295),2)</f>
        <v>52.6</v>
      </c>
      <c r="K296" s="230">
        <f>ROUND(SUM(K292:K295),2)</f>
        <v>0</v>
      </c>
      <c r="L296" s="177"/>
      <c r="M296" s="177"/>
    </row>
    <row r="297" spans="1:13">
      <c r="A297" s="224"/>
      <c r="B297" s="746"/>
      <c r="C297" s="746"/>
      <c r="D297" s="746"/>
      <c r="E297" s="746"/>
      <c r="F297" s="746"/>
      <c r="G297" s="746"/>
      <c r="H297" s="746"/>
      <c r="I297" s="746"/>
      <c r="J297" s="746"/>
      <c r="K297" s="224"/>
      <c r="L297" s="177"/>
      <c r="M297" s="177"/>
    </row>
    <row r="298" spans="1:13">
      <c r="A298" s="226" t="str">
        <f>'Orç - Prédio'!A143</f>
        <v>04.01.312</v>
      </c>
      <c r="B298" s="748" t="str">
        <f>'Orç - Prédio'!D143</f>
        <v>Espelho cristal, espessura 4mm, com parafusos de fixação, sem moldura, com pintura protetiva</v>
      </c>
      <c r="C298" s="748"/>
      <c r="D298" s="748"/>
      <c r="E298" s="748"/>
      <c r="F298" s="748"/>
      <c r="G298" s="748"/>
      <c r="H298" s="748"/>
      <c r="I298" s="748"/>
      <c r="J298" s="748"/>
      <c r="K298" s="227" t="str">
        <f>'Orç - Prédio'!F143</f>
        <v>m2</v>
      </c>
      <c r="L298" s="176" t="s">
        <v>8979</v>
      </c>
    </row>
    <row r="299" spans="1:13">
      <c r="A299" s="745"/>
      <c r="B299" s="745"/>
      <c r="C299" s="218"/>
      <c r="D299" s="218"/>
      <c r="E299" s="218"/>
      <c r="F299" s="218"/>
      <c r="G299" s="745" t="s">
        <v>7863</v>
      </c>
      <c r="H299" s="745"/>
      <c r="I299" s="745" t="s">
        <v>7864</v>
      </c>
      <c r="J299" s="745"/>
      <c r="K299" s="745"/>
      <c r="L299" s="177"/>
      <c r="M299" s="177"/>
    </row>
    <row r="300" spans="1:13" ht="22.5">
      <c r="A300" s="745" t="s">
        <v>7880</v>
      </c>
      <c r="B300" s="745"/>
      <c r="C300" s="745" t="s">
        <v>7865</v>
      </c>
      <c r="D300" s="745" t="s">
        <v>7866</v>
      </c>
      <c r="E300" s="745" t="s">
        <v>7867</v>
      </c>
      <c r="F300" s="745" t="s">
        <v>7868</v>
      </c>
      <c r="G300" s="224" t="s">
        <v>7869</v>
      </c>
      <c r="H300" s="224" t="s">
        <v>7870</v>
      </c>
      <c r="I300" s="224" t="s">
        <v>7871</v>
      </c>
      <c r="J300" s="224" t="s">
        <v>7869</v>
      </c>
      <c r="K300" s="224" t="s">
        <v>7870</v>
      </c>
      <c r="L300" s="177"/>
      <c r="M300" s="177"/>
    </row>
    <row r="301" spans="1:13">
      <c r="A301" s="745"/>
      <c r="B301" s="745"/>
      <c r="C301" s="745"/>
      <c r="D301" s="745"/>
      <c r="E301" s="745"/>
      <c r="F301" s="745"/>
      <c r="G301" s="224" t="s">
        <v>7872</v>
      </c>
      <c r="H301" s="224" t="s">
        <v>7873</v>
      </c>
      <c r="I301" s="224" t="s">
        <v>7874</v>
      </c>
      <c r="J301" s="224" t="s">
        <v>7872</v>
      </c>
      <c r="K301" s="224" t="s">
        <v>7873</v>
      </c>
      <c r="L301" s="177"/>
      <c r="M301" s="177"/>
    </row>
    <row r="302" spans="1:13">
      <c r="A302" s="224"/>
      <c r="B302" s="234" t="s">
        <v>6893</v>
      </c>
      <c r="C302" s="222">
        <v>1</v>
      </c>
      <c r="D302" s="222"/>
      <c r="E302" s="225"/>
      <c r="F302" s="231"/>
      <c r="G302" s="237">
        <f>0.4256*4*4</f>
        <v>6.8095999999999997</v>
      </c>
      <c r="H302" s="220"/>
      <c r="I302" s="220"/>
      <c r="J302" s="220">
        <f>G302*C302</f>
        <v>6.8095999999999997</v>
      </c>
      <c r="K302" s="220">
        <f>C302*H302</f>
        <v>0</v>
      </c>
      <c r="L302" s="279"/>
      <c r="M302" s="177"/>
    </row>
    <row r="303" spans="1:13">
      <c r="A303" s="224"/>
      <c r="B303" s="234" t="s">
        <v>6894</v>
      </c>
      <c r="C303" s="222">
        <v>1</v>
      </c>
      <c r="D303" s="222"/>
      <c r="E303" s="225"/>
      <c r="F303" s="231"/>
      <c r="G303" s="237">
        <f>0.4256*4</f>
        <v>1.7023999999999999</v>
      </c>
      <c r="H303" s="220"/>
      <c r="I303" s="220"/>
      <c r="J303" s="220">
        <f>G303*C303</f>
        <v>1.7023999999999999</v>
      </c>
      <c r="K303" s="220">
        <f>C303*H303</f>
        <v>0</v>
      </c>
      <c r="L303" s="279"/>
      <c r="M303" s="177"/>
    </row>
    <row r="304" spans="1:13">
      <c r="A304" s="228"/>
      <c r="B304" s="229"/>
      <c r="C304" s="229"/>
      <c r="D304" s="229"/>
      <c r="E304" s="229"/>
      <c r="F304" s="747" t="s">
        <v>7875</v>
      </c>
      <c r="G304" s="747"/>
      <c r="H304" s="747"/>
      <c r="I304" s="230">
        <f>ROUND(SUM(I302:I303),2)</f>
        <v>0</v>
      </c>
      <c r="J304" s="230">
        <f>ROUND(SUM(J302:J303),2)</f>
        <v>8.51</v>
      </c>
      <c r="K304" s="230">
        <f>ROUND(SUM(K302:K303),2)</f>
        <v>0</v>
      </c>
      <c r="L304" s="177"/>
      <c r="M304" s="177"/>
    </row>
    <row r="305" spans="1:13">
      <c r="A305" s="224"/>
      <c r="B305" s="746"/>
      <c r="C305" s="746"/>
      <c r="D305" s="746"/>
      <c r="E305" s="746"/>
      <c r="F305" s="746"/>
      <c r="G305" s="746"/>
      <c r="H305" s="746"/>
      <c r="I305" s="746"/>
      <c r="J305" s="746"/>
      <c r="K305" s="224"/>
      <c r="L305" s="177"/>
      <c r="M305" s="177"/>
    </row>
    <row r="306" spans="1:13" ht="22.5">
      <c r="A306" s="226" t="str">
        <f>'Orç - Prédio'!A146</f>
        <v>04.01.415.01</v>
      </c>
      <c r="B306" s="748" t="str">
        <f>'Orç - Prédio'!D146</f>
        <v>Rufo externo em chapa de aço galvanizado número 24, corte de 25cm, incluso transporte vertical</v>
      </c>
      <c r="C306" s="748"/>
      <c r="D306" s="748"/>
      <c r="E306" s="748"/>
      <c r="F306" s="748"/>
      <c r="G306" s="748"/>
      <c r="H306" s="748"/>
      <c r="I306" s="748"/>
      <c r="J306" s="748"/>
      <c r="K306" s="227" t="str">
        <f xml:space="preserve"> 'Orç - Prédio'!F146</f>
        <v>m</v>
      </c>
      <c r="L306" s="176" t="s">
        <v>8979</v>
      </c>
    </row>
    <row r="307" spans="1:13">
      <c r="A307" s="745"/>
      <c r="B307" s="745"/>
      <c r="C307" s="218"/>
      <c r="D307" s="218"/>
      <c r="E307" s="218"/>
      <c r="F307" s="218"/>
      <c r="G307" s="745" t="s">
        <v>7863</v>
      </c>
      <c r="H307" s="745"/>
      <c r="I307" s="745" t="s">
        <v>7864</v>
      </c>
      <c r="J307" s="745"/>
      <c r="K307" s="745"/>
      <c r="L307" s="177"/>
      <c r="M307" s="177"/>
    </row>
    <row r="308" spans="1:13" ht="22.5">
      <c r="A308" s="745" t="s">
        <v>7880</v>
      </c>
      <c r="B308" s="745"/>
      <c r="C308" s="745" t="s">
        <v>7865</v>
      </c>
      <c r="D308" s="745" t="s">
        <v>7866</v>
      </c>
      <c r="E308" s="745" t="s">
        <v>7867</v>
      </c>
      <c r="F308" s="745" t="s">
        <v>7868</v>
      </c>
      <c r="G308" s="233" t="s">
        <v>7869</v>
      </c>
      <c r="H308" s="233" t="s">
        <v>7870</v>
      </c>
      <c r="I308" s="233" t="s">
        <v>7871</v>
      </c>
      <c r="J308" s="233" t="s">
        <v>7869</v>
      </c>
      <c r="K308" s="233" t="s">
        <v>7870</v>
      </c>
      <c r="L308" s="177"/>
      <c r="M308" s="177"/>
    </row>
    <row r="309" spans="1:13">
      <c r="A309" s="745"/>
      <c r="B309" s="745"/>
      <c r="C309" s="745"/>
      <c r="D309" s="745"/>
      <c r="E309" s="745"/>
      <c r="F309" s="745"/>
      <c r="G309" s="233" t="s">
        <v>7872</v>
      </c>
      <c r="H309" s="233" t="s">
        <v>7873</v>
      </c>
      <c r="I309" s="233" t="s">
        <v>7874</v>
      </c>
      <c r="J309" s="233" t="s">
        <v>7872</v>
      </c>
      <c r="K309" s="233" t="s">
        <v>7873</v>
      </c>
      <c r="L309" s="177"/>
      <c r="M309" s="177"/>
    </row>
    <row r="310" spans="1:13">
      <c r="A310" s="233"/>
      <c r="B310" s="234" t="s">
        <v>6895</v>
      </c>
      <c r="C310" s="222">
        <v>1</v>
      </c>
      <c r="D310" s="222">
        <f>2*11.05+2*4.95</f>
        <v>32</v>
      </c>
      <c r="E310" s="225"/>
      <c r="F310" s="231"/>
      <c r="G310" s="237"/>
      <c r="H310" s="220"/>
      <c r="I310" s="220">
        <f>D310*C310</f>
        <v>32</v>
      </c>
      <c r="J310" s="220"/>
      <c r="K310" s="220">
        <f>C310*H310</f>
        <v>0</v>
      </c>
      <c r="L310" s="279"/>
      <c r="M310" s="177"/>
    </row>
    <row r="311" spans="1:13" ht="22.5">
      <c r="A311" s="233"/>
      <c r="B311" s="234" t="s">
        <v>6896</v>
      </c>
      <c r="C311" s="222">
        <v>1</v>
      </c>
      <c r="D311" s="222">
        <f>10.22</f>
        <v>10.220000000000001</v>
      </c>
      <c r="E311" s="225"/>
      <c r="F311" s="231"/>
      <c r="G311" s="237"/>
      <c r="H311" s="220"/>
      <c r="I311" s="220">
        <f>D311*C311</f>
        <v>10.220000000000001</v>
      </c>
      <c r="J311" s="220"/>
      <c r="K311" s="220">
        <f>C311*H311</f>
        <v>0</v>
      </c>
      <c r="L311" s="279"/>
      <c r="M311" s="177"/>
    </row>
    <row r="312" spans="1:13">
      <c r="A312" s="228"/>
      <c r="B312" s="229"/>
      <c r="C312" s="229"/>
      <c r="D312" s="229"/>
      <c r="E312" s="229"/>
      <c r="F312" s="747" t="s">
        <v>7875</v>
      </c>
      <c r="G312" s="747"/>
      <c r="H312" s="747"/>
      <c r="I312" s="230">
        <f>ROUND(SUM(I310:I311),2)</f>
        <v>42.22</v>
      </c>
      <c r="J312" s="230">
        <f>ROUND(SUM(J310:J311),2)</f>
        <v>0</v>
      </c>
      <c r="K312" s="230">
        <f>ROUND(SUM(K310:K311),2)</f>
        <v>0</v>
      </c>
      <c r="L312" s="177"/>
      <c r="M312" s="177"/>
    </row>
    <row r="313" spans="1:13">
      <c r="A313" s="233"/>
      <c r="B313" s="746"/>
      <c r="C313" s="746"/>
      <c r="D313" s="746"/>
      <c r="E313" s="746"/>
      <c r="F313" s="746"/>
      <c r="G313" s="746"/>
      <c r="H313" s="746"/>
      <c r="I313" s="746"/>
      <c r="J313" s="746"/>
      <c r="K313" s="233"/>
      <c r="L313" s="177"/>
      <c r="M313" s="177"/>
    </row>
    <row r="314" spans="1:13" ht="22.5">
      <c r="A314" s="226" t="str">
        <f>'Orç - Prédio'!A147</f>
        <v>04.01.415.02</v>
      </c>
      <c r="B314" s="748" t="str">
        <f>'Orç - Prédio'!D147</f>
        <v>Rufo tipo pingadeira em chapa de aço galvanizado número 24, incluso transporte vertical</v>
      </c>
      <c r="C314" s="748"/>
      <c r="D314" s="748"/>
      <c r="E314" s="748"/>
      <c r="F314" s="748"/>
      <c r="G314" s="748"/>
      <c r="H314" s="748"/>
      <c r="I314" s="748"/>
      <c r="J314" s="748"/>
      <c r="K314" s="227" t="str">
        <f>'Orç - Prédio'!F147</f>
        <v>m</v>
      </c>
      <c r="L314" s="176" t="s">
        <v>8979</v>
      </c>
    </row>
    <row r="315" spans="1:13">
      <c r="A315" s="745"/>
      <c r="B315" s="745"/>
      <c r="C315" s="218"/>
      <c r="D315" s="218"/>
      <c r="E315" s="218"/>
      <c r="F315" s="218"/>
      <c r="G315" s="745" t="s">
        <v>7863</v>
      </c>
      <c r="H315" s="745"/>
      <c r="I315" s="745" t="s">
        <v>7864</v>
      </c>
      <c r="J315" s="745"/>
      <c r="K315" s="745"/>
      <c r="L315" s="177"/>
      <c r="M315" s="177"/>
    </row>
    <row r="316" spans="1:13" ht="22.5">
      <c r="A316" s="745" t="s">
        <v>7880</v>
      </c>
      <c r="B316" s="745"/>
      <c r="C316" s="745" t="s">
        <v>7865</v>
      </c>
      <c r="D316" s="745" t="s">
        <v>7866</v>
      </c>
      <c r="E316" s="745" t="s">
        <v>7867</v>
      </c>
      <c r="F316" s="745" t="s">
        <v>7868</v>
      </c>
      <c r="G316" s="233" t="s">
        <v>7869</v>
      </c>
      <c r="H316" s="233" t="s">
        <v>7870</v>
      </c>
      <c r="I316" s="233" t="s">
        <v>7871</v>
      </c>
      <c r="J316" s="233" t="s">
        <v>7869</v>
      </c>
      <c r="K316" s="233" t="s">
        <v>7870</v>
      </c>
      <c r="L316" s="177"/>
      <c r="M316" s="177"/>
    </row>
    <row r="317" spans="1:13">
      <c r="A317" s="745"/>
      <c r="B317" s="745"/>
      <c r="C317" s="745"/>
      <c r="D317" s="745"/>
      <c r="E317" s="745"/>
      <c r="F317" s="745"/>
      <c r="G317" s="233" t="s">
        <v>7872</v>
      </c>
      <c r="H317" s="233" t="s">
        <v>7873</v>
      </c>
      <c r="I317" s="233" t="s">
        <v>7874</v>
      </c>
      <c r="J317" s="233" t="s">
        <v>7872</v>
      </c>
      <c r="K317" s="233" t="s">
        <v>7873</v>
      </c>
      <c r="L317" s="177"/>
      <c r="M317" s="177"/>
    </row>
    <row r="318" spans="1:13">
      <c r="A318" s="233"/>
      <c r="B318" s="234" t="s">
        <v>6897</v>
      </c>
      <c r="C318" s="222">
        <v>1</v>
      </c>
      <c r="D318" s="222">
        <v>32.619999999999997</v>
      </c>
      <c r="E318" s="225"/>
      <c r="F318" s="231"/>
      <c r="G318" s="237"/>
      <c r="H318" s="220"/>
      <c r="I318" s="220">
        <f>D318*C318</f>
        <v>32.619999999999997</v>
      </c>
      <c r="J318" s="220"/>
      <c r="K318" s="220">
        <f>C318*H318</f>
        <v>0</v>
      </c>
      <c r="L318" s="279"/>
      <c r="M318" s="177"/>
    </row>
    <row r="319" spans="1:13">
      <c r="A319" s="233"/>
      <c r="B319" s="234" t="s">
        <v>6898</v>
      </c>
      <c r="C319" s="222">
        <v>1</v>
      </c>
      <c r="D319" s="222">
        <v>11.25</v>
      </c>
      <c r="E319" s="225"/>
      <c r="F319" s="231"/>
      <c r="G319" s="237"/>
      <c r="H319" s="220"/>
      <c r="I319" s="220">
        <f>D319*C319</f>
        <v>11.25</v>
      </c>
      <c r="J319" s="220"/>
      <c r="K319" s="220">
        <f>C319*H319</f>
        <v>0</v>
      </c>
      <c r="L319" s="279"/>
      <c r="M319" s="177"/>
    </row>
    <row r="320" spans="1:13">
      <c r="A320" s="233"/>
      <c r="B320" s="234" t="s">
        <v>6899</v>
      </c>
      <c r="C320" s="222">
        <v>1</v>
      </c>
      <c r="D320" s="222">
        <v>161</v>
      </c>
      <c r="E320" s="225"/>
      <c r="F320" s="231"/>
      <c r="G320" s="237"/>
      <c r="H320" s="220"/>
      <c r="I320" s="220">
        <f>D320*C320</f>
        <v>161</v>
      </c>
      <c r="J320" s="220"/>
      <c r="K320" s="220">
        <f>C320*H320</f>
        <v>0</v>
      </c>
      <c r="L320" s="279"/>
      <c r="M320" s="177"/>
    </row>
    <row r="321" spans="1:13">
      <c r="A321" s="228"/>
      <c r="B321" s="229"/>
      <c r="C321" s="229"/>
      <c r="D321" s="229"/>
      <c r="E321" s="229"/>
      <c r="F321" s="747" t="s">
        <v>7875</v>
      </c>
      <c r="G321" s="747"/>
      <c r="H321" s="747"/>
      <c r="I321" s="230">
        <f>ROUND(SUM(I318:I320),2)</f>
        <v>204.87</v>
      </c>
      <c r="J321" s="230">
        <f>ROUND(SUM(J318:J320),2)</f>
        <v>0</v>
      </c>
      <c r="K321" s="230">
        <f>ROUND(SUM(K318:K320),2)</f>
        <v>0</v>
      </c>
      <c r="L321" s="177"/>
      <c r="M321" s="177"/>
    </row>
    <row r="322" spans="1:13">
      <c r="A322" s="233"/>
      <c r="B322" s="746"/>
      <c r="C322" s="746"/>
      <c r="D322" s="746"/>
      <c r="E322" s="746"/>
      <c r="F322" s="746"/>
      <c r="G322" s="746"/>
      <c r="H322" s="746"/>
      <c r="I322" s="746"/>
      <c r="J322" s="746"/>
      <c r="K322" s="233"/>
      <c r="L322" s="177"/>
      <c r="M322" s="177"/>
    </row>
    <row r="323" spans="1:13">
      <c r="A323" s="226" t="str">
        <f>'Orç - Prédio'!A149</f>
        <v>04.01.511</v>
      </c>
      <c r="B323" s="748" t="str">
        <f>'Orç - Prédio'!D149</f>
        <v>Piso cimentado traço 1:3 (cimento e areia), acabamento liso espessura 2 cm, preparo mecânico da argamassa</v>
      </c>
      <c r="C323" s="748"/>
      <c r="D323" s="748"/>
      <c r="E323" s="748"/>
      <c r="F323" s="748"/>
      <c r="G323" s="748"/>
      <c r="H323" s="748"/>
      <c r="I323" s="748"/>
      <c r="J323" s="748"/>
      <c r="K323" s="227" t="str">
        <f>'Orç - Prédio'!F149</f>
        <v>m2</v>
      </c>
      <c r="L323" s="176" t="s">
        <v>8979</v>
      </c>
    </row>
    <row r="324" spans="1:13">
      <c r="A324" s="745"/>
      <c r="B324" s="745"/>
      <c r="C324" s="218"/>
      <c r="D324" s="218"/>
      <c r="E324" s="218"/>
      <c r="F324" s="218"/>
      <c r="G324" s="745" t="s">
        <v>7863</v>
      </c>
      <c r="H324" s="745"/>
      <c r="I324" s="745" t="s">
        <v>7864</v>
      </c>
      <c r="J324" s="745"/>
      <c r="K324" s="745"/>
      <c r="L324" s="177"/>
      <c r="M324" s="177"/>
    </row>
    <row r="325" spans="1:13" ht="22.5">
      <c r="A325" s="745" t="s">
        <v>7880</v>
      </c>
      <c r="B325" s="745"/>
      <c r="C325" s="745" t="s">
        <v>7865</v>
      </c>
      <c r="D325" s="745" t="s">
        <v>7866</v>
      </c>
      <c r="E325" s="745" t="s">
        <v>7867</v>
      </c>
      <c r="F325" s="745" t="s">
        <v>7868</v>
      </c>
      <c r="G325" s="233" t="s">
        <v>7869</v>
      </c>
      <c r="H325" s="233" t="s">
        <v>7870</v>
      </c>
      <c r="I325" s="233" t="s">
        <v>7871</v>
      </c>
      <c r="J325" s="233" t="s">
        <v>7869</v>
      </c>
      <c r="K325" s="233" t="s">
        <v>7870</v>
      </c>
      <c r="L325" s="177"/>
      <c r="M325" s="177"/>
    </row>
    <row r="326" spans="1:13">
      <c r="A326" s="745"/>
      <c r="B326" s="745"/>
      <c r="C326" s="745"/>
      <c r="D326" s="745"/>
      <c r="E326" s="745"/>
      <c r="F326" s="745"/>
      <c r="G326" s="233" t="s">
        <v>7872</v>
      </c>
      <c r="H326" s="233" t="s">
        <v>7873</v>
      </c>
      <c r="I326" s="233" t="s">
        <v>7874</v>
      </c>
      <c r="J326" s="233" t="s">
        <v>7872</v>
      </c>
      <c r="K326" s="233" t="s">
        <v>7873</v>
      </c>
      <c r="L326" s="177"/>
      <c r="M326" s="177"/>
    </row>
    <row r="327" spans="1:13">
      <c r="A327" s="233"/>
      <c r="B327" s="234" t="s">
        <v>6900</v>
      </c>
      <c r="C327" s="222">
        <v>4</v>
      </c>
      <c r="D327" s="222"/>
      <c r="E327" s="225"/>
      <c r="F327" s="231"/>
      <c r="G327" s="239">
        <v>7.17</v>
      </c>
      <c r="H327" s="220"/>
      <c r="I327" s="220"/>
      <c r="J327" s="220">
        <f>G327*C327</f>
        <v>28.68</v>
      </c>
      <c r="K327" s="220">
        <f>C327*H327</f>
        <v>0</v>
      </c>
      <c r="L327" s="279"/>
      <c r="M327" s="177"/>
    </row>
    <row r="328" spans="1:13" ht="22.5">
      <c r="A328" s="233"/>
      <c r="B328" s="234" t="s">
        <v>6901</v>
      </c>
      <c r="C328" s="222">
        <v>1</v>
      </c>
      <c r="D328" s="222"/>
      <c r="E328" s="225"/>
      <c r="F328" s="231"/>
      <c r="G328" s="220">
        <v>138.44</v>
      </c>
      <c r="H328" s="220"/>
      <c r="I328" s="220"/>
      <c r="J328" s="220">
        <f>G328*C328</f>
        <v>138.44</v>
      </c>
      <c r="K328" s="220">
        <f>C328*H328</f>
        <v>0</v>
      </c>
      <c r="L328" s="279"/>
      <c r="M328" s="177"/>
    </row>
    <row r="329" spans="1:13">
      <c r="A329" s="233"/>
      <c r="B329" s="234" t="s">
        <v>6902</v>
      </c>
      <c r="C329" s="222">
        <v>1</v>
      </c>
      <c r="D329" s="222"/>
      <c r="E329" s="225"/>
      <c r="F329" s="231"/>
      <c r="G329" s="220">
        <v>139.05000000000001</v>
      </c>
      <c r="H329" s="220"/>
      <c r="I329" s="220"/>
      <c r="J329" s="220">
        <f>G329*C329</f>
        <v>139.05000000000001</v>
      </c>
      <c r="K329" s="220">
        <f>C329*H329</f>
        <v>0</v>
      </c>
      <c r="L329" s="279"/>
      <c r="M329" s="177"/>
    </row>
    <row r="330" spans="1:13">
      <c r="A330" s="228"/>
      <c r="B330" s="229"/>
      <c r="C330" s="229"/>
      <c r="D330" s="229"/>
      <c r="E330" s="229"/>
      <c r="F330" s="747" t="s">
        <v>7875</v>
      </c>
      <c r="G330" s="747"/>
      <c r="H330" s="747"/>
      <c r="I330" s="230">
        <f>ROUND(SUM(I327:I329),2)</f>
        <v>0</v>
      </c>
      <c r="J330" s="230">
        <f>ROUND(SUM(J327:J329),2)</f>
        <v>306.17</v>
      </c>
      <c r="K330" s="230">
        <f>ROUND(SUM(K327:K329),2)</f>
        <v>0</v>
      </c>
      <c r="L330" s="177"/>
      <c r="M330" s="177"/>
    </row>
    <row r="331" spans="1:13">
      <c r="A331" s="233"/>
      <c r="B331" s="746"/>
      <c r="C331" s="746"/>
      <c r="D331" s="746"/>
      <c r="E331" s="746"/>
      <c r="F331" s="746"/>
      <c r="G331" s="746"/>
      <c r="H331" s="746"/>
      <c r="I331" s="746"/>
      <c r="J331" s="746"/>
      <c r="K331" s="233"/>
      <c r="L331" s="177"/>
      <c r="M331" s="177"/>
    </row>
    <row r="332" spans="1:13">
      <c r="A332" s="226" t="str">
        <f>'Orç - Prédio'!A150</f>
        <v>04.01.512</v>
      </c>
      <c r="B332" s="748" t="str">
        <f>'Orç - Prédio'!D150</f>
        <v>Revestimento cerâmico para piso com placas tipo grês, dimensões 30 x 30 cm</v>
      </c>
      <c r="C332" s="748"/>
      <c r="D332" s="748"/>
      <c r="E332" s="748"/>
      <c r="F332" s="748"/>
      <c r="G332" s="748"/>
      <c r="H332" s="748"/>
      <c r="I332" s="748"/>
      <c r="J332" s="748"/>
      <c r="K332" s="227" t="str">
        <f>'Orç - Prédio'!F150</f>
        <v>m2</v>
      </c>
      <c r="L332" s="176" t="s">
        <v>8979</v>
      </c>
    </row>
    <row r="333" spans="1:13">
      <c r="A333" s="745"/>
      <c r="B333" s="745"/>
      <c r="C333" s="218"/>
      <c r="D333" s="218"/>
      <c r="E333" s="218"/>
      <c r="F333" s="218"/>
      <c r="G333" s="745" t="s">
        <v>7863</v>
      </c>
      <c r="H333" s="745"/>
      <c r="I333" s="745" t="s">
        <v>7864</v>
      </c>
      <c r="J333" s="745"/>
      <c r="K333" s="745"/>
      <c r="L333" s="177"/>
      <c r="M333" s="177"/>
    </row>
    <row r="334" spans="1:13" ht="22.5">
      <c r="A334" s="745" t="s">
        <v>7880</v>
      </c>
      <c r="B334" s="745"/>
      <c r="C334" s="745" t="s">
        <v>7865</v>
      </c>
      <c r="D334" s="745" t="s">
        <v>7866</v>
      </c>
      <c r="E334" s="745" t="s">
        <v>7867</v>
      </c>
      <c r="F334" s="745" t="s">
        <v>7868</v>
      </c>
      <c r="G334" s="233" t="s">
        <v>7869</v>
      </c>
      <c r="H334" s="233" t="s">
        <v>7870</v>
      </c>
      <c r="I334" s="233" t="s">
        <v>7871</v>
      </c>
      <c r="J334" s="233" t="s">
        <v>7869</v>
      </c>
      <c r="K334" s="233" t="s">
        <v>7870</v>
      </c>
      <c r="L334" s="177"/>
      <c r="M334" s="177"/>
    </row>
    <row r="335" spans="1:13">
      <c r="A335" s="745"/>
      <c r="B335" s="745"/>
      <c r="C335" s="745"/>
      <c r="D335" s="745"/>
      <c r="E335" s="745"/>
      <c r="F335" s="745"/>
      <c r="G335" s="233" t="s">
        <v>7872</v>
      </c>
      <c r="H335" s="233" t="s">
        <v>7873</v>
      </c>
      <c r="I335" s="233" t="s">
        <v>7874</v>
      </c>
      <c r="J335" s="233" t="s">
        <v>7872</v>
      </c>
      <c r="K335" s="233" t="s">
        <v>7873</v>
      </c>
      <c r="L335" s="177"/>
      <c r="M335" s="177"/>
    </row>
    <row r="336" spans="1:13">
      <c r="A336" s="233"/>
      <c r="B336" s="234" t="s">
        <v>6903</v>
      </c>
      <c r="C336" s="222">
        <v>4</v>
      </c>
      <c r="D336" s="222"/>
      <c r="E336" s="225"/>
      <c r="F336" s="231"/>
      <c r="G336" s="239">
        <v>19.13</v>
      </c>
      <c r="H336" s="220"/>
      <c r="I336" s="220"/>
      <c r="J336" s="220">
        <f>G336*C336</f>
        <v>76.52</v>
      </c>
      <c r="K336" s="220">
        <f>C336*H336</f>
        <v>0</v>
      </c>
      <c r="L336" s="279"/>
      <c r="M336" s="177"/>
    </row>
    <row r="337" spans="1:13">
      <c r="A337" s="233"/>
      <c r="B337" s="234" t="s">
        <v>6904</v>
      </c>
      <c r="C337" s="222">
        <v>4</v>
      </c>
      <c r="D337" s="222"/>
      <c r="E337" s="225"/>
      <c r="F337" s="231"/>
      <c r="G337" s="220">
        <v>5.97</v>
      </c>
      <c r="H337" s="220"/>
      <c r="I337" s="220"/>
      <c r="J337" s="220">
        <f>G337*C337</f>
        <v>23.88</v>
      </c>
      <c r="K337" s="220">
        <f>C337*H337</f>
        <v>0</v>
      </c>
      <c r="L337" s="279"/>
      <c r="M337" s="177"/>
    </row>
    <row r="338" spans="1:13">
      <c r="A338" s="233"/>
      <c r="B338" s="234" t="s">
        <v>6905</v>
      </c>
      <c r="C338" s="222">
        <v>1</v>
      </c>
      <c r="D338" s="222"/>
      <c r="E338" s="225"/>
      <c r="F338" s="231"/>
      <c r="G338" s="220">
        <f>4.27+3.27</f>
        <v>7.5399999999999991</v>
      </c>
      <c r="H338" s="220"/>
      <c r="I338" s="220"/>
      <c r="J338" s="220">
        <f>G338*C338</f>
        <v>7.5399999999999991</v>
      </c>
      <c r="K338" s="220">
        <f>C338*H338</f>
        <v>0</v>
      </c>
      <c r="L338" s="279"/>
      <c r="M338" s="177"/>
    </row>
    <row r="339" spans="1:13">
      <c r="A339" s="228"/>
      <c r="B339" s="229"/>
      <c r="C339" s="229"/>
      <c r="D339" s="229"/>
      <c r="E339" s="229"/>
      <c r="F339" s="747" t="s">
        <v>7875</v>
      </c>
      <c r="G339" s="747"/>
      <c r="H339" s="747"/>
      <c r="I339" s="230">
        <f>ROUND(SUM(I336:I338),2)</f>
        <v>0</v>
      </c>
      <c r="J339" s="230">
        <f>ROUND(SUM(J336:J338),2)</f>
        <v>107.94</v>
      </c>
      <c r="K339" s="230">
        <f>ROUND(SUM(K336:K338),2)</f>
        <v>0</v>
      </c>
      <c r="L339" s="177"/>
      <c r="M339" s="177"/>
    </row>
    <row r="340" spans="1:13">
      <c r="A340" s="233"/>
      <c r="B340" s="746"/>
      <c r="C340" s="746"/>
      <c r="D340" s="746"/>
      <c r="E340" s="746"/>
      <c r="F340" s="746"/>
      <c r="G340" s="746"/>
      <c r="H340" s="746"/>
      <c r="I340" s="746"/>
      <c r="J340" s="746"/>
      <c r="K340" s="233"/>
      <c r="L340" s="177"/>
      <c r="M340" s="177"/>
    </row>
    <row r="341" spans="1:13">
      <c r="A341" s="226" t="str">
        <f>'Orç - Prédio'!A151</f>
        <v>04.01.515</v>
      </c>
      <c r="B341" s="748" t="str">
        <f>'Orç - Prédio'!D151</f>
        <v>Piso de granito cinza andorinha, e = 20mm, acabamento flameado (escadas)</v>
      </c>
      <c r="C341" s="748"/>
      <c r="D341" s="748"/>
      <c r="E341" s="748"/>
      <c r="F341" s="748"/>
      <c r="G341" s="748"/>
      <c r="H341" s="748"/>
      <c r="I341" s="748"/>
      <c r="J341" s="748"/>
      <c r="K341" s="227" t="str">
        <f>'Orç - Prédio'!F151</f>
        <v>m2</v>
      </c>
      <c r="L341" s="176" t="s">
        <v>8979</v>
      </c>
    </row>
    <row r="342" spans="1:13">
      <c r="A342" s="745"/>
      <c r="B342" s="745"/>
      <c r="C342" s="218"/>
      <c r="D342" s="218"/>
      <c r="E342" s="218"/>
      <c r="F342" s="218"/>
      <c r="G342" s="745" t="s">
        <v>7863</v>
      </c>
      <c r="H342" s="745"/>
      <c r="I342" s="745" t="s">
        <v>7864</v>
      </c>
      <c r="J342" s="745"/>
      <c r="K342" s="745"/>
      <c r="L342" s="177"/>
      <c r="M342" s="177"/>
    </row>
    <row r="343" spans="1:13" ht="22.5">
      <c r="A343" s="745" t="s">
        <v>7880</v>
      </c>
      <c r="B343" s="745"/>
      <c r="C343" s="745" t="s">
        <v>7865</v>
      </c>
      <c r="D343" s="745" t="s">
        <v>7866</v>
      </c>
      <c r="E343" s="745" t="s">
        <v>7867</v>
      </c>
      <c r="F343" s="745" t="s">
        <v>7868</v>
      </c>
      <c r="G343" s="238" t="s">
        <v>7869</v>
      </c>
      <c r="H343" s="238" t="s">
        <v>7870</v>
      </c>
      <c r="I343" s="238" t="s">
        <v>7871</v>
      </c>
      <c r="J343" s="238" t="s">
        <v>7869</v>
      </c>
      <c r="K343" s="238" t="s">
        <v>7870</v>
      </c>
      <c r="L343" s="177"/>
      <c r="M343" s="177"/>
    </row>
    <row r="344" spans="1:13">
      <c r="A344" s="745"/>
      <c r="B344" s="745"/>
      <c r="C344" s="745"/>
      <c r="D344" s="745"/>
      <c r="E344" s="745"/>
      <c r="F344" s="745"/>
      <c r="G344" s="238" t="s">
        <v>7872</v>
      </c>
      <c r="H344" s="238" t="s">
        <v>7873</v>
      </c>
      <c r="I344" s="238" t="s">
        <v>7874</v>
      </c>
      <c r="J344" s="238" t="s">
        <v>7872</v>
      </c>
      <c r="K344" s="238" t="s">
        <v>7873</v>
      </c>
      <c r="L344" s="177"/>
      <c r="M344" s="177"/>
    </row>
    <row r="345" spans="1:13">
      <c r="A345" s="238"/>
      <c r="B345" s="234" t="s">
        <v>6906</v>
      </c>
      <c r="C345" s="222">
        <v>4</v>
      </c>
      <c r="D345" s="222"/>
      <c r="E345" s="225"/>
      <c r="F345" s="231"/>
      <c r="G345" s="239">
        <v>2.3199999999999998</v>
      </c>
      <c r="H345" s="220"/>
      <c r="I345" s="220"/>
      <c r="J345" s="220">
        <f>G345*C345</f>
        <v>9.2799999999999994</v>
      </c>
      <c r="K345" s="220">
        <f>C345*H345</f>
        <v>0</v>
      </c>
      <c r="L345" s="279"/>
      <c r="M345" s="177"/>
    </row>
    <row r="346" spans="1:13">
      <c r="A346" s="238"/>
      <c r="B346" s="234" t="s">
        <v>6907</v>
      </c>
      <c r="C346" s="222">
        <f>19*2</f>
        <v>38</v>
      </c>
      <c r="D346" s="222"/>
      <c r="E346" s="225"/>
      <c r="F346" s="231"/>
      <c r="G346" s="220">
        <v>0.46200000000000002</v>
      </c>
      <c r="H346" s="220"/>
      <c r="I346" s="220"/>
      <c r="J346" s="220">
        <f>G346*C346</f>
        <v>17.556000000000001</v>
      </c>
      <c r="K346" s="220">
        <f>C346*H346</f>
        <v>0</v>
      </c>
      <c r="L346" s="279"/>
      <c r="M346" s="177"/>
    </row>
    <row r="347" spans="1:13">
      <c r="A347" s="228"/>
      <c r="B347" s="229"/>
      <c r="C347" s="229"/>
      <c r="D347" s="229"/>
      <c r="E347" s="229"/>
      <c r="F347" s="747" t="s">
        <v>7875</v>
      </c>
      <c r="G347" s="747"/>
      <c r="H347" s="747"/>
      <c r="I347" s="230">
        <f>ROUND(SUM(I345:I346),2)</f>
        <v>0</v>
      </c>
      <c r="J347" s="230">
        <f>ROUND(SUM(J345:J346),2)</f>
        <v>26.84</v>
      </c>
      <c r="K347" s="230">
        <f>ROUND(SUM(K345:K346),2)</f>
        <v>0</v>
      </c>
      <c r="L347" s="177"/>
      <c r="M347" s="177"/>
    </row>
    <row r="348" spans="1:13">
      <c r="A348" s="238"/>
      <c r="B348" s="746"/>
      <c r="C348" s="746"/>
      <c r="D348" s="746"/>
      <c r="E348" s="746"/>
      <c r="F348" s="746"/>
      <c r="G348" s="746"/>
      <c r="H348" s="746"/>
      <c r="I348" s="746"/>
      <c r="J348" s="746"/>
      <c r="K348" s="238"/>
      <c r="L348" s="177"/>
      <c r="M348" s="177"/>
    </row>
    <row r="349" spans="1:13">
      <c r="A349" s="226" t="str">
        <f>'Orç - Prédio'!A152</f>
        <v>04.01.516</v>
      </c>
      <c r="B349" s="748" t="str">
        <f>'Orç - Prédio'!D152</f>
        <v>Piso em granitina espessura acabada 15 mm, incluso juntas de dilatação plásticas</v>
      </c>
      <c r="C349" s="748"/>
      <c r="D349" s="748"/>
      <c r="E349" s="748"/>
      <c r="F349" s="748"/>
      <c r="G349" s="748"/>
      <c r="H349" s="748"/>
      <c r="I349" s="748"/>
      <c r="J349" s="748"/>
      <c r="K349" s="227" t="str">
        <f>'Orç - Prédio'!F152</f>
        <v>m2</v>
      </c>
      <c r="L349" s="176" t="s">
        <v>8979</v>
      </c>
    </row>
    <row r="350" spans="1:13">
      <c r="A350" s="745"/>
      <c r="B350" s="745"/>
      <c r="C350" s="218"/>
      <c r="D350" s="218"/>
      <c r="E350" s="218"/>
      <c r="F350" s="218"/>
      <c r="G350" s="745" t="s">
        <v>7863</v>
      </c>
      <c r="H350" s="745"/>
      <c r="I350" s="745" t="s">
        <v>7864</v>
      </c>
      <c r="J350" s="745"/>
      <c r="K350" s="745"/>
      <c r="L350" s="177"/>
      <c r="M350" s="177"/>
    </row>
    <row r="351" spans="1:13" ht="22.5">
      <c r="A351" s="745" t="s">
        <v>7880</v>
      </c>
      <c r="B351" s="745"/>
      <c r="C351" s="745" t="s">
        <v>7865</v>
      </c>
      <c r="D351" s="745" t="s">
        <v>7866</v>
      </c>
      <c r="E351" s="745" t="s">
        <v>7867</v>
      </c>
      <c r="F351" s="745" t="s">
        <v>7868</v>
      </c>
      <c r="G351" s="238" t="s">
        <v>7869</v>
      </c>
      <c r="H351" s="238" t="s">
        <v>7870</v>
      </c>
      <c r="I351" s="238" t="s">
        <v>7871</v>
      </c>
      <c r="J351" s="238" t="s">
        <v>7869</v>
      </c>
      <c r="K351" s="238" t="s">
        <v>7870</v>
      </c>
      <c r="L351" s="177"/>
      <c r="M351" s="177"/>
    </row>
    <row r="352" spans="1:13">
      <c r="A352" s="745"/>
      <c r="B352" s="745"/>
      <c r="C352" s="745"/>
      <c r="D352" s="745"/>
      <c r="E352" s="745"/>
      <c r="F352" s="745"/>
      <c r="G352" s="238" t="s">
        <v>7872</v>
      </c>
      <c r="H352" s="238" t="s">
        <v>7873</v>
      </c>
      <c r="I352" s="238" t="s">
        <v>7874</v>
      </c>
      <c r="J352" s="238" t="s">
        <v>7872</v>
      </c>
      <c r="K352" s="238" t="s">
        <v>7873</v>
      </c>
      <c r="L352" s="177"/>
      <c r="M352" s="177"/>
    </row>
    <row r="353" spans="1:13">
      <c r="A353" s="238"/>
      <c r="B353" s="234" t="s">
        <v>6875</v>
      </c>
      <c r="C353" s="222">
        <v>1</v>
      </c>
      <c r="D353" s="222"/>
      <c r="E353" s="225"/>
      <c r="F353" s="231"/>
      <c r="G353" s="239">
        <v>871.66</v>
      </c>
      <c r="H353" s="220"/>
      <c r="I353" s="220"/>
      <c r="J353" s="220">
        <f>G353*C353</f>
        <v>871.66</v>
      </c>
      <c r="K353" s="220">
        <f>C353*H353</f>
        <v>0</v>
      </c>
      <c r="L353" s="279"/>
      <c r="M353" s="177"/>
    </row>
    <row r="354" spans="1:13">
      <c r="A354" s="238"/>
      <c r="B354" s="234" t="s">
        <v>6876</v>
      </c>
      <c r="C354" s="222">
        <v>1</v>
      </c>
      <c r="D354" s="222"/>
      <c r="E354" s="225"/>
      <c r="F354" s="231"/>
      <c r="G354" s="220">
        <v>793.6</v>
      </c>
      <c r="H354" s="220"/>
      <c r="I354" s="220"/>
      <c r="J354" s="220">
        <f>G354*C354</f>
        <v>793.6</v>
      </c>
      <c r="K354" s="220">
        <f>C354*H354</f>
        <v>0</v>
      </c>
      <c r="L354" s="279"/>
      <c r="M354" s="177"/>
    </row>
    <row r="355" spans="1:13">
      <c r="A355" s="228"/>
      <c r="B355" s="229"/>
      <c r="C355" s="229"/>
      <c r="D355" s="229"/>
      <c r="E355" s="229"/>
      <c r="F355" s="747" t="s">
        <v>7875</v>
      </c>
      <c r="G355" s="747"/>
      <c r="H355" s="747"/>
      <c r="I355" s="230">
        <f>ROUND(SUM(I353:I354),2)</f>
        <v>0</v>
      </c>
      <c r="J355" s="230">
        <f>ROUND(SUM(J353:J354),2)</f>
        <v>1665.26</v>
      </c>
      <c r="K355" s="230">
        <f>ROUND(SUM(K353:K354),2)</f>
        <v>0</v>
      </c>
      <c r="L355" s="177"/>
      <c r="M355" s="177"/>
    </row>
    <row r="356" spans="1:13">
      <c r="A356" s="238"/>
      <c r="B356" s="746"/>
      <c r="C356" s="746"/>
      <c r="D356" s="746"/>
      <c r="E356" s="746"/>
      <c r="F356" s="746"/>
      <c r="G356" s="746"/>
      <c r="H356" s="746"/>
      <c r="I356" s="746"/>
      <c r="J356" s="746"/>
      <c r="K356" s="238"/>
      <c r="L356" s="177"/>
      <c r="M356" s="177"/>
    </row>
    <row r="357" spans="1:13" ht="22.5">
      <c r="A357" s="226" t="str">
        <f>'Orç - Prédio'!A153</f>
        <v>04.01.528.01</v>
      </c>
      <c r="B357" s="748" t="str">
        <f>'Orç - Prédio'!D153</f>
        <v>Piso em concreto 20MPa, usinado, espessura 7cm, com armação em tela soldada</v>
      </c>
      <c r="C357" s="748"/>
      <c r="D357" s="748"/>
      <c r="E357" s="748"/>
      <c r="F357" s="748"/>
      <c r="G357" s="748"/>
      <c r="H357" s="748"/>
      <c r="I357" s="748"/>
      <c r="J357" s="748"/>
      <c r="K357" s="227" t="str">
        <f>'Orç - Prédio'!F153</f>
        <v>m2</v>
      </c>
    </row>
    <row r="358" spans="1:13">
      <c r="A358" s="745"/>
      <c r="B358" s="745"/>
      <c r="C358" s="218"/>
      <c r="D358" s="218"/>
      <c r="E358" s="218"/>
      <c r="F358" s="218"/>
      <c r="G358" s="745" t="s">
        <v>7863</v>
      </c>
      <c r="H358" s="745"/>
      <c r="I358" s="745" t="s">
        <v>7864</v>
      </c>
      <c r="J358" s="745"/>
      <c r="K358" s="745"/>
      <c r="L358" s="177" t="s">
        <v>8979</v>
      </c>
      <c r="M358" s="177"/>
    </row>
    <row r="359" spans="1:13" ht="22.5">
      <c r="A359" s="745" t="s">
        <v>7880</v>
      </c>
      <c r="B359" s="745"/>
      <c r="C359" s="745" t="s">
        <v>7865</v>
      </c>
      <c r="D359" s="745" t="s">
        <v>7866</v>
      </c>
      <c r="E359" s="745" t="s">
        <v>7867</v>
      </c>
      <c r="F359" s="745" t="s">
        <v>7868</v>
      </c>
      <c r="G359" s="360" t="s">
        <v>7869</v>
      </c>
      <c r="H359" s="360" t="s">
        <v>7870</v>
      </c>
      <c r="I359" s="360" t="s">
        <v>7871</v>
      </c>
      <c r="J359" s="360" t="s">
        <v>7869</v>
      </c>
      <c r="K359" s="360" t="s">
        <v>7870</v>
      </c>
      <c r="L359" s="177"/>
      <c r="M359" s="177"/>
    </row>
    <row r="360" spans="1:13">
      <c r="A360" s="745"/>
      <c r="B360" s="745"/>
      <c r="C360" s="745"/>
      <c r="D360" s="745"/>
      <c r="E360" s="745"/>
      <c r="F360" s="745"/>
      <c r="G360" s="360" t="s">
        <v>7872</v>
      </c>
      <c r="H360" s="360" t="s">
        <v>7873</v>
      </c>
      <c r="I360" s="360" t="s">
        <v>7874</v>
      </c>
      <c r="J360" s="360" t="s">
        <v>7872</v>
      </c>
      <c r="K360" s="360" t="s">
        <v>7873</v>
      </c>
      <c r="L360" s="177"/>
      <c r="M360" s="177"/>
    </row>
    <row r="361" spans="1:13">
      <c r="A361" s="360"/>
      <c r="B361" s="234" t="s">
        <v>6875</v>
      </c>
      <c r="C361" s="222">
        <v>1</v>
      </c>
      <c r="D361" s="222"/>
      <c r="E361" s="225"/>
      <c r="F361" s="231"/>
      <c r="G361" s="239">
        <v>871.66</v>
      </c>
      <c r="H361" s="220"/>
      <c r="I361" s="220"/>
      <c r="J361" s="220">
        <f>G361*C361</f>
        <v>871.66</v>
      </c>
      <c r="K361" s="220">
        <f>C361*H361</f>
        <v>0</v>
      </c>
      <c r="L361" s="279"/>
      <c r="M361" s="177"/>
    </row>
    <row r="362" spans="1:13">
      <c r="A362" s="228"/>
      <c r="B362" s="229"/>
      <c r="C362" s="229"/>
      <c r="D362" s="229"/>
      <c r="E362" s="229"/>
      <c r="F362" s="747" t="s">
        <v>7875</v>
      </c>
      <c r="G362" s="747"/>
      <c r="H362" s="747"/>
      <c r="I362" s="230">
        <f>ROUND(SUM(I361:I361),2)</f>
        <v>0</v>
      </c>
      <c r="J362" s="230">
        <f>ROUND(SUM(J361:J361),2)</f>
        <v>871.66</v>
      </c>
      <c r="K362" s="230">
        <f>ROUND(SUM(K361:K361),2)</f>
        <v>0</v>
      </c>
      <c r="L362" s="177"/>
      <c r="M362" s="177"/>
    </row>
    <row r="363" spans="1:13">
      <c r="A363" s="360"/>
      <c r="B363" s="746"/>
      <c r="C363" s="746"/>
      <c r="D363" s="746"/>
      <c r="E363" s="746"/>
      <c r="F363" s="746"/>
      <c r="G363" s="746"/>
      <c r="H363" s="746"/>
      <c r="I363" s="746"/>
      <c r="J363" s="746"/>
      <c r="K363" s="360"/>
      <c r="L363" s="177"/>
      <c r="M363" s="177"/>
    </row>
    <row r="364" spans="1:13" ht="22.5">
      <c r="A364" s="226" t="str">
        <f>'Orç - Prédio'!A154</f>
        <v>04.01.528.02</v>
      </c>
      <c r="B364" s="748" t="str">
        <f>'Orç - Prédio'!D154</f>
        <v>Regularização de piso em argamassa traço 1:4 (cimento e areia), preparo mecânico, e = 2 cm</v>
      </c>
      <c r="C364" s="748"/>
      <c r="D364" s="748"/>
      <c r="E364" s="748"/>
      <c r="F364" s="748"/>
      <c r="G364" s="748"/>
      <c r="H364" s="748"/>
      <c r="I364" s="748"/>
      <c r="J364" s="748"/>
      <c r="K364" s="227" t="str">
        <f>'Orç - Prédio'!F155</f>
        <v>m2</v>
      </c>
      <c r="L364" s="176" t="s">
        <v>8979</v>
      </c>
    </row>
    <row r="365" spans="1:13">
      <c r="A365" s="745"/>
      <c r="B365" s="745"/>
      <c r="C365" s="218"/>
      <c r="D365" s="218"/>
      <c r="E365" s="218"/>
      <c r="F365" s="218"/>
      <c r="G365" s="745" t="s">
        <v>7863</v>
      </c>
      <c r="H365" s="745"/>
      <c r="I365" s="745" t="s">
        <v>7864</v>
      </c>
      <c r="J365" s="745"/>
      <c r="K365" s="745"/>
      <c r="L365" s="177"/>
      <c r="M365" s="177"/>
    </row>
    <row r="366" spans="1:13" ht="22.5">
      <c r="A366" s="745" t="s">
        <v>7880</v>
      </c>
      <c r="B366" s="745"/>
      <c r="C366" s="745" t="s">
        <v>7865</v>
      </c>
      <c r="D366" s="745" t="s">
        <v>7866</v>
      </c>
      <c r="E366" s="745" t="s">
        <v>7867</v>
      </c>
      <c r="F366" s="745" t="s">
        <v>7868</v>
      </c>
      <c r="G366" s="238" t="s">
        <v>7869</v>
      </c>
      <c r="H366" s="238" t="s">
        <v>7870</v>
      </c>
      <c r="I366" s="238" t="s">
        <v>7871</v>
      </c>
      <c r="J366" s="238" t="s">
        <v>7869</v>
      </c>
      <c r="K366" s="238" t="s">
        <v>7870</v>
      </c>
      <c r="L366" s="177"/>
      <c r="M366" s="177"/>
    </row>
    <row r="367" spans="1:13">
      <c r="A367" s="745"/>
      <c r="B367" s="745"/>
      <c r="C367" s="745"/>
      <c r="D367" s="745"/>
      <c r="E367" s="745"/>
      <c r="F367" s="745"/>
      <c r="G367" s="238" t="s">
        <v>7872</v>
      </c>
      <c r="H367" s="238" t="s">
        <v>7873</v>
      </c>
      <c r="I367" s="238" t="s">
        <v>7874</v>
      </c>
      <c r="J367" s="238" t="s">
        <v>7872</v>
      </c>
      <c r="K367" s="238" t="s">
        <v>7873</v>
      </c>
      <c r="L367" s="177"/>
      <c r="M367" s="177"/>
    </row>
    <row r="368" spans="1:13" ht="22.5">
      <c r="A368" s="238"/>
      <c r="B368" s="234" t="s">
        <v>8934</v>
      </c>
      <c r="C368" s="222">
        <v>1</v>
      </c>
      <c r="D368" s="222"/>
      <c r="E368" s="225"/>
      <c r="F368" s="231"/>
      <c r="G368" s="239">
        <v>793.6</v>
      </c>
      <c r="H368" s="220"/>
      <c r="I368" s="220"/>
      <c r="J368" s="220">
        <f>G368*C368</f>
        <v>793.6</v>
      </c>
      <c r="K368" s="220">
        <f>C368*H368</f>
        <v>0</v>
      </c>
      <c r="L368" s="279"/>
      <c r="M368" s="177"/>
    </row>
    <row r="369" spans="1:13">
      <c r="A369" s="238"/>
      <c r="B369" s="234" t="s">
        <v>6908</v>
      </c>
      <c r="C369" s="222">
        <v>1</v>
      </c>
      <c r="D369" s="222"/>
      <c r="E369" s="225"/>
      <c r="F369" s="231"/>
      <c r="G369" s="220">
        <f>J339</f>
        <v>107.94</v>
      </c>
      <c r="H369" s="220"/>
      <c r="I369" s="220"/>
      <c r="J369" s="220">
        <f>G369*C369</f>
        <v>107.94</v>
      </c>
      <c r="K369" s="220">
        <f>C369*H369</f>
        <v>0</v>
      </c>
      <c r="L369" s="279"/>
      <c r="M369" s="177"/>
    </row>
    <row r="370" spans="1:13">
      <c r="A370" s="238"/>
      <c r="B370" s="234" t="s">
        <v>6909</v>
      </c>
      <c r="C370" s="222">
        <v>1</v>
      </c>
      <c r="D370" s="222"/>
      <c r="E370" s="225"/>
      <c r="F370" s="231"/>
      <c r="G370" s="220">
        <f>J330</f>
        <v>306.17</v>
      </c>
      <c r="H370" s="220"/>
      <c r="I370" s="220"/>
      <c r="J370" s="220">
        <f>G370*C370</f>
        <v>306.17</v>
      </c>
      <c r="K370" s="220">
        <f>C370*H370</f>
        <v>0</v>
      </c>
      <c r="L370" s="279"/>
      <c r="M370" s="177"/>
    </row>
    <row r="371" spans="1:13">
      <c r="A371" s="228"/>
      <c r="B371" s="229"/>
      <c r="C371" s="229"/>
      <c r="D371" s="229"/>
      <c r="E371" s="229"/>
      <c r="F371" s="747" t="s">
        <v>7875</v>
      </c>
      <c r="G371" s="747"/>
      <c r="H371" s="747"/>
      <c r="I371" s="230">
        <f>ROUND(SUM(I368:I370),2)</f>
        <v>0</v>
      </c>
      <c r="J371" s="230">
        <f>ROUND(SUM(J368:J370),2)</f>
        <v>1207.71</v>
      </c>
      <c r="K371" s="230">
        <f>ROUND(SUM(K368:K370),2)</f>
        <v>0</v>
      </c>
      <c r="L371" s="177"/>
      <c r="M371" s="177"/>
    </row>
    <row r="372" spans="1:13">
      <c r="A372" s="238"/>
      <c r="B372" s="746"/>
      <c r="C372" s="746"/>
      <c r="D372" s="746"/>
      <c r="E372" s="746"/>
      <c r="F372" s="746"/>
      <c r="G372" s="746"/>
      <c r="H372" s="746"/>
      <c r="I372" s="746"/>
      <c r="J372" s="746"/>
      <c r="K372" s="238"/>
      <c r="L372" s="177"/>
      <c r="M372" s="177"/>
    </row>
    <row r="373" spans="1:13">
      <c r="A373" s="226" t="str">
        <f>'Orç - Prédio'!A156</f>
        <v>04.01.529</v>
      </c>
      <c r="B373" s="748" t="str">
        <f>'Orç - Prédio'!D156</f>
        <v>Piso de ladrilho hidráulico colorido, modelo tátil (alerta ou direcional), 25x25cm aplicado em ambientes internos, incluso aplicação de resina</v>
      </c>
      <c r="C373" s="748"/>
      <c r="D373" s="748"/>
      <c r="E373" s="748"/>
      <c r="F373" s="748"/>
      <c r="G373" s="748"/>
      <c r="H373" s="748"/>
      <c r="I373" s="748"/>
      <c r="J373" s="748"/>
      <c r="K373" s="227" t="str">
        <f>'Orç - Prédio'!F156</f>
        <v>m2</v>
      </c>
      <c r="L373" s="176" t="s">
        <v>8979</v>
      </c>
    </row>
    <row r="374" spans="1:13">
      <c r="A374" s="745"/>
      <c r="B374" s="745"/>
      <c r="C374" s="218"/>
      <c r="D374" s="218"/>
      <c r="E374" s="218"/>
      <c r="F374" s="218"/>
      <c r="G374" s="745" t="s">
        <v>7863</v>
      </c>
      <c r="H374" s="745"/>
      <c r="I374" s="745" t="s">
        <v>7864</v>
      </c>
      <c r="J374" s="745"/>
      <c r="K374" s="745"/>
      <c r="L374" s="177"/>
      <c r="M374" s="177"/>
    </row>
    <row r="375" spans="1:13" ht="22.5">
      <c r="A375" s="745" t="s">
        <v>7880</v>
      </c>
      <c r="B375" s="745"/>
      <c r="C375" s="745" t="s">
        <v>7865</v>
      </c>
      <c r="D375" s="745" t="s">
        <v>7866</v>
      </c>
      <c r="E375" s="745" t="s">
        <v>7867</v>
      </c>
      <c r="F375" s="745" t="s">
        <v>7868</v>
      </c>
      <c r="G375" s="238" t="s">
        <v>7869</v>
      </c>
      <c r="H375" s="238" t="s">
        <v>7870</v>
      </c>
      <c r="I375" s="238" t="s">
        <v>7871</v>
      </c>
      <c r="J375" s="238" t="s">
        <v>7869</v>
      </c>
      <c r="K375" s="238" t="s">
        <v>7870</v>
      </c>
      <c r="L375" s="177"/>
      <c r="M375" s="177"/>
    </row>
    <row r="376" spans="1:13">
      <c r="A376" s="745"/>
      <c r="B376" s="745"/>
      <c r="C376" s="745"/>
      <c r="D376" s="745"/>
      <c r="E376" s="745"/>
      <c r="F376" s="745"/>
      <c r="G376" s="238" t="s">
        <v>7872</v>
      </c>
      <c r="H376" s="238" t="s">
        <v>7873</v>
      </c>
      <c r="I376" s="238" t="s">
        <v>7874</v>
      </c>
      <c r="J376" s="238" t="s">
        <v>7872</v>
      </c>
      <c r="K376" s="238" t="s">
        <v>7873</v>
      </c>
      <c r="L376" s="177"/>
      <c r="M376" s="177"/>
    </row>
    <row r="377" spans="1:13">
      <c r="A377" s="238"/>
      <c r="B377" s="234" t="s">
        <v>8981</v>
      </c>
      <c r="C377" s="222">
        <v>123</v>
      </c>
      <c r="D377" s="222">
        <v>0.25</v>
      </c>
      <c r="E377" s="225">
        <v>0.25</v>
      </c>
      <c r="F377" s="231"/>
      <c r="G377" s="220">
        <f>E377*D377</f>
        <v>6.25E-2</v>
      </c>
      <c r="H377" s="220"/>
      <c r="I377" s="220"/>
      <c r="J377" s="220">
        <f>G377*C377</f>
        <v>7.6875</v>
      </c>
      <c r="K377" s="220">
        <f>C377*H377</f>
        <v>0</v>
      </c>
      <c r="L377" s="279"/>
      <c r="M377" s="177"/>
    </row>
    <row r="378" spans="1:13">
      <c r="A378" s="238"/>
      <c r="B378" s="234" t="s">
        <v>8982</v>
      </c>
      <c r="C378" s="222">
        <v>144</v>
      </c>
      <c r="D378" s="222">
        <v>0.25</v>
      </c>
      <c r="E378" s="225">
        <v>0.25</v>
      </c>
      <c r="F378" s="231"/>
      <c r="G378" s="220">
        <f>E378*D378</f>
        <v>6.25E-2</v>
      </c>
      <c r="H378" s="220"/>
      <c r="I378" s="220"/>
      <c r="J378" s="220">
        <f>G378*C378</f>
        <v>9</v>
      </c>
      <c r="K378" s="220">
        <f>C378*H378</f>
        <v>0</v>
      </c>
      <c r="L378" s="279"/>
      <c r="M378" s="177"/>
    </row>
    <row r="379" spans="1:13">
      <c r="A379" s="228"/>
      <c r="B379" s="229"/>
      <c r="C379" s="229"/>
      <c r="D379" s="229"/>
      <c r="E379" s="229"/>
      <c r="F379" s="747" t="s">
        <v>7875</v>
      </c>
      <c r="G379" s="747"/>
      <c r="H379" s="747"/>
      <c r="I379" s="230">
        <f>ROUND(SUM(I377:I378),2)</f>
        <v>0</v>
      </c>
      <c r="J379" s="230">
        <f>ROUND(SUM(J377:J378),2)</f>
        <v>16.690000000000001</v>
      </c>
      <c r="K379" s="230">
        <f>ROUND(SUM(K377:K378),2)</f>
        <v>0</v>
      </c>
      <c r="L379" s="177"/>
      <c r="M379" s="177"/>
    </row>
    <row r="380" spans="1:13">
      <c r="A380" s="238"/>
      <c r="B380" s="746"/>
      <c r="C380" s="746"/>
      <c r="D380" s="746"/>
      <c r="E380" s="746"/>
      <c r="F380" s="746"/>
      <c r="G380" s="746"/>
      <c r="H380" s="746"/>
      <c r="I380" s="746"/>
      <c r="J380" s="746"/>
      <c r="K380" s="238"/>
      <c r="L380" s="177"/>
      <c r="M380" s="177"/>
    </row>
    <row r="381" spans="1:13" ht="22.5">
      <c r="A381" s="226" t="str">
        <f>'Orç - Prédio'!A158</f>
        <v>04.01.531.01</v>
      </c>
      <c r="B381" s="748" t="str">
        <f>'Orç - Prédio'!D158</f>
        <v>Chapisco aplicado em fachada, com colher de pedreiro, argamassa traço 1:3 com preparo mecânico</v>
      </c>
      <c r="C381" s="748"/>
      <c r="D381" s="748"/>
      <c r="E381" s="748"/>
      <c r="F381" s="748"/>
      <c r="G381" s="748"/>
      <c r="H381" s="748"/>
      <c r="I381" s="748"/>
      <c r="J381" s="748"/>
      <c r="K381" s="227" t="str">
        <f>'Orç - Prédio'!F158</f>
        <v>m2</v>
      </c>
      <c r="L381" s="176" t="s">
        <v>8979</v>
      </c>
    </row>
    <row r="382" spans="1:13">
      <c r="A382" s="745"/>
      <c r="B382" s="745"/>
      <c r="C382" s="218"/>
      <c r="D382" s="218"/>
      <c r="E382" s="218"/>
      <c r="F382" s="218"/>
      <c r="G382" s="745" t="s">
        <v>7863</v>
      </c>
      <c r="H382" s="745"/>
      <c r="I382" s="745" t="s">
        <v>7864</v>
      </c>
      <c r="J382" s="745"/>
      <c r="K382" s="745"/>
      <c r="L382" s="177"/>
      <c r="M382" s="177"/>
    </row>
    <row r="383" spans="1:13" ht="22.5">
      <c r="A383" s="745" t="s">
        <v>7880</v>
      </c>
      <c r="B383" s="745"/>
      <c r="C383" s="745" t="s">
        <v>7865</v>
      </c>
      <c r="D383" s="745" t="s">
        <v>7866</v>
      </c>
      <c r="E383" s="745" t="s">
        <v>7867</v>
      </c>
      <c r="F383" s="745" t="s">
        <v>7868</v>
      </c>
      <c r="G383" s="238" t="s">
        <v>7869</v>
      </c>
      <c r="H383" s="238" t="s">
        <v>7870</v>
      </c>
      <c r="I383" s="238" t="s">
        <v>7871</v>
      </c>
      <c r="J383" s="238" t="s">
        <v>7869</v>
      </c>
      <c r="K383" s="238" t="s">
        <v>7870</v>
      </c>
      <c r="L383" s="177"/>
      <c r="M383" s="177"/>
    </row>
    <row r="384" spans="1:13">
      <c r="A384" s="745"/>
      <c r="B384" s="745"/>
      <c r="C384" s="745"/>
      <c r="D384" s="745"/>
      <c r="E384" s="745"/>
      <c r="F384" s="745"/>
      <c r="G384" s="238" t="s">
        <v>7872</v>
      </c>
      <c r="H384" s="238" t="s">
        <v>7873</v>
      </c>
      <c r="I384" s="238" t="s">
        <v>7874</v>
      </c>
      <c r="J384" s="238" t="s">
        <v>7872</v>
      </c>
      <c r="K384" s="238" t="s">
        <v>7873</v>
      </c>
      <c r="L384" s="177"/>
      <c r="M384" s="177"/>
    </row>
    <row r="385" spans="1:13" ht="22.5">
      <c r="A385" s="238"/>
      <c r="B385" s="234" t="s">
        <v>7929</v>
      </c>
      <c r="C385" s="222">
        <v>1</v>
      </c>
      <c r="D385" s="222"/>
      <c r="E385" s="225"/>
      <c r="F385" s="231"/>
      <c r="G385" s="239">
        <v>297.90749999999997</v>
      </c>
      <c r="H385" s="220"/>
      <c r="I385" s="220"/>
      <c r="J385" s="220">
        <f>G385*C385</f>
        <v>297.90749999999997</v>
      </c>
      <c r="K385" s="220">
        <f>C385*H385</f>
        <v>0</v>
      </c>
      <c r="L385" s="279"/>
      <c r="M385" s="177"/>
    </row>
    <row r="386" spans="1:13" ht="22.5">
      <c r="A386" s="238"/>
      <c r="B386" s="234" t="s">
        <v>7930</v>
      </c>
      <c r="C386" s="222">
        <v>1</v>
      </c>
      <c r="D386" s="222"/>
      <c r="E386" s="225"/>
      <c r="F386" s="231"/>
      <c r="G386" s="220">
        <v>278.07</v>
      </c>
      <c r="H386" s="220"/>
      <c r="I386" s="220"/>
      <c r="J386" s="220">
        <f>G386*C386</f>
        <v>278.07</v>
      </c>
      <c r="K386" s="220">
        <f>C386*H386</f>
        <v>0</v>
      </c>
      <c r="L386" s="279"/>
      <c r="M386" s="177"/>
    </row>
    <row r="387" spans="1:13" ht="22.5">
      <c r="A387" s="238"/>
      <c r="B387" s="234" t="s">
        <v>7931</v>
      </c>
      <c r="C387" s="222">
        <v>1</v>
      </c>
      <c r="D387" s="222"/>
      <c r="E387" s="225"/>
      <c r="F387" s="231"/>
      <c r="G387" s="220">
        <v>355.60999999999996</v>
      </c>
      <c r="H387" s="220"/>
      <c r="I387" s="220"/>
      <c r="J387" s="220">
        <f>G387*C387</f>
        <v>355.60999999999996</v>
      </c>
      <c r="K387" s="220">
        <f>C387*H387</f>
        <v>0</v>
      </c>
      <c r="L387" s="279"/>
      <c r="M387" s="177"/>
    </row>
    <row r="388" spans="1:13">
      <c r="A388" s="228"/>
      <c r="B388" s="229"/>
      <c r="C388" s="229"/>
      <c r="D388" s="229"/>
      <c r="E388" s="229"/>
      <c r="F388" s="747" t="s">
        <v>7875</v>
      </c>
      <c r="G388" s="747"/>
      <c r="H388" s="747"/>
      <c r="I388" s="230">
        <f>ROUND(SUM(I385:I387),2)</f>
        <v>0</v>
      </c>
      <c r="J388" s="230">
        <f>ROUND(SUM(J385:J387),2)</f>
        <v>931.59</v>
      </c>
      <c r="K388" s="230">
        <f>ROUND(SUM(K385:K387),2)</f>
        <v>0</v>
      </c>
      <c r="L388" s="177"/>
      <c r="M388" s="177"/>
    </row>
    <row r="389" spans="1:13">
      <c r="A389" s="238"/>
      <c r="B389" s="746"/>
      <c r="C389" s="746"/>
      <c r="D389" s="746"/>
      <c r="E389" s="746"/>
      <c r="F389" s="746"/>
      <c r="G389" s="746"/>
      <c r="H389" s="746"/>
      <c r="I389" s="746"/>
      <c r="J389" s="746"/>
      <c r="K389" s="238"/>
      <c r="L389" s="177"/>
      <c r="M389" s="177"/>
    </row>
    <row r="390" spans="1:13" ht="22.5">
      <c r="A390" s="226" t="str">
        <f>'Orç - Prédio'!A159</f>
        <v>04.01.531.02</v>
      </c>
      <c r="B390" s="748" t="str">
        <f>'Orç - Prédio'!D159</f>
        <v>Chapisco aplicado em paredes internas, com colher de pedreiro, argamassa traço 1:3 com preparo mecânico</v>
      </c>
      <c r="C390" s="748"/>
      <c r="D390" s="748"/>
      <c r="E390" s="748"/>
      <c r="F390" s="748"/>
      <c r="G390" s="748"/>
      <c r="H390" s="748"/>
      <c r="I390" s="748"/>
      <c r="J390" s="748"/>
      <c r="K390" s="227" t="str">
        <f>'Orç - Prédio'!F159</f>
        <v>m2</v>
      </c>
      <c r="L390" s="176" t="s">
        <v>8979</v>
      </c>
    </row>
    <row r="391" spans="1:13">
      <c r="A391" s="745"/>
      <c r="B391" s="745"/>
      <c r="C391" s="218"/>
      <c r="D391" s="218"/>
      <c r="E391" s="218"/>
      <c r="F391" s="218"/>
      <c r="G391" s="745" t="s">
        <v>7863</v>
      </c>
      <c r="H391" s="745"/>
      <c r="I391" s="745" t="s">
        <v>7864</v>
      </c>
      <c r="J391" s="745"/>
      <c r="K391" s="745"/>
      <c r="L391" s="177"/>
      <c r="M391" s="177"/>
    </row>
    <row r="392" spans="1:13" ht="22.5">
      <c r="A392" s="745" t="s">
        <v>7880</v>
      </c>
      <c r="B392" s="745"/>
      <c r="C392" s="745" t="s">
        <v>7865</v>
      </c>
      <c r="D392" s="745" t="s">
        <v>7866</v>
      </c>
      <c r="E392" s="745" t="s">
        <v>7867</v>
      </c>
      <c r="F392" s="745" t="s">
        <v>7868</v>
      </c>
      <c r="G392" s="238" t="s">
        <v>7869</v>
      </c>
      <c r="H392" s="238" t="s">
        <v>7870</v>
      </c>
      <c r="I392" s="238" t="s">
        <v>7871</v>
      </c>
      <c r="J392" s="238" t="s">
        <v>7869</v>
      </c>
      <c r="K392" s="238" t="s">
        <v>7870</v>
      </c>
      <c r="L392" s="177"/>
      <c r="M392" s="177"/>
    </row>
    <row r="393" spans="1:13">
      <c r="A393" s="745"/>
      <c r="B393" s="745"/>
      <c r="C393" s="745"/>
      <c r="D393" s="745"/>
      <c r="E393" s="745"/>
      <c r="F393" s="745"/>
      <c r="G393" s="238" t="s">
        <v>7872</v>
      </c>
      <c r="H393" s="238" t="s">
        <v>7873</v>
      </c>
      <c r="I393" s="238" t="s">
        <v>7874</v>
      </c>
      <c r="J393" s="238" t="s">
        <v>7872</v>
      </c>
      <c r="K393" s="238" t="s">
        <v>7873</v>
      </c>
      <c r="L393" s="177"/>
      <c r="M393" s="177"/>
    </row>
    <row r="394" spans="1:13" ht="22.5">
      <c r="A394" s="238"/>
      <c r="B394" s="234" t="s">
        <v>7932</v>
      </c>
      <c r="C394" s="222">
        <v>1</v>
      </c>
      <c r="D394" s="222"/>
      <c r="E394" s="225"/>
      <c r="F394" s="231"/>
      <c r="G394" s="239">
        <f>J199</f>
        <v>931.59</v>
      </c>
      <c r="H394" s="220"/>
      <c r="I394" s="220"/>
      <c r="J394" s="220">
        <f>G394*C394</f>
        <v>931.59</v>
      </c>
      <c r="K394" s="220">
        <f>C394*H394</f>
        <v>0</v>
      </c>
      <c r="L394" s="279"/>
      <c r="M394" s="177"/>
    </row>
    <row r="395" spans="1:13">
      <c r="A395" s="238"/>
      <c r="B395" s="234" t="s">
        <v>7933</v>
      </c>
      <c r="C395" s="222">
        <v>2</v>
      </c>
      <c r="D395" s="222"/>
      <c r="E395" s="225"/>
      <c r="F395" s="231"/>
      <c r="G395" s="220">
        <f>J190</f>
        <v>1019.13</v>
      </c>
      <c r="H395" s="220"/>
      <c r="I395" s="220"/>
      <c r="J395" s="220">
        <f>G395*C395</f>
        <v>2038.26</v>
      </c>
      <c r="K395" s="220">
        <f>C395*H395</f>
        <v>0</v>
      </c>
      <c r="L395" s="279"/>
      <c r="M395" s="177"/>
    </row>
    <row r="396" spans="1:13">
      <c r="A396" s="238"/>
      <c r="B396" s="234" t="s">
        <v>7934</v>
      </c>
      <c r="C396" s="222">
        <v>2</v>
      </c>
      <c r="D396" s="222"/>
      <c r="E396" s="225"/>
      <c r="F396" s="231"/>
      <c r="G396" s="220">
        <f>J207</f>
        <v>33.5</v>
      </c>
      <c r="H396" s="220"/>
      <c r="I396" s="220"/>
      <c r="J396" s="220">
        <f>G396*C396</f>
        <v>67</v>
      </c>
      <c r="K396" s="220">
        <f>C396*H396</f>
        <v>0</v>
      </c>
      <c r="L396" s="279"/>
      <c r="M396" s="177"/>
    </row>
    <row r="397" spans="1:13">
      <c r="A397" s="228"/>
      <c r="B397" s="229"/>
      <c r="C397" s="229"/>
      <c r="D397" s="229"/>
      <c r="E397" s="229"/>
      <c r="F397" s="747" t="s">
        <v>7875</v>
      </c>
      <c r="G397" s="747"/>
      <c r="H397" s="747"/>
      <c r="I397" s="230">
        <f>ROUND(SUM(I394:I396),2)</f>
        <v>0</v>
      </c>
      <c r="J397" s="230">
        <f>ROUND(SUM(J394:J396),2)</f>
        <v>3036.85</v>
      </c>
      <c r="K397" s="230">
        <f>ROUND(SUM(K394:K396),2)</f>
        <v>0</v>
      </c>
      <c r="L397" s="177"/>
      <c r="M397" s="177"/>
    </row>
    <row r="398" spans="1:13">
      <c r="A398" s="238"/>
      <c r="B398" s="746"/>
      <c r="C398" s="746"/>
      <c r="D398" s="746"/>
      <c r="E398" s="746"/>
      <c r="F398" s="746"/>
      <c r="G398" s="746"/>
      <c r="H398" s="746"/>
      <c r="I398" s="746"/>
      <c r="J398" s="746"/>
      <c r="K398" s="238"/>
      <c r="L398" s="177"/>
      <c r="M398" s="177"/>
    </row>
    <row r="399" spans="1:13">
      <c r="A399" s="226" t="str">
        <f>'Orç - Prédio'!A160</f>
        <v>04.01.532</v>
      </c>
      <c r="B399" s="748" t="str">
        <f>'Orç - Prédio'!D160</f>
        <v xml:space="preserve">Emboço/massa única, traço 1:2:8, preparo mecânico, aplicado manualmente </v>
      </c>
      <c r="C399" s="748"/>
      <c r="D399" s="748"/>
      <c r="E399" s="748"/>
      <c r="F399" s="748"/>
      <c r="G399" s="748"/>
      <c r="H399" s="748"/>
      <c r="I399" s="748"/>
      <c r="J399" s="748"/>
      <c r="K399" s="227" t="str">
        <f>'Orç - Prédio'!F160</f>
        <v>m2</v>
      </c>
      <c r="L399" s="176" t="s">
        <v>8979</v>
      </c>
    </row>
    <row r="400" spans="1:13">
      <c r="A400" s="745"/>
      <c r="B400" s="745"/>
      <c r="C400" s="218"/>
      <c r="D400" s="218"/>
      <c r="E400" s="218"/>
      <c r="F400" s="218"/>
      <c r="G400" s="745" t="s">
        <v>7863</v>
      </c>
      <c r="H400" s="745"/>
      <c r="I400" s="745" t="s">
        <v>7864</v>
      </c>
      <c r="J400" s="745"/>
      <c r="K400" s="745"/>
      <c r="L400" s="177"/>
      <c r="M400" s="177"/>
    </row>
    <row r="401" spans="1:13" ht="22.5">
      <c r="A401" s="745" t="s">
        <v>7880</v>
      </c>
      <c r="B401" s="745"/>
      <c r="C401" s="745" t="s">
        <v>7865</v>
      </c>
      <c r="D401" s="745" t="s">
        <v>7866</v>
      </c>
      <c r="E401" s="745" t="s">
        <v>7867</v>
      </c>
      <c r="F401" s="745" t="s">
        <v>7868</v>
      </c>
      <c r="G401" s="238" t="s">
        <v>7869</v>
      </c>
      <c r="H401" s="238" t="s">
        <v>7870</v>
      </c>
      <c r="I401" s="238" t="s">
        <v>7871</v>
      </c>
      <c r="J401" s="238" t="s">
        <v>7869</v>
      </c>
      <c r="K401" s="238" t="s">
        <v>7870</v>
      </c>
      <c r="L401" s="177"/>
      <c r="M401" s="177"/>
    </row>
    <row r="402" spans="1:13">
      <c r="A402" s="745"/>
      <c r="B402" s="745"/>
      <c r="C402" s="745"/>
      <c r="D402" s="745"/>
      <c r="E402" s="745"/>
      <c r="F402" s="745"/>
      <c r="G402" s="238" t="s">
        <v>7872</v>
      </c>
      <c r="H402" s="238" t="s">
        <v>7873</v>
      </c>
      <c r="I402" s="238" t="s">
        <v>7874</v>
      </c>
      <c r="J402" s="238" t="s">
        <v>7872</v>
      </c>
      <c r="K402" s="238" t="s">
        <v>7873</v>
      </c>
      <c r="L402" s="177"/>
      <c r="M402" s="177"/>
    </row>
    <row r="403" spans="1:13" ht="22.5">
      <c r="A403" s="238"/>
      <c r="B403" s="234" t="s">
        <v>7935</v>
      </c>
      <c r="C403" s="222">
        <v>1</v>
      </c>
      <c r="D403" s="222"/>
      <c r="E403" s="225"/>
      <c r="F403" s="231"/>
      <c r="G403" s="239">
        <f>J388</f>
        <v>931.59</v>
      </c>
      <c r="H403" s="220"/>
      <c r="I403" s="220"/>
      <c r="J403" s="220">
        <f>G403*C403</f>
        <v>931.59</v>
      </c>
      <c r="K403" s="220">
        <f>C403*H403</f>
        <v>0</v>
      </c>
      <c r="L403" s="279"/>
      <c r="M403" s="177"/>
    </row>
    <row r="404" spans="1:13" ht="22.5">
      <c r="A404" s="238"/>
      <c r="B404" s="234" t="s">
        <v>7936</v>
      </c>
      <c r="C404" s="222">
        <v>1</v>
      </c>
      <c r="D404" s="222"/>
      <c r="E404" s="225"/>
      <c r="F404" s="231"/>
      <c r="G404" s="220">
        <f>J397</f>
        <v>3036.85</v>
      </c>
      <c r="H404" s="220"/>
      <c r="I404" s="220"/>
      <c r="J404" s="220">
        <f>G404*C404</f>
        <v>3036.85</v>
      </c>
      <c r="K404" s="220">
        <f>C404*H404</f>
        <v>0</v>
      </c>
      <c r="L404" s="279"/>
      <c r="M404" s="177"/>
    </row>
    <row r="405" spans="1:13" ht="22.5">
      <c r="A405" s="238"/>
      <c r="B405" s="234" t="s">
        <v>7937</v>
      </c>
      <c r="C405" s="222">
        <v>1</v>
      </c>
      <c r="D405" s="222"/>
      <c r="E405" s="225"/>
      <c r="F405" s="231"/>
      <c r="G405" s="220">
        <f>-J428</f>
        <v>-32.950000000000003</v>
      </c>
      <c r="H405" s="220"/>
      <c r="I405" s="220"/>
      <c r="J405" s="220">
        <f>G405*C405</f>
        <v>-32.950000000000003</v>
      </c>
      <c r="K405" s="220">
        <f>C405*H405</f>
        <v>0</v>
      </c>
      <c r="L405" s="279"/>
      <c r="M405" s="177"/>
    </row>
    <row r="406" spans="1:13">
      <c r="A406" s="228"/>
      <c r="B406" s="229"/>
      <c r="C406" s="229"/>
      <c r="D406" s="229"/>
      <c r="E406" s="229"/>
      <c r="F406" s="747" t="s">
        <v>7875</v>
      </c>
      <c r="G406" s="747"/>
      <c r="H406" s="747"/>
      <c r="I406" s="230">
        <f>ROUND(SUM(I403:I405),2)</f>
        <v>0</v>
      </c>
      <c r="J406" s="230">
        <f>ROUND(SUM(J403:J405),2)</f>
        <v>3935.49</v>
      </c>
      <c r="K406" s="230">
        <f>ROUND(SUM(K403:K405),2)</f>
        <v>0</v>
      </c>
      <c r="L406" s="177"/>
      <c r="M406" s="177"/>
    </row>
    <row r="407" spans="1:13">
      <c r="A407" s="238"/>
      <c r="B407" s="746"/>
      <c r="C407" s="746"/>
      <c r="D407" s="746"/>
      <c r="E407" s="746"/>
      <c r="F407" s="746"/>
      <c r="G407" s="746"/>
      <c r="H407" s="746"/>
      <c r="I407" s="746"/>
      <c r="J407" s="746"/>
      <c r="K407" s="238"/>
      <c r="L407" s="177"/>
      <c r="M407" s="177"/>
    </row>
    <row r="408" spans="1:13">
      <c r="A408" s="226" t="str">
        <f>'Orç - Prédio'!A161</f>
        <v>04.01.534</v>
      </c>
      <c r="B408" s="748" t="str">
        <f>'Orç - Prédio'!D161</f>
        <v>Revestimento cerâmico para paredes internas, meia parede ou parede inteira, com placas grês ou semi-grês 15x15 cm</v>
      </c>
      <c r="C408" s="748"/>
      <c r="D408" s="748"/>
      <c r="E408" s="748"/>
      <c r="F408" s="748"/>
      <c r="G408" s="748"/>
      <c r="H408" s="748"/>
      <c r="I408" s="748"/>
      <c r="J408" s="748"/>
      <c r="K408" s="227" t="str">
        <f>'Orç - Prédio'!F161</f>
        <v>m2</v>
      </c>
      <c r="L408" s="176" t="s">
        <v>8979</v>
      </c>
    </row>
    <row r="409" spans="1:13">
      <c r="A409" s="745"/>
      <c r="B409" s="745"/>
      <c r="C409" s="218"/>
      <c r="D409" s="218"/>
      <c r="E409" s="218"/>
      <c r="F409" s="218"/>
      <c r="G409" s="745" t="s">
        <v>7863</v>
      </c>
      <c r="H409" s="745"/>
      <c r="I409" s="745" t="s">
        <v>7864</v>
      </c>
      <c r="J409" s="745"/>
      <c r="K409" s="745"/>
      <c r="L409" s="177"/>
      <c r="M409" s="177"/>
    </row>
    <row r="410" spans="1:13" ht="22.5">
      <c r="A410" s="745" t="s">
        <v>7880</v>
      </c>
      <c r="B410" s="745"/>
      <c r="C410" s="745" t="s">
        <v>7865</v>
      </c>
      <c r="D410" s="745" t="s">
        <v>7867</v>
      </c>
      <c r="E410" s="745" t="s">
        <v>8152</v>
      </c>
      <c r="F410" s="745" t="s">
        <v>7868</v>
      </c>
      <c r="G410" s="238" t="s">
        <v>7869</v>
      </c>
      <c r="H410" s="238" t="s">
        <v>7870</v>
      </c>
      <c r="I410" s="238" t="s">
        <v>7871</v>
      </c>
      <c r="J410" s="238" t="s">
        <v>7869</v>
      </c>
      <c r="K410" s="238" t="s">
        <v>7870</v>
      </c>
      <c r="L410" s="177"/>
      <c r="M410" s="177"/>
    </row>
    <row r="411" spans="1:13">
      <c r="A411" s="745"/>
      <c r="B411" s="745"/>
      <c r="C411" s="745"/>
      <c r="D411" s="745"/>
      <c r="E411" s="745"/>
      <c r="F411" s="745"/>
      <c r="G411" s="238" t="s">
        <v>7872</v>
      </c>
      <c r="H411" s="238" t="s">
        <v>7873</v>
      </c>
      <c r="I411" s="238" t="s">
        <v>7874</v>
      </c>
      <c r="J411" s="238" t="s">
        <v>7872</v>
      </c>
      <c r="K411" s="238" t="s">
        <v>7873</v>
      </c>
      <c r="L411" s="177"/>
      <c r="M411" s="177"/>
    </row>
    <row r="412" spans="1:13" ht="22.5">
      <c r="A412" s="238"/>
      <c r="B412" s="234" t="s">
        <v>8147</v>
      </c>
      <c r="C412" s="222">
        <v>2</v>
      </c>
      <c r="D412" s="222"/>
      <c r="E412" s="225">
        <v>19.2</v>
      </c>
      <c r="F412" s="231">
        <v>2.75</v>
      </c>
      <c r="G412" s="239">
        <f t="shared" ref="G412:G417" si="27">F412*E412</f>
        <v>52.8</v>
      </c>
      <c r="H412" s="220"/>
      <c r="I412" s="220"/>
      <c r="J412" s="220">
        <f t="shared" ref="J412:J420" si="28">G412*C412</f>
        <v>105.6</v>
      </c>
      <c r="K412" s="220">
        <f t="shared" ref="K412:K420" si="29">C412*H412</f>
        <v>0</v>
      </c>
      <c r="L412" s="279"/>
      <c r="M412" s="177"/>
    </row>
    <row r="413" spans="1:13" ht="22.5">
      <c r="A413" s="238"/>
      <c r="B413" s="234" t="s">
        <v>8146</v>
      </c>
      <c r="C413" s="222">
        <v>2</v>
      </c>
      <c r="D413" s="222"/>
      <c r="E413" s="225">
        <v>19.2</v>
      </c>
      <c r="F413" s="231">
        <v>2.75</v>
      </c>
      <c r="G413" s="239">
        <f t="shared" si="27"/>
        <v>52.8</v>
      </c>
      <c r="H413" s="220"/>
      <c r="I413" s="220"/>
      <c r="J413" s="220">
        <f t="shared" si="28"/>
        <v>105.6</v>
      </c>
      <c r="K413" s="220">
        <f t="shared" si="29"/>
        <v>0</v>
      </c>
      <c r="L413" s="279"/>
      <c r="M413" s="177"/>
    </row>
    <row r="414" spans="1:13" ht="22.5">
      <c r="A414" s="277"/>
      <c r="B414" s="234" t="s">
        <v>8148</v>
      </c>
      <c r="C414" s="222">
        <v>2</v>
      </c>
      <c r="D414" s="222"/>
      <c r="E414" s="225">
        <v>10.9</v>
      </c>
      <c r="F414" s="231">
        <v>2.75</v>
      </c>
      <c r="G414" s="239">
        <f t="shared" si="27"/>
        <v>29.975000000000001</v>
      </c>
      <c r="H414" s="220"/>
      <c r="I414" s="220"/>
      <c r="J414" s="220">
        <f t="shared" si="28"/>
        <v>59.95</v>
      </c>
      <c r="K414" s="220">
        <f t="shared" si="29"/>
        <v>0</v>
      </c>
      <c r="L414" s="279"/>
      <c r="M414" s="177"/>
    </row>
    <row r="415" spans="1:13" ht="22.5">
      <c r="A415" s="277"/>
      <c r="B415" s="234" t="s">
        <v>8149</v>
      </c>
      <c r="C415" s="222">
        <v>2</v>
      </c>
      <c r="D415" s="222"/>
      <c r="E415" s="225">
        <v>10.9</v>
      </c>
      <c r="F415" s="231">
        <v>2.75</v>
      </c>
      <c r="G415" s="239">
        <f t="shared" si="27"/>
        <v>29.975000000000001</v>
      </c>
      <c r="H415" s="220"/>
      <c r="I415" s="220"/>
      <c r="J415" s="220">
        <f t="shared" si="28"/>
        <v>59.95</v>
      </c>
      <c r="K415" s="220">
        <f t="shared" si="29"/>
        <v>0</v>
      </c>
      <c r="L415" s="279"/>
      <c r="M415" s="177"/>
    </row>
    <row r="416" spans="1:13">
      <c r="A416" s="277"/>
      <c r="B416" s="234" t="s">
        <v>8150</v>
      </c>
      <c r="C416" s="222">
        <v>1</v>
      </c>
      <c r="D416" s="222"/>
      <c r="E416" s="225">
        <v>8.44</v>
      </c>
      <c r="F416" s="231">
        <v>2.75</v>
      </c>
      <c r="G416" s="239">
        <f t="shared" si="27"/>
        <v>23.209999999999997</v>
      </c>
      <c r="H416" s="220"/>
      <c r="I416" s="220"/>
      <c r="J416" s="220">
        <f t="shared" si="28"/>
        <v>23.209999999999997</v>
      </c>
      <c r="K416" s="220">
        <f t="shared" si="29"/>
        <v>0</v>
      </c>
      <c r="L416" s="279"/>
      <c r="M416" s="177"/>
    </row>
    <row r="417" spans="1:13">
      <c r="A417" s="238"/>
      <c r="B417" s="234" t="s">
        <v>8151</v>
      </c>
      <c r="C417" s="222">
        <v>1</v>
      </c>
      <c r="D417" s="222"/>
      <c r="E417" s="225">
        <v>9.7100000000000009</v>
      </c>
      <c r="F417" s="231">
        <v>2.75</v>
      </c>
      <c r="G417" s="239">
        <f t="shared" si="27"/>
        <v>26.702500000000001</v>
      </c>
      <c r="H417" s="220"/>
      <c r="I417" s="220"/>
      <c r="J417" s="220">
        <f t="shared" si="28"/>
        <v>26.702500000000001</v>
      </c>
      <c r="K417" s="220">
        <f t="shared" si="29"/>
        <v>0</v>
      </c>
      <c r="L417" s="279"/>
      <c r="M417" s="177"/>
    </row>
    <row r="418" spans="1:13">
      <c r="A418" s="277"/>
      <c r="B418" s="234" t="s">
        <v>8154</v>
      </c>
      <c r="C418" s="222">
        <v>6</v>
      </c>
      <c r="D418" s="222">
        <v>0.9</v>
      </c>
      <c r="E418" s="225"/>
      <c r="F418" s="231">
        <v>2.1</v>
      </c>
      <c r="G418" s="220">
        <f>-F418*D418</f>
        <v>-1.8900000000000001</v>
      </c>
      <c r="H418" s="220"/>
      <c r="I418" s="220"/>
      <c r="J418" s="220">
        <f t="shared" si="28"/>
        <v>-11.34</v>
      </c>
      <c r="K418" s="220">
        <f t="shared" si="29"/>
        <v>0</v>
      </c>
      <c r="L418" s="279"/>
      <c r="M418" s="177"/>
    </row>
    <row r="419" spans="1:13">
      <c r="A419" s="277"/>
      <c r="B419" s="234" t="s">
        <v>8153</v>
      </c>
      <c r="C419" s="222">
        <v>4</v>
      </c>
      <c r="D419" s="222">
        <v>0.9</v>
      </c>
      <c r="E419" s="225"/>
      <c r="F419" s="231">
        <v>2.1</v>
      </c>
      <c r="G419" s="220">
        <f>-F419*D419</f>
        <v>-1.8900000000000001</v>
      </c>
      <c r="H419" s="220"/>
      <c r="I419" s="220"/>
      <c r="J419" s="220">
        <f t="shared" si="28"/>
        <v>-7.5600000000000005</v>
      </c>
      <c r="K419" s="220">
        <f t="shared" si="29"/>
        <v>0</v>
      </c>
      <c r="L419" s="279"/>
      <c r="M419" s="177"/>
    </row>
    <row r="420" spans="1:13">
      <c r="A420" s="277"/>
      <c r="B420" s="234" t="s">
        <v>8155</v>
      </c>
      <c r="C420" s="222">
        <v>4</v>
      </c>
      <c r="D420" s="222">
        <v>3.35</v>
      </c>
      <c r="E420" s="225"/>
      <c r="F420" s="231">
        <v>0.95</v>
      </c>
      <c r="G420" s="220">
        <f>-F420*D420</f>
        <v>-3.1825000000000001</v>
      </c>
      <c r="H420" s="220"/>
      <c r="I420" s="220"/>
      <c r="J420" s="220">
        <f t="shared" si="28"/>
        <v>-12.73</v>
      </c>
      <c r="K420" s="220">
        <f t="shared" si="29"/>
        <v>0</v>
      </c>
      <c r="L420" s="279"/>
      <c r="M420" s="177"/>
    </row>
    <row r="421" spans="1:13">
      <c r="A421" s="228"/>
      <c r="B421" s="229"/>
      <c r="C421" s="229"/>
      <c r="D421" s="229"/>
      <c r="E421" s="229"/>
      <c r="F421" s="747" t="s">
        <v>7875</v>
      </c>
      <c r="G421" s="747"/>
      <c r="H421" s="747"/>
      <c r="I421" s="230">
        <f>ROUND(SUM(I412:I417),2)</f>
        <v>0</v>
      </c>
      <c r="J421" s="230">
        <f>ROUND(SUM(J412:J420),2)</f>
        <v>349.38</v>
      </c>
      <c r="K421" s="230">
        <f>ROUND(SUM(K412:K417),2)</f>
        <v>0</v>
      </c>
      <c r="L421" s="177"/>
      <c r="M421" s="177"/>
    </row>
    <row r="422" spans="1:13">
      <c r="A422" s="238"/>
      <c r="B422" s="746"/>
      <c r="C422" s="746"/>
      <c r="D422" s="746"/>
      <c r="E422" s="746"/>
      <c r="F422" s="746"/>
      <c r="G422" s="746"/>
      <c r="H422" s="746"/>
      <c r="I422" s="746"/>
      <c r="J422" s="746"/>
      <c r="K422" s="238"/>
      <c r="L422" s="177"/>
      <c r="M422" s="177"/>
    </row>
    <row r="423" spans="1:13">
      <c r="A423" s="226" t="str">
        <f>'Orç - Prédio'!A162</f>
        <v>04.01.546</v>
      </c>
      <c r="B423" s="748" t="str">
        <f>'Orç - Prédio'!D162</f>
        <v>Revestimento de paredes em argamassa baritada, espessura de 4,0cm, aplicação em 2 camadas sucessivas de 2,0cm</v>
      </c>
      <c r="C423" s="748"/>
      <c r="D423" s="748"/>
      <c r="E423" s="748"/>
      <c r="F423" s="748"/>
      <c r="G423" s="748"/>
      <c r="H423" s="748"/>
      <c r="I423" s="748"/>
      <c r="J423" s="748"/>
      <c r="K423" s="227" t="str">
        <f>'Orç - Prédio'!F170</f>
        <v>m2</v>
      </c>
      <c r="L423" s="176" t="s">
        <v>8979</v>
      </c>
    </row>
    <row r="424" spans="1:13">
      <c r="A424" s="745"/>
      <c r="B424" s="745"/>
      <c r="C424" s="218"/>
      <c r="D424" s="218"/>
      <c r="E424" s="218"/>
      <c r="F424" s="218"/>
      <c r="G424" s="745" t="s">
        <v>7863</v>
      </c>
      <c r="H424" s="745"/>
      <c r="I424" s="745" t="s">
        <v>7864</v>
      </c>
      <c r="J424" s="745"/>
      <c r="K424" s="745"/>
      <c r="L424" s="177"/>
      <c r="M424" s="177"/>
    </row>
    <row r="425" spans="1:13" ht="22.5">
      <c r="A425" s="745" t="s">
        <v>7880</v>
      </c>
      <c r="B425" s="745"/>
      <c r="C425" s="745" t="s">
        <v>7865</v>
      </c>
      <c r="D425" s="745" t="s">
        <v>7866</v>
      </c>
      <c r="E425" s="745" t="s">
        <v>7867</v>
      </c>
      <c r="F425" s="745" t="s">
        <v>7868</v>
      </c>
      <c r="G425" s="238" t="s">
        <v>7869</v>
      </c>
      <c r="H425" s="238" t="s">
        <v>7870</v>
      </c>
      <c r="I425" s="238" t="s">
        <v>7871</v>
      </c>
      <c r="J425" s="238" t="s">
        <v>7869</v>
      </c>
      <c r="K425" s="238" t="s">
        <v>7870</v>
      </c>
      <c r="L425" s="177"/>
      <c r="M425" s="177"/>
    </row>
    <row r="426" spans="1:13">
      <c r="A426" s="745"/>
      <c r="B426" s="745"/>
      <c r="C426" s="745"/>
      <c r="D426" s="745"/>
      <c r="E426" s="745"/>
      <c r="F426" s="745"/>
      <c r="G426" s="238" t="s">
        <v>7872</v>
      </c>
      <c r="H426" s="238" t="s">
        <v>7873</v>
      </c>
      <c r="I426" s="238" t="s">
        <v>7874</v>
      </c>
      <c r="J426" s="238" t="s">
        <v>7872</v>
      </c>
      <c r="K426" s="238" t="s">
        <v>7873</v>
      </c>
      <c r="L426" s="177"/>
      <c r="M426" s="177"/>
    </row>
    <row r="427" spans="1:13">
      <c r="A427" s="238"/>
      <c r="B427" s="234" t="s">
        <v>7938</v>
      </c>
      <c r="C427" s="222">
        <v>1</v>
      </c>
      <c r="D427" s="222">
        <v>9.5500000000000007</v>
      </c>
      <c r="E427" s="225"/>
      <c r="F427" s="231">
        <v>3.45</v>
      </c>
      <c r="G427" s="239">
        <f>F427*D427</f>
        <v>32.947500000000005</v>
      </c>
      <c r="H427" s="220"/>
      <c r="I427" s="220"/>
      <c r="J427" s="220">
        <f>G427*C427</f>
        <v>32.947500000000005</v>
      </c>
      <c r="K427" s="220">
        <f>C427*H427</f>
        <v>0</v>
      </c>
      <c r="L427" s="279"/>
      <c r="M427" s="177"/>
    </row>
    <row r="428" spans="1:13">
      <c r="A428" s="228"/>
      <c r="B428" s="229"/>
      <c r="C428" s="229"/>
      <c r="D428" s="229"/>
      <c r="E428" s="229"/>
      <c r="F428" s="747" t="s">
        <v>7875</v>
      </c>
      <c r="G428" s="747"/>
      <c r="H428" s="747"/>
      <c r="I428" s="230">
        <f>ROUND(SUM(I427:I427),2)</f>
        <v>0</v>
      </c>
      <c r="J428" s="230">
        <f>ROUND(SUM(J427:J427),2)</f>
        <v>32.950000000000003</v>
      </c>
      <c r="K428" s="230">
        <f>ROUND(SUM(K427:K427),2)</f>
        <v>0</v>
      </c>
      <c r="L428" s="177"/>
      <c r="M428" s="177"/>
    </row>
    <row r="429" spans="1:13">
      <c r="A429" s="238"/>
      <c r="B429" s="746"/>
      <c r="C429" s="746"/>
      <c r="D429" s="746"/>
      <c r="E429" s="746"/>
      <c r="F429" s="746"/>
      <c r="G429" s="746"/>
      <c r="H429" s="746"/>
      <c r="I429" s="746"/>
      <c r="J429" s="746"/>
      <c r="K429" s="238"/>
      <c r="L429" s="177"/>
      <c r="M429" s="177"/>
    </row>
    <row r="430" spans="1:13" ht="22.5">
      <c r="A430" s="226" t="str">
        <f>'Orç - Prédio'!A168</f>
        <v>04.01.561.01</v>
      </c>
      <c r="B430" s="748" t="str">
        <f>'Orç - Prédio'!D168</f>
        <v>Aplicação e lixamento de massa látex em paredes, duas demãos</v>
      </c>
      <c r="C430" s="748"/>
      <c r="D430" s="748"/>
      <c r="E430" s="748"/>
      <c r="F430" s="748"/>
      <c r="G430" s="748"/>
      <c r="H430" s="748"/>
      <c r="I430" s="748"/>
      <c r="J430" s="748"/>
      <c r="K430" s="227" t="str">
        <f>'Orç - Prédio'!F168</f>
        <v>m2</v>
      </c>
      <c r="L430" s="176" t="s">
        <v>8979</v>
      </c>
    </row>
    <row r="431" spans="1:13">
      <c r="A431" s="745"/>
      <c r="B431" s="745"/>
      <c r="C431" s="218"/>
      <c r="D431" s="218"/>
      <c r="E431" s="218"/>
      <c r="F431" s="218"/>
      <c r="G431" s="745" t="s">
        <v>7863</v>
      </c>
      <c r="H431" s="745"/>
      <c r="I431" s="745" t="s">
        <v>7864</v>
      </c>
      <c r="J431" s="745"/>
      <c r="K431" s="745"/>
      <c r="L431" s="177"/>
      <c r="M431" s="177"/>
    </row>
    <row r="432" spans="1:13" ht="22.5">
      <c r="A432" s="745" t="s">
        <v>7880</v>
      </c>
      <c r="B432" s="745"/>
      <c r="C432" s="745" t="s">
        <v>7865</v>
      </c>
      <c r="D432" s="745" t="s">
        <v>7866</v>
      </c>
      <c r="E432" s="745" t="s">
        <v>7867</v>
      </c>
      <c r="F432" s="745" t="s">
        <v>7868</v>
      </c>
      <c r="G432" s="238" t="s">
        <v>7869</v>
      </c>
      <c r="H432" s="238" t="s">
        <v>7870</v>
      </c>
      <c r="I432" s="238" t="s">
        <v>7871</v>
      </c>
      <c r="J432" s="238" t="s">
        <v>7869</v>
      </c>
      <c r="K432" s="238" t="s">
        <v>7870</v>
      </c>
      <c r="L432" s="177"/>
      <c r="M432" s="177"/>
    </row>
    <row r="433" spans="1:13">
      <c r="A433" s="745"/>
      <c r="B433" s="745"/>
      <c r="C433" s="745"/>
      <c r="D433" s="745"/>
      <c r="E433" s="745"/>
      <c r="F433" s="745"/>
      <c r="G433" s="238" t="s">
        <v>7872</v>
      </c>
      <c r="H433" s="238" t="s">
        <v>7873</v>
      </c>
      <c r="I433" s="238" t="s">
        <v>7874</v>
      </c>
      <c r="J433" s="238" t="s">
        <v>7872</v>
      </c>
      <c r="K433" s="238" t="s">
        <v>7873</v>
      </c>
      <c r="L433" s="177"/>
      <c r="M433" s="177"/>
    </row>
    <row r="434" spans="1:13" ht="22.5">
      <c r="A434" s="238"/>
      <c r="B434" s="234" t="s">
        <v>7959</v>
      </c>
      <c r="C434" s="222">
        <v>1</v>
      </c>
      <c r="D434" s="222"/>
      <c r="E434" s="225"/>
      <c r="F434" s="231"/>
      <c r="G434" s="239">
        <f>J406</f>
        <v>3935.49</v>
      </c>
      <c r="H434" s="220"/>
      <c r="I434" s="220"/>
      <c r="J434" s="220">
        <f>G434*C434</f>
        <v>3935.49</v>
      </c>
      <c r="K434" s="220">
        <f>C434*H434</f>
        <v>0</v>
      </c>
      <c r="L434" s="279"/>
      <c r="M434" s="177"/>
    </row>
    <row r="435" spans="1:13" ht="22.5">
      <c r="A435" s="238"/>
      <c r="B435" s="234" t="s">
        <v>7962</v>
      </c>
      <c r="C435" s="222">
        <v>2</v>
      </c>
      <c r="D435" s="222"/>
      <c r="E435" s="225"/>
      <c r="F435" s="231"/>
      <c r="G435" s="239">
        <f>J266</f>
        <v>332.77</v>
      </c>
      <c r="H435" s="220"/>
      <c r="I435" s="220"/>
      <c r="J435" s="220">
        <f>G435*C435</f>
        <v>665.54</v>
      </c>
      <c r="K435" s="220">
        <f>C435*H435</f>
        <v>0</v>
      </c>
      <c r="L435" s="279"/>
      <c r="M435" s="177"/>
    </row>
    <row r="436" spans="1:13">
      <c r="A436" s="228"/>
      <c r="B436" s="229"/>
      <c r="C436" s="229"/>
      <c r="D436" s="229"/>
      <c r="E436" s="229"/>
      <c r="F436" s="747" t="s">
        <v>7875</v>
      </c>
      <c r="G436" s="747"/>
      <c r="H436" s="747"/>
      <c r="I436" s="230">
        <f>ROUND(SUM(I434:I435),2)</f>
        <v>0</v>
      </c>
      <c r="J436" s="230">
        <f>ROUND(SUM(J434:J435),2)</f>
        <v>4601.03</v>
      </c>
      <c r="K436" s="230">
        <f>ROUND(SUM(K434:K435),2)</f>
        <v>0</v>
      </c>
      <c r="L436" s="177"/>
      <c r="M436" s="177"/>
    </row>
    <row r="437" spans="1:13">
      <c r="A437" s="238"/>
      <c r="B437" s="746"/>
      <c r="C437" s="746"/>
      <c r="D437" s="746"/>
      <c r="E437" s="746"/>
      <c r="F437" s="746"/>
      <c r="G437" s="746"/>
      <c r="H437" s="746"/>
      <c r="I437" s="746"/>
      <c r="J437" s="746"/>
      <c r="K437" s="238"/>
      <c r="L437" s="177"/>
      <c r="M437" s="177"/>
    </row>
    <row r="438" spans="1:13" ht="22.5">
      <c r="A438" s="226" t="str">
        <f>'Orç - Prédio'!A169</f>
        <v>04.01.561.02</v>
      </c>
      <c r="B438" s="748" t="str">
        <f>'Orç - Prédio'!D169</f>
        <v>Aplicação manual de massa acrílica em panos de fachada com presença de vãos, de edifícios de múltiplos pavimentos, duas demãos</v>
      </c>
      <c r="C438" s="748"/>
      <c r="D438" s="748"/>
      <c r="E438" s="748"/>
      <c r="F438" s="748"/>
      <c r="G438" s="748"/>
      <c r="H438" s="748"/>
      <c r="I438" s="748"/>
      <c r="J438" s="748"/>
      <c r="K438" s="227" t="str">
        <f>'Orç - Prédio'!F169</f>
        <v>m2</v>
      </c>
      <c r="L438" s="176" t="s">
        <v>8979</v>
      </c>
    </row>
    <row r="439" spans="1:13">
      <c r="A439" s="745"/>
      <c r="B439" s="745"/>
      <c r="C439" s="218"/>
      <c r="D439" s="218"/>
      <c r="E439" s="218"/>
      <c r="F439" s="218"/>
      <c r="G439" s="745" t="s">
        <v>7863</v>
      </c>
      <c r="H439" s="745"/>
      <c r="I439" s="745" t="s">
        <v>7864</v>
      </c>
      <c r="J439" s="745"/>
      <c r="K439" s="745"/>
      <c r="L439" s="177"/>
      <c r="M439" s="177"/>
    </row>
    <row r="440" spans="1:13" ht="22.5">
      <c r="A440" s="745" t="s">
        <v>7880</v>
      </c>
      <c r="B440" s="745"/>
      <c r="C440" s="745" t="s">
        <v>7865</v>
      </c>
      <c r="D440" s="745" t="s">
        <v>7866</v>
      </c>
      <c r="E440" s="745" t="s">
        <v>7867</v>
      </c>
      <c r="F440" s="745" t="s">
        <v>7868</v>
      </c>
      <c r="G440" s="238" t="s">
        <v>7869</v>
      </c>
      <c r="H440" s="238" t="s">
        <v>7870</v>
      </c>
      <c r="I440" s="238" t="s">
        <v>7871</v>
      </c>
      <c r="J440" s="238" t="s">
        <v>7869</v>
      </c>
      <c r="K440" s="238" t="s">
        <v>7870</v>
      </c>
      <c r="L440" s="177"/>
      <c r="M440" s="177"/>
    </row>
    <row r="441" spans="1:13">
      <c r="A441" s="745"/>
      <c r="B441" s="745"/>
      <c r="C441" s="745"/>
      <c r="D441" s="745"/>
      <c r="E441" s="745"/>
      <c r="F441" s="745"/>
      <c r="G441" s="238" t="s">
        <v>7872</v>
      </c>
      <c r="H441" s="238" t="s">
        <v>7873</v>
      </c>
      <c r="I441" s="238" t="s">
        <v>7874</v>
      </c>
      <c r="J441" s="238" t="s">
        <v>7872</v>
      </c>
      <c r="K441" s="238" t="s">
        <v>7873</v>
      </c>
      <c r="L441" s="177"/>
      <c r="M441" s="177"/>
    </row>
    <row r="442" spans="1:13">
      <c r="A442" s="238"/>
      <c r="B442" s="234" t="s">
        <v>7961</v>
      </c>
      <c r="C442" s="222">
        <v>1</v>
      </c>
      <c r="D442" s="222"/>
      <c r="E442" s="225"/>
      <c r="F442" s="231"/>
      <c r="G442" s="239">
        <v>931.59</v>
      </c>
      <c r="H442" s="220"/>
      <c r="I442" s="220"/>
      <c r="J442" s="220">
        <f>G442*C442</f>
        <v>931.59</v>
      </c>
      <c r="K442" s="220">
        <f>C442*H442</f>
        <v>0</v>
      </c>
      <c r="L442" s="279"/>
      <c r="M442" s="177"/>
    </row>
    <row r="443" spans="1:13">
      <c r="A443" s="228"/>
      <c r="B443" s="229"/>
      <c r="C443" s="229"/>
      <c r="D443" s="229"/>
      <c r="E443" s="229"/>
      <c r="F443" s="747" t="s">
        <v>7875</v>
      </c>
      <c r="G443" s="747"/>
      <c r="H443" s="747"/>
      <c r="I443" s="230">
        <f>ROUND(SUM(I442:I442),2)</f>
        <v>0</v>
      </c>
      <c r="J443" s="230">
        <f>ROUND(SUM(J442:J442),2)</f>
        <v>931.59</v>
      </c>
      <c r="K443" s="230">
        <f>ROUND(SUM(K442:K442),2)</f>
        <v>0</v>
      </c>
      <c r="L443" s="177"/>
      <c r="M443" s="177"/>
    </row>
    <row r="444" spans="1:13">
      <c r="A444" s="238"/>
      <c r="B444" s="746"/>
      <c r="C444" s="746"/>
      <c r="D444" s="746"/>
      <c r="E444" s="746"/>
      <c r="F444" s="746"/>
      <c r="G444" s="746"/>
      <c r="H444" s="746"/>
      <c r="I444" s="746"/>
      <c r="J444" s="746"/>
      <c r="K444" s="238"/>
      <c r="L444" s="177"/>
      <c r="M444" s="177"/>
    </row>
    <row r="445" spans="1:13" ht="22.5">
      <c r="A445" s="226" t="str">
        <f>'Orç - Prédio'!A175</f>
        <v>04.01.576.01</v>
      </c>
      <c r="B445" s="748" t="str">
        <f>'Orç - Prédio'!D175</f>
        <v>Aplicação de fundo selador acrílico em estruturas de concreto aparente e nos pisos e soleiras de granitina, uma demão</v>
      </c>
      <c r="C445" s="748"/>
      <c r="D445" s="748"/>
      <c r="E445" s="748"/>
      <c r="F445" s="748"/>
      <c r="G445" s="748"/>
      <c r="H445" s="748"/>
      <c r="I445" s="748"/>
      <c r="J445" s="748"/>
      <c r="K445" s="227" t="str">
        <f>'Orç - Prédio'!F175</f>
        <v>m2</v>
      </c>
    </row>
    <row r="446" spans="1:13">
      <c r="A446" s="745"/>
      <c r="B446" s="745"/>
      <c r="C446" s="218"/>
      <c r="D446" s="218"/>
      <c r="E446" s="218"/>
      <c r="F446" s="218"/>
      <c r="G446" s="745" t="s">
        <v>7863</v>
      </c>
      <c r="H446" s="745"/>
      <c r="I446" s="745" t="s">
        <v>7864</v>
      </c>
      <c r="J446" s="745"/>
      <c r="K446" s="745"/>
      <c r="L446" s="177"/>
      <c r="M446" s="177"/>
    </row>
    <row r="447" spans="1:13" ht="22.5">
      <c r="A447" s="745" t="s">
        <v>7880</v>
      </c>
      <c r="B447" s="745"/>
      <c r="C447" s="745" t="s">
        <v>7865</v>
      </c>
      <c r="D447" s="745" t="s">
        <v>7866</v>
      </c>
      <c r="E447" s="745" t="s">
        <v>7867</v>
      </c>
      <c r="F447" s="745" t="s">
        <v>7868</v>
      </c>
      <c r="G447" s="238" t="s">
        <v>7869</v>
      </c>
      <c r="H447" s="238" t="s">
        <v>7870</v>
      </c>
      <c r="I447" s="238" t="s">
        <v>7871</v>
      </c>
      <c r="J447" s="238" t="s">
        <v>7869</v>
      </c>
      <c r="K447" s="238" t="s">
        <v>7870</v>
      </c>
      <c r="L447" s="177"/>
      <c r="M447" s="177"/>
    </row>
    <row r="448" spans="1:13">
      <c r="A448" s="745"/>
      <c r="B448" s="745"/>
      <c r="C448" s="745"/>
      <c r="D448" s="745"/>
      <c r="E448" s="745"/>
      <c r="F448" s="745"/>
      <c r="G448" s="238" t="s">
        <v>7872</v>
      </c>
      <c r="H448" s="238" t="s">
        <v>7873</v>
      </c>
      <c r="I448" s="238" t="s">
        <v>7874</v>
      </c>
      <c r="J448" s="238" t="s">
        <v>7872</v>
      </c>
      <c r="K448" s="238" t="s">
        <v>7873</v>
      </c>
      <c r="L448" s="177"/>
      <c r="M448" s="177"/>
    </row>
    <row r="449" spans="1:13" ht="22.5">
      <c r="A449" s="238"/>
      <c r="B449" s="234" t="s">
        <v>6910</v>
      </c>
      <c r="C449" s="222">
        <v>1</v>
      </c>
      <c r="D449" s="222">
        <f>0.6+1.2+0.8+1.2+4*1.2+0.65+0.8+0.65+7*1.2+0.625+0.6+1.5+1.5+1.5+1.5+1.5+1.6+1.6</f>
        <v>31.025000000000006</v>
      </c>
      <c r="E449" s="225"/>
      <c r="F449" s="231">
        <v>3.45</v>
      </c>
      <c r="G449" s="239">
        <f>F449*D449</f>
        <v>107.03625000000002</v>
      </c>
      <c r="H449" s="220"/>
      <c r="I449" s="220"/>
      <c r="J449" s="220">
        <f t="shared" ref="J449:J454" si="30">G449*C449</f>
        <v>107.03625000000002</v>
      </c>
      <c r="K449" s="220">
        <f t="shared" ref="K449:K454" si="31">C449*H449</f>
        <v>0</v>
      </c>
      <c r="L449" s="279"/>
      <c r="M449" s="177"/>
    </row>
    <row r="450" spans="1:13" ht="22.5">
      <c r="A450" s="238"/>
      <c r="B450" s="234" t="s">
        <v>6911</v>
      </c>
      <c r="C450" s="222">
        <v>1</v>
      </c>
      <c r="D450" s="222">
        <f>0.6+1.2+0.8+1.2+4*1.2+0.65+0.8+0.65+7*1.2+0.625+0.6+1.5+1.5+1.5+1.5+1.5+1.6+1.6</f>
        <v>31.025000000000006</v>
      </c>
      <c r="E450" s="225"/>
      <c r="F450" s="231">
        <v>3.45</v>
      </c>
      <c r="G450" s="239">
        <f>F450*D450</f>
        <v>107.03625000000002</v>
      </c>
      <c r="H450" s="220"/>
      <c r="I450" s="220"/>
      <c r="J450" s="220">
        <f t="shared" si="30"/>
        <v>107.03625000000002</v>
      </c>
      <c r="K450" s="220">
        <f t="shared" si="31"/>
        <v>0</v>
      </c>
      <c r="L450" s="279"/>
      <c r="M450" s="177"/>
    </row>
    <row r="451" spans="1:13" ht="22.5">
      <c r="A451" s="238"/>
      <c r="B451" s="234" t="s">
        <v>8156</v>
      </c>
      <c r="C451" s="222">
        <v>1</v>
      </c>
      <c r="D451" s="222"/>
      <c r="E451" s="225"/>
      <c r="F451" s="231"/>
      <c r="G451" s="220">
        <v>84.01</v>
      </c>
      <c r="H451" s="220"/>
      <c r="I451" s="220"/>
      <c r="J451" s="220">
        <f t="shared" si="30"/>
        <v>84.01</v>
      </c>
      <c r="K451" s="220">
        <f t="shared" si="31"/>
        <v>0</v>
      </c>
      <c r="L451" s="279"/>
      <c r="M451" s="177"/>
    </row>
    <row r="452" spans="1:13" ht="22.5">
      <c r="A452" s="277"/>
      <c r="B452" s="234" t="s">
        <v>8157</v>
      </c>
      <c r="C452" s="222">
        <v>1</v>
      </c>
      <c r="D452" s="222"/>
      <c r="E452" s="225"/>
      <c r="F452" s="231"/>
      <c r="G452" s="220">
        <v>80.48</v>
      </c>
      <c r="H452" s="220"/>
      <c r="I452" s="220"/>
      <c r="J452" s="220">
        <f t="shared" si="30"/>
        <v>80.48</v>
      </c>
      <c r="K452" s="220">
        <f t="shared" si="31"/>
        <v>0</v>
      </c>
      <c r="L452" s="279"/>
      <c r="M452" s="177"/>
    </row>
    <row r="453" spans="1:13">
      <c r="A453" s="238"/>
      <c r="B453" s="234" t="s">
        <v>6912</v>
      </c>
      <c r="C453" s="222">
        <v>1</v>
      </c>
      <c r="D453" s="222"/>
      <c r="E453" s="225"/>
      <c r="F453" s="231"/>
      <c r="G453" s="220">
        <v>266.34999999999997</v>
      </c>
      <c r="H453" s="220"/>
      <c r="I453" s="220"/>
      <c r="J453" s="220">
        <f t="shared" si="30"/>
        <v>266.34999999999997</v>
      </c>
      <c r="K453" s="220">
        <f t="shared" si="31"/>
        <v>0</v>
      </c>
      <c r="L453" s="279"/>
      <c r="M453" s="177"/>
    </row>
    <row r="454" spans="1:13">
      <c r="A454" s="238"/>
      <c r="B454" s="234" t="s">
        <v>7963</v>
      </c>
      <c r="C454" s="222">
        <v>1</v>
      </c>
      <c r="D454" s="222"/>
      <c r="E454" s="225"/>
      <c r="F454" s="231"/>
      <c r="G454" s="220">
        <f>J355</f>
        <v>1665.26</v>
      </c>
      <c r="H454" s="220"/>
      <c r="I454" s="220"/>
      <c r="J454" s="220">
        <f t="shared" si="30"/>
        <v>1665.26</v>
      </c>
      <c r="K454" s="220">
        <f t="shared" si="31"/>
        <v>0</v>
      </c>
      <c r="L454" s="279"/>
      <c r="M454" s="177"/>
    </row>
    <row r="455" spans="1:13">
      <c r="A455" s="228"/>
      <c r="B455" s="229"/>
      <c r="C455" s="229"/>
      <c r="D455" s="229"/>
      <c r="E455" s="229"/>
      <c r="F455" s="747" t="s">
        <v>7875</v>
      </c>
      <c r="G455" s="747"/>
      <c r="H455" s="747"/>
      <c r="I455" s="230">
        <f>ROUND(SUM(I449:I454),2)</f>
        <v>0</v>
      </c>
      <c r="J455" s="230">
        <f>ROUND(SUM(J449:J454),2)</f>
        <v>2310.17</v>
      </c>
      <c r="K455" s="230">
        <f>ROUND(SUM(K449:K454),2)</f>
        <v>0</v>
      </c>
      <c r="L455" s="177"/>
      <c r="M455" s="177"/>
    </row>
    <row r="456" spans="1:13">
      <c r="A456" s="238"/>
      <c r="B456" s="746"/>
      <c r="C456" s="746"/>
      <c r="D456" s="746"/>
      <c r="E456" s="746"/>
      <c r="F456" s="746"/>
      <c r="G456" s="746"/>
      <c r="H456" s="746"/>
      <c r="I456" s="746"/>
      <c r="J456" s="746"/>
      <c r="K456" s="238"/>
      <c r="L456" s="177"/>
      <c r="M456" s="177"/>
    </row>
    <row r="457" spans="1:13" ht="22.5">
      <c r="A457" s="226" t="str">
        <f>'Orç - Prédio'!A179</f>
        <v>04.01.601.02</v>
      </c>
      <c r="B457" s="748" t="str">
        <f>'Orç - Prédio'!D179</f>
        <v>Impermeabilização de superfície com manta asfáltica com polímeros tipo app, e=4mm, incluindo aplicação de primer (laje de cobertura)</v>
      </c>
      <c r="C457" s="748"/>
      <c r="D457" s="748"/>
      <c r="E457" s="748"/>
      <c r="F457" s="748"/>
      <c r="G457" s="748"/>
      <c r="H457" s="748"/>
      <c r="I457" s="748"/>
      <c r="J457" s="748"/>
      <c r="K457" s="227" t="str">
        <f>'Orç - Prédio'!F179</f>
        <v>m2</v>
      </c>
    </row>
    <row r="458" spans="1:13">
      <c r="A458" s="745"/>
      <c r="B458" s="745"/>
      <c r="C458" s="218"/>
      <c r="D458" s="218"/>
      <c r="E458" s="218"/>
      <c r="F458" s="218"/>
      <c r="G458" s="745" t="s">
        <v>7863</v>
      </c>
      <c r="H458" s="745"/>
      <c r="I458" s="745" t="s">
        <v>7864</v>
      </c>
      <c r="J458" s="745"/>
      <c r="K458" s="745"/>
      <c r="L458" s="177"/>
      <c r="M458" s="177"/>
    </row>
    <row r="459" spans="1:13" ht="22.5">
      <c r="A459" s="745" t="s">
        <v>7880</v>
      </c>
      <c r="B459" s="745"/>
      <c r="C459" s="745" t="s">
        <v>7865</v>
      </c>
      <c r="D459" s="745" t="s">
        <v>7866</v>
      </c>
      <c r="E459" s="745" t="s">
        <v>7867</v>
      </c>
      <c r="F459" s="745" t="s">
        <v>7868</v>
      </c>
      <c r="G459" s="238" t="s">
        <v>7869</v>
      </c>
      <c r="H459" s="238" t="s">
        <v>7870</v>
      </c>
      <c r="I459" s="238" t="s">
        <v>7871</v>
      </c>
      <c r="J459" s="238" t="s">
        <v>7869</v>
      </c>
      <c r="K459" s="238" t="s">
        <v>7870</v>
      </c>
      <c r="L459" s="177"/>
      <c r="M459" s="177"/>
    </row>
    <row r="460" spans="1:13">
      <c r="A460" s="745"/>
      <c r="B460" s="745"/>
      <c r="C460" s="745"/>
      <c r="D460" s="745"/>
      <c r="E460" s="745"/>
      <c r="F460" s="745"/>
      <c r="G460" s="238" t="s">
        <v>7872</v>
      </c>
      <c r="H460" s="238" t="s">
        <v>7873</v>
      </c>
      <c r="I460" s="238" t="s">
        <v>7874</v>
      </c>
      <c r="J460" s="238" t="s">
        <v>7872</v>
      </c>
      <c r="K460" s="238" t="s">
        <v>7873</v>
      </c>
      <c r="L460" s="177"/>
      <c r="M460" s="177"/>
    </row>
    <row r="461" spans="1:13" ht="22.5">
      <c r="A461" s="238"/>
      <c r="B461" s="234" t="s">
        <v>9593</v>
      </c>
      <c r="C461" s="222">
        <v>1</v>
      </c>
      <c r="D461" s="222"/>
      <c r="E461" s="225"/>
      <c r="F461" s="231"/>
      <c r="G461" s="239">
        <v>339.14</v>
      </c>
      <c r="H461" s="220"/>
      <c r="I461" s="220"/>
      <c r="J461" s="220">
        <f>G461*C461</f>
        <v>339.14</v>
      </c>
      <c r="K461" s="220">
        <f>C461*H461</f>
        <v>0</v>
      </c>
      <c r="L461" s="279"/>
      <c r="M461" s="177"/>
    </row>
    <row r="462" spans="1:13" ht="22.5">
      <c r="A462" s="238"/>
      <c r="B462" s="234" t="s">
        <v>6913</v>
      </c>
      <c r="C462" s="222">
        <v>1</v>
      </c>
      <c r="D462" s="222">
        <v>446.27</v>
      </c>
      <c r="E462" s="225"/>
      <c r="F462" s="231">
        <v>0.3</v>
      </c>
      <c r="G462" s="239">
        <f>F462*D462</f>
        <v>133.881</v>
      </c>
      <c r="H462" s="220"/>
      <c r="I462" s="220"/>
      <c r="J462" s="220">
        <f>G462*C462</f>
        <v>133.881</v>
      </c>
      <c r="K462" s="220">
        <f>C462*H462</f>
        <v>0</v>
      </c>
      <c r="L462" s="279"/>
      <c r="M462" s="177"/>
    </row>
    <row r="463" spans="1:13">
      <c r="A463" s="228"/>
      <c r="B463" s="229"/>
      <c r="C463" s="229"/>
      <c r="D463" s="229"/>
      <c r="E463" s="229"/>
      <c r="F463" s="747" t="s">
        <v>7875</v>
      </c>
      <c r="G463" s="747"/>
      <c r="H463" s="747"/>
      <c r="I463" s="230">
        <f>ROUND(SUM(I461:I462),2)</f>
        <v>0</v>
      </c>
      <c r="J463" s="230">
        <f>ROUND(SUM(J461:J462),2)</f>
        <v>473.02</v>
      </c>
      <c r="K463" s="230">
        <f>ROUND(SUM(K461:K462),2)</f>
        <v>0</v>
      </c>
      <c r="L463" s="177"/>
      <c r="M463" s="177"/>
    </row>
    <row r="464" spans="1:13">
      <c r="A464" s="238"/>
      <c r="B464" s="746"/>
      <c r="C464" s="746"/>
      <c r="D464" s="746"/>
      <c r="E464" s="746"/>
      <c r="F464" s="746"/>
      <c r="G464" s="746"/>
      <c r="H464" s="746"/>
      <c r="I464" s="746"/>
      <c r="J464" s="746"/>
      <c r="K464" s="238"/>
      <c r="L464" s="177"/>
      <c r="M464" s="177"/>
    </row>
    <row r="465" spans="1:13" ht="22.5">
      <c r="A465" s="226" t="str">
        <f>'Orç - Prédio'!A180</f>
        <v>04.01.601.03</v>
      </c>
      <c r="B465" s="748" t="str">
        <f>'Orç - Prédio'!D180</f>
        <v>Contrapiso em argamassa traço 1:4 de cimento e areia, preparo mecânico com betoneira, aplicado em áreas molhadas sobre impermeabilização (proteção mecânica), espessura 3cm, armado com tela</v>
      </c>
      <c r="C465" s="748"/>
      <c r="D465" s="748"/>
      <c r="E465" s="748"/>
      <c r="F465" s="748"/>
      <c r="G465" s="748"/>
      <c r="H465" s="748"/>
      <c r="I465" s="748"/>
      <c r="J465" s="748"/>
      <c r="K465" s="227" t="str">
        <f>'Orç - Prédio'!F180</f>
        <v>m2</v>
      </c>
    </row>
    <row r="466" spans="1:13">
      <c r="A466" s="745"/>
      <c r="B466" s="745"/>
      <c r="C466" s="218"/>
      <c r="D466" s="218"/>
      <c r="E466" s="218"/>
      <c r="F466" s="218"/>
      <c r="G466" s="745" t="s">
        <v>7863</v>
      </c>
      <c r="H466" s="745"/>
      <c r="I466" s="745" t="s">
        <v>7864</v>
      </c>
      <c r="J466" s="745"/>
      <c r="K466" s="745"/>
      <c r="L466" s="177"/>
      <c r="M466" s="177"/>
    </row>
    <row r="467" spans="1:13" ht="22.5">
      <c r="A467" s="745" t="s">
        <v>7880</v>
      </c>
      <c r="B467" s="745"/>
      <c r="C467" s="745" t="s">
        <v>7865</v>
      </c>
      <c r="D467" s="745" t="s">
        <v>7866</v>
      </c>
      <c r="E467" s="745" t="s">
        <v>7867</v>
      </c>
      <c r="F467" s="745" t="s">
        <v>7868</v>
      </c>
      <c r="G467" s="238" t="s">
        <v>7869</v>
      </c>
      <c r="H467" s="238" t="s">
        <v>7870</v>
      </c>
      <c r="I467" s="238" t="s">
        <v>7871</v>
      </c>
      <c r="J467" s="238" t="s">
        <v>7869</v>
      </c>
      <c r="K467" s="238" t="s">
        <v>7870</v>
      </c>
      <c r="L467" s="177"/>
      <c r="M467" s="177"/>
    </row>
    <row r="468" spans="1:13">
      <c r="A468" s="745"/>
      <c r="B468" s="745"/>
      <c r="C468" s="745"/>
      <c r="D468" s="745"/>
      <c r="E468" s="745"/>
      <c r="F468" s="745"/>
      <c r="G468" s="238" t="s">
        <v>7872</v>
      </c>
      <c r="H468" s="238" t="s">
        <v>7873</v>
      </c>
      <c r="I468" s="238" t="s">
        <v>7874</v>
      </c>
      <c r="J468" s="238" t="s">
        <v>7872</v>
      </c>
      <c r="K468" s="238" t="s">
        <v>7873</v>
      </c>
      <c r="L468" s="177"/>
      <c r="M468" s="177"/>
    </row>
    <row r="469" spans="1:13">
      <c r="A469" s="238"/>
      <c r="B469" s="234" t="s">
        <v>7964</v>
      </c>
      <c r="C469" s="222">
        <v>1</v>
      </c>
      <c r="D469" s="222"/>
      <c r="E469" s="225"/>
      <c r="F469" s="231"/>
      <c r="G469" s="239">
        <f>J463</f>
        <v>473.02</v>
      </c>
      <c r="H469" s="220"/>
      <c r="I469" s="220"/>
      <c r="J469" s="220">
        <f>G469*C469</f>
        <v>473.02</v>
      </c>
      <c r="K469" s="220">
        <f>C469*H469</f>
        <v>0</v>
      </c>
      <c r="L469" s="279"/>
      <c r="M469" s="177"/>
    </row>
    <row r="470" spans="1:13">
      <c r="A470" s="228"/>
      <c r="B470" s="229"/>
      <c r="C470" s="229"/>
      <c r="D470" s="229"/>
      <c r="E470" s="229"/>
      <c r="F470" s="747" t="s">
        <v>7875</v>
      </c>
      <c r="G470" s="747"/>
      <c r="H470" s="747"/>
      <c r="I470" s="230">
        <f>ROUND(SUM(I469:I469),2)</f>
        <v>0</v>
      </c>
      <c r="J470" s="230">
        <f>ROUND(SUM(J469:J469),2)</f>
        <v>473.02</v>
      </c>
      <c r="K470" s="230">
        <f>ROUND(SUM(K469:K469),2)</f>
        <v>0</v>
      </c>
      <c r="L470" s="177"/>
      <c r="M470" s="177"/>
    </row>
    <row r="471" spans="1:13">
      <c r="A471" s="238"/>
      <c r="B471" s="746"/>
      <c r="C471" s="746"/>
      <c r="D471" s="746"/>
      <c r="E471" s="746"/>
      <c r="F471" s="746"/>
      <c r="G471" s="746"/>
      <c r="H471" s="746"/>
      <c r="I471" s="746"/>
      <c r="J471" s="746"/>
      <c r="K471" s="238"/>
      <c r="L471" s="177"/>
      <c r="M471" s="177"/>
    </row>
    <row r="472" spans="1:13" ht="27.75" customHeight="1">
      <c r="A472" s="226" t="str">
        <f>'Orç - Prédio'!A181</f>
        <v>04.01.602</v>
      </c>
      <c r="B472" s="748" t="str">
        <f>'Orç - Prédio'!D181</f>
        <v>Impermeabilização de superfície com cimento especial cristalizante com adesivo líquido, uma demão (paredes dos banheiros, até meia altura)</v>
      </c>
      <c r="C472" s="748"/>
      <c r="D472" s="748"/>
      <c r="E472" s="748"/>
      <c r="F472" s="748"/>
      <c r="G472" s="748"/>
      <c r="H472" s="748"/>
      <c r="I472" s="748"/>
      <c r="J472" s="748"/>
      <c r="K472" s="227" t="str">
        <f>'Orç - Prédio'!F181</f>
        <v>m2</v>
      </c>
    </row>
    <row r="473" spans="1:13">
      <c r="A473" s="745"/>
      <c r="B473" s="745"/>
      <c r="C473" s="218"/>
      <c r="D473" s="218"/>
      <c r="E473" s="218"/>
      <c r="F473" s="218"/>
      <c r="G473" s="745" t="s">
        <v>7863</v>
      </c>
      <c r="H473" s="745"/>
      <c r="I473" s="745" t="s">
        <v>7864</v>
      </c>
      <c r="J473" s="745"/>
      <c r="K473" s="745"/>
      <c r="L473" s="177"/>
      <c r="M473" s="177"/>
    </row>
    <row r="474" spans="1:13" ht="22.5">
      <c r="A474" s="745" t="s">
        <v>7880</v>
      </c>
      <c r="B474" s="745"/>
      <c r="C474" s="745" t="s">
        <v>7865</v>
      </c>
      <c r="D474" s="745" t="s">
        <v>7866</v>
      </c>
      <c r="E474" s="745" t="s">
        <v>7867</v>
      </c>
      <c r="F474" s="745" t="s">
        <v>7868</v>
      </c>
      <c r="G474" s="238" t="s">
        <v>7869</v>
      </c>
      <c r="H474" s="238" t="s">
        <v>7870</v>
      </c>
      <c r="I474" s="238" t="s">
        <v>7871</v>
      </c>
      <c r="J474" s="238" t="s">
        <v>7869</v>
      </c>
      <c r="K474" s="238" t="s">
        <v>7870</v>
      </c>
      <c r="L474" s="177"/>
      <c r="M474" s="177"/>
    </row>
    <row r="475" spans="1:13">
      <c r="A475" s="745"/>
      <c r="B475" s="745"/>
      <c r="C475" s="745"/>
      <c r="D475" s="745"/>
      <c r="E475" s="745"/>
      <c r="F475" s="745"/>
      <c r="G475" s="238" t="s">
        <v>7872</v>
      </c>
      <c r="H475" s="238" t="s">
        <v>7873</v>
      </c>
      <c r="I475" s="238" t="s">
        <v>7874</v>
      </c>
      <c r="J475" s="238" t="s">
        <v>7872</v>
      </c>
      <c r="K475" s="238" t="s">
        <v>7873</v>
      </c>
      <c r="L475" s="177"/>
      <c r="M475" s="177"/>
    </row>
    <row r="476" spans="1:13" ht="22.5">
      <c r="A476" s="238"/>
      <c r="B476" s="234" t="s">
        <v>8620</v>
      </c>
      <c r="C476" s="222">
        <v>0.5</v>
      </c>
      <c r="D476" s="222"/>
      <c r="E476" s="225"/>
      <c r="F476" s="231"/>
      <c r="G476" s="239">
        <f>SUM(J412:J415)</f>
        <v>331.09999999999997</v>
      </c>
      <c r="H476" s="220"/>
      <c r="I476" s="220"/>
      <c r="J476" s="220">
        <f>G476*C476</f>
        <v>165.54999999999998</v>
      </c>
      <c r="K476" s="220">
        <f>C476*H476</f>
        <v>0</v>
      </c>
      <c r="L476" s="279"/>
      <c r="M476" s="177"/>
    </row>
    <row r="477" spans="1:13">
      <c r="A477" s="228"/>
      <c r="B477" s="229"/>
      <c r="C477" s="229"/>
      <c r="D477" s="229"/>
      <c r="E477" s="229"/>
      <c r="F477" s="747" t="s">
        <v>7875</v>
      </c>
      <c r="G477" s="747"/>
      <c r="H477" s="747"/>
      <c r="I477" s="230">
        <f>ROUND(SUM(I476:I476),2)</f>
        <v>0</v>
      </c>
      <c r="J477" s="230">
        <f>ROUND(SUM(J476:J476),2)</f>
        <v>165.55</v>
      </c>
      <c r="K477" s="230">
        <f>ROUND(SUM(K476:K476),2)</f>
        <v>0</v>
      </c>
      <c r="L477" s="177"/>
      <c r="M477" s="177"/>
    </row>
    <row r="478" spans="1:13">
      <c r="A478" s="238"/>
      <c r="B478" s="746"/>
      <c r="C478" s="746"/>
      <c r="D478" s="746"/>
      <c r="E478" s="746"/>
      <c r="F478" s="746"/>
      <c r="G478" s="746"/>
      <c r="H478" s="746"/>
      <c r="I478" s="746"/>
      <c r="J478" s="746"/>
      <c r="K478" s="238"/>
      <c r="L478" s="177"/>
      <c r="M478" s="177"/>
    </row>
    <row r="479" spans="1:13" ht="22.5">
      <c r="A479" s="226" t="str">
        <f>'Orç - Prédio'!A182</f>
        <v>04.01.604.01</v>
      </c>
      <c r="B479" s="748" t="str">
        <f>'Orç - Prédio'!D182</f>
        <v>Impermeabilização com cristalizante (A+B) tipo Viaplus 5000, com quatro demãos cruzadas, aplicação de tela de poliéster (malha 1x1) na segunda demão (casas de máquinas)</v>
      </c>
      <c r="C479" s="748"/>
      <c r="D479" s="748"/>
      <c r="E479" s="748"/>
      <c r="F479" s="748"/>
      <c r="G479" s="748"/>
      <c r="H479" s="748"/>
      <c r="I479" s="748"/>
      <c r="J479" s="748"/>
      <c r="K479" s="227" t="str">
        <f>'Orç - Prédio'!F182</f>
        <v>m2</v>
      </c>
    </row>
    <row r="480" spans="1:13">
      <c r="A480" s="745"/>
      <c r="B480" s="745"/>
      <c r="C480" s="218"/>
      <c r="D480" s="218"/>
      <c r="E480" s="218"/>
      <c r="F480" s="218"/>
      <c r="G480" s="745" t="s">
        <v>7863</v>
      </c>
      <c r="H480" s="745"/>
      <c r="I480" s="745" t="s">
        <v>7864</v>
      </c>
      <c r="J480" s="745"/>
      <c r="K480" s="745"/>
      <c r="L480" s="177"/>
      <c r="M480" s="177"/>
    </row>
    <row r="481" spans="1:13" ht="22.5">
      <c r="A481" s="745" t="s">
        <v>7880</v>
      </c>
      <c r="B481" s="745"/>
      <c r="C481" s="745" t="s">
        <v>7865</v>
      </c>
      <c r="D481" s="745" t="s">
        <v>7866</v>
      </c>
      <c r="E481" s="745" t="s">
        <v>7867</v>
      </c>
      <c r="F481" s="745" t="s">
        <v>7868</v>
      </c>
      <c r="G481" s="241" t="s">
        <v>7869</v>
      </c>
      <c r="H481" s="241" t="s">
        <v>7870</v>
      </c>
      <c r="I481" s="241" t="s">
        <v>7871</v>
      </c>
      <c r="J481" s="241" t="s">
        <v>7869</v>
      </c>
      <c r="K481" s="241" t="s">
        <v>7870</v>
      </c>
      <c r="L481" s="177"/>
      <c r="M481" s="177"/>
    </row>
    <row r="482" spans="1:13">
      <c r="A482" s="745"/>
      <c r="B482" s="745"/>
      <c r="C482" s="745"/>
      <c r="D482" s="745"/>
      <c r="E482" s="745"/>
      <c r="F482" s="745"/>
      <c r="G482" s="241" t="s">
        <v>7872</v>
      </c>
      <c r="H482" s="241" t="s">
        <v>7873</v>
      </c>
      <c r="I482" s="241" t="s">
        <v>7874</v>
      </c>
      <c r="J482" s="241" t="s">
        <v>7872</v>
      </c>
      <c r="K482" s="241" t="s">
        <v>7873</v>
      </c>
      <c r="L482" s="177"/>
      <c r="M482" s="177"/>
    </row>
    <row r="483" spans="1:13">
      <c r="A483" s="241"/>
      <c r="B483" s="234" t="s">
        <v>8622</v>
      </c>
      <c r="C483" s="222">
        <v>1</v>
      </c>
      <c r="D483" s="222"/>
      <c r="E483" s="225"/>
      <c r="F483" s="231"/>
      <c r="G483" s="239">
        <v>5.41</v>
      </c>
      <c r="H483" s="220"/>
      <c r="I483" s="220"/>
      <c r="J483" s="220">
        <f>G483*C483</f>
        <v>5.41</v>
      </c>
      <c r="K483" s="220">
        <f>C483*H483</f>
        <v>0</v>
      </c>
      <c r="L483" s="279"/>
      <c r="M483" s="177"/>
    </row>
    <row r="484" spans="1:13">
      <c r="A484" s="317"/>
      <c r="B484" s="234" t="s">
        <v>8623</v>
      </c>
      <c r="C484" s="222">
        <v>1</v>
      </c>
      <c r="D484" s="222"/>
      <c r="E484" s="225"/>
      <c r="F484" s="231"/>
      <c r="G484" s="239">
        <v>7.16</v>
      </c>
      <c r="H484" s="220"/>
      <c r="I484" s="220"/>
      <c r="J484" s="220">
        <f>G484*C484</f>
        <v>7.16</v>
      </c>
      <c r="K484" s="220">
        <f>C484*H484</f>
        <v>0</v>
      </c>
      <c r="L484" s="279"/>
      <c r="M484" s="177"/>
    </row>
    <row r="485" spans="1:13">
      <c r="A485" s="241"/>
      <c r="B485" s="234" t="s">
        <v>8624</v>
      </c>
      <c r="C485" s="222">
        <v>1</v>
      </c>
      <c r="D485" s="222"/>
      <c r="E485" s="225"/>
      <c r="F485" s="231"/>
      <c r="G485" s="239">
        <v>5.97</v>
      </c>
      <c r="H485" s="220"/>
      <c r="I485" s="220"/>
      <c r="J485" s="220">
        <f>G485*C485</f>
        <v>5.97</v>
      </c>
      <c r="K485" s="220">
        <f>C485*H485</f>
        <v>0</v>
      </c>
      <c r="L485" s="279"/>
      <c r="M485" s="177"/>
    </row>
    <row r="486" spans="1:13">
      <c r="A486" s="241"/>
      <c r="B486" s="234" t="s">
        <v>8625</v>
      </c>
      <c r="C486" s="222">
        <v>1</v>
      </c>
      <c r="D486" s="222"/>
      <c r="E486" s="225"/>
      <c r="F486" s="231"/>
      <c r="G486" s="239">
        <v>5.42</v>
      </c>
      <c r="H486" s="220"/>
      <c r="I486" s="220"/>
      <c r="J486" s="220">
        <f>G486*C486</f>
        <v>5.42</v>
      </c>
      <c r="K486" s="220">
        <f>C486*H486</f>
        <v>0</v>
      </c>
      <c r="L486" s="279"/>
      <c r="M486" s="177"/>
    </row>
    <row r="487" spans="1:13">
      <c r="A487" s="228"/>
      <c r="B487" s="229"/>
      <c r="C487" s="229"/>
      <c r="D487" s="229"/>
      <c r="E487" s="229"/>
      <c r="F487" s="747" t="s">
        <v>7875</v>
      </c>
      <c r="G487" s="747"/>
      <c r="H487" s="747"/>
      <c r="I487" s="230">
        <f>ROUND(SUM(I483:I486),2)</f>
        <v>0</v>
      </c>
      <c r="J487" s="230">
        <f>ROUND(SUM(J483:J486),2)</f>
        <v>23.96</v>
      </c>
      <c r="K487" s="230">
        <f>ROUND(SUM(K483:K486),2)</f>
        <v>0</v>
      </c>
      <c r="L487" s="177"/>
      <c r="M487" s="177"/>
    </row>
    <row r="488" spans="1:13">
      <c r="A488" s="241"/>
      <c r="B488" s="746"/>
      <c r="C488" s="746"/>
      <c r="D488" s="746"/>
      <c r="E488" s="746"/>
      <c r="F488" s="746"/>
      <c r="G488" s="746"/>
      <c r="H488" s="746"/>
      <c r="I488" s="746"/>
      <c r="J488" s="746"/>
      <c r="K488" s="241"/>
      <c r="L488" s="177"/>
      <c r="M488" s="177"/>
    </row>
    <row r="489" spans="1:13" ht="22.5">
      <c r="A489" s="226" t="str">
        <f>'Orç - Prédio'!A183</f>
        <v>04.01.604.02</v>
      </c>
      <c r="B489" s="748" t="str">
        <f>'Orç - Prédio'!D183</f>
        <v>Impermeabilização de superfície com argamassa polimérica semi-flexível (na superfície do piso dos boxes dos chuveiros)</v>
      </c>
      <c r="C489" s="748"/>
      <c r="D489" s="748"/>
      <c r="E489" s="748"/>
      <c r="F489" s="748"/>
      <c r="G489" s="748"/>
      <c r="H489" s="748"/>
      <c r="I489" s="748"/>
      <c r="J489" s="748"/>
      <c r="K489" s="227" t="str">
        <f>'Orç - Prédio'!F183</f>
        <v>m2</v>
      </c>
    </row>
    <row r="490" spans="1:13">
      <c r="A490" s="745"/>
      <c r="B490" s="745"/>
      <c r="C490" s="218"/>
      <c r="D490" s="218"/>
      <c r="E490" s="218"/>
      <c r="F490" s="218"/>
      <c r="G490" s="745" t="s">
        <v>7863</v>
      </c>
      <c r="H490" s="745"/>
      <c r="I490" s="745" t="s">
        <v>7864</v>
      </c>
      <c r="J490" s="745"/>
      <c r="K490" s="745"/>
      <c r="L490" s="177"/>
      <c r="M490" s="177"/>
    </row>
    <row r="491" spans="1:13" ht="22.5">
      <c r="A491" s="745" t="s">
        <v>7880</v>
      </c>
      <c r="B491" s="745"/>
      <c r="C491" s="745" t="s">
        <v>7865</v>
      </c>
      <c r="D491" s="745" t="s">
        <v>7866</v>
      </c>
      <c r="E491" s="745" t="s">
        <v>7867</v>
      </c>
      <c r="F491" s="745" t="s">
        <v>7868</v>
      </c>
      <c r="G491" s="317" t="s">
        <v>7869</v>
      </c>
      <c r="H491" s="317" t="s">
        <v>7870</v>
      </c>
      <c r="I491" s="317" t="s">
        <v>7871</v>
      </c>
      <c r="J491" s="317" t="s">
        <v>7869</v>
      </c>
      <c r="K491" s="317" t="s">
        <v>7870</v>
      </c>
      <c r="L491" s="177"/>
      <c r="M491" s="177"/>
    </row>
    <row r="492" spans="1:13">
      <c r="A492" s="745"/>
      <c r="B492" s="745"/>
      <c r="C492" s="745"/>
      <c r="D492" s="745"/>
      <c r="E492" s="745"/>
      <c r="F492" s="745"/>
      <c r="G492" s="317" t="s">
        <v>7872</v>
      </c>
      <c r="H492" s="317" t="s">
        <v>7873</v>
      </c>
      <c r="I492" s="317" t="s">
        <v>7874</v>
      </c>
      <c r="J492" s="317" t="s">
        <v>7872</v>
      </c>
      <c r="K492" s="317" t="s">
        <v>7873</v>
      </c>
      <c r="L492" s="177"/>
      <c r="M492" s="177"/>
    </row>
    <row r="493" spans="1:13" ht="22.5">
      <c r="A493" s="317"/>
      <c r="B493" s="234" t="s">
        <v>8147</v>
      </c>
      <c r="C493" s="222">
        <v>2</v>
      </c>
      <c r="D493" s="222"/>
      <c r="E493" s="225"/>
      <c r="F493" s="231"/>
      <c r="G493" s="239">
        <v>1.95</v>
      </c>
      <c r="H493" s="220"/>
      <c r="I493" s="220"/>
      <c r="J493" s="220">
        <f>G493*C493</f>
        <v>3.9</v>
      </c>
      <c r="K493" s="220">
        <f>C493*H493</f>
        <v>0</v>
      </c>
      <c r="L493" s="279"/>
      <c r="M493" s="177"/>
    </row>
    <row r="494" spans="1:13" ht="22.5">
      <c r="A494" s="317"/>
      <c r="B494" s="234" t="s">
        <v>8146</v>
      </c>
      <c r="C494" s="222">
        <v>2</v>
      </c>
      <c r="D494" s="222"/>
      <c r="E494" s="225"/>
      <c r="F494" s="231"/>
      <c r="G494" s="239">
        <v>1.95</v>
      </c>
      <c r="H494" s="220"/>
      <c r="I494" s="220"/>
      <c r="J494" s="220">
        <f>G494*C494</f>
        <v>3.9</v>
      </c>
      <c r="K494" s="220">
        <f>C494*H494</f>
        <v>0</v>
      </c>
      <c r="L494" s="279"/>
      <c r="M494" s="177"/>
    </row>
    <row r="495" spans="1:13" ht="22.5">
      <c r="A495" s="317"/>
      <c r="B495" s="234" t="s">
        <v>8148</v>
      </c>
      <c r="C495" s="222">
        <v>2</v>
      </c>
      <c r="D495" s="222"/>
      <c r="E495" s="225"/>
      <c r="F495" s="231"/>
      <c r="G495" s="239">
        <v>0</v>
      </c>
      <c r="H495" s="220"/>
      <c r="I495" s="220"/>
      <c r="J495" s="220">
        <f>G495*C495</f>
        <v>0</v>
      </c>
      <c r="K495" s="220">
        <f>C495*H495</f>
        <v>0</v>
      </c>
      <c r="L495" s="279"/>
      <c r="M495" s="177"/>
    </row>
    <row r="496" spans="1:13" ht="22.5">
      <c r="A496" s="317"/>
      <c r="B496" s="234" t="s">
        <v>8149</v>
      </c>
      <c r="C496" s="222">
        <v>2</v>
      </c>
      <c r="D496" s="222"/>
      <c r="E496" s="225"/>
      <c r="F496" s="231"/>
      <c r="G496" s="239">
        <v>0</v>
      </c>
      <c r="H496" s="220"/>
      <c r="I496" s="220"/>
      <c r="J496" s="220">
        <f>G496*C496</f>
        <v>0</v>
      </c>
      <c r="K496" s="220">
        <f>C496*H496</f>
        <v>0</v>
      </c>
      <c r="L496" s="279"/>
      <c r="M496" s="177"/>
    </row>
    <row r="497" spans="1:13">
      <c r="A497" s="228"/>
      <c r="B497" s="229"/>
      <c r="C497" s="229"/>
      <c r="D497" s="229"/>
      <c r="E497" s="229"/>
      <c r="F497" s="747" t="s">
        <v>7875</v>
      </c>
      <c r="G497" s="747"/>
      <c r="H497" s="747"/>
      <c r="I497" s="230">
        <f>ROUND(SUM(I493:I496),2)</f>
        <v>0</v>
      </c>
      <c r="J497" s="230">
        <f>ROUND(SUM(J493:J496),2)</f>
        <v>7.8</v>
      </c>
      <c r="K497" s="230">
        <f>ROUND(SUM(K493:K496),2)</f>
        <v>0</v>
      </c>
      <c r="L497" s="177"/>
      <c r="M497" s="177"/>
    </row>
    <row r="498" spans="1:13">
      <c r="A498" s="317"/>
      <c r="B498" s="746"/>
      <c r="C498" s="746"/>
      <c r="D498" s="746"/>
      <c r="E498" s="746"/>
      <c r="F498" s="746"/>
      <c r="G498" s="746"/>
      <c r="H498" s="746"/>
      <c r="I498" s="746"/>
      <c r="J498" s="746"/>
      <c r="K498" s="317"/>
      <c r="L498" s="177"/>
      <c r="M498" s="177"/>
    </row>
    <row r="499" spans="1:13">
      <c r="A499" s="226" t="str">
        <f>'Orç - Prédio'!A184</f>
        <v>04.01.609</v>
      </c>
      <c r="B499" s="748" t="str">
        <f>'Orç - Prédio'!D184</f>
        <v>Pintura impermeabilizante para pedras (para pisos, divisórias, bancadas e soleiras de granito)</v>
      </c>
      <c r="C499" s="748"/>
      <c r="D499" s="748"/>
      <c r="E499" s="748"/>
      <c r="F499" s="748"/>
      <c r="G499" s="748"/>
      <c r="H499" s="748"/>
      <c r="I499" s="748"/>
      <c r="J499" s="748"/>
      <c r="K499" s="227" t="str">
        <f>'Orç - Prédio'!F184</f>
        <v>m2</v>
      </c>
    </row>
    <row r="500" spans="1:13">
      <c r="A500" s="745"/>
      <c r="B500" s="745"/>
      <c r="C500" s="218"/>
      <c r="D500" s="218"/>
      <c r="E500" s="218"/>
      <c r="F500" s="218"/>
      <c r="G500" s="745"/>
      <c r="H500" s="745"/>
      <c r="I500" s="745" t="s">
        <v>7864</v>
      </c>
      <c r="J500" s="745"/>
      <c r="K500" s="745"/>
      <c r="L500" s="177"/>
      <c r="M500" s="177"/>
    </row>
    <row r="501" spans="1:13" ht="22.5">
      <c r="A501" s="745" t="s">
        <v>7880</v>
      </c>
      <c r="B501" s="745"/>
      <c r="C501" s="745" t="s">
        <v>8631</v>
      </c>
      <c r="D501" s="745" t="s">
        <v>7868</v>
      </c>
      <c r="E501" s="745" t="s">
        <v>7867</v>
      </c>
      <c r="F501" s="745" t="s">
        <v>8635</v>
      </c>
      <c r="G501" s="745" t="s">
        <v>7869</v>
      </c>
      <c r="H501" s="317"/>
      <c r="I501" s="317" t="s">
        <v>7871</v>
      </c>
      <c r="J501" s="317" t="s">
        <v>7869</v>
      </c>
      <c r="K501" s="317" t="s">
        <v>7870</v>
      </c>
      <c r="L501" s="177"/>
      <c r="M501" s="177"/>
    </row>
    <row r="502" spans="1:13">
      <c r="A502" s="745"/>
      <c r="B502" s="745"/>
      <c r="C502" s="745"/>
      <c r="D502" s="745"/>
      <c r="E502" s="745"/>
      <c r="F502" s="745"/>
      <c r="G502" s="745"/>
      <c r="H502" s="317"/>
      <c r="I502" s="317" t="s">
        <v>7874</v>
      </c>
      <c r="J502" s="317" t="s">
        <v>7872</v>
      </c>
      <c r="K502" s="317" t="s">
        <v>7873</v>
      </c>
      <c r="L502" s="177"/>
      <c r="M502" s="177"/>
    </row>
    <row r="503" spans="1:13">
      <c r="A503" s="317"/>
      <c r="B503" s="234" t="s">
        <v>8630</v>
      </c>
      <c r="C503" s="222">
        <v>2</v>
      </c>
      <c r="D503" s="222"/>
      <c r="E503" s="225"/>
      <c r="F503" s="231"/>
      <c r="G503" s="239">
        <f>J256</f>
        <v>61.15</v>
      </c>
      <c r="H503" s="220"/>
      <c r="I503" s="220"/>
      <c r="J503" s="220">
        <f>G503*C503</f>
        <v>122.3</v>
      </c>
      <c r="K503" s="220">
        <f t="shared" ref="K503:K508" si="32">C503*H503</f>
        <v>0</v>
      </c>
      <c r="L503" s="279"/>
      <c r="M503" s="177"/>
    </row>
    <row r="504" spans="1:13">
      <c r="A504" s="317"/>
      <c r="B504" s="234" t="s">
        <v>8637</v>
      </c>
      <c r="C504" s="222">
        <v>1</v>
      </c>
      <c r="D504" s="222"/>
      <c r="E504" s="225"/>
      <c r="F504" s="231"/>
      <c r="G504" s="239">
        <f>J347</f>
        <v>26.84</v>
      </c>
      <c r="H504" s="220"/>
      <c r="I504" s="220"/>
      <c r="J504" s="220">
        <f>G504*C504</f>
        <v>26.84</v>
      </c>
      <c r="K504" s="220">
        <f t="shared" si="32"/>
        <v>0</v>
      </c>
      <c r="L504" s="279"/>
      <c r="M504" s="177"/>
    </row>
    <row r="505" spans="1:13">
      <c r="A505" s="317"/>
      <c r="B505" s="234" t="s">
        <v>6974</v>
      </c>
      <c r="C505" s="222">
        <v>1</v>
      </c>
      <c r="D505" s="222"/>
      <c r="E505" s="225"/>
      <c r="F505" s="231"/>
      <c r="G505" s="239">
        <f>J635</f>
        <v>233.88</v>
      </c>
      <c r="H505" s="220"/>
      <c r="I505" s="220"/>
      <c r="J505" s="220">
        <f>G505*C505</f>
        <v>233.88</v>
      </c>
      <c r="K505" s="220">
        <f t="shared" si="32"/>
        <v>0</v>
      </c>
      <c r="L505" s="279"/>
      <c r="M505" s="177"/>
    </row>
    <row r="506" spans="1:13">
      <c r="A506" s="317"/>
      <c r="B506" s="234" t="s">
        <v>8633</v>
      </c>
      <c r="C506" s="222">
        <v>1</v>
      </c>
      <c r="D506" s="222">
        <v>0.1</v>
      </c>
      <c r="E506" s="225"/>
      <c r="F506" s="231">
        <f>I666</f>
        <v>122.77</v>
      </c>
      <c r="G506" s="239"/>
      <c r="H506" s="220"/>
      <c r="I506" s="220"/>
      <c r="J506" s="220">
        <f>F506*D506*C506</f>
        <v>12.277000000000001</v>
      </c>
      <c r="K506" s="220">
        <f t="shared" si="32"/>
        <v>0</v>
      </c>
      <c r="L506" s="279"/>
      <c r="M506" s="177"/>
    </row>
    <row r="507" spans="1:13">
      <c r="A507" s="317"/>
      <c r="B507" s="234" t="s">
        <v>8632</v>
      </c>
      <c r="C507" s="222">
        <v>1</v>
      </c>
      <c r="D507" s="222"/>
      <c r="E507" s="225">
        <v>0.15</v>
      </c>
      <c r="F507" s="231">
        <f>I531</f>
        <v>9.8000000000000007</v>
      </c>
      <c r="G507" s="239"/>
      <c r="H507" s="220"/>
      <c r="I507" s="220"/>
      <c r="J507" s="220">
        <f>F507*E507*C507</f>
        <v>1.47</v>
      </c>
      <c r="K507" s="220">
        <f t="shared" si="32"/>
        <v>0</v>
      </c>
      <c r="L507" s="279"/>
      <c r="M507" s="177"/>
    </row>
    <row r="508" spans="1:13">
      <c r="A508" s="317"/>
      <c r="B508" s="234" t="s">
        <v>8634</v>
      </c>
      <c r="C508" s="222">
        <v>2</v>
      </c>
      <c r="D508" s="222"/>
      <c r="E508" s="225"/>
      <c r="F508" s="231"/>
      <c r="G508" s="239">
        <f>J674</f>
        <v>3.81</v>
      </c>
      <c r="H508" s="220"/>
      <c r="I508" s="220"/>
      <c r="J508" s="220">
        <f>G508*C508</f>
        <v>7.62</v>
      </c>
      <c r="K508" s="220">
        <f t="shared" si="32"/>
        <v>0</v>
      </c>
      <c r="L508" s="279"/>
      <c r="M508" s="177"/>
    </row>
    <row r="509" spans="1:13">
      <c r="A509" s="228"/>
      <c r="B509" s="229"/>
      <c r="C509" s="229"/>
      <c r="D509" s="229"/>
      <c r="E509" s="229"/>
      <c r="F509" s="747" t="s">
        <v>7875</v>
      </c>
      <c r="G509" s="747"/>
      <c r="H509" s="747"/>
      <c r="I509" s="230">
        <f>ROUND(SUM(I503:I508),2)</f>
        <v>0</v>
      </c>
      <c r="J509" s="230">
        <f>ROUND(SUM(J503:J508),2)</f>
        <v>404.39</v>
      </c>
      <c r="K509" s="230">
        <f>ROUND(SUM(K503:K508),2)</f>
        <v>0</v>
      </c>
      <c r="L509" s="177"/>
      <c r="M509" s="177"/>
    </row>
    <row r="510" spans="1:13">
      <c r="A510" s="317"/>
      <c r="B510" s="746"/>
      <c r="C510" s="746"/>
      <c r="D510" s="746"/>
      <c r="E510" s="746"/>
      <c r="F510" s="746"/>
      <c r="G510" s="746"/>
      <c r="H510" s="746"/>
      <c r="I510" s="746"/>
      <c r="J510" s="746"/>
      <c r="K510" s="317"/>
      <c r="L510" s="177"/>
      <c r="M510" s="177"/>
    </row>
    <row r="511" spans="1:13" ht="22.5">
      <c r="A511" s="226" t="str">
        <f>'Orç - Prédio'!A186</f>
        <v>04.01.701.01</v>
      </c>
      <c r="B511" s="748" t="str">
        <f>'Orç - Prédio'!D186</f>
        <v>Rodapé em granito, altura 10 cm</v>
      </c>
      <c r="C511" s="748"/>
      <c r="D511" s="748"/>
      <c r="E511" s="748"/>
      <c r="F511" s="748"/>
      <c r="G511" s="748"/>
      <c r="H511" s="748"/>
      <c r="I511" s="748"/>
      <c r="J511" s="748"/>
      <c r="K511" s="227" t="str">
        <f>'Orç - Prédio'!F186</f>
        <v>m</v>
      </c>
    </row>
    <row r="512" spans="1:13">
      <c r="A512" s="745"/>
      <c r="B512" s="745"/>
      <c r="C512" s="218"/>
      <c r="D512" s="218"/>
      <c r="E512" s="218"/>
      <c r="F512" s="218"/>
      <c r="G512" s="745" t="s">
        <v>7863</v>
      </c>
      <c r="H512" s="745"/>
      <c r="I512" s="745" t="s">
        <v>7864</v>
      </c>
      <c r="J512" s="745"/>
      <c r="K512" s="745"/>
      <c r="L512" s="177"/>
      <c r="M512" s="177"/>
    </row>
    <row r="513" spans="1:13" ht="22.5">
      <c r="A513" s="745" t="s">
        <v>7880</v>
      </c>
      <c r="B513" s="745"/>
      <c r="C513" s="745" t="s">
        <v>7865</v>
      </c>
      <c r="D513" s="745" t="s">
        <v>7866</v>
      </c>
      <c r="E513" s="745" t="s">
        <v>7867</v>
      </c>
      <c r="F513" s="745" t="s">
        <v>7868</v>
      </c>
      <c r="G513" s="241" t="s">
        <v>7869</v>
      </c>
      <c r="H513" s="241" t="s">
        <v>7870</v>
      </c>
      <c r="I513" s="241" t="s">
        <v>7871</v>
      </c>
      <c r="J513" s="241" t="s">
        <v>7869</v>
      </c>
      <c r="K513" s="241" t="s">
        <v>7870</v>
      </c>
      <c r="L513" s="177"/>
      <c r="M513" s="177"/>
    </row>
    <row r="514" spans="1:13">
      <c r="A514" s="745"/>
      <c r="B514" s="745"/>
      <c r="C514" s="745"/>
      <c r="D514" s="745"/>
      <c r="E514" s="745"/>
      <c r="F514" s="745"/>
      <c r="G514" s="241" t="s">
        <v>7872</v>
      </c>
      <c r="H514" s="241" t="s">
        <v>7873</v>
      </c>
      <c r="I514" s="241" t="s">
        <v>7874</v>
      </c>
      <c r="J514" s="241" t="s">
        <v>7872</v>
      </c>
      <c r="K514" s="241" t="s">
        <v>7873</v>
      </c>
      <c r="L514" s="177"/>
      <c r="M514" s="177"/>
    </row>
    <row r="515" spans="1:13" ht="22.5">
      <c r="A515" s="241"/>
      <c r="B515" s="234" t="s">
        <v>6981</v>
      </c>
      <c r="C515" s="222">
        <v>1</v>
      </c>
      <c r="D515" s="222">
        <f>2*(10.9+10.9+19.2+19.2)+9.71+8.4+11.3+11.3</f>
        <v>161.11000000000004</v>
      </c>
      <c r="E515" s="225"/>
      <c r="F515" s="231"/>
      <c r="G515" s="239"/>
      <c r="H515" s="220"/>
      <c r="I515" s="220">
        <f>D515</f>
        <v>161.11000000000004</v>
      </c>
      <c r="J515" s="220">
        <f>G515*C515</f>
        <v>0</v>
      </c>
      <c r="K515" s="220">
        <f>C515*H515</f>
        <v>0</v>
      </c>
      <c r="L515" s="279"/>
      <c r="M515" s="177"/>
    </row>
    <row r="516" spans="1:13">
      <c r="A516" s="228"/>
      <c r="B516" s="229"/>
      <c r="C516" s="229"/>
      <c r="D516" s="229"/>
      <c r="E516" s="229"/>
      <c r="F516" s="747" t="s">
        <v>7875</v>
      </c>
      <c r="G516" s="747"/>
      <c r="H516" s="747"/>
      <c r="I516" s="230">
        <f>ROUND(SUM(I515:I515),2)</f>
        <v>161.11000000000001</v>
      </c>
      <c r="J516" s="230">
        <f>ROUND(SUM(J515:J515),2)</f>
        <v>0</v>
      </c>
      <c r="K516" s="230">
        <f>ROUND(SUM(K515:K515),2)</f>
        <v>0</v>
      </c>
      <c r="L516" s="177"/>
      <c r="M516" s="177"/>
    </row>
    <row r="517" spans="1:13">
      <c r="A517" s="241"/>
      <c r="B517" s="746"/>
      <c r="C517" s="746"/>
      <c r="D517" s="746"/>
      <c r="E517" s="746"/>
      <c r="F517" s="746"/>
      <c r="G517" s="746"/>
      <c r="H517" s="746"/>
      <c r="I517" s="746"/>
      <c r="J517" s="746"/>
      <c r="K517" s="241"/>
      <c r="L517" s="177"/>
      <c r="M517" s="177"/>
    </row>
    <row r="518" spans="1:13" ht="22.5">
      <c r="A518" s="226" t="str">
        <f>'Orç - Prédio'!A187</f>
        <v>04.01.701.02</v>
      </c>
      <c r="B518" s="748" t="str">
        <f>'Orç - Prédio'!D187</f>
        <v>Rodapé em granitina, altura 10 cm</v>
      </c>
      <c r="C518" s="748"/>
      <c r="D518" s="748"/>
      <c r="E518" s="748"/>
      <c r="F518" s="748"/>
      <c r="G518" s="748"/>
      <c r="H518" s="748"/>
      <c r="I518" s="748"/>
      <c r="J518" s="748"/>
      <c r="K518" s="227" t="str">
        <f>'Orç - Prédio'!F187</f>
        <v>m</v>
      </c>
    </row>
    <row r="519" spans="1:13">
      <c r="A519" s="745"/>
      <c r="B519" s="745"/>
      <c r="C519" s="218"/>
      <c r="D519" s="218"/>
      <c r="E519" s="218"/>
      <c r="F519" s="218"/>
      <c r="G519" s="745" t="s">
        <v>7863</v>
      </c>
      <c r="H519" s="745"/>
      <c r="I519" s="745" t="s">
        <v>7864</v>
      </c>
      <c r="J519" s="745"/>
      <c r="K519" s="745"/>
      <c r="L519" s="177"/>
      <c r="M519" s="177"/>
    </row>
    <row r="520" spans="1:13" ht="22.5">
      <c r="A520" s="745" t="s">
        <v>7880</v>
      </c>
      <c r="B520" s="745"/>
      <c r="C520" s="745" t="s">
        <v>7865</v>
      </c>
      <c r="D520" s="745" t="s">
        <v>7866</v>
      </c>
      <c r="E520" s="745" t="s">
        <v>7867</v>
      </c>
      <c r="F520" s="745" t="s">
        <v>7868</v>
      </c>
      <c r="G520" s="241" t="s">
        <v>7869</v>
      </c>
      <c r="H520" s="241" t="s">
        <v>7870</v>
      </c>
      <c r="I520" s="241" t="s">
        <v>7871</v>
      </c>
      <c r="J520" s="241" t="s">
        <v>7869</v>
      </c>
      <c r="K520" s="241" t="s">
        <v>7870</v>
      </c>
      <c r="L520" s="177"/>
      <c r="M520" s="177"/>
    </row>
    <row r="521" spans="1:13">
      <c r="A521" s="745"/>
      <c r="B521" s="745"/>
      <c r="C521" s="745"/>
      <c r="D521" s="745"/>
      <c r="E521" s="745"/>
      <c r="F521" s="745"/>
      <c r="G521" s="241" t="s">
        <v>7872</v>
      </c>
      <c r="H521" s="241" t="s">
        <v>7873</v>
      </c>
      <c r="I521" s="241" t="s">
        <v>7874</v>
      </c>
      <c r="J521" s="241" t="s">
        <v>7872</v>
      </c>
      <c r="K521" s="241" t="s">
        <v>7873</v>
      </c>
      <c r="L521" s="177"/>
      <c r="M521" s="177"/>
    </row>
    <row r="522" spans="1:13">
      <c r="A522" s="241"/>
      <c r="B522" s="234" t="s">
        <v>6915</v>
      </c>
      <c r="C522" s="222">
        <v>1</v>
      </c>
      <c r="D522" s="222">
        <v>506.25</v>
      </c>
      <c r="E522" s="225"/>
      <c r="F522" s="231"/>
      <c r="G522" s="239"/>
      <c r="H522" s="220"/>
      <c r="I522" s="220">
        <f>D522</f>
        <v>506.25</v>
      </c>
      <c r="J522" s="220">
        <f>G522*C522</f>
        <v>0</v>
      </c>
      <c r="K522" s="220">
        <f>C522*H522</f>
        <v>0</v>
      </c>
      <c r="L522" s="279"/>
      <c r="M522" s="177"/>
    </row>
    <row r="523" spans="1:13">
      <c r="A523" s="241"/>
      <c r="B523" s="234" t="s">
        <v>6916</v>
      </c>
      <c r="C523" s="222">
        <v>1</v>
      </c>
      <c r="D523" s="222">
        <v>381.3</v>
      </c>
      <c r="E523" s="225"/>
      <c r="F523" s="231"/>
      <c r="G523" s="239"/>
      <c r="H523" s="220"/>
      <c r="I523" s="220">
        <f>D523</f>
        <v>381.3</v>
      </c>
      <c r="J523" s="220">
        <f>G523*C523</f>
        <v>0</v>
      </c>
      <c r="K523" s="220">
        <f>C523*H523</f>
        <v>0</v>
      </c>
      <c r="L523" s="279"/>
      <c r="M523" s="177"/>
    </row>
    <row r="524" spans="1:13">
      <c r="A524" s="228"/>
      <c r="B524" s="229"/>
      <c r="C524" s="229"/>
      <c r="D524" s="229"/>
      <c r="E524" s="229"/>
      <c r="F524" s="747" t="s">
        <v>7875</v>
      </c>
      <c r="G524" s="747"/>
      <c r="H524" s="747"/>
      <c r="I524" s="230">
        <f>ROUND(SUM(I522:I523),2)</f>
        <v>887.55</v>
      </c>
      <c r="J524" s="230">
        <f>ROUND(SUM(J523:J523),2)</f>
        <v>0</v>
      </c>
      <c r="K524" s="230">
        <f>ROUND(SUM(K523:K523),2)</f>
        <v>0</v>
      </c>
      <c r="L524" s="177"/>
      <c r="M524" s="177"/>
    </row>
    <row r="525" spans="1:13">
      <c r="A525" s="241"/>
      <c r="B525" s="746"/>
      <c r="C525" s="746"/>
      <c r="D525" s="746"/>
      <c r="E525" s="746"/>
      <c r="F525" s="746"/>
      <c r="G525" s="746"/>
      <c r="H525" s="746"/>
      <c r="I525" s="746"/>
      <c r="J525" s="746"/>
      <c r="K525" s="241"/>
      <c r="L525" s="177"/>
      <c r="M525" s="177"/>
    </row>
    <row r="526" spans="1:13">
      <c r="A526" s="226" t="str">
        <f>'Orç - Prédio'!A188</f>
        <v>04.01.702</v>
      </c>
      <c r="B526" s="748" t="str">
        <f>'Orç - Prédio'!D188</f>
        <v>Soleira de granito, largura 15cm, espessura 3cm, assentada sobre argamassa traço 1:4 (cimento e areia)</v>
      </c>
      <c r="C526" s="748"/>
      <c r="D526" s="748"/>
      <c r="E526" s="748"/>
      <c r="F526" s="748"/>
      <c r="G526" s="748"/>
      <c r="H526" s="748"/>
      <c r="I526" s="748"/>
      <c r="J526" s="748"/>
      <c r="K526" s="227" t="str">
        <f>'Orç - Prédio'!F188</f>
        <v>m</v>
      </c>
    </row>
    <row r="527" spans="1:13">
      <c r="A527" s="745"/>
      <c r="B527" s="745"/>
      <c r="C527" s="218"/>
      <c r="D527" s="218"/>
      <c r="E527" s="218"/>
      <c r="F527" s="218"/>
      <c r="G527" s="745" t="s">
        <v>7863</v>
      </c>
      <c r="H527" s="745"/>
      <c r="I527" s="745" t="s">
        <v>7864</v>
      </c>
      <c r="J527" s="745"/>
      <c r="K527" s="745"/>
      <c r="L527" s="177"/>
      <c r="M527" s="177"/>
    </row>
    <row r="528" spans="1:13" ht="22.5">
      <c r="A528" s="745" t="s">
        <v>7880</v>
      </c>
      <c r="B528" s="745"/>
      <c r="C528" s="745" t="s">
        <v>7865</v>
      </c>
      <c r="D528" s="745" t="s">
        <v>7866</v>
      </c>
      <c r="E528" s="745" t="s">
        <v>7867</v>
      </c>
      <c r="F528" s="745" t="s">
        <v>7868</v>
      </c>
      <c r="G528" s="241" t="s">
        <v>7869</v>
      </c>
      <c r="H528" s="241" t="s">
        <v>7870</v>
      </c>
      <c r="I528" s="241" t="s">
        <v>7871</v>
      </c>
      <c r="J528" s="241" t="s">
        <v>7869</v>
      </c>
      <c r="K528" s="241" t="s">
        <v>7870</v>
      </c>
      <c r="L528" s="177"/>
      <c r="M528" s="177"/>
    </row>
    <row r="529" spans="1:13">
      <c r="A529" s="745"/>
      <c r="B529" s="745"/>
      <c r="C529" s="745"/>
      <c r="D529" s="745"/>
      <c r="E529" s="745"/>
      <c r="F529" s="745"/>
      <c r="G529" s="241" t="s">
        <v>7872</v>
      </c>
      <c r="H529" s="241" t="s">
        <v>7873</v>
      </c>
      <c r="I529" s="241" t="s">
        <v>7874</v>
      </c>
      <c r="J529" s="241" t="s">
        <v>7872</v>
      </c>
      <c r="K529" s="241" t="s">
        <v>7873</v>
      </c>
      <c r="L529" s="177"/>
      <c r="M529" s="177"/>
    </row>
    <row r="530" spans="1:13" ht="22.5">
      <c r="A530" s="241"/>
      <c r="B530" s="234" t="s">
        <v>6914</v>
      </c>
      <c r="C530" s="222">
        <v>10</v>
      </c>
      <c r="D530" s="222">
        <v>0.98</v>
      </c>
      <c r="E530" s="225"/>
      <c r="F530" s="231"/>
      <c r="G530" s="239"/>
      <c r="H530" s="220"/>
      <c r="I530" s="220">
        <f>D530*C530</f>
        <v>9.8000000000000007</v>
      </c>
      <c r="J530" s="220">
        <f>G530*C530</f>
        <v>0</v>
      </c>
      <c r="K530" s="220">
        <f>C530*H530</f>
        <v>0</v>
      </c>
      <c r="L530" s="279"/>
      <c r="M530" s="177"/>
    </row>
    <row r="531" spans="1:13">
      <c r="A531" s="228"/>
      <c r="B531" s="229"/>
      <c r="C531" s="229"/>
      <c r="D531" s="229"/>
      <c r="E531" s="229"/>
      <c r="F531" s="747" t="s">
        <v>7875</v>
      </c>
      <c r="G531" s="747"/>
      <c r="H531" s="747"/>
      <c r="I531" s="230">
        <f>ROUND(SUM(I530:I530),2)</f>
        <v>9.8000000000000007</v>
      </c>
      <c r="J531" s="230">
        <f>ROUND(SUM(J530:J530),2)</f>
        <v>0</v>
      </c>
      <c r="K531" s="230">
        <f>ROUND(SUM(K530:K530),2)</f>
        <v>0</v>
      </c>
      <c r="L531" s="177"/>
      <c r="M531" s="177"/>
    </row>
    <row r="532" spans="1:13">
      <c r="A532" s="241"/>
      <c r="B532" s="746"/>
      <c r="C532" s="746"/>
      <c r="D532" s="746"/>
      <c r="E532" s="746"/>
      <c r="F532" s="746"/>
      <c r="G532" s="746"/>
      <c r="H532" s="746"/>
      <c r="I532" s="746"/>
      <c r="J532" s="746"/>
      <c r="K532" s="241"/>
      <c r="L532" s="177"/>
      <c r="M532" s="177"/>
    </row>
    <row r="533" spans="1:13">
      <c r="A533" s="226" t="str">
        <f>'Orç - Prédio'!A189</f>
        <v>04.01.703</v>
      </c>
      <c r="B533" s="748" t="str">
        <f>'Orç - Prédio'!D189</f>
        <v>Peitoril em peças de concreto pré-fabricadas, espessura 50mm</v>
      </c>
      <c r="C533" s="748"/>
      <c r="D533" s="748"/>
      <c r="E533" s="748"/>
      <c r="F533" s="748"/>
      <c r="G533" s="748"/>
      <c r="H533" s="748"/>
      <c r="I533" s="748"/>
      <c r="J533" s="748"/>
      <c r="K533" s="227" t="str">
        <f>'Orç - Prédio'!F189</f>
        <v>m</v>
      </c>
    </row>
    <row r="534" spans="1:13">
      <c r="A534" s="745"/>
      <c r="B534" s="745"/>
      <c r="C534" s="218"/>
      <c r="D534" s="218"/>
      <c r="E534" s="218"/>
      <c r="F534" s="218"/>
      <c r="G534" s="745" t="s">
        <v>7863</v>
      </c>
      <c r="H534" s="745"/>
      <c r="I534" s="745" t="s">
        <v>7864</v>
      </c>
      <c r="J534" s="745"/>
      <c r="K534" s="745"/>
      <c r="L534" s="177"/>
      <c r="M534" s="177"/>
    </row>
    <row r="535" spans="1:13" ht="22.5">
      <c r="A535" s="745" t="s">
        <v>7880</v>
      </c>
      <c r="B535" s="745"/>
      <c r="C535" s="745" t="s">
        <v>7865</v>
      </c>
      <c r="D535" s="745" t="s">
        <v>7866</v>
      </c>
      <c r="E535" s="745" t="s">
        <v>7867</v>
      </c>
      <c r="F535" s="745" t="s">
        <v>7868</v>
      </c>
      <c r="G535" s="241" t="s">
        <v>7869</v>
      </c>
      <c r="H535" s="241" t="s">
        <v>7870</v>
      </c>
      <c r="I535" s="241" t="s">
        <v>7871</v>
      </c>
      <c r="J535" s="241" t="s">
        <v>7869</v>
      </c>
      <c r="K535" s="241" t="s">
        <v>7870</v>
      </c>
      <c r="L535" s="279"/>
      <c r="M535" s="177"/>
    </row>
    <row r="536" spans="1:13">
      <c r="A536" s="745"/>
      <c r="B536" s="745"/>
      <c r="C536" s="745"/>
      <c r="D536" s="745"/>
      <c r="E536" s="745"/>
      <c r="F536" s="745"/>
      <c r="G536" s="241" t="s">
        <v>7872</v>
      </c>
      <c r="H536" s="241" t="s">
        <v>7873</v>
      </c>
      <c r="I536" s="241" t="s">
        <v>7874</v>
      </c>
      <c r="J536" s="241" t="s">
        <v>7872</v>
      </c>
      <c r="K536" s="241" t="s">
        <v>7873</v>
      </c>
      <c r="L536" s="279"/>
      <c r="M536" s="177"/>
    </row>
    <row r="537" spans="1:13">
      <c r="A537" s="241"/>
      <c r="B537" s="234" t="s">
        <v>6881</v>
      </c>
      <c r="C537" s="222">
        <v>8</v>
      </c>
      <c r="D537" s="222">
        <v>7.32</v>
      </c>
      <c r="E537" s="225"/>
      <c r="F537" s="231"/>
      <c r="G537" s="239"/>
      <c r="H537" s="220"/>
      <c r="I537" s="220">
        <f t="shared" ref="I537:I544" si="33">D537*C537</f>
        <v>58.56</v>
      </c>
      <c r="J537" s="220">
        <f t="shared" ref="J537:J544" si="34">G537*C537</f>
        <v>0</v>
      </c>
      <c r="K537" s="220">
        <f t="shared" ref="K537:K544" si="35">C537*H537</f>
        <v>0</v>
      </c>
      <c r="L537" s="279"/>
      <c r="M537" s="177"/>
    </row>
    <row r="538" spans="1:13">
      <c r="A538" s="241"/>
      <c r="B538" s="234" t="s">
        <v>6882</v>
      </c>
      <c r="C538" s="222">
        <v>8</v>
      </c>
      <c r="D538" s="222">
        <v>7.32</v>
      </c>
      <c r="E538" s="225"/>
      <c r="F538" s="231"/>
      <c r="G538" s="239"/>
      <c r="H538" s="220"/>
      <c r="I538" s="220">
        <f t="shared" si="33"/>
        <v>58.56</v>
      </c>
      <c r="J538" s="220">
        <f t="shared" si="34"/>
        <v>0</v>
      </c>
      <c r="K538" s="220">
        <f t="shared" si="35"/>
        <v>0</v>
      </c>
      <c r="L538" s="279"/>
      <c r="M538" s="177"/>
    </row>
    <row r="539" spans="1:13">
      <c r="A539" s="241"/>
      <c r="B539" s="234" t="s">
        <v>6883</v>
      </c>
      <c r="C539" s="222">
        <v>6</v>
      </c>
      <c r="D539" s="222">
        <v>7.54</v>
      </c>
      <c r="E539" s="225"/>
      <c r="F539" s="231"/>
      <c r="G539" s="239"/>
      <c r="H539" s="220"/>
      <c r="I539" s="220">
        <f t="shared" si="33"/>
        <v>45.24</v>
      </c>
      <c r="J539" s="220">
        <f t="shared" si="34"/>
        <v>0</v>
      </c>
      <c r="K539" s="220">
        <f t="shared" si="35"/>
        <v>0</v>
      </c>
      <c r="L539" s="279"/>
      <c r="M539" s="177"/>
    </row>
    <row r="540" spans="1:13">
      <c r="A540" s="241"/>
      <c r="B540" s="234" t="s">
        <v>6884</v>
      </c>
      <c r="C540" s="222">
        <v>2</v>
      </c>
      <c r="D540" s="222">
        <v>6.9</v>
      </c>
      <c r="E540" s="225"/>
      <c r="F540" s="231"/>
      <c r="G540" s="239"/>
      <c r="H540" s="220"/>
      <c r="I540" s="220">
        <f t="shared" si="33"/>
        <v>13.8</v>
      </c>
      <c r="J540" s="220">
        <f t="shared" si="34"/>
        <v>0</v>
      </c>
      <c r="K540" s="220">
        <f t="shared" si="35"/>
        <v>0</v>
      </c>
      <c r="L540" s="279"/>
      <c r="M540" s="177"/>
    </row>
    <row r="541" spans="1:13">
      <c r="A541" s="241"/>
      <c r="B541" s="234" t="s">
        <v>6917</v>
      </c>
      <c r="C541" s="222">
        <v>1</v>
      </c>
      <c r="D541" s="222">
        <v>3.5</v>
      </c>
      <c r="E541" s="225"/>
      <c r="F541" s="231"/>
      <c r="G541" s="239"/>
      <c r="H541" s="220"/>
      <c r="I541" s="220">
        <f t="shared" si="33"/>
        <v>3.5</v>
      </c>
      <c r="J541" s="220">
        <f t="shared" si="34"/>
        <v>0</v>
      </c>
      <c r="K541" s="220">
        <f t="shared" si="35"/>
        <v>0</v>
      </c>
      <c r="L541" s="279"/>
      <c r="M541" s="177"/>
    </row>
    <row r="542" spans="1:13">
      <c r="A542" s="241"/>
      <c r="B542" s="234" t="s">
        <v>6885</v>
      </c>
      <c r="C542" s="222">
        <v>3</v>
      </c>
      <c r="D542" s="222">
        <v>1.9</v>
      </c>
      <c r="E542" s="225"/>
      <c r="F542" s="231"/>
      <c r="G542" s="239"/>
      <c r="H542" s="220"/>
      <c r="I542" s="220">
        <f t="shared" si="33"/>
        <v>5.6999999999999993</v>
      </c>
      <c r="J542" s="220">
        <f t="shared" si="34"/>
        <v>0</v>
      </c>
      <c r="K542" s="220">
        <f t="shared" si="35"/>
        <v>0</v>
      </c>
      <c r="L542" s="279"/>
      <c r="M542" s="177"/>
    </row>
    <row r="543" spans="1:13">
      <c r="A543" s="241"/>
      <c r="B543" s="234" t="s">
        <v>6886</v>
      </c>
      <c r="C543" s="222">
        <v>2</v>
      </c>
      <c r="D543" s="222">
        <v>3.75</v>
      </c>
      <c r="E543" s="225"/>
      <c r="F543" s="231"/>
      <c r="G543" s="239"/>
      <c r="H543" s="220"/>
      <c r="I543" s="220">
        <f t="shared" si="33"/>
        <v>7.5</v>
      </c>
      <c r="J543" s="220">
        <f t="shared" si="34"/>
        <v>0</v>
      </c>
      <c r="K543" s="220">
        <f t="shared" si="35"/>
        <v>0</v>
      </c>
      <c r="L543" s="279"/>
      <c r="M543" s="177"/>
    </row>
    <row r="544" spans="1:13">
      <c r="A544" s="241"/>
      <c r="B544" s="234"/>
      <c r="C544" s="222"/>
      <c r="D544" s="222"/>
      <c r="E544" s="225"/>
      <c r="F544" s="231"/>
      <c r="G544" s="239"/>
      <c r="H544" s="220"/>
      <c r="I544" s="220">
        <f t="shared" si="33"/>
        <v>0</v>
      </c>
      <c r="J544" s="220">
        <f t="shared" si="34"/>
        <v>0</v>
      </c>
      <c r="K544" s="220">
        <f t="shared" si="35"/>
        <v>0</v>
      </c>
      <c r="L544" s="279"/>
      <c r="M544" s="177"/>
    </row>
    <row r="545" spans="1:13">
      <c r="A545" s="228"/>
      <c r="B545" s="229"/>
      <c r="C545" s="229"/>
      <c r="D545" s="229"/>
      <c r="E545" s="229"/>
      <c r="F545" s="747" t="s">
        <v>7875</v>
      </c>
      <c r="G545" s="747"/>
      <c r="H545" s="747"/>
      <c r="I545" s="230">
        <f>ROUND(SUM(I537:I544),2)</f>
        <v>192.86</v>
      </c>
      <c r="J545" s="230">
        <f>ROUND(SUM(J537:J544),2)</f>
        <v>0</v>
      </c>
      <c r="K545" s="230">
        <f>ROUND(SUM(K537:K544),2)</f>
        <v>0</v>
      </c>
      <c r="L545" s="279"/>
      <c r="M545" s="177"/>
    </row>
    <row r="546" spans="1:13">
      <c r="A546" s="241"/>
      <c r="B546" s="746"/>
      <c r="C546" s="746"/>
      <c r="D546" s="746"/>
      <c r="E546" s="746"/>
      <c r="F546" s="746"/>
      <c r="G546" s="746"/>
      <c r="H546" s="746"/>
      <c r="I546" s="746"/>
      <c r="J546" s="746"/>
      <c r="K546" s="241"/>
      <c r="L546" s="279"/>
      <c r="M546" s="177"/>
    </row>
    <row r="547" spans="1:13">
      <c r="A547" s="226" t="str">
        <f>'Orç - Prédio'!A190</f>
        <v>04.01.705</v>
      </c>
      <c r="B547" s="748" t="str">
        <f>'Orç - Prédio'!D190</f>
        <v>Cantoneira de alumínio 1"x1" para proteção de quinas de paredes dos banheiros</v>
      </c>
      <c r="C547" s="748"/>
      <c r="D547" s="748"/>
      <c r="E547" s="748"/>
      <c r="F547" s="748"/>
      <c r="G547" s="748"/>
      <c r="H547" s="748"/>
      <c r="I547" s="748"/>
      <c r="J547" s="748"/>
      <c r="K547" s="227" t="str">
        <f>'Orç - Prédio'!F190</f>
        <v>m</v>
      </c>
    </row>
    <row r="548" spans="1:13">
      <c r="A548" s="745"/>
      <c r="B548" s="745"/>
      <c r="C548" s="218"/>
      <c r="D548" s="218"/>
      <c r="E548" s="218"/>
      <c r="F548" s="218"/>
      <c r="G548" s="745"/>
      <c r="H548" s="745"/>
      <c r="I548" s="745" t="s">
        <v>7864</v>
      </c>
      <c r="J548" s="745"/>
      <c r="K548" s="745"/>
      <c r="L548" s="177"/>
      <c r="M548" s="177"/>
    </row>
    <row r="549" spans="1:13" ht="22.5">
      <c r="A549" s="745" t="s">
        <v>7880</v>
      </c>
      <c r="B549" s="745"/>
      <c r="C549" s="745" t="s">
        <v>7865</v>
      </c>
      <c r="D549" s="745"/>
      <c r="E549" s="745" t="s">
        <v>8629</v>
      </c>
      <c r="F549" s="745" t="s">
        <v>7868</v>
      </c>
      <c r="G549" s="317"/>
      <c r="H549" s="317"/>
      <c r="I549" s="317" t="s">
        <v>7871</v>
      </c>
      <c r="J549" s="317" t="s">
        <v>7869</v>
      </c>
      <c r="K549" s="317" t="s">
        <v>7870</v>
      </c>
      <c r="L549" s="177"/>
      <c r="M549" s="177"/>
    </row>
    <row r="550" spans="1:13">
      <c r="A550" s="745"/>
      <c r="B550" s="745"/>
      <c r="C550" s="745"/>
      <c r="D550" s="745"/>
      <c r="E550" s="745"/>
      <c r="F550" s="745"/>
      <c r="G550" s="317"/>
      <c r="H550" s="317"/>
      <c r="I550" s="317" t="s">
        <v>7874</v>
      </c>
      <c r="J550" s="317" t="s">
        <v>7872</v>
      </c>
      <c r="K550" s="317" t="s">
        <v>7873</v>
      </c>
      <c r="L550" s="177"/>
      <c r="M550" s="177"/>
    </row>
    <row r="551" spans="1:13" ht="22.5">
      <c r="A551" s="317"/>
      <c r="B551" s="234" t="s">
        <v>8147</v>
      </c>
      <c r="C551" s="222">
        <v>2</v>
      </c>
      <c r="D551" s="222"/>
      <c r="E551" s="225">
        <v>1</v>
      </c>
      <c r="F551" s="231">
        <v>2.75</v>
      </c>
      <c r="G551" s="239"/>
      <c r="H551" s="220"/>
      <c r="I551" s="220">
        <f>F551*E551*C551</f>
        <v>5.5</v>
      </c>
      <c r="J551" s="220">
        <f>G551*C551</f>
        <v>0</v>
      </c>
      <c r="K551" s="220">
        <f>C551*H551</f>
        <v>0</v>
      </c>
      <c r="L551" s="279"/>
      <c r="M551" s="177"/>
    </row>
    <row r="552" spans="1:13" ht="22.5">
      <c r="A552" s="317"/>
      <c r="B552" s="234" t="s">
        <v>8146</v>
      </c>
      <c r="C552" s="222">
        <v>2</v>
      </c>
      <c r="D552" s="222"/>
      <c r="E552" s="225">
        <v>1</v>
      </c>
      <c r="F552" s="231">
        <v>2.75</v>
      </c>
      <c r="G552" s="239"/>
      <c r="H552" s="220"/>
      <c r="I552" s="220">
        <f>F552*E552*C552</f>
        <v>5.5</v>
      </c>
      <c r="J552" s="220">
        <f>G552*C552</f>
        <v>0</v>
      </c>
      <c r="K552" s="220">
        <f>C552*H552</f>
        <v>0</v>
      </c>
      <c r="L552" s="279"/>
      <c r="M552" s="177"/>
    </row>
    <row r="553" spans="1:13" ht="22.5">
      <c r="A553" s="317"/>
      <c r="B553" s="234" t="s">
        <v>8148</v>
      </c>
      <c r="C553" s="222">
        <v>2</v>
      </c>
      <c r="D553" s="222"/>
      <c r="E553" s="225">
        <v>1</v>
      </c>
      <c r="F553" s="231">
        <v>2.75</v>
      </c>
      <c r="G553" s="239"/>
      <c r="H553" s="220"/>
      <c r="I553" s="220">
        <f>F553*E553*C553</f>
        <v>5.5</v>
      </c>
      <c r="J553" s="220">
        <f>G553*C553</f>
        <v>0</v>
      </c>
      <c r="K553" s="220">
        <f>C553*H553</f>
        <v>0</v>
      </c>
      <c r="L553" s="279"/>
      <c r="M553" s="177"/>
    </row>
    <row r="554" spans="1:13" ht="22.5">
      <c r="A554" s="317"/>
      <c r="B554" s="234" t="s">
        <v>8149</v>
      </c>
      <c r="C554" s="222">
        <v>2</v>
      </c>
      <c r="D554" s="222"/>
      <c r="E554" s="225">
        <v>1</v>
      </c>
      <c r="F554" s="231">
        <v>2.75</v>
      </c>
      <c r="G554" s="239"/>
      <c r="H554" s="220"/>
      <c r="I554" s="220">
        <f>F554*E554*C554</f>
        <v>5.5</v>
      </c>
      <c r="J554" s="220">
        <f>G554*C554</f>
        <v>0</v>
      </c>
      <c r="K554" s="220">
        <f>C554*H554</f>
        <v>0</v>
      </c>
      <c r="L554" s="279"/>
      <c r="M554" s="177"/>
    </row>
    <row r="555" spans="1:13">
      <c r="A555" s="228"/>
      <c r="B555" s="229"/>
      <c r="C555" s="229"/>
      <c r="D555" s="229"/>
      <c r="E555" s="229"/>
      <c r="F555" s="747" t="s">
        <v>7875</v>
      </c>
      <c r="G555" s="747"/>
      <c r="H555" s="747"/>
      <c r="I555" s="230">
        <f>ROUND(SUM(I551:I554),2)</f>
        <v>22</v>
      </c>
      <c r="J555" s="230">
        <f>ROUND(SUM(J551:J554),2)</f>
        <v>0</v>
      </c>
      <c r="K555" s="230">
        <f>ROUND(SUM(K551:K554),2)</f>
        <v>0</v>
      </c>
      <c r="L555" s="177"/>
      <c r="M555" s="177"/>
    </row>
    <row r="556" spans="1:13">
      <c r="A556" s="317"/>
      <c r="B556" s="746"/>
      <c r="C556" s="746"/>
      <c r="D556" s="746"/>
      <c r="E556" s="746"/>
      <c r="F556" s="746"/>
      <c r="G556" s="746"/>
      <c r="H556" s="746"/>
      <c r="I556" s="746"/>
      <c r="J556" s="746"/>
      <c r="K556" s="317"/>
      <c r="L556" s="177"/>
      <c r="M556" s="177"/>
    </row>
    <row r="557" spans="1:13" ht="22.5">
      <c r="A557" s="226" t="str">
        <f>'Orç - Prédio'!A192</f>
        <v>04.01.801.01</v>
      </c>
      <c r="B557" s="748" t="str">
        <f>'Orç - Prédio'!D192</f>
        <v>Guarda-corpo de montantes em chapa metálica, com acabamento em pintura esmalte branco brilhante e VEDAÇÃO EM VIDRO, com corrimãos nas alturas de 92 e 70cm EM UMA FACE, exclusive vidros (escadas internas e pavimento superior)</v>
      </c>
      <c r="C557" s="748"/>
      <c r="D557" s="748"/>
      <c r="E557" s="748"/>
      <c r="F557" s="748"/>
      <c r="G557" s="748"/>
      <c r="H557" s="748"/>
      <c r="I557" s="748"/>
      <c r="J557" s="748"/>
      <c r="K557" s="227" t="str">
        <f>'Orç - Prédio'!F192</f>
        <v>m</v>
      </c>
    </row>
    <row r="558" spans="1:13">
      <c r="A558" s="745"/>
      <c r="B558" s="745"/>
      <c r="C558" s="218"/>
      <c r="D558" s="218"/>
      <c r="E558" s="218"/>
      <c r="F558" s="218"/>
      <c r="G558" s="745" t="s">
        <v>7863</v>
      </c>
      <c r="H558" s="745"/>
      <c r="I558" s="745" t="s">
        <v>7864</v>
      </c>
      <c r="J558" s="745"/>
      <c r="K558" s="745"/>
      <c r="L558" s="177"/>
      <c r="M558" s="177"/>
    </row>
    <row r="559" spans="1:13" ht="22.5">
      <c r="A559" s="745" t="s">
        <v>7880</v>
      </c>
      <c r="B559" s="745"/>
      <c r="C559" s="745" t="s">
        <v>7865</v>
      </c>
      <c r="D559" s="745" t="s">
        <v>7866</v>
      </c>
      <c r="E559" s="745" t="s">
        <v>7867</v>
      </c>
      <c r="F559" s="745" t="s">
        <v>7868</v>
      </c>
      <c r="G559" s="241" t="s">
        <v>7869</v>
      </c>
      <c r="H559" s="241" t="s">
        <v>7870</v>
      </c>
      <c r="I559" s="241" t="s">
        <v>7871</v>
      </c>
      <c r="J559" s="241" t="s">
        <v>7869</v>
      </c>
      <c r="K559" s="241" t="s">
        <v>7870</v>
      </c>
      <c r="L559" s="279"/>
      <c r="M559" s="177"/>
    </row>
    <row r="560" spans="1:13">
      <c r="A560" s="745"/>
      <c r="B560" s="745"/>
      <c r="C560" s="745"/>
      <c r="D560" s="745"/>
      <c r="E560" s="745"/>
      <c r="F560" s="745"/>
      <c r="G560" s="241" t="s">
        <v>7872</v>
      </c>
      <c r="H560" s="241" t="s">
        <v>7873</v>
      </c>
      <c r="I560" s="241" t="s">
        <v>7874</v>
      </c>
      <c r="J560" s="241" t="s">
        <v>7872</v>
      </c>
      <c r="K560" s="241" t="s">
        <v>7873</v>
      </c>
      <c r="L560" s="279"/>
      <c r="M560" s="177"/>
    </row>
    <row r="561" spans="1:13">
      <c r="A561" s="241"/>
      <c r="B561" s="234" t="s">
        <v>6956</v>
      </c>
      <c r="C561" s="222">
        <v>2</v>
      </c>
      <c r="D561" s="222">
        <v>3.48</v>
      </c>
      <c r="E561" s="225"/>
      <c r="F561" s="231"/>
      <c r="G561" s="239"/>
      <c r="H561" s="220"/>
      <c r="I561" s="220">
        <f t="shared" ref="I561:I569" si="36">D561*C561</f>
        <v>6.96</v>
      </c>
      <c r="J561" s="220">
        <f t="shared" ref="J561:J569" si="37">G561*C561</f>
        <v>0</v>
      </c>
      <c r="K561" s="220">
        <f t="shared" ref="K561:K569" si="38">C561*H561</f>
        <v>0</v>
      </c>
      <c r="L561" s="279"/>
      <c r="M561" s="177"/>
    </row>
    <row r="562" spans="1:13">
      <c r="A562" s="241"/>
      <c r="B562" s="234" t="s">
        <v>6957</v>
      </c>
      <c r="C562" s="222">
        <v>2</v>
      </c>
      <c r="D562" s="222">
        <v>4.63</v>
      </c>
      <c r="E562" s="225"/>
      <c r="F562" s="231"/>
      <c r="G562" s="239"/>
      <c r="H562" s="220"/>
      <c r="I562" s="220">
        <f t="shared" si="36"/>
        <v>9.26</v>
      </c>
      <c r="J562" s="220">
        <f t="shared" si="37"/>
        <v>0</v>
      </c>
      <c r="K562" s="220">
        <f t="shared" si="38"/>
        <v>0</v>
      </c>
      <c r="L562" s="279"/>
      <c r="M562" s="177"/>
    </row>
    <row r="563" spans="1:13">
      <c r="A563" s="241"/>
      <c r="B563" s="234" t="s">
        <v>6958</v>
      </c>
      <c r="C563" s="222">
        <v>2</v>
      </c>
      <c r="D563" s="222">
        <v>3.11</v>
      </c>
      <c r="E563" s="225"/>
      <c r="F563" s="231"/>
      <c r="G563" s="239"/>
      <c r="H563" s="220"/>
      <c r="I563" s="220">
        <f t="shared" si="36"/>
        <v>6.22</v>
      </c>
      <c r="J563" s="220">
        <f t="shared" si="37"/>
        <v>0</v>
      </c>
      <c r="K563" s="220">
        <f t="shared" si="38"/>
        <v>0</v>
      </c>
      <c r="L563" s="279"/>
      <c r="M563" s="177"/>
    </row>
    <row r="564" spans="1:13">
      <c r="A564" s="241"/>
      <c r="B564" s="234" t="s">
        <v>6959</v>
      </c>
      <c r="C564" s="222">
        <v>2</v>
      </c>
      <c r="D564" s="222">
        <v>5.56</v>
      </c>
      <c r="E564" s="225"/>
      <c r="F564" s="231"/>
      <c r="G564" s="239"/>
      <c r="H564" s="220"/>
      <c r="I564" s="220">
        <f t="shared" si="36"/>
        <v>11.12</v>
      </c>
      <c r="J564" s="220">
        <f t="shared" si="37"/>
        <v>0</v>
      </c>
      <c r="K564" s="220">
        <f t="shared" si="38"/>
        <v>0</v>
      </c>
      <c r="L564" s="279"/>
      <c r="M564" s="177"/>
    </row>
    <row r="565" spans="1:13">
      <c r="A565" s="241"/>
      <c r="B565" s="234" t="s">
        <v>6960</v>
      </c>
      <c r="C565" s="222">
        <v>2</v>
      </c>
      <c r="D565" s="222">
        <v>3.35</v>
      </c>
      <c r="E565" s="225"/>
      <c r="F565" s="231"/>
      <c r="G565" s="239"/>
      <c r="H565" s="220"/>
      <c r="I565" s="220">
        <f t="shared" si="36"/>
        <v>6.7</v>
      </c>
      <c r="J565" s="220">
        <f t="shared" si="37"/>
        <v>0</v>
      </c>
      <c r="K565" s="220">
        <f t="shared" si="38"/>
        <v>0</v>
      </c>
      <c r="L565" s="279"/>
      <c r="M565" s="177"/>
    </row>
    <row r="566" spans="1:13">
      <c r="A566" s="241"/>
      <c r="B566" s="234" t="s">
        <v>6961</v>
      </c>
      <c r="C566" s="222">
        <v>1</v>
      </c>
      <c r="D566" s="222">
        <v>7.4</v>
      </c>
      <c r="E566" s="225"/>
      <c r="F566" s="231"/>
      <c r="G566" s="239"/>
      <c r="H566" s="220"/>
      <c r="I566" s="220">
        <f t="shared" si="36"/>
        <v>7.4</v>
      </c>
      <c r="J566" s="220">
        <f t="shared" si="37"/>
        <v>0</v>
      </c>
      <c r="K566" s="220">
        <f t="shared" si="38"/>
        <v>0</v>
      </c>
      <c r="L566" s="279"/>
      <c r="M566" s="177"/>
    </row>
    <row r="567" spans="1:13">
      <c r="A567" s="241"/>
      <c r="B567" s="234" t="s">
        <v>6962</v>
      </c>
      <c r="C567" s="222">
        <v>1</v>
      </c>
      <c r="D567" s="222">
        <v>7</v>
      </c>
      <c r="E567" s="225"/>
      <c r="F567" s="231"/>
      <c r="G567" s="239"/>
      <c r="H567" s="220"/>
      <c r="I567" s="220">
        <f t="shared" si="36"/>
        <v>7</v>
      </c>
      <c r="J567" s="220">
        <f t="shared" si="37"/>
        <v>0</v>
      </c>
      <c r="K567" s="220">
        <f t="shared" si="38"/>
        <v>0</v>
      </c>
      <c r="L567" s="279"/>
      <c r="M567" s="177"/>
    </row>
    <row r="568" spans="1:13">
      <c r="A568" s="241"/>
      <c r="B568" s="234" t="s">
        <v>6963</v>
      </c>
      <c r="C568" s="222">
        <v>1</v>
      </c>
      <c r="D568" s="222">
        <v>4.42</v>
      </c>
      <c r="E568" s="225"/>
      <c r="F568" s="231"/>
      <c r="G568" s="239"/>
      <c r="H568" s="220"/>
      <c r="I568" s="220">
        <f t="shared" si="36"/>
        <v>4.42</v>
      </c>
      <c r="J568" s="220">
        <f t="shared" si="37"/>
        <v>0</v>
      </c>
      <c r="K568" s="220">
        <f t="shared" si="38"/>
        <v>0</v>
      </c>
      <c r="L568" s="279"/>
      <c r="M568" s="177"/>
    </row>
    <row r="569" spans="1:13">
      <c r="A569" s="241"/>
      <c r="B569" s="234" t="s">
        <v>6964</v>
      </c>
      <c r="C569" s="222">
        <v>1</v>
      </c>
      <c r="D569" s="222">
        <v>1.5</v>
      </c>
      <c r="E569" s="225"/>
      <c r="F569" s="231"/>
      <c r="G569" s="239"/>
      <c r="H569" s="220"/>
      <c r="I569" s="220">
        <f t="shared" si="36"/>
        <v>1.5</v>
      </c>
      <c r="J569" s="220">
        <f t="shared" si="37"/>
        <v>0</v>
      </c>
      <c r="K569" s="220">
        <f t="shared" si="38"/>
        <v>0</v>
      </c>
      <c r="L569" s="279"/>
      <c r="M569" s="177"/>
    </row>
    <row r="570" spans="1:13">
      <c r="A570" s="228"/>
      <c r="B570" s="229"/>
      <c r="C570" s="229"/>
      <c r="D570" s="229"/>
      <c r="E570" s="229"/>
      <c r="F570" s="747" t="s">
        <v>7875</v>
      </c>
      <c r="G570" s="747"/>
      <c r="H570" s="747"/>
      <c r="I570" s="230">
        <f>ROUND(SUM(I561:I569),2)</f>
        <v>60.58</v>
      </c>
      <c r="J570" s="230">
        <f>ROUND(SUM(J561:J569),2)</f>
        <v>0</v>
      </c>
      <c r="K570" s="230">
        <f>ROUND(SUM(K561:K569),2)</f>
        <v>0</v>
      </c>
      <c r="L570" s="279"/>
      <c r="M570" s="177"/>
    </row>
    <row r="571" spans="1:13">
      <c r="A571" s="241"/>
      <c r="B571" s="746"/>
      <c r="C571" s="746"/>
      <c r="D571" s="746"/>
      <c r="E571" s="746"/>
      <c r="F571" s="746"/>
      <c r="G571" s="746"/>
      <c r="H571" s="746"/>
      <c r="I571" s="746"/>
      <c r="J571" s="746"/>
      <c r="K571" s="241"/>
      <c r="L571" s="279"/>
      <c r="M571" s="177"/>
    </row>
    <row r="572" spans="1:13" ht="22.5">
      <c r="A572" s="226" t="str">
        <f>'Orç - Prédio'!A193</f>
        <v>04.01.801.02</v>
      </c>
      <c r="B572" s="748" t="str">
        <f>'Orç - Prédio'!D193</f>
        <v>Guarda-corpo de montantes em chapa metálica, com acabamento em pintura esmalte branco brilhante e VEDAÇÃO EM TELA METÁLICA, sem corrimãos</v>
      </c>
      <c r="C572" s="748"/>
      <c r="D572" s="748"/>
      <c r="E572" s="748"/>
      <c r="F572" s="748"/>
      <c r="G572" s="748"/>
      <c r="H572" s="748"/>
      <c r="I572" s="748"/>
      <c r="J572" s="748"/>
      <c r="K572" s="227" t="str">
        <f>'Orç - Prédio'!F192</f>
        <v>m</v>
      </c>
    </row>
    <row r="573" spans="1:13">
      <c r="A573" s="745"/>
      <c r="B573" s="745"/>
      <c r="C573" s="218"/>
      <c r="D573" s="218"/>
      <c r="E573" s="218"/>
      <c r="F573" s="218"/>
      <c r="G573" s="745" t="s">
        <v>7863</v>
      </c>
      <c r="H573" s="745"/>
      <c r="I573" s="745" t="s">
        <v>7864</v>
      </c>
      <c r="J573" s="745"/>
      <c r="K573" s="745"/>
      <c r="L573" s="177"/>
      <c r="M573" s="177"/>
    </row>
    <row r="574" spans="1:13" ht="22.5">
      <c r="A574" s="745" t="s">
        <v>7880</v>
      </c>
      <c r="B574" s="745"/>
      <c r="C574" s="745" t="s">
        <v>7865</v>
      </c>
      <c r="D574" s="745" t="s">
        <v>7866</v>
      </c>
      <c r="E574" s="745" t="s">
        <v>7867</v>
      </c>
      <c r="F574" s="745" t="s">
        <v>7868</v>
      </c>
      <c r="G574" s="241" t="s">
        <v>7869</v>
      </c>
      <c r="H574" s="241" t="s">
        <v>7870</v>
      </c>
      <c r="I574" s="241" t="s">
        <v>7871</v>
      </c>
      <c r="J574" s="241" t="s">
        <v>7869</v>
      </c>
      <c r="K574" s="241" t="s">
        <v>7870</v>
      </c>
      <c r="L574" s="279"/>
      <c r="M574" s="177"/>
    </row>
    <row r="575" spans="1:13">
      <c r="A575" s="745"/>
      <c r="B575" s="745"/>
      <c r="C575" s="745"/>
      <c r="D575" s="745"/>
      <c r="E575" s="745"/>
      <c r="F575" s="745"/>
      <c r="G575" s="241" t="s">
        <v>7872</v>
      </c>
      <c r="H575" s="241" t="s">
        <v>7873</v>
      </c>
      <c r="I575" s="241" t="s">
        <v>7874</v>
      </c>
      <c r="J575" s="241" t="s">
        <v>7872</v>
      </c>
      <c r="K575" s="241" t="s">
        <v>7873</v>
      </c>
      <c r="L575" s="279"/>
      <c r="M575" s="177"/>
    </row>
    <row r="576" spans="1:13">
      <c r="A576" s="241"/>
      <c r="B576" s="234" t="s">
        <v>6965</v>
      </c>
      <c r="C576" s="222">
        <v>1</v>
      </c>
      <c r="D576" s="222">
        <v>3.54</v>
      </c>
      <c r="E576" s="225"/>
      <c r="F576" s="231"/>
      <c r="G576" s="239"/>
      <c r="H576" s="220"/>
      <c r="I576" s="220">
        <f>D576*C576</f>
        <v>3.54</v>
      </c>
      <c r="J576" s="220">
        <f>G576*C576</f>
        <v>0</v>
      </c>
      <c r="K576" s="220">
        <f>C576*H576</f>
        <v>0</v>
      </c>
      <c r="L576" s="279"/>
      <c r="M576" s="177"/>
    </row>
    <row r="577" spans="1:13">
      <c r="A577" s="241"/>
      <c r="B577" s="234" t="s">
        <v>6966</v>
      </c>
      <c r="C577" s="222">
        <v>1</v>
      </c>
      <c r="D577" s="222">
        <v>7.5</v>
      </c>
      <c r="E577" s="225"/>
      <c r="F577" s="231"/>
      <c r="G577" s="239"/>
      <c r="H577" s="220"/>
      <c r="I577" s="220">
        <f>D577*C577</f>
        <v>7.5</v>
      </c>
      <c r="J577" s="220">
        <f>G577*C577</f>
        <v>0</v>
      </c>
      <c r="K577" s="220">
        <f>C577*H577</f>
        <v>0</v>
      </c>
      <c r="L577" s="279"/>
      <c r="M577" s="177"/>
    </row>
    <row r="578" spans="1:13">
      <c r="A578" s="228"/>
      <c r="B578" s="229"/>
      <c r="C578" s="229"/>
      <c r="D578" s="229"/>
      <c r="E578" s="229"/>
      <c r="F578" s="747" t="s">
        <v>7875</v>
      </c>
      <c r="G578" s="747"/>
      <c r="H578" s="747"/>
      <c r="I578" s="230">
        <f>ROUND(SUM(I576:I577),2)</f>
        <v>11.04</v>
      </c>
      <c r="J578" s="230">
        <f>ROUND(SUM(J576:J577),2)</f>
        <v>0</v>
      </c>
      <c r="K578" s="230">
        <f>ROUND(SUM(K576:K577),2)</f>
        <v>0</v>
      </c>
      <c r="L578" s="279"/>
      <c r="M578" s="177"/>
    </row>
    <row r="579" spans="1:13">
      <c r="A579" s="241"/>
      <c r="B579" s="746"/>
      <c r="C579" s="746"/>
      <c r="D579" s="746"/>
      <c r="E579" s="746"/>
      <c r="F579" s="746"/>
      <c r="G579" s="746"/>
      <c r="H579" s="746"/>
      <c r="I579" s="746"/>
      <c r="J579" s="746"/>
      <c r="K579" s="241"/>
      <c r="L579" s="279"/>
      <c r="M579" s="177"/>
    </row>
    <row r="580" spans="1:13" ht="22.5">
      <c r="A580" s="226" t="str">
        <f>'Orç - Prédio'!A194</f>
        <v>04.01.801.03</v>
      </c>
      <c r="B580" s="748" t="str">
        <f>'Orç - Prédio'!D194</f>
        <v>Guarda-corpo de montantes em chapa metálica, com acabamento em pintura esmalte branco brilhante e VEDAÇÃO EM TELA METÁLICA, com corrimãos nas alturas de 92 e 70cm EM UMA FACE</v>
      </c>
      <c r="C580" s="748"/>
      <c r="D580" s="748"/>
      <c r="E580" s="748"/>
      <c r="F580" s="748"/>
      <c r="G580" s="748"/>
      <c r="H580" s="748"/>
      <c r="I580" s="748"/>
      <c r="J580" s="748"/>
      <c r="K580" s="227" t="str">
        <f>'Orç - Prédio'!F194</f>
        <v>m</v>
      </c>
    </row>
    <row r="581" spans="1:13">
      <c r="A581" s="745"/>
      <c r="B581" s="745"/>
      <c r="C581" s="218"/>
      <c r="D581" s="218"/>
      <c r="E581" s="218"/>
      <c r="F581" s="218"/>
      <c r="G581" s="745" t="s">
        <v>7863</v>
      </c>
      <c r="H581" s="745"/>
      <c r="I581" s="745" t="s">
        <v>7864</v>
      </c>
      <c r="J581" s="745"/>
      <c r="K581" s="745"/>
      <c r="L581" s="177"/>
      <c r="M581" s="177"/>
    </row>
    <row r="582" spans="1:13" ht="22.5">
      <c r="A582" s="745" t="s">
        <v>7880</v>
      </c>
      <c r="B582" s="745"/>
      <c r="C582" s="745" t="s">
        <v>7865</v>
      </c>
      <c r="D582" s="745" t="s">
        <v>7866</v>
      </c>
      <c r="E582" s="745" t="s">
        <v>7867</v>
      </c>
      <c r="F582" s="745" t="s">
        <v>7868</v>
      </c>
      <c r="G582" s="241" t="s">
        <v>7869</v>
      </c>
      <c r="H582" s="241" t="s">
        <v>7870</v>
      </c>
      <c r="I582" s="241" t="s">
        <v>7871</v>
      </c>
      <c r="J582" s="241" t="s">
        <v>7869</v>
      </c>
      <c r="K582" s="241" t="s">
        <v>7870</v>
      </c>
      <c r="L582" s="279"/>
      <c r="M582" s="177"/>
    </row>
    <row r="583" spans="1:13">
      <c r="A583" s="745"/>
      <c r="B583" s="745"/>
      <c r="C583" s="745"/>
      <c r="D583" s="745"/>
      <c r="E583" s="745"/>
      <c r="F583" s="745"/>
      <c r="G583" s="241" t="s">
        <v>7872</v>
      </c>
      <c r="H583" s="241" t="s">
        <v>7873</v>
      </c>
      <c r="I583" s="241" t="s">
        <v>7874</v>
      </c>
      <c r="J583" s="241" t="s">
        <v>7872</v>
      </c>
      <c r="K583" s="241" t="s">
        <v>7873</v>
      </c>
      <c r="L583" s="279"/>
      <c r="M583" s="177"/>
    </row>
    <row r="584" spans="1:13">
      <c r="A584" s="241"/>
      <c r="B584" s="234" t="s">
        <v>6967</v>
      </c>
      <c r="C584" s="222">
        <v>2</v>
      </c>
      <c r="D584" s="222">
        <v>7.05</v>
      </c>
      <c r="E584" s="225"/>
      <c r="F584" s="231"/>
      <c r="G584" s="239"/>
      <c r="H584" s="220"/>
      <c r="I584" s="220">
        <f>D584*C584</f>
        <v>14.1</v>
      </c>
      <c r="J584" s="220">
        <f>G584*C584</f>
        <v>0</v>
      </c>
      <c r="K584" s="220">
        <f>C584*H584</f>
        <v>0</v>
      </c>
      <c r="L584" s="279"/>
      <c r="M584" s="177"/>
    </row>
    <row r="585" spans="1:13">
      <c r="A585" s="241"/>
      <c r="B585" s="234" t="s">
        <v>6968</v>
      </c>
      <c r="C585" s="222">
        <v>1</v>
      </c>
      <c r="D585" s="222">
        <v>7.05</v>
      </c>
      <c r="E585" s="225"/>
      <c r="F585" s="231"/>
      <c r="G585" s="239"/>
      <c r="H585" s="220"/>
      <c r="I585" s="220">
        <f>D585*C585</f>
        <v>7.05</v>
      </c>
      <c r="J585" s="220">
        <f>G585*C585</f>
        <v>0</v>
      </c>
      <c r="K585" s="220">
        <f>C585*H585</f>
        <v>0</v>
      </c>
      <c r="L585" s="279"/>
      <c r="M585" s="177"/>
    </row>
    <row r="586" spans="1:13">
      <c r="A586" s="241"/>
      <c r="B586" s="234" t="s">
        <v>6969</v>
      </c>
      <c r="C586" s="222">
        <v>1</v>
      </c>
      <c r="D586" s="222">
        <v>7.05</v>
      </c>
      <c r="E586" s="225"/>
      <c r="F586" s="231"/>
      <c r="G586" s="239"/>
      <c r="H586" s="220"/>
      <c r="I586" s="220">
        <f>D586*C586</f>
        <v>7.05</v>
      </c>
      <c r="J586" s="220">
        <f>G586*C586</f>
        <v>0</v>
      </c>
      <c r="K586" s="220">
        <f>C586*H586</f>
        <v>0</v>
      </c>
      <c r="L586" s="279"/>
      <c r="M586" s="177"/>
    </row>
    <row r="587" spans="1:13">
      <c r="A587" s="241"/>
      <c r="B587" s="234" t="s">
        <v>6970</v>
      </c>
      <c r="C587" s="222">
        <v>4</v>
      </c>
      <c r="D587" s="222">
        <v>7.02</v>
      </c>
      <c r="E587" s="225"/>
      <c r="F587" s="231"/>
      <c r="G587" s="239"/>
      <c r="H587" s="220"/>
      <c r="I587" s="220">
        <f>D587*C587</f>
        <v>28.08</v>
      </c>
      <c r="J587" s="220">
        <f>G587*C587</f>
        <v>0</v>
      </c>
      <c r="K587" s="220">
        <f>C587*H587</f>
        <v>0</v>
      </c>
      <c r="L587" s="279"/>
      <c r="M587" s="177"/>
    </row>
    <row r="588" spans="1:13">
      <c r="A588" s="228"/>
      <c r="B588" s="229"/>
      <c r="C588" s="229"/>
      <c r="D588" s="229"/>
      <c r="E588" s="229"/>
      <c r="F588" s="747" t="s">
        <v>7875</v>
      </c>
      <c r="G588" s="747"/>
      <c r="H588" s="747"/>
      <c r="I588" s="230">
        <f>ROUND(SUM(I586:I587),2)</f>
        <v>35.130000000000003</v>
      </c>
      <c r="J588" s="230">
        <f>ROUND(SUM(J586:J587),2)</f>
        <v>0</v>
      </c>
      <c r="K588" s="230">
        <f>ROUND(SUM(K586:K587),2)</f>
        <v>0</v>
      </c>
      <c r="L588" s="279"/>
      <c r="M588" s="177"/>
    </row>
    <row r="589" spans="1:13">
      <c r="A589" s="241"/>
      <c r="B589" s="746"/>
      <c r="C589" s="746"/>
      <c r="D589" s="746"/>
      <c r="E589" s="746"/>
      <c r="F589" s="746"/>
      <c r="G589" s="746"/>
      <c r="H589" s="746"/>
      <c r="I589" s="746"/>
      <c r="J589" s="746"/>
      <c r="K589" s="241"/>
      <c r="L589" s="279"/>
      <c r="M589" s="177"/>
    </row>
    <row r="590" spans="1:13" ht="22.5">
      <c r="A590" s="226" t="str">
        <f>'Orç - Prédio'!A195</f>
        <v>04.01.801.04</v>
      </c>
      <c r="B590" s="748" t="str">
        <f>'Orç - Prédio'!D195</f>
        <v>Guarda-corpo de montantes em chapa metálica, com acabamento em pintura esmalte branco brilhante e VEDAÇÃO EM TELA METÁLICA, com corrimãos nas alturas de 92 e 70cm EM AMBAS AS FACES</v>
      </c>
      <c r="C590" s="748"/>
      <c r="D590" s="748"/>
      <c r="E590" s="748"/>
      <c r="F590" s="748"/>
      <c r="G590" s="748"/>
      <c r="H590" s="748"/>
      <c r="I590" s="748"/>
      <c r="J590" s="748"/>
      <c r="K590" s="227" t="str">
        <f>'Orç - Prédio'!F195</f>
        <v>m</v>
      </c>
    </row>
    <row r="591" spans="1:13">
      <c r="A591" s="745"/>
      <c r="B591" s="745"/>
      <c r="C591" s="218"/>
      <c r="D591" s="218"/>
      <c r="E591" s="218"/>
      <c r="F591" s="218"/>
      <c r="G591" s="745" t="s">
        <v>7863</v>
      </c>
      <c r="H591" s="745"/>
      <c r="I591" s="745" t="s">
        <v>7864</v>
      </c>
      <c r="J591" s="745"/>
      <c r="K591" s="745"/>
      <c r="L591" s="177"/>
      <c r="M591" s="177"/>
    </row>
    <row r="592" spans="1:13" ht="22.5">
      <c r="A592" s="745" t="s">
        <v>7880</v>
      </c>
      <c r="B592" s="745"/>
      <c r="C592" s="745" t="s">
        <v>7865</v>
      </c>
      <c r="D592" s="745" t="s">
        <v>7866</v>
      </c>
      <c r="E592" s="745" t="s">
        <v>7867</v>
      </c>
      <c r="F592" s="745" t="s">
        <v>7868</v>
      </c>
      <c r="G592" s="241" t="s">
        <v>7869</v>
      </c>
      <c r="H592" s="241" t="s">
        <v>7870</v>
      </c>
      <c r="I592" s="241" t="s">
        <v>7871</v>
      </c>
      <c r="J592" s="241" t="s">
        <v>7869</v>
      </c>
      <c r="K592" s="241" t="s">
        <v>7870</v>
      </c>
      <c r="L592" s="279"/>
      <c r="M592" s="177"/>
    </row>
    <row r="593" spans="1:13">
      <c r="A593" s="745"/>
      <c r="B593" s="745"/>
      <c r="C593" s="745"/>
      <c r="D593" s="745"/>
      <c r="E593" s="745"/>
      <c r="F593" s="745"/>
      <c r="G593" s="241" t="s">
        <v>7872</v>
      </c>
      <c r="H593" s="241" t="s">
        <v>7873</v>
      </c>
      <c r="I593" s="241" t="s">
        <v>7874</v>
      </c>
      <c r="J593" s="241" t="s">
        <v>7872</v>
      </c>
      <c r="K593" s="241" t="s">
        <v>7873</v>
      </c>
      <c r="L593" s="279"/>
      <c r="M593" s="177"/>
    </row>
    <row r="594" spans="1:13">
      <c r="A594" s="241"/>
      <c r="B594" s="234" t="s">
        <v>6967</v>
      </c>
      <c r="C594" s="222">
        <v>1</v>
      </c>
      <c r="D594" s="222">
        <v>7.05</v>
      </c>
      <c r="E594" s="225"/>
      <c r="F594" s="231"/>
      <c r="G594" s="239"/>
      <c r="H594" s="220"/>
      <c r="I594" s="220">
        <f>D594*C594</f>
        <v>7.05</v>
      </c>
      <c r="J594" s="220">
        <f>G594*C594</f>
        <v>0</v>
      </c>
      <c r="K594" s="220">
        <f>C594*H594</f>
        <v>0</v>
      </c>
      <c r="L594" s="279"/>
      <c r="M594" s="177"/>
    </row>
    <row r="595" spans="1:13">
      <c r="A595" s="241"/>
      <c r="B595" s="234" t="s">
        <v>6968</v>
      </c>
      <c r="C595" s="222">
        <v>1</v>
      </c>
      <c r="D595" s="222">
        <v>7.32</v>
      </c>
      <c r="E595" s="225"/>
      <c r="F595" s="231"/>
      <c r="G595" s="239"/>
      <c r="H595" s="220"/>
      <c r="I595" s="220">
        <f>D595*C595</f>
        <v>7.32</v>
      </c>
      <c r="J595" s="220">
        <f>G595*C595</f>
        <v>0</v>
      </c>
      <c r="K595" s="220">
        <f>C595*H595</f>
        <v>0</v>
      </c>
      <c r="L595" s="279"/>
      <c r="M595" s="177"/>
    </row>
    <row r="596" spans="1:13">
      <c r="A596" s="228"/>
      <c r="B596" s="229"/>
      <c r="C596" s="229"/>
      <c r="D596" s="229"/>
      <c r="E596" s="229"/>
      <c r="F596" s="747" t="s">
        <v>7875</v>
      </c>
      <c r="G596" s="747"/>
      <c r="H596" s="747"/>
      <c r="I596" s="230">
        <f>ROUND(SUM(I594:I595),2)</f>
        <v>14.37</v>
      </c>
      <c r="J596" s="230">
        <f>ROUND(SUM(J594:J595),2)</f>
        <v>0</v>
      </c>
      <c r="K596" s="230">
        <f>ROUND(SUM(K594:K595),2)</f>
        <v>0</v>
      </c>
      <c r="L596" s="279"/>
      <c r="M596" s="177"/>
    </row>
    <row r="597" spans="1:13">
      <c r="A597" s="241"/>
      <c r="B597" s="746"/>
      <c r="C597" s="746"/>
      <c r="D597" s="746"/>
      <c r="E597" s="746"/>
      <c r="F597" s="746"/>
      <c r="G597" s="746"/>
      <c r="H597" s="746"/>
      <c r="I597" s="746"/>
      <c r="J597" s="746"/>
      <c r="K597" s="241"/>
      <c r="L597" s="279"/>
      <c r="M597" s="177"/>
    </row>
    <row r="598" spans="1:13" ht="22.5">
      <c r="A598" s="226" t="str">
        <f>'Orç - Prédio'!A196</f>
        <v>04.01.802.01</v>
      </c>
      <c r="B598" s="748" t="str">
        <f>'Orç - Prédio'!D196</f>
        <v>Brise em alumínio BR01 em telhas perfuradas MBP-25, 16 furos/cm2, esp 0,8 mm, pintura em pó poliéster 50 micra na cor branco aplicado sobre superfície fosfotizada, fixadas em perfis metálicos na cor branca e paineis bricromatizados Ecocel ou equivalente, fornecido e instalado</v>
      </c>
      <c r="C598" s="748"/>
      <c r="D598" s="748"/>
      <c r="E598" s="748"/>
      <c r="F598" s="748"/>
      <c r="G598" s="748"/>
      <c r="H598" s="748"/>
      <c r="I598" s="748"/>
      <c r="J598" s="748"/>
      <c r="K598" s="227" t="str">
        <f>'Orç - Prédio'!F196</f>
        <v>m2</v>
      </c>
    </row>
    <row r="599" spans="1:13">
      <c r="A599" s="745"/>
      <c r="B599" s="745"/>
      <c r="C599" s="218"/>
      <c r="D599" s="218"/>
      <c r="E599" s="218"/>
      <c r="F599" s="218"/>
      <c r="G599" s="745" t="s">
        <v>7863</v>
      </c>
      <c r="H599" s="745"/>
      <c r="I599" s="745" t="s">
        <v>7864</v>
      </c>
      <c r="J599" s="745"/>
      <c r="K599" s="745"/>
      <c r="L599" s="177"/>
      <c r="M599" s="177"/>
    </row>
    <row r="600" spans="1:13" ht="22.5">
      <c r="A600" s="745" t="s">
        <v>7880</v>
      </c>
      <c r="B600" s="745"/>
      <c r="C600" s="745" t="s">
        <v>7865</v>
      </c>
      <c r="D600" s="745" t="s">
        <v>7866</v>
      </c>
      <c r="E600" s="745" t="s">
        <v>7867</v>
      </c>
      <c r="F600" s="745" t="s">
        <v>7868</v>
      </c>
      <c r="G600" s="317" t="s">
        <v>7869</v>
      </c>
      <c r="H600" s="317" t="s">
        <v>7870</v>
      </c>
      <c r="I600" s="317" t="s">
        <v>7871</v>
      </c>
      <c r="J600" s="317" t="s">
        <v>7869</v>
      </c>
      <c r="K600" s="317" t="s">
        <v>7870</v>
      </c>
      <c r="L600" s="279"/>
      <c r="M600" s="177"/>
    </row>
    <row r="601" spans="1:13">
      <c r="A601" s="745"/>
      <c r="B601" s="745"/>
      <c r="C601" s="745"/>
      <c r="D601" s="745"/>
      <c r="E601" s="745"/>
      <c r="F601" s="745"/>
      <c r="G601" s="317" t="s">
        <v>7872</v>
      </c>
      <c r="H601" s="317" t="s">
        <v>7873</v>
      </c>
      <c r="I601" s="317" t="s">
        <v>7874</v>
      </c>
      <c r="J601" s="317" t="s">
        <v>7872</v>
      </c>
      <c r="K601" s="317" t="s">
        <v>7873</v>
      </c>
      <c r="L601" s="279"/>
      <c r="M601" s="177"/>
    </row>
    <row r="602" spans="1:13">
      <c r="A602" s="317"/>
      <c r="B602" s="234" t="s">
        <v>8626</v>
      </c>
      <c r="C602" s="222">
        <v>6</v>
      </c>
      <c r="D602" s="222"/>
      <c r="E602" s="225">
        <v>7.1</v>
      </c>
      <c r="F602" s="231">
        <v>7.0949999999999998</v>
      </c>
      <c r="G602" s="239">
        <f>F602*E602</f>
        <v>50.374499999999998</v>
      </c>
      <c r="H602" s="220"/>
      <c r="I602" s="220">
        <f>D602*C602</f>
        <v>0</v>
      </c>
      <c r="J602" s="220">
        <f>G602*C602</f>
        <v>302.24699999999996</v>
      </c>
      <c r="K602" s="220">
        <f>C602*H602</f>
        <v>0</v>
      </c>
      <c r="L602" s="279"/>
      <c r="M602" s="177"/>
    </row>
    <row r="603" spans="1:13">
      <c r="A603" s="317"/>
      <c r="B603" s="234" t="s">
        <v>8627</v>
      </c>
      <c r="C603" s="222">
        <v>7</v>
      </c>
      <c r="D603" s="222"/>
      <c r="E603" s="225">
        <v>7.1</v>
      </c>
      <c r="F603" s="231">
        <v>7.1</v>
      </c>
      <c r="G603" s="239">
        <f>F603*E603</f>
        <v>50.41</v>
      </c>
      <c r="H603" s="220"/>
      <c r="I603" s="220">
        <f>D603*C603</f>
        <v>0</v>
      </c>
      <c r="J603" s="220">
        <f>G603*C603</f>
        <v>352.87</v>
      </c>
      <c r="K603" s="220">
        <f>C603*H603</f>
        <v>0</v>
      </c>
      <c r="L603" s="279"/>
      <c r="M603" s="177"/>
    </row>
    <row r="604" spans="1:13">
      <c r="A604" s="228"/>
      <c r="B604" s="229"/>
      <c r="C604" s="229"/>
      <c r="D604" s="229"/>
      <c r="E604" s="229"/>
      <c r="F604" s="747" t="s">
        <v>7875</v>
      </c>
      <c r="G604" s="747"/>
      <c r="H604" s="747"/>
      <c r="I604" s="230">
        <f>ROUND(SUM(I602:I603),2)</f>
        <v>0</v>
      </c>
      <c r="J604" s="230">
        <f>ROUND(SUM(J602:J603),2)</f>
        <v>655.12</v>
      </c>
      <c r="K604" s="230">
        <f>ROUND(SUM(K602:K603),2)</f>
        <v>0</v>
      </c>
      <c r="L604" s="279"/>
      <c r="M604" s="177"/>
    </row>
    <row r="605" spans="1:13">
      <c r="A605" s="317"/>
      <c r="B605" s="746"/>
      <c r="C605" s="746"/>
      <c r="D605" s="746"/>
      <c r="E605" s="746"/>
      <c r="F605" s="746"/>
      <c r="G605" s="746"/>
      <c r="H605" s="746"/>
      <c r="I605" s="746"/>
      <c r="J605" s="746"/>
      <c r="K605" s="317"/>
      <c r="L605" s="279"/>
      <c r="M605" s="177"/>
    </row>
    <row r="606" spans="1:13" ht="22.5">
      <c r="A606" s="226" t="str">
        <f>'Orç - Prédio'!A200</f>
        <v>04.01.808.01</v>
      </c>
      <c r="B606" s="748" t="str">
        <f>'Orç - Prédio'!D200</f>
        <v>Bancadas em granito cinza andorinha ou desireé (BG01 a BG25)</v>
      </c>
      <c r="C606" s="748"/>
      <c r="D606" s="748"/>
      <c r="E606" s="748"/>
      <c r="F606" s="748"/>
      <c r="G606" s="748"/>
      <c r="H606" s="748"/>
      <c r="I606" s="748"/>
      <c r="J606" s="748"/>
      <c r="K606" s="227" t="str">
        <f>'Orç - Prédio'!F201</f>
        <v>m</v>
      </c>
    </row>
    <row r="607" spans="1:13">
      <c r="A607" s="745"/>
      <c r="B607" s="745"/>
      <c r="C607" s="218"/>
      <c r="D607" s="218"/>
      <c r="E607" s="218"/>
      <c r="F607" s="218"/>
      <c r="G607" s="745" t="s">
        <v>7863</v>
      </c>
      <c r="H607" s="745"/>
      <c r="I607" s="745" t="s">
        <v>7864</v>
      </c>
      <c r="J607" s="745"/>
      <c r="K607" s="745"/>
      <c r="M607" s="177"/>
    </row>
    <row r="608" spans="1:13" ht="22.5">
      <c r="A608" s="745" t="s">
        <v>7880</v>
      </c>
      <c r="B608" s="745"/>
      <c r="C608" s="745" t="s">
        <v>7865</v>
      </c>
      <c r="D608" s="745" t="s">
        <v>8120</v>
      </c>
      <c r="E608" s="745" t="s">
        <v>8121</v>
      </c>
      <c r="F608" s="745" t="s">
        <v>8122</v>
      </c>
      <c r="G608" s="241" t="s">
        <v>7869</v>
      </c>
      <c r="H608" s="241" t="s">
        <v>7870</v>
      </c>
      <c r="I608" s="241" t="s">
        <v>7871</v>
      </c>
      <c r="J608" s="241" t="s">
        <v>7869</v>
      </c>
      <c r="K608" s="241" t="s">
        <v>7870</v>
      </c>
      <c r="M608" s="177"/>
    </row>
    <row r="609" spans="1:13">
      <c r="A609" s="745"/>
      <c r="B609" s="745"/>
      <c r="C609" s="745"/>
      <c r="D609" s="745"/>
      <c r="E609" s="745"/>
      <c r="F609" s="745"/>
      <c r="G609" s="241" t="s">
        <v>7872</v>
      </c>
      <c r="H609" s="241" t="s">
        <v>7873</v>
      </c>
      <c r="I609" s="241" t="s">
        <v>7874</v>
      </c>
      <c r="J609" s="241" t="s">
        <v>7872</v>
      </c>
      <c r="K609" s="241" t="s">
        <v>7873</v>
      </c>
      <c r="M609" s="177"/>
    </row>
    <row r="610" spans="1:13">
      <c r="A610" s="241"/>
      <c r="B610" s="234" t="s">
        <v>6931</v>
      </c>
      <c r="C610" s="222">
        <v>2</v>
      </c>
      <c r="D610" s="222">
        <v>5.76</v>
      </c>
      <c r="E610" s="225">
        <v>0.08</v>
      </c>
      <c r="F610" s="231">
        <v>12</v>
      </c>
      <c r="G610" s="239">
        <f>D610+E610*F610</f>
        <v>6.72</v>
      </c>
      <c r="H610" s="220"/>
      <c r="I610" s="220"/>
      <c r="J610" s="220">
        <f t="shared" ref="J610:J634" si="39">G610*C610</f>
        <v>13.44</v>
      </c>
      <c r="K610" s="220">
        <f t="shared" ref="K610:K634" si="40">C610*H610</f>
        <v>0</v>
      </c>
      <c r="M610" s="177"/>
    </row>
    <row r="611" spans="1:13">
      <c r="A611" s="241"/>
      <c r="B611" s="234" t="s">
        <v>6932</v>
      </c>
      <c r="C611" s="222">
        <v>4</v>
      </c>
      <c r="D611" s="222">
        <v>4.2</v>
      </c>
      <c r="E611" s="225">
        <v>0.08</v>
      </c>
      <c r="F611" s="231">
        <v>9.4</v>
      </c>
      <c r="G611" s="239">
        <f t="shared" ref="G611:G634" si="41">D611+E611*F611</f>
        <v>4.952</v>
      </c>
      <c r="H611" s="220"/>
      <c r="I611" s="220"/>
      <c r="J611" s="220">
        <f t="shared" si="39"/>
        <v>19.808</v>
      </c>
      <c r="K611" s="220">
        <f t="shared" si="40"/>
        <v>0</v>
      </c>
      <c r="M611" s="177"/>
    </row>
    <row r="612" spans="1:13">
      <c r="A612" s="241"/>
      <c r="B612" s="234" t="s">
        <v>6933</v>
      </c>
      <c r="C612" s="222">
        <v>12</v>
      </c>
      <c r="D612" s="222">
        <v>4.92</v>
      </c>
      <c r="E612" s="225">
        <v>0.08</v>
      </c>
      <c r="F612" s="231">
        <v>10.6</v>
      </c>
      <c r="G612" s="239">
        <f t="shared" si="41"/>
        <v>5.7679999999999998</v>
      </c>
      <c r="H612" s="220"/>
      <c r="I612" s="220"/>
      <c r="J612" s="220">
        <f t="shared" si="39"/>
        <v>69.215999999999994</v>
      </c>
      <c r="K612" s="220">
        <f t="shared" si="40"/>
        <v>0</v>
      </c>
      <c r="M612" s="177"/>
    </row>
    <row r="613" spans="1:13">
      <c r="A613" s="241"/>
      <c r="B613" s="234" t="s">
        <v>6934</v>
      </c>
      <c r="C613" s="222">
        <v>4</v>
      </c>
      <c r="D613" s="222">
        <v>5.76</v>
      </c>
      <c r="E613" s="225">
        <v>0.08</v>
      </c>
      <c r="F613" s="231">
        <v>12</v>
      </c>
      <c r="G613" s="239">
        <f t="shared" si="41"/>
        <v>6.72</v>
      </c>
      <c r="H613" s="220"/>
      <c r="I613" s="220"/>
      <c r="J613" s="220">
        <f t="shared" si="39"/>
        <v>26.88</v>
      </c>
      <c r="K613" s="220">
        <f t="shared" si="40"/>
        <v>0</v>
      </c>
      <c r="M613" s="177"/>
    </row>
    <row r="614" spans="1:13">
      <c r="A614" s="241"/>
      <c r="B614" s="234" t="s">
        <v>6935</v>
      </c>
      <c r="C614" s="222">
        <v>5</v>
      </c>
      <c r="D614" s="222">
        <f>0.8*1.9</f>
        <v>1.52</v>
      </c>
      <c r="E614" s="225">
        <v>0.08</v>
      </c>
      <c r="F614" s="231">
        <f>0.8+1.9+0.8</f>
        <v>3.5</v>
      </c>
      <c r="G614" s="239">
        <f t="shared" si="41"/>
        <v>1.8</v>
      </c>
      <c r="H614" s="220"/>
      <c r="I614" s="220"/>
      <c r="J614" s="220">
        <f t="shared" si="39"/>
        <v>9</v>
      </c>
      <c r="K614" s="220">
        <f t="shared" si="40"/>
        <v>0</v>
      </c>
      <c r="M614" s="177"/>
    </row>
    <row r="615" spans="1:13">
      <c r="A615" s="241"/>
      <c r="B615" s="234" t="s">
        <v>6936</v>
      </c>
      <c r="C615" s="222">
        <v>1</v>
      </c>
      <c r="D615" s="222">
        <f>2.37*0.8</f>
        <v>1.8960000000000001</v>
      </c>
      <c r="E615" s="225">
        <v>0.08</v>
      </c>
      <c r="F615" s="231">
        <f>0.8+2.37</f>
        <v>3.17</v>
      </c>
      <c r="G615" s="239">
        <f t="shared" si="41"/>
        <v>2.1496</v>
      </c>
      <c r="H615" s="220"/>
      <c r="I615" s="220"/>
      <c r="J615" s="220">
        <f t="shared" si="39"/>
        <v>2.1496</v>
      </c>
      <c r="K615" s="220">
        <f t="shared" si="40"/>
        <v>0</v>
      </c>
      <c r="M615" s="177"/>
    </row>
    <row r="616" spans="1:13">
      <c r="A616" s="241"/>
      <c r="B616" s="234" t="s">
        <v>6937</v>
      </c>
      <c r="C616" s="222">
        <v>2</v>
      </c>
      <c r="D616" s="222">
        <f>2.5*0.7</f>
        <v>1.75</v>
      </c>
      <c r="E616" s="225">
        <v>0.08</v>
      </c>
      <c r="F616" s="231">
        <f>2.5+0.7</f>
        <v>3.2</v>
      </c>
      <c r="G616" s="239">
        <f t="shared" si="41"/>
        <v>2.0060000000000002</v>
      </c>
      <c r="H616" s="220"/>
      <c r="I616" s="220"/>
      <c r="J616" s="220">
        <f t="shared" si="39"/>
        <v>4.0120000000000005</v>
      </c>
      <c r="K616" s="220">
        <f t="shared" si="40"/>
        <v>0</v>
      </c>
      <c r="M616" s="177"/>
    </row>
    <row r="617" spans="1:13">
      <c r="A617" s="241"/>
      <c r="B617" s="234" t="s">
        <v>6938</v>
      </c>
      <c r="C617" s="222">
        <v>2</v>
      </c>
      <c r="D617" s="222">
        <f>2.97*0.8</f>
        <v>2.3760000000000003</v>
      </c>
      <c r="E617" s="225">
        <v>0.08</v>
      </c>
      <c r="F617" s="231">
        <v>2.97</v>
      </c>
      <c r="G617" s="239">
        <f t="shared" si="41"/>
        <v>2.6136000000000004</v>
      </c>
      <c r="H617" s="220"/>
      <c r="I617" s="220"/>
      <c r="J617" s="220">
        <f t="shared" si="39"/>
        <v>5.2272000000000007</v>
      </c>
      <c r="K617" s="220">
        <f t="shared" si="40"/>
        <v>0</v>
      </c>
      <c r="M617" s="177"/>
    </row>
    <row r="618" spans="1:13">
      <c r="A618" s="241"/>
      <c r="B618" s="234" t="s">
        <v>6939</v>
      </c>
      <c r="C618" s="222">
        <v>1</v>
      </c>
      <c r="D618" s="222">
        <f>2.97*0.8</f>
        <v>2.3760000000000003</v>
      </c>
      <c r="E618" s="225">
        <v>0.08</v>
      </c>
      <c r="F618" s="231">
        <v>2.97</v>
      </c>
      <c r="G618" s="239">
        <f t="shared" si="41"/>
        <v>2.6136000000000004</v>
      </c>
      <c r="H618" s="220"/>
      <c r="I618" s="220"/>
      <c r="J618" s="220">
        <f t="shared" si="39"/>
        <v>2.6136000000000004</v>
      </c>
      <c r="K618" s="220">
        <f t="shared" si="40"/>
        <v>0</v>
      </c>
      <c r="M618" s="177"/>
    </row>
    <row r="619" spans="1:13">
      <c r="A619" s="241"/>
      <c r="B619" s="234" t="s">
        <v>6940</v>
      </c>
      <c r="C619" s="222">
        <v>1</v>
      </c>
      <c r="D619" s="222">
        <f>6.1*0.7</f>
        <v>4.2699999999999996</v>
      </c>
      <c r="E619" s="225">
        <v>0.08</v>
      </c>
      <c r="F619" s="231">
        <v>6.1</v>
      </c>
      <c r="G619" s="239">
        <f t="shared" si="41"/>
        <v>4.7579999999999991</v>
      </c>
      <c r="H619" s="220"/>
      <c r="I619" s="220"/>
      <c r="J619" s="220">
        <f t="shared" si="39"/>
        <v>4.7579999999999991</v>
      </c>
      <c r="K619" s="220">
        <f t="shared" si="40"/>
        <v>0</v>
      </c>
      <c r="M619" s="177"/>
    </row>
    <row r="620" spans="1:13">
      <c r="A620" s="241"/>
      <c r="B620" s="234" t="s">
        <v>6941</v>
      </c>
      <c r="C620" s="222">
        <v>1</v>
      </c>
      <c r="D620" s="222">
        <f>4.91</f>
        <v>4.91</v>
      </c>
      <c r="E620" s="225">
        <v>0.08</v>
      </c>
      <c r="F620" s="231">
        <v>6.17</v>
      </c>
      <c r="G620" s="239">
        <f t="shared" si="41"/>
        <v>5.4036</v>
      </c>
      <c r="H620" s="220"/>
      <c r="I620" s="220"/>
      <c r="J620" s="220">
        <f t="shared" si="39"/>
        <v>5.4036</v>
      </c>
      <c r="K620" s="220">
        <f t="shared" si="40"/>
        <v>0</v>
      </c>
      <c r="M620" s="177"/>
    </row>
    <row r="621" spans="1:13">
      <c r="A621" s="241"/>
      <c r="B621" s="234" t="s">
        <v>6942</v>
      </c>
      <c r="C621" s="222">
        <v>3</v>
      </c>
      <c r="D621" s="222">
        <f>0.6*1.5</f>
        <v>0.89999999999999991</v>
      </c>
      <c r="E621" s="225">
        <v>0.08</v>
      </c>
      <c r="F621" s="231">
        <f>1.5+0.6</f>
        <v>2.1</v>
      </c>
      <c r="G621" s="239">
        <f t="shared" si="41"/>
        <v>1.0679999999999998</v>
      </c>
      <c r="H621" s="220"/>
      <c r="I621" s="220"/>
      <c r="J621" s="220">
        <f t="shared" si="39"/>
        <v>3.2039999999999997</v>
      </c>
      <c r="K621" s="220">
        <f t="shared" si="40"/>
        <v>0</v>
      </c>
      <c r="M621" s="177"/>
    </row>
    <row r="622" spans="1:13">
      <c r="A622" s="241"/>
      <c r="B622" s="234" t="s">
        <v>6943</v>
      </c>
      <c r="C622" s="222">
        <v>1</v>
      </c>
      <c r="D622" s="222">
        <f>0.6*1.87</f>
        <v>1.1220000000000001</v>
      </c>
      <c r="E622" s="225">
        <v>0.08</v>
      </c>
      <c r="F622" s="231">
        <f>0.6*2+1.87</f>
        <v>3.0700000000000003</v>
      </c>
      <c r="G622" s="239">
        <f t="shared" si="41"/>
        <v>1.3676000000000001</v>
      </c>
      <c r="H622" s="220"/>
      <c r="I622" s="220"/>
      <c r="J622" s="220">
        <f t="shared" si="39"/>
        <v>1.3676000000000001</v>
      </c>
      <c r="K622" s="220">
        <f t="shared" si="40"/>
        <v>0</v>
      </c>
      <c r="M622" s="177"/>
    </row>
    <row r="623" spans="1:13">
      <c r="A623" s="241"/>
      <c r="B623" s="234" t="s">
        <v>6944</v>
      </c>
      <c r="C623" s="222">
        <v>1</v>
      </c>
      <c r="D623" s="222">
        <f>1.87*0.5</f>
        <v>0.93500000000000005</v>
      </c>
      <c r="E623" s="225">
        <v>0.08</v>
      </c>
      <c r="F623" s="231">
        <v>1.87</v>
      </c>
      <c r="G623" s="239">
        <f t="shared" si="41"/>
        <v>1.0846</v>
      </c>
      <c r="H623" s="220"/>
      <c r="I623" s="220"/>
      <c r="J623" s="220">
        <f t="shared" si="39"/>
        <v>1.0846</v>
      </c>
      <c r="K623" s="220">
        <f t="shared" si="40"/>
        <v>0</v>
      </c>
      <c r="M623" s="177"/>
    </row>
    <row r="624" spans="1:13">
      <c r="A624" s="241"/>
      <c r="B624" s="234" t="s">
        <v>6945</v>
      </c>
      <c r="C624" s="222">
        <v>2</v>
      </c>
      <c r="D624" s="222">
        <f>2.3*0.8</f>
        <v>1.8399999999999999</v>
      </c>
      <c r="E624" s="225">
        <v>0.08</v>
      </c>
      <c r="F624" s="231">
        <v>2.2999999999999998</v>
      </c>
      <c r="G624" s="239">
        <f t="shared" si="41"/>
        <v>2.024</v>
      </c>
      <c r="H624" s="220"/>
      <c r="I624" s="220"/>
      <c r="J624" s="220">
        <f t="shared" si="39"/>
        <v>4.048</v>
      </c>
      <c r="K624" s="220">
        <f t="shared" si="40"/>
        <v>0</v>
      </c>
      <c r="M624" s="177"/>
    </row>
    <row r="625" spans="1:13">
      <c r="A625" s="241"/>
      <c r="B625" s="234" t="s">
        <v>6946</v>
      </c>
      <c r="C625" s="222">
        <v>3</v>
      </c>
      <c r="D625" s="222">
        <f>4.1*0.98</f>
        <v>4.0179999999999998</v>
      </c>
      <c r="E625" s="225">
        <v>0.08</v>
      </c>
      <c r="F625" s="231">
        <f>0.98+4.1</f>
        <v>5.08</v>
      </c>
      <c r="G625" s="239">
        <f t="shared" si="41"/>
        <v>4.4243999999999994</v>
      </c>
      <c r="H625" s="220"/>
      <c r="I625" s="220"/>
      <c r="J625" s="220">
        <f t="shared" si="39"/>
        <v>13.273199999999999</v>
      </c>
      <c r="K625" s="220">
        <f t="shared" si="40"/>
        <v>0</v>
      </c>
      <c r="M625" s="177"/>
    </row>
    <row r="626" spans="1:13">
      <c r="A626" s="241"/>
      <c r="B626" s="234" t="s">
        <v>6947</v>
      </c>
      <c r="C626" s="222">
        <v>2</v>
      </c>
      <c r="D626" s="222">
        <f>4.1*0.78</f>
        <v>3.198</v>
      </c>
      <c r="E626" s="225">
        <v>0.08</v>
      </c>
      <c r="F626" s="231">
        <f>0.78+4.1</f>
        <v>4.88</v>
      </c>
      <c r="G626" s="239">
        <f t="shared" si="41"/>
        <v>3.5884</v>
      </c>
      <c r="H626" s="220"/>
      <c r="I626" s="220"/>
      <c r="J626" s="220">
        <f t="shared" si="39"/>
        <v>7.1768000000000001</v>
      </c>
      <c r="K626" s="220">
        <f t="shared" si="40"/>
        <v>0</v>
      </c>
      <c r="M626" s="177"/>
    </row>
    <row r="627" spans="1:13">
      <c r="A627" s="241"/>
      <c r="B627" s="234" t="s">
        <v>6948</v>
      </c>
      <c r="C627" s="222">
        <v>2</v>
      </c>
      <c r="D627" s="222">
        <v>5.45</v>
      </c>
      <c r="E627" s="225">
        <v>0.08</v>
      </c>
      <c r="F627" s="231">
        <f>5.45+1</f>
        <v>6.45</v>
      </c>
      <c r="G627" s="239">
        <f t="shared" si="41"/>
        <v>5.9660000000000002</v>
      </c>
      <c r="H627" s="220"/>
      <c r="I627" s="220"/>
      <c r="J627" s="220">
        <f t="shared" si="39"/>
        <v>11.932</v>
      </c>
      <c r="K627" s="220">
        <f t="shared" si="40"/>
        <v>0</v>
      </c>
      <c r="M627" s="177"/>
    </row>
    <row r="628" spans="1:13">
      <c r="A628" s="241"/>
      <c r="B628" s="234" t="s">
        <v>6949</v>
      </c>
      <c r="C628" s="222">
        <v>1</v>
      </c>
      <c r="D628" s="222">
        <f>5.55*0.8</f>
        <v>4.4400000000000004</v>
      </c>
      <c r="E628" s="225">
        <v>0.08</v>
      </c>
      <c r="F628" s="231">
        <f>0.8+5.55</f>
        <v>6.35</v>
      </c>
      <c r="G628" s="239">
        <f t="shared" si="41"/>
        <v>4.9480000000000004</v>
      </c>
      <c r="H628" s="220"/>
      <c r="I628" s="220"/>
      <c r="J628" s="220">
        <f t="shared" si="39"/>
        <v>4.9480000000000004</v>
      </c>
      <c r="K628" s="220">
        <f t="shared" si="40"/>
        <v>0</v>
      </c>
      <c r="M628" s="177"/>
    </row>
    <row r="629" spans="1:13">
      <c r="A629" s="241"/>
      <c r="B629" s="234" t="s">
        <v>6950</v>
      </c>
      <c r="C629" s="222">
        <v>2</v>
      </c>
      <c r="D629" s="222">
        <f>3.4*0.57</f>
        <v>1.9379999999999997</v>
      </c>
      <c r="E629" s="225">
        <v>0.08</v>
      </c>
      <c r="F629" s="231">
        <f>3.4+0.57</f>
        <v>3.9699999999999998</v>
      </c>
      <c r="G629" s="239">
        <f t="shared" si="41"/>
        <v>2.2555999999999998</v>
      </c>
      <c r="H629" s="220"/>
      <c r="I629" s="220"/>
      <c r="J629" s="220">
        <f t="shared" si="39"/>
        <v>4.5111999999999997</v>
      </c>
      <c r="K629" s="220">
        <f t="shared" si="40"/>
        <v>0</v>
      </c>
      <c r="M629" s="177"/>
    </row>
    <row r="630" spans="1:13">
      <c r="A630" s="241"/>
      <c r="B630" s="234" t="s">
        <v>6951</v>
      </c>
      <c r="C630" s="222">
        <v>2</v>
      </c>
      <c r="D630" s="222">
        <f>3.4*0.57</f>
        <v>1.9379999999999997</v>
      </c>
      <c r="E630" s="225">
        <v>0.08</v>
      </c>
      <c r="F630" s="231">
        <f>3.4+0.57</f>
        <v>3.9699999999999998</v>
      </c>
      <c r="G630" s="239">
        <f t="shared" si="41"/>
        <v>2.2555999999999998</v>
      </c>
      <c r="H630" s="220"/>
      <c r="I630" s="220"/>
      <c r="J630" s="220">
        <f t="shared" si="39"/>
        <v>4.5111999999999997</v>
      </c>
      <c r="K630" s="220">
        <f t="shared" si="40"/>
        <v>0</v>
      </c>
      <c r="M630" s="177"/>
    </row>
    <row r="631" spans="1:13">
      <c r="A631" s="241"/>
      <c r="B631" s="234" t="s">
        <v>6952</v>
      </c>
      <c r="C631" s="222">
        <v>1</v>
      </c>
      <c r="D631" s="222">
        <f>2.47*0.57</f>
        <v>1.4078999999999999</v>
      </c>
      <c r="E631" s="225">
        <v>0.08</v>
      </c>
      <c r="F631" s="231">
        <f>0.54+0.54+2.49</f>
        <v>3.5700000000000003</v>
      </c>
      <c r="G631" s="239">
        <f t="shared" si="41"/>
        <v>1.6935</v>
      </c>
      <c r="H631" s="220"/>
      <c r="I631" s="220"/>
      <c r="J631" s="220">
        <f t="shared" si="39"/>
        <v>1.6935</v>
      </c>
      <c r="K631" s="220">
        <f t="shared" si="40"/>
        <v>0</v>
      </c>
      <c r="M631" s="177"/>
    </row>
    <row r="632" spans="1:13">
      <c r="A632" s="241"/>
      <c r="B632" s="234" t="s">
        <v>6953</v>
      </c>
      <c r="C632" s="222">
        <v>1</v>
      </c>
      <c r="D632" s="222">
        <f>4.95*0.55+0.8*0.55*4</f>
        <v>4.4824999999999999</v>
      </c>
      <c r="E632" s="225">
        <v>0</v>
      </c>
      <c r="F632" s="231">
        <v>0</v>
      </c>
      <c r="G632" s="239">
        <f t="shared" si="41"/>
        <v>4.4824999999999999</v>
      </c>
      <c r="H632" s="220"/>
      <c r="I632" s="220"/>
      <c r="J632" s="220">
        <f t="shared" si="39"/>
        <v>4.4824999999999999</v>
      </c>
      <c r="K632" s="220">
        <f t="shared" si="40"/>
        <v>0</v>
      </c>
      <c r="M632" s="177"/>
    </row>
    <row r="633" spans="1:13">
      <c r="A633" s="241"/>
      <c r="B633" s="234" t="s">
        <v>6955</v>
      </c>
      <c r="C633" s="222">
        <v>1</v>
      </c>
      <c r="D633" s="222">
        <f>5.12*0.55+0.55*0.5*6+2*0.78*0.55</f>
        <v>5.3239999999999998</v>
      </c>
      <c r="E633" s="225">
        <v>0</v>
      </c>
      <c r="F633" s="231">
        <v>0</v>
      </c>
      <c r="G633" s="239">
        <f t="shared" si="41"/>
        <v>5.3239999999999998</v>
      </c>
      <c r="H633" s="220"/>
      <c r="I633" s="220"/>
      <c r="J633" s="220">
        <f t="shared" si="39"/>
        <v>5.3239999999999998</v>
      </c>
      <c r="K633" s="220">
        <f t="shared" si="40"/>
        <v>0</v>
      </c>
      <c r="M633" s="177"/>
    </row>
    <row r="634" spans="1:13">
      <c r="A634" s="241"/>
      <c r="B634" s="234" t="s">
        <v>6954</v>
      </c>
      <c r="C634" s="222">
        <v>2</v>
      </c>
      <c r="D634" s="222">
        <f>2.1*0.4+0.6*1.78</f>
        <v>1.9080000000000001</v>
      </c>
      <c r="E634" s="225">
        <v>0</v>
      </c>
      <c r="F634" s="231">
        <v>0</v>
      </c>
      <c r="G634" s="239">
        <f t="shared" si="41"/>
        <v>1.9080000000000001</v>
      </c>
      <c r="H634" s="220"/>
      <c r="I634" s="220"/>
      <c r="J634" s="220">
        <f t="shared" si="39"/>
        <v>3.8160000000000003</v>
      </c>
      <c r="K634" s="220">
        <f t="shared" si="40"/>
        <v>0</v>
      </c>
      <c r="M634" s="177"/>
    </row>
    <row r="635" spans="1:13">
      <c r="A635" s="228"/>
      <c r="B635" s="229"/>
      <c r="C635" s="229"/>
      <c r="D635" s="229"/>
      <c r="E635" s="229"/>
      <c r="F635" s="747" t="s">
        <v>7875</v>
      </c>
      <c r="G635" s="747"/>
      <c r="H635" s="747"/>
      <c r="I635" s="230">
        <f>ROUND(SUM(I633:I634),2)</f>
        <v>0</v>
      </c>
      <c r="J635" s="230">
        <f>ROUND(SUM(J610:J634),2)</f>
        <v>233.88</v>
      </c>
      <c r="K635" s="230">
        <f>ROUND(SUM(K633:K634),2)</f>
        <v>0</v>
      </c>
      <c r="M635" s="177"/>
    </row>
    <row r="636" spans="1:13">
      <c r="A636" s="241"/>
      <c r="B636" s="746"/>
      <c r="C636" s="746"/>
      <c r="D636" s="746"/>
      <c r="E636" s="746"/>
      <c r="F636" s="746"/>
      <c r="G636" s="746"/>
      <c r="H636" s="746"/>
      <c r="I636" s="746"/>
      <c r="J636" s="746"/>
      <c r="K636" s="241"/>
      <c r="M636" s="177"/>
    </row>
    <row r="637" spans="1:13" ht="22.5">
      <c r="A637" s="226" t="str">
        <f>'Orç - Prédio'!A201</f>
        <v>04.01.808.02</v>
      </c>
      <c r="B637" s="748" t="str">
        <f>'Orç - Prédio'!D201</f>
        <v>Rodabancada em granito polido</v>
      </c>
      <c r="C637" s="748"/>
      <c r="D637" s="748"/>
      <c r="E637" s="748"/>
      <c r="F637" s="748"/>
      <c r="G637" s="748"/>
      <c r="H637" s="748"/>
      <c r="I637" s="748"/>
      <c r="J637" s="748"/>
      <c r="K637" s="227" t="str">
        <f>'Orç - Prédio'!F201</f>
        <v>m</v>
      </c>
    </row>
    <row r="638" spans="1:13">
      <c r="A638" s="745"/>
      <c r="B638" s="745"/>
      <c r="C638" s="218"/>
      <c r="D638" s="218"/>
      <c r="E638" s="218"/>
      <c r="F638" s="218"/>
      <c r="G638" s="745" t="s">
        <v>7863</v>
      </c>
      <c r="H638" s="745"/>
      <c r="I638" s="745" t="s">
        <v>7864</v>
      </c>
      <c r="J638" s="745"/>
      <c r="K638" s="745"/>
      <c r="M638" s="177"/>
    </row>
    <row r="639" spans="1:13" ht="22.5">
      <c r="A639" s="745" t="s">
        <v>7880</v>
      </c>
      <c r="B639" s="745"/>
      <c r="C639" s="745" t="s">
        <v>7865</v>
      </c>
      <c r="D639" s="745"/>
      <c r="E639" s="745"/>
      <c r="F639" s="745" t="s">
        <v>8123</v>
      </c>
      <c r="G639" s="241" t="s">
        <v>7869</v>
      </c>
      <c r="H639" s="241" t="s">
        <v>7870</v>
      </c>
      <c r="I639" s="241" t="s">
        <v>7871</v>
      </c>
      <c r="J639" s="241" t="s">
        <v>7869</v>
      </c>
      <c r="K639" s="241" t="s">
        <v>7870</v>
      </c>
      <c r="M639" s="177"/>
    </row>
    <row r="640" spans="1:13">
      <c r="A640" s="745"/>
      <c r="B640" s="745"/>
      <c r="C640" s="745"/>
      <c r="D640" s="745"/>
      <c r="E640" s="745"/>
      <c r="F640" s="745"/>
      <c r="G640" s="241" t="s">
        <v>7872</v>
      </c>
      <c r="H640" s="241" t="s">
        <v>7873</v>
      </c>
      <c r="I640" s="241" t="s">
        <v>7874</v>
      </c>
      <c r="J640" s="241" t="s">
        <v>7872</v>
      </c>
      <c r="K640" s="241" t="s">
        <v>7873</v>
      </c>
      <c r="M640" s="177"/>
    </row>
    <row r="641" spans="1:13">
      <c r="A641" s="241"/>
      <c r="B641" s="234" t="s">
        <v>6931</v>
      </c>
      <c r="C641" s="222">
        <v>2</v>
      </c>
      <c r="D641" s="222"/>
      <c r="E641" s="225"/>
      <c r="F641" s="231">
        <v>0</v>
      </c>
      <c r="G641" s="239"/>
      <c r="H641" s="220"/>
      <c r="I641" s="220">
        <f>F641*C641</f>
        <v>0</v>
      </c>
      <c r="J641" s="220">
        <f t="shared" ref="J641:J665" si="42">G641*C641</f>
        <v>0</v>
      </c>
      <c r="K641" s="220">
        <f t="shared" ref="K641:K665" si="43">C641*H641</f>
        <v>0</v>
      </c>
      <c r="L641" s="280"/>
      <c r="M641" s="177"/>
    </row>
    <row r="642" spans="1:13">
      <c r="A642" s="241"/>
      <c r="B642" s="234" t="s">
        <v>6932</v>
      </c>
      <c r="C642" s="222">
        <v>4</v>
      </c>
      <c r="D642" s="222"/>
      <c r="E642" s="225"/>
      <c r="F642" s="231">
        <v>0</v>
      </c>
      <c r="G642" s="239"/>
      <c r="H642" s="220"/>
      <c r="I642" s="220">
        <f t="shared" ref="I642:I665" si="44">F642*C642</f>
        <v>0</v>
      </c>
      <c r="J642" s="220">
        <f t="shared" si="42"/>
        <v>0</v>
      </c>
      <c r="K642" s="220">
        <f t="shared" si="43"/>
        <v>0</v>
      </c>
      <c r="L642" s="280"/>
      <c r="M642" s="177"/>
    </row>
    <row r="643" spans="1:13">
      <c r="A643" s="241"/>
      <c r="B643" s="234" t="s">
        <v>6933</v>
      </c>
      <c r="C643" s="222">
        <v>12</v>
      </c>
      <c r="D643" s="222"/>
      <c r="E643" s="225"/>
      <c r="F643" s="231">
        <v>0</v>
      </c>
      <c r="G643" s="239"/>
      <c r="H643" s="220"/>
      <c r="I643" s="220">
        <f t="shared" si="44"/>
        <v>0</v>
      </c>
      <c r="J643" s="220">
        <f t="shared" si="42"/>
        <v>0</v>
      </c>
      <c r="K643" s="220">
        <f t="shared" si="43"/>
        <v>0</v>
      </c>
      <c r="L643" s="281"/>
      <c r="M643" s="177"/>
    </row>
    <row r="644" spans="1:13">
      <c r="A644" s="241"/>
      <c r="B644" s="234" t="s">
        <v>6934</v>
      </c>
      <c r="C644" s="222">
        <v>4</v>
      </c>
      <c r="D644" s="222"/>
      <c r="E644" s="225"/>
      <c r="F644" s="231">
        <v>0</v>
      </c>
      <c r="G644" s="239"/>
      <c r="H644" s="220"/>
      <c r="I644" s="220">
        <f t="shared" si="44"/>
        <v>0</v>
      </c>
      <c r="J644" s="220">
        <f t="shared" si="42"/>
        <v>0</v>
      </c>
      <c r="K644" s="220">
        <f t="shared" si="43"/>
        <v>0</v>
      </c>
      <c r="L644" s="281"/>
      <c r="M644" s="177"/>
    </row>
    <row r="645" spans="1:13">
      <c r="A645" s="241"/>
      <c r="B645" s="234" t="s">
        <v>6935</v>
      </c>
      <c r="C645" s="222">
        <v>5</v>
      </c>
      <c r="D645" s="222"/>
      <c r="E645" s="225"/>
      <c r="F645" s="231">
        <v>1.9</v>
      </c>
      <c r="G645" s="239"/>
      <c r="H645" s="220"/>
      <c r="I645" s="220">
        <f t="shared" si="44"/>
        <v>9.5</v>
      </c>
      <c r="J645" s="220">
        <f t="shared" si="42"/>
        <v>0</v>
      </c>
      <c r="K645" s="220">
        <f t="shared" si="43"/>
        <v>0</v>
      </c>
      <c r="L645" s="281"/>
      <c r="M645" s="177"/>
    </row>
    <row r="646" spans="1:13">
      <c r="A646" s="241"/>
      <c r="B646" s="234" t="s">
        <v>6936</v>
      </c>
      <c r="C646" s="222">
        <v>1</v>
      </c>
      <c r="D646" s="222"/>
      <c r="E646" s="225"/>
      <c r="F646" s="231">
        <f>0.76+2.37</f>
        <v>3.13</v>
      </c>
      <c r="G646" s="239"/>
      <c r="H646" s="220"/>
      <c r="I646" s="220">
        <f t="shared" si="44"/>
        <v>3.13</v>
      </c>
      <c r="J646" s="220">
        <f t="shared" si="42"/>
        <v>0</v>
      </c>
      <c r="K646" s="220">
        <f t="shared" si="43"/>
        <v>0</v>
      </c>
      <c r="L646" s="281"/>
      <c r="M646" s="177"/>
    </row>
    <row r="647" spans="1:13">
      <c r="A647" s="241"/>
      <c r="B647" s="234" t="s">
        <v>6937</v>
      </c>
      <c r="C647" s="222">
        <v>2</v>
      </c>
      <c r="D647" s="222"/>
      <c r="E647" s="225"/>
      <c r="F647" s="231">
        <f>0.68+2.5</f>
        <v>3.18</v>
      </c>
      <c r="G647" s="239"/>
      <c r="H647" s="220"/>
      <c r="I647" s="220">
        <f t="shared" si="44"/>
        <v>6.36</v>
      </c>
      <c r="J647" s="220">
        <f t="shared" si="42"/>
        <v>0</v>
      </c>
      <c r="K647" s="220">
        <f t="shared" si="43"/>
        <v>0</v>
      </c>
      <c r="L647" s="281"/>
      <c r="M647" s="177"/>
    </row>
    <row r="648" spans="1:13">
      <c r="A648" s="241"/>
      <c r="B648" s="234" t="s">
        <v>6938</v>
      </c>
      <c r="C648" s="222">
        <v>2</v>
      </c>
      <c r="D648" s="222"/>
      <c r="E648" s="225"/>
      <c r="F648" s="231">
        <f>2.97+0.78+0.78</f>
        <v>4.53</v>
      </c>
      <c r="G648" s="239"/>
      <c r="H648" s="220"/>
      <c r="I648" s="220">
        <f t="shared" si="44"/>
        <v>9.06</v>
      </c>
      <c r="J648" s="220">
        <f t="shared" si="42"/>
        <v>0</v>
      </c>
      <c r="K648" s="220">
        <f t="shared" si="43"/>
        <v>0</v>
      </c>
      <c r="L648" s="281"/>
      <c r="M648" s="177"/>
    </row>
    <row r="649" spans="1:13">
      <c r="A649" s="241"/>
      <c r="B649" s="234" t="s">
        <v>6939</v>
      </c>
      <c r="C649" s="222">
        <v>1</v>
      </c>
      <c r="D649" s="222"/>
      <c r="E649" s="225"/>
      <c r="F649" s="231">
        <f>2.97+0.78+0.78</f>
        <v>4.53</v>
      </c>
      <c r="G649" s="239"/>
      <c r="H649" s="220"/>
      <c r="I649" s="220">
        <f t="shared" si="44"/>
        <v>4.53</v>
      </c>
      <c r="J649" s="220">
        <f t="shared" si="42"/>
        <v>0</v>
      </c>
      <c r="K649" s="220">
        <f t="shared" si="43"/>
        <v>0</v>
      </c>
      <c r="L649" s="281"/>
      <c r="M649" s="177"/>
    </row>
    <row r="650" spans="1:13">
      <c r="A650" s="241"/>
      <c r="B650" s="234" t="s">
        <v>6940</v>
      </c>
      <c r="C650" s="222">
        <v>1</v>
      </c>
      <c r="D650" s="222"/>
      <c r="E650" s="225"/>
      <c r="F650" s="231">
        <f>2*0.7+6.1</f>
        <v>7.5</v>
      </c>
      <c r="G650" s="239"/>
      <c r="H650" s="220"/>
      <c r="I650" s="220">
        <f t="shared" si="44"/>
        <v>7.5</v>
      </c>
      <c r="J650" s="220">
        <f t="shared" si="42"/>
        <v>0</v>
      </c>
      <c r="K650" s="220">
        <f t="shared" si="43"/>
        <v>0</v>
      </c>
      <c r="L650" s="281"/>
      <c r="M650" s="177"/>
    </row>
    <row r="651" spans="1:13">
      <c r="A651" s="241"/>
      <c r="B651" s="234" t="s">
        <v>6941</v>
      </c>
      <c r="C651" s="222">
        <v>1</v>
      </c>
      <c r="D651" s="222"/>
      <c r="E651" s="225"/>
      <c r="F651" s="231">
        <f>0.8+0.8+6.17</f>
        <v>7.77</v>
      </c>
      <c r="G651" s="239"/>
      <c r="H651" s="220"/>
      <c r="I651" s="220">
        <f t="shared" si="44"/>
        <v>7.77</v>
      </c>
      <c r="J651" s="220">
        <f t="shared" si="42"/>
        <v>0</v>
      </c>
      <c r="K651" s="220">
        <f t="shared" si="43"/>
        <v>0</v>
      </c>
      <c r="L651" s="281"/>
      <c r="M651" s="177"/>
    </row>
    <row r="652" spans="1:13">
      <c r="A652" s="241"/>
      <c r="B652" s="234" t="s">
        <v>6942</v>
      </c>
      <c r="C652" s="222">
        <v>3</v>
      </c>
      <c r="D652" s="222"/>
      <c r="E652" s="225"/>
      <c r="F652" s="231">
        <f>0.58+1.5</f>
        <v>2.08</v>
      </c>
      <c r="G652" s="239"/>
      <c r="H652" s="220"/>
      <c r="I652" s="220">
        <f t="shared" si="44"/>
        <v>6.24</v>
      </c>
      <c r="J652" s="220">
        <f t="shared" si="42"/>
        <v>0</v>
      </c>
      <c r="K652" s="220">
        <f t="shared" si="43"/>
        <v>0</v>
      </c>
      <c r="L652" s="281"/>
      <c r="M652" s="177"/>
    </row>
    <row r="653" spans="1:13">
      <c r="A653" s="241"/>
      <c r="B653" s="234" t="s">
        <v>6943</v>
      </c>
      <c r="C653" s="222">
        <v>1</v>
      </c>
      <c r="D653" s="222"/>
      <c r="E653" s="225"/>
      <c r="F653" s="231">
        <v>1.87</v>
      </c>
      <c r="G653" s="239"/>
      <c r="H653" s="220"/>
      <c r="I653" s="220">
        <f t="shared" si="44"/>
        <v>1.87</v>
      </c>
      <c r="J653" s="220">
        <f t="shared" si="42"/>
        <v>0</v>
      </c>
      <c r="K653" s="220">
        <f t="shared" si="43"/>
        <v>0</v>
      </c>
      <c r="L653" s="281"/>
      <c r="M653" s="177"/>
    </row>
    <row r="654" spans="1:13">
      <c r="A654" s="241"/>
      <c r="B654" s="234" t="s">
        <v>6944</v>
      </c>
      <c r="C654" s="222">
        <v>1</v>
      </c>
      <c r="D654" s="222"/>
      <c r="E654" s="225"/>
      <c r="F654" s="231">
        <v>1.87</v>
      </c>
      <c r="G654" s="239"/>
      <c r="H654" s="220"/>
      <c r="I654" s="220">
        <f t="shared" si="44"/>
        <v>1.87</v>
      </c>
      <c r="J654" s="220">
        <f t="shared" si="42"/>
        <v>0</v>
      </c>
      <c r="K654" s="220">
        <f t="shared" si="43"/>
        <v>0</v>
      </c>
      <c r="L654" s="281"/>
      <c r="M654" s="177"/>
    </row>
    <row r="655" spans="1:13">
      <c r="A655" s="241"/>
      <c r="B655" s="234" t="s">
        <v>6945</v>
      </c>
      <c r="C655" s="222">
        <v>2</v>
      </c>
      <c r="D655" s="222"/>
      <c r="E655" s="225"/>
      <c r="F655" s="231">
        <v>2.2999999999999998</v>
      </c>
      <c r="G655" s="239"/>
      <c r="H655" s="220"/>
      <c r="I655" s="220">
        <f t="shared" si="44"/>
        <v>4.5999999999999996</v>
      </c>
      <c r="J655" s="220">
        <f t="shared" si="42"/>
        <v>0</v>
      </c>
      <c r="K655" s="220">
        <f t="shared" si="43"/>
        <v>0</v>
      </c>
      <c r="L655" s="281"/>
      <c r="M655" s="177"/>
    </row>
    <row r="656" spans="1:13">
      <c r="A656" s="241"/>
      <c r="B656" s="234" t="s">
        <v>6946</v>
      </c>
      <c r="C656" s="222">
        <v>3</v>
      </c>
      <c r="D656" s="222"/>
      <c r="E656" s="225"/>
      <c r="F656" s="231">
        <f>4.1+1</f>
        <v>5.0999999999999996</v>
      </c>
      <c r="G656" s="239"/>
      <c r="H656" s="220"/>
      <c r="I656" s="220">
        <f t="shared" si="44"/>
        <v>15.299999999999999</v>
      </c>
      <c r="J656" s="220">
        <f t="shared" si="42"/>
        <v>0</v>
      </c>
      <c r="K656" s="220">
        <f t="shared" si="43"/>
        <v>0</v>
      </c>
      <c r="L656" s="281"/>
      <c r="M656" s="177"/>
    </row>
    <row r="657" spans="1:13">
      <c r="A657" s="241"/>
      <c r="B657" s="234" t="s">
        <v>6947</v>
      </c>
      <c r="C657" s="222">
        <v>2</v>
      </c>
      <c r="D657" s="222"/>
      <c r="E657" s="225"/>
      <c r="F657" s="231">
        <f>0.78+4.1</f>
        <v>4.88</v>
      </c>
      <c r="G657" s="239"/>
      <c r="H657" s="220"/>
      <c r="I657" s="220">
        <f t="shared" si="44"/>
        <v>9.76</v>
      </c>
      <c r="J657" s="220">
        <f t="shared" si="42"/>
        <v>0</v>
      </c>
      <c r="K657" s="220">
        <f t="shared" si="43"/>
        <v>0</v>
      </c>
      <c r="L657" s="281"/>
      <c r="M657" s="177"/>
    </row>
    <row r="658" spans="1:13">
      <c r="A658" s="241"/>
      <c r="B658" s="234" t="s">
        <v>6948</v>
      </c>
      <c r="C658" s="222">
        <v>2</v>
      </c>
      <c r="D658" s="222"/>
      <c r="E658" s="225"/>
      <c r="F658" s="231">
        <f>5.45+0.98</f>
        <v>6.43</v>
      </c>
      <c r="G658" s="239"/>
      <c r="H658" s="220"/>
      <c r="I658" s="220">
        <f t="shared" si="44"/>
        <v>12.86</v>
      </c>
      <c r="J658" s="220">
        <f t="shared" si="42"/>
        <v>0</v>
      </c>
      <c r="K658" s="220">
        <f t="shared" si="43"/>
        <v>0</v>
      </c>
      <c r="L658" s="281"/>
      <c r="M658" s="177"/>
    </row>
    <row r="659" spans="1:13">
      <c r="A659" s="241"/>
      <c r="B659" s="234" t="s">
        <v>6949</v>
      </c>
      <c r="C659" s="222">
        <v>1</v>
      </c>
      <c r="D659" s="222"/>
      <c r="E659" s="225"/>
      <c r="F659" s="231">
        <f>0.8+5.55</f>
        <v>6.35</v>
      </c>
      <c r="G659" s="239"/>
      <c r="H659" s="220"/>
      <c r="I659" s="220">
        <f t="shared" si="44"/>
        <v>6.35</v>
      </c>
      <c r="J659" s="220">
        <f t="shared" si="42"/>
        <v>0</v>
      </c>
      <c r="K659" s="220">
        <f t="shared" si="43"/>
        <v>0</v>
      </c>
      <c r="L659" s="281"/>
      <c r="M659" s="177"/>
    </row>
    <row r="660" spans="1:13">
      <c r="A660" s="241"/>
      <c r="B660" s="234" t="s">
        <v>6950</v>
      </c>
      <c r="C660" s="222">
        <v>2</v>
      </c>
      <c r="D660" s="222"/>
      <c r="E660" s="225"/>
      <c r="F660" s="231">
        <v>3.4</v>
      </c>
      <c r="G660" s="239"/>
      <c r="H660" s="220"/>
      <c r="I660" s="220">
        <f t="shared" si="44"/>
        <v>6.8</v>
      </c>
      <c r="J660" s="220">
        <f t="shared" si="42"/>
        <v>0</v>
      </c>
      <c r="K660" s="220">
        <f t="shared" si="43"/>
        <v>0</v>
      </c>
      <c r="L660" s="281"/>
      <c r="M660" s="177"/>
    </row>
    <row r="661" spans="1:13">
      <c r="A661" s="241"/>
      <c r="B661" s="234" t="s">
        <v>6951</v>
      </c>
      <c r="C661" s="222">
        <v>2</v>
      </c>
      <c r="D661" s="222"/>
      <c r="E661" s="225"/>
      <c r="F661" s="231">
        <f>3.4</f>
        <v>3.4</v>
      </c>
      <c r="G661" s="239"/>
      <c r="H661" s="220"/>
      <c r="I661" s="220">
        <f t="shared" si="44"/>
        <v>6.8</v>
      </c>
      <c r="J661" s="220">
        <f t="shared" si="42"/>
        <v>0</v>
      </c>
      <c r="K661" s="220">
        <f t="shared" si="43"/>
        <v>0</v>
      </c>
      <c r="L661" s="281"/>
      <c r="M661" s="177"/>
    </row>
    <row r="662" spans="1:13">
      <c r="A662" s="241"/>
      <c r="B662" s="234" t="s">
        <v>6952</v>
      </c>
      <c r="C662" s="222">
        <v>1</v>
      </c>
      <c r="D662" s="222"/>
      <c r="E662" s="225"/>
      <c r="F662" s="231">
        <v>2.4700000000000002</v>
      </c>
      <c r="G662" s="239"/>
      <c r="H662" s="220"/>
      <c r="I662" s="220">
        <f t="shared" si="44"/>
        <v>2.4700000000000002</v>
      </c>
      <c r="J662" s="220">
        <f t="shared" si="42"/>
        <v>0</v>
      </c>
      <c r="K662" s="220">
        <f t="shared" si="43"/>
        <v>0</v>
      </c>
      <c r="L662" s="281"/>
      <c r="M662" s="177"/>
    </row>
    <row r="663" spans="1:13">
      <c r="A663" s="241"/>
      <c r="B663" s="234" t="s">
        <v>6953</v>
      </c>
      <c r="C663" s="222">
        <v>1</v>
      </c>
      <c r="D663" s="222"/>
      <c r="E663" s="225"/>
      <c r="F663" s="231">
        <v>0</v>
      </c>
      <c r="G663" s="239"/>
      <c r="H663" s="220"/>
      <c r="I663" s="220">
        <f t="shared" si="44"/>
        <v>0</v>
      </c>
      <c r="J663" s="220">
        <f t="shared" si="42"/>
        <v>0</v>
      </c>
      <c r="K663" s="220">
        <f t="shared" si="43"/>
        <v>0</v>
      </c>
      <c r="L663" s="281"/>
      <c r="M663" s="177"/>
    </row>
    <row r="664" spans="1:13">
      <c r="A664" s="241"/>
      <c r="B664" s="234" t="s">
        <v>6955</v>
      </c>
      <c r="C664" s="222">
        <v>1</v>
      </c>
      <c r="D664" s="222"/>
      <c r="E664" s="225"/>
      <c r="F664" s="231">
        <v>0</v>
      </c>
      <c r="G664" s="239"/>
      <c r="H664" s="220"/>
      <c r="I664" s="220">
        <f t="shared" si="44"/>
        <v>0</v>
      </c>
      <c r="J664" s="220">
        <f t="shared" si="42"/>
        <v>0</v>
      </c>
      <c r="K664" s="220">
        <f t="shared" si="43"/>
        <v>0</v>
      </c>
      <c r="L664" s="281"/>
      <c r="M664" s="177"/>
    </row>
    <row r="665" spans="1:13">
      <c r="A665" s="241"/>
      <c r="B665" s="234" t="s">
        <v>6954</v>
      </c>
      <c r="C665" s="222">
        <v>2</v>
      </c>
      <c r="D665" s="222"/>
      <c r="E665" s="225"/>
      <c r="F665" s="231">
        <v>0</v>
      </c>
      <c r="G665" s="239"/>
      <c r="H665" s="220"/>
      <c r="I665" s="220">
        <f t="shared" si="44"/>
        <v>0</v>
      </c>
      <c r="J665" s="220">
        <f t="shared" si="42"/>
        <v>0</v>
      </c>
      <c r="K665" s="220">
        <f t="shared" si="43"/>
        <v>0</v>
      </c>
      <c r="L665" s="280"/>
      <c r="M665" s="177"/>
    </row>
    <row r="666" spans="1:13">
      <c r="A666" s="228"/>
      <c r="B666" s="229"/>
      <c r="C666" s="229"/>
      <c r="D666" s="229"/>
      <c r="E666" s="229"/>
      <c r="F666" s="747" t="s">
        <v>7875</v>
      </c>
      <c r="G666" s="747"/>
      <c r="H666" s="747"/>
      <c r="I666" s="230">
        <f>ROUND(SUM(I641:I665),2)</f>
        <v>122.77</v>
      </c>
      <c r="J666" s="230">
        <f>ROUND(SUM(J641:J665),2)</f>
        <v>0</v>
      </c>
      <c r="K666" s="230">
        <f>ROUND(SUM(K664:K665),2)</f>
        <v>0</v>
      </c>
      <c r="M666" s="177"/>
    </row>
    <row r="667" spans="1:13">
      <c r="A667" s="241"/>
      <c r="B667" s="746"/>
      <c r="C667" s="746"/>
      <c r="D667" s="746"/>
      <c r="E667" s="746"/>
      <c r="F667" s="746"/>
      <c r="G667" s="746"/>
      <c r="H667" s="746"/>
      <c r="I667" s="746"/>
      <c r="J667" s="746"/>
      <c r="K667" s="241"/>
      <c r="M667" s="177"/>
    </row>
    <row r="668" spans="1:13" ht="22.5">
      <c r="A668" s="226" t="str">
        <f>'Orç - Prédio'!A202</f>
        <v>04.01.808.03</v>
      </c>
      <c r="B668" s="748" t="str">
        <f>'Orç - Prédio'!D202</f>
        <v>Prateleiras em placas de granito, espessura 20mm, polido em todas as faces aparentes, exclusive mão-francesa (PG-01 e PG-02)</v>
      </c>
      <c r="C668" s="748"/>
      <c r="D668" s="748"/>
      <c r="E668" s="748"/>
      <c r="F668" s="748"/>
      <c r="G668" s="748"/>
      <c r="H668" s="748"/>
      <c r="I668" s="748"/>
      <c r="J668" s="748"/>
      <c r="K668" s="227" t="str">
        <f>'Orç - Prédio'!F202</f>
        <v>m2</v>
      </c>
    </row>
    <row r="669" spans="1:13">
      <c r="A669" s="745"/>
      <c r="B669" s="745"/>
      <c r="C669" s="218"/>
      <c r="D669" s="218"/>
      <c r="E669" s="218"/>
      <c r="F669" s="218"/>
      <c r="G669" s="745" t="s">
        <v>7863</v>
      </c>
      <c r="H669" s="745"/>
      <c r="I669" s="745" t="s">
        <v>7864</v>
      </c>
      <c r="J669" s="745"/>
      <c r="K669" s="745"/>
      <c r="M669" s="177"/>
    </row>
    <row r="670" spans="1:13" ht="22.5">
      <c r="A670" s="745" t="s">
        <v>7880</v>
      </c>
      <c r="B670" s="745"/>
      <c r="C670" s="745" t="s">
        <v>7865</v>
      </c>
      <c r="D670" s="745" t="s">
        <v>7866</v>
      </c>
      <c r="E670" s="745" t="s">
        <v>7867</v>
      </c>
      <c r="F670" s="745" t="s">
        <v>7868</v>
      </c>
      <c r="G670" s="241" t="s">
        <v>7869</v>
      </c>
      <c r="H670" s="241" t="s">
        <v>7870</v>
      </c>
      <c r="I670" s="241" t="s">
        <v>7871</v>
      </c>
      <c r="J670" s="241" t="s">
        <v>7869</v>
      </c>
      <c r="K670" s="241" t="s">
        <v>7870</v>
      </c>
      <c r="M670" s="177"/>
    </row>
    <row r="671" spans="1:13">
      <c r="A671" s="745"/>
      <c r="B671" s="745"/>
      <c r="C671" s="745"/>
      <c r="D671" s="745"/>
      <c r="E671" s="745"/>
      <c r="F671" s="745"/>
      <c r="G671" s="241" t="s">
        <v>7872</v>
      </c>
      <c r="H671" s="241" t="s">
        <v>7873</v>
      </c>
      <c r="I671" s="241" t="s">
        <v>7874</v>
      </c>
      <c r="J671" s="241" t="s">
        <v>7872</v>
      </c>
      <c r="K671" s="241" t="s">
        <v>7873</v>
      </c>
      <c r="M671" s="177"/>
    </row>
    <row r="672" spans="1:13">
      <c r="A672" s="241"/>
      <c r="B672" s="234" t="s">
        <v>6918</v>
      </c>
      <c r="C672" s="222">
        <v>4</v>
      </c>
      <c r="D672" s="222">
        <v>0.28999999999999998</v>
      </c>
      <c r="E672" s="225">
        <v>1.06</v>
      </c>
      <c r="F672" s="231"/>
      <c r="G672" s="239">
        <f>E672*D672</f>
        <v>0.30740000000000001</v>
      </c>
      <c r="H672" s="220"/>
      <c r="I672" s="220">
        <f>F672*C672</f>
        <v>0</v>
      </c>
      <c r="J672" s="220">
        <f>G672*C672</f>
        <v>1.2296</v>
      </c>
      <c r="K672" s="220">
        <f>C672*H672</f>
        <v>0</v>
      </c>
      <c r="L672" s="280"/>
      <c r="M672" s="177"/>
    </row>
    <row r="673" spans="1:13">
      <c r="A673" s="241"/>
      <c r="B673" s="234" t="s">
        <v>6919</v>
      </c>
      <c r="C673" s="222">
        <v>16</v>
      </c>
      <c r="D673" s="222">
        <v>0.17</v>
      </c>
      <c r="E673" s="225">
        <v>0.95</v>
      </c>
      <c r="F673" s="231"/>
      <c r="G673" s="239">
        <f>E673*D673</f>
        <v>0.1615</v>
      </c>
      <c r="H673" s="220"/>
      <c r="I673" s="220">
        <f>F673*C673</f>
        <v>0</v>
      </c>
      <c r="J673" s="220">
        <f>G673*C673</f>
        <v>2.5840000000000001</v>
      </c>
      <c r="K673" s="220">
        <f>C673*H673</f>
        <v>0</v>
      </c>
      <c r="L673" s="280"/>
      <c r="M673" s="177"/>
    </row>
    <row r="674" spans="1:13">
      <c r="A674" s="228"/>
      <c r="B674" s="229"/>
      <c r="C674" s="229"/>
      <c r="D674" s="229"/>
      <c r="E674" s="229"/>
      <c r="F674" s="747" t="s">
        <v>7875</v>
      </c>
      <c r="G674" s="747"/>
      <c r="H674" s="747"/>
      <c r="I674" s="230">
        <f>ROUND(SUM(I672:I673),2)</f>
        <v>0</v>
      </c>
      <c r="J674" s="230">
        <f>ROUND(SUM(J672:J673),2)</f>
        <v>3.81</v>
      </c>
      <c r="K674" s="230">
        <f>ROUND(SUM(K672:K673),2)</f>
        <v>0</v>
      </c>
      <c r="M674" s="177"/>
    </row>
    <row r="675" spans="1:13">
      <c r="A675" s="241"/>
      <c r="B675" s="746"/>
      <c r="C675" s="746"/>
      <c r="D675" s="746"/>
      <c r="E675" s="746"/>
      <c r="F675" s="746"/>
      <c r="G675" s="746"/>
      <c r="H675" s="746"/>
      <c r="I675" s="746"/>
      <c r="J675" s="746"/>
      <c r="K675" s="241"/>
      <c r="M675" s="177"/>
    </row>
    <row r="676" spans="1:13" ht="24" customHeight="1">
      <c r="A676" s="226" t="str">
        <f>'Orç - Prédio'!A203</f>
        <v>04.01.809</v>
      </c>
      <c r="B676" s="748" t="str">
        <f>'Orç - Prédio'!D203</f>
        <v>Mão-francesa em aço, abas iguais, 30cm, capacidade mínima de 60 kg, branca, fornecimento e instalação (bancadas BG-20 a BG-25 e prateleiras)</v>
      </c>
      <c r="C676" s="748"/>
      <c r="D676" s="748"/>
      <c r="E676" s="748"/>
      <c r="F676" s="748"/>
      <c r="G676" s="748"/>
      <c r="H676" s="748"/>
      <c r="I676" s="748"/>
      <c r="J676" s="748"/>
      <c r="K676" s="227" t="str">
        <f>'Orç - Prédio'!F203</f>
        <v>unidade</v>
      </c>
    </row>
    <row r="677" spans="1:13">
      <c r="A677" s="745"/>
      <c r="B677" s="745"/>
      <c r="C677" s="218"/>
      <c r="D677" s="218"/>
      <c r="E677" s="218"/>
      <c r="F677" s="218"/>
      <c r="G677" s="745" t="s">
        <v>7863</v>
      </c>
      <c r="H677" s="745"/>
      <c r="I677" s="745" t="s">
        <v>7864</v>
      </c>
      <c r="J677" s="745"/>
      <c r="K677" s="745"/>
      <c r="M677" s="177"/>
    </row>
    <row r="678" spans="1:13" ht="22.5">
      <c r="A678" s="745" t="s">
        <v>7880</v>
      </c>
      <c r="B678" s="745"/>
      <c r="C678" s="745" t="s">
        <v>7865</v>
      </c>
      <c r="D678" s="745"/>
      <c r="E678" s="745"/>
      <c r="F678" s="745" t="s">
        <v>8124</v>
      </c>
      <c r="G678" s="241" t="s">
        <v>7869</v>
      </c>
      <c r="H678" s="241" t="s">
        <v>7870</v>
      </c>
      <c r="I678" s="241" t="s">
        <v>8125</v>
      </c>
      <c r="J678" s="241" t="s">
        <v>7869</v>
      </c>
      <c r="K678" s="241" t="s">
        <v>7870</v>
      </c>
      <c r="M678" s="177"/>
    </row>
    <row r="679" spans="1:13">
      <c r="A679" s="745"/>
      <c r="B679" s="745"/>
      <c r="C679" s="745"/>
      <c r="D679" s="745"/>
      <c r="E679" s="745"/>
      <c r="F679" s="745"/>
      <c r="G679" s="241" t="s">
        <v>7872</v>
      </c>
      <c r="H679" s="241" t="s">
        <v>7873</v>
      </c>
      <c r="I679" s="241" t="s">
        <v>8126</v>
      </c>
      <c r="J679" s="241" t="s">
        <v>7872</v>
      </c>
      <c r="K679" s="241" t="s">
        <v>7873</v>
      </c>
      <c r="M679" s="177"/>
    </row>
    <row r="680" spans="1:13">
      <c r="A680" s="241"/>
      <c r="B680" s="234" t="s">
        <v>6931</v>
      </c>
      <c r="C680" s="222">
        <v>2</v>
      </c>
      <c r="D680" s="222"/>
      <c r="E680" s="225"/>
      <c r="F680" s="231">
        <v>0</v>
      </c>
      <c r="G680" s="239"/>
      <c r="H680" s="220"/>
      <c r="I680" s="220">
        <f>F680*C680</f>
        <v>0</v>
      </c>
      <c r="J680" s="220">
        <f t="shared" ref="J680:J704" si="45">G680*C680</f>
        <v>0</v>
      </c>
      <c r="K680" s="220">
        <f t="shared" ref="K680:K704" si="46">C680*H680</f>
        <v>0</v>
      </c>
      <c r="L680" s="280"/>
      <c r="M680" s="177"/>
    </row>
    <row r="681" spans="1:13">
      <c r="A681" s="241"/>
      <c r="B681" s="234" t="s">
        <v>6932</v>
      </c>
      <c r="C681" s="222">
        <v>4</v>
      </c>
      <c r="D681" s="222"/>
      <c r="E681" s="225"/>
      <c r="F681" s="231">
        <v>0</v>
      </c>
      <c r="G681" s="239"/>
      <c r="H681" s="220"/>
      <c r="I681" s="220">
        <f t="shared" ref="I681:I704" si="47">F681*C681</f>
        <v>0</v>
      </c>
      <c r="J681" s="220">
        <f t="shared" si="45"/>
        <v>0</v>
      </c>
      <c r="K681" s="220">
        <f t="shared" si="46"/>
        <v>0</v>
      </c>
      <c r="L681" s="280"/>
      <c r="M681" s="177"/>
    </row>
    <row r="682" spans="1:13">
      <c r="A682" s="241"/>
      <c r="B682" s="234" t="s">
        <v>6933</v>
      </c>
      <c r="C682" s="222">
        <v>12</v>
      </c>
      <c r="D682" s="222"/>
      <c r="E682" s="225"/>
      <c r="F682" s="231">
        <v>0</v>
      </c>
      <c r="G682" s="239"/>
      <c r="H682" s="220"/>
      <c r="I682" s="220">
        <f t="shared" si="47"/>
        <v>0</v>
      </c>
      <c r="J682" s="220">
        <f t="shared" si="45"/>
        <v>0</v>
      </c>
      <c r="K682" s="220">
        <f t="shared" si="46"/>
        <v>0</v>
      </c>
      <c r="L682" s="281"/>
      <c r="M682" s="177"/>
    </row>
    <row r="683" spans="1:13">
      <c r="A683" s="241"/>
      <c r="B683" s="234" t="s">
        <v>6934</v>
      </c>
      <c r="C683" s="222">
        <v>4</v>
      </c>
      <c r="D683" s="222"/>
      <c r="E683" s="225"/>
      <c r="F683" s="231">
        <v>0</v>
      </c>
      <c r="G683" s="239"/>
      <c r="H683" s="220"/>
      <c r="I683" s="220">
        <f t="shared" si="47"/>
        <v>0</v>
      </c>
      <c r="J683" s="220">
        <f t="shared" si="45"/>
        <v>0</v>
      </c>
      <c r="K683" s="220">
        <f t="shared" si="46"/>
        <v>0</v>
      </c>
      <c r="L683" s="281"/>
      <c r="M683" s="177"/>
    </row>
    <row r="684" spans="1:13">
      <c r="A684" s="241"/>
      <c r="B684" s="234" t="s">
        <v>6935</v>
      </c>
      <c r="C684" s="222">
        <v>5</v>
      </c>
      <c r="D684" s="222"/>
      <c r="E684" s="225"/>
      <c r="F684" s="231">
        <v>0</v>
      </c>
      <c r="G684" s="239"/>
      <c r="H684" s="220"/>
      <c r="I684" s="220">
        <f t="shared" si="47"/>
        <v>0</v>
      </c>
      <c r="J684" s="220">
        <f t="shared" si="45"/>
        <v>0</v>
      </c>
      <c r="K684" s="220">
        <f t="shared" si="46"/>
        <v>0</v>
      </c>
      <c r="L684" s="281"/>
      <c r="M684" s="177"/>
    </row>
    <row r="685" spans="1:13">
      <c r="A685" s="241"/>
      <c r="B685" s="234" t="s">
        <v>6936</v>
      </c>
      <c r="C685" s="222">
        <v>1</v>
      </c>
      <c r="D685" s="222"/>
      <c r="E685" s="225"/>
      <c r="F685" s="231">
        <v>0</v>
      </c>
      <c r="G685" s="239"/>
      <c r="H685" s="220"/>
      <c r="I685" s="220">
        <f t="shared" si="47"/>
        <v>0</v>
      </c>
      <c r="J685" s="220">
        <f t="shared" si="45"/>
        <v>0</v>
      </c>
      <c r="K685" s="220">
        <f t="shared" si="46"/>
        <v>0</v>
      </c>
      <c r="L685" s="281"/>
      <c r="M685" s="177"/>
    </row>
    <row r="686" spans="1:13">
      <c r="A686" s="241"/>
      <c r="B686" s="234" t="s">
        <v>6937</v>
      </c>
      <c r="C686" s="222">
        <v>2</v>
      </c>
      <c r="D686" s="222"/>
      <c r="E686" s="225"/>
      <c r="F686" s="231">
        <v>0</v>
      </c>
      <c r="G686" s="239"/>
      <c r="H686" s="220"/>
      <c r="I686" s="220">
        <f t="shared" si="47"/>
        <v>0</v>
      </c>
      <c r="J686" s="220">
        <f t="shared" si="45"/>
        <v>0</v>
      </c>
      <c r="K686" s="220">
        <f t="shared" si="46"/>
        <v>0</v>
      </c>
      <c r="L686" s="281"/>
      <c r="M686" s="177"/>
    </row>
    <row r="687" spans="1:13">
      <c r="A687" s="241"/>
      <c r="B687" s="234" t="s">
        <v>6938</v>
      </c>
      <c r="C687" s="222">
        <v>2</v>
      </c>
      <c r="D687" s="222"/>
      <c r="E687" s="225"/>
      <c r="F687" s="231">
        <v>0</v>
      </c>
      <c r="G687" s="239"/>
      <c r="H687" s="220"/>
      <c r="I687" s="220">
        <f t="shared" si="47"/>
        <v>0</v>
      </c>
      <c r="J687" s="220">
        <f t="shared" si="45"/>
        <v>0</v>
      </c>
      <c r="K687" s="220">
        <f t="shared" si="46"/>
        <v>0</v>
      </c>
      <c r="L687" s="281"/>
      <c r="M687" s="177"/>
    </row>
    <row r="688" spans="1:13">
      <c r="A688" s="241"/>
      <c r="B688" s="234" t="s">
        <v>6939</v>
      </c>
      <c r="C688" s="222">
        <v>1</v>
      </c>
      <c r="D688" s="222"/>
      <c r="E688" s="225"/>
      <c r="F688" s="231">
        <v>0</v>
      </c>
      <c r="G688" s="239"/>
      <c r="H688" s="220"/>
      <c r="I688" s="220">
        <f t="shared" si="47"/>
        <v>0</v>
      </c>
      <c r="J688" s="220">
        <f t="shared" si="45"/>
        <v>0</v>
      </c>
      <c r="K688" s="220">
        <f t="shared" si="46"/>
        <v>0</v>
      </c>
      <c r="L688" s="281"/>
      <c r="M688" s="177"/>
    </row>
    <row r="689" spans="1:13">
      <c r="A689" s="241"/>
      <c r="B689" s="234" t="s">
        <v>6940</v>
      </c>
      <c r="C689" s="222">
        <v>1</v>
      </c>
      <c r="D689" s="222"/>
      <c r="E689" s="225"/>
      <c r="F689" s="231">
        <v>0</v>
      </c>
      <c r="G689" s="239"/>
      <c r="H689" s="220"/>
      <c r="I689" s="220">
        <f t="shared" si="47"/>
        <v>0</v>
      </c>
      <c r="J689" s="220">
        <f t="shared" si="45"/>
        <v>0</v>
      </c>
      <c r="K689" s="220">
        <f t="shared" si="46"/>
        <v>0</v>
      </c>
      <c r="L689" s="281"/>
      <c r="M689" s="177"/>
    </row>
    <row r="690" spans="1:13">
      <c r="A690" s="241"/>
      <c r="B690" s="234" t="s">
        <v>6941</v>
      </c>
      <c r="C690" s="222">
        <v>1</v>
      </c>
      <c r="D690" s="222"/>
      <c r="E690" s="225"/>
      <c r="F690" s="231">
        <v>0</v>
      </c>
      <c r="G690" s="239"/>
      <c r="H690" s="220"/>
      <c r="I690" s="220">
        <f t="shared" si="47"/>
        <v>0</v>
      </c>
      <c r="J690" s="220">
        <f t="shared" si="45"/>
        <v>0</v>
      </c>
      <c r="K690" s="220">
        <f t="shared" si="46"/>
        <v>0</v>
      </c>
      <c r="L690" s="281"/>
      <c r="M690" s="177"/>
    </row>
    <row r="691" spans="1:13">
      <c r="A691" s="241"/>
      <c r="B691" s="234" t="s">
        <v>6942</v>
      </c>
      <c r="C691" s="222">
        <v>3</v>
      </c>
      <c r="D691" s="222"/>
      <c r="E691" s="225"/>
      <c r="F691" s="231">
        <v>0</v>
      </c>
      <c r="G691" s="239"/>
      <c r="H691" s="220"/>
      <c r="I691" s="220">
        <f t="shared" si="47"/>
        <v>0</v>
      </c>
      <c r="J691" s="220">
        <f t="shared" si="45"/>
        <v>0</v>
      </c>
      <c r="K691" s="220">
        <f t="shared" si="46"/>
        <v>0</v>
      </c>
      <c r="L691" s="281"/>
      <c r="M691" s="177"/>
    </row>
    <row r="692" spans="1:13">
      <c r="A692" s="241"/>
      <c r="B692" s="234" t="s">
        <v>6943</v>
      </c>
      <c r="C692" s="222">
        <v>1</v>
      </c>
      <c r="D692" s="222"/>
      <c r="E692" s="225"/>
      <c r="F692" s="231">
        <v>0</v>
      </c>
      <c r="G692" s="239"/>
      <c r="H692" s="220"/>
      <c r="I692" s="220">
        <f t="shared" si="47"/>
        <v>0</v>
      </c>
      <c r="J692" s="220">
        <f t="shared" si="45"/>
        <v>0</v>
      </c>
      <c r="K692" s="220">
        <f t="shared" si="46"/>
        <v>0</v>
      </c>
      <c r="L692" s="281"/>
      <c r="M692" s="177"/>
    </row>
    <row r="693" spans="1:13">
      <c r="A693" s="241"/>
      <c r="B693" s="234" t="s">
        <v>6944</v>
      </c>
      <c r="C693" s="222">
        <v>1</v>
      </c>
      <c r="D693" s="222"/>
      <c r="E693" s="225"/>
      <c r="F693" s="231">
        <v>0</v>
      </c>
      <c r="G693" s="239"/>
      <c r="H693" s="220"/>
      <c r="I693" s="220">
        <f t="shared" si="47"/>
        <v>0</v>
      </c>
      <c r="J693" s="220">
        <f t="shared" si="45"/>
        <v>0</v>
      </c>
      <c r="K693" s="220">
        <f t="shared" si="46"/>
        <v>0</v>
      </c>
      <c r="L693" s="281"/>
      <c r="M693" s="177"/>
    </row>
    <row r="694" spans="1:13">
      <c r="A694" s="241"/>
      <c r="B694" s="234" t="s">
        <v>6945</v>
      </c>
      <c r="C694" s="222">
        <v>2</v>
      </c>
      <c r="D694" s="222"/>
      <c r="E694" s="225"/>
      <c r="F694" s="231">
        <v>0</v>
      </c>
      <c r="G694" s="239"/>
      <c r="H694" s="220"/>
      <c r="I694" s="220">
        <f t="shared" si="47"/>
        <v>0</v>
      </c>
      <c r="J694" s="220">
        <f t="shared" si="45"/>
        <v>0</v>
      </c>
      <c r="K694" s="220">
        <f t="shared" si="46"/>
        <v>0</v>
      </c>
      <c r="L694" s="281"/>
      <c r="M694" s="177"/>
    </row>
    <row r="695" spans="1:13">
      <c r="A695" s="241"/>
      <c r="B695" s="234" t="s">
        <v>6946</v>
      </c>
      <c r="C695" s="222">
        <v>3</v>
      </c>
      <c r="D695" s="222"/>
      <c r="E695" s="225"/>
      <c r="F695" s="231">
        <v>0</v>
      </c>
      <c r="G695" s="239"/>
      <c r="H695" s="220"/>
      <c r="I695" s="220">
        <f t="shared" si="47"/>
        <v>0</v>
      </c>
      <c r="J695" s="220">
        <f t="shared" si="45"/>
        <v>0</v>
      </c>
      <c r="K695" s="220">
        <f t="shared" si="46"/>
        <v>0</v>
      </c>
      <c r="L695" s="281"/>
      <c r="M695" s="177"/>
    </row>
    <row r="696" spans="1:13">
      <c r="A696" s="241"/>
      <c r="B696" s="234" t="s">
        <v>6947</v>
      </c>
      <c r="C696" s="222">
        <v>2</v>
      </c>
      <c r="D696" s="222"/>
      <c r="E696" s="225"/>
      <c r="F696" s="231">
        <v>0</v>
      </c>
      <c r="G696" s="239"/>
      <c r="H696" s="220"/>
      <c r="I696" s="220">
        <f t="shared" si="47"/>
        <v>0</v>
      </c>
      <c r="J696" s="220">
        <f t="shared" si="45"/>
        <v>0</v>
      </c>
      <c r="K696" s="220">
        <f t="shared" si="46"/>
        <v>0</v>
      </c>
      <c r="L696" s="281"/>
      <c r="M696" s="177"/>
    </row>
    <row r="697" spans="1:13">
      <c r="A697" s="241"/>
      <c r="B697" s="234" t="s">
        <v>6948</v>
      </c>
      <c r="C697" s="222">
        <v>2</v>
      </c>
      <c r="D697" s="222"/>
      <c r="E697" s="225"/>
      <c r="F697" s="231">
        <v>0</v>
      </c>
      <c r="G697" s="239"/>
      <c r="H697" s="220"/>
      <c r="I697" s="220">
        <f t="shared" si="47"/>
        <v>0</v>
      </c>
      <c r="J697" s="220">
        <f t="shared" si="45"/>
        <v>0</v>
      </c>
      <c r="K697" s="220">
        <f t="shared" si="46"/>
        <v>0</v>
      </c>
      <c r="L697" s="281"/>
      <c r="M697" s="177"/>
    </row>
    <row r="698" spans="1:13">
      <c r="A698" s="241"/>
      <c r="B698" s="234" t="s">
        <v>6949</v>
      </c>
      <c r="C698" s="222">
        <v>1</v>
      </c>
      <c r="D698" s="222"/>
      <c r="E698" s="225"/>
      <c r="F698" s="231">
        <v>0</v>
      </c>
      <c r="G698" s="239"/>
      <c r="H698" s="220"/>
      <c r="I698" s="220">
        <f t="shared" si="47"/>
        <v>0</v>
      </c>
      <c r="J698" s="220">
        <f t="shared" si="45"/>
        <v>0</v>
      </c>
      <c r="K698" s="220">
        <f t="shared" si="46"/>
        <v>0</v>
      </c>
      <c r="L698" s="281"/>
      <c r="M698" s="177"/>
    </row>
    <row r="699" spans="1:13">
      <c r="A699" s="241"/>
      <c r="B699" s="234" t="s">
        <v>6950</v>
      </c>
      <c r="C699" s="222">
        <v>2</v>
      </c>
      <c r="D699" s="222"/>
      <c r="E699" s="225"/>
      <c r="F699" s="231">
        <v>5</v>
      </c>
      <c r="G699" s="239"/>
      <c r="H699" s="220"/>
      <c r="I699" s="220">
        <f t="shared" si="47"/>
        <v>10</v>
      </c>
      <c r="J699" s="220">
        <f t="shared" si="45"/>
        <v>0</v>
      </c>
      <c r="K699" s="220">
        <f t="shared" si="46"/>
        <v>0</v>
      </c>
      <c r="L699" s="281"/>
      <c r="M699" s="177"/>
    </row>
    <row r="700" spans="1:13">
      <c r="A700" s="241"/>
      <c r="B700" s="234" t="s">
        <v>6951</v>
      </c>
      <c r="C700" s="222">
        <v>2</v>
      </c>
      <c r="D700" s="222"/>
      <c r="E700" s="225"/>
      <c r="F700" s="231">
        <v>5</v>
      </c>
      <c r="G700" s="239"/>
      <c r="H700" s="220"/>
      <c r="I700" s="220">
        <f t="shared" si="47"/>
        <v>10</v>
      </c>
      <c r="J700" s="220">
        <f t="shared" si="45"/>
        <v>0</v>
      </c>
      <c r="K700" s="220">
        <f t="shared" si="46"/>
        <v>0</v>
      </c>
      <c r="L700" s="281"/>
      <c r="M700" s="177"/>
    </row>
    <row r="701" spans="1:13">
      <c r="A701" s="241"/>
      <c r="B701" s="234" t="s">
        <v>6952</v>
      </c>
      <c r="C701" s="222">
        <v>1</v>
      </c>
      <c r="D701" s="222"/>
      <c r="E701" s="225"/>
      <c r="F701" s="231">
        <v>4</v>
      </c>
      <c r="G701" s="239"/>
      <c r="H701" s="220"/>
      <c r="I701" s="220">
        <f t="shared" si="47"/>
        <v>4</v>
      </c>
      <c r="J701" s="220">
        <f t="shared" si="45"/>
        <v>0</v>
      </c>
      <c r="K701" s="220">
        <f t="shared" si="46"/>
        <v>0</v>
      </c>
      <c r="L701" s="281"/>
      <c r="M701" s="177"/>
    </row>
    <row r="702" spans="1:13">
      <c r="A702" s="241"/>
      <c r="B702" s="234" t="s">
        <v>6953</v>
      </c>
      <c r="C702" s="222">
        <v>1</v>
      </c>
      <c r="D702" s="222"/>
      <c r="E702" s="225"/>
      <c r="F702" s="231">
        <v>0</v>
      </c>
      <c r="G702" s="239"/>
      <c r="H702" s="220"/>
      <c r="I702" s="220">
        <f t="shared" si="47"/>
        <v>0</v>
      </c>
      <c r="J702" s="220">
        <f t="shared" si="45"/>
        <v>0</v>
      </c>
      <c r="K702" s="220">
        <f t="shared" si="46"/>
        <v>0</v>
      </c>
      <c r="L702" s="281"/>
      <c r="M702" s="177"/>
    </row>
    <row r="703" spans="1:13">
      <c r="A703" s="241"/>
      <c r="B703" s="234" t="s">
        <v>6955</v>
      </c>
      <c r="C703" s="222">
        <v>1</v>
      </c>
      <c r="D703" s="222"/>
      <c r="E703" s="225"/>
      <c r="F703" s="231">
        <v>4</v>
      </c>
      <c r="G703" s="239"/>
      <c r="H703" s="220"/>
      <c r="I703" s="220">
        <f t="shared" si="47"/>
        <v>4</v>
      </c>
      <c r="J703" s="220">
        <f t="shared" si="45"/>
        <v>0</v>
      </c>
      <c r="K703" s="220">
        <f t="shared" si="46"/>
        <v>0</v>
      </c>
      <c r="L703" s="281"/>
      <c r="M703" s="177"/>
    </row>
    <row r="704" spans="1:13">
      <c r="A704" s="241"/>
      <c r="B704" s="234" t="s">
        <v>6954</v>
      </c>
      <c r="C704" s="222">
        <v>2</v>
      </c>
      <c r="D704" s="222"/>
      <c r="E704" s="225"/>
      <c r="F704" s="231">
        <v>1</v>
      </c>
      <c r="G704" s="239"/>
      <c r="H704" s="220"/>
      <c r="I704" s="220">
        <f t="shared" si="47"/>
        <v>2</v>
      </c>
      <c r="J704" s="220">
        <f t="shared" si="45"/>
        <v>0</v>
      </c>
      <c r="K704" s="220">
        <f t="shared" si="46"/>
        <v>0</v>
      </c>
      <c r="L704" s="280"/>
      <c r="M704" s="177"/>
    </row>
    <row r="705" spans="1:13">
      <c r="A705" s="228"/>
      <c r="B705" s="229"/>
      <c r="C705" s="229"/>
      <c r="D705" s="229"/>
      <c r="E705" s="229"/>
      <c r="F705" s="747" t="s">
        <v>7875</v>
      </c>
      <c r="G705" s="747"/>
      <c r="H705" s="747"/>
      <c r="I705" s="230">
        <f>ROUND(SUM(I680:I704),2)</f>
        <v>30</v>
      </c>
      <c r="J705" s="230">
        <f>ROUND(SUM(J680:J704),2)</f>
        <v>0</v>
      </c>
      <c r="K705" s="230">
        <f>ROUND(SUM(K703:K704),2)</f>
        <v>0</v>
      </c>
      <c r="M705" s="177"/>
    </row>
    <row r="706" spans="1:13">
      <c r="A706" s="241"/>
      <c r="B706" s="746"/>
      <c r="C706" s="746"/>
      <c r="D706" s="746"/>
      <c r="E706" s="746"/>
      <c r="F706" s="746"/>
      <c r="G706" s="746"/>
      <c r="H706" s="746"/>
      <c r="I706" s="746"/>
      <c r="J706" s="746"/>
      <c r="K706" s="241"/>
      <c r="M706" s="177"/>
    </row>
    <row r="707" spans="1:13" ht="22.5">
      <c r="A707" s="226" t="str">
        <f>'Orç - Prédio'!A637</f>
        <v>06.10.101.01</v>
      </c>
      <c r="B707" s="748" t="str">
        <f>'Orç - Prédio'!D637</f>
        <v>Escavação manual de vala (eletrodutos enterrados, aterramento e caixas de passagem)</v>
      </c>
      <c r="C707" s="748"/>
      <c r="D707" s="748"/>
      <c r="E707" s="748"/>
      <c r="F707" s="748"/>
      <c r="G707" s="748"/>
      <c r="H707" s="748"/>
      <c r="I707" s="748"/>
      <c r="J707" s="748"/>
      <c r="K707" s="227" t="str">
        <f>'Orç - Prédio'!F637</f>
        <v>m3</v>
      </c>
    </row>
    <row r="708" spans="1:13">
      <c r="A708" s="745"/>
      <c r="B708" s="745"/>
      <c r="C708" s="218"/>
      <c r="D708" s="218"/>
      <c r="E708" s="218"/>
      <c r="F708" s="218"/>
      <c r="G708" s="745" t="s">
        <v>7863</v>
      </c>
      <c r="H708" s="745"/>
      <c r="I708" s="745" t="s">
        <v>7864</v>
      </c>
      <c r="J708" s="745"/>
      <c r="K708" s="745"/>
      <c r="M708" s="177"/>
    </row>
    <row r="709" spans="1:13" ht="22.5">
      <c r="A709" s="745" t="s">
        <v>7880</v>
      </c>
      <c r="B709" s="745"/>
      <c r="C709" s="745" t="s">
        <v>7865</v>
      </c>
      <c r="D709" s="745" t="s">
        <v>7866</v>
      </c>
      <c r="E709" s="745" t="s">
        <v>7867</v>
      </c>
      <c r="F709" s="745" t="s">
        <v>7868</v>
      </c>
      <c r="G709" s="343" t="s">
        <v>7869</v>
      </c>
      <c r="H709" s="343" t="s">
        <v>7870</v>
      </c>
      <c r="I709" s="343" t="s">
        <v>7871</v>
      </c>
      <c r="J709" s="343" t="s">
        <v>7869</v>
      </c>
      <c r="K709" s="343" t="s">
        <v>7870</v>
      </c>
      <c r="M709" s="177"/>
    </row>
    <row r="710" spans="1:13">
      <c r="A710" s="745"/>
      <c r="B710" s="745"/>
      <c r="C710" s="745"/>
      <c r="D710" s="745"/>
      <c r="E710" s="745"/>
      <c r="F710" s="745"/>
      <c r="G710" s="343" t="s">
        <v>7872</v>
      </c>
      <c r="H710" s="343" t="s">
        <v>7873</v>
      </c>
      <c r="I710" s="343" t="s">
        <v>7874</v>
      </c>
      <c r="J710" s="343" t="s">
        <v>7872</v>
      </c>
      <c r="K710" s="343" t="s">
        <v>7873</v>
      </c>
      <c r="M710" s="177"/>
    </row>
    <row r="711" spans="1:13" ht="22.5">
      <c r="A711" s="343"/>
      <c r="B711" s="234" t="s">
        <v>8851</v>
      </c>
      <c r="C711" s="222">
        <v>240</v>
      </c>
      <c r="D711" s="222">
        <v>1</v>
      </c>
      <c r="E711" s="225">
        <v>0.3</v>
      </c>
      <c r="F711" s="231">
        <v>0.5</v>
      </c>
      <c r="G711" s="239"/>
      <c r="H711" s="220">
        <f>F711*E711*D711</f>
        <v>0.15</v>
      </c>
      <c r="I711" s="220"/>
      <c r="J711" s="220"/>
      <c r="K711" s="220">
        <f>C711*H711</f>
        <v>36</v>
      </c>
      <c r="L711" s="280"/>
      <c r="M711" s="177"/>
    </row>
    <row r="712" spans="1:13">
      <c r="A712" s="343"/>
      <c r="B712" s="234" t="s">
        <v>8853</v>
      </c>
      <c r="C712" s="222">
        <v>11</v>
      </c>
      <c r="D712" s="222">
        <v>0.6</v>
      </c>
      <c r="E712" s="225">
        <v>0.35</v>
      </c>
      <c r="F712" s="231">
        <v>0.6</v>
      </c>
      <c r="G712" s="239"/>
      <c r="H712" s="220">
        <f>F712*E712*D712</f>
        <v>0.126</v>
      </c>
      <c r="I712" s="220"/>
      <c r="J712" s="220"/>
      <c r="K712" s="220">
        <f>C712*H712</f>
        <v>1.3860000000000001</v>
      </c>
      <c r="L712" s="280"/>
      <c r="M712" s="177"/>
    </row>
    <row r="713" spans="1:13" ht="22.5">
      <c r="A713" s="343"/>
      <c r="B713" s="234" t="s">
        <v>8855</v>
      </c>
      <c r="C713" s="222">
        <v>72</v>
      </c>
      <c r="D713" s="222">
        <v>1</v>
      </c>
      <c r="E713" s="225">
        <v>0.3</v>
      </c>
      <c r="F713" s="231">
        <v>0.5</v>
      </c>
      <c r="G713" s="239"/>
      <c r="H713" s="220">
        <f>F713*E713*D713</f>
        <v>0.15</v>
      </c>
      <c r="I713" s="220"/>
      <c r="J713" s="220"/>
      <c r="K713" s="220">
        <f>C713*H713</f>
        <v>10.799999999999999</v>
      </c>
      <c r="L713" s="280"/>
      <c r="M713" s="177"/>
    </row>
    <row r="714" spans="1:13">
      <c r="A714" s="343"/>
      <c r="B714" s="234" t="s">
        <v>8857</v>
      </c>
      <c r="C714" s="222">
        <v>1</v>
      </c>
      <c r="D714" s="222">
        <v>0.3</v>
      </c>
      <c r="E714" s="225">
        <v>0.3</v>
      </c>
      <c r="F714" s="231">
        <v>0.4</v>
      </c>
      <c r="G714" s="239"/>
      <c r="H714" s="220">
        <f>F714*E714*D714</f>
        <v>3.5999999999999997E-2</v>
      </c>
      <c r="I714" s="220"/>
      <c r="J714" s="220"/>
      <c r="K714" s="220">
        <f>C714*H714</f>
        <v>3.5999999999999997E-2</v>
      </c>
      <c r="L714" s="280"/>
      <c r="M714" s="177"/>
    </row>
    <row r="715" spans="1:13" ht="22.5">
      <c r="A715" s="548"/>
      <c r="B715" s="234" t="s">
        <v>15500</v>
      </c>
      <c r="C715" s="222">
        <f>6.6+67.3</f>
        <v>73.899999999999991</v>
      </c>
      <c r="D715" s="222">
        <v>1</v>
      </c>
      <c r="E715" s="225">
        <v>0.6</v>
      </c>
      <c r="F715" s="231">
        <v>0.7</v>
      </c>
      <c r="G715" s="239"/>
      <c r="H715" s="220">
        <f>F715*E715*D715</f>
        <v>0.42</v>
      </c>
      <c r="I715" s="220"/>
      <c r="J715" s="220"/>
      <c r="K715" s="220">
        <f>C715*H715</f>
        <v>31.037999999999997</v>
      </c>
      <c r="L715" s="280"/>
      <c r="M715" s="177"/>
    </row>
    <row r="716" spans="1:13">
      <c r="A716" s="228"/>
      <c r="B716" s="229"/>
      <c r="C716" s="229"/>
      <c r="D716" s="229"/>
      <c r="E716" s="229"/>
      <c r="F716" s="747" t="s">
        <v>7875</v>
      </c>
      <c r="G716" s="747"/>
      <c r="H716" s="747"/>
      <c r="I716" s="230"/>
      <c r="J716" s="230"/>
      <c r="K716" s="230">
        <f>ROUND(SUM(K711:K715),2)</f>
        <v>79.260000000000005</v>
      </c>
      <c r="M716" s="177"/>
    </row>
    <row r="717" spans="1:13">
      <c r="A717" s="343"/>
      <c r="B717" s="746"/>
      <c r="C717" s="746"/>
      <c r="D717" s="746"/>
      <c r="E717" s="746"/>
      <c r="F717" s="746"/>
      <c r="G717" s="746"/>
      <c r="H717" s="746"/>
      <c r="I717" s="746"/>
      <c r="J717" s="746"/>
      <c r="K717" s="343"/>
      <c r="M717" s="177"/>
    </row>
    <row r="718" spans="1:13" ht="22.5">
      <c r="A718" s="226" t="str">
        <f>'Orç - Prédio'!A638</f>
        <v>06.10.101.02</v>
      </c>
      <c r="B718" s="748" t="str">
        <f>'Orç - Prédio'!D638</f>
        <v>Reaterro manual de valas apiloado com soquete</v>
      </c>
      <c r="C718" s="748"/>
      <c r="D718" s="748"/>
      <c r="E718" s="748"/>
      <c r="F718" s="748"/>
      <c r="G718" s="748"/>
      <c r="H718" s="748"/>
      <c r="I718" s="748"/>
      <c r="J718" s="748"/>
      <c r="K718" s="227" t="str">
        <f>'Orç - Prédio'!F638</f>
        <v>m3</v>
      </c>
    </row>
    <row r="719" spans="1:13">
      <c r="A719" s="745"/>
      <c r="B719" s="745"/>
      <c r="C719" s="218"/>
      <c r="D719" s="218"/>
      <c r="E719" s="218"/>
      <c r="F719" s="218"/>
      <c r="G719" s="745" t="s">
        <v>7863</v>
      </c>
      <c r="H719" s="745"/>
      <c r="I719" s="745" t="s">
        <v>7864</v>
      </c>
      <c r="J719" s="745"/>
      <c r="K719" s="745"/>
      <c r="M719" s="177"/>
    </row>
    <row r="720" spans="1:13" ht="22.5">
      <c r="A720" s="745" t="s">
        <v>7880</v>
      </c>
      <c r="B720" s="745"/>
      <c r="C720" s="745" t="s">
        <v>7865</v>
      </c>
      <c r="D720" s="745" t="s">
        <v>7866</v>
      </c>
      <c r="E720" s="745" t="s">
        <v>7867</v>
      </c>
      <c r="F720" s="745" t="s">
        <v>7868</v>
      </c>
      <c r="G720" s="343" t="s">
        <v>7869</v>
      </c>
      <c r="H720" s="343" t="s">
        <v>7870</v>
      </c>
      <c r="I720" s="343" t="s">
        <v>7871</v>
      </c>
      <c r="J720" s="343" t="s">
        <v>7869</v>
      </c>
      <c r="K720" s="343" t="s">
        <v>7870</v>
      </c>
      <c r="M720" s="177"/>
    </row>
    <row r="721" spans="1:13">
      <c r="A721" s="745"/>
      <c r="B721" s="745"/>
      <c r="C721" s="745"/>
      <c r="D721" s="745"/>
      <c r="E721" s="745"/>
      <c r="F721" s="745"/>
      <c r="G721" s="343" t="s">
        <v>7872</v>
      </c>
      <c r="H721" s="343" t="s">
        <v>7873</v>
      </c>
      <c r="I721" s="343" t="s">
        <v>7874</v>
      </c>
      <c r="J721" s="343" t="s">
        <v>7872</v>
      </c>
      <c r="K721" s="343" t="s">
        <v>7873</v>
      </c>
      <c r="M721" s="177"/>
    </row>
    <row r="722" spans="1:13" ht="22.5">
      <c r="A722" s="343"/>
      <c r="B722" s="234" t="s">
        <v>8851</v>
      </c>
      <c r="C722" s="222">
        <v>240</v>
      </c>
      <c r="D722" s="222">
        <v>1</v>
      </c>
      <c r="E722" s="225">
        <v>0.3</v>
      </c>
      <c r="F722" s="231">
        <v>0.5</v>
      </c>
      <c r="G722" s="239"/>
      <c r="H722" s="220">
        <f>F722*E722*D722</f>
        <v>0.15</v>
      </c>
      <c r="I722" s="220"/>
      <c r="J722" s="220"/>
      <c r="K722" s="220">
        <f>C722*H722</f>
        <v>36</v>
      </c>
      <c r="L722" s="280"/>
      <c r="M722" s="177"/>
    </row>
    <row r="723" spans="1:13" ht="22.5">
      <c r="A723" s="343"/>
      <c r="B723" s="234" t="s">
        <v>8855</v>
      </c>
      <c r="C723" s="222">
        <v>72</v>
      </c>
      <c r="D723" s="222">
        <v>1</v>
      </c>
      <c r="E723" s="225">
        <v>0.3</v>
      </c>
      <c r="F723" s="231">
        <v>0.5</v>
      </c>
      <c r="G723" s="239"/>
      <c r="H723" s="220">
        <f>F723*E723*D723</f>
        <v>0.15</v>
      </c>
      <c r="I723" s="220"/>
      <c r="J723" s="220"/>
      <c r="K723" s="220">
        <f>C723*H723</f>
        <v>10.799999999999999</v>
      </c>
      <c r="L723" s="280"/>
      <c r="M723" s="177"/>
    </row>
    <row r="724" spans="1:13" ht="22.5">
      <c r="A724" s="548"/>
      <c r="B724" s="234" t="s">
        <v>15500</v>
      </c>
      <c r="C724" s="222">
        <f>6.6+67.3</f>
        <v>73.899999999999991</v>
      </c>
      <c r="D724" s="222">
        <v>1</v>
      </c>
      <c r="E724" s="225">
        <v>0.6</v>
      </c>
      <c r="F724" s="231">
        <v>0.7</v>
      </c>
      <c r="G724" s="239"/>
      <c r="H724" s="220">
        <f>F724*E724*D724</f>
        <v>0.42</v>
      </c>
      <c r="I724" s="220"/>
      <c r="J724" s="220"/>
      <c r="K724" s="220">
        <f>C724*H724</f>
        <v>31.037999999999997</v>
      </c>
      <c r="L724" s="280"/>
      <c r="M724" s="177"/>
    </row>
    <row r="725" spans="1:13">
      <c r="A725" s="228"/>
      <c r="B725" s="229"/>
      <c r="C725" s="229"/>
      <c r="D725" s="229"/>
      <c r="E725" s="229"/>
      <c r="F725" s="747" t="s">
        <v>7875</v>
      </c>
      <c r="G725" s="747"/>
      <c r="H725" s="747"/>
      <c r="I725" s="230"/>
      <c r="J725" s="230"/>
      <c r="K725" s="230">
        <f>ROUND(SUM(K722:K724),2)</f>
        <v>77.84</v>
      </c>
      <c r="M725" s="177"/>
    </row>
    <row r="726" spans="1:13">
      <c r="A726" s="343"/>
      <c r="B726" s="746"/>
      <c r="C726" s="746"/>
      <c r="D726" s="746"/>
      <c r="E726" s="746"/>
      <c r="F726" s="746"/>
      <c r="G726" s="746"/>
      <c r="H726" s="746"/>
      <c r="I726" s="746"/>
      <c r="J726" s="746"/>
      <c r="K726" s="343"/>
      <c r="M726" s="177"/>
    </row>
  </sheetData>
  <mergeCells count="705">
    <mergeCell ref="A2:K2"/>
    <mergeCell ref="A3:K3"/>
    <mergeCell ref="A4:K4"/>
    <mergeCell ref="A7:K7"/>
    <mergeCell ref="B9:J9"/>
    <mergeCell ref="B10:J10"/>
    <mergeCell ref="B11:J11"/>
    <mergeCell ref="B12:J12"/>
    <mergeCell ref="F93:F94"/>
    <mergeCell ref="B82:J82"/>
    <mergeCell ref="A15:B16"/>
    <mergeCell ref="C15:C16"/>
    <mergeCell ref="D15:D16"/>
    <mergeCell ref="F53:H53"/>
    <mergeCell ref="F29:H29"/>
    <mergeCell ref="B30:J30"/>
    <mergeCell ref="F52:H52"/>
    <mergeCell ref="B54:J54"/>
    <mergeCell ref="B55:J55"/>
    <mergeCell ref="A56:B56"/>
    <mergeCell ref="B65:J65"/>
    <mergeCell ref="G56:H56"/>
    <mergeCell ref="I56:K56"/>
    <mergeCell ref="A57:B58"/>
    <mergeCell ref="F114:H114"/>
    <mergeCell ref="B116:J116"/>
    <mergeCell ref="F115:H115"/>
    <mergeCell ref="F725:H725"/>
    <mergeCell ref="B726:J726"/>
    <mergeCell ref="F716:H716"/>
    <mergeCell ref="B717:J717"/>
    <mergeCell ref="B718:J718"/>
    <mergeCell ref="A719:B719"/>
    <mergeCell ref="G719:H719"/>
    <mergeCell ref="I719:K719"/>
    <mergeCell ref="A720:B721"/>
    <mergeCell ref="C720:C721"/>
    <mergeCell ref="D720:D721"/>
    <mergeCell ref="E720:E721"/>
    <mergeCell ref="F720:F721"/>
    <mergeCell ref="B707:J707"/>
    <mergeCell ref="A708:B708"/>
    <mergeCell ref="G708:H708"/>
    <mergeCell ref="I708:K708"/>
    <mergeCell ref="A709:B710"/>
    <mergeCell ref="C709:C710"/>
    <mergeCell ref="D709:D710"/>
    <mergeCell ref="E709:E710"/>
    <mergeCell ref="F709:F710"/>
    <mergeCell ref="F705:H705"/>
    <mergeCell ref="B706:J706"/>
    <mergeCell ref="B66:J66"/>
    <mergeCell ref="A67:B67"/>
    <mergeCell ref="G67:H67"/>
    <mergeCell ref="I67:K67"/>
    <mergeCell ref="A68:B69"/>
    <mergeCell ref="C68:C69"/>
    <mergeCell ref="D68:D69"/>
    <mergeCell ref="E68:E69"/>
    <mergeCell ref="F68:F69"/>
    <mergeCell ref="F73:H73"/>
    <mergeCell ref="B74:J74"/>
    <mergeCell ref="B75:J75"/>
    <mergeCell ref="A76:B76"/>
    <mergeCell ref="G76:H76"/>
    <mergeCell ref="I76:K76"/>
    <mergeCell ref="A77:B78"/>
    <mergeCell ref="C77:C78"/>
    <mergeCell ref="D77:D78"/>
    <mergeCell ref="E77:E78"/>
    <mergeCell ref="F77:F78"/>
    <mergeCell ref="F81:H81"/>
    <mergeCell ref="F674:H674"/>
    <mergeCell ref="B675:J675"/>
    <mergeCell ref="B676:J676"/>
    <mergeCell ref="A677:B677"/>
    <mergeCell ref="G677:H677"/>
    <mergeCell ref="I677:K677"/>
    <mergeCell ref="A678:B679"/>
    <mergeCell ref="C678:C679"/>
    <mergeCell ref="D678:D679"/>
    <mergeCell ref="E678:E679"/>
    <mergeCell ref="F678:F679"/>
    <mergeCell ref="F666:H666"/>
    <mergeCell ref="B667:J667"/>
    <mergeCell ref="B668:J668"/>
    <mergeCell ref="A669:B669"/>
    <mergeCell ref="G669:H669"/>
    <mergeCell ref="I669:K669"/>
    <mergeCell ref="A670:B671"/>
    <mergeCell ref="C670:C671"/>
    <mergeCell ref="D670:D671"/>
    <mergeCell ref="E670:E671"/>
    <mergeCell ref="F670:F671"/>
    <mergeCell ref="F635:H635"/>
    <mergeCell ref="B636:J636"/>
    <mergeCell ref="B637:J637"/>
    <mergeCell ref="A638:B638"/>
    <mergeCell ref="G638:H638"/>
    <mergeCell ref="I638:K638"/>
    <mergeCell ref="A639:B640"/>
    <mergeCell ref="C639:C640"/>
    <mergeCell ref="D639:D640"/>
    <mergeCell ref="E639:E640"/>
    <mergeCell ref="F639:F640"/>
    <mergeCell ref="F596:H596"/>
    <mergeCell ref="B597:J597"/>
    <mergeCell ref="B606:J606"/>
    <mergeCell ref="A607:B607"/>
    <mergeCell ref="G607:H607"/>
    <mergeCell ref="I607:K607"/>
    <mergeCell ref="A608:B609"/>
    <mergeCell ref="C608:C609"/>
    <mergeCell ref="D608:D609"/>
    <mergeCell ref="E608:E609"/>
    <mergeCell ref="F608:F609"/>
    <mergeCell ref="B598:J598"/>
    <mergeCell ref="A599:B599"/>
    <mergeCell ref="G599:H599"/>
    <mergeCell ref="I599:K599"/>
    <mergeCell ref="A600:B601"/>
    <mergeCell ref="C600:C601"/>
    <mergeCell ref="D600:D601"/>
    <mergeCell ref="E600:E601"/>
    <mergeCell ref="F600:F601"/>
    <mergeCell ref="F604:H604"/>
    <mergeCell ref="B605:J605"/>
    <mergeCell ref="F588:H588"/>
    <mergeCell ref="B589:J589"/>
    <mergeCell ref="B590:J590"/>
    <mergeCell ref="A591:B591"/>
    <mergeCell ref="G591:H591"/>
    <mergeCell ref="I591:K591"/>
    <mergeCell ref="A592:B593"/>
    <mergeCell ref="C592:C593"/>
    <mergeCell ref="D592:D593"/>
    <mergeCell ref="E592:E593"/>
    <mergeCell ref="F592:F593"/>
    <mergeCell ref="F578:H578"/>
    <mergeCell ref="B579:J579"/>
    <mergeCell ref="B580:J580"/>
    <mergeCell ref="A581:B581"/>
    <mergeCell ref="G581:H581"/>
    <mergeCell ref="I581:K581"/>
    <mergeCell ref="A582:B583"/>
    <mergeCell ref="C582:C583"/>
    <mergeCell ref="D582:D583"/>
    <mergeCell ref="E582:E583"/>
    <mergeCell ref="F582:F583"/>
    <mergeCell ref="F570:H570"/>
    <mergeCell ref="B571:J571"/>
    <mergeCell ref="B572:J572"/>
    <mergeCell ref="A573:B573"/>
    <mergeCell ref="G573:H573"/>
    <mergeCell ref="I573:K573"/>
    <mergeCell ref="A574:B575"/>
    <mergeCell ref="C574:C575"/>
    <mergeCell ref="D574:D575"/>
    <mergeCell ref="E574:E575"/>
    <mergeCell ref="F574:F575"/>
    <mergeCell ref="A559:B560"/>
    <mergeCell ref="C559:C560"/>
    <mergeCell ref="D559:D560"/>
    <mergeCell ref="E559:E560"/>
    <mergeCell ref="F559:F560"/>
    <mergeCell ref="B547:J547"/>
    <mergeCell ref="A548:B548"/>
    <mergeCell ref="G548:H548"/>
    <mergeCell ref="I548:K548"/>
    <mergeCell ref="A549:B550"/>
    <mergeCell ref="C549:C550"/>
    <mergeCell ref="D549:D550"/>
    <mergeCell ref="E549:E550"/>
    <mergeCell ref="F549:F550"/>
    <mergeCell ref="F555:H555"/>
    <mergeCell ref="B556:J556"/>
    <mergeCell ref="A535:B536"/>
    <mergeCell ref="C535:C536"/>
    <mergeCell ref="D535:D536"/>
    <mergeCell ref="E535:E536"/>
    <mergeCell ref="F535:F536"/>
    <mergeCell ref="F545:H545"/>
    <mergeCell ref="B546:J546"/>
    <mergeCell ref="B557:J557"/>
    <mergeCell ref="A558:B558"/>
    <mergeCell ref="G558:H558"/>
    <mergeCell ref="I558:K558"/>
    <mergeCell ref="A528:B529"/>
    <mergeCell ref="C528:C529"/>
    <mergeCell ref="D528:D529"/>
    <mergeCell ref="E528:E529"/>
    <mergeCell ref="F528:F529"/>
    <mergeCell ref="F531:H531"/>
    <mergeCell ref="B532:J532"/>
    <mergeCell ref="B533:J533"/>
    <mergeCell ref="A534:B534"/>
    <mergeCell ref="G534:H534"/>
    <mergeCell ref="I534:K534"/>
    <mergeCell ref="F524:H524"/>
    <mergeCell ref="B525:J525"/>
    <mergeCell ref="B526:J526"/>
    <mergeCell ref="A527:B527"/>
    <mergeCell ref="G527:H527"/>
    <mergeCell ref="I527:K527"/>
    <mergeCell ref="B511:J511"/>
    <mergeCell ref="A512:B512"/>
    <mergeCell ref="G512:H512"/>
    <mergeCell ref="I512:K512"/>
    <mergeCell ref="A513:B514"/>
    <mergeCell ref="C513:C514"/>
    <mergeCell ref="D513:D514"/>
    <mergeCell ref="E513:E514"/>
    <mergeCell ref="F513:F514"/>
    <mergeCell ref="F516:H516"/>
    <mergeCell ref="B517:J517"/>
    <mergeCell ref="B518:J518"/>
    <mergeCell ref="A519:B519"/>
    <mergeCell ref="G519:H519"/>
    <mergeCell ref="I519:K519"/>
    <mergeCell ref="A520:B521"/>
    <mergeCell ref="C520:C521"/>
    <mergeCell ref="D520:D521"/>
    <mergeCell ref="E520:E521"/>
    <mergeCell ref="F520:F521"/>
    <mergeCell ref="A491:B492"/>
    <mergeCell ref="C491:C492"/>
    <mergeCell ref="D491:D492"/>
    <mergeCell ref="E491:E492"/>
    <mergeCell ref="F491:F492"/>
    <mergeCell ref="F497:H497"/>
    <mergeCell ref="B498:J498"/>
    <mergeCell ref="B499:J499"/>
    <mergeCell ref="A500:B500"/>
    <mergeCell ref="F509:H509"/>
    <mergeCell ref="B510:J510"/>
    <mergeCell ref="G501:G502"/>
    <mergeCell ref="F339:H339"/>
    <mergeCell ref="B340:J340"/>
    <mergeCell ref="F330:H330"/>
    <mergeCell ref="B331:J331"/>
    <mergeCell ref="B332:J332"/>
    <mergeCell ref="A333:B333"/>
    <mergeCell ref="G333:H333"/>
    <mergeCell ref="I333:K333"/>
    <mergeCell ref="A334:B335"/>
    <mergeCell ref="C334:C335"/>
    <mergeCell ref="D334:D335"/>
    <mergeCell ref="E334:E335"/>
    <mergeCell ref="F334:F335"/>
    <mergeCell ref="F321:H321"/>
    <mergeCell ref="B322:J322"/>
    <mergeCell ref="B323:J323"/>
    <mergeCell ref="A324:B324"/>
    <mergeCell ref="G324:H324"/>
    <mergeCell ref="I324:K324"/>
    <mergeCell ref="A325:B326"/>
    <mergeCell ref="C325:C326"/>
    <mergeCell ref="D325:D326"/>
    <mergeCell ref="E325:E326"/>
    <mergeCell ref="F325:F326"/>
    <mergeCell ref="F312:H312"/>
    <mergeCell ref="B313:J313"/>
    <mergeCell ref="B314:J314"/>
    <mergeCell ref="A315:B315"/>
    <mergeCell ref="G315:H315"/>
    <mergeCell ref="I315:K315"/>
    <mergeCell ref="A316:B317"/>
    <mergeCell ref="C316:C317"/>
    <mergeCell ref="D316:D317"/>
    <mergeCell ref="E316:E317"/>
    <mergeCell ref="F316:F317"/>
    <mergeCell ref="B306:J306"/>
    <mergeCell ref="A307:B307"/>
    <mergeCell ref="G307:H307"/>
    <mergeCell ref="I307:K307"/>
    <mergeCell ref="A308:B309"/>
    <mergeCell ref="C308:C309"/>
    <mergeCell ref="D308:D309"/>
    <mergeCell ref="E308:E309"/>
    <mergeCell ref="F308:F309"/>
    <mergeCell ref="F146:H146"/>
    <mergeCell ref="B147:J147"/>
    <mergeCell ref="B148:J148"/>
    <mergeCell ref="A149:B149"/>
    <mergeCell ref="G149:H149"/>
    <mergeCell ref="I149:K149"/>
    <mergeCell ref="F178:H178"/>
    <mergeCell ref="B179:J179"/>
    <mergeCell ref="A150:B151"/>
    <mergeCell ref="C150:C151"/>
    <mergeCell ref="D150:D151"/>
    <mergeCell ref="E150:E151"/>
    <mergeCell ref="F150:F151"/>
    <mergeCell ref="A119:B120"/>
    <mergeCell ref="C119:C120"/>
    <mergeCell ref="D119:D120"/>
    <mergeCell ref="E119:E120"/>
    <mergeCell ref="F119:F120"/>
    <mergeCell ref="B83:J83"/>
    <mergeCell ref="A84:B84"/>
    <mergeCell ref="G84:H84"/>
    <mergeCell ref="I84:K84"/>
    <mergeCell ref="A85:B86"/>
    <mergeCell ref="C85:C86"/>
    <mergeCell ref="D85:D86"/>
    <mergeCell ref="E85:E86"/>
    <mergeCell ref="F85:F86"/>
    <mergeCell ref="F89:H89"/>
    <mergeCell ref="B90:J90"/>
    <mergeCell ref="B117:J117"/>
    <mergeCell ref="A118:B118"/>
    <mergeCell ref="G118:H118"/>
    <mergeCell ref="I118:K118"/>
    <mergeCell ref="A93:B94"/>
    <mergeCell ref="C93:C94"/>
    <mergeCell ref="D93:D94"/>
    <mergeCell ref="E93:E94"/>
    <mergeCell ref="C57:C58"/>
    <mergeCell ref="D57:D58"/>
    <mergeCell ref="E57:E58"/>
    <mergeCell ref="F57:F58"/>
    <mergeCell ref="F63:H63"/>
    <mergeCell ref="F64:H64"/>
    <mergeCell ref="B91:J91"/>
    <mergeCell ref="A92:B92"/>
    <mergeCell ref="G92:H92"/>
    <mergeCell ref="I92:K92"/>
    <mergeCell ref="A42:B43"/>
    <mergeCell ref="C42:C43"/>
    <mergeCell ref="D42:D43"/>
    <mergeCell ref="E42:E43"/>
    <mergeCell ref="F42:F43"/>
    <mergeCell ref="B24:J24"/>
    <mergeCell ref="A25:B25"/>
    <mergeCell ref="G25:H25"/>
    <mergeCell ref="I25:K25"/>
    <mergeCell ref="A26:B27"/>
    <mergeCell ref="C26:C27"/>
    <mergeCell ref="D26:D27"/>
    <mergeCell ref="E26:E27"/>
    <mergeCell ref="F26:F27"/>
    <mergeCell ref="B40:J40"/>
    <mergeCell ref="A41:B41"/>
    <mergeCell ref="G41:H41"/>
    <mergeCell ref="I41:K41"/>
    <mergeCell ref="C33:C34"/>
    <mergeCell ref="D33:D34"/>
    <mergeCell ref="E33:E34"/>
    <mergeCell ref="F33:F34"/>
    <mergeCell ref="B13:J13"/>
    <mergeCell ref="A14:B14"/>
    <mergeCell ref="G14:H14"/>
    <mergeCell ref="I14:K14"/>
    <mergeCell ref="B180:J180"/>
    <mergeCell ref="A181:B181"/>
    <mergeCell ref="G181:H181"/>
    <mergeCell ref="I181:K181"/>
    <mergeCell ref="A182:B183"/>
    <mergeCell ref="C182:C183"/>
    <mergeCell ref="D182:D183"/>
    <mergeCell ref="E182:E183"/>
    <mergeCell ref="F182:F183"/>
    <mergeCell ref="E15:E16"/>
    <mergeCell ref="F15:F16"/>
    <mergeCell ref="F22:H22"/>
    <mergeCell ref="B23:J23"/>
    <mergeCell ref="F38:H38"/>
    <mergeCell ref="B39:J39"/>
    <mergeCell ref="B31:J31"/>
    <mergeCell ref="A32:B32"/>
    <mergeCell ref="G32:H32"/>
    <mergeCell ref="I32:K32"/>
    <mergeCell ref="A33:B34"/>
    <mergeCell ref="A194:B195"/>
    <mergeCell ref="C194:C195"/>
    <mergeCell ref="D194:D195"/>
    <mergeCell ref="E194:E195"/>
    <mergeCell ref="F194:F195"/>
    <mergeCell ref="F190:H190"/>
    <mergeCell ref="B191:J191"/>
    <mergeCell ref="B192:J192"/>
    <mergeCell ref="A193:B193"/>
    <mergeCell ref="G193:H193"/>
    <mergeCell ref="I193:K193"/>
    <mergeCell ref="A203:B204"/>
    <mergeCell ref="C203:C204"/>
    <mergeCell ref="D203:D204"/>
    <mergeCell ref="E203:E204"/>
    <mergeCell ref="F203:F204"/>
    <mergeCell ref="F199:H199"/>
    <mergeCell ref="B200:J200"/>
    <mergeCell ref="B201:J201"/>
    <mergeCell ref="A202:B202"/>
    <mergeCell ref="G202:H202"/>
    <mergeCell ref="I202:K202"/>
    <mergeCell ref="A211:B212"/>
    <mergeCell ref="C211:C212"/>
    <mergeCell ref="D211:D212"/>
    <mergeCell ref="E211:E212"/>
    <mergeCell ref="F211:F212"/>
    <mergeCell ref="F207:H207"/>
    <mergeCell ref="B208:J208"/>
    <mergeCell ref="B209:J209"/>
    <mergeCell ref="A210:B210"/>
    <mergeCell ref="G210:H210"/>
    <mergeCell ref="I210:K210"/>
    <mergeCell ref="A219:B220"/>
    <mergeCell ref="C219:C220"/>
    <mergeCell ref="D219:D220"/>
    <mergeCell ref="E219:E220"/>
    <mergeCell ref="F219:F220"/>
    <mergeCell ref="F215:H215"/>
    <mergeCell ref="B216:J216"/>
    <mergeCell ref="B217:J217"/>
    <mergeCell ref="A218:B218"/>
    <mergeCell ref="G218:H218"/>
    <mergeCell ref="I218:K218"/>
    <mergeCell ref="A226:B227"/>
    <mergeCell ref="C226:C227"/>
    <mergeCell ref="D226:D227"/>
    <mergeCell ref="E226:E227"/>
    <mergeCell ref="F226:F227"/>
    <mergeCell ref="F222:H222"/>
    <mergeCell ref="B223:J223"/>
    <mergeCell ref="B224:J224"/>
    <mergeCell ref="A225:B225"/>
    <mergeCell ref="G225:H225"/>
    <mergeCell ref="I225:K225"/>
    <mergeCell ref="A235:B236"/>
    <mergeCell ref="C235:C236"/>
    <mergeCell ref="D235:D236"/>
    <mergeCell ref="E235:E236"/>
    <mergeCell ref="F235:F236"/>
    <mergeCell ref="F231:H231"/>
    <mergeCell ref="B232:J232"/>
    <mergeCell ref="B233:J233"/>
    <mergeCell ref="A234:B234"/>
    <mergeCell ref="G234:H234"/>
    <mergeCell ref="I234:K234"/>
    <mergeCell ref="A243:B244"/>
    <mergeCell ref="C243:C244"/>
    <mergeCell ref="D243:D244"/>
    <mergeCell ref="E243:E244"/>
    <mergeCell ref="F243:F244"/>
    <mergeCell ref="F239:H239"/>
    <mergeCell ref="B240:J240"/>
    <mergeCell ref="B241:J241"/>
    <mergeCell ref="A242:B242"/>
    <mergeCell ref="G242:H242"/>
    <mergeCell ref="I242:K242"/>
    <mergeCell ref="A260:B261"/>
    <mergeCell ref="C260:C261"/>
    <mergeCell ref="D260:D261"/>
    <mergeCell ref="E260:E261"/>
    <mergeCell ref="F260:F261"/>
    <mergeCell ref="F256:H256"/>
    <mergeCell ref="B257:J257"/>
    <mergeCell ref="B258:J258"/>
    <mergeCell ref="A259:B259"/>
    <mergeCell ref="G259:H259"/>
    <mergeCell ref="I259:K259"/>
    <mergeCell ref="A270:B271"/>
    <mergeCell ref="C270:C271"/>
    <mergeCell ref="D270:D271"/>
    <mergeCell ref="E270:E271"/>
    <mergeCell ref="F270:F271"/>
    <mergeCell ref="F266:H266"/>
    <mergeCell ref="B267:J267"/>
    <mergeCell ref="B268:J268"/>
    <mergeCell ref="A269:B269"/>
    <mergeCell ref="G269:H269"/>
    <mergeCell ref="I269:K269"/>
    <mergeCell ref="A282:B283"/>
    <mergeCell ref="C282:C283"/>
    <mergeCell ref="D282:D283"/>
    <mergeCell ref="E282:E283"/>
    <mergeCell ref="F282:F283"/>
    <mergeCell ref="F278:H278"/>
    <mergeCell ref="B279:J279"/>
    <mergeCell ref="B280:J280"/>
    <mergeCell ref="A281:B281"/>
    <mergeCell ref="G281:H281"/>
    <mergeCell ref="I281:K281"/>
    <mergeCell ref="A290:B291"/>
    <mergeCell ref="C290:C291"/>
    <mergeCell ref="D290:D291"/>
    <mergeCell ref="E290:E291"/>
    <mergeCell ref="F290:F291"/>
    <mergeCell ref="F286:H286"/>
    <mergeCell ref="B287:J287"/>
    <mergeCell ref="B288:J288"/>
    <mergeCell ref="A289:B289"/>
    <mergeCell ref="G289:H289"/>
    <mergeCell ref="I289:K289"/>
    <mergeCell ref="F304:H304"/>
    <mergeCell ref="B305:J305"/>
    <mergeCell ref="A300:B301"/>
    <mergeCell ref="C300:C301"/>
    <mergeCell ref="D300:D301"/>
    <mergeCell ref="E300:E301"/>
    <mergeCell ref="F300:F301"/>
    <mergeCell ref="F296:H296"/>
    <mergeCell ref="B297:J297"/>
    <mergeCell ref="B298:J298"/>
    <mergeCell ref="A299:B299"/>
    <mergeCell ref="G299:H299"/>
    <mergeCell ref="I299:K299"/>
    <mergeCell ref="B341:J341"/>
    <mergeCell ref="A342:B342"/>
    <mergeCell ref="G342:H342"/>
    <mergeCell ref="I342:K342"/>
    <mergeCell ref="A343:B344"/>
    <mergeCell ref="C343:C344"/>
    <mergeCell ref="D343:D344"/>
    <mergeCell ref="E343:E344"/>
    <mergeCell ref="F343:F344"/>
    <mergeCell ref="F347:H347"/>
    <mergeCell ref="B348:J348"/>
    <mergeCell ref="B349:J349"/>
    <mergeCell ref="A350:B350"/>
    <mergeCell ref="G350:H350"/>
    <mergeCell ref="I350:K350"/>
    <mergeCell ref="A351:B352"/>
    <mergeCell ref="C351:C352"/>
    <mergeCell ref="D351:D352"/>
    <mergeCell ref="E351:E352"/>
    <mergeCell ref="F351:F352"/>
    <mergeCell ref="F355:H355"/>
    <mergeCell ref="B356:J356"/>
    <mergeCell ref="B364:J364"/>
    <mergeCell ref="A365:B365"/>
    <mergeCell ref="G365:H365"/>
    <mergeCell ref="I365:K365"/>
    <mergeCell ref="A366:B367"/>
    <mergeCell ref="C366:C367"/>
    <mergeCell ref="D366:D367"/>
    <mergeCell ref="E366:E367"/>
    <mergeCell ref="F366:F367"/>
    <mergeCell ref="B357:J357"/>
    <mergeCell ref="A358:B358"/>
    <mergeCell ref="G358:H358"/>
    <mergeCell ref="I358:K358"/>
    <mergeCell ref="A359:B360"/>
    <mergeCell ref="C359:C360"/>
    <mergeCell ref="D359:D360"/>
    <mergeCell ref="E359:E360"/>
    <mergeCell ref="F359:F360"/>
    <mergeCell ref="F362:H362"/>
    <mergeCell ref="B363:J363"/>
    <mergeCell ref="F371:H371"/>
    <mergeCell ref="B372:J372"/>
    <mergeCell ref="B373:J373"/>
    <mergeCell ref="A374:B374"/>
    <mergeCell ref="G374:H374"/>
    <mergeCell ref="I374:K374"/>
    <mergeCell ref="A375:B376"/>
    <mergeCell ref="C375:C376"/>
    <mergeCell ref="D375:D376"/>
    <mergeCell ref="E375:E376"/>
    <mergeCell ref="F375:F376"/>
    <mergeCell ref="F379:H379"/>
    <mergeCell ref="B380:J380"/>
    <mergeCell ref="B381:J381"/>
    <mergeCell ref="A382:B382"/>
    <mergeCell ref="G382:H382"/>
    <mergeCell ref="I382:K382"/>
    <mergeCell ref="A383:B384"/>
    <mergeCell ref="C383:C384"/>
    <mergeCell ref="D383:D384"/>
    <mergeCell ref="E383:E384"/>
    <mergeCell ref="F383:F384"/>
    <mergeCell ref="F388:H388"/>
    <mergeCell ref="B389:J389"/>
    <mergeCell ref="B390:J390"/>
    <mergeCell ref="A391:B391"/>
    <mergeCell ref="G391:H391"/>
    <mergeCell ref="I391:K391"/>
    <mergeCell ref="A392:B393"/>
    <mergeCell ref="C392:C393"/>
    <mergeCell ref="D392:D393"/>
    <mergeCell ref="E392:E393"/>
    <mergeCell ref="F392:F393"/>
    <mergeCell ref="F397:H397"/>
    <mergeCell ref="B398:J398"/>
    <mergeCell ref="B399:J399"/>
    <mergeCell ref="A400:B400"/>
    <mergeCell ref="G400:H400"/>
    <mergeCell ref="I400:K400"/>
    <mergeCell ref="A401:B402"/>
    <mergeCell ref="C401:C402"/>
    <mergeCell ref="D401:D402"/>
    <mergeCell ref="E401:E402"/>
    <mergeCell ref="F401:F402"/>
    <mergeCell ref="F406:H406"/>
    <mergeCell ref="B407:J407"/>
    <mergeCell ref="B423:J423"/>
    <mergeCell ref="A424:B424"/>
    <mergeCell ref="G424:H424"/>
    <mergeCell ref="I424:K424"/>
    <mergeCell ref="A425:B426"/>
    <mergeCell ref="C425:C426"/>
    <mergeCell ref="D425:D426"/>
    <mergeCell ref="E425:E426"/>
    <mergeCell ref="F425:F426"/>
    <mergeCell ref="B408:J408"/>
    <mergeCell ref="A409:B409"/>
    <mergeCell ref="G409:H409"/>
    <mergeCell ref="I409:K409"/>
    <mergeCell ref="A410:B411"/>
    <mergeCell ref="C410:C411"/>
    <mergeCell ref="D410:D411"/>
    <mergeCell ref="E410:E411"/>
    <mergeCell ref="F410:F411"/>
    <mergeCell ref="F421:H421"/>
    <mergeCell ref="B422:J422"/>
    <mergeCell ref="F428:H428"/>
    <mergeCell ref="B429:J429"/>
    <mergeCell ref="B430:J430"/>
    <mergeCell ref="A431:B431"/>
    <mergeCell ref="G431:H431"/>
    <mergeCell ref="I431:K431"/>
    <mergeCell ref="A432:B433"/>
    <mergeCell ref="C432:C433"/>
    <mergeCell ref="D432:D433"/>
    <mergeCell ref="E432:E433"/>
    <mergeCell ref="F432:F433"/>
    <mergeCell ref="F436:H436"/>
    <mergeCell ref="B437:J437"/>
    <mergeCell ref="B438:J438"/>
    <mergeCell ref="A439:B439"/>
    <mergeCell ref="G439:H439"/>
    <mergeCell ref="I439:K439"/>
    <mergeCell ref="A440:B441"/>
    <mergeCell ref="C440:C441"/>
    <mergeCell ref="D440:D441"/>
    <mergeCell ref="E440:E441"/>
    <mergeCell ref="F440:F441"/>
    <mergeCell ref="G466:H466"/>
    <mergeCell ref="B464:J464"/>
    <mergeCell ref="F455:H455"/>
    <mergeCell ref="B456:J456"/>
    <mergeCell ref="B457:J457"/>
    <mergeCell ref="A458:B458"/>
    <mergeCell ref="G458:H458"/>
    <mergeCell ref="I458:K458"/>
    <mergeCell ref="A459:B460"/>
    <mergeCell ref="C459:C460"/>
    <mergeCell ref="D459:D460"/>
    <mergeCell ref="E459:E460"/>
    <mergeCell ref="F459:F460"/>
    <mergeCell ref="F463:H463"/>
    <mergeCell ref="I466:K466"/>
    <mergeCell ref="B465:J465"/>
    <mergeCell ref="A466:B466"/>
    <mergeCell ref="F443:H443"/>
    <mergeCell ref="B444:J444"/>
    <mergeCell ref="B445:J445"/>
    <mergeCell ref="A446:B446"/>
    <mergeCell ref="G446:H446"/>
    <mergeCell ref="I446:K446"/>
    <mergeCell ref="A447:B448"/>
    <mergeCell ref="C447:C448"/>
    <mergeCell ref="D447:D448"/>
    <mergeCell ref="E447:E448"/>
    <mergeCell ref="F447:F448"/>
    <mergeCell ref="G490:H490"/>
    <mergeCell ref="F477:H477"/>
    <mergeCell ref="B478:J478"/>
    <mergeCell ref="F470:H470"/>
    <mergeCell ref="B471:J471"/>
    <mergeCell ref="B472:J472"/>
    <mergeCell ref="A473:B473"/>
    <mergeCell ref="G473:H473"/>
    <mergeCell ref="I473:K473"/>
    <mergeCell ref="A474:B475"/>
    <mergeCell ref="C474:C475"/>
    <mergeCell ref="F487:H487"/>
    <mergeCell ref="B488:J488"/>
    <mergeCell ref="B489:J489"/>
    <mergeCell ref="A490:B490"/>
    <mergeCell ref="I490:K490"/>
    <mergeCell ref="F467:F468"/>
    <mergeCell ref="A467:B468"/>
    <mergeCell ref="C467:C468"/>
    <mergeCell ref="D467:D468"/>
    <mergeCell ref="E467:E468"/>
    <mergeCell ref="G500:H500"/>
    <mergeCell ref="I500:K500"/>
    <mergeCell ref="A501:B502"/>
    <mergeCell ref="C501:C502"/>
    <mergeCell ref="D501:D502"/>
    <mergeCell ref="E501:E502"/>
    <mergeCell ref="F501:F502"/>
    <mergeCell ref="D474:D475"/>
    <mergeCell ref="E474:E475"/>
    <mergeCell ref="F474:F475"/>
    <mergeCell ref="B479:J479"/>
    <mergeCell ref="A480:B480"/>
    <mergeCell ref="G480:H480"/>
    <mergeCell ref="I480:K480"/>
    <mergeCell ref="A481:B482"/>
    <mergeCell ref="C481:C482"/>
    <mergeCell ref="D481:D482"/>
    <mergeCell ref="E481:E482"/>
    <mergeCell ref="F481:F482"/>
  </mergeCells>
  <pageMargins left="0.23622047244094491" right="0.23622047244094491" top="0.74803149606299213" bottom="0.74803149606299213" header="0.31496062992125984" footer="0.31496062992125984"/>
  <pageSetup paperSize="9" scale="94" firstPageNumber="184" fitToHeight="30" orientation="portrait" useFirstPageNumber="1" r:id="rId1"/>
  <headerFooter>
    <oddFooter>&amp;CEng. Civil Daniele Firme Miranda
CREA: 24.965/D-DF
ART nº 0720190034483&amp;RPágina &amp;P de 208</oddFooter>
  </headerFooter>
  <rowBreaks count="5" manualBreakCount="5">
    <brk id="54" max="10" man="1"/>
    <brk id="380" max="10" man="1"/>
    <brk id="471" max="10" man="1"/>
    <brk id="517" max="10" man="1"/>
    <brk id="675"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8">
    <pageSetUpPr fitToPage="1"/>
  </sheetPr>
  <dimension ref="A1:XFB35"/>
  <sheetViews>
    <sheetView view="pageBreakPreview" topLeftCell="A13" zoomScale="130" zoomScaleNormal="100" zoomScaleSheetLayoutView="130" workbookViewId="0">
      <selection activeCell="D7" sqref="D7"/>
    </sheetView>
  </sheetViews>
  <sheetFormatPr defaultRowHeight="12.75"/>
  <cols>
    <col min="1" max="1" width="9.140625" style="178" customWidth="1"/>
    <col min="2" max="2" width="20.5703125" style="176" customWidth="1"/>
    <col min="3" max="3" width="6.85546875" style="176" customWidth="1"/>
    <col min="4" max="4" width="7.140625" style="176" customWidth="1"/>
    <col min="5" max="6" width="9.140625" style="178" customWidth="1"/>
    <col min="7" max="8" width="7.42578125" style="310" customWidth="1"/>
    <col min="9" max="9" width="7.28515625" style="310" bestFit="1" customWidth="1"/>
    <col min="10" max="10" width="7.85546875" style="310" bestFit="1" customWidth="1"/>
    <col min="11" max="11" width="8" style="310" customWidth="1"/>
    <col min="12" max="12" width="7.42578125" style="310" customWidth="1"/>
    <col min="13" max="13" width="7.140625" style="310" bestFit="1" customWidth="1"/>
    <col min="14" max="14" width="7.28515625" style="310" bestFit="1" customWidth="1"/>
    <col min="15" max="15" width="7.85546875" style="310" bestFit="1" customWidth="1"/>
    <col min="16" max="16" width="8" style="310" customWidth="1"/>
    <col min="17" max="18" width="7.28515625" style="310" bestFit="1" customWidth="1"/>
    <col min="19" max="19" width="8" style="310" bestFit="1" customWidth="1"/>
    <col min="20" max="20" width="8.28515625" style="310" customWidth="1"/>
    <col min="21" max="22" width="7.28515625" style="310" bestFit="1" customWidth="1"/>
    <col min="23" max="23" width="8" style="310" bestFit="1" customWidth="1"/>
    <col min="24" max="24" width="8.28515625" style="310" customWidth="1"/>
    <col min="25" max="26" width="7.28515625" style="310" bestFit="1" customWidth="1"/>
    <col min="27" max="27" width="8" style="310" bestFit="1" customWidth="1"/>
    <col min="28" max="28" width="8.28515625" style="310" customWidth="1"/>
    <col min="29" max="31" width="7.28515625" style="310" bestFit="1" customWidth="1"/>
    <col min="32" max="33" width="8" style="310" bestFit="1" customWidth="1"/>
    <col min="34" max="34" width="8.28515625" style="310" customWidth="1"/>
    <col min="35" max="35" width="7.28515625" style="310" bestFit="1" customWidth="1"/>
    <col min="36" max="36" width="8" style="310" bestFit="1" customWidth="1"/>
    <col min="37" max="37" width="8.28515625" style="310" customWidth="1"/>
    <col min="38" max="39" width="7.28515625" style="310" bestFit="1" customWidth="1"/>
    <col min="40" max="40" width="8" style="310" bestFit="1" customWidth="1"/>
    <col min="41" max="42" width="8.28515625" style="178" customWidth="1"/>
    <col min="43" max="43" width="10.42578125" style="178" bestFit="1" customWidth="1"/>
    <col min="44" max="44" width="10.42578125" style="176" bestFit="1" customWidth="1"/>
    <col min="45" max="45" width="13.140625" style="176" bestFit="1" customWidth="1"/>
    <col min="46" max="287" width="9.140625" style="176"/>
    <col min="288" max="288" width="9.140625" style="176" customWidth="1"/>
    <col min="289" max="289" width="25.85546875" style="176" customWidth="1"/>
    <col min="290" max="290" width="5.7109375" style="176" bestFit="1" customWidth="1"/>
    <col min="291" max="291" width="7.140625" style="176" bestFit="1" customWidth="1"/>
    <col min="292" max="292" width="7.28515625" style="176" bestFit="1" customWidth="1"/>
    <col min="293" max="293" width="6.140625" style="176" bestFit="1" customWidth="1"/>
    <col min="294" max="296" width="7.28515625" style="176" bestFit="1" customWidth="1"/>
    <col min="297" max="297" width="8" style="176" bestFit="1" customWidth="1"/>
    <col min="298" max="298" width="8.28515625" style="176" customWidth="1"/>
    <col min="299" max="300" width="10.42578125" style="176" bestFit="1" customWidth="1"/>
    <col min="301" max="301" width="13.140625" style="176" bestFit="1" customWidth="1"/>
    <col min="302" max="543" width="9.140625" style="176"/>
    <col min="544" max="544" width="9.140625" style="176" customWidth="1"/>
    <col min="545" max="545" width="25.85546875" style="176" customWidth="1"/>
    <col min="546" max="546" width="5.7109375" style="176" bestFit="1" customWidth="1"/>
    <col min="547" max="547" width="7.140625" style="176" bestFit="1" customWidth="1"/>
    <col min="548" max="548" width="7.28515625" style="176" bestFit="1" customWidth="1"/>
    <col min="549" max="549" width="6.140625" style="176" bestFit="1" customWidth="1"/>
    <col min="550" max="552" width="7.28515625" style="176" bestFit="1" customWidth="1"/>
    <col min="553" max="553" width="8" style="176" bestFit="1" customWidth="1"/>
    <col min="554" max="554" width="8.28515625" style="176" customWidth="1"/>
    <col min="555" max="556" width="10.42578125" style="176" bestFit="1" customWidth="1"/>
    <col min="557" max="557" width="13.140625" style="176" bestFit="1" customWidth="1"/>
    <col min="558" max="799" width="9.140625" style="176"/>
    <col min="800" max="800" width="9.140625" style="176" customWidth="1"/>
    <col min="801" max="801" width="25.85546875" style="176" customWidth="1"/>
    <col min="802" max="802" width="5.7109375" style="176" bestFit="1" customWidth="1"/>
    <col min="803" max="803" width="7.140625" style="176" bestFit="1" customWidth="1"/>
    <col min="804" max="804" width="7.28515625" style="176" bestFit="1" customWidth="1"/>
    <col min="805" max="805" width="6.140625" style="176" bestFit="1" customWidth="1"/>
    <col min="806" max="808" width="7.28515625" style="176" bestFit="1" customWidth="1"/>
    <col min="809" max="809" width="8" style="176" bestFit="1" customWidth="1"/>
    <col min="810" max="810" width="8.28515625" style="176" customWidth="1"/>
    <col min="811" max="812" width="10.42578125" style="176" bestFit="1" customWidth="1"/>
    <col min="813" max="813" width="13.140625" style="176" bestFit="1" customWidth="1"/>
    <col min="814" max="1055" width="9.140625" style="176"/>
    <col min="1056" max="1056" width="9.140625" style="176" customWidth="1"/>
    <col min="1057" max="1057" width="25.85546875" style="176" customWidth="1"/>
    <col min="1058" max="1058" width="5.7109375" style="176" bestFit="1" customWidth="1"/>
    <col min="1059" max="1059" width="7.140625" style="176" bestFit="1" customWidth="1"/>
    <col min="1060" max="1060" width="7.28515625" style="176" bestFit="1" customWidth="1"/>
    <col min="1061" max="1061" width="6.140625" style="176" bestFit="1" customWidth="1"/>
    <col min="1062" max="1064" width="7.28515625" style="176" bestFit="1" customWidth="1"/>
    <col min="1065" max="1065" width="8" style="176" bestFit="1" customWidth="1"/>
    <col min="1066" max="1066" width="8.28515625" style="176" customWidth="1"/>
    <col min="1067" max="1068" width="10.42578125" style="176" bestFit="1" customWidth="1"/>
    <col min="1069" max="1069" width="13.140625" style="176" bestFit="1" customWidth="1"/>
    <col min="1070" max="1311" width="9.140625" style="176"/>
    <col min="1312" max="1312" width="9.140625" style="176" customWidth="1"/>
    <col min="1313" max="1313" width="25.85546875" style="176" customWidth="1"/>
    <col min="1314" max="1314" width="5.7109375" style="176" bestFit="1" customWidth="1"/>
    <col min="1315" max="1315" width="7.140625" style="176" bestFit="1" customWidth="1"/>
    <col min="1316" max="1316" width="7.28515625" style="176" bestFit="1" customWidth="1"/>
    <col min="1317" max="1317" width="6.140625" style="176" bestFit="1" customWidth="1"/>
    <col min="1318" max="1320" width="7.28515625" style="176" bestFit="1" customWidth="1"/>
    <col min="1321" max="1321" width="8" style="176" bestFit="1" customWidth="1"/>
    <col min="1322" max="1322" width="8.28515625" style="176" customWidth="1"/>
    <col min="1323" max="1324" width="10.42578125" style="176" bestFit="1" customWidth="1"/>
    <col min="1325" max="1325" width="13.140625" style="176" bestFit="1" customWidth="1"/>
    <col min="1326" max="1567" width="9.140625" style="176"/>
    <col min="1568" max="1568" width="9.140625" style="176" customWidth="1"/>
    <col min="1569" max="1569" width="25.85546875" style="176" customWidth="1"/>
    <col min="1570" max="1570" width="5.7109375" style="176" bestFit="1" customWidth="1"/>
    <col min="1571" max="1571" width="7.140625" style="176" bestFit="1" customWidth="1"/>
    <col min="1572" max="1572" width="7.28515625" style="176" bestFit="1" customWidth="1"/>
    <col min="1573" max="1573" width="6.140625" style="176" bestFit="1" customWidth="1"/>
    <col min="1574" max="1576" width="7.28515625" style="176" bestFit="1" customWidth="1"/>
    <col min="1577" max="1577" width="8" style="176" bestFit="1" customWidth="1"/>
    <col min="1578" max="1578" width="8.28515625" style="176" customWidth="1"/>
    <col min="1579" max="1580" width="10.42578125" style="176" bestFit="1" customWidth="1"/>
    <col min="1581" max="1581" width="13.140625" style="176" bestFit="1" customWidth="1"/>
    <col min="1582" max="1823" width="9.140625" style="176"/>
    <col min="1824" max="1824" width="9.140625" style="176" customWidth="1"/>
    <col min="1825" max="1825" width="25.85546875" style="176" customWidth="1"/>
    <col min="1826" max="1826" width="5.7109375" style="176" bestFit="1" customWidth="1"/>
    <col min="1827" max="1827" width="7.140625" style="176" bestFit="1" customWidth="1"/>
    <col min="1828" max="1828" width="7.28515625" style="176" bestFit="1" customWidth="1"/>
    <col min="1829" max="1829" width="6.140625" style="176" bestFit="1" customWidth="1"/>
    <col min="1830" max="1832" width="7.28515625" style="176" bestFit="1" customWidth="1"/>
    <col min="1833" max="1833" width="8" style="176" bestFit="1" customWidth="1"/>
    <col min="1834" max="1834" width="8.28515625" style="176" customWidth="1"/>
    <col min="1835" max="1836" width="10.42578125" style="176" bestFit="1" customWidth="1"/>
    <col min="1837" max="1837" width="13.140625" style="176" bestFit="1" customWidth="1"/>
    <col min="1838" max="2079" width="9.140625" style="176"/>
    <col min="2080" max="2080" width="9.140625" style="176" customWidth="1"/>
    <col min="2081" max="2081" width="25.85546875" style="176" customWidth="1"/>
    <col min="2082" max="2082" width="5.7109375" style="176" bestFit="1" customWidth="1"/>
    <col min="2083" max="2083" width="7.140625" style="176" bestFit="1" customWidth="1"/>
    <col min="2084" max="2084" width="7.28515625" style="176" bestFit="1" customWidth="1"/>
    <col min="2085" max="2085" width="6.140625" style="176" bestFit="1" customWidth="1"/>
    <col min="2086" max="2088" width="7.28515625" style="176" bestFit="1" customWidth="1"/>
    <col min="2089" max="2089" width="8" style="176" bestFit="1" customWidth="1"/>
    <col min="2090" max="2090" width="8.28515625" style="176" customWidth="1"/>
    <col min="2091" max="2092" width="10.42578125" style="176" bestFit="1" customWidth="1"/>
    <col min="2093" max="2093" width="13.140625" style="176" bestFit="1" customWidth="1"/>
    <col min="2094" max="2335" width="9.140625" style="176"/>
    <col min="2336" max="2336" width="9.140625" style="176" customWidth="1"/>
    <col min="2337" max="2337" width="25.85546875" style="176" customWidth="1"/>
    <col min="2338" max="2338" width="5.7109375" style="176" bestFit="1" customWidth="1"/>
    <col min="2339" max="2339" width="7.140625" style="176" bestFit="1" customWidth="1"/>
    <col min="2340" max="2340" width="7.28515625" style="176" bestFit="1" customWidth="1"/>
    <col min="2341" max="2341" width="6.140625" style="176" bestFit="1" customWidth="1"/>
    <col min="2342" max="2344" width="7.28515625" style="176" bestFit="1" customWidth="1"/>
    <col min="2345" max="2345" width="8" style="176" bestFit="1" customWidth="1"/>
    <col min="2346" max="2346" width="8.28515625" style="176" customWidth="1"/>
    <col min="2347" max="2348" width="10.42578125" style="176" bestFit="1" customWidth="1"/>
    <col min="2349" max="2349" width="13.140625" style="176" bestFit="1" customWidth="1"/>
    <col min="2350" max="2591" width="9.140625" style="176"/>
    <col min="2592" max="2592" width="9.140625" style="176" customWidth="1"/>
    <col min="2593" max="2593" width="25.85546875" style="176" customWidth="1"/>
    <col min="2594" max="2594" width="5.7109375" style="176" bestFit="1" customWidth="1"/>
    <col min="2595" max="2595" width="7.140625" style="176" bestFit="1" customWidth="1"/>
    <col min="2596" max="2596" width="7.28515625" style="176" bestFit="1" customWidth="1"/>
    <col min="2597" max="2597" width="6.140625" style="176" bestFit="1" customWidth="1"/>
    <col min="2598" max="2600" width="7.28515625" style="176" bestFit="1" customWidth="1"/>
    <col min="2601" max="2601" width="8" style="176" bestFit="1" customWidth="1"/>
    <col min="2602" max="2602" width="8.28515625" style="176" customWidth="1"/>
    <col min="2603" max="2604" width="10.42578125" style="176" bestFit="1" customWidth="1"/>
    <col min="2605" max="2605" width="13.140625" style="176" bestFit="1" customWidth="1"/>
    <col min="2606" max="2847" width="9.140625" style="176"/>
    <col min="2848" max="2848" width="9.140625" style="176" customWidth="1"/>
    <col min="2849" max="2849" width="25.85546875" style="176" customWidth="1"/>
    <col min="2850" max="2850" width="5.7109375" style="176" bestFit="1" customWidth="1"/>
    <col min="2851" max="2851" width="7.140625" style="176" bestFit="1" customWidth="1"/>
    <col min="2852" max="2852" width="7.28515625" style="176" bestFit="1" customWidth="1"/>
    <col min="2853" max="2853" width="6.140625" style="176" bestFit="1" customWidth="1"/>
    <col min="2854" max="2856" width="7.28515625" style="176" bestFit="1" customWidth="1"/>
    <col min="2857" max="2857" width="8" style="176" bestFit="1" customWidth="1"/>
    <col min="2858" max="2858" width="8.28515625" style="176" customWidth="1"/>
    <col min="2859" max="2860" width="10.42578125" style="176" bestFit="1" customWidth="1"/>
    <col min="2861" max="2861" width="13.140625" style="176" bestFit="1" customWidth="1"/>
    <col min="2862" max="3103" width="9.140625" style="176"/>
    <col min="3104" max="3104" width="9.140625" style="176" customWidth="1"/>
    <col min="3105" max="3105" width="25.85546875" style="176" customWidth="1"/>
    <col min="3106" max="3106" width="5.7109375" style="176" bestFit="1" customWidth="1"/>
    <col min="3107" max="3107" width="7.140625" style="176" bestFit="1" customWidth="1"/>
    <col min="3108" max="3108" width="7.28515625" style="176" bestFit="1" customWidth="1"/>
    <col min="3109" max="3109" width="6.140625" style="176" bestFit="1" customWidth="1"/>
    <col min="3110" max="3112" width="7.28515625" style="176" bestFit="1" customWidth="1"/>
    <col min="3113" max="3113" width="8" style="176" bestFit="1" customWidth="1"/>
    <col min="3114" max="3114" width="8.28515625" style="176" customWidth="1"/>
    <col min="3115" max="3116" width="10.42578125" style="176" bestFit="1" customWidth="1"/>
    <col min="3117" max="3117" width="13.140625" style="176" bestFit="1" customWidth="1"/>
    <col min="3118" max="3359" width="9.140625" style="176"/>
    <col min="3360" max="3360" width="9.140625" style="176" customWidth="1"/>
    <col min="3361" max="3361" width="25.85546875" style="176" customWidth="1"/>
    <col min="3362" max="3362" width="5.7109375" style="176" bestFit="1" customWidth="1"/>
    <col min="3363" max="3363" width="7.140625" style="176" bestFit="1" customWidth="1"/>
    <col min="3364" max="3364" width="7.28515625" style="176" bestFit="1" customWidth="1"/>
    <col min="3365" max="3365" width="6.140625" style="176" bestFit="1" customWidth="1"/>
    <col min="3366" max="3368" width="7.28515625" style="176" bestFit="1" customWidth="1"/>
    <col min="3369" max="3369" width="8" style="176" bestFit="1" customWidth="1"/>
    <col min="3370" max="3370" width="8.28515625" style="176" customWidth="1"/>
    <col min="3371" max="3372" width="10.42578125" style="176" bestFit="1" customWidth="1"/>
    <col min="3373" max="3373" width="13.140625" style="176" bestFit="1" customWidth="1"/>
    <col min="3374" max="3615" width="9.140625" style="176"/>
    <col min="3616" max="3616" width="9.140625" style="176" customWidth="1"/>
    <col min="3617" max="3617" width="25.85546875" style="176" customWidth="1"/>
    <col min="3618" max="3618" width="5.7109375" style="176" bestFit="1" customWidth="1"/>
    <col min="3619" max="3619" width="7.140625" style="176" bestFit="1" customWidth="1"/>
    <col min="3620" max="3620" width="7.28515625" style="176" bestFit="1" customWidth="1"/>
    <col min="3621" max="3621" width="6.140625" style="176" bestFit="1" customWidth="1"/>
    <col min="3622" max="3624" width="7.28515625" style="176" bestFit="1" customWidth="1"/>
    <col min="3625" max="3625" width="8" style="176" bestFit="1" customWidth="1"/>
    <col min="3626" max="3626" width="8.28515625" style="176" customWidth="1"/>
    <col min="3627" max="3628" width="10.42578125" style="176" bestFit="1" customWidth="1"/>
    <col min="3629" max="3629" width="13.140625" style="176" bestFit="1" customWidth="1"/>
    <col min="3630" max="3871" width="9.140625" style="176"/>
    <col min="3872" max="3872" width="9.140625" style="176" customWidth="1"/>
    <col min="3873" max="3873" width="25.85546875" style="176" customWidth="1"/>
    <col min="3874" max="3874" width="5.7109375" style="176" bestFit="1" customWidth="1"/>
    <col min="3875" max="3875" width="7.140625" style="176" bestFit="1" customWidth="1"/>
    <col min="3876" max="3876" width="7.28515625" style="176" bestFit="1" customWidth="1"/>
    <col min="3877" max="3877" width="6.140625" style="176" bestFit="1" customWidth="1"/>
    <col min="3878" max="3880" width="7.28515625" style="176" bestFit="1" customWidth="1"/>
    <col min="3881" max="3881" width="8" style="176" bestFit="1" customWidth="1"/>
    <col min="3882" max="3882" width="8.28515625" style="176" customWidth="1"/>
    <col min="3883" max="3884" width="10.42578125" style="176" bestFit="1" customWidth="1"/>
    <col min="3885" max="3885" width="13.140625" style="176" bestFit="1" customWidth="1"/>
    <col min="3886" max="4127" width="9.140625" style="176"/>
    <col min="4128" max="4128" width="9.140625" style="176" customWidth="1"/>
    <col min="4129" max="4129" width="25.85546875" style="176" customWidth="1"/>
    <col min="4130" max="4130" width="5.7109375" style="176" bestFit="1" customWidth="1"/>
    <col min="4131" max="4131" width="7.140625" style="176" bestFit="1" customWidth="1"/>
    <col min="4132" max="4132" width="7.28515625" style="176" bestFit="1" customWidth="1"/>
    <col min="4133" max="4133" width="6.140625" style="176" bestFit="1" customWidth="1"/>
    <col min="4134" max="4136" width="7.28515625" style="176" bestFit="1" customWidth="1"/>
    <col min="4137" max="4137" width="8" style="176" bestFit="1" customWidth="1"/>
    <col min="4138" max="4138" width="8.28515625" style="176" customWidth="1"/>
    <col min="4139" max="4140" width="10.42578125" style="176" bestFit="1" customWidth="1"/>
    <col min="4141" max="4141" width="13.140625" style="176" bestFit="1" customWidth="1"/>
    <col min="4142" max="4383" width="9.140625" style="176"/>
    <col min="4384" max="4384" width="9.140625" style="176" customWidth="1"/>
    <col min="4385" max="4385" width="25.85546875" style="176" customWidth="1"/>
    <col min="4386" max="4386" width="5.7109375" style="176" bestFit="1" customWidth="1"/>
    <col min="4387" max="4387" width="7.140625" style="176" bestFit="1" customWidth="1"/>
    <col min="4388" max="4388" width="7.28515625" style="176" bestFit="1" customWidth="1"/>
    <col min="4389" max="4389" width="6.140625" style="176" bestFit="1" customWidth="1"/>
    <col min="4390" max="4392" width="7.28515625" style="176" bestFit="1" customWidth="1"/>
    <col min="4393" max="4393" width="8" style="176" bestFit="1" customWidth="1"/>
    <col min="4394" max="4394" width="8.28515625" style="176" customWidth="1"/>
    <col min="4395" max="4396" width="10.42578125" style="176" bestFit="1" customWidth="1"/>
    <col min="4397" max="4397" width="13.140625" style="176" bestFit="1" customWidth="1"/>
    <col min="4398" max="4639" width="9.140625" style="176"/>
    <col min="4640" max="4640" width="9.140625" style="176" customWidth="1"/>
    <col min="4641" max="4641" width="25.85546875" style="176" customWidth="1"/>
    <col min="4642" max="4642" width="5.7109375" style="176" bestFit="1" customWidth="1"/>
    <col min="4643" max="4643" width="7.140625" style="176" bestFit="1" customWidth="1"/>
    <col min="4644" max="4644" width="7.28515625" style="176" bestFit="1" customWidth="1"/>
    <col min="4645" max="4645" width="6.140625" style="176" bestFit="1" customWidth="1"/>
    <col min="4646" max="4648" width="7.28515625" style="176" bestFit="1" customWidth="1"/>
    <col min="4649" max="4649" width="8" style="176" bestFit="1" customWidth="1"/>
    <col min="4650" max="4650" width="8.28515625" style="176" customWidth="1"/>
    <col min="4651" max="4652" width="10.42578125" style="176" bestFit="1" customWidth="1"/>
    <col min="4653" max="4653" width="13.140625" style="176" bestFit="1" customWidth="1"/>
    <col min="4654" max="4895" width="9.140625" style="176"/>
    <col min="4896" max="4896" width="9.140625" style="176" customWidth="1"/>
    <col min="4897" max="4897" width="25.85546875" style="176" customWidth="1"/>
    <col min="4898" max="4898" width="5.7109375" style="176" bestFit="1" customWidth="1"/>
    <col min="4899" max="4899" width="7.140625" style="176" bestFit="1" customWidth="1"/>
    <col min="4900" max="4900" width="7.28515625" style="176" bestFit="1" customWidth="1"/>
    <col min="4901" max="4901" width="6.140625" style="176" bestFit="1" customWidth="1"/>
    <col min="4902" max="4904" width="7.28515625" style="176" bestFit="1" customWidth="1"/>
    <col min="4905" max="4905" width="8" style="176" bestFit="1" customWidth="1"/>
    <col min="4906" max="4906" width="8.28515625" style="176" customWidth="1"/>
    <col min="4907" max="4908" width="10.42578125" style="176" bestFit="1" customWidth="1"/>
    <col min="4909" max="4909" width="13.140625" style="176" bestFit="1" customWidth="1"/>
    <col min="4910" max="5151" width="9.140625" style="176"/>
    <col min="5152" max="5152" width="9.140625" style="176" customWidth="1"/>
    <col min="5153" max="5153" width="25.85546875" style="176" customWidth="1"/>
    <col min="5154" max="5154" width="5.7109375" style="176" bestFit="1" customWidth="1"/>
    <col min="5155" max="5155" width="7.140625" style="176" bestFit="1" customWidth="1"/>
    <col min="5156" max="5156" width="7.28515625" style="176" bestFit="1" customWidth="1"/>
    <col min="5157" max="5157" width="6.140625" style="176" bestFit="1" customWidth="1"/>
    <col min="5158" max="5160" width="7.28515625" style="176" bestFit="1" customWidth="1"/>
    <col min="5161" max="5161" width="8" style="176" bestFit="1" customWidth="1"/>
    <col min="5162" max="5162" width="8.28515625" style="176" customWidth="1"/>
    <col min="5163" max="5164" width="10.42578125" style="176" bestFit="1" customWidth="1"/>
    <col min="5165" max="5165" width="13.140625" style="176" bestFit="1" customWidth="1"/>
    <col min="5166" max="5407" width="9.140625" style="176"/>
    <col min="5408" max="5408" width="9.140625" style="176" customWidth="1"/>
    <col min="5409" max="5409" width="25.85546875" style="176" customWidth="1"/>
    <col min="5410" max="5410" width="5.7109375" style="176" bestFit="1" customWidth="1"/>
    <col min="5411" max="5411" width="7.140625" style="176" bestFit="1" customWidth="1"/>
    <col min="5412" max="5412" width="7.28515625" style="176" bestFit="1" customWidth="1"/>
    <col min="5413" max="5413" width="6.140625" style="176" bestFit="1" customWidth="1"/>
    <col min="5414" max="5416" width="7.28515625" style="176" bestFit="1" customWidth="1"/>
    <col min="5417" max="5417" width="8" style="176" bestFit="1" customWidth="1"/>
    <col min="5418" max="5418" width="8.28515625" style="176" customWidth="1"/>
    <col min="5419" max="5420" width="10.42578125" style="176" bestFit="1" customWidth="1"/>
    <col min="5421" max="5421" width="13.140625" style="176" bestFit="1" customWidth="1"/>
    <col min="5422" max="5663" width="9.140625" style="176"/>
    <col min="5664" max="5664" width="9.140625" style="176" customWidth="1"/>
    <col min="5665" max="5665" width="25.85546875" style="176" customWidth="1"/>
    <col min="5666" max="5666" width="5.7109375" style="176" bestFit="1" customWidth="1"/>
    <col min="5667" max="5667" width="7.140625" style="176" bestFit="1" customWidth="1"/>
    <col min="5668" max="5668" width="7.28515625" style="176" bestFit="1" customWidth="1"/>
    <col min="5669" max="5669" width="6.140625" style="176" bestFit="1" customWidth="1"/>
    <col min="5670" max="5672" width="7.28515625" style="176" bestFit="1" customWidth="1"/>
    <col min="5673" max="5673" width="8" style="176" bestFit="1" customWidth="1"/>
    <col min="5674" max="5674" width="8.28515625" style="176" customWidth="1"/>
    <col min="5675" max="5676" width="10.42578125" style="176" bestFit="1" customWidth="1"/>
    <col min="5677" max="5677" width="13.140625" style="176" bestFit="1" customWidth="1"/>
    <col min="5678" max="5919" width="9.140625" style="176"/>
    <col min="5920" max="5920" width="9.140625" style="176" customWidth="1"/>
    <col min="5921" max="5921" width="25.85546875" style="176" customWidth="1"/>
    <col min="5922" max="5922" width="5.7109375" style="176" bestFit="1" customWidth="1"/>
    <col min="5923" max="5923" width="7.140625" style="176" bestFit="1" customWidth="1"/>
    <col min="5924" max="5924" width="7.28515625" style="176" bestFit="1" customWidth="1"/>
    <col min="5925" max="5925" width="6.140625" style="176" bestFit="1" customWidth="1"/>
    <col min="5926" max="5928" width="7.28515625" style="176" bestFit="1" customWidth="1"/>
    <col min="5929" max="5929" width="8" style="176" bestFit="1" customWidth="1"/>
    <col min="5930" max="5930" width="8.28515625" style="176" customWidth="1"/>
    <col min="5931" max="5932" width="10.42578125" style="176" bestFit="1" customWidth="1"/>
    <col min="5933" max="5933" width="13.140625" style="176" bestFit="1" customWidth="1"/>
    <col min="5934" max="6175" width="9.140625" style="176"/>
    <col min="6176" max="6176" width="9.140625" style="176" customWidth="1"/>
    <col min="6177" max="6177" width="25.85546875" style="176" customWidth="1"/>
    <col min="6178" max="6178" width="5.7109375" style="176" bestFit="1" customWidth="1"/>
    <col min="6179" max="6179" width="7.140625" style="176" bestFit="1" customWidth="1"/>
    <col min="6180" max="6180" width="7.28515625" style="176" bestFit="1" customWidth="1"/>
    <col min="6181" max="6181" width="6.140625" style="176" bestFit="1" customWidth="1"/>
    <col min="6182" max="6184" width="7.28515625" style="176" bestFit="1" customWidth="1"/>
    <col min="6185" max="6185" width="8" style="176" bestFit="1" customWidth="1"/>
    <col min="6186" max="6186" width="8.28515625" style="176" customWidth="1"/>
    <col min="6187" max="6188" width="10.42578125" style="176" bestFit="1" customWidth="1"/>
    <col min="6189" max="6189" width="13.140625" style="176" bestFit="1" customWidth="1"/>
    <col min="6190" max="6431" width="9.140625" style="176"/>
    <col min="6432" max="6432" width="9.140625" style="176" customWidth="1"/>
    <col min="6433" max="6433" width="25.85546875" style="176" customWidth="1"/>
    <col min="6434" max="6434" width="5.7109375" style="176" bestFit="1" customWidth="1"/>
    <col min="6435" max="6435" width="7.140625" style="176" bestFit="1" customWidth="1"/>
    <col min="6436" max="6436" width="7.28515625" style="176" bestFit="1" customWidth="1"/>
    <col min="6437" max="6437" width="6.140625" style="176" bestFit="1" customWidth="1"/>
    <col min="6438" max="6440" width="7.28515625" style="176" bestFit="1" customWidth="1"/>
    <col min="6441" max="6441" width="8" style="176" bestFit="1" customWidth="1"/>
    <col min="6442" max="6442" width="8.28515625" style="176" customWidth="1"/>
    <col min="6443" max="6444" width="10.42578125" style="176" bestFit="1" customWidth="1"/>
    <col min="6445" max="6445" width="13.140625" style="176" bestFit="1" customWidth="1"/>
    <col min="6446" max="6687" width="9.140625" style="176"/>
    <col min="6688" max="6688" width="9.140625" style="176" customWidth="1"/>
    <col min="6689" max="6689" width="25.85546875" style="176" customWidth="1"/>
    <col min="6690" max="6690" width="5.7109375" style="176" bestFit="1" customWidth="1"/>
    <col min="6691" max="6691" width="7.140625" style="176" bestFit="1" customWidth="1"/>
    <col min="6692" max="6692" width="7.28515625" style="176" bestFit="1" customWidth="1"/>
    <col min="6693" max="6693" width="6.140625" style="176" bestFit="1" customWidth="1"/>
    <col min="6694" max="6696" width="7.28515625" style="176" bestFit="1" customWidth="1"/>
    <col min="6697" max="6697" width="8" style="176" bestFit="1" customWidth="1"/>
    <col min="6698" max="6698" width="8.28515625" style="176" customWidth="1"/>
    <col min="6699" max="6700" width="10.42578125" style="176" bestFit="1" customWidth="1"/>
    <col min="6701" max="6701" width="13.140625" style="176" bestFit="1" customWidth="1"/>
    <col min="6702" max="6943" width="9.140625" style="176"/>
    <col min="6944" max="6944" width="9.140625" style="176" customWidth="1"/>
    <col min="6945" max="6945" width="25.85546875" style="176" customWidth="1"/>
    <col min="6946" max="6946" width="5.7109375" style="176" bestFit="1" customWidth="1"/>
    <col min="6947" max="6947" width="7.140625" style="176" bestFit="1" customWidth="1"/>
    <col min="6948" max="6948" width="7.28515625" style="176" bestFit="1" customWidth="1"/>
    <col min="6949" max="6949" width="6.140625" style="176" bestFit="1" customWidth="1"/>
    <col min="6950" max="6952" width="7.28515625" style="176" bestFit="1" customWidth="1"/>
    <col min="6953" max="6953" width="8" style="176" bestFit="1" customWidth="1"/>
    <col min="6954" max="6954" width="8.28515625" style="176" customWidth="1"/>
    <col min="6955" max="6956" width="10.42578125" style="176" bestFit="1" customWidth="1"/>
    <col min="6957" max="6957" width="13.140625" style="176" bestFit="1" customWidth="1"/>
    <col min="6958" max="7199" width="9.140625" style="176"/>
    <col min="7200" max="7200" width="9.140625" style="176" customWidth="1"/>
    <col min="7201" max="7201" width="25.85546875" style="176" customWidth="1"/>
    <col min="7202" max="7202" width="5.7109375" style="176" bestFit="1" customWidth="1"/>
    <col min="7203" max="7203" width="7.140625" style="176" bestFit="1" customWidth="1"/>
    <col min="7204" max="7204" width="7.28515625" style="176" bestFit="1" customWidth="1"/>
    <col min="7205" max="7205" width="6.140625" style="176" bestFit="1" customWidth="1"/>
    <col min="7206" max="7208" width="7.28515625" style="176" bestFit="1" customWidth="1"/>
    <col min="7209" max="7209" width="8" style="176" bestFit="1" customWidth="1"/>
    <col min="7210" max="7210" width="8.28515625" style="176" customWidth="1"/>
    <col min="7211" max="7212" width="10.42578125" style="176" bestFit="1" customWidth="1"/>
    <col min="7213" max="7213" width="13.140625" style="176" bestFit="1" customWidth="1"/>
    <col min="7214" max="7455" width="9.140625" style="176"/>
    <col min="7456" max="7456" width="9.140625" style="176" customWidth="1"/>
    <col min="7457" max="7457" width="25.85546875" style="176" customWidth="1"/>
    <col min="7458" max="7458" width="5.7109375" style="176" bestFit="1" customWidth="1"/>
    <col min="7459" max="7459" width="7.140625" style="176" bestFit="1" customWidth="1"/>
    <col min="7460" max="7460" width="7.28515625" style="176" bestFit="1" customWidth="1"/>
    <col min="7461" max="7461" width="6.140625" style="176" bestFit="1" customWidth="1"/>
    <col min="7462" max="7464" width="7.28515625" style="176" bestFit="1" customWidth="1"/>
    <col min="7465" max="7465" width="8" style="176" bestFit="1" customWidth="1"/>
    <col min="7466" max="7466" width="8.28515625" style="176" customWidth="1"/>
    <col min="7467" max="7468" width="10.42578125" style="176" bestFit="1" customWidth="1"/>
    <col min="7469" max="7469" width="13.140625" style="176" bestFit="1" customWidth="1"/>
    <col min="7470" max="7711" width="9.140625" style="176"/>
    <col min="7712" max="7712" width="9.140625" style="176" customWidth="1"/>
    <col min="7713" max="7713" width="25.85546875" style="176" customWidth="1"/>
    <col min="7714" max="7714" width="5.7109375" style="176" bestFit="1" customWidth="1"/>
    <col min="7715" max="7715" width="7.140625" style="176" bestFit="1" customWidth="1"/>
    <col min="7716" max="7716" width="7.28515625" style="176" bestFit="1" customWidth="1"/>
    <col min="7717" max="7717" width="6.140625" style="176" bestFit="1" customWidth="1"/>
    <col min="7718" max="7720" width="7.28515625" style="176" bestFit="1" customWidth="1"/>
    <col min="7721" max="7721" width="8" style="176" bestFit="1" customWidth="1"/>
    <col min="7722" max="7722" width="8.28515625" style="176" customWidth="1"/>
    <col min="7723" max="7724" width="10.42578125" style="176" bestFit="1" customWidth="1"/>
    <col min="7725" max="7725" width="13.140625" style="176" bestFit="1" customWidth="1"/>
    <col min="7726" max="7967" width="9.140625" style="176"/>
    <col min="7968" max="7968" width="9.140625" style="176" customWidth="1"/>
    <col min="7969" max="7969" width="25.85546875" style="176" customWidth="1"/>
    <col min="7970" max="7970" width="5.7109375" style="176" bestFit="1" customWidth="1"/>
    <col min="7971" max="7971" width="7.140625" style="176" bestFit="1" customWidth="1"/>
    <col min="7972" max="7972" width="7.28515625" style="176" bestFit="1" customWidth="1"/>
    <col min="7973" max="7973" width="6.140625" style="176" bestFit="1" customWidth="1"/>
    <col min="7974" max="7976" width="7.28515625" style="176" bestFit="1" customWidth="1"/>
    <col min="7977" max="7977" width="8" style="176" bestFit="1" customWidth="1"/>
    <col min="7978" max="7978" width="8.28515625" style="176" customWidth="1"/>
    <col min="7979" max="7980" width="10.42578125" style="176" bestFit="1" customWidth="1"/>
    <col min="7981" max="7981" width="13.140625" style="176" bestFit="1" customWidth="1"/>
    <col min="7982" max="8223" width="9.140625" style="176"/>
    <col min="8224" max="8224" width="9.140625" style="176" customWidth="1"/>
    <col min="8225" max="8225" width="25.85546875" style="176" customWidth="1"/>
    <col min="8226" max="8226" width="5.7109375" style="176" bestFit="1" customWidth="1"/>
    <col min="8227" max="8227" width="7.140625" style="176" bestFit="1" customWidth="1"/>
    <col min="8228" max="8228" width="7.28515625" style="176" bestFit="1" customWidth="1"/>
    <col min="8229" max="8229" width="6.140625" style="176" bestFit="1" customWidth="1"/>
    <col min="8230" max="8232" width="7.28515625" style="176" bestFit="1" customWidth="1"/>
    <col min="8233" max="8233" width="8" style="176" bestFit="1" customWidth="1"/>
    <col min="8234" max="8234" width="8.28515625" style="176" customWidth="1"/>
    <col min="8235" max="8236" width="10.42578125" style="176" bestFit="1" customWidth="1"/>
    <col min="8237" max="8237" width="13.140625" style="176" bestFit="1" customWidth="1"/>
    <col min="8238" max="8479" width="9.140625" style="176"/>
    <col min="8480" max="8480" width="9.140625" style="176" customWidth="1"/>
    <col min="8481" max="8481" width="25.85546875" style="176" customWidth="1"/>
    <col min="8482" max="8482" width="5.7109375" style="176" bestFit="1" customWidth="1"/>
    <col min="8483" max="8483" width="7.140625" style="176" bestFit="1" customWidth="1"/>
    <col min="8484" max="8484" width="7.28515625" style="176" bestFit="1" customWidth="1"/>
    <col min="8485" max="8485" width="6.140625" style="176" bestFit="1" customWidth="1"/>
    <col min="8486" max="8488" width="7.28515625" style="176" bestFit="1" customWidth="1"/>
    <col min="8489" max="8489" width="8" style="176" bestFit="1" customWidth="1"/>
    <col min="8490" max="8490" width="8.28515625" style="176" customWidth="1"/>
    <col min="8491" max="8492" width="10.42578125" style="176" bestFit="1" customWidth="1"/>
    <col min="8493" max="8493" width="13.140625" style="176" bestFit="1" customWidth="1"/>
    <col min="8494" max="8735" width="9.140625" style="176"/>
    <col min="8736" max="8736" width="9.140625" style="176" customWidth="1"/>
    <col min="8737" max="8737" width="25.85546875" style="176" customWidth="1"/>
    <col min="8738" max="8738" width="5.7109375" style="176" bestFit="1" customWidth="1"/>
    <col min="8739" max="8739" width="7.140625" style="176" bestFit="1" customWidth="1"/>
    <col min="8740" max="8740" width="7.28515625" style="176" bestFit="1" customWidth="1"/>
    <col min="8741" max="8741" width="6.140625" style="176" bestFit="1" customWidth="1"/>
    <col min="8742" max="8744" width="7.28515625" style="176" bestFit="1" customWidth="1"/>
    <col min="8745" max="8745" width="8" style="176" bestFit="1" customWidth="1"/>
    <col min="8746" max="8746" width="8.28515625" style="176" customWidth="1"/>
    <col min="8747" max="8748" width="10.42578125" style="176" bestFit="1" customWidth="1"/>
    <col min="8749" max="8749" width="13.140625" style="176" bestFit="1" customWidth="1"/>
    <col min="8750" max="8991" width="9.140625" style="176"/>
    <col min="8992" max="8992" width="9.140625" style="176" customWidth="1"/>
    <col min="8993" max="8993" width="25.85546875" style="176" customWidth="1"/>
    <col min="8994" max="8994" width="5.7109375" style="176" bestFit="1" customWidth="1"/>
    <col min="8995" max="8995" width="7.140625" style="176" bestFit="1" customWidth="1"/>
    <col min="8996" max="8996" width="7.28515625" style="176" bestFit="1" customWidth="1"/>
    <col min="8997" max="8997" width="6.140625" style="176" bestFit="1" customWidth="1"/>
    <col min="8998" max="9000" width="7.28515625" style="176" bestFit="1" customWidth="1"/>
    <col min="9001" max="9001" width="8" style="176" bestFit="1" customWidth="1"/>
    <col min="9002" max="9002" width="8.28515625" style="176" customWidth="1"/>
    <col min="9003" max="9004" width="10.42578125" style="176" bestFit="1" customWidth="1"/>
    <col min="9005" max="9005" width="13.140625" style="176" bestFit="1" customWidth="1"/>
    <col min="9006" max="9247" width="9.140625" style="176"/>
    <col min="9248" max="9248" width="9.140625" style="176" customWidth="1"/>
    <col min="9249" max="9249" width="25.85546875" style="176" customWidth="1"/>
    <col min="9250" max="9250" width="5.7109375" style="176" bestFit="1" customWidth="1"/>
    <col min="9251" max="9251" width="7.140625" style="176" bestFit="1" customWidth="1"/>
    <col min="9252" max="9252" width="7.28515625" style="176" bestFit="1" customWidth="1"/>
    <col min="9253" max="9253" width="6.140625" style="176" bestFit="1" customWidth="1"/>
    <col min="9254" max="9256" width="7.28515625" style="176" bestFit="1" customWidth="1"/>
    <col min="9257" max="9257" width="8" style="176" bestFit="1" customWidth="1"/>
    <col min="9258" max="9258" width="8.28515625" style="176" customWidth="1"/>
    <col min="9259" max="9260" width="10.42578125" style="176" bestFit="1" customWidth="1"/>
    <col min="9261" max="9261" width="13.140625" style="176" bestFit="1" customWidth="1"/>
    <col min="9262" max="9503" width="9.140625" style="176"/>
    <col min="9504" max="9504" width="9.140625" style="176" customWidth="1"/>
    <col min="9505" max="9505" width="25.85546875" style="176" customWidth="1"/>
    <col min="9506" max="9506" width="5.7109375" style="176" bestFit="1" customWidth="1"/>
    <col min="9507" max="9507" width="7.140625" style="176" bestFit="1" customWidth="1"/>
    <col min="9508" max="9508" width="7.28515625" style="176" bestFit="1" customWidth="1"/>
    <col min="9509" max="9509" width="6.140625" style="176" bestFit="1" customWidth="1"/>
    <col min="9510" max="9512" width="7.28515625" style="176" bestFit="1" customWidth="1"/>
    <col min="9513" max="9513" width="8" style="176" bestFit="1" customWidth="1"/>
    <col min="9514" max="9514" width="8.28515625" style="176" customWidth="1"/>
    <col min="9515" max="9516" width="10.42578125" style="176" bestFit="1" customWidth="1"/>
    <col min="9517" max="9517" width="13.140625" style="176" bestFit="1" customWidth="1"/>
    <col min="9518" max="9759" width="9.140625" style="176"/>
    <col min="9760" max="9760" width="9.140625" style="176" customWidth="1"/>
    <col min="9761" max="9761" width="25.85546875" style="176" customWidth="1"/>
    <col min="9762" max="9762" width="5.7109375" style="176" bestFit="1" customWidth="1"/>
    <col min="9763" max="9763" width="7.140625" style="176" bestFit="1" customWidth="1"/>
    <col min="9764" max="9764" width="7.28515625" style="176" bestFit="1" customWidth="1"/>
    <col min="9765" max="9765" width="6.140625" style="176" bestFit="1" customWidth="1"/>
    <col min="9766" max="9768" width="7.28515625" style="176" bestFit="1" customWidth="1"/>
    <col min="9769" max="9769" width="8" style="176" bestFit="1" customWidth="1"/>
    <col min="9770" max="9770" width="8.28515625" style="176" customWidth="1"/>
    <col min="9771" max="9772" width="10.42578125" style="176" bestFit="1" customWidth="1"/>
    <col min="9773" max="9773" width="13.140625" style="176" bestFit="1" customWidth="1"/>
    <col min="9774" max="10015" width="9.140625" style="176"/>
    <col min="10016" max="10016" width="9.140625" style="176" customWidth="1"/>
    <col min="10017" max="10017" width="25.85546875" style="176" customWidth="1"/>
    <col min="10018" max="10018" width="5.7109375" style="176" bestFit="1" customWidth="1"/>
    <col min="10019" max="10019" width="7.140625" style="176" bestFit="1" customWidth="1"/>
    <col min="10020" max="10020" width="7.28515625" style="176" bestFit="1" customWidth="1"/>
    <col min="10021" max="10021" width="6.140625" style="176" bestFit="1" customWidth="1"/>
    <col min="10022" max="10024" width="7.28515625" style="176" bestFit="1" customWidth="1"/>
    <col min="10025" max="10025" width="8" style="176" bestFit="1" customWidth="1"/>
    <col min="10026" max="10026" width="8.28515625" style="176" customWidth="1"/>
    <col min="10027" max="10028" width="10.42578125" style="176" bestFit="1" customWidth="1"/>
    <col min="10029" max="10029" width="13.140625" style="176" bestFit="1" customWidth="1"/>
    <col min="10030" max="10271" width="9.140625" style="176"/>
    <col min="10272" max="10272" width="9.140625" style="176" customWidth="1"/>
    <col min="10273" max="10273" width="25.85546875" style="176" customWidth="1"/>
    <col min="10274" max="10274" width="5.7109375" style="176" bestFit="1" customWidth="1"/>
    <col min="10275" max="10275" width="7.140625" style="176" bestFit="1" customWidth="1"/>
    <col min="10276" max="10276" width="7.28515625" style="176" bestFit="1" customWidth="1"/>
    <col min="10277" max="10277" width="6.140625" style="176" bestFit="1" customWidth="1"/>
    <col min="10278" max="10280" width="7.28515625" style="176" bestFit="1" customWidth="1"/>
    <col min="10281" max="10281" width="8" style="176" bestFit="1" customWidth="1"/>
    <col min="10282" max="10282" width="8.28515625" style="176" customWidth="1"/>
    <col min="10283" max="10284" width="10.42578125" style="176" bestFit="1" customWidth="1"/>
    <col min="10285" max="10285" width="13.140625" style="176" bestFit="1" customWidth="1"/>
    <col min="10286" max="10527" width="9.140625" style="176"/>
    <col min="10528" max="10528" width="9.140625" style="176" customWidth="1"/>
    <col min="10529" max="10529" width="25.85546875" style="176" customWidth="1"/>
    <col min="10530" max="10530" width="5.7109375" style="176" bestFit="1" customWidth="1"/>
    <col min="10531" max="10531" width="7.140625" style="176" bestFit="1" customWidth="1"/>
    <col min="10532" max="10532" width="7.28515625" style="176" bestFit="1" customWidth="1"/>
    <col min="10533" max="10533" width="6.140625" style="176" bestFit="1" customWidth="1"/>
    <col min="10534" max="10536" width="7.28515625" style="176" bestFit="1" customWidth="1"/>
    <col min="10537" max="10537" width="8" style="176" bestFit="1" customWidth="1"/>
    <col min="10538" max="10538" width="8.28515625" style="176" customWidth="1"/>
    <col min="10539" max="10540" width="10.42578125" style="176" bestFit="1" customWidth="1"/>
    <col min="10541" max="10541" width="13.140625" style="176" bestFit="1" customWidth="1"/>
    <col min="10542" max="10783" width="9.140625" style="176"/>
    <col min="10784" max="10784" width="9.140625" style="176" customWidth="1"/>
    <col min="10785" max="10785" width="25.85546875" style="176" customWidth="1"/>
    <col min="10786" max="10786" width="5.7109375" style="176" bestFit="1" customWidth="1"/>
    <col min="10787" max="10787" width="7.140625" style="176" bestFit="1" customWidth="1"/>
    <col min="10788" max="10788" width="7.28515625" style="176" bestFit="1" customWidth="1"/>
    <col min="10789" max="10789" width="6.140625" style="176" bestFit="1" customWidth="1"/>
    <col min="10790" max="10792" width="7.28515625" style="176" bestFit="1" customWidth="1"/>
    <col min="10793" max="10793" width="8" style="176" bestFit="1" customWidth="1"/>
    <col min="10794" max="10794" width="8.28515625" style="176" customWidth="1"/>
    <col min="10795" max="10796" width="10.42578125" style="176" bestFit="1" customWidth="1"/>
    <col min="10797" max="10797" width="13.140625" style="176" bestFit="1" customWidth="1"/>
    <col min="10798" max="11039" width="9.140625" style="176"/>
    <col min="11040" max="11040" width="9.140625" style="176" customWidth="1"/>
    <col min="11041" max="11041" width="25.85546875" style="176" customWidth="1"/>
    <col min="11042" max="11042" width="5.7109375" style="176" bestFit="1" customWidth="1"/>
    <col min="11043" max="11043" width="7.140625" style="176" bestFit="1" customWidth="1"/>
    <col min="11044" max="11044" width="7.28515625" style="176" bestFit="1" customWidth="1"/>
    <col min="11045" max="11045" width="6.140625" style="176" bestFit="1" customWidth="1"/>
    <col min="11046" max="11048" width="7.28515625" style="176" bestFit="1" customWidth="1"/>
    <col min="11049" max="11049" width="8" style="176" bestFit="1" customWidth="1"/>
    <col min="11050" max="11050" width="8.28515625" style="176" customWidth="1"/>
    <col min="11051" max="11052" width="10.42578125" style="176" bestFit="1" customWidth="1"/>
    <col min="11053" max="11053" width="13.140625" style="176" bestFit="1" customWidth="1"/>
    <col min="11054" max="11295" width="9.140625" style="176"/>
    <col min="11296" max="11296" width="9.140625" style="176" customWidth="1"/>
    <col min="11297" max="11297" width="25.85546875" style="176" customWidth="1"/>
    <col min="11298" max="11298" width="5.7109375" style="176" bestFit="1" customWidth="1"/>
    <col min="11299" max="11299" width="7.140625" style="176" bestFit="1" customWidth="1"/>
    <col min="11300" max="11300" width="7.28515625" style="176" bestFit="1" customWidth="1"/>
    <col min="11301" max="11301" width="6.140625" style="176" bestFit="1" customWidth="1"/>
    <col min="11302" max="11304" width="7.28515625" style="176" bestFit="1" customWidth="1"/>
    <col min="11305" max="11305" width="8" style="176" bestFit="1" customWidth="1"/>
    <col min="11306" max="11306" width="8.28515625" style="176" customWidth="1"/>
    <col min="11307" max="11308" width="10.42578125" style="176" bestFit="1" customWidth="1"/>
    <col min="11309" max="11309" width="13.140625" style="176" bestFit="1" customWidth="1"/>
    <col min="11310" max="11551" width="9.140625" style="176"/>
    <col min="11552" max="11552" width="9.140625" style="176" customWidth="1"/>
    <col min="11553" max="11553" width="25.85546875" style="176" customWidth="1"/>
    <col min="11554" max="11554" width="5.7109375" style="176" bestFit="1" customWidth="1"/>
    <col min="11555" max="11555" width="7.140625" style="176" bestFit="1" customWidth="1"/>
    <col min="11556" max="11556" width="7.28515625" style="176" bestFit="1" customWidth="1"/>
    <col min="11557" max="11557" width="6.140625" style="176" bestFit="1" customWidth="1"/>
    <col min="11558" max="11560" width="7.28515625" style="176" bestFit="1" customWidth="1"/>
    <col min="11561" max="11561" width="8" style="176" bestFit="1" customWidth="1"/>
    <col min="11562" max="11562" width="8.28515625" style="176" customWidth="1"/>
    <col min="11563" max="11564" width="10.42578125" style="176" bestFit="1" customWidth="1"/>
    <col min="11565" max="11565" width="13.140625" style="176" bestFit="1" customWidth="1"/>
    <col min="11566" max="11807" width="9.140625" style="176"/>
    <col min="11808" max="11808" width="9.140625" style="176" customWidth="1"/>
    <col min="11809" max="11809" width="25.85546875" style="176" customWidth="1"/>
    <col min="11810" max="11810" width="5.7109375" style="176" bestFit="1" customWidth="1"/>
    <col min="11811" max="11811" width="7.140625" style="176" bestFit="1" customWidth="1"/>
    <col min="11812" max="11812" width="7.28515625" style="176" bestFit="1" customWidth="1"/>
    <col min="11813" max="11813" width="6.140625" style="176" bestFit="1" customWidth="1"/>
    <col min="11814" max="11816" width="7.28515625" style="176" bestFit="1" customWidth="1"/>
    <col min="11817" max="11817" width="8" style="176" bestFit="1" customWidth="1"/>
    <col min="11818" max="11818" width="8.28515625" style="176" customWidth="1"/>
    <col min="11819" max="11820" width="10.42578125" style="176" bestFit="1" customWidth="1"/>
    <col min="11821" max="11821" width="13.140625" style="176" bestFit="1" customWidth="1"/>
    <col min="11822" max="12063" width="9.140625" style="176"/>
    <col min="12064" max="12064" width="9.140625" style="176" customWidth="1"/>
    <col min="12065" max="12065" width="25.85546875" style="176" customWidth="1"/>
    <col min="12066" max="12066" width="5.7109375" style="176" bestFit="1" customWidth="1"/>
    <col min="12067" max="12067" width="7.140625" style="176" bestFit="1" customWidth="1"/>
    <col min="12068" max="12068" width="7.28515625" style="176" bestFit="1" customWidth="1"/>
    <col min="12069" max="12069" width="6.140625" style="176" bestFit="1" customWidth="1"/>
    <col min="12070" max="12072" width="7.28515625" style="176" bestFit="1" customWidth="1"/>
    <col min="12073" max="12073" width="8" style="176" bestFit="1" customWidth="1"/>
    <col min="12074" max="12074" width="8.28515625" style="176" customWidth="1"/>
    <col min="12075" max="12076" width="10.42578125" style="176" bestFit="1" customWidth="1"/>
    <col min="12077" max="12077" width="13.140625" style="176" bestFit="1" customWidth="1"/>
    <col min="12078" max="12319" width="9.140625" style="176"/>
    <col min="12320" max="12320" width="9.140625" style="176" customWidth="1"/>
    <col min="12321" max="12321" width="25.85546875" style="176" customWidth="1"/>
    <col min="12322" max="12322" width="5.7109375" style="176" bestFit="1" customWidth="1"/>
    <col min="12323" max="12323" width="7.140625" style="176" bestFit="1" customWidth="1"/>
    <col min="12324" max="12324" width="7.28515625" style="176" bestFit="1" customWidth="1"/>
    <col min="12325" max="12325" width="6.140625" style="176" bestFit="1" customWidth="1"/>
    <col min="12326" max="12328" width="7.28515625" style="176" bestFit="1" customWidth="1"/>
    <col min="12329" max="12329" width="8" style="176" bestFit="1" customWidth="1"/>
    <col min="12330" max="12330" width="8.28515625" style="176" customWidth="1"/>
    <col min="12331" max="12332" width="10.42578125" style="176" bestFit="1" customWidth="1"/>
    <col min="12333" max="12333" width="13.140625" style="176" bestFit="1" customWidth="1"/>
    <col min="12334" max="12575" width="9.140625" style="176"/>
    <col min="12576" max="12576" width="9.140625" style="176" customWidth="1"/>
    <col min="12577" max="12577" width="25.85546875" style="176" customWidth="1"/>
    <col min="12578" max="12578" width="5.7109375" style="176" bestFit="1" customWidth="1"/>
    <col min="12579" max="12579" width="7.140625" style="176" bestFit="1" customWidth="1"/>
    <col min="12580" max="12580" width="7.28515625" style="176" bestFit="1" customWidth="1"/>
    <col min="12581" max="12581" width="6.140625" style="176" bestFit="1" customWidth="1"/>
    <col min="12582" max="12584" width="7.28515625" style="176" bestFit="1" customWidth="1"/>
    <col min="12585" max="12585" width="8" style="176" bestFit="1" customWidth="1"/>
    <col min="12586" max="12586" width="8.28515625" style="176" customWidth="1"/>
    <col min="12587" max="12588" width="10.42578125" style="176" bestFit="1" customWidth="1"/>
    <col min="12589" max="12589" width="13.140625" style="176" bestFit="1" customWidth="1"/>
    <col min="12590" max="12831" width="9.140625" style="176"/>
    <col min="12832" max="12832" width="9.140625" style="176" customWidth="1"/>
    <col min="12833" max="12833" width="25.85546875" style="176" customWidth="1"/>
    <col min="12834" max="12834" width="5.7109375" style="176" bestFit="1" customWidth="1"/>
    <col min="12835" max="12835" width="7.140625" style="176" bestFit="1" customWidth="1"/>
    <col min="12836" max="12836" width="7.28515625" style="176" bestFit="1" customWidth="1"/>
    <col min="12837" max="12837" width="6.140625" style="176" bestFit="1" customWidth="1"/>
    <col min="12838" max="12840" width="7.28515625" style="176" bestFit="1" customWidth="1"/>
    <col min="12841" max="12841" width="8" style="176" bestFit="1" customWidth="1"/>
    <col min="12842" max="12842" width="8.28515625" style="176" customWidth="1"/>
    <col min="12843" max="12844" width="10.42578125" style="176" bestFit="1" customWidth="1"/>
    <col min="12845" max="12845" width="13.140625" style="176" bestFit="1" customWidth="1"/>
    <col min="12846" max="13087" width="9.140625" style="176"/>
    <col min="13088" max="13088" width="9.140625" style="176" customWidth="1"/>
    <col min="13089" max="13089" width="25.85546875" style="176" customWidth="1"/>
    <col min="13090" max="13090" width="5.7109375" style="176" bestFit="1" customWidth="1"/>
    <col min="13091" max="13091" width="7.140625" style="176" bestFit="1" customWidth="1"/>
    <col min="13092" max="13092" width="7.28515625" style="176" bestFit="1" customWidth="1"/>
    <col min="13093" max="13093" width="6.140625" style="176" bestFit="1" customWidth="1"/>
    <col min="13094" max="13096" width="7.28515625" style="176" bestFit="1" customWidth="1"/>
    <col min="13097" max="13097" width="8" style="176" bestFit="1" customWidth="1"/>
    <col min="13098" max="13098" width="8.28515625" style="176" customWidth="1"/>
    <col min="13099" max="13100" width="10.42578125" style="176" bestFit="1" customWidth="1"/>
    <col min="13101" max="13101" width="13.140625" style="176" bestFit="1" customWidth="1"/>
    <col min="13102" max="13343" width="9.140625" style="176"/>
    <col min="13344" max="13344" width="9.140625" style="176" customWidth="1"/>
    <col min="13345" max="13345" width="25.85546875" style="176" customWidth="1"/>
    <col min="13346" max="13346" width="5.7109375" style="176" bestFit="1" customWidth="1"/>
    <col min="13347" max="13347" width="7.140625" style="176" bestFit="1" customWidth="1"/>
    <col min="13348" max="13348" width="7.28515625" style="176" bestFit="1" customWidth="1"/>
    <col min="13349" max="13349" width="6.140625" style="176" bestFit="1" customWidth="1"/>
    <col min="13350" max="13352" width="7.28515625" style="176" bestFit="1" customWidth="1"/>
    <col min="13353" max="13353" width="8" style="176" bestFit="1" customWidth="1"/>
    <col min="13354" max="13354" width="8.28515625" style="176" customWidth="1"/>
    <col min="13355" max="13356" width="10.42578125" style="176" bestFit="1" customWidth="1"/>
    <col min="13357" max="13357" width="13.140625" style="176" bestFit="1" customWidth="1"/>
    <col min="13358" max="13599" width="9.140625" style="176"/>
    <col min="13600" max="13600" width="9.140625" style="176" customWidth="1"/>
    <col min="13601" max="13601" width="25.85546875" style="176" customWidth="1"/>
    <col min="13602" max="13602" width="5.7109375" style="176" bestFit="1" customWidth="1"/>
    <col min="13603" max="13603" width="7.140625" style="176" bestFit="1" customWidth="1"/>
    <col min="13604" max="13604" width="7.28515625" style="176" bestFit="1" customWidth="1"/>
    <col min="13605" max="13605" width="6.140625" style="176" bestFit="1" customWidth="1"/>
    <col min="13606" max="13608" width="7.28515625" style="176" bestFit="1" customWidth="1"/>
    <col min="13609" max="13609" width="8" style="176" bestFit="1" customWidth="1"/>
    <col min="13610" max="13610" width="8.28515625" style="176" customWidth="1"/>
    <col min="13611" max="13612" width="10.42578125" style="176" bestFit="1" customWidth="1"/>
    <col min="13613" max="13613" width="13.140625" style="176" bestFit="1" customWidth="1"/>
    <col min="13614" max="13855" width="9.140625" style="176"/>
    <col min="13856" max="13856" width="9.140625" style="176" customWidth="1"/>
    <col min="13857" max="13857" width="25.85546875" style="176" customWidth="1"/>
    <col min="13858" max="13858" width="5.7109375" style="176" bestFit="1" customWidth="1"/>
    <col min="13859" max="13859" width="7.140625" style="176" bestFit="1" customWidth="1"/>
    <col min="13860" max="13860" width="7.28515625" style="176" bestFit="1" customWidth="1"/>
    <col min="13861" max="13861" width="6.140625" style="176" bestFit="1" customWidth="1"/>
    <col min="13862" max="13864" width="7.28515625" style="176" bestFit="1" customWidth="1"/>
    <col min="13865" max="13865" width="8" style="176" bestFit="1" customWidth="1"/>
    <col min="13866" max="13866" width="8.28515625" style="176" customWidth="1"/>
    <col min="13867" max="13868" width="10.42578125" style="176" bestFit="1" customWidth="1"/>
    <col min="13869" max="13869" width="13.140625" style="176" bestFit="1" customWidth="1"/>
    <col min="13870" max="14111" width="9.140625" style="176"/>
    <col min="14112" max="14112" width="9.140625" style="176" customWidth="1"/>
    <col min="14113" max="14113" width="25.85546875" style="176" customWidth="1"/>
    <col min="14114" max="14114" width="5.7109375" style="176" bestFit="1" customWidth="1"/>
    <col min="14115" max="14115" width="7.140625" style="176" bestFit="1" customWidth="1"/>
    <col min="14116" max="14116" width="7.28515625" style="176" bestFit="1" customWidth="1"/>
    <col min="14117" max="14117" width="6.140625" style="176" bestFit="1" customWidth="1"/>
    <col min="14118" max="14120" width="7.28515625" style="176" bestFit="1" customWidth="1"/>
    <col min="14121" max="14121" width="8" style="176" bestFit="1" customWidth="1"/>
    <col min="14122" max="14122" width="8.28515625" style="176" customWidth="1"/>
    <col min="14123" max="14124" width="10.42578125" style="176" bestFit="1" customWidth="1"/>
    <col min="14125" max="14125" width="13.140625" style="176" bestFit="1" customWidth="1"/>
    <col min="14126" max="14367" width="9.140625" style="176"/>
    <col min="14368" max="14368" width="9.140625" style="176" customWidth="1"/>
    <col min="14369" max="14369" width="25.85546875" style="176" customWidth="1"/>
    <col min="14370" max="14370" width="5.7109375" style="176" bestFit="1" customWidth="1"/>
    <col min="14371" max="14371" width="7.140625" style="176" bestFit="1" customWidth="1"/>
    <col min="14372" max="14372" width="7.28515625" style="176" bestFit="1" customWidth="1"/>
    <col min="14373" max="14373" width="6.140625" style="176" bestFit="1" customWidth="1"/>
    <col min="14374" max="14376" width="7.28515625" style="176" bestFit="1" customWidth="1"/>
    <col min="14377" max="14377" width="8" style="176" bestFit="1" customWidth="1"/>
    <col min="14378" max="14378" width="8.28515625" style="176" customWidth="1"/>
    <col min="14379" max="14380" width="10.42578125" style="176" bestFit="1" customWidth="1"/>
    <col min="14381" max="14381" width="13.140625" style="176" bestFit="1" customWidth="1"/>
    <col min="14382" max="14623" width="9.140625" style="176"/>
    <col min="14624" max="14624" width="9.140625" style="176" customWidth="1"/>
    <col min="14625" max="14625" width="25.85546875" style="176" customWidth="1"/>
    <col min="14626" max="14626" width="5.7109375" style="176" bestFit="1" customWidth="1"/>
    <col min="14627" max="14627" width="7.140625" style="176" bestFit="1" customWidth="1"/>
    <col min="14628" max="14628" width="7.28515625" style="176" bestFit="1" customWidth="1"/>
    <col min="14629" max="14629" width="6.140625" style="176" bestFit="1" customWidth="1"/>
    <col min="14630" max="14632" width="7.28515625" style="176" bestFit="1" customWidth="1"/>
    <col min="14633" max="14633" width="8" style="176" bestFit="1" customWidth="1"/>
    <col min="14634" max="14634" width="8.28515625" style="176" customWidth="1"/>
    <col min="14635" max="14636" width="10.42578125" style="176" bestFit="1" customWidth="1"/>
    <col min="14637" max="14637" width="13.140625" style="176" bestFit="1" customWidth="1"/>
    <col min="14638" max="14879" width="9.140625" style="176"/>
    <col min="14880" max="14880" width="9.140625" style="176" customWidth="1"/>
    <col min="14881" max="14881" width="25.85546875" style="176" customWidth="1"/>
    <col min="14882" max="14882" width="5.7109375" style="176" bestFit="1" customWidth="1"/>
    <col min="14883" max="14883" width="7.140625" style="176" bestFit="1" customWidth="1"/>
    <col min="14884" max="14884" width="7.28515625" style="176" bestFit="1" customWidth="1"/>
    <col min="14885" max="14885" width="6.140625" style="176" bestFit="1" customWidth="1"/>
    <col min="14886" max="14888" width="7.28515625" style="176" bestFit="1" customWidth="1"/>
    <col min="14889" max="14889" width="8" style="176" bestFit="1" customWidth="1"/>
    <col min="14890" max="14890" width="8.28515625" style="176" customWidth="1"/>
    <col min="14891" max="14892" width="10.42578125" style="176" bestFit="1" customWidth="1"/>
    <col min="14893" max="14893" width="13.140625" style="176" bestFit="1" customWidth="1"/>
    <col min="14894" max="15135" width="9.140625" style="176"/>
    <col min="15136" max="15136" width="9.140625" style="176" customWidth="1"/>
    <col min="15137" max="15137" width="25.85546875" style="176" customWidth="1"/>
    <col min="15138" max="15138" width="5.7109375" style="176" bestFit="1" customWidth="1"/>
    <col min="15139" max="15139" width="7.140625" style="176" bestFit="1" customWidth="1"/>
    <col min="15140" max="15140" width="7.28515625" style="176" bestFit="1" customWidth="1"/>
    <col min="15141" max="15141" width="6.140625" style="176" bestFit="1" customWidth="1"/>
    <col min="15142" max="15144" width="7.28515625" style="176" bestFit="1" customWidth="1"/>
    <col min="15145" max="15145" width="8" style="176" bestFit="1" customWidth="1"/>
    <col min="15146" max="15146" width="8.28515625" style="176" customWidth="1"/>
    <col min="15147" max="15148" width="10.42578125" style="176" bestFit="1" customWidth="1"/>
    <col min="15149" max="15149" width="13.140625" style="176" bestFit="1" customWidth="1"/>
    <col min="15150" max="15391" width="9.140625" style="176"/>
    <col min="15392" max="15392" width="9.140625" style="176" customWidth="1"/>
    <col min="15393" max="15393" width="25.85546875" style="176" customWidth="1"/>
    <col min="15394" max="15394" width="5.7109375" style="176" bestFit="1" customWidth="1"/>
    <col min="15395" max="15395" width="7.140625" style="176" bestFit="1" customWidth="1"/>
    <col min="15396" max="15396" width="7.28515625" style="176" bestFit="1" customWidth="1"/>
    <col min="15397" max="15397" width="6.140625" style="176" bestFit="1" customWidth="1"/>
    <col min="15398" max="15400" width="7.28515625" style="176" bestFit="1" customWidth="1"/>
    <col min="15401" max="15401" width="8" style="176" bestFit="1" customWidth="1"/>
    <col min="15402" max="15402" width="8.28515625" style="176" customWidth="1"/>
    <col min="15403" max="15404" width="10.42578125" style="176" bestFit="1" customWidth="1"/>
    <col min="15405" max="15405" width="13.140625" style="176" bestFit="1" customWidth="1"/>
    <col min="15406" max="15647" width="9.140625" style="176"/>
    <col min="15648" max="15648" width="9.140625" style="176" customWidth="1"/>
    <col min="15649" max="15649" width="25.85546875" style="176" customWidth="1"/>
    <col min="15650" max="15650" width="5.7109375" style="176" bestFit="1" customWidth="1"/>
    <col min="15651" max="15651" width="7.140625" style="176" bestFit="1" customWidth="1"/>
    <col min="15652" max="15652" width="7.28515625" style="176" bestFit="1" customWidth="1"/>
    <col min="15653" max="15653" width="6.140625" style="176" bestFit="1" customWidth="1"/>
    <col min="15654" max="15656" width="7.28515625" style="176" bestFit="1" customWidth="1"/>
    <col min="15657" max="15657" width="8" style="176" bestFit="1" customWidth="1"/>
    <col min="15658" max="15658" width="8.28515625" style="176" customWidth="1"/>
    <col min="15659" max="15660" width="10.42578125" style="176" bestFit="1" customWidth="1"/>
    <col min="15661" max="15661" width="13.140625" style="176" bestFit="1" customWidth="1"/>
    <col min="15662" max="15903" width="9.140625" style="176"/>
    <col min="15904" max="15904" width="9.140625" style="176" customWidth="1"/>
    <col min="15905" max="15905" width="25.85546875" style="176" customWidth="1"/>
    <col min="15906" max="15906" width="5.7109375" style="176" bestFit="1" customWidth="1"/>
    <col min="15907" max="15907" width="7.140625" style="176" bestFit="1" customWidth="1"/>
    <col min="15908" max="15908" width="7.28515625" style="176" bestFit="1" customWidth="1"/>
    <col min="15909" max="15909" width="6.140625" style="176" bestFit="1" customWidth="1"/>
    <col min="15910" max="15912" width="7.28515625" style="176" bestFit="1" customWidth="1"/>
    <col min="15913" max="15913" width="8" style="176" bestFit="1" customWidth="1"/>
    <col min="15914" max="15914" width="8.28515625" style="176" customWidth="1"/>
    <col min="15915" max="15916" width="10.42578125" style="176" bestFit="1" customWidth="1"/>
    <col min="15917" max="15917" width="13.140625" style="176" bestFit="1" customWidth="1"/>
    <col min="15918" max="16159" width="9.140625" style="176"/>
    <col min="16160" max="16160" width="9.140625" style="176" customWidth="1"/>
    <col min="16161" max="16161" width="25.85546875" style="176" customWidth="1"/>
    <col min="16162" max="16162" width="5.7109375" style="176" bestFit="1" customWidth="1"/>
    <col min="16163" max="16163" width="7.140625" style="176" bestFit="1" customWidth="1"/>
    <col min="16164" max="16164" width="7.28515625" style="176" bestFit="1" customWidth="1"/>
    <col min="16165" max="16165" width="6.140625" style="176" bestFit="1" customWidth="1"/>
    <col min="16166" max="16168" width="7.28515625" style="176" bestFit="1" customWidth="1"/>
    <col min="16169" max="16169" width="8" style="176" bestFit="1" customWidth="1"/>
    <col min="16170" max="16170" width="8.28515625" style="176" customWidth="1"/>
    <col min="16171" max="16172" width="10.42578125" style="176" bestFit="1" customWidth="1"/>
    <col min="16173" max="16173" width="13.140625" style="176" bestFit="1" customWidth="1"/>
    <col min="16174" max="16384" width="9.140625" style="176"/>
  </cols>
  <sheetData>
    <row r="1" spans="1:43">
      <c r="A1" s="752" t="s">
        <v>8240</v>
      </c>
      <c r="B1" s="753"/>
      <c r="C1" s="753"/>
      <c r="D1" s="753"/>
      <c r="E1" s="753"/>
      <c r="F1" s="753"/>
      <c r="G1" s="753"/>
      <c r="H1" s="753"/>
      <c r="I1" s="753"/>
      <c r="J1" s="753"/>
      <c r="K1" s="753"/>
      <c r="L1" s="753"/>
      <c r="M1" s="753"/>
      <c r="N1" s="753"/>
      <c r="O1" s="753"/>
      <c r="P1" s="753"/>
      <c r="Q1" s="753"/>
      <c r="R1" s="753"/>
      <c r="S1" s="753"/>
      <c r="T1" s="753"/>
      <c r="U1" s="753"/>
      <c r="V1" s="753"/>
      <c r="W1" s="753"/>
      <c r="X1" s="753"/>
      <c r="Y1" s="753"/>
      <c r="Z1" s="753"/>
      <c r="AA1" s="753"/>
      <c r="AB1" s="753"/>
      <c r="AC1" s="753"/>
      <c r="AD1" s="753"/>
      <c r="AE1" s="753"/>
      <c r="AF1" s="753"/>
      <c r="AG1" s="753"/>
      <c r="AH1" s="754"/>
      <c r="AI1" s="300"/>
      <c r="AJ1" s="300"/>
      <c r="AK1" s="300"/>
      <c r="AL1" s="300"/>
      <c r="AM1" s="300"/>
      <c r="AN1" s="300"/>
      <c r="AO1" s="298"/>
      <c r="AP1" s="298"/>
    </row>
    <row r="2" spans="1:43">
      <c r="A2" s="284"/>
      <c r="B2" s="746"/>
      <c r="C2" s="746"/>
      <c r="D2" s="746"/>
      <c r="E2" s="746"/>
      <c r="F2" s="746"/>
      <c r="G2" s="746"/>
      <c r="H2" s="746"/>
      <c r="I2" s="746"/>
      <c r="J2" s="746"/>
      <c r="K2" s="746"/>
      <c r="L2" s="746"/>
      <c r="M2" s="746"/>
      <c r="N2" s="746"/>
      <c r="O2" s="746"/>
      <c r="P2" s="746"/>
      <c r="Q2" s="746"/>
      <c r="R2" s="746"/>
      <c r="S2" s="746"/>
      <c r="T2" s="746"/>
      <c r="U2" s="746"/>
      <c r="V2" s="746"/>
      <c r="W2" s="746"/>
      <c r="X2" s="746"/>
      <c r="Y2" s="746"/>
      <c r="Z2" s="746"/>
      <c r="AA2" s="746"/>
      <c r="AB2" s="746"/>
      <c r="AC2" s="746"/>
      <c r="AD2" s="746"/>
      <c r="AE2" s="746"/>
      <c r="AF2" s="746"/>
      <c r="AG2" s="283"/>
      <c r="AH2" s="301"/>
      <c r="AI2" s="301"/>
      <c r="AJ2" s="301"/>
      <c r="AK2" s="301"/>
      <c r="AL2" s="301"/>
      <c r="AM2" s="301"/>
      <c r="AN2" s="301"/>
      <c r="AO2" s="284"/>
      <c r="AP2" s="284"/>
    </row>
    <row r="3" spans="1:43">
      <c r="A3" s="226"/>
      <c r="B3" s="748" t="s">
        <v>8241</v>
      </c>
      <c r="C3" s="748"/>
      <c r="D3" s="748"/>
      <c r="E3" s="748"/>
      <c r="F3" s="748"/>
      <c r="G3" s="748"/>
      <c r="H3" s="748"/>
      <c r="I3" s="748"/>
      <c r="J3" s="748"/>
      <c r="K3" s="748"/>
      <c r="L3" s="748"/>
      <c r="M3" s="748"/>
      <c r="N3" s="748"/>
      <c r="O3" s="748"/>
      <c r="P3" s="748"/>
      <c r="Q3" s="748"/>
      <c r="R3" s="748"/>
      <c r="S3" s="748"/>
      <c r="T3" s="748"/>
      <c r="U3" s="748"/>
      <c r="V3" s="748"/>
      <c r="W3" s="748"/>
      <c r="X3" s="748"/>
      <c r="Y3" s="748"/>
      <c r="Z3" s="748"/>
      <c r="AA3" s="748"/>
      <c r="AB3" s="748"/>
      <c r="AC3" s="748"/>
      <c r="AD3" s="748"/>
      <c r="AE3" s="748"/>
      <c r="AF3" s="748"/>
      <c r="AG3" s="285"/>
      <c r="AH3" s="302"/>
      <c r="AI3" s="303"/>
      <c r="AJ3" s="304"/>
      <c r="AK3" s="304"/>
      <c r="AL3" s="304"/>
      <c r="AM3" s="304"/>
      <c r="AN3" s="304"/>
      <c r="AO3" s="227"/>
      <c r="AP3" s="299"/>
    </row>
    <row r="4" spans="1:43">
      <c r="A4" s="296"/>
      <c r="B4" s="297"/>
      <c r="C4" s="297"/>
      <c r="D4" s="297"/>
      <c r="E4" s="296"/>
      <c r="F4" s="296"/>
      <c r="G4" s="305"/>
      <c r="H4" s="305"/>
      <c r="I4" s="305"/>
      <c r="J4" s="305"/>
      <c r="K4" s="305"/>
      <c r="L4" s="305"/>
      <c r="M4" s="305"/>
      <c r="N4" s="305"/>
      <c r="O4" s="305"/>
      <c r="P4" s="305"/>
      <c r="Q4" s="305"/>
      <c r="R4" s="305"/>
      <c r="S4" s="305"/>
      <c r="T4" s="305"/>
      <c r="U4" s="305"/>
      <c r="V4" s="305"/>
      <c r="W4" s="305" t="s">
        <v>6187</v>
      </c>
      <c r="X4" s="305"/>
      <c r="Y4" s="305"/>
      <c r="Z4" s="305"/>
      <c r="AA4" s="305"/>
      <c r="AB4" s="305"/>
      <c r="AC4" s="305"/>
      <c r="AD4" s="305"/>
      <c r="AE4" s="305"/>
      <c r="AF4" s="305"/>
      <c r="AG4" s="305"/>
      <c r="AH4" s="305"/>
      <c r="AI4" s="305"/>
      <c r="AJ4" s="305"/>
      <c r="AK4" s="305"/>
      <c r="AL4" s="305"/>
      <c r="AM4" s="305"/>
      <c r="AN4" s="305"/>
      <c r="AO4" s="296"/>
      <c r="AP4" s="299"/>
    </row>
    <row r="5" spans="1:43">
      <c r="A5" s="314"/>
      <c r="B5" s="315"/>
      <c r="C5" s="315"/>
      <c r="D5" s="315"/>
      <c r="E5" s="313"/>
      <c r="F5" s="313"/>
      <c r="G5" s="755" t="s">
        <v>8261</v>
      </c>
      <c r="H5" s="756"/>
      <c r="I5" s="756"/>
      <c r="J5" s="756"/>
      <c r="K5" s="757"/>
      <c r="L5" s="755" t="s">
        <v>8382</v>
      </c>
      <c r="M5" s="756"/>
      <c r="N5" s="756"/>
      <c r="O5" s="756"/>
      <c r="P5" s="757"/>
      <c r="Q5" s="755" t="s">
        <v>8381</v>
      </c>
      <c r="R5" s="756"/>
      <c r="S5" s="756"/>
      <c r="T5" s="756"/>
      <c r="U5" s="756"/>
      <c r="V5" s="756"/>
      <c r="W5" s="755" t="s">
        <v>8254</v>
      </c>
      <c r="X5" s="756"/>
      <c r="Y5" s="756"/>
      <c r="Z5" s="756"/>
      <c r="AA5" s="756"/>
      <c r="AB5" s="756"/>
      <c r="AC5" s="756"/>
      <c r="AD5" s="756"/>
      <c r="AE5" s="756"/>
      <c r="AF5" s="756"/>
      <c r="AG5" s="756"/>
      <c r="AH5" s="757"/>
      <c r="AI5" s="306"/>
      <c r="AJ5" s="306"/>
      <c r="AK5" s="306"/>
      <c r="AL5" s="306"/>
      <c r="AM5" s="306"/>
      <c r="AN5" s="306"/>
      <c r="AO5" s="295"/>
      <c r="AP5" s="284"/>
    </row>
    <row r="6" spans="1:43">
      <c r="A6" s="312" t="s">
        <v>8255</v>
      </c>
      <c r="B6" s="316" t="s">
        <v>8242</v>
      </c>
      <c r="C6" s="316"/>
      <c r="D6" s="316" t="s">
        <v>15558</v>
      </c>
      <c r="E6" s="311" t="s">
        <v>8258</v>
      </c>
      <c r="F6" s="311" t="s">
        <v>8280</v>
      </c>
      <c r="G6" s="307" t="s">
        <v>8285</v>
      </c>
      <c r="H6" s="308" t="s">
        <v>8246</v>
      </c>
      <c r="I6" s="308" t="s">
        <v>8248</v>
      </c>
      <c r="J6" s="308" t="s">
        <v>8262</v>
      </c>
      <c r="K6" s="309" t="s">
        <v>8250</v>
      </c>
      <c r="L6" s="307" t="s">
        <v>8243</v>
      </c>
      <c r="M6" s="308" t="s">
        <v>8244</v>
      </c>
      <c r="N6" s="308" t="s">
        <v>8245</v>
      </c>
      <c r="O6" s="308" t="s">
        <v>8246</v>
      </c>
      <c r="P6" s="309" t="s">
        <v>8247</v>
      </c>
      <c r="Q6" s="307" t="s">
        <v>8244</v>
      </c>
      <c r="R6" s="308" t="s">
        <v>8245</v>
      </c>
      <c r="S6" s="308" t="s">
        <v>8246</v>
      </c>
      <c r="T6" s="308" t="s">
        <v>8248</v>
      </c>
      <c r="U6" s="308" t="s">
        <v>8249</v>
      </c>
      <c r="V6" s="308" t="s">
        <v>8250</v>
      </c>
      <c r="W6" s="307" t="s">
        <v>8244</v>
      </c>
      <c r="X6" s="308" t="s">
        <v>8245</v>
      </c>
      <c r="Y6" s="308" t="s">
        <v>8246</v>
      </c>
      <c r="Z6" s="308" t="s">
        <v>8248</v>
      </c>
      <c r="AA6" s="308" t="s">
        <v>8249</v>
      </c>
      <c r="AB6" s="308" t="s">
        <v>8250</v>
      </c>
      <c r="AC6" s="308" t="s">
        <v>8290</v>
      </c>
      <c r="AD6" s="308" t="s">
        <v>8252</v>
      </c>
      <c r="AE6" s="308" t="s">
        <v>8251</v>
      </c>
      <c r="AF6" s="308" t="s">
        <v>8253</v>
      </c>
      <c r="AG6" s="308" t="s">
        <v>8282</v>
      </c>
      <c r="AH6" s="309" t="s">
        <v>8281</v>
      </c>
      <c r="AI6" s="301"/>
      <c r="AJ6" s="301"/>
      <c r="AK6" s="301"/>
      <c r="AL6" s="301"/>
      <c r="AM6" s="301"/>
      <c r="AN6" s="301"/>
      <c r="AO6" s="284"/>
      <c r="AP6" s="284"/>
    </row>
    <row r="7" spans="1:43" s="286" customFormat="1">
      <c r="A7" s="219" t="s">
        <v>8272</v>
      </c>
      <c r="B7" s="219" t="s">
        <v>8286</v>
      </c>
      <c r="C7" s="745" t="s">
        <v>8296</v>
      </c>
      <c r="D7" s="219">
        <f t="shared" ref="D7:D34" si="0">3*SUM(Q7:AH7)+SUM(L7:P7)+4*SUM(G7:K7)</f>
        <v>3</v>
      </c>
      <c r="E7" s="319">
        <v>1</v>
      </c>
      <c r="F7" s="319"/>
      <c r="G7" s="320"/>
      <c r="H7" s="235"/>
      <c r="I7" s="235"/>
      <c r="J7" s="235"/>
      <c r="K7" s="321"/>
      <c r="L7" s="320"/>
      <c r="M7" s="235"/>
      <c r="N7" s="235"/>
      <c r="O7" s="235"/>
      <c r="P7" s="321"/>
      <c r="Q7" s="322"/>
      <c r="R7" s="235"/>
      <c r="S7" s="235"/>
      <c r="T7" s="235"/>
      <c r="U7" s="235"/>
      <c r="V7" s="235"/>
      <c r="W7" s="322"/>
      <c r="X7" s="235">
        <v>1</v>
      </c>
      <c r="Y7" s="235"/>
      <c r="Z7" s="235"/>
      <c r="AA7" s="235"/>
      <c r="AB7" s="235"/>
      <c r="AC7" s="235"/>
      <c r="AD7" s="235"/>
      <c r="AE7" s="235"/>
      <c r="AF7" s="235"/>
      <c r="AG7" s="235"/>
      <c r="AH7" s="321"/>
      <c r="AI7" s="235"/>
      <c r="AJ7" s="235"/>
      <c r="AK7" s="235"/>
      <c r="AL7" s="235"/>
      <c r="AM7" s="235"/>
      <c r="AN7" s="235"/>
      <c r="AO7" s="222"/>
      <c r="AP7" s="222"/>
      <c r="AQ7" s="323"/>
    </row>
    <row r="8" spans="1:43" s="286" customFormat="1">
      <c r="A8" s="219" t="s">
        <v>8256</v>
      </c>
      <c r="B8" s="219" t="s">
        <v>8266</v>
      </c>
      <c r="C8" s="745"/>
      <c r="D8" s="219">
        <f t="shared" si="0"/>
        <v>11</v>
      </c>
      <c r="E8" s="319">
        <v>1</v>
      </c>
      <c r="F8" s="319"/>
      <c r="G8" s="320"/>
      <c r="H8" s="235">
        <v>1</v>
      </c>
      <c r="I8" s="235"/>
      <c r="J8" s="235"/>
      <c r="K8" s="321"/>
      <c r="L8" s="320">
        <v>4</v>
      </c>
      <c r="M8" s="235"/>
      <c r="N8" s="235"/>
      <c r="O8" s="235"/>
      <c r="P8" s="321"/>
      <c r="Q8" s="322"/>
      <c r="R8" s="235">
        <v>1</v>
      </c>
      <c r="S8" s="235"/>
      <c r="T8" s="235"/>
      <c r="U8" s="235"/>
      <c r="V8" s="235"/>
      <c r="W8" s="322"/>
      <c r="X8" s="235"/>
      <c r="Y8" s="235"/>
      <c r="Z8" s="235"/>
      <c r="AA8" s="235"/>
      <c r="AB8" s="235"/>
      <c r="AC8" s="235"/>
      <c r="AD8" s="235"/>
      <c r="AE8" s="235"/>
      <c r="AF8" s="235"/>
      <c r="AG8" s="235"/>
      <c r="AH8" s="321"/>
      <c r="AI8" s="235"/>
      <c r="AJ8" s="235"/>
      <c r="AK8" s="235"/>
      <c r="AL8" s="235"/>
      <c r="AM8" s="235"/>
      <c r="AN8" s="235"/>
      <c r="AO8" s="222"/>
      <c r="AP8" s="222"/>
      <c r="AQ8" s="323"/>
    </row>
    <row r="9" spans="1:43" s="286" customFormat="1">
      <c r="A9" s="219" t="s">
        <v>8272</v>
      </c>
      <c r="B9" s="219" t="s">
        <v>8289</v>
      </c>
      <c r="C9" s="751"/>
      <c r="D9" s="219">
        <f t="shared" si="0"/>
        <v>12</v>
      </c>
      <c r="E9" s="319">
        <v>1</v>
      </c>
      <c r="F9" s="319"/>
      <c r="G9" s="320"/>
      <c r="H9" s="235"/>
      <c r="I9" s="235"/>
      <c r="J9" s="235"/>
      <c r="K9" s="321"/>
      <c r="L9" s="320"/>
      <c r="M9" s="235"/>
      <c r="N9" s="235"/>
      <c r="O9" s="235"/>
      <c r="P9" s="321"/>
      <c r="Q9" s="322"/>
      <c r="R9" s="235"/>
      <c r="S9" s="235"/>
      <c r="T9" s="235"/>
      <c r="U9" s="235"/>
      <c r="V9" s="235"/>
      <c r="W9" s="322"/>
      <c r="X9" s="235"/>
      <c r="Y9" s="235"/>
      <c r="Z9" s="235"/>
      <c r="AA9" s="235"/>
      <c r="AB9" s="235">
        <v>1</v>
      </c>
      <c r="AC9" s="235">
        <v>2</v>
      </c>
      <c r="AD9" s="235"/>
      <c r="AE9" s="235"/>
      <c r="AF9" s="235"/>
      <c r="AG9" s="324">
        <v>1</v>
      </c>
      <c r="AH9" s="321"/>
      <c r="AI9" s="235"/>
      <c r="AJ9" s="235"/>
      <c r="AK9" s="235"/>
      <c r="AL9" s="235"/>
      <c r="AM9" s="235"/>
      <c r="AN9" s="235"/>
      <c r="AO9" s="222"/>
      <c r="AP9" s="222"/>
      <c r="AQ9" s="323"/>
    </row>
    <row r="10" spans="1:43" s="286" customFormat="1">
      <c r="A10" s="219" t="s">
        <v>8272</v>
      </c>
      <c r="B10" s="219" t="s">
        <v>8287</v>
      </c>
      <c r="C10" s="750" t="s">
        <v>8297</v>
      </c>
      <c r="D10" s="219">
        <f t="shared" si="0"/>
        <v>13</v>
      </c>
      <c r="E10" s="319">
        <v>1</v>
      </c>
      <c r="F10" s="319"/>
      <c r="G10" s="320"/>
      <c r="H10" s="235"/>
      <c r="I10" s="235"/>
      <c r="J10" s="235"/>
      <c r="K10" s="321"/>
      <c r="L10" s="320">
        <v>7</v>
      </c>
      <c r="M10" s="235">
        <v>3</v>
      </c>
      <c r="N10" s="235"/>
      <c r="O10" s="235"/>
      <c r="P10" s="321"/>
      <c r="Q10" s="322"/>
      <c r="R10" s="235">
        <v>1</v>
      </c>
      <c r="S10" s="235"/>
      <c r="T10" s="235"/>
      <c r="U10" s="235"/>
      <c r="V10" s="235"/>
      <c r="W10" s="322"/>
      <c r="X10" s="235"/>
      <c r="Y10" s="235"/>
      <c r="Z10" s="235"/>
      <c r="AA10" s="235"/>
      <c r="AB10" s="235"/>
      <c r="AC10" s="235"/>
      <c r="AD10" s="235"/>
      <c r="AE10" s="235"/>
      <c r="AF10" s="235"/>
      <c r="AG10" s="235"/>
      <c r="AH10" s="321"/>
      <c r="AI10" s="235"/>
      <c r="AJ10" s="235"/>
      <c r="AK10" s="235"/>
      <c r="AL10" s="235"/>
      <c r="AM10" s="235"/>
      <c r="AN10" s="235"/>
      <c r="AO10" s="222"/>
      <c r="AP10" s="222"/>
      <c r="AQ10" s="323"/>
    </row>
    <row r="11" spans="1:43" s="286" customFormat="1">
      <c r="A11" s="219" t="s">
        <v>8256</v>
      </c>
      <c r="B11" s="219" t="s">
        <v>8260</v>
      </c>
      <c r="C11" s="745"/>
      <c r="D11" s="219">
        <f t="shared" si="0"/>
        <v>15</v>
      </c>
      <c r="E11" s="319">
        <v>1</v>
      </c>
      <c r="F11" s="319"/>
      <c r="G11" s="320"/>
      <c r="H11" s="235">
        <v>1</v>
      </c>
      <c r="I11" s="235"/>
      <c r="J11" s="235"/>
      <c r="K11" s="321"/>
      <c r="L11" s="320">
        <v>3</v>
      </c>
      <c r="M11" s="235">
        <v>5</v>
      </c>
      <c r="N11" s="235"/>
      <c r="O11" s="235"/>
      <c r="P11" s="321"/>
      <c r="Q11" s="322"/>
      <c r="R11" s="235">
        <v>1</v>
      </c>
      <c r="S11" s="235"/>
      <c r="T11" s="235"/>
      <c r="U11" s="235"/>
      <c r="V11" s="235"/>
      <c r="W11" s="322"/>
      <c r="X11" s="235"/>
      <c r="Y11" s="235"/>
      <c r="Z11" s="235"/>
      <c r="AA11" s="235"/>
      <c r="AB11" s="235"/>
      <c r="AC11" s="235"/>
      <c r="AD11" s="235"/>
      <c r="AE11" s="235"/>
      <c r="AF11" s="235"/>
      <c r="AG11" s="235"/>
      <c r="AH11" s="321"/>
      <c r="AI11" s="235"/>
      <c r="AJ11" s="235"/>
      <c r="AK11" s="235"/>
      <c r="AL11" s="235"/>
      <c r="AM11" s="235"/>
      <c r="AN11" s="235"/>
      <c r="AO11" s="222"/>
      <c r="AP11" s="222"/>
      <c r="AQ11" s="323"/>
    </row>
    <row r="12" spans="1:43" s="286" customFormat="1">
      <c r="A12" s="219" t="s">
        <v>8256</v>
      </c>
      <c r="B12" s="219" t="s">
        <v>8264</v>
      </c>
      <c r="C12" s="745"/>
      <c r="D12" s="219">
        <f t="shared" si="0"/>
        <v>15</v>
      </c>
      <c r="E12" s="319">
        <v>1</v>
      </c>
      <c r="F12" s="319"/>
      <c r="G12" s="320"/>
      <c r="H12" s="235"/>
      <c r="I12" s="235"/>
      <c r="J12" s="235"/>
      <c r="K12" s="321"/>
      <c r="L12" s="320">
        <v>12</v>
      </c>
      <c r="M12" s="235"/>
      <c r="N12" s="235"/>
      <c r="O12" s="235"/>
      <c r="P12" s="321"/>
      <c r="Q12" s="322"/>
      <c r="R12" s="235">
        <v>1</v>
      </c>
      <c r="S12" s="235"/>
      <c r="T12" s="235"/>
      <c r="U12" s="235"/>
      <c r="V12" s="235"/>
      <c r="W12" s="322"/>
      <c r="X12" s="235"/>
      <c r="Y12" s="235"/>
      <c r="Z12" s="235"/>
      <c r="AA12" s="235"/>
      <c r="AB12" s="235"/>
      <c r="AC12" s="235"/>
      <c r="AD12" s="235"/>
      <c r="AE12" s="235"/>
      <c r="AF12" s="235"/>
      <c r="AG12" s="235"/>
      <c r="AH12" s="321"/>
      <c r="AI12" s="235"/>
      <c r="AJ12" s="235"/>
      <c r="AK12" s="235"/>
      <c r="AL12" s="235"/>
      <c r="AM12" s="235"/>
      <c r="AN12" s="235"/>
      <c r="AO12" s="222"/>
      <c r="AP12" s="222"/>
      <c r="AQ12" s="323"/>
    </row>
    <row r="13" spans="1:43" s="286" customFormat="1">
      <c r="A13" s="219" t="s">
        <v>8272</v>
      </c>
      <c r="B13" s="219" t="s">
        <v>8288</v>
      </c>
      <c r="C13" s="745"/>
      <c r="D13" s="219">
        <f t="shared" si="0"/>
        <v>15</v>
      </c>
      <c r="E13" s="319">
        <v>1</v>
      </c>
      <c r="F13" s="319"/>
      <c r="G13" s="320"/>
      <c r="H13" s="235"/>
      <c r="I13" s="235"/>
      <c r="J13" s="235"/>
      <c r="K13" s="321"/>
      <c r="L13" s="320">
        <v>10</v>
      </c>
      <c r="M13" s="235">
        <v>2</v>
      </c>
      <c r="N13" s="235"/>
      <c r="O13" s="235"/>
      <c r="P13" s="321"/>
      <c r="Q13" s="322"/>
      <c r="R13" s="235">
        <v>1</v>
      </c>
      <c r="S13" s="235"/>
      <c r="T13" s="235"/>
      <c r="U13" s="235"/>
      <c r="V13" s="235"/>
      <c r="W13" s="322"/>
      <c r="X13" s="235"/>
      <c r="Y13" s="235"/>
      <c r="Z13" s="235"/>
      <c r="AA13" s="235"/>
      <c r="AB13" s="235"/>
      <c r="AC13" s="235"/>
      <c r="AD13" s="235"/>
      <c r="AE13" s="235"/>
      <c r="AF13" s="235"/>
      <c r="AG13" s="235"/>
      <c r="AH13" s="321"/>
      <c r="AI13" s="235"/>
      <c r="AJ13" s="235"/>
      <c r="AK13" s="235"/>
      <c r="AL13" s="235"/>
      <c r="AM13" s="235"/>
      <c r="AN13" s="235"/>
      <c r="AO13" s="222"/>
      <c r="AP13" s="222"/>
      <c r="AQ13" s="323"/>
    </row>
    <row r="14" spans="1:43" s="286" customFormat="1">
      <c r="A14" s="219" t="s">
        <v>8256</v>
      </c>
      <c r="B14" s="219" t="s">
        <v>8270</v>
      </c>
      <c r="C14" s="745"/>
      <c r="D14" s="219">
        <f t="shared" si="0"/>
        <v>16</v>
      </c>
      <c r="E14" s="319">
        <v>1</v>
      </c>
      <c r="F14" s="319"/>
      <c r="G14" s="320"/>
      <c r="H14" s="235">
        <v>1</v>
      </c>
      <c r="I14" s="235"/>
      <c r="J14" s="235"/>
      <c r="K14" s="321"/>
      <c r="L14" s="320">
        <v>7</v>
      </c>
      <c r="M14" s="235"/>
      <c r="N14" s="235">
        <v>2</v>
      </c>
      <c r="O14" s="235"/>
      <c r="P14" s="321"/>
      <c r="Q14" s="322"/>
      <c r="R14" s="235"/>
      <c r="S14" s="235">
        <v>1</v>
      </c>
      <c r="T14" s="235"/>
      <c r="U14" s="235"/>
      <c r="V14" s="235"/>
      <c r="W14" s="322"/>
      <c r="X14" s="235"/>
      <c r="Y14" s="235"/>
      <c r="Z14" s="235"/>
      <c r="AA14" s="235"/>
      <c r="AB14" s="235"/>
      <c r="AC14" s="235"/>
      <c r="AD14" s="235"/>
      <c r="AE14" s="235"/>
      <c r="AF14" s="235"/>
      <c r="AG14" s="235"/>
      <c r="AH14" s="321"/>
      <c r="AI14" s="235"/>
      <c r="AJ14" s="235"/>
      <c r="AK14" s="235"/>
      <c r="AL14" s="235"/>
      <c r="AM14" s="235"/>
      <c r="AN14" s="235"/>
      <c r="AO14" s="222"/>
      <c r="AP14" s="222"/>
      <c r="AQ14" s="323"/>
    </row>
    <row r="15" spans="1:43" s="286" customFormat="1">
      <c r="A15" s="219" t="s">
        <v>8272</v>
      </c>
      <c r="B15" s="219" t="s">
        <v>8292</v>
      </c>
      <c r="C15" s="751"/>
      <c r="D15" s="219">
        <f t="shared" si="0"/>
        <v>17</v>
      </c>
      <c r="E15" s="319">
        <v>1</v>
      </c>
      <c r="F15" s="319"/>
      <c r="G15" s="320">
        <v>2</v>
      </c>
      <c r="H15" s="235"/>
      <c r="I15" s="235"/>
      <c r="J15" s="235"/>
      <c r="K15" s="321"/>
      <c r="L15" s="320"/>
      <c r="M15" s="235"/>
      <c r="N15" s="235"/>
      <c r="O15" s="235"/>
      <c r="P15" s="321"/>
      <c r="Q15" s="322"/>
      <c r="R15" s="235"/>
      <c r="S15" s="235">
        <v>1</v>
      </c>
      <c r="T15" s="235">
        <v>1</v>
      </c>
      <c r="U15" s="235"/>
      <c r="V15" s="235"/>
      <c r="W15" s="322"/>
      <c r="X15" s="235"/>
      <c r="Y15" s="235"/>
      <c r="Z15" s="235"/>
      <c r="AA15" s="235"/>
      <c r="AB15" s="235">
        <v>1</v>
      </c>
      <c r="AC15" s="235"/>
      <c r="AD15" s="235"/>
      <c r="AE15" s="235"/>
      <c r="AF15" s="235"/>
      <c r="AG15" s="235"/>
      <c r="AH15" s="321"/>
      <c r="AI15" s="235"/>
      <c r="AJ15" s="235"/>
      <c r="AK15" s="235"/>
      <c r="AL15" s="235"/>
      <c r="AM15" s="235"/>
      <c r="AN15" s="235"/>
      <c r="AO15" s="222"/>
      <c r="AP15" s="222"/>
      <c r="AQ15" s="323"/>
    </row>
    <row r="16" spans="1:43" s="286" customFormat="1">
      <c r="A16" s="219" t="s">
        <v>8256</v>
      </c>
      <c r="B16" s="219" t="s">
        <v>8267</v>
      </c>
      <c r="C16" s="750" t="s">
        <v>8298</v>
      </c>
      <c r="D16" s="219">
        <f t="shared" si="0"/>
        <v>19</v>
      </c>
      <c r="E16" s="319">
        <v>1</v>
      </c>
      <c r="F16" s="319"/>
      <c r="G16" s="320"/>
      <c r="H16" s="235">
        <v>1</v>
      </c>
      <c r="I16" s="235"/>
      <c r="J16" s="235"/>
      <c r="K16" s="321"/>
      <c r="L16" s="320">
        <v>6</v>
      </c>
      <c r="M16" s="235">
        <v>6</v>
      </c>
      <c r="N16" s="235"/>
      <c r="O16" s="235"/>
      <c r="P16" s="321"/>
      <c r="Q16" s="322"/>
      <c r="R16" s="235">
        <v>1</v>
      </c>
      <c r="S16" s="235"/>
      <c r="T16" s="235"/>
      <c r="U16" s="235"/>
      <c r="V16" s="235"/>
      <c r="W16" s="322"/>
      <c r="X16" s="235"/>
      <c r="Y16" s="235"/>
      <c r="Z16" s="235"/>
      <c r="AA16" s="235"/>
      <c r="AB16" s="235"/>
      <c r="AC16" s="235"/>
      <c r="AD16" s="235"/>
      <c r="AE16" s="235"/>
      <c r="AF16" s="235"/>
      <c r="AG16" s="235"/>
      <c r="AH16" s="321"/>
      <c r="AI16" s="235"/>
      <c r="AJ16" s="235"/>
      <c r="AK16" s="235"/>
      <c r="AL16" s="235"/>
      <c r="AM16" s="235"/>
      <c r="AN16" s="235"/>
      <c r="AO16" s="222"/>
      <c r="AP16" s="222"/>
      <c r="AQ16" s="323"/>
    </row>
    <row r="17" spans="1:43" s="286" customFormat="1">
      <c r="A17" s="219" t="s">
        <v>8272</v>
      </c>
      <c r="B17" s="219" t="s">
        <v>8274</v>
      </c>
      <c r="C17" s="745"/>
      <c r="D17" s="219">
        <f t="shared" si="0"/>
        <v>19</v>
      </c>
      <c r="E17" s="319">
        <v>1</v>
      </c>
      <c r="F17" s="319"/>
      <c r="G17" s="320"/>
      <c r="H17" s="235"/>
      <c r="I17" s="235">
        <v>1</v>
      </c>
      <c r="J17" s="235"/>
      <c r="K17" s="321"/>
      <c r="L17" s="320"/>
      <c r="M17" s="235">
        <v>1</v>
      </c>
      <c r="N17" s="235">
        <v>2</v>
      </c>
      <c r="O17" s="235">
        <v>9</v>
      </c>
      <c r="P17" s="321"/>
      <c r="Q17" s="322"/>
      <c r="R17" s="235"/>
      <c r="S17" s="235"/>
      <c r="T17" s="235">
        <v>1</v>
      </c>
      <c r="U17" s="235"/>
      <c r="V17" s="235"/>
      <c r="W17" s="322"/>
      <c r="X17" s="235"/>
      <c r="Y17" s="235"/>
      <c r="Z17" s="235"/>
      <c r="AA17" s="235"/>
      <c r="AB17" s="235"/>
      <c r="AC17" s="235"/>
      <c r="AD17" s="235"/>
      <c r="AE17" s="235"/>
      <c r="AF17" s="235"/>
      <c r="AG17" s="235"/>
      <c r="AH17" s="321"/>
      <c r="AI17" s="235"/>
      <c r="AJ17" s="235"/>
      <c r="AK17" s="235"/>
      <c r="AL17" s="235"/>
      <c r="AM17" s="235"/>
      <c r="AN17" s="235"/>
      <c r="AO17" s="222"/>
      <c r="AP17" s="222"/>
      <c r="AQ17" s="323"/>
    </row>
    <row r="18" spans="1:43" s="286" customFormat="1">
      <c r="A18" s="219" t="s">
        <v>8272</v>
      </c>
      <c r="B18" s="219" t="s">
        <v>8275</v>
      </c>
      <c r="C18" s="745"/>
      <c r="D18" s="219">
        <f t="shared" si="0"/>
        <v>21</v>
      </c>
      <c r="E18" s="319">
        <v>1</v>
      </c>
      <c r="F18" s="319"/>
      <c r="G18" s="320"/>
      <c r="H18" s="235"/>
      <c r="I18" s="235"/>
      <c r="J18" s="235"/>
      <c r="K18" s="321"/>
      <c r="L18" s="320"/>
      <c r="M18" s="235"/>
      <c r="N18" s="235"/>
      <c r="O18" s="235"/>
      <c r="P18" s="321"/>
      <c r="Q18" s="322"/>
      <c r="R18" s="235"/>
      <c r="S18" s="235"/>
      <c r="T18" s="235"/>
      <c r="U18" s="235"/>
      <c r="V18" s="235"/>
      <c r="W18" s="322"/>
      <c r="X18" s="235">
        <v>3</v>
      </c>
      <c r="Y18" s="235">
        <v>1</v>
      </c>
      <c r="Z18" s="235">
        <v>1</v>
      </c>
      <c r="AA18" s="235"/>
      <c r="AB18" s="324">
        <v>1</v>
      </c>
      <c r="AC18" s="235"/>
      <c r="AD18" s="235"/>
      <c r="AE18" s="324">
        <v>1</v>
      </c>
      <c r="AF18" s="235"/>
      <c r="AG18" s="235"/>
      <c r="AH18" s="321"/>
      <c r="AI18" s="325" t="s">
        <v>8276</v>
      </c>
      <c r="AJ18" s="235"/>
      <c r="AK18" s="235"/>
      <c r="AL18" s="235"/>
      <c r="AM18" s="235"/>
      <c r="AN18" s="235"/>
      <c r="AO18" s="222"/>
      <c r="AP18" s="222"/>
      <c r="AQ18" s="323"/>
    </row>
    <row r="19" spans="1:43" s="286" customFormat="1">
      <c r="A19" s="219" t="s">
        <v>8272</v>
      </c>
      <c r="B19" s="219" t="s">
        <v>8277</v>
      </c>
      <c r="C19" s="745"/>
      <c r="D19" s="219">
        <f t="shared" si="0"/>
        <v>21</v>
      </c>
      <c r="E19" s="319">
        <v>1</v>
      </c>
      <c r="F19" s="319"/>
      <c r="G19" s="320"/>
      <c r="H19" s="235"/>
      <c r="I19" s="235"/>
      <c r="J19" s="235"/>
      <c r="K19" s="321"/>
      <c r="L19" s="320"/>
      <c r="M19" s="235"/>
      <c r="N19" s="235"/>
      <c r="O19" s="235"/>
      <c r="P19" s="321"/>
      <c r="Q19" s="322"/>
      <c r="R19" s="235"/>
      <c r="S19" s="235"/>
      <c r="T19" s="235"/>
      <c r="U19" s="235"/>
      <c r="V19" s="235"/>
      <c r="W19" s="322"/>
      <c r="X19" s="235">
        <v>5</v>
      </c>
      <c r="Y19" s="235"/>
      <c r="Z19" s="235"/>
      <c r="AA19" s="324">
        <v>2</v>
      </c>
      <c r="AB19" s="235"/>
      <c r="AC19" s="235"/>
      <c r="AD19" s="235"/>
      <c r="AE19" s="235"/>
      <c r="AF19" s="235"/>
      <c r="AG19" s="235"/>
      <c r="AH19" s="321"/>
      <c r="AI19" s="325" t="s">
        <v>8278</v>
      </c>
      <c r="AJ19" s="235"/>
      <c r="AK19" s="235"/>
      <c r="AL19" s="235"/>
      <c r="AM19" s="235"/>
      <c r="AN19" s="235"/>
      <c r="AO19" s="222"/>
      <c r="AP19" s="222"/>
      <c r="AQ19" s="323"/>
    </row>
    <row r="20" spans="1:43" s="286" customFormat="1">
      <c r="A20" s="219" t="s">
        <v>8256</v>
      </c>
      <c r="B20" s="219" t="s">
        <v>8263</v>
      </c>
      <c r="C20" s="745"/>
      <c r="D20" s="219">
        <f t="shared" si="0"/>
        <v>21</v>
      </c>
      <c r="E20" s="319">
        <v>1</v>
      </c>
      <c r="F20" s="319"/>
      <c r="G20" s="320"/>
      <c r="H20" s="235"/>
      <c r="I20" s="235"/>
      <c r="J20" s="235"/>
      <c r="K20" s="321"/>
      <c r="L20" s="320">
        <v>18</v>
      </c>
      <c r="M20" s="235"/>
      <c r="N20" s="235"/>
      <c r="O20" s="235"/>
      <c r="P20" s="321"/>
      <c r="Q20" s="322"/>
      <c r="R20" s="235">
        <v>1</v>
      </c>
      <c r="S20" s="235"/>
      <c r="T20" s="235"/>
      <c r="U20" s="235"/>
      <c r="V20" s="235"/>
      <c r="W20" s="322"/>
      <c r="X20" s="235"/>
      <c r="Y20" s="235"/>
      <c r="Z20" s="235"/>
      <c r="AA20" s="235"/>
      <c r="AB20" s="235"/>
      <c r="AC20" s="235"/>
      <c r="AD20" s="235"/>
      <c r="AE20" s="235"/>
      <c r="AF20" s="235"/>
      <c r="AG20" s="235"/>
      <c r="AH20" s="321"/>
      <c r="AI20" s="235"/>
      <c r="AJ20" s="235"/>
      <c r="AK20" s="235"/>
      <c r="AL20" s="235"/>
      <c r="AM20" s="235"/>
      <c r="AN20" s="235"/>
      <c r="AO20" s="222"/>
      <c r="AP20" s="222"/>
      <c r="AQ20" s="323"/>
    </row>
    <row r="21" spans="1:43" s="286" customFormat="1">
      <c r="A21" s="219" t="s">
        <v>8272</v>
      </c>
      <c r="B21" s="219" t="s">
        <v>8291</v>
      </c>
      <c r="C21" s="745"/>
      <c r="D21" s="219">
        <f t="shared" si="0"/>
        <v>24</v>
      </c>
      <c r="E21" s="319">
        <v>1</v>
      </c>
      <c r="F21" s="319"/>
      <c r="G21" s="320">
        <v>3</v>
      </c>
      <c r="H21" s="235"/>
      <c r="I21" s="235"/>
      <c r="J21" s="235"/>
      <c r="K21" s="321"/>
      <c r="L21" s="320"/>
      <c r="M21" s="235"/>
      <c r="N21" s="235"/>
      <c r="O21" s="235"/>
      <c r="P21" s="321"/>
      <c r="Q21" s="322"/>
      <c r="R21" s="235"/>
      <c r="S21" s="235"/>
      <c r="T21" s="235"/>
      <c r="U21" s="235"/>
      <c r="V21" s="235"/>
      <c r="W21" s="322">
        <v>1</v>
      </c>
      <c r="X21" s="235"/>
      <c r="Y21" s="235"/>
      <c r="Z21" s="235">
        <v>1</v>
      </c>
      <c r="AA21" s="235">
        <v>1</v>
      </c>
      <c r="AB21" s="235"/>
      <c r="AC21" s="324">
        <v>1</v>
      </c>
      <c r="AD21" s="235"/>
      <c r="AE21" s="235"/>
      <c r="AF21" s="235"/>
      <c r="AG21" s="235"/>
      <c r="AH21" s="321"/>
      <c r="AI21" s="235"/>
      <c r="AJ21" s="235"/>
      <c r="AK21" s="235"/>
      <c r="AL21" s="235"/>
      <c r="AM21" s="235"/>
      <c r="AN21" s="235"/>
      <c r="AO21" s="222"/>
      <c r="AP21" s="222"/>
      <c r="AQ21" s="323"/>
    </row>
    <row r="22" spans="1:43" s="286" customFormat="1">
      <c r="A22" s="219" t="s">
        <v>8256</v>
      </c>
      <c r="B22" s="219" t="s">
        <v>8265</v>
      </c>
      <c r="C22" s="751"/>
      <c r="D22" s="219">
        <f t="shared" si="0"/>
        <v>24</v>
      </c>
      <c r="E22" s="319">
        <v>1</v>
      </c>
      <c r="F22" s="319"/>
      <c r="G22" s="320"/>
      <c r="H22" s="235">
        <v>1</v>
      </c>
      <c r="I22" s="235"/>
      <c r="J22" s="235"/>
      <c r="K22" s="321"/>
      <c r="L22" s="320">
        <v>9</v>
      </c>
      <c r="M22" s="235">
        <v>8</v>
      </c>
      <c r="N22" s="235"/>
      <c r="O22" s="235"/>
      <c r="P22" s="321"/>
      <c r="Q22" s="322"/>
      <c r="R22" s="235"/>
      <c r="S22" s="235">
        <v>1</v>
      </c>
      <c r="T22" s="235"/>
      <c r="U22" s="235"/>
      <c r="V22" s="235"/>
      <c r="W22" s="322"/>
      <c r="X22" s="235"/>
      <c r="Y22" s="235"/>
      <c r="Z22" s="235"/>
      <c r="AA22" s="235"/>
      <c r="AB22" s="235"/>
      <c r="AC22" s="235"/>
      <c r="AD22" s="235"/>
      <c r="AE22" s="235"/>
      <c r="AF22" s="235"/>
      <c r="AG22" s="235"/>
      <c r="AH22" s="321"/>
      <c r="AI22" s="235"/>
      <c r="AJ22" s="235"/>
      <c r="AK22" s="235"/>
      <c r="AL22" s="235"/>
      <c r="AM22" s="235"/>
      <c r="AN22" s="235"/>
      <c r="AO22" s="222"/>
      <c r="AP22" s="222"/>
      <c r="AQ22" s="323"/>
    </row>
    <row r="23" spans="1:43" s="286" customFormat="1">
      <c r="A23" s="219" t="s">
        <v>8272</v>
      </c>
      <c r="B23" s="219" t="s">
        <v>8283</v>
      </c>
      <c r="C23" s="750" t="s">
        <v>8299</v>
      </c>
      <c r="D23" s="219">
        <f t="shared" si="0"/>
        <v>25</v>
      </c>
      <c r="E23" s="319">
        <v>1</v>
      </c>
      <c r="F23" s="319"/>
      <c r="G23" s="320"/>
      <c r="H23" s="235"/>
      <c r="I23" s="235"/>
      <c r="J23" s="235"/>
      <c r="K23" s="321">
        <v>1</v>
      </c>
      <c r="L23" s="320">
        <v>5</v>
      </c>
      <c r="M23" s="235">
        <v>6</v>
      </c>
      <c r="N23" s="235">
        <v>6</v>
      </c>
      <c r="O23" s="235">
        <v>1</v>
      </c>
      <c r="P23" s="321"/>
      <c r="Q23" s="322"/>
      <c r="R23" s="235"/>
      <c r="S23" s="235"/>
      <c r="T23" s="235"/>
      <c r="U23" s="235"/>
      <c r="V23" s="235">
        <v>1</v>
      </c>
      <c r="W23" s="322"/>
      <c r="X23" s="235"/>
      <c r="Y23" s="235"/>
      <c r="Z23" s="235"/>
      <c r="AA23" s="235"/>
      <c r="AB23" s="235"/>
      <c r="AC23" s="235"/>
      <c r="AD23" s="235"/>
      <c r="AE23" s="235"/>
      <c r="AF23" s="235"/>
      <c r="AG23" s="235"/>
      <c r="AH23" s="321"/>
      <c r="AI23" s="235"/>
      <c r="AJ23" s="235"/>
      <c r="AK23" s="235"/>
      <c r="AL23" s="235"/>
      <c r="AM23" s="235"/>
      <c r="AN23" s="235"/>
      <c r="AO23" s="222"/>
      <c r="AP23" s="222"/>
      <c r="AQ23" s="323"/>
    </row>
    <row r="24" spans="1:43" s="286" customFormat="1">
      <c r="A24" s="219" t="s">
        <v>8256</v>
      </c>
      <c r="B24" s="219" t="s">
        <v>8257</v>
      </c>
      <c r="C24" s="745"/>
      <c r="D24" s="219">
        <f t="shared" si="0"/>
        <v>25</v>
      </c>
      <c r="E24" s="319">
        <v>1</v>
      </c>
      <c r="F24" s="319"/>
      <c r="G24" s="320"/>
      <c r="H24" s="301"/>
      <c r="I24" s="301"/>
      <c r="J24" s="301"/>
      <c r="K24" s="326"/>
      <c r="L24" s="320">
        <v>22</v>
      </c>
      <c r="M24" s="301"/>
      <c r="N24" s="301"/>
      <c r="O24" s="301"/>
      <c r="P24" s="326"/>
      <c r="Q24" s="320"/>
      <c r="R24" s="301">
        <v>1</v>
      </c>
      <c r="S24" s="301"/>
      <c r="T24" s="301"/>
      <c r="U24" s="301"/>
      <c r="V24" s="301"/>
      <c r="W24" s="320"/>
      <c r="X24" s="301"/>
      <c r="Y24" s="301"/>
      <c r="Z24" s="301"/>
      <c r="AA24" s="301"/>
      <c r="AB24" s="301"/>
      <c r="AC24" s="301"/>
      <c r="AD24" s="301"/>
      <c r="AE24" s="301"/>
      <c r="AF24" s="301"/>
      <c r="AG24" s="301"/>
      <c r="AH24" s="326"/>
      <c r="AI24" s="301"/>
      <c r="AJ24" s="301"/>
      <c r="AK24" s="301"/>
      <c r="AL24" s="301"/>
      <c r="AM24" s="301"/>
      <c r="AN24" s="301"/>
      <c r="AO24" s="317"/>
      <c r="AP24" s="317"/>
      <c r="AQ24" s="323"/>
    </row>
    <row r="25" spans="1:43" s="286" customFormat="1">
      <c r="A25" s="219" t="s">
        <v>8256</v>
      </c>
      <c r="B25" s="219" t="s">
        <v>8259</v>
      </c>
      <c r="C25" s="745"/>
      <c r="D25" s="219">
        <f t="shared" si="0"/>
        <v>25</v>
      </c>
      <c r="E25" s="319">
        <v>1</v>
      </c>
      <c r="F25" s="319"/>
      <c r="G25" s="320"/>
      <c r="H25" s="235"/>
      <c r="I25" s="235"/>
      <c r="J25" s="235"/>
      <c r="K25" s="321"/>
      <c r="L25" s="320">
        <v>22</v>
      </c>
      <c r="M25" s="235"/>
      <c r="N25" s="235"/>
      <c r="O25" s="235"/>
      <c r="P25" s="321"/>
      <c r="Q25" s="322"/>
      <c r="R25" s="235">
        <v>1</v>
      </c>
      <c r="S25" s="235"/>
      <c r="T25" s="235"/>
      <c r="U25" s="235"/>
      <c r="V25" s="235"/>
      <c r="W25" s="322"/>
      <c r="X25" s="235"/>
      <c r="Y25" s="235"/>
      <c r="Z25" s="235"/>
      <c r="AA25" s="235"/>
      <c r="AB25" s="235"/>
      <c r="AC25" s="235"/>
      <c r="AD25" s="235"/>
      <c r="AE25" s="235"/>
      <c r="AF25" s="235"/>
      <c r="AG25" s="235"/>
      <c r="AH25" s="321"/>
      <c r="AI25" s="235"/>
      <c r="AJ25" s="235"/>
      <c r="AK25" s="235"/>
      <c r="AL25" s="235"/>
      <c r="AM25" s="235"/>
      <c r="AN25" s="235"/>
      <c r="AO25" s="222"/>
      <c r="AP25" s="222"/>
      <c r="AQ25" s="323"/>
    </row>
    <row r="26" spans="1:43" s="286" customFormat="1">
      <c r="A26" s="219" t="s">
        <v>8256</v>
      </c>
      <c r="B26" s="219" t="s">
        <v>8271</v>
      </c>
      <c r="C26" s="751"/>
      <c r="D26" s="219">
        <f t="shared" si="0"/>
        <v>27</v>
      </c>
      <c r="E26" s="319">
        <v>1</v>
      </c>
      <c r="F26" s="319"/>
      <c r="G26" s="320"/>
      <c r="H26" s="235"/>
      <c r="I26" s="235"/>
      <c r="J26" s="235"/>
      <c r="K26" s="321">
        <v>1</v>
      </c>
      <c r="L26" s="320"/>
      <c r="M26" s="235">
        <v>17</v>
      </c>
      <c r="N26" s="235"/>
      <c r="O26" s="235">
        <v>1</v>
      </c>
      <c r="P26" s="321">
        <v>2</v>
      </c>
      <c r="Q26" s="322"/>
      <c r="R26" s="235"/>
      <c r="S26" s="235"/>
      <c r="T26" s="235"/>
      <c r="U26" s="235"/>
      <c r="V26" s="235">
        <v>1</v>
      </c>
      <c r="W26" s="322"/>
      <c r="X26" s="235"/>
      <c r="Y26" s="235"/>
      <c r="Z26" s="235"/>
      <c r="AA26" s="235"/>
      <c r="AB26" s="235"/>
      <c r="AC26" s="235"/>
      <c r="AD26" s="235"/>
      <c r="AE26" s="235"/>
      <c r="AF26" s="235"/>
      <c r="AG26" s="235"/>
      <c r="AH26" s="321"/>
      <c r="AI26" s="235"/>
      <c r="AJ26" s="235"/>
      <c r="AK26" s="235"/>
      <c r="AL26" s="235"/>
      <c r="AM26" s="235"/>
      <c r="AN26" s="235"/>
      <c r="AO26" s="222"/>
      <c r="AP26" s="222"/>
      <c r="AQ26" s="323"/>
    </row>
    <row r="27" spans="1:43" s="286" customFormat="1">
      <c r="A27" s="219" t="s">
        <v>8272</v>
      </c>
      <c r="B27" s="219" t="s">
        <v>8273</v>
      </c>
      <c r="C27" s="327" t="s">
        <v>8300</v>
      </c>
      <c r="D27" s="219">
        <f t="shared" si="0"/>
        <v>29</v>
      </c>
      <c r="E27" s="319">
        <v>1</v>
      </c>
      <c r="F27" s="319"/>
      <c r="G27" s="320"/>
      <c r="H27" s="235"/>
      <c r="I27" s="235"/>
      <c r="J27" s="235"/>
      <c r="K27" s="321">
        <v>1</v>
      </c>
      <c r="L27" s="320">
        <v>12</v>
      </c>
      <c r="M27" s="235">
        <v>5</v>
      </c>
      <c r="N27" s="235">
        <v>5</v>
      </c>
      <c r="O27" s="235"/>
      <c r="P27" s="321"/>
      <c r="Q27" s="322"/>
      <c r="R27" s="235"/>
      <c r="S27" s="235"/>
      <c r="T27" s="235"/>
      <c r="U27" s="235"/>
      <c r="V27" s="235">
        <v>1</v>
      </c>
      <c r="W27" s="322"/>
      <c r="X27" s="235"/>
      <c r="Y27" s="235"/>
      <c r="Z27" s="235"/>
      <c r="AA27" s="235"/>
      <c r="AB27" s="235"/>
      <c r="AC27" s="235"/>
      <c r="AD27" s="235"/>
      <c r="AE27" s="235"/>
      <c r="AF27" s="235"/>
      <c r="AG27" s="235"/>
      <c r="AH27" s="321"/>
      <c r="AI27" s="235"/>
      <c r="AJ27" s="235"/>
      <c r="AK27" s="235"/>
      <c r="AL27" s="235"/>
      <c r="AM27" s="235"/>
      <c r="AN27" s="235"/>
      <c r="AO27" s="222"/>
      <c r="AP27" s="222"/>
      <c r="AQ27" s="323"/>
    </row>
    <row r="28" spans="1:43" s="286" customFormat="1">
      <c r="A28" s="219" t="s">
        <v>8272</v>
      </c>
      <c r="B28" s="219" t="s">
        <v>8293</v>
      </c>
      <c r="C28" s="750" t="s">
        <v>8301</v>
      </c>
      <c r="D28" s="219">
        <f t="shared" si="0"/>
        <v>31</v>
      </c>
      <c r="E28" s="319">
        <v>1</v>
      </c>
      <c r="F28" s="319"/>
      <c r="G28" s="320">
        <v>4</v>
      </c>
      <c r="H28" s="235"/>
      <c r="I28" s="235"/>
      <c r="J28" s="235"/>
      <c r="K28" s="321"/>
      <c r="L28" s="320"/>
      <c r="M28" s="235"/>
      <c r="N28" s="235"/>
      <c r="O28" s="235"/>
      <c r="P28" s="321"/>
      <c r="Q28" s="322">
        <v>2</v>
      </c>
      <c r="R28" s="235"/>
      <c r="S28" s="235"/>
      <c r="T28" s="235">
        <v>1</v>
      </c>
      <c r="U28" s="235">
        <v>1</v>
      </c>
      <c r="V28" s="235"/>
      <c r="W28" s="322"/>
      <c r="X28" s="235"/>
      <c r="Y28" s="235"/>
      <c r="Z28" s="235"/>
      <c r="AA28" s="235"/>
      <c r="AB28" s="235"/>
      <c r="AC28" s="235">
        <v>1</v>
      </c>
      <c r="AD28" s="235"/>
      <c r="AE28" s="235"/>
      <c r="AF28" s="235"/>
      <c r="AG28" s="235"/>
      <c r="AH28" s="321"/>
      <c r="AI28" s="235"/>
      <c r="AJ28" s="235"/>
      <c r="AK28" s="235"/>
      <c r="AL28" s="235"/>
      <c r="AM28" s="235"/>
      <c r="AN28" s="235"/>
      <c r="AO28" s="222"/>
      <c r="AP28" s="222"/>
      <c r="AQ28" s="323"/>
    </row>
    <row r="29" spans="1:43" s="286" customFormat="1">
      <c r="A29" s="219" t="s">
        <v>8256</v>
      </c>
      <c r="B29" s="219" t="s">
        <v>8269</v>
      </c>
      <c r="C29" s="751"/>
      <c r="D29" s="219">
        <f t="shared" si="0"/>
        <v>33</v>
      </c>
      <c r="E29" s="319">
        <v>1</v>
      </c>
      <c r="F29" s="319"/>
      <c r="G29" s="320"/>
      <c r="H29" s="235">
        <v>1</v>
      </c>
      <c r="I29" s="235"/>
      <c r="J29" s="235"/>
      <c r="K29" s="321"/>
      <c r="L29" s="320">
        <v>5</v>
      </c>
      <c r="M29" s="235">
        <v>19</v>
      </c>
      <c r="N29" s="235">
        <v>1</v>
      </c>
      <c r="O29" s="235">
        <v>1</v>
      </c>
      <c r="P29" s="321"/>
      <c r="Q29" s="322"/>
      <c r="R29" s="235">
        <v>1</v>
      </c>
      <c r="S29" s="235"/>
      <c r="T29" s="235"/>
      <c r="U29" s="235"/>
      <c r="V29" s="235"/>
      <c r="W29" s="322"/>
      <c r="X29" s="235"/>
      <c r="Y29" s="235"/>
      <c r="Z29" s="235"/>
      <c r="AA29" s="235"/>
      <c r="AB29" s="235"/>
      <c r="AC29" s="235"/>
      <c r="AD29" s="235"/>
      <c r="AE29" s="235"/>
      <c r="AF29" s="235"/>
      <c r="AG29" s="235"/>
      <c r="AH29" s="321"/>
      <c r="AI29" s="235"/>
      <c r="AJ29" s="235"/>
      <c r="AK29" s="235"/>
      <c r="AL29" s="235"/>
      <c r="AM29" s="235"/>
      <c r="AN29" s="235"/>
      <c r="AO29" s="222"/>
      <c r="AP29" s="222"/>
      <c r="AQ29" s="323"/>
    </row>
    <row r="30" spans="1:43" s="286" customFormat="1">
      <c r="A30" s="219" t="s">
        <v>8272</v>
      </c>
      <c r="B30" s="219" t="s">
        <v>8294</v>
      </c>
      <c r="C30" s="750" t="s">
        <v>8302</v>
      </c>
      <c r="D30" s="219">
        <f t="shared" si="0"/>
        <v>37</v>
      </c>
      <c r="E30" s="319">
        <v>1</v>
      </c>
      <c r="F30" s="319"/>
      <c r="G30" s="320"/>
      <c r="H30" s="235">
        <v>1</v>
      </c>
      <c r="I30" s="235"/>
      <c r="J30" s="235"/>
      <c r="K30" s="321"/>
      <c r="L30" s="320">
        <v>30</v>
      </c>
      <c r="M30" s="235"/>
      <c r="N30" s="235"/>
      <c r="O30" s="235"/>
      <c r="P30" s="321"/>
      <c r="Q30" s="322"/>
      <c r="R30" s="235"/>
      <c r="S30" s="235">
        <v>1</v>
      </c>
      <c r="T30" s="235"/>
      <c r="U30" s="235"/>
      <c r="V30" s="235"/>
      <c r="W30" s="322"/>
      <c r="X30" s="235"/>
      <c r="Y30" s="235"/>
      <c r="Z30" s="235"/>
      <c r="AA30" s="235"/>
      <c r="AB30" s="235"/>
      <c r="AC30" s="235"/>
      <c r="AD30" s="235"/>
      <c r="AE30" s="235"/>
      <c r="AF30" s="235"/>
      <c r="AG30" s="235"/>
      <c r="AH30" s="321"/>
      <c r="AI30" s="235"/>
      <c r="AJ30" s="235"/>
      <c r="AK30" s="235"/>
      <c r="AL30" s="235"/>
      <c r="AM30" s="235"/>
      <c r="AN30" s="235"/>
      <c r="AO30" s="222"/>
      <c r="AP30" s="222"/>
      <c r="AQ30" s="323"/>
    </row>
    <row r="31" spans="1:43" s="286" customFormat="1">
      <c r="A31" s="219" t="s">
        <v>8272</v>
      </c>
      <c r="B31" s="219" t="s">
        <v>8295</v>
      </c>
      <c r="C31" s="751"/>
      <c r="D31" s="219">
        <f t="shared" si="0"/>
        <v>39</v>
      </c>
      <c r="E31" s="319">
        <v>1</v>
      </c>
      <c r="F31" s="319"/>
      <c r="G31" s="320"/>
      <c r="H31" s="235">
        <v>1</v>
      </c>
      <c r="I31" s="235"/>
      <c r="J31" s="235"/>
      <c r="K31" s="321"/>
      <c r="L31" s="320">
        <v>31</v>
      </c>
      <c r="M31" s="235">
        <v>1</v>
      </c>
      <c r="N31" s="235"/>
      <c r="O31" s="235"/>
      <c r="P31" s="321"/>
      <c r="Q31" s="322"/>
      <c r="R31" s="235"/>
      <c r="S31" s="235">
        <v>1</v>
      </c>
      <c r="T31" s="235"/>
      <c r="U31" s="235"/>
      <c r="V31" s="235"/>
      <c r="W31" s="322"/>
      <c r="X31" s="235"/>
      <c r="Y31" s="235"/>
      <c r="Z31" s="235"/>
      <c r="AA31" s="235"/>
      <c r="AB31" s="235"/>
      <c r="AC31" s="235"/>
      <c r="AD31" s="235"/>
      <c r="AE31" s="235"/>
      <c r="AF31" s="235"/>
      <c r="AG31" s="235"/>
      <c r="AH31" s="321"/>
      <c r="AI31" s="235"/>
      <c r="AJ31" s="235"/>
      <c r="AK31" s="235"/>
      <c r="AL31" s="235"/>
      <c r="AM31" s="235"/>
      <c r="AN31" s="235"/>
      <c r="AO31" s="222"/>
      <c r="AP31" s="222"/>
      <c r="AQ31" s="323"/>
    </row>
    <row r="32" spans="1:43" s="286" customFormat="1">
      <c r="A32" s="219" t="s">
        <v>8272</v>
      </c>
      <c r="B32" s="219" t="s">
        <v>8284</v>
      </c>
      <c r="C32" s="750" t="s">
        <v>8303</v>
      </c>
      <c r="D32" s="219">
        <f t="shared" si="0"/>
        <v>44</v>
      </c>
      <c r="E32" s="319">
        <v>1</v>
      </c>
      <c r="F32" s="319"/>
      <c r="G32" s="320">
        <v>2</v>
      </c>
      <c r="H32" s="235"/>
      <c r="I32" s="235"/>
      <c r="J32" s="235">
        <v>1</v>
      </c>
      <c r="K32" s="321"/>
      <c r="L32" s="320">
        <v>5</v>
      </c>
      <c r="M32" s="235">
        <v>24</v>
      </c>
      <c r="N32" s="235"/>
      <c r="O32" s="235"/>
      <c r="P32" s="321"/>
      <c r="Q32" s="322"/>
      <c r="R32" s="235"/>
      <c r="S32" s="235"/>
      <c r="T32" s="235"/>
      <c r="U32" s="235">
        <v>1</v>
      </c>
      <c r="V32" s="235"/>
      <c r="W32" s="322"/>
      <c r="X32" s="235"/>
      <c r="Y32" s="235"/>
      <c r="Z32" s="235"/>
      <c r="AA32" s="235"/>
      <c r="AB32" s="235"/>
      <c r="AC32" s="235"/>
      <c r="AD32" s="235"/>
      <c r="AE32" s="235"/>
      <c r="AF32" s="235"/>
      <c r="AG32" s="235"/>
      <c r="AH32" s="321"/>
      <c r="AI32" s="235"/>
      <c r="AJ32" s="235"/>
      <c r="AK32" s="235"/>
      <c r="AL32" s="235"/>
      <c r="AM32" s="235"/>
      <c r="AN32" s="235"/>
      <c r="AO32" s="222"/>
      <c r="AP32" s="222"/>
      <c r="AQ32" s="323"/>
    </row>
    <row r="33" spans="1:43 16382:16382" s="286" customFormat="1">
      <c r="A33" s="219" t="s">
        <v>8256</v>
      </c>
      <c r="B33" s="219" t="s">
        <v>8268</v>
      </c>
      <c r="C33" s="751"/>
      <c r="D33" s="219">
        <f t="shared" si="0"/>
        <v>55</v>
      </c>
      <c r="E33" s="319">
        <v>1</v>
      </c>
      <c r="F33" s="319"/>
      <c r="G33" s="320"/>
      <c r="H33" s="235"/>
      <c r="I33" s="235"/>
      <c r="J33" s="235">
        <v>2</v>
      </c>
      <c r="K33" s="321"/>
      <c r="L33" s="320">
        <v>13</v>
      </c>
      <c r="M33" s="235">
        <v>22</v>
      </c>
      <c r="N33" s="235">
        <v>4</v>
      </c>
      <c r="O33" s="235">
        <v>2</v>
      </c>
      <c r="P33" s="321"/>
      <c r="Q33" s="322">
        <v>1</v>
      </c>
      <c r="R33" s="235"/>
      <c r="S33" s="235"/>
      <c r="T33" s="235"/>
      <c r="U33" s="235"/>
      <c r="V33" s="235"/>
      <c r="W33" s="322"/>
      <c r="X33" s="235"/>
      <c r="Y33" s="235"/>
      <c r="Z33" s="235"/>
      <c r="AA33" s="235"/>
      <c r="AB33" s="235"/>
      <c r="AC33" s="235"/>
      <c r="AD33" s="235">
        <v>1</v>
      </c>
      <c r="AE33" s="235"/>
      <c r="AF33" s="235"/>
      <c r="AG33" s="235"/>
      <c r="AH33" s="321"/>
      <c r="AI33" s="235"/>
      <c r="AJ33" s="235"/>
      <c r="AK33" s="235"/>
      <c r="AL33" s="235"/>
      <c r="AM33" s="235"/>
      <c r="AN33" s="235"/>
      <c r="AO33" s="222"/>
      <c r="AP33" s="222"/>
      <c r="AQ33" s="323"/>
    </row>
    <row r="34" spans="1:43 16382:16382" s="495" customFormat="1">
      <c r="A34" s="486" t="s">
        <v>8272</v>
      </c>
      <c r="B34" s="486" t="s">
        <v>8279</v>
      </c>
      <c r="C34" s="486"/>
      <c r="D34" s="486">
        <f t="shared" si="0"/>
        <v>69</v>
      </c>
      <c r="E34" s="487"/>
      <c r="F34" s="487">
        <v>1</v>
      </c>
      <c r="G34" s="488"/>
      <c r="H34" s="489"/>
      <c r="I34" s="489"/>
      <c r="J34" s="489"/>
      <c r="K34" s="490"/>
      <c r="L34" s="488"/>
      <c r="M34" s="489"/>
      <c r="N34" s="489"/>
      <c r="O34" s="489"/>
      <c r="P34" s="490"/>
      <c r="Q34" s="491"/>
      <c r="R34" s="489"/>
      <c r="S34" s="489"/>
      <c r="T34" s="489"/>
      <c r="U34" s="489"/>
      <c r="V34" s="489"/>
      <c r="W34" s="491">
        <v>4</v>
      </c>
      <c r="X34" s="489">
        <v>5</v>
      </c>
      <c r="Y34" s="489">
        <v>3</v>
      </c>
      <c r="Z34" s="489">
        <v>1</v>
      </c>
      <c r="AA34" s="489">
        <v>2</v>
      </c>
      <c r="AB34" s="489">
        <v>4</v>
      </c>
      <c r="AC34" s="489"/>
      <c r="AD34" s="489">
        <v>1</v>
      </c>
      <c r="AE34" s="489"/>
      <c r="AF34" s="489">
        <v>1</v>
      </c>
      <c r="AG34" s="489">
        <v>1</v>
      </c>
      <c r="AH34" s="492">
        <v>1</v>
      </c>
      <c r="AI34" s="489"/>
      <c r="AJ34" s="489"/>
      <c r="AK34" s="489"/>
      <c r="AL34" s="489"/>
      <c r="AM34" s="489"/>
      <c r="AN34" s="489"/>
      <c r="AO34" s="493"/>
      <c r="AP34" s="493"/>
      <c r="AQ34" s="494"/>
    </row>
    <row r="35" spans="1:43 16382:16382" s="286" customFormat="1" ht="19.5" customHeight="1">
      <c r="A35" s="323"/>
      <c r="E35" s="328">
        <f>SUM(E7:E34)</f>
        <v>27</v>
      </c>
      <c r="F35" s="328">
        <f t="shared" ref="F35:AH35" si="1">SUM(F7:F34)</f>
        <v>1</v>
      </c>
      <c r="G35" s="328">
        <f t="shared" si="1"/>
        <v>11</v>
      </c>
      <c r="H35" s="328">
        <f t="shared" si="1"/>
        <v>8</v>
      </c>
      <c r="I35" s="328">
        <f t="shared" si="1"/>
        <v>1</v>
      </c>
      <c r="J35" s="328">
        <f t="shared" si="1"/>
        <v>3</v>
      </c>
      <c r="K35" s="328">
        <f t="shared" si="1"/>
        <v>3</v>
      </c>
      <c r="L35" s="329">
        <f t="shared" si="1"/>
        <v>221</v>
      </c>
      <c r="M35" s="329">
        <f t="shared" si="1"/>
        <v>119</v>
      </c>
      <c r="N35" s="329">
        <f t="shared" si="1"/>
        <v>20</v>
      </c>
      <c r="O35" s="329">
        <f t="shared" si="1"/>
        <v>14</v>
      </c>
      <c r="P35" s="329">
        <f t="shared" si="1"/>
        <v>2</v>
      </c>
      <c r="Q35" s="329">
        <f t="shared" si="1"/>
        <v>3</v>
      </c>
      <c r="R35" s="329">
        <f t="shared" si="1"/>
        <v>10</v>
      </c>
      <c r="S35" s="329">
        <f t="shared" si="1"/>
        <v>5</v>
      </c>
      <c r="T35" s="329">
        <f t="shared" si="1"/>
        <v>3</v>
      </c>
      <c r="U35" s="329">
        <f t="shared" si="1"/>
        <v>2</v>
      </c>
      <c r="V35" s="329">
        <f t="shared" si="1"/>
        <v>3</v>
      </c>
      <c r="W35" s="329">
        <f t="shared" si="1"/>
        <v>5</v>
      </c>
      <c r="X35" s="329">
        <f t="shared" si="1"/>
        <v>14</v>
      </c>
      <c r="Y35" s="329">
        <f t="shared" si="1"/>
        <v>4</v>
      </c>
      <c r="Z35" s="329">
        <f t="shared" si="1"/>
        <v>3</v>
      </c>
      <c r="AA35" s="329">
        <f t="shared" si="1"/>
        <v>5</v>
      </c>
      <c r="AB35" s="329">
        <f t="shared" si="1"/>
        <v>7</v>
      </c>
      <c r="AC35" s="329">
        <f t="shared" si="1"/>
        <v>4</v>
      </c>
      <c r="AD35" s="329">
        <f t="shared" si="1"/>
        <v>2</v>
      </c>
      <c r="AE35" s="329">
        <f t="shared" si="1"/>
        <v>1</v>
      </c>
      <c r="AF35" s="329">
        <f t="shared" si="1"/>
        <v>1</v>
      </c>
      <c r="AG35" s="329">
        <f t="shared" si="1"/>
        <v>2</v>
      </c>
      <c r="AH35" s="329">
        <f t="shared" si="1"/>
        <v>1</v>
      </c>
      <c r="AI35" s="329"/>
      <c r="AJ35" s="329"/>
      <c r="AK35" s="329"/>
      <c r="AL35" s="329"/>
      <c r="AM35" s="329"/>
      <c r="AN35" s="329"/>
      <c r="AO35" s="323"/>
      <c r="AP35" s="323"/>
      <c r="AQ35" s="323"/>
      <c r="XFB35" s="329"/>
    </row>
  </sheetData>
  <autoFilter ref="A6:AQ6">
    <sortState ref="A7:AS38">
      <sortCondition ref="D6"/>
    </sortState>
  </autoFilter>
  <mergeCells count="14">
    <mergeCell ref="B3:AF3"/>
    <mergeCell ref="A1:AH1"/>
    <mergeCell ref="B2:AF2"/>
    <mergeCell ref="L5:P5"/>
    <mergeCell ref="Q5:V5"/>
    <mergeCell ref="W5:AH5"/>
    <mergeCell ref="G5:K5"/>
    <mergeCell ref="C28:C29"/>
    <mergeCell ref="C30:C31"/>
    <mergeCell ref="C32:C33"/>
    <mergeCell ref="C7:C9"/>
    <mergeCell ref="C10:C15"/>
    <mergeCell ref="C16:C22"/>
    <mergeCell ref="C23:C26"/>
  </mergeCells>
  <pageMargins left="0.77" right="0.47" top="1.0236220472440944" bottom="0.78740157480314965" header="0.35433070866141736" footer="0.31496062992125984"/>
  <pageSetup paperSize="9" scale="33" fitToHeight="30" orientation="portrait" r:id="rId1"/>
  <headerFooter>
    <oddHeader>&amp;L&amp;G&amp;C&amp;"Arial,Negrito"Fundação Universidade de Brasília&amp;"Arial,Normal"
Diretoria de Gestão de Infraestrutura</oddHeader>
    <oddFooter>&amp;C&amp;8Prédio Multiuso I, Bloco C, Sala 24/2 - Brasília/DF - CEP: 70.910-900
Tel: (061) 3107- 6144 - Email: dgi@unb.br – Home page: http://www.unb.br
&amp;RPágina &amp;P de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tabColor theme="6"/>
    <pageSetUpPr fitToPage="1"/>
  </sheetPr>
  <dimension ref="A1:Y79"/>
  <sheetViews>
    <sheetView view="pageBreakPreview" topLeftCell="A18" zoomScaleNormal="100" zoomScaleSheetLayoutView="100" workbookViewId="0">
      <selection activeCell="B32" sqref="B32"/>
    </sheetView>
  </sheetViews>
  <sheetFormatPr defaultRowHeight="12.75"/>
  <cols>
    <col min="1" max="1" width="13" style="8" customWidth="1"/>
    <col min="2" max="2" width="70.5703125" style="9" customWidth="1"/>
    <col min="3" max="3" width="15" style="436" customWidth="1"/>
    <col min="4" max="5" width="13.28515625" style="2" hidden="1" customWidth="1"/>
    <col min="6" max="7" width="15" style="436" customWidth="1"/>
    <col min="8" max="16384" width="9.140625" style="4"/>
  </cols>
  <sheetData>
    <row r="1" spans="1:25" ht="15">
      <c r="A1" s="140"/>
      <c r="B1" s="39"/>
      <c r="C1" s="429"/>
      <c r="D1" s="141"/>
      <c r="E1" s="141"/>
      <c r="F1" s="429"/>
      <c r="G1" s="429"/>
    </row>
    <row r="2" spans="1:25" ht="15">
      <c r="A2" s="685" t="s">
        <v>35</v>
      </c>
      <c r="B2" s="685"/>
      <c r="C2" s="685"/>
      <c r="D2" s="685"/>
      <c r="E2" s="685"/>
      <c r="F2" s="685"/>
      <c r="G2" s="685"/>
    </row>
    <row r="3" spans="1:25" ht="15">
      <c r="A3" s="685" t="s">
        <v>36</v>
      </c>
      <c r="B3" s="685"/>
      <c r="C3" s="685"/>
      <c r="D3" s="685"/>
      <c r="E3" s="685"/>
      <c r="F3" s="685"/>
      <c r="G3" s="685"/>
    </row>
    <row r="4" spans="1:25" ht="15">
      <c r="A4" s="685" t="s">
        <v>5924</v>
      </c>
      <c r="B4" s="685"/>
      <c r="C4" s="685"/>
      <c r="D4" s="685"/>
      <c r="E4" s="685"/>
      <c r="F4" s="685"/>
      <c r="G4" s="685"/>
    </row>
    <row r="5" spans="1:25" ht="15">
      <c r="A5" s="33"/>
      <c r="B5" s="34" t="s">
        <v>29</v>
      </c>
      <c r="C5" s="428"/>
      <c r="D5" s="41"/>
      <c r="E5" s="41"/>
      <c r="F5" s="428"/>
      <c r="G5" s="428"/>
    </row>
    <row r="6" spans="1:25" ht="15">
      <c r="A6" s="33"/>
      <c r="B6" s="34"/>
      <c r="C6" s="429"/>
      <c r="D6" s="141"/>
      <c r="E6" s="141"/>
      <c r="F6" s="429"/>
      <c r="G6" s="429"/>
    </row>
    <row r="7" spans="1:25" ht="21">
      <c r="A7" s="689" t="s">
        <v>15496</v>
      </c>
      <c r="B7" s="689"/>
      <c r="C7" s="689"/>
      <c r="D7" s="689"/>
      <c r="E7" s="689"/>
      <c r="F7" s="689"/>
      <c r="G7" s="689"/>
    </row>
    <row r="8" spans="1:25" ht="15">
      <c r="A8" s="33"/>
      <c r="B8" s="34"/>
      <c r="C8" s="428"/>
      <c r="D8" s="41"/>
      <c r="E8" s="41"/>
      <c r="F8" s="428"/>
      <c r="G8" s="428"/>
    </row>
    <row r="9" spans="1:25" s="380" customFormat="1" ht="15">
      <c r="A9" s="43" t="s">
        <v>5251</v>
      </c>
      <c r="B9" s="71" t="s">
        <v>9600</v>
      </c>
      <c r="C9" s="71"/>
      <c r="D9" s="71"/>
      <c r="E9" s="71"/>
      <c r="F9" s="71"/>
      <c r="G9" s="71"/>
      <c r="H9" s="4"/>
      <c r="I9" s="4"/>
      <c r="J9" s="4"/>
      <c r="K9" s="4"/>
      <c r="L9" s="4"/>
      <c r="M9" s="4"/>
      <c r="N9" s="4"/>
      <c r="O9" s="4"/>
      <c r="P9" s="4"/>
      <c r="Q9" s="4"/>
      <c r="R9" s="4"/>
      <c r="S9" s="4"/>
      <c r="T9" s="4"/>
      <c r="U9" s="4"/>
      <c r="V9" s="4"/>
      <c r="W9" s="4"/>
      <c r="X9" s="4"/>
      <c r="Y9" s="4"/>
    </row>
    <row r="10" spans="1:25" s="380" customFormat="1" ht="15">
      <c r="A10" s="43" t="s">
        <v>131</v>
      </c>
      <c r="B10" s="71" t="s">
        <v>7854</v>
      </c>
      <c r="C10" s="71"/>
      <c r="D10" s="71"/>
      <c r="E10" s="71"/>
      <c r="F10" s="71"/>
      <c r="G10" s="71"/>
      <c r="H10" s="4"/>
      <c r="I10" s="4"/>
      <c r="J10" s="4"/>
      <c r="K10" s="4"/>
      <c r="L10" s="4"/>
      <c r="M10" s="4"/>
      <c r="N10" s="4"/>
      <c r="O10" s="4"/>
      <c r="P10" s="4"/>
      <c r="Q10" s="4"/>
      <c r="R10" s="4"/>
      <c r="S10" s="4"/>
      <c r="T10" s="4"/>
      <c r="U10" s="4"/>
      <c r="V10" s="4"/>
      <c r="W10" s="4"/>
      <c r="X10" s="4"/>
      <c r="Y10" s="4"/>
    </row>
    <row r="11" spans="1:25" s="380" customFormat="1" ht="15">
      <c r="A11" s="43" t="s">
        <v>5252</v>
      </c>
      <c r="B11" s="71" t="s">
        <v>15460</v>
      </c>
      <c r="C11" s="71"/>
      <c r="D11" s="71"/>
      <c r="E11" s="71"/>
      <c r="F11" s="71"/>
      <c r="G11" s="71"/>
      <c r="H11" s="4"/>
      <c r="I11" s="4"/>
      <c r="J11" s="4"/>
      <c r="K11" s="4"/>
      <c r="L11" s="4"/>
      <c r="M11" s="4"/>
      <c r="N11" s="4"/>
      <c r="O11" s="4"/>
      <c r="P11" s="4"/>
      <c r="Q11" s="4"/>
      <c r="R11" s="4"/>
      <c r="S11" s="4"/>
      <c r="T11" s="4"/>
      <c r="U11" s="4"/>
      <c r="V11" s="4"/>
      <c r="W11" s="4"/>
      <c r="X11" s="4"/>
      <c r="Y11" s="4"/>
    </row>
    <row r="12" spans="1:25" ht="15">
      <c r="A12" s="688" t="s">
        <v>5796</v>
      </c>
      <c r="B12" s="688"/>
      <c r="C12" s="688"/>
      <c r="D12" s="688"/>
      <c r="E12" s="688"/>
      <c r="F12" s="688"/>
      <c r="G12" s="688"/>
    </row>
    <row r="13" spans="1:25" s="6" customFormat="1" ht="15">
      <c r="A13" s="497" t="s">
        <v>0</v>
      </c>
      <c r="B13" s="23" t="s">
        <v>1</v>
      </c>
      <c r="C13" s="430" t="s">
        <v>133</v>
      </c>
      <c r="D13" s="182" t="s">
        <v>12</v>
      </c>
      <c r="E13" s="182" t="s">
        <v>6735</v>
      </c>
      <c r="F13" s="430"/>
      <c r="G13" s="430"/>
    </row>
    <row r="14" spans="1:25" s="512" customFormat="1" ht="45">
      <c r="A14" s="338" t="s">
        <v>8793</v>
      </c>
      <c r="B14" s="336" t="s">
        <v>8792</v>
      </c>
      <c r="C14" s="431">
        <v>16229.1</v>
      </c>
      <c r="D14" s="339">
        <v>51.4</v>
      </c>
      <c r="E14" s="339">
        <v>13.84</v>
      </c>
      <c r="F14" s="431"/>
      <c r="G14" s="431"/>
    </row>
    <row r="15" spans="1:25" s="512" customFormat="1" ht="45">
      <c r="A15" s="338" t="s">
        <v>8817</v>
      </c>
      <c r="B15" s="336" t="s">
        <v>8827</v>
      </c>
      <c r="C15" s="431">
        <v>14877.85</v>
      </c>
      <c r="D15" s="339">
        <v>47.96</v>
      </c>
      <c r="E15" s="339">
        <v>12.92</v>
      </c>
      <c r="F15" s="431"/>
      <c r="G15" s="431"/>
    </row>
    <row r="16" spans="1:25" s="512" customFormat="1" ht="45">
      <c r="A16" s="338" t="s">
        <v>7948</v>
      </c>
      <c r="B16" s="336" t="s">
        <v>8935</v>
      </c>
      <c r="C16" s="431">
        <v>13615.24</v>
      </c>
      <c r="D16" s="339">
        <v>82.01</v>
      </c>
      <c r="E16" s="339">
        <v>22.09</v>
      </c>
      <c r="F16" s="431"/>
      <c r="G16" s="431"/>
    </row>
    <row r="17" spans="1:7" s="512" customFormat="1" ht="30">
      <c r="A17" s="338" t="s">
        <v>8642</v>
      </c>
      <c r="B17" s="336" t="s">
        <v>9283</v>
      </c>
      <c r="C17" s="431">
        <v>12114</v>
      </c>
      <c r="D17" s="339">
        <v>106.03999999999999</v>
      </c>
      <c r="E17" s="339">
        <v>28.56</v>
      </c>
      <c r="F17" s="431"/>
      <c r="G17" s="431"/>
    </row>
    <row r="18" spans="1:7" s="512" customFormat="1" ht="30">
      <c r="A18" s="338" t="s">
        <v>8799</v>
      </c>
      <c r="B18" s="336" t="s">
        <v>8798</v>
      </c>
      <c r="C18" s="431">
        <v>7995.64</v>
      </c>
      <c r="D18" s="339">
        <v>324.19999999999993</v>
      </c>
      <c r="E18" s="339">
        <v>87.31</v>
      </c>
      <c r="F18" s="431"/>
      <c r="G18" s="431"/>
    </row>
    <row r="19" spans="1:7" s="512" customFormat="1" ht="45">
      <c r="A19" s="338" t="s">
        <v>7949</v>
      </c>
      <c r="B19" s="336" t="s">
        <v>6869</v>
      </c>
      <c r="C19" s="431">
        <v>7694.38</v>
      </c>
      <c r="D19" s="339">
        <v>46.35</v>
      </c>
      <c r="E19" s="339">
        <v>12.48</v>
      </c>
      <c r="F19" s="431"/>
      <c r="G19" s="431"/>
    </row>
    <row r="20" spans="1:7" s="512" customFormat="1" ht="30">
      <c r="A20" s="338" t="s">
        <v>8796</v>
      </c>
      <c r="B20" s="336" t="s">
        <v>8794</v>
      </c>
      <c r="C20" s="431">
        <v>5055.08</v>
      </c>
      <c r="D20" s="339">
        <v>7.45</v>
      </c>
      <c r="E20" s="339">
        <v>2.0099999999999998</v>
      </c>
      <c r="F20" s="431"/>
      <c r="G20" s="431"/>
    </row>
    <row r="21" spans="1:7" s="512" customFormat="1" ht="45">
      <c r="A21" s="338" t="s">
        <v>8773</v>
      </c>
      <c r="B21" s="336" t="s">
        <v>8764</v>
      </c>
      <c r="C21" s="431">
        <v>4375.75</v>
      </c>
      <c r="D21" s="339">
        <v>57.37</v>
      </c>
      <c r="E21" s="339">
        <v>15.45</v>
      </c>
      <c r="F21" s="431"/>
      <c r="G21" s="431"/>
    </row>
    <row r="22" spans="1:7" s="512" customFormat="1" ht="30">
      <c r="A22" s="338" t="s">
        <v>8649</v>
      </c>
      <c r="B22" s="336" t="s">
        <v>8653</v>
      </c>
      <c r="C22" s="431">
        <v>3318.13</v>
      </c>
      <c r="D22" s="339">
        <v>83.65</v>
      </c>
      <c r="E22" s="339">
        <v>22.53</v>
      </c>
      <c r="F22" s="431"/>
      <c r="G22" s="431"/>
    </row>
    <row r="23" spans="1:7" s="512" customFormat="1" ht="30">
      <c r="A23" s="338" t="s">
        <v>8643</v>
      </c>
      <c r="B23" s="336" t="s">
        <v>8641</v>
      </c>
      <c r="C23" s="431">
        <v>3073.46</v>
      </c>
      <c r="D23" s="339">
        <v>7.23</v>
      </c>
      <c r="E23" s="339">
        <v>1.95</v>
      </c>
      <c r="F23" s="431"/>
      <c r="G23" s="431"/>
    </row>
    <row r="24" spans="1:7" s="512" customFormat="1" ht="15">
      <c r="A24" s="338" t="s">
        <v>8839</v>
      </c>
      <c r="B24" s="336" t="s">
        <v>7126</v>
      </c>
      <c r="C24" s="431">
        <v>3058.5</v>
      </c>
      <c r="D24" s="339">
        <v>1204.8</v>
      </c>
      <c r="E24" s="339">
        <v>324.45</v>
      </c>
      <c r="F24" s="431"/>
      <c r="G24" s="431"/>
    </row>
    <row r="25" spans="1:7" s="512" customFormat="1" ht="30">
      <c r="A25" s="338" t="s">
        <v>8650</v>
      </c>
      <c r="B25" s="336" t="s">
        <v>8660</v>
      </c>
      <c r="C25" s="431">
        <v>2955.2</v>
      </c>
      <c r="D25" s="339">
        <v>336.93</v>
      </c>
      <c r="E25" s="339">
        <v>90.74</v>
      </c>
      <c r="F25" s="431"/>
      <c r="G25" s="431"/>
    </row>
    <row r="26" spans="1:7" s="512" customFormat="1" ht="15">
      <c r="A26" s="338" t="s">
        <v>8840</v>
      </c>
      <c r="B26" s="336" t="s">
        <v>7127</v>
      </c>
      <c r="C26" s="431">
        <v>2616.94</v>
      </c>
      <c r="D26" s="339">
        <v>2061.7200000000003</v>
      </c>
      <c r="E26" s="339">
        <v>555.22</v>
      </c>
      <c r="F26" s="431"/>
      <c r="G26" s="431"/>
    </row>
    <row r="27" spans="1:7" s="512" customFormat="1" ht="30">
      <c r="A27" s="338" t="s">
        <v>8797</v>
      </c>
      <c r="B27" s="336" t="s">
        <v>8795</v>
      </c>
      <c r="C27" s="431">
        <v>2194.62</v>
      </c>
      <c r="D27" s="339">
        <v>6.46</v>
      </c>
      <c r="E27" s="339">
        <v>1.74</v>
      </c>
      <c r="F27" s="431"/>
      <c r="G27" s="431"/>
    </row>
    <row r="28" spans="1:7" s="512" customFormat="1" ht="30">
      <c r="A28" s="338" t="s">
        <v>7926</v>
      </c>
      <c r="B28" s="336" t="s">
        <v>8812</v>
      </c>
      <c r="C28" s="431">
        <v>2100.83</v>
      </c>
      <c r="D28" s="339">
        <v>367.8</v>
      </c>
      <c r="E28" s="339">
        <v>99.05</v>
      </c>
      <c r="F28" s="431"/>
      <c r="G28" s="431"/>
    </row>
    <row r="29" spans="1:7" s="512" customFormat="1" ht="15">
      <c r="A29" s="338" t="s">
        <v>8800</v>
      </c>
      <c r="B29" s="336" t="s">
        <v>8801</v>
      </c>
      <c r="C29" s="431">
        <v>2033.66</v>
      </c>
      <c r="D29" s="339">
        <v>7.82</v>
      </c>
      <c r="E29" s="339">
        <v>2.11</v>
      </c>
      <c r="F29" s="431"/>
      <c r="G29" s="431"/>
    </row>
    <row r="30" spans="1:7" s="512" customFormat="1" ht="30">
      <c r="A30" s="338" t="s">
        <v>5927</v>
      </c>
      <c r="B30" s="336" t="s">
        <v>8980</v>
      </c>
      <c r="C30" s="431">
        <v>1963.31</v>
      </c>
      <c r="D30" s="339">
        <v>36.86</v>
      </c>
      <c r="E30" s="339">
        <v>9.93</v>
      </c>
      <c r="F30" s="431"/>
      <c r="G30" s="431"/>
    </row>
    <row r="31" spans="1:7" s="512" customFormat="1" ht="30">
      <c r="A31" s="338" t="s">
        <v>9282</v>
      </c>
      <c r="B31" s="336" t="s">
        <v>8759</v>
      </c>
      <c r="C31" s="431">
        <v>1884.19</v>
      </c>
      <c r="D31" s="339">
        <v>9.24</v>
      </c>
      <c r="E31" s="339">
        <v>2.4900000000000002</v>
      </c>
      <c r="F31" s="431"/>
      <c r="G31" s="431"/>
    </row>
    <row r="32" spans="1:7" s="512" customFormat="1" ht="30">
      <c r="A32" s="338" t="s">
        <v>8775</v>
      </c>
      <c r="B32" s="336" t="s">
        <v>8765</v>
      </c>
      <c r="C32" s="431">
        <v>1750.76</v>
      </c>
      <c r="D32" s="339">
        <v>7.97</v>
      </c>
      <c r="E32" s="339">
        <v>2.15</v>
      </c>
      <c r="F32" s="431"/>
      <c r="G32" s="431"/>
    </row>
    <row r="33" spans="1:7" s="512" customFormat="1" ht="15">
      <c r="A33" s="338" t="s">
        <v>8655</v>
      </c>
      <c r="B33" s="336" t="s">
        <v>8657</v>
      </c>
      <c r="C33" s="431">
        <v>1748.6</v>
      </c>
      <c r="D33" s="339">
        <v>9.84</v>
      </c>
      <c r="E33" s="339">
        <v>2.65</v>
      </c>
      <c r="F33" s="431"/>
      <c r="G33" s="431"/>
    </row>
    <row r="34" spans="1:7" s="512" customFormat="1" ht="30">
      <c r="A34" s="338" t="s">
        <v>8787</v>
      </c>
      <c r="B34" s="336" t="s">
        <v>8783</v>
      </c>
      <c r="C34" s="431">
        <v>1680.58</v>
      </c>
      <c r="D34" s="339">
        <v>8.8000000000000007</v>
      </c>
      <c r="E34" s="339">
        <v>2.37</v>
      </c>
      <c r="F34" s="431"/>
      <c r="G34" s="431"/>
    </row>
    <row r="35" spans="1:7" s="512" customFormat="1" ht="30">
      <c r="A35" s="338" t="s">
        <v>8805</v>
      </c>
      <c r="B35" s="336" t="s">
        <v>8806</v>
      </c>
      <c r="C35" s="431">
        <v>1659.24</v>
      </c>
      <c r="D35" s="339">
        <v>30.6</v>
      </c>
      <c r="E35" s="339">
        <v>8.24</v>
      </c>
      <c r="F35" s="431"/>
      <c r="G35" s="431"/>
    </row>
    <row r="36" spans="1:7" s="512" customFormat="1" ht="45">
      <c r="A36" s="338" t="s">
        <v>8777</v>
      </c>
      <c r="B36" s="336" t="s">
        <v>8768</v>
      </c>
      <c r="C36" s="431">
        <v>1657.13</v>
      </c>
      <c r="D36" s="339">
        <v>361.65000000000003</v>
      </c>
      <c r="E36" s="339">
        <v>97.39</v>
      </c>
      <c r="F36" s="431"/>
      <c r="G36" s="431"/>
    </row>
    <row r="37" spans="1:7" s="512" customFormat="1" ht="30">
      <c r="A37" s="338" t="s">
        <v>8774</v>
      </c>
      <c r="B37" s="336" t="s">
        <v>8767</v>
      </c>
      <c r="C37" s="431">
        <v>1291.78</v>
      </c>
      <c r="D37" s="339">
        <v>12</v>
      </c>
      <c r="E37" s="339">
        <v>3.23</v>
      </c>
      <c r="F37" s="431"/>
      <c r="G37" s="431"/>
    </row>
    <row r="38" spans="1:7" s="512" customFormat="1" ht="45">
      <c r="A38" s="338" t="s">
        <v>8788</v>
      </c>
      <c r="B38" s="336" t="s">
        <v>8784</v>
      </c>
      <c r="C38" s="431">
        <v>1008.2</v>
      </c>
      <c r="D38" s="339">
        <v>354.59999999999997</v>
      </c>
      <c r="E38" s="339">
        <v>95.49</v>
      </c>
      <c r="F38" s="431"/>
      <c r="G38" s="431"/>
    </row>
    <row r="39" spans="1:7" s="512" customFormat="1" ht="30">
      <c r="A39" s="338" t="s">
        <v>8691</v>
      </c>
      <c r="B39" s="336" t="s">
        <v>8689</v>
      </c>
      <c r="C39" s="431">
        <v>974.1</v>
      </c>
      <c r="D39" s="352">
        <v>76.739999999999995</v>
      </c>
      <c r="E39" s="339">
        <v>20.67</v>
      </c>
      <c r="F39" s="431"/>
      <c r="G39" s="431"/>
    </row>
    <row r="40" spans="1:7" s="512" customFormat="1" ht="15">
      <c r="A40" s="338" t="s">
        <v>6852</v>
      </c>
      <c r="B40" s="336" t="s">
        <v>6850</v>
      </c>
      <c r="C40" s="431">
        <v>874.15</v>
      </c>
      <c r="D40" s="339">
        <v>26.88</v>
      </c>
      <c r="E40" s="339">
        <v>7.24</v>
      </c>
      <c r="F40" s="431"/>
      <c r="G40" s="431"/>
    </row>
    <row r="41" spans="1:7" s="512" customFormat="1" ht="45">
      <c r="A41" s="338" t="s">
        <v>8665</v>
      </c>
      <c r="B41" s="336" t="s">
        <v>8791</v>
      </c>
      <c r="C41" s="431">
        <v>773.35</v>
      </c>
      <c r="D41" s="339">
        <v>57.37</v>
      </c>
      <c r="E41" s="339">
        <v>15.45</v>
      </c>
      <c r="F41" s="431"/>
      <c r="G41" s="431"/>
    </row>
    <row r="42" spans="1:7" s="512" customFormat="1" ht="15">
      <c r="A42" s="338" t="s">
        <v>8831</v>
      </c>
      <c r="B42" s="336" t="s">
        <v>8829</v>
      </c>
      <c r="C42" s="431">
        <v>740.19</v>
      </c>
      <c r="D42" s="339">
        <v>194.38</v>
      </c>
      <c r="E42" s="339">
        <v>52.35</v>
      </c>
      <c r="F42" s="431"/>
      <c r="G42" s="431"/>
    </row>
    <row r="43" spans="1:7" s="512" customFormat="1" ht="45">
      <c r="A43" s="338" t="s">
        <v>8781</v>
      </c>
      <c r="B43" s="336" t="s">
        <v>8779</v>
      </c>
      <c r="C43" s="431">
        <v>618.44000000000005</v>
      </c>
      <c r="D43" s="339">
        <v>25.55</v>
      </c>
      <c r="E43" s="339">
        <v>6.88</v>
      </c>
      <c r="F43" s="431"/>
      <c r="G43" s="431"/>
    </row>
    <row r="44" spans="1:7" s="512" customFormat="1" ht="30">
      <c r="A44" s="338" t="s">
        <v>8231</v>
      </c>
      <c r="B44" s="336" t="s">
        <v>7841</v>
      </c>
      <c r="C44" s="431">
        <v>605.4</v>
      </c>
      <c r="D44" s="339">
        <v>119.24</v>
      </c>
      <c r="E44" s="339">
        <v>32.11</v>
      </c>
      <c r="F44" s="431"/>
      <c r="G44" s="431"/>
    </row>
    <row r="45" spans="1:7" s="512" customFormat="1" ht="30">
      <c r="A45" s="338" t="s">
        <v>8776</v>
      </c>
      <c r="B45" s="336" t="s">
        <v>8766</v>
      </c>
      <c r="C45" s="431">
        <v>547.46</v>
      </c>
      <c r="D45" s="339">
        <v>6.43</v>
      </c>
      <c r="E45" s="339">
        <v>1.73</v>
      </c>
      <c r="F45" s="431"/>
      <c r="G45" s="431"/>
    </row>
    <row r="46" spans="1:7" s="512" customFormat="1" ht="30">
      <c r="A46" s="338" t="s">
        <v>8671</v>
      </c>
      <c r="B46" s="336" t="s">
        <v>8765</v>
      </c>
      <c r="C46" s="431">
        <v>532.67999999999995</v>
      </c>
      <c r="D46" s="339">
        <v>7.97</v>
      </c>
      <c r="E46" s="339">
        <v>2.15</v>
      </c>
      <c r="F46" s="431"/>
      <c r="G46" s="431"/>
    </row>
    <row r="47" spans="1:7" s="512" customFormat="1" ht="15">
      <c r="A47" s="338" t="s">
        <v>8654</v>
      </c>
      <c r="B47" s="336" t="s">
        <v>8669</v>
      </c>
      <c r="C47" s="431">
        <v>526.47</v>
      </c>
      <c r="D47" s="339">
        <v>11.94</v>
      </c>
      <c r="E47" s="339">
        <v>3.22</v>
      </c>
      <c r="F47" s="431"/>
      <c r="G47" s="431"/>
    </row>
    <row r="48" spans="1:7" s="512" customFormat="1" ht="15">
      <c r="A48" s="338" t="s">
        <v>6864</v>
      </c>
      <c r="B48" s="336" t="s">
        <v>8816</v>
      </c>
      <c r="C48" s="431">
        <v>376.36</v>
      </c>
      <c r="D48" s="339">
        <v>11.57</v>
      </c>
      <c r="E48" s="339">
        <v>3.12</v>
      </c>
      <c r="F48" s="431"/>
      <c r="G48" s="431"/>
    </row>
    <row r="49" spans="1:7" s="512" customFormat="1" ht="15">
      <c r="A49" s="338" t="s">
        <v>8160</v>
      </c>
      <c r="B49" s="336" t="s">
        <v>7023</v>
      </c>
      <c r="C49" s="431">
        <v>358.28</v>
      </c>
      <c r="D49" s="339">
        <v>11.22</v>
      </c>
      <c r="E49" s="339">
        <v>3.02</v>
      </c>
      <c r="F49" s="431"/>
      <c r="G49" s="431"/>
    </row>
    <row r="50" spans="1:7" s="512" customFormat="1" ht="15">
      <c r="A50" s="338" t="s">
        <v>8645</v>
      </c>
      <c r="B50" s="336" t="s">
        <v>8644</v>
      </c>
      <c r="C50" s="431">
        <v>344.16</v>
      </c>
      <c r="D50" s="339">
        <v>15.06</v>
      </c>
      <c r="E50" s="339">
        <v>4.0599999999999996</v>
      </c>
      <c r="F50" s="431"/>
      <c r="G50" s="431"/>
    </row>
    <row r="51" spans="1:7" s="512" customFormat="1" ht="45">
      <c r="A51" s="338" t="s">
        <v>9115</v>
      </c>
      <c r="B51" s="336" t="s">
        <v>9590</v>
      </c>
      <c r="C51" s="431">
        <v>340</v>
      </c>
      <c r="D51" s="352">
        <v>6.7</v>
      </c>
      <c r="E51" s="339">
        <v>1.8</v>
      </c>
      <c r="F51" s="431"/>
      <c r="G51" s="431"/>
    </row>
    <row r="52" spans="1:7" s="512" customFormat="1" ht="30">
      <c r="A52" s="338" t="s">
        <v>8648</v>
      </c>
      <c r="B52" s="336" t="s">
        <v>8651</v>
      </c>
      <c r="C52" s="431">
        <v>319.73</v>
      </c>
      <c r="D52" s="339">
        <v>21.98</v>
      </c>
      <c r="E52" s="339">
        <v>5.92</v>
      </c>
      <c r="F52" s="431"/>
      <c r="G52" s="431"/>
    </row>
    <row r="53" spans="1:7" s="512" customFormat="1" ht="15">
      <c r="A53" s="338" t="s">
        <v>8832</v>
      </c>
      <c r="B53" s="336" t="s">
        <v>8830</v>
      </c>
      <c r="C53" s="431">
        <v>293.63</v>
      </c>
      <c r="D53" s="339">
        <v>231.32999999999998</v>
      </c>
      <c r="E53" s="339">
        <v>62.3</v>
      </c>
      <c r="F53" s="431"/>
      <c r="G53" s="431"/>
    </row>
    <row r="54" spans="1:7" s="512" customFormat="1" ht="45">
      <c r="A54" s="338" t="s">
        <v>8678</v>
      </c>
      <c r="B54" s="336" t="s">
        <v>8768</v>
      </c>
      <c r="C54" s="431">
        <v>289.2</v>
      </c>
      <c r="D54" s="339">
        <v>361.65000000000003</v>
      </c>
      <c r="E54" s="339">
        <v>97.39</v>
      </c>
      <c r="F54" s="431"/>
      <c r="G54" s="431"/>
    </row>
    <row r="55" spans="1:7" s="512" customFormat="1" ht="15">
      <c r="A55" s="338" t="s">
        <v>8159</v>
      </c>
      <c r="B55" s="336" t="s">
        <v>7021</v>
      </c>
      <c r="C55" s="431">
        <v>272.06</v>
      </c>
      <c r="D55" s="339">
        <v>21.2</v>
      </c>
      <c r="E55" s="339">
        <v>5.71</v>
      </c>
      <c r="F55" s="431"/>
      <c r="G55" s="431"/>
    </row>
    <row r="56" spans="1:7" s="512" customFormat="1" ht="30">
      <c r="A56" s="338" t="s">
        <v>8680</v>
      </c>
      <c r="B56" s="336" t="s">
        <v>8652</v>
      </c>
      <c r="C56" s="431">
        <v>263.41000000000003</v>
      </c>
      <c r="D56" s="339">
        <v>30.03</v>
      </c>
      <c r="E56" s="339">
        <v>8.09</v>
      </c>
      <c r="F56" s="431"/>
      <c r="G56" s="431"/>
    </row>
    <row r="57" spans="1:7" s="512" customFormat="1" ht="30">
      <c r="A57" s="338" t="s">
        <v>6998</v>
      </c>
      <c r="B57" s="336" t="s">
        <v>8836</v>
      </c>
      <c r="C57" s="431">
        <v>241.63</v>
      </c>
      <c r="D57" s="339">
        <v>59.49</v>
      </c>
      <c r="E57" s="339">
        <v>16.02</v>
      </c>
      <c r="F57" s="431"/>
      <c r="G57" s="431"/>
    </row>
    <row r="58" spans="1:7" s="512" customFormat="1" ht="30">
      <c r="A58" s="338" t="s">
        <v>8670</v>
      </c>
      <c r="B58" s="336" t="s">
        <v>8767</v>
      </c>
      <c r="C58" s="431">
        <v>225.68</v>
      </c>
      <c r="D58" s="339">
        <v>12</v>
      </c>
      <c r="E58" s="339">
        <v>3.23</v>
      </c>
      <c r="F58" s="431"/>
      <c r="G58" s="431"/>
    </row>
    <row r="59" spans="1:7" s="512" customFormat="1" ht="30">
      <c r="A59" s="338" t="s">
        <v>8786</v>
      </c>
      <c r="B59" s="336" t="s">
        <v>8782</v>
      </c>
      <c r="C59" s="431">
        <v>207.68</v>
      </c>
      <c r="D59" s="339">
        <v>10.23</v>
      </c>
      <c r="E59" s="339">
        <v>2.75</v>
      </c>
      <c r="F59" s="431"/>
      <c r="G59" s="431"/>
    </row>
    <row r="60" spans="1:7" s="512" customFormat="1" ht="30">
      <c r="A60" s="338" t="s">
        <v>8672</v>
      </c>
      <c r="B60" s="336" t="s">
        <v>8766</v>
      </c>
      <c r="C60" s="431">
        <v>169.88</v>
      </c>
      <c r="D60" s="339">
        <v>6.43</v>
      </c>
      <c r="E60" s="339">
        <v>1.73</v>
      </c>
      <c r="F60" s="431"/>
      <c r="G60" s="431"/>
    </row>
    <row r="61" spans="1:7" s="512" customFormat="1" ht="15">
      <c r="A61" s="338" t="s">
        <v>7135</v>
      </c>
      <c r="B61" s="336" t="s">
        <v>7128</v>
      </c>
      <c r="C61" s="431">
        <v>167.16</v>
      </c>
      <c r="D61" s="339">
        <v>65.849999999999994</v>
      </c>
      <c r="E61" s="339">
        <v>17.73</v>
      </c>
      <c r="F61" s="431"/>
      <c r="G61" s="431"/>
    </row>
    <row r="62" spans="1:7" s="512" customFormat="1" ht="15">
      <c r="A62" s="338" t="s">
        <v>7945</v>
      </c>
      <c r="B62" s="336" t="s">
        <v>8815</v>
      </c>
      <c r="C62" s="431">
        <v>151.69999999999999</v>
      </c>
      <c r="D62" s="339">
        <v>13.13</v>
      </c>
      <c r="E62" s="339">
        <v>3.54</v>
      </c>
      <c r="F62" s="431"/>
      <c r="G62" s="431"/>
    </row>
    <row r="63" spans="1:7" s="512" customFormat="1" ht="30">
      <c r="A63" s="338" t="s">
        <v>8166</v>
      </c>
      <c r="B63" s="336" t="s">
        <v>7026</v>
      </c>
      <c r="C63" s="431">
        <v>104.64</v>
      </c>
      <c r="D63" s="339">
        <v>41.22</v>
      </c>
      <c r="E63" s="339">
        <v>11.1</v>
      </c>
      <c r="F63" s="431"/>
      <c r="G63" s="431"/>
    </row>
    <row r="64" spans="1:7" s="512" customFormat="1" ht="30">
      <c r="A64" s="338" t="s">
        <v>8813</v>
      </c>
      <c r="B64" s="336" t="s">
        <v>6849</v>
      </c>
      <c r="C64" s="431">
        <v>95.05</v>
      </c>
      <c r="D64" s="339">
        <v>2.92</v>
      </c>
      <c r="E64" s="339">
        <v>0.79</v>
      </c>
      <c r="F64" s="431"/>
      <c r="G64" s="431"/>
    </row>
    <row r="65" spans="1:7" s="512" customFormat="1" ht="15">
      <c r="A65" s="338" t="s">
        <v>8194</v>
      </c>
      <c r="B65" s="336" t="s">
        <v>7078</v>
      </c>
      <c r="C65" s="431">
        <v>94.95</v>
      </c>
      <c r="D65" s="339">
        <v>14.96</v>
      </c>
      <c r="E65" s="339">
        <v>4.03</v>
      </c>
      <c r="F65" s="431"/>
      <c r="G65" s="431"/>
    </row>
    <row r="66" spans="1:7" s="512" customFormat="1" ht="15">
      <c r="A66" s="338" t="s">
        <v>8231</v>
      </c>
      <c r="B66" s="336" t="s">
        <v>8235</v>
      </c>
      <c r="C66" s="431">
        <v>93.09</v>
      </c>
      <c r="D66" s="339">
        <v>73.34</v>
      </c>
      <c r="E66" s="339">
        <v>19.75</v>
      </c>
      <c r="F66" s="431"/>
      <c r="G66" s="431"/>
    </row>
    <row r="67" spans="1:7" s="512" customFormat="1" ht="30">
      <c r="A67" s="338" t="s">
        <v>8168</v>
      </c>
      <c r="B67" s="336" t="s">
        <v>7030</v>
      </c>
      <c r="C67" s="431">
        <v>91.76</v>
      </c>
      <c r="D67" s="339">
        <v>9.0399999999999991</v>
      </c>
      <c r="E67" s="339">
        <v>2.4300000000000002</v>
      </c>
      <c r="F67" s="431"/>
      <c r="G67" s="431"/>
    </row>
    <row r="68" spans="1:7" s="512" customFormat="1" ht="15">
      <c r="A68" s="338" t="s">
        <v>8181</v>
      </c>
      <c r="B68" s="336" t="s">
        <v>7054</v>
      </c>
      <c r="C68" s="431">
        <v>82.44</v>
      </c>
      <c r="D68" s="339">
        <v>16.239999999999998</v>
      </c>
      <c r="E68" s="339">
        <v>4.37</v>
      </c>
      <c r="F68" s="431"/>
      <c r="G68" s="431"/>
    </row>
    <row r="69" spans="1:7" s="512" customFormat="1" ht="30">
      <c r="A69" s="338" t="s">
        <v>8165</v>
      </c>
      <c r="B69" s="336" t="s">
        <v>7843</v>
      </c>
      <c r="C69" s="431">
        <v>57.04</v>
      </c>
      <c r="D69" s="339">
        <v>22.47</v>
      </c>
      <c r="E69" s="339">
        <v>6.05</v>
      </c>
      <c r="F69" s="431"/>
      <c r="G69" s="431"/>
    </row>
    <row r="70" spans="1:7" s="512" customFormat="1" ht="15">
      <c r="A70" s="338" t="s">
        <v>8180</v>
      </c>
      <c r="B70" s="336" t="s">
        <v>7052</v>
      </c>
      <c r="C70" s="431">
        <v>42.4</v>
      </c>
      <c r="D70" s="339">
        <v>8.35</v>
      </c>
      <c r="E70" s="339">
        <v>2.25</v>
      </c>
      <c r="F70" s="431"/>
      <c r="G70" s="431"/>
    </row>
    <row r="71" spans="1:7" s="512" customFormat="1" ht="30">
      <c r="A71" s="338" t="s">
        <v>7925</v>
      </c>
      <c r="B71" s="336" t="s">
        <v>8811</v>
      </c>
      <c r="C71" s="431">
        <v>26.1</v>
      </c>
      <c r="D71" s="339">
        <v>0.46</v>
      </c>
      <c r="E71" s="339">
        <v>0.12</v>
      </c>
      <c r="F71" s="431"/>
      <c r="G71" s="431"/>
    </row>
    <row r="72" spans="1:7" s="512" customFormat="1" ht="30">
      <c r="A72" s="338" t="s">
        <v>8192</v>
      </c>
      <c r="B72" s="336" t="s">
        <v>7071</v>
      </c>
      <c r="C72" s="431">
        <v>22.44</v>
      </c>
      <c r="D72" s="339">
        <v>8.84</v>
      </c>
      <c r="E72" s="339">
        <v>2.38</v>
      </c>
      <c r="F72" s="431"/>
      <c r="G72" s="431"/>
    </row>
    <row r="73" spans="1:7" s="512" customFormat="1" ht="15">
      <c r="A73" s="338" t="s">
        <v>8179</v>
      </c>
      <c r="B73" s="336" t="s">
        <v>7842</v>
      </c>
      <c r="C73" s="431">
        <v>16.89</v>
      </c>
      <c r="D73" s="339">
        <v>13.309999999999999</v>
      </c>
      <c r="E73" s="339">
        <v>3.58</v>
      </c>
      <c r="F73" s="431"/>
      <c r="G73" s="431"/>
    </row>
    <row r="74" spans="1:7" s="512" customFormat="1" ht="15">
      <c r="A74" s="338" t="s">
        <v>8193</v>
      </c>
      <c r="B74" s="336" t="s">
        <v>7076</v>
      </c>
      <c r="C74" s="431">
        <v>16.03</v>
      </c>
      <c r="D74" s="339">
        <v>12.63</v>
      </c>
      <c r="E74" s="339">
        <v>3.4</v>
      </c>
      <c r="F74" s="431"/>
      <c r="G74" s="431"/>
    </row>
    <row r="75" spans="1:7" s="512" customFormat="1" ht="30">
      <c r="A75" s="338" t="s">
        <v>8167</v>
      </c>
      <c r="B75" s="336" t="s">
        <v>7029</v>
      </c>
      <c r="C75" s="431">
        <v>6.51</v>
      </c>
      <c r="D75" s="339">
        <v>5.13</v>
      </c>
      <c r="E75" s="339">
        <v>1.38</v>
      </c>
      <c r="F75" s="431"/>
      <c r="G75" s="431"/>
    </row>
    <row r="76" spans="1:7" s="117" customFormat="1" ht="15">
      <c r="A76" s="499"/>
      <c r="B76" s="496"/>
      <c r="C76" s="429"/>
      <c r="D76" s="141"/>
      <c r="E76" s="141"/>
      <c r="F76" s="429"/>
      <c r="G76" s="429"/>
    </row>
    <row r="77" spans="1:7" s="117" customFormat="1" ht="15">
      <c r="A77" s="499"/>
      <c r="B77" s="496"/>
      <c r="C77" s="429"/>
      <c r="D77" s="141"/>
      <c r="E77" s="141"/>
      <c r="F77" s="429"/>
      <c r="G77" s="429"/>
    </row>
    <row r="78" spans="1:7" s="117" customFormat="1" ht="15">
      <c r="A78" s="499"/>
      <c r="B78" s="496"/>
      <c r="C78" s="429"/>
      <c r="D78" s="141"/>
      <c r="E78" s="141"/>
      <c r="F78" s="429"/>
      <c r="G78" s="429"/>
    </row>
    <row r="79" spans="1:7" s="117" customFormat="1">
      <c r="A79" s="8"/>
      <c r="B79" s="498"/>
      <c r="C79" s="381"/>
      <c r="D79" s="333"/>
      <c r="E79" s="333"/>
      <c r="F79" s="381"/>
      <c r="G79" s="381"/>
    </row>
  </sheetData>
  <sheetProtection selectLockedCells="1" selectUnlockedCells="1"/>
  <mergeCells count="5">
    <mergeCell ref="A12:G12"/>
    <mergeCell ref="A2:G2"/>
    <mergeCell ref="A3:G3"/>
    <mergeCell ref="A4:G4"/>
    <mergeCell ref="A7:G7"/>
  </mergeCells>
  <printOptions horizontalCentered="1"/>
  <pageMargins left="0.70866141732283472" right="0.70866141732283472" top="0.39370078740157483" bottom="0.78740157480314965" header="0.19685039370078741" footer="0"/>
  <pageSetup paperSize="9" scale="69" firstPageNumber="35" fitToHeight="0" orientation="portrait" useFirstPageNumber="1" horizontalDpi="300" verticalDpi="300" r:id="rId1"/>
  <headerFooter alignWithMargins="0">
    <oddFooter xml:space="preserve">&amp;CEng. Civil Daniele Firme Miranda
CREA: 24.965/D-DF
ART nº 0720190034483
&amp;RPágina &amp;P de 241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1:N89"/>
  <sheetViews>
    <sheetView view="pageLayout" topLeftCell="A82" zoomScaleNormal="100" zoomScaleSheetLayoutView="115" workbookViewId="0">
      <selection activeCell="E25" sqref="E25"/>
    </sheetView>
  </sheetViews>
  <sheetFormatPr defaultRowHeight="12.75"/>
  <cols>
    <col min="1" max="1" width="9.140625" style="178" customWidth="1"/>
    <col min="2" max="2" width="25.85546875" style="176" customWidth="1"/>
    <col min="3" max="3" width="5.7109375" style="176" bestFit="1" customWidth="1"/>
    <col min="4" max="4" width="7.140625" style="176" bestFit="1" customWidth="1"/>
    <col min="5" max="5" width="7.28515625" style="176" bestFit="1" customWidth="1"/>
    <col min="6" max="6" width="7.85546875" style="176" bestFit="1" customWidth="1"/>
    <col min="7" max="7" width="9.5703125" style="176" bestFit="1" customWidth="1"/>
    <col min="8" max="9" width="7.28515625" style="176" bestFit="1" customWidth="1"/>
    <col min="10" max="10" width="8" style="176" bestFit="1" customWidth="1"/>
    <col min="11" max="11" width="8.28515625" style="176" customWidth="1"/>
    <col min="12" max="13" width="10.42578125" style="176" bestFit="1" customWidth="1"/>
    <col min="14" max="14" width="13.140625" style="176" bestFit="1" customWidth="1"/>
    <col min="15" max="256" width="9.140625" style="176"/>
    <col min="257" max="257" width="9.140625" style="176" customWidth="1"/>
    <col min="258" max="258" width="25.85546875" style="176" customWidth="1"/>
    <col min="259" max="259" width="5.7109375" style="176" bestFit="1" customWidth="1"/>
    <col min="260" max="260" width="7.140625" style="176" bestFit="1" customWidth="1"/>
    <col min="261" max="261" width="7.28515625" style="176" bestFit="1" customWidth="1"/>
    <col min="262" max="262" width="6.140625" style="176" bestFit="1" customWidth="1"/>
    <col min="263" max="265" width="7.28515625" style="176" bestFit="1" customWidth="1"/>
    <col min="266" max="266" width="8" style="176" bestFit="1" customWidth="1"/>
    <col min="267" max="267" width="8.28515625" style="176" customWidth="1"/>
    <col min="268" max="269" width="10.42578125" style="176" bestFit="1" customWidth="1"/>
    <col min="270" max="270" width="13.140625" style="176" bestFit="1" customWidth="1"/>
    <col min="271" max="512" width="9.140625" style="176"/>
    <col min="513" max="513" width="9.140625" style="176" customWidth="1"/>
    <col min="514" max="514" width="25.85546875" style="176" customWidth="1"/>
    <col min="515" max="515" width="5.7109375" style="176" bestFit="1" customWidth="1"/>
    <col min="516" max="516" width="7.140625" style="176" bestFit="1" customWidth="1"/>
    <col min="517" max="517" width="7.28515625" style="176" bestFit="1" customWidth="1"/>
    <col min="518" max="518" width="6.140625" style="176" bestFit="1" customWidth="1"/>
    <col min="519" max="521" width="7.28515625" style="176" bestFit="1" customWidth="1"/>
    <col min="522" max="522" width="8" style="176" bestFit="1" customWidth="1"/>
    <col min="523" max="523" width="8.28515625" style="176" customWidth="1"/>
    <col min="524" max="525" width="10.42578125" style="176" bestFit="1" customWidth="1"/>
    <col min="526" max="526" width="13.140625" style="176" bestFit="1" customWidth="1"/>
    <col min="527" max="768" width="9.140625" style="176"/>
    <col min="769" max="769" width="9.140625" style="176" customWidth="1"/>
    <col min="770" max="770" width="25.85546875" style="176" customWidth="1"/>
    <col min="771" max="771" width="5.7109375" style="176" bestFit="1" customWidth="1"/>
    <col min="772" max="772" width="7.140625" style="176" bestFit="1" customWidth="1"/>
    <col min="773" max="773" width="7.28515625" style="176" bestFit="1" customWidth="1"/>
    <col min="774" max="774" width="6.140625" style="176" bestFit="1" customWidth="1"/>
    <col min="775" max="777" width="7.28515625" style="176" bestFit="1" customWidth="1"/>
    <col min="778" max="778" width="8" style="176" bestFit="1" customWidth="1"/>
    <col min="779" max="779" width="8.28515625" style="176" customWidth="1"/>
    <col min="780" max="781" width="10.42578125" style="176" bestFit="1" customWidth="1"/>
    <col min="782" max="782" width="13.140625" style="176" bestFit="1" customWidth="1"/>
    <col min="783" max="1024" width="9.140625" style="176"/>
    <col min="1025" max="1025" width="9.140625" style="176" customWidth="1"/>
    <col min="1026" max="1026" width="25.85546875" style="176" customWidth="1"/>
    <col min="1027" max="1027" width="5.7109375" style="176" bestFit="1" customWidth="1"/>
    <col min="1028" max="1028" width="7.140625" style="176" bestFit="1" customWidth="1"/>
    <col min="1029" max="1029" width="7.28515625" style="176" bestFit="1" customWidth="1"/>
    <col min="1030" max="1030" width="6.140625" style="176" bestFit="1" customWidth="1"/>
    <col min="1031" max="1033" width="7.28515625" style="176" bestFit="1" customWidth="1"/>
    <col min="1034" max="1034" width="8" style="176" bestFit="1" customWidth="1"/>
    <col min="1035" max="1035" width="8.28515625" style="176" customWidth="1"/>
    <col min="1036" max="1037" width="10.42578125" style="176" bestFit="1" customWidth="1"/>
    <col min="1038" max="1038" width="13.140625" style="176" bestFit="1" customWidth="1"/>
    <col min="1039" max="1280" width="9.140625" style="176"/>
    <col min="1281" max="1281" width="9.140625" style="176" customWidth="1"/>
    <col min="1282" max="1282" width="25.85546875" style="176" customWidth="1"/>
    <col min="1283" max="1283" width="5.7109375" style="176" bestFit="1" customWidth="1"/>
    <col min="1284" max="1284" width="7.140625" style="176" bestFit="1" customWidth="1"/>
    <col min="1285" max="1285" width="7.28515625" style="176" bestFit="1" customWidth="1"/>
    <col min="1286" max="1286" width="6.140625" style="176" bestFit="1" customWidth="1"/>
    <col min="1287" max="1289" width="7.28515625" style="176" bestFit="1" customWidth="1"/>
    <col min="1290" max="1290" width="8" style="176" bestFit="1" customWidth="1"/>
    <col min="1291" max="1291" width="8.28515625" style="176" customWidth="1"/>
    <col min="1292" max="1293" width="10.42578125" style="176" bestFit="1" customWidth="1"/>
    <col min="1294" max="1294" width="13.140625" style="176" bestFit="1" customWidth="1"/>
    <col min="1295" max="1536" width="9.140625" style="176"/>
    <col min="1537" max="1537" width="9.140625" style="176" customWidth="1"/>
    <col min="1538" max="1538" width="25.85546875" style="176" customWidth="1"/>
    <col min="1539" max="1539" width="5.7109375" style="176" bestFit="1" customWidth="1"/>
    <col min="1540" max="1540" width="7.140625" style="176" bestFit="1" customWidth="1"/>
    <col min="1541" max="1541" width="7.28515625" style="176" bestFit="1" customWidth="1"/>
    <col min="1542" max="1542" width="6.140625" style="176" bestFit="1" customWidth="1"/>
    <col min="1543" max="1545" width="7.28515625" style="176" bestFit="1" customWidth="1"/>
    <col min="1546" max="1546" width="8" style="176" bestFit="1" customWidth="1"/>
    <col min="1547" max="1547" width="8.28515625" style="176" customWidth="1"/>
    <col min="1548" max="1549" width="10.42578125" style="176" bestFit="1" customWidth="1"/>
    <col min="1550" max="1550" width="13.140625" style="176" bestFit="1" customWidth="1"/>
    <col min="1551" max="1792" width="9.140625" style="176"/>
    <col min="1793" max="1793" width="9.140625" style="176" customWidth="1"/>
    <col min="1794" max="1794" width="25.85546875" style="176" customWidth="1"/>
    <col min="1795" max="1795" width="5.7109375" style="176" bestFit="1" customWidth="1"/>
    <col min="1796" max="1796" width="7.140625" style="176" bestFit="1" customWidth="1"/>
    <col min="1797" max="1797" width="7.28515625" style="176" bestFit="1" customWidth="1"/>
    <col min="1798" max="1798" width="6.140625" style="176" bestFit="1" customWidth="1"/>
    <col min="1799" max="1801" width="7.28515625" style="176" bestFit="1" customWidth="1"/>
    <col min="1802" max="1802" width="8" style="176" bestFit="1" customWidth="1"/>
    <col min="1803" max="1803" width="8.28515625" style="176" customWidth="1"/>
    <col min="1804" max="1805" width="10.42578125" style="176" bestFit="1" customWidth="1"/>
    <col min="1806" max="1806" width="13.140625" style="176" bestFit="1" customWidth="1"/>
    <col min="1807" max="2048" width="9.140625" style="176"/>
    <col min="2049" max="2049" width="9.140625" style="176" customWidth="1"/>
    <col min="2050" max="2050" width="25.85546875" style="176" customWidth="1"/>
    <col min="2051" max="2051" width="5.7109375" style="176" bestFit="1" customWidth="1"/>
    <col min="2052" max="2052" width="7.140625" style="176" bestFit="1" customWidth="1"/>
    <col min="2053" max="2053" width="7.28515625" style="176" bestFit="1" customWidth="1"/>
    <col min="2054" max="2054" width="6.140625" style="176" bestFit="1" customWidth="1"/>
    <col min="2055" max="2057" width="7.28515625" style="176" bestFit="1" customWidth="1"/>
    <col min="2058" max="2058" width="8" style="176" bestFit="1" customWidth="1"/>
    <col min="2059" max="2059" width="8.28515625" style="176" customWidth="1"/>
    <col min="2060" max="2061" width="10.42578125" style="176" bestFit="1" customWidth="1"/>
    <col min="2062" max="2062" width="13.140625" style="176" bestFit="1" customWidth="1"/>
    <col min="2063" max="2304" width="9.140625" style="176"/>
    <col min="2305" max="2305" width="9.140625" style="176" customWidth="1"/>
    <col min="2306" max="2306" width="25.85546875" style="176" customWidth="1"/>
    <col min="2307" max="2307" width="5.7109375" style="176" bestFit="1" customWidth="1"/>
    <col min="2308" max="2308" width="7.140625" style="176" bestFit="1" customWidth="1"/>
    <col min="2309" max="2309" width="7.28515625" style="176" bestFit="1" customWidth="1"/>
    <col min="2310" max="2310" width="6.140625" style="176" bestFit="1" customWidth="1"/>
    <col min="2311" max="2313" width="7.28515625" style="176" bestFit="1" customWidth="1"/>
    <col min="2314" max="2314" width="8" style="176" bestFit="1" customWidth="1"/>
    <col min="2315" max="2315" width="8.28515625" style="176" customWidth="1"/>
    <col min="2316" max="2317" width="10.42578125" style="176" bestFit="1" customWidth="1"/>
    <col min="2318" max="2318" width="13.140625" style="176" bestFit="1" customWidth="1"/>
    <col min="2319" max="2560" width="9.140625" style="176"/>
    <col min="2561" max="2561" width="9.140625" style="176" customWidth="1"/>
    <col min="2562" max="2562" width="25.85546875" style="176" customWidth="1"/>
    <col min="2563" max="2563" width="5.7109375" style="176" bestFit="1" customWidth="1"/>
    <col min="2564" max="2564" width="7.140625" style="176" bestFit="1" customWidth="1"/>
    <col min="2565" max="2565" width="7.28515625" style="176" bestFit="1" customWidth="1"/>
    <col min="2566" max="2566" width="6.140625" style="176" bestFit="1" customWidth="1"/>
    <col min="2567" max="2569" width="7.28515625" style="176" bestFit="1" customWidth="1"/>
    <col min="2570" max="2570" width="8" style="176" bestFit="1" customWidth="1"/>
    <col min="2571" max="2571" width="8.28515625" style="176" customWidth="1"/>
    <col min="2572" max="2573" width="10.42578125" style="176" bestFit="1" customWidth="1"/>
    <col min="2574" max="2574" width="13.140625" style="176" bestFit="1" customWidth="1"/>
    <col min="2575" max="2816" width="9.140625" style="176"/>
    <col min="2817" max="2817" width="9.140625" style="176" customWidth="1"/>
    <col min="2818" max="2818" width="25.85546875" style="176" customWidth="1"/>
    <col min="2819" max="2819" width="5.7109375" style="176" bestFit="1" customWidth="1"/>
    <col min="2820" max="2820" width="7.140625" style="176" bestFit="1" customWidth="1"/>
    <col min="2821" max="2821" width="7.28515625" style="176" bestFit="1" customWidth="1"/>
    <col min="2822" max="2822" width="6.140625" style="176" bestFit="1" customWidth="1"/>
    <col min="2823" max="2825" width="7.28515625" style="176" bestFit="1" customWidth="1"/>
    <col min="2826" max="2826" width="8" style="176" bestFit="1" customWidth="1"/>
    <col min="2827" max="2827" width="8.28515625" style="176" customWidth="1"/>
    <col min="2828" max="2829" width="10.42578125" style="176" bestFit="1" customWidth="1"/>
    <col min="2830" max="2830" width="13.140625" style="176" bestFit="1" customWidth="1"/>
    <col min="2831" max="3072" width="9.140625" style="176"/>
    <col min="3073" max="3073" width="9.140625" style="176" customWidth="1"/>
    <col min="3074" max="3074" width="25.85546875" style="176" customWidth="1"/>
    <col min="3075" max="3075" width="5.7109375" style="176" bestFit="1" customWidth="1"/>
    <col min="3076" max="3076" width="7.140625" style="176" bestFit="1" customWidth="1"/>
    <col min="3077" max="3077" width="7.28515625" style="176" bestFit="1" customWidth="1"/>
    <col min="3078" max="3078" width="6.140625" style="176" bestFit="1" customWidth="1"/>
    <col min="3079" max="3081" width="7.28515625" style="176" bestFit="1" customWidth="1"/>
    <col min="3082" max="3082" width="8" style="176" bestFit="1" customWidth="1"/>
    <col min="3083" max="3083" width="8.28515625" style="176" customWidth="1"/>
    <col min="3084" max="3085" width="10.42578125" style="176" bestFit="1" customWidth="1"/>
    <col min="3086" max="3086" width="13.140625" style="176" bestFit="1" customWidth="1"/>
    <col min="3087" max="3328" width="9.140625" style="176"/>
    <col min="3329" max="3329" width="9.140625" style="176" customWidth="1"/>
    <col min="3330" max="3330" width="25.85546875" style="176" customWidth="1"/>
    <col min="3331" max="3331" width="5.7109375" style="176" bestFit="1" customWidth="1"/>
    <col min="3332" max="3332" width="7.140625" style="176" bestFit="1" customWidth="1"/>
    <col min="3333" max="3333" width="7.28515625" style="176" bestFit="1" customWidth="1"/>
    <col min="3334" max="3334" width="6.140625" style="176" bestFit="1" customWidth="1"/>
    <col min="3335" max="3337" width="7.28515625" style="176" bestFit="1" customWidth="1"/>
    <col min="3338" max="3338" width="8" style="176" bestFit="1" customWidth="1"/>
    <col min="3339" max="3339" width="8.28515625" style="176" customWidth="1"/>
    <col min="3340" max="3341" width="10.42578125" style="176" bestFit="1" customWidth="1"/>
    <col min="3342" max="3342" width="13.140625" style="176" bestFit="1" customWidth="1"/>
    <col min="3343" max="3584" width="9.140625" style="176"/>
    <col min="3585" max="3585" width="9.140625" style="176" customWidth="1"/>
    <col min="3586" max="3586" width="25.85546875" style="176" customWidth="1"/>
    <col min="3587" max="3587" width="5.7109375" style="176" bestFit="1" customWidth="1"/>
    <col min="3588" max="3588" width="7.140625" style="176" bestFit="1" customWidth="1"/>
    <col min="3589" max="3589" width="7.28515625" style="176" bestFit="1" customWidth="1"/>
    <col min="3590" max="3590" width="6.140625" style="176" bestFit="1" customWidth="1"/>
    <col min="3591" max="3593" width="7.28515625" style="176" bestFit="1" customWidth="1"/>
    <col min="3594" max="3594" width="8" style="176" bestFit="1" customWidth="1"/>
    <col min="3595" max="3595" width="8.28515625" style="176" customWidth="1"/>
    <col min="3596" max="3597" width="10.42578125" style="176" bestFit="1" customWidth="1"/>
    <col min="3598" max="3598" width="13.140625" style="176" bestFit="1" customWidth="1"/>
    <col min="3599" max="3840" width="9.140625" style="176"/>
    <col min="3841" max="3841" width="9.140625" style="176" customWidth="1"/>
    <col min="3842" max="3842" width="25.85546875" style="176" customWidth="1"/>
    <col min="3843" max="3843" width="5.7109375" style="176" bestFit="1" customWidth="1"/>
    <col min="3844" max="3844" width="7.140625" style="176" bestFit="1" customWidth="1"/>
    <col min="3845" max="3845" width="7.28515625" style="176" bestFit="1" customWidth="1"/>
    <col min="3846" max="3846" width="6.140625" style="176" bestFit="1" customWidth="1"/>
    <col min="3847" max="3849" width="7.28515625" style="176" bestFit="1" customWidth="1"/>
    <col min="3850" max="3850" width="8" style="176" bestFit="1" customWidth="1"/>
    <col min="3851" max="3851" width="8.28515625" style="176" customWidth="1"/>
    <col min="3852" max="3853" width="10.42578125" style="176" bestFit="1" customWidth="1"/>
    <col min="3854" max="3854" width="13.140625" style="176" bestFit="1" customWidth="1"/>
    <col min="3855" max="4096" width="9.140625" style="176"/>
    <col min="4097" max="4097" width="9.140625" style="176" customWidth="1"/>
    <col min="4098" max="4098" width="25.85546875" style="176" customWidth="1"/>
    <col min="4099" max="4099" width="5.7109375" style="176" bestFit="1" customWidth="1"/>
    <col min="4100" max="4100" width="7.140625" style="176" bestFit="1" customWidth="1"/>
    <col min="4101" max="4101" width="7.28515625" style="176" bestFit="1" customWidth="1"/>
    <col min="4102" max="4102" width="6.140625" style="176" bestFit="1" customWidth="1"/>
    <col min="4103" max="4105" width="7.28515625" style="176" bestFit="1" customWidth="1"/>
    <col min="4106" max="4106" width="8" style="176" bestFit="1" customWidth="1"/>
    <col min="4107" max="4107" width="8.28515625" style="176" customWidth="1"/>
    <col min="4108" max="4109" width="10.42578125" style="176" bestFit="1" customWidth="1"/>
    <col min="4110" max="4110" width="13.140625" style="176" bestFit="1" customWidth="1"/>
    <col min="4111" max="4352" width="9.140625" style="176"/>
    <col min="4353" max="4353" width="9.140625" style="176" customWidth="1"/>
    <col min="4354" max="4354" width="25.85546875" style="176" customWidth="1"/>
    <col min="4355" max="4355" width="5.7109375" style="176" bestFit="1" customWidth="1"/>
    <col min="4356" max="4356" width="7.140625" style="176" bestFit="1" customWidth="1"/>
    <col min="4357" max="4357" width="7.28515625" style="176" bestFit="1" customWidth="1"/>
    <col min="4358" max="4358" width="6.140625" style="176" bestFit="1" customWidth="1"/>
    <col min="4359" max="4361" width="7.28515625" style="176" bestFit="1" customWidth="1"/>
    <col min="4362" max="4362" width="8" style="176" bestFit="1" customWidth="1"/>
    <col min="4363" max="4363" width="8.28515625" style="176" customWidth="1"/>
    <col min="4364" max="4365" width="10.42578125" style="176" bestFit="1" customWidth="1"/>
    <col min="4366" max="4366" width="13.140625" style="176" bestFit="1" customWidth="1"/>
    <col min="4367" max="4608" width="9.140625" style="176"/>
    <col min="4609" max="4609" width="9.140625" style="176" customWidth="1"/>
    <col min="4610" max="4610" width="25.85546875" style="176" customWidth="1"/>
    <col min="4611" max="4611" width="5.7109375" style="176" bestFit="1" customWidth="1"/>
    <col min="4612" max="4612" width="7.140625" style="176" bestFit="1" customWidth="1"/>
    <col min="4613" max="4613" width="7.28515625" style="176" bestFit="1" customWidth="1"/>
    <col min="4614" max="4614" width="6.140625" style="176" bestFit="1" customWidth="1"/>
    <col min="4615" max="4617" width="7.28515625" style="176" bestFit="1" customWidth="1"/>
    <col min="4618" max="4618" width="8" style="176" bestFit="1" customWidth="1"/>
    <col min="4619" max="4619" width="8.28515625" style="176" customWidth="1"/>
    <col min="4620" max="4621" width="10.42578125" style="176" bestFit="1" customWidth="1"/>
    <col min="4622" max="4622" width="13.140625" style="176" bestFit="1" customWidth="1"/>
    <col min="4623" max="4864" width="9.140625" style="176"/>
    <col min="4865" max="4865" width="9.140625" style="176" customWidth="1"/>
    <col min="4866" max="4866" width="25.85546875" style="176" customWidth="1"/>
    <col min="4867" max="4867" width="5.7109375" style="176" bestFit="1" customWidth="1"/>
    <col min="4868" max="4868" width="7.140625" style="176" bestFit="1" customWidth="1"/>
    <col min="4869" max="4869" width="7.28515625" style="176" bestFit="1" customWidth="1"/>
    <col min="4870" max="4870" width="6.140625" style="176" bestFit="1" customWidth="1"/>
    <col min="4871" max="4873" width="7.28515625" style="176" bestFit="1" customWidth="1"/>
    <col min="4874" max="4874" width="8" style="176" bestFit="1" customWidth="1"/>
    <col min="4875" max="4875" width="8.28515625" style="176" customWidth="1"/>
    <col min="4876" max="4877" width="10.42578125" style="176" bestFit="1" customWidth="1"/>
    <col min="4878" max="4878" width="13.140625" style="176" bestFit="1" customWidth="1"/>
    <col min="4879" max="5120" width="9.140625" style="176"/>
    <col min="5121" max="5121" width="9.140625" style="176" customWidth="1"/>
    <col min="5122" max="5122" width="25.85546875" style="176" customWidth="1"/>
    <col min="5123" max="5123" width="5.7109375" style="176" bestFit="1" customWidth="1"/>
    <col min="5124" max="5124" width="7.140625" style="176" bestFit="1" customWidth="1"/>
    <col min="5125" max="5125" width="7.28515625" style="176" bestFit="1" customWidth="1"/>
    <col min="5126" max="5126" width="6.140625" style="176" bestFit="1" customWidth="1"/>
    <col min="5127" max="5129" width="7.28515625" style="176" bestFit="1" customWidth="1"/>
    <col min="5130" max="5130" width="8" style="176" bestFit="1" customWidth="1"/>
    <col min="5131" max="5131" width="8.28515625" style="176" customWidth="1"/>
    <col min="5132" max="5133" width="10.42578125" style="176" bestFit="1" customWidth="1"/>
    <col min="5134" max="5134" width="13.140625" style="176" bestFit="1" customWidth="1"/>
    <col min="5135" max="5376" width="9.140625" style="176"/>
    <col min="5377" max="5377" width="9.140625" style="176" customWidth="1"/>
    <col min="5378" max="5378" width="25.85546875" style="176" customWidth="1"/>
    <col min="5379" max="5379" width="5.7109375" style="176" bestFit="1" customWidth="1"/>
    <col min="5380" max="5380" width="7.140625" style="176" bestFit="1" customWidth="1"/>
    <col min="5381" max="5381" width="7.28515625" style="176" bestFit="1" customWidth="1"/>
    <col min="5382" max="5382" width="6.140625" style="176" bestFit="1" customWidth="1"/>
    <col min="5383" max="5385" width="7.28515625" style="176" bestFit="1" customWidth="1"/>
    <col min="5386" max="5386" width="8" style="176" bestFit="1" customWidth="1"/>
    <col min="5387" max="5387" width="8.28515625" style="176" customWidth="1"/>
    <col min="5388" max="5389" width="10.42578125" style="176" bestFit="1" customWidth="1"/>
    <col min="5390" max="5390" width="13.140625" style="176" bestFit="1" customWidth="1"/>
    <col min="5391" max="5632" width="9.140625" style="176"/>
    <col min="5633" max="5633" width="9.140625" style="176" customWidth="1"/>
    <col min="5634" max="5634" width="25.85546875" style="176" customWidth="1"/>
    <col min="5635" max="5635" width="5.7109375" style="176" bestFit="1" customWidth="1"/>
    <col min="5636" max="5636" width="7.140625" style="176" bestFit="1" customWidth="1"/>
    <col min="5637" max="5637" width="7.28515625" style="176" bestFit="1" customWidth="1"/>
    <col min="5638" max="5638" width="6.140625" style="176" bestFit="1" customWidth="1"/>
    <col min="5639" max="5641" width="7.28515625" style="176" bestFit="1" customWidth="1"/>
    <col min="5642" max="5642" width="8" style="176" bestFit="1" customWidth="1"/>
    <col min="5643" max="5643" width="8.28515625" style="176" customWidth="1"/>
    <col min="5644" max="5645" width="10.42578125" style="176" bestFit="1" customWidth="1"/>
    <col min="5646" max="5646" width="13.140625" style="176" bestFit="1" customWidth="1"/>
    <col min="5647" max="5888" width="9.140625" style="176"/>
    <col min="5889" max="5889" width="9.140625" style="176" customWidth="1"/>
    <col min="5890" max="5890" width="25.85546875" style="176" customWidth="1"/>
    <col min="5891" max="5891" width="5.7109375" style="176" bestFit="1" customWidth="1"/>
    <col min="5892" max="5892" width="7.140625" style="176" bestFit="1" customWidth="1"/>
    <col min="5893" max="5893" width="7.28515625" style="176" bestFit="1" customWidth="1"/>
    <col min="5894" max="5894" width="6.140625" style="176" bestFit="1" customWidth="1"/>
    <col min="5895" max="5897" width="7.28515625" style="176" bestFit="1" customWidth="1"/>
    <col min="5898" max="5898" width="8" style="176" bestFit="1" customWidth="1"/>
    <col min="5899" max="5899" width="8.28515625" style="176" customWidth="1"/>
    <col min="5900" max="5901" width="10.42578125" style="176" bestFit="1" customWidth="1"/>
    <col min="5902" max="5902" width="13.140625" style="176" bestFit="1" customWidth="1"/>
    <col min="5903" max="6144" width="9.140625" style="176"/>
    <col min="6145" max="6145" width="9.140625" style="176" customWidth="1"/>
    <col min="6146" max="6146" width="25.85546875" style="176" customWidth="1"/>
    <col min="6147" max="6147" width="5.7109375" style="176" bestFit="1" customWidth="1"/>
    <col min="6148" max="6148" width="7.140625" style="176" bestFit="1" customWidth="1"/>
    <col min="6149" max="6149" width="7.28515625" style="176" bestFit="1" customWidth="1"/>
    <col min="6150" max="6150" width="6.140625" style="176" bestFit="1" customWidth="1"/>
    <col min="6151" max="6153" width="7.28515625" style="176" bestFit="1" customWidth="1"/>
    <col min="6154" max="6154" width="8" style="176" bestFit="1" customWidth="1"/>
    <col min="6155" max="6155" width="8.28515625" style="176" customWidth="1"/>
    <col min="6156" max="6157" width="10.42578125" style="176" bestFit="1" customWidth="1"/>
    <col min="6158" max="6158" width="13.140625" style="176" bestFit="1" customWidth="1"/>
    <col min="6159" max="6400" width="9.140625" style="176"/>
    <col min="6401" max="6401" width="9.140625" style="176" customWidth="1"/>
    <col min="6402" max="6402" width="25.85546875" style="176" customWidth="1"/>
    <col min="6403" max="6403" width="5.7109375" style="176" bestFit="1" customWidth="1"/>
    <col min="6404" max="6404" width="7.140625" style="176" bestFit="1" customWidth="1"/>
    <col min="6405" max="6405" width="7.28515625" style="176" bestFit="1" customWidth="1"/>
    <col min="6406" max="6406" width="6.140625" style="176" bestFit="1" customWidth="1"/>
    <col min="6407" max="6409" width="7.28515625" style="176" bestFit="1" customWidth="1"/>
    <col min="6410" max="6410" width="8" style="176" bestFit="1" customWidth="1"/>
    <col min="6411" max="6411" width="8.28515625" style="176" customWidth="1"/>
    <col min="6412" max="6413" width="10.42578125" style="176" bestFit="1" customWidth="1"/>
    <col min="6414" max="6414" width="13.140625" style="176" bestFit="1" customWidth="1"/>
    <col min="6415" max="6656" width="9.140625" style="176"/>
    <col min="6657" max="6657" width="9.140625" style="176" customWidth="1"/>
    <col min="6658" max="6658" width="25.85546875" style="176" customWidth="1"/>
    <col min="6659" max="6659" width="5.7109375" style="176" bestFit="1" customWidth="1"/>
    <col min="6660" max="6660" width="7.140625" style="176" bestFit="1" customWidth="1"/>
    <col min="6661" max="6661" width="7.28515625" style="176" bestFit="1" customWidth="1"/>
    <col min="6662" max="6662" width="6.140625" style="176" bestFit="1" customWidth="1"/>
    <col min="6663" max="6665" width="7.28515625" style="176" bestFit="1" customWidth="1"/>
    <col min="6666" max="6666" width="8" style="176" bestFit="1" customWidth="1"/>
    <col min="6667" max="6667" width="8.28515625" style="176" customWidth="1"/>
    <col min="6668" max="6669" width="10.42578125" style="176" bestFit="1" customWidth="1"/>
    <col min="6670" max="6670" width="13.140625" style="176" bestFit="1" customWidth="1"/>
    <col min="6671" max="6912" width="9.140625" style="176"/>
    <col min="6913" max="6913" width="9.140625" style="176" customWidth="1"/>
    <col min="6914" max="6914" width="25.85546875" style="176" customWidth="1"/>
    <col min="6915" max="6915" width="5.7109375" style="176" bestFit="1" customWidth="1"/>
    <col min="6916" max="6916" width="7.140625" style="176" bestFit="1" customWidth="1"/>
    <col min="6917" max="6917" width="7.28515625" style="176" bestFit="1" customWidth="1"/>
    <col min="6918" max="6918" width="6.140625" style="176" bestFit="1" customWidth="1"/>
    <col min="6919" max="6921" width="7.28515625" style="176" bestFit="1" customWidth="1"/>
    <col min="6922" max="6922" width="8" style="176" bestFit="1" customWidth="1"/>
    <col min="6923" max="6923" width="8.28515625" style="176" customWidth="1"/>
    <col min="6924" max="6925" width="10.42578125" style="176" bestFit="1" customWidth="1"/>
    <col min="6926" max="6926" width="13.140625" style="176" bestFit="1" customWidth="1"/>
    <col min="6927" max="7168" width="9.140625" style="176"/>
    <col min="7169" max="7169" width="9.140625" style="176" customWidth="1"/>
    <col min="7170" max="7170" width="25.85546875" style="176" customWidth="1"/>
    <col min="7171" max="7171" width="5.7109375" style="176" bestFit="1" customWidth="1"/>
    <col min="7172" max="7172" width="7.140625" style="176" bestFit="1" customWidth="1"/>
    <col min="7173" max="7173" width="7.28515625" style="176" bestFit="1" customWidth="1"/>
    <col min="7174" max="7174" width="6.140625" style="176" bestFit="1" customWidth="1"/>
    <col min="7175" max="7177" width="7.28515625" style="176" bestFit="1" customWidth="1"/>
    <col min="7178" max="7178" width="8" style="176" bestFit="1" customWidth="1"/>
    <col min="7179" max="7179" width="8.28515625" style="176" customWidth="1"/>
    <col min="7180" max="7181" width="10.42578125" style="176" bestFit="1" customWidth="1"/>
    <col min="7182" max="7182" width="13.140625" style="176" bestFit="1" customWidth="1"/>
    <col min="7183" max="7424" width="9.140625" style="176"/>
    <col min="7425" max="7425" width="9.140625" style="176" customWidth="1"/>
    <col min="7426" max="7426" width="25.85546875" style="176" customWidth="1"/>
    <col min="7427" max="7427" width="5.7109375" style="176" bestFit="1" customWidth="1"/>
    <col min="7428" max="7428" width="7.140625" style="176" bestFit="1" customWidth="1"/>
    <col min="7429" max="7429" width="7.28515625" style="176" bestFit="1" customWidth="1"/>
    <col min="7430" max="7430" width="6.140625" style="176" bestFit="1" customWidth="1"/>
    <col min="7431" max="7433" width="7.28515625" style="176" bestFit="1" customWidth="1"/>
    <col min="7434" max="7434" width="8" style="176" bestFit="1" customWidth="1"/>
    <col min="7435" max="7435" width="8.28515625" style="176" customWidth="1"/>
    <col min="7436" max="7437" width="10.42578125" style="176" bestFit="1" customWidth="1"/>
    <col min="7438" max="7438" width="13.140625" style="176" bestFit="1" customWidth="1"/>
    <col min="7439" max="7680" width="9.140625" style="176"/>
    <col min="7681" max="7681" width="9.140625" style="176" customWidth="1"/>
    <col min="7682" max="7682" width="25.85546875" style="176" customWidth="1"/>
    <col min="7683" max="7683" width="5.7109375" style="176" bestFit="1" customWidth="1"/>
    <col min="7684" max="7684" width="7.140625" style="176" bestFit="1" customWidth="1"/>
    <col min="7685" max="7685" width="7.28515625" style="176" bestFit="1" customWidth="1"/>
    <col min="7686" max="7686" width="6.140625" style="176" bestFit="1" customWidth="1"/>
    <col min="7687" max="7689" width="7.28515625" style="176" bestFit="1" customWidth="1"/>
    <col min="7690" max="7690" width="8" style="176" bestFit="1" customWidth="1"/>
    <col min="7691" max="7691" width="8.28515625" style="176" customWidth="1"/>
    <col min="7692" max="7693" width="10.42578125" style="176" bestFit="1" customWidth="1"/>
    <col min="7694" max="7694" width="13.140625" style="176" bestFit="1" customWidth="1"/>
    <col min="7695" max="7936" width="9.140625" style="176"/>
    <col min="7937" max="7937" width="9.140625" style="176" customWidth="1"/>
    <col min="7938" max="7938" width="25.85546875" style="176" customWidth="1"/>
    <col min="7939" max="7939" width="5.7109375" style="176" bestFit="1" customWidth="1"/>
    <col min="7940" max="7940" width="7.140625" style="176" bestFit="1" customWidth="1"/>
    <col min="7941" max="7941" width="7.28515625" style="176" bestFit="1" customWidth="1"/>
    <col min="7942" max="7942" width="6.140625" style="176" bestFit="1" customWidth="1"/>
    <col min="7943" max="7945" width="7.28515625" style="176" bestFit="1" customWidth="1"/>
    <col min="7946" max="7946" width="8" style="176" bestFit="1" customWidth="1"/>
    <col min="7947" max="7947" width="8.28515625" style="176" customWidth="1"/>
    <col min="7948" max="7949" width="10.42578125" style="176" bestFit="1" customWidth="1"/>
    <col min="7950" max="7950" width="13.140625" style="176" bestFit="1" customWidth="1"/>
    <col min="7951" max="8192" width="9.140625" style="176"/>
    <col min="8193" max="8193" width="9.140625" style="176" customWidth="1"/>
    <col min="8194" max="8194" width="25.85546875" style="176" customWidth="1"/>
    <col min="8195" max="8195" width="5.7109375" style="176" bestFit="1" customWidth="1"/>
    <col min="8196" max="8196" width="7.140625" style="176" bestFit="1" customWidth="1"/>
    <col min="8197" max="8197" width="7.28515625" style="176" bestFit="1" customWidth="1"/>
    <col min="8198" max="8198" width="6.140625" style="176" bestFit="1" customWidth="1"/>
    <col min="8199" max="8201" width="7.28515625" style="176" bestFit="1" customWidth="1"/>
    <col min="8202" max="8202" width="8" style="176" bestFit="1" customWidth="1"/>
    <col min="8203" max="8203" width="8.28515625" style="176" customWidth="1"/>
    <col min="8204" max="8205" width="10.42578125" style="176" bestFit="1" customWidth="1"/>
    <col min="8206" max="8206" width="13.140625" style="176" bestFit="1" customWidth="1"/>
    <col min="8207" max="8448" width="9.140625" style="176"/>
    <col min="8449" max="8449" width="9.140625" style="176" customWidth="1"/>
    <col min="8450" max="8450" width="25.85546875" style="176" customWidth="1"/>
    <col min="8451" max="8451" width="5.7109375" style="176" bestFit="1" customWidth="1"/>
    <col min="8452" max="8452" width="7.140625" style="176" bestFit="1" customWidth="1"/>
    <col min="8453" max="8453" width="7.28515625" style="176" bestFit="1" customWidth="1"/>
    <col min="8454" max="8454" width="6.140625" style="176" bestFit="1" customWidth="1"/>
    <col min="8455" max="8457" width="7.28515625" style="176" bestFit="1" customWidth="1"/>
    <col min="8458" max="8458" width="8" style="176" bestFit="1" customWidth="1"/>
    <col min="8459" max="8459" width="8.28515625" style="176" customWidth="1"/>
    <col min="8460" max="8461" width="10.42578125" style="176" bestFit="1" customWidth="1"/>
    <col min="8462" max="8462" width="13.140625" style="176" bestFit="1" customWidth="1"/>
    <col min="8463" max="8704" width="9.140625" style="176"/>
    <col min="8705" max="8705" width="9.140625" style="176" customWidth="1"/>
    <col min="8706" max="8706" width="25.85546875" style="176" customWidth="1"/>
    <col min="8707" max="8707" width="5.7109375" style="176" bestFit="1" customWidth="1"/>
    <col min="8708" max="8708" width="7.140625" style="176" bestFit="1" customWidth="1"/>
    <col min="8709" max="8709" width="7.28515625" style="176" bestFit="1" customWidth="1"/>
    <col min="8710" max="8710" width="6.140625" style="176" bestFit="1" customWidth="1"/>
    <col min="8711" max="8713" width="7.28515625" style="176" bestFit="1" customWidth="1"/>
    <col min="8714" max="8714" width="8" style="176" bestFit="1" customWidth="1"/>
    <col min="8715" max="8715" width="8.28515625" style="176" customWidth="1"/>
    <col min="8716" max="8717" width="10.42578125" style="176" bestFit="1" customWidth="1"/>
    <col min="8718" max="8718" width="13.140625" style="176" bestFit="1" customWidth="1"/>
    <col min="8719" max="8960" width="9.140625" style="176"/>
    <col min="8961" max="8961" width="9.140625" style="176" customWidth="1"/>
    <col min="8962" max="8962" width="25.85546875" style="176" customWidth="1"/>
    <col min="8963" max="8963" width="5.7109375" style="176" bestFit="1" customWidth="1"/>
    <col min="8964" max="8964" width="7.140625" style="176" bestFit="1" customWidth="1"/>
    <col min="8965" max="8965" width="7.28515625" style="176" bestFit="1" customWidth="1"/>
    <col min="8966" max="8966" width="6.140625" style="176" bestFit="1" customWidth="1"/>
    <col min="8967" max="8969" width="7.28515625" style="176" bestFit="1" customWidth="1"/>
    <col min="8970" max="8970" width="8" style="176" bestFit="1" customWidth="1"/>
    <col min="8971" max="8971" width="8.28515625" style="176" customWidth="1"/>
    <col min="8972" max="8973" width="10.42578125" style="176" bestFit="1" customWidth="1"/>
    <col min="8974" max="8974" width="13.140625" style="176" bestFit="1" customWidth="1"/>
    <col min="8975" max="9216" width="9.140625" style="176"/>
    <col min="9217" max="9217" width="9.140625" style="176" customWidth="1"/>
    <col min="9218" max="9218" width="25.85546875" style="176" customWidth="1"/>
    <col min="9219" max="9219" width="5.7109375" style="176" bestFit="1" customWidth="1"/>
    <col min="9220" max="9220" width="7.140625" style="176" bestFit="1" customWidth="1"/>
    <col min="9221" max="9221" width="7.28515625" style="176" bestFit="1" customWidth="1"/>
    <col min="9222" max="9222" width="6.140625" style="176" bestFit="1" customWidth="1"/>
    <col min="9223" max="9225" width="7.28515625" style="176" bestFit="1" customWidth="1"/>
    <col min="9226" max="9226" width="8" style="176" bestFit="1" customWidth="1"/>
    <col min="9227" max="9227" width="8.28515625" style="176" customWidth="1"/>
    <col min="9228" max="9229" width="10.42578125" style="176" bestFit="1" customWidth="1"/>
    <col min="9230" max="9230" width="13.140625" style="176" bestFit="1" customWidth="1"/>
    <col min="9231" max="9472" width="9.140625" style="176"/>
    <col min="9473" max="9473" width="9.140625" style="176" customWidth="1"/>
    <col min="9474" max="9474" width="25.85546875" style="176" customWidth="1"/>
    <col min="9475" max="9475" width="5.7109375" style="176" bestFit="1" customWidth="1"/>
    <col min="9476" max="9476" width="7.140625" style="176" bestFit="1" customWidth="1"/>
    <col min="9477" max="9477" width="7.28515625" style="176" bestFit="1" customWidth="1"/>
    <col min="9478" max="9478" width="6.140625" style="176" bestFit="1" customWidth="1"/>
    <col min="9479" max="9481" width="7.28515625" style="176" bestFit="1" customWidth="1"/>
    <col min="9482" max="9482" width="8" style="176" bestFit="1" customWidth="1"/>
    <col min="9483" max="9483" width="8.28515625" style="176" customWidth="1"/>
    <col min="9484" max="9485" width="10.42578125" style="176" bestFit="1" customWidth="1"/>
    <col min="9486" max="9486" width="13.140625" style="176" bestFit="1" customWidth="1"/>
    <col min="9487" max="9728" width="9.140625" style="176"/>
    <col min="9729" max="9729" width="9.140625" style="176" customWidth="1"/>
    <col min="9730" max="9730" width="25.85546875" style="176" customWidth="1"/>
    <col min="9731" max="9731" width="5.7109375" style="176" bestFit="1" customWidth="1"/>
    <col min="9732" max="9732" width="7.140625" style="176" bestFit="1" customWidth="1"/>
    <col min="9733" max="9733" width="7.28515625" style="176" bestFit="1" customWidth="1"/>
    <col min="9734" max="9734" width="6.140625" style="176" bestFit="1" customWidth="1"/>
    <col min="9735" max="9737" width="7.28515625" style="176" bestFit="1" customWidth="1"/>
    <col min="9738" max="9738" width="8" style="176" bestFit="1" customWidth="1"/>
    <col min="9739" max="9739" width="8.28515625" style="176" customWidth="1"/>
    <col min="9740" max="9741" width="10.42578125" style="176" bestFit="1" customWidth="1"/>
    <col min="9742" max="9742" width="13.140625" style="176" bestFit="1" customWidth="1"/>
    <col min="9743" max="9984" width="9.140625" style="176"/>
    <col min="9985" max="9985" width="9.140625" style="176" customWidth="1"/>
    <col min="9986" max="9986" width="25.85546875" style="176" customWidth="1"/>
    <col min="9987" max="9987" width="5.7109375" style="176" bestFit="1" customWidth="1"/>
    <col min="9988" max="9988" width="7.140625" style="176" bestFit="1" customWidth="1"/>
    <col min="9989" max="9989" width="7.28515625" style="176" bestFit="1" customWidth="1"/>
    <col min="9990" max="9990" width="6.140625" style="176" bestFit="1" customWidth="1"/>
    <col min="9991" max="9993" width="7.28515625" style="176" bestFit="1" customWidth="1"/>
    <col min="9994" max="9994" width="8" style="176" bestFit="1" customWidth="1"/>
    <col min="9995" max="9995" width="8.28515625" style="176" customWidth="1"/>
    <col min="9996" max="9997" width="10.42578125" style="176" bestFit="1" customWidth="1"/>
    <col min="9998" max="9998" width="13.140625" style="176" bestFit="1" customWidth="1"/>
    <col min="9999" max="10240" width="9.140625" style="176"/>
    <col min="10241" max="10241" width="9.140625" style="176" customWidth="1"/>
    <col min="10242" max="10242" width="25.85546875" style="176" customWidth="1"/>
    <col min="10243" max="10243" width="5.7109375" style="176" bestFit="1" customWidth="1"/>
    <col min="10244" max="10244" width="7.140625" style="176" bestFit="1" customWidth="1"/>
    <col min="10245" max="10245" width="7.28515625" style="176" bestFit="1" customWidth="1"/>
    <col min="10246" max="10246" width="6.140625" style="176" bestFit="1" customWidth="1"/>
    <col min="10247" max="10249" width="7.28515625" style="176" bestFit="1" customWidth="1"/>
    <col min="10250" max="10250" width="8" style="176" bestFit="1" customWidth="1"/>
    <col min="10251" max="10251" width="8.28515625" style="176" customWidth="1"/>
    <col min="10252" max="10253" width="10.42578125" style="176" bestFit="1" customWidth="1"/>
    <col min="10254" max="10254" width="13.140625" style="176" bestFit="1" customWidth="1"/>
    <col min="10255" max="10496" width="9.140625" style="176"/>
    <col min="10497" max="10497" width="9.140625" style="176" customWidth="1"/>
    <col min="10498" max="10498" width="25.85546875" style="176" customWidth="1"/>
    <col min="10499" max="10499" width="5.7109375" style="176" bestFit="1" customWidth="1"/>
    <col min="10500" max="10500" width="7.140625" style="176" bestFit="1" customWidth="1"/>
    <col min="10501" max="10501" width="7.28515625" style="176" bestFit="1" customWidth="1"/>
    <col min="10502" max="10502" width="6.140625" style="176" bestFit="1" customWidth="1"/>
    <col min="10503" max="10505" width="7.28515625" style="176" bestFit="1" customWidth="1"/>
    <col min="10506" max="10506" width="8" style="176" bestFit="1" customWidth="1"/>
    <col min="10507" max="10507" width="8.28515625" style="176" customWidth="1"/>
    <col min="10508" max="10509" width="10.42578125" style="176" bestFit="1" customWidth="1"/>
    <col min="10510" max="10510" width="13.140625" style="176" bestFit="1" customWidth="1"/>
    <col min="10511" max="10752" width="9.140625" style="176"/>
    <col min="10753" max="10753" width="9.140625" style="176" customWidth="1"/>
    <col min="10754" max="10754" width="25.85546875" style="176" customWidth="1"/>
    <col min="10755" max="10755" width="5.7109375" style="176" bestFit="1" customWidth="1"/>
    <col min="10756" max="10756" width="7.140625" style="176" bestFit="1" customWidth="1"/>
    <col min="10757" max="10757" width="7.28515625" style="176" bestFit="1" customWidth="1"/>
    <col min="10758" max="10758" width="6.140625" style="176" bestFit="1" customWidth="1"/>
    <col min="10759" max="10761" width="7.28515625" style="176" bestFit="1" customWidth="1"/>
    <col min="10762" max="10762" width="8" style="176" bestFit="1" customWidth="1"/>
    <col min="10763" max="10763" width="8.28515625" style="176" customWidth="1"/>
    <col min="10764" max="10765" width="10.42578125" style="176" bestFit="1" customWidth="1"/>
    <col min="10766" max="10766" width="13.140625" style="176" bestFit="1" customWidth="1"/>
    <col min="10767" max="11008" width="9.140625" style="176"/>
    <col min="11009" max="11009" width="9.140625" style="176" customWidth="1"/>
    <col min="11010" max="11010" width="25.85546875" style="176" customWidth="1"/>
    <col min="11011" max="11011" width="5.7109375" style="176" bestFit="1" customWidth="1"/>
    <col min="11012" max="11012" width="7.140625" style="176" bestFit="1" customWidth="1"/>
    <col min="11013" max="11013" width="7.28515625" style="176" bestFit="1" customWidth="1"/>
    <col min="11014" max="11014" width="6.140625" style="176" bestFit="1" customWidth="1"/>
    <col min="11015" max="11017" width="7.28515625" style="176" bestFit="1" customWidth="1"/>
    <col min="11018" max="11018" width="8" style="176" bestFit="1" customWidth="1"/>
    <col min="11019" max="11019" width="8.28515625" style="176" customWidth="1"/>
    <col min="11020" max="11021" width="10.42578125" style="176" bestFit="1" customWidth="1"/>
    <col min="11022" max="11022" width="13.140625" style="176" bestFit="1" customWidth="1"/>
    <col min="11023" max="11264" width="9.140625" style="176"/>
    <col min="11265" max="11265" width="9.140625" style="176" customWidth="1"/>
    <col min="11266" max="11266" width="25.85546875" style="176" customWidth="1"/>
    <col min="11267" max="11267" width="5.7109375" style="176" bestFit="1" customWidth="1"/>
    <col min="11268" max="11268" width="7.140625" style="176" bestFit="1" customWidth="1"/>
    <col min="11269" max="11269" width="7.28515625" style="176" bestFit="1" customWidth="1"/>
    <col min="11270" max="11270" width="6.140625" style="176" bestFit="1" customWidth="1"/>
    <col min="11271" max="11273" width="7.28515625" style="176" bestFit="1" customWidth="1"/>
    <col min="11274" max="11274" width="8" style="176" bestFit="1" customWidth="1"/>
    <col min="11275" max="11275" width="8.28515625" style="176" customWidth="1"/>
    <col min="11276" max="11277" width="10.42578125" style="176" bestFit="1" customWidth="1"/>
    <col min="11278" max="11278" width="13.140625" style="176" bestFit="1" customWidth="1"/>
    <col min="11279" max="11520" width="9.140625" style="176"/>
    <col min="11521" max="11521" width="9.140625" style="176" customWidth="1"/>
    <col min="11522" max="11522" width="25.85546875" style="176" customWidth="1"/>
    <col min="11523" max="11523" width="5.7109375" style="176" bestFit="1" customWidth="1"/>
    <col min="11524" max="11524" width="7.140625" style="176" bestFit="1" customWidth="1"/>
    <col min="11525" max="11525" width="7.28515625" style="176" bestFit="1" customWidth="1"/>
    <col min="11526" max="11526" width="6.140625" style="176" bestFit="1" customWidth="1"/>
    <col min="11527" max="11529" width="7.28515625" style="176" bestFit="1" customWidth="1"/>
    <col min="11530" max="11530" width="8" style="176" bestFit="1" customWidth="1"/>
    <col min="11531" max="11531" width="8.28515625" style="176" customWidth="1"/>
    <col min="11532" max="11533" width="10.42578125" style="176" bestFit="1" customWidth="1"/>
    <col min="11534" max="11534" width="13.140625" style="176" bestFit="1" customWidth="1"/>
    <col min="11535" max="11776" width="9.140625" style="176"/>
    <col min="11777" max="11777" width="9.140625" style="176" customWidth="1"/>
    <col min="11778" max="11778" width="25.85546875" style="176" customWidth="1"/>
    <col min="11779" max="11779" width="5.7109375" style="176" bestFit="1" customWidth="1"/>
    <col min="11780" max="11780" width="7.140625" style="176" bestFit="1" customWidth="1"/>
    <col min="11781" max="11781" width="7.28515625" style="176" bestFit="1" customWidth="1"/>
    <col min="11782" max="11782" width="6.140625" style="176" bestFit="1" customWidth="1"/>
    <col min="11783" max="11785" width="7.28515625" style="176" bestFit="1" customWidth="1"/>
    <col min="11786" max="11786" width="8" style="176" bestFit="1" customWidth="1"/>
    <col min="11787" max="11787" width="8.28515625" style="176" customWidth="1"/>
    <col min="11788" max="11789" width="10.42578125" style="176" bestFit="1" customWidth="1"/>
    <col min="11790" max="11790" width="13.140625" style="176" bestFit="1" customWidth="1"/>
    <col min="11791" max="12032" width="9.140625" style="176"/>
    <col min="12033" max="12033" width="9.140625" style="176" customWidth="1"/>
    <col min="12034" max="12034" width="25.85546875" style="176" customWidth="1"/>
    <col min="12035" max="12035" width="5.7109375" style="176" bestFit="1" customWidth="1"/>
    <col min="12036" max="12036" width="7.140625" style="176" bestFit="1" customWidth="1"/>
    <col min="12037" max="12037" width="7.28515625" style="176" bestFit="1" customWidth="1"/>
    <col min="12038" max="12038" width="6.140625" style="176" bestFit="1" customWidth="1"/>
    <col min="12039" max="12041" width="7.28515625" style="176" bestFit="1" customWidth="1"/>
    <col min="12042" max="12042" width="8" style="176" bestFit="1" customWidth="1"/>
    <col min="12043" max="12043" width="8.28515625" style="176" customWidth="1"/>
    <col min="12044" max="12045" width="10.42578125" style="176" bestFit="1" customWidth="1"/>
    <col min="12046" max="12046" width="13.140625" style="176" bestFit="1" customWidth="1"/>
    <col min="12047" max="12288" width="9.140625" style="176"/>
    <col min="12289" max="12289" width="9.140625" style="176" customWidth="1"/>
    <col min="12290" max="12290" width="25.85546875" style="176" customWidth="1"/>
    <col min="12291" max="12291" width="5.7109375" style="176" bestFit="1" customWidth="1"/>
    <col min="12292" max="12292" width="7.140625" style="176" bestFit="1" customWidth="1"/>
    <col min="12293" max="12293" width="7.28515625" style="176" bestFit="1" customWidth="1"/>
    <col min="12294" max="12294" width="6.140625" style="176" bestFit="1" customWidth="1"/>
    <col min="12295" max="12297" width="7.28515625" style="176" bestFit="1" customWidth="1"/>
    <col min="12298" max="12298" width="8" style="176" bestFit="1" customWidth="1"/>
    <col min="12299" max="12299" width="8.28515625" style="176" customWidth="1"/>
    <col min="12300" max="12301" width="10.42578125" style="176" bestFit="1" customWidth="1"/>
    <col min="12302" max="12302" width="13.140625" style="176" bestFit="1" customWidth="1"/>
    <col min="12303" max="12544" width="9.140625" style="176"/>
    <col min="12545" max="12545" width="9.140625" style="176" customWidth="1"/>
    <col min="12546" max="12546" width="25.85546875" style="176" customWidth="1"/>
    <col min="12547" max="12547" width="5.7109375" style="176" bestFit="1" customWidth="1"/>
    <col min="12548" max="12548" width="7.140625" style="176" bestFit="1" customWidth="1"/>
    <col min="12549" max="12549" width="7.28515625" style="176" bestFit="1" customWidth="1"/>
    <col min="12550" max="12550" width="6.140625" style="176" bestFit="1" customWidth="1"/>
    <col min="12551" max="12553" width="7.28515625" style="176" bestFit="1" customWidth="1"/>
    <col min="12554" max="12554" width="8" style="176" bestFit="1" customWidth="1"/>
    <col min="12555" max="12555" width="8.28515625" style="176" customWidth="1"/>
    <col min="12556" max="12557" width="10.42578125" style="176" bestFit="1" customWidth="1"/>
    <col min="12558" max="12558" width="13.140625" style="176" bestFit="1" customWidth="1"/>
    <col min="12559" max="12800" width="9.140625" style="176"/>
    <col min="12801" max="12801" width="9.140625" style="176" customWidth="1"/>
    <col min="12802" max="12802" width="25.85546875" style="176" customWidth="1"/>
    <col min="12803" max="12803" width="5.7109375" style="176" bestFit="1" customWidth="1"/>
    <col min="12804" max="12804" width="7.140625" style="176" bestFit="1" customWidth="1"/>
    <col min="12805" max="12805" width="7.28515625" style="176" bestFit="1" customWidth="1"/>
    <col min="12806" max="12806" width="6.140625" style="176" bestFit="1" customWidth="1"/>
    <col min="12807" max="12809" width="7.28515625" style="176" bestFit="1" customWidth="1"/>
    <col min="12810" max="12810" width="8" style="176" bestFit="1" customWidth="1"/>
    <col min="12811" max="12811" width="8.28515625" style="176" customWidth="1"/>
    <col min="12812" max="12813" width="10.42578125" style="176" bestFit="1" customWidth="1"/>
    <col min="12814" max="12814" width="13.140625" style="176" bestFit="1" customWidth="1"/>
    <col min="12815" max="13056" width="9.140625" style="176"/>
    <col min="13057" max="13057" width="9.140625" style="176" customWidth="1"/>
    <col min="13058" max="13058" width="25.85546875" style="176" customWidth="1"/>
    <col min="13059" max="13059" width="5.7109375" style="176" bestFit="1" customWidth="1"/>
    <col min="13060" max="13060" width="7.140625" style="176" bestFit="1" customWidth="1"/>
    <col min="13061" max="13061" width="7.28515625" style="176" bestFit="1" customWidth="1"/>
    <col min="13062" max="13062" width="6.140625" style="176" bestFit="1" customWidth="1"/>
    <col min="13063" max="13065" width="7.28515625" style="176" bestFit="1" customWidth="1"/>
    <col min="13066" max="13066" width="8" style="176" bestFit="1" customWidth="1"/>
    <col min="13067" max="13067" width="8.28515625" style="176" customWidth="1"/>
    <col min="13068" max="13069" width="10.42578125" style="176" bestFit="1" customWidth="1"/>
    <col min="13070" max="13070" width="13.140625" style="176" bestFit="1" customWidth="1"/>
    <col min="13071" max="13312" width="9.140625" style="176"/>
    <col min="13313" max="13313" width="9.140625" style="176" customWidth="1"/>
    <col min="13314" max="13314" width="25.85546875" style="176" customWidth="1"/>
    <col min="13315" max="13315" width="5.7109375" style="176" bestFit="1" customWidth="1"/>
    <col min="13316" max="13316" width="7.140625" style="176" bestFit="1" customWidth="1"/>
    <col min="13317" max="13317" width="7.28515625" style="176" bestFit="1" customWidth="1"/>
    <col min="13318" max="13318" width="6.140625" style="176" bestFit="1" customWidth="1"/>
    <col min="13319" max="13321" width="7.28515625" style="176" bestFit="1" customWidth="1"/>
    <col min="13322" max="13322" width="8" style="176" bestFit="1" customWidth="1"/>
    <col min="13323" max="13323" width="8.28515625" style="176" customWidth="1"/>
    <col min="13324" max="13325" width="10.42578125" style="176" bestFit="1" customWidth="1"/>
    <col min="13326" max="13326" width="13.140625" style="176" bestFit="1" customWidth="1"/>
    <col min="13327" max="13568" width="9.140625" style="176"/>
    <col min="13569" max="13569" width="9.140625" style="176" customWidth="1"/>
    <col min="13570" max="13570" width="25.85546875" style="176" customWidth="1"/>
    <col min="13571" max="13571" width="5.7109375" style="176" bestFit="1" customWidth="1"/>
    <col min="13572" max="13572" width="7.140625" style="176" bestFit="1" customWidth="1"/>
    <col min="13573" max="13573" width="7.28515625" style="176" bestFit="1" customWidth="1"/>
    <col min="13574" max="13574" width="6.140625" style="176" bestFit="1" customWidth="1"/>
    <col min="13575" max="13577" width="7.28515625" style="176" bestFit="1" customWidth="1"/>
    <col min="13578" max="13578" width="8" style="176" bestFit="1" customWidth="1"/>
    <col min="13579" max="13579" width="8.28515625" style="176" customWidth="1"/>
    <col min="13580" max="13581" width="10.42578125" style="176" bestFit="1" customWidth="1"/>
    <col min="13582" max="13582" width="13.140625" style="176" bestFit="1" customWidth="1"/>
    <col min="13583" max="13824" width="9.140625" style="176"/>
    <col min="13825" max="13825" width="9.140625" style="176" customWidth="1"/>
    <col min="13826" max="13826" width="25.85546875" style="176" customWidth="1"/>
    <col min="13827" max="13827" width="5.7109375" style="176" bestFit="1" customWidth="1"/>
    <col min="13828" max="13828" width="7.140625" style="176" bestFit="1" customWidth="1"/>
    <col min="13829" max="13829" width="7.28515625" style="176" bestFit="1" customWidth="1"/>
    <col min="13830" max="13830" width="6.140625" style="176" bestFit="1" customWidth="1"/>
    <col min="13831" max="13833" width="7.28515625" style="176" bestFit="1" customWidth="1"/>
    <col min="13834" max="13834" width="8" style="176" bestFit="1" customWidth="1"/>
    <col min="13835" max="13835" width="8.28515625" style="176" customWidth="1"/>
    <col min="13836" max="13837" width="10.42578125" style="176" bestFit="1" customWidth="1"/>
    <col min="13838" max="13838" width="13.140625" style="176" bestFit="1" customWidth="1"/>
    <col min="13839" max="14080" width="9.140625" style="176"/>
    <col min="14081" max="14081" width="9.140625" style="176" customWidth="1"/>
    <col min="14082" max="14082" width="25.85546875" style="176" customWidth="1"/>
    <col min="14083" max="14083" width="5.7109375" style="176" bestFit="1" customWidth="1"/>
    <col min="14084" max="14084" width="7.140625" style="176" bestFit="1" customWidth="1"/>
    <col min="14085" max="14085" width="7.28515625" style="176" bestFit="1" customWidth="1"/>
    <col min="14086" max="14086" width="6.140625" style="176" bestFit="1" customWidth="1"/>
    <col min="14087" max="14089" width="7.28515625" style="176" bestFit="1" customWidth="1"/>
    <col min="14090" max="14090" width="8" style="176" bestFit="1" customWidth="1"/>
    <col min="14091" max="14091" width="8.28515625" style="176" customWidth="1"/>
    <col min="14092" max="14093" width="10.42578125" style="176" bestFit="1" customWidth="1"/>
    <col min="14094" max="14094" width="13.140625" style="176" bestFit="1" customWidth="1"/>
    <col min="14095" max="14336" width="9.140625" style="176"/>
    <col min="14337" max="14337" width="9.140625" style="176" customWidth="1"/>
    <col min="14338" max="14338" width="25.85546875" style="176" customWidth="1"/>
    <col min="14339" max="14339" width="5.7109375" style="176" bestFit="1" customWidth="1"/>
    <col min="14340" max="14340" width="7.140625" style="176" bestFit="1" customWidth="1"/>
    <col min="14341" max="14341" width="7.28515625" style="176" bestFit="1" customWidth="1"/>
    <col min="14342" max="14342" width="6.140625" style="176" bestFit="1" customWidth="1"/>
    <col min="14343" max="14345" width="7.28515625" style="176" bestFit="1" customWidth="1"/>
    <col min="14346" max="14346" width="8" style="176" bestFit="1" customWidth="1"/>
    <col min="14347" max="14347" width="8.28515625" style="176" customWidth="1"/>
    <col min="14348" max="14349" width="10.42578125" style="176" bestFit="1" customWidth="1"/>
    <col min="14350" max="14350" width="13.140625" style="176" bestFit="1" customWidth="1"/>
    <col min="14351" max="14592" width="9.140625" style="176"/>
    <col min="14593" max="14593" width="9.140625" style="176" customWidth="1"/>
    <col min="14594" max="14594" width="25.85546875" style="176" customWidth="1"/>
    <col min="14595" max="14595" width="5.7109375" style="176" bestFit="1" customWidth="1"/>
    <col min="14596" max="14596" width="7.140625" style="176" bestFit="1" customWidth="1"/>
    <col min="14597" max="14597" width="7.28515625" style="176" bestFit="1" customWidth="1"/>
    <col min="14598" max="14598" width="6.140625" style="176" bestFit="1" customWidth="1"/>
    <col min="14599" max="14601" width="7.28515625" style="176" bestFit="1" customWidth="1"/>
    <col min="14602" max="14602" width="8" style="176" bestFit="1" customWidth="1"/>
    <col min="14603" max="14603" width="8.28515625" style="176" customWidth="1"/>
    <col min="14604" max="14605" width="10.42578125" style="176" bestFit="1" customWidth="1"/>
    <col min="14606" max="14606" width="13.140625" style="176" bestFit="1" customWidth="1"/>
    <col min="14607" max="14848" width="9.140625" style="176"/>
    <col min="14849" max="14849" width="9.140625" style="176" customWidth="1"/>
    <col min="14850" max="14850" width="25.85546875" style="176" customWidth="1"/>
    <col min="14851" max="14851" width="5.7109375" style="176" bestFit="1" customWidth="1"/>
    <col min="14852" max="14852" width="7.140625" style="176" bestFit="1" customWidth="1"/>
    <col min="14853" max="14853" width="7.28515625" style="176" bestFit="1" customWidth="1"/>
    <col min="14854" max="14854" width="6.140625" style="176" bestFit="1" customWidth="1"/>
    <col min="14855" max="14857" width="7.28515625" style="176" bestFit="1" customWidth="1"/>
    <col min="14858" max="14858" width="8" style="176" bestFit="1" customWidth="1"/>
    <col min="14859" max="14859" width="8.28515625" style="176" customWidth="1"/>
    <col min="14860" max="14861" width="10.42578125" style="176" bestFit="1" customWidth="1"/>
    <col min="14862" max="14862" width="13.140625" style="176" bestFit="1" customWidth="1"/>
    <col min="14863" max="15104" width="9.140625" style="176"/>
    <col min="15105" max="15105" width="9.140625" style="176" customWidth="1"/>
    <col min="15106" max="15106" width="25.85546875" style="176" customWidth="1"/>
    <col min="15107" max="15107" width="5.7109375" style="176" bestFit="1" customWidth="1"/>
    <col min="15108" max="15108" width="7.140625" style="176" bestFit="1" customWidth="1"/>
    <col min="15109" max="15109" width="7.28515625" style="176" bestFit="1" customWidth="1"/>
    <col min="15110" max="15110" width="6.140625" style="176" bestFit="1" customWidth="1"/>
    <col min="15111" max="15113" width="7.28515625" style="176" bestFit="1" customWidth="1"/>
    <col min="15114" max="15114" width="8" style="176" bestFit="1" customWidth="1"/>
    <col min="15115" max="15115" width="8.28515625" style="176" customWidth="1"/>
    <col min="15116" max="15117" width="10.42578125" style="176" bestFit="1" customWidth="1"/>
    <col min="15118" max="15118" width="13.140625" style="176" bestFit="1" customWidth="1"/>
    <col min="15119" max="15360" width="9.140625" style="176"/>
    <col min="15361" max="15361" width="9.140625" style="176" customWidth="1"/>
    <col min="15362" max="15362" width="25.85546875" style="176" customWidth="1"/>
    <col min="15363" max="15363" width="5.7109375" style="176" bestFit="1" customWidth="1"/>
    <col min="15364" max="15364" width="7.140625" style="176" bestFit="1" customWidth="1"/>
    <col min="15365" max="15365" width="7.28515625" style="176" bestFit="1" customWidth="1"/>
    <col min="15366" max="15366" width="6.140625" style="176" bestFit="1" customWidth="1"/>
    <col min="15367" max="15369" width="7.28515625" style="176" bestFit="1" customWidth="1"/>
    <col min="15370" max="15370" width="8" style="176" bestFit="1" customWidth="1"/>
    <col min="15371" max="15371" width="8.28515625" style="176" customWidth="1"/>
    <col min="15372" max="15373" width="10.42578125" style="176" bestFit="1" customWidth="1"/>
    <col min="15374" max="15374" width="13.140625" style="176" bestFit="1" customWidth="1"/>
    <col min="15375" max="15616" width="9.140625" style="176"/>
    <col min="15617" max="15617" width="9.140625" style="176" customWidth="1"/>
    <col min="15618" max="15618" width="25.85546875" style="176" customWidth="1"/>
    <col min="15619" max="15619" width="5.7109375" style="176" bestFit="1" customWidth="1"/>
    <col min="15620" max="15620" width="7.140625" style="176" bestFit="1" customWidth="1"/>
    <col min="15621" max="15621" width="7.28515625" style="176" bestFit="1" customWidth="1"/>
    <col min="15622" max="15622" width="6.140625" style="176" bestFit="1" customWidth="1"/>
    <col min="15623" max="15625" width="7.28515625" style="176" bestFit="1" customWidth="1"/>
    <col min="15626" max="15626" width="8" style="176" bestFit="1" customWidth="1"/>
    <col min="15627" max="15627" width="8.28515625" style="176" customWidth="1"/>
    <col min="15628" max="15629" width="10.42578125" style="176" bestFit="1" customWidth="1"/>
    <col min="15630" max="15630" width="13.140625" style="176" bestFit="1" customWidth="1"/>
    <col min="15631" max="15872" width="9.140625" style="176"/>
    <col min="15873" max="15873" width="9.140625" style="176" customWidth="1"/>
    <col min="15874" max="15874" width="25.85546875" style="176" customWidth="1"/>
    <col min="15875" max="15875" width="5.7109375" style="176" bestFit="1" customWidth="1"/>
    <col min="15876" max="15876" width="7.140625" style="176" bestFit="1" customWidth="1"/>
    <col min="15877" max="15877" width="7.28515625" style="176" bestFit="1" customWidth="1"/>
    <col min="15878" max="15878" width="6.140625" style="176" bestFit="1" customWidth="1"/>
    <col min="15879" max="15881" width="7.28515625" style="176" bestFit="1" customWidth="1"/>
    <col min="15882" max="15882" width="8" style="176" bestFit="1" customWidth="1"/>
    <col min="15883" max="15883" width="8.28515625" style="176" customWidth="1"/>
    <col min="15884" max="15885" width="10.42578125" style="176" bestFit="1" customWidth="1"/>
    <col min="15886" max="15886" width="13.140625" style="176" bestFit="1" customWidth="1"/>
    <col min="15887" max="16128" width="9.140625" style="176"/>
    <col min="16129" max="16129" width="9.140625" style="176" customWidth="1"/>
    <col min="16130" max="16130" width="25.85546875" style="176" customWidth="1"/>
    <col min="16131" max="16131" width="5.7109375" style="176" bestFit="1" customWidth="1"/>
    <col min="16132" max="16132" width="7.140625" style="176" bestFit="1" customWidth="1"/>
    <col min="16133" max="16133" width="7.28515625" style="176" bestFit="1" customWidth="1"/>
    <col min="16134" max="16134" width="6.140625" style="176" bestFit="1" customWidth="1"/>
    <col min="16135" max="16137" width="7.28515625" style="176" bestFit="1" customWidth="1"/>
    <col min="16138" max="16138" width="8" style="176" bestFit="1" customWidth="1"/>
    <col min="16139" max="16139" width="8.28515625" style="176" customWidth="1"/>
    <col min="16140" max="16141" width="10.42578125" style="176" bestFit="1" customWidth="1"/>
    <col min="16142" max="16142" width="13.140625" style="176" bestFit="1" customWidth="1"/>
    <col min="16143" max="16384" width="9.140625" style="176"/>
  </cols>
  <sheetData>
    <row r="1" spans="1:14" s="183" customFormat="1" ht="15">
      <c r="A1" s="140"/>
      <c r="B1" s="140"/>
      <c r="C1" s="140"/>
      <c r="D1" s="39"/>
      <c r="E1" s="45"/>
      <c r="F1" s="40"/>
      <c r="G1" s="141"/>
      <c r="H1" s="141"/>
      <c r="I1" s="141"/>
      <c r="J1" s="429"/>
      <c r="K1" s="382"/>
      <c r="L1" s="383"/>
      <c r="M1" s="1"/>
      <c r="N1" s="1"/>
    </row>
    <row r="2" spans="1:14" s="183" customFormat="1">
      <c r="A2" s="706" t="s">
        <v>35</v>
      </c>
      <c r="B2" s="706"/>
      <c r="C2" s="706"/>
      <c r="D2" s="706"/>
      <c r="E2" s="706"/>
      <c r="F2" s="706"/>
      <c r="G2" s="706"/>
      <c r="H2" s="706"/>
      <c r="I2" s="706"/>
      <c r="J2" s="706"/>
      <c r="K2" s="706"/>
      <c r="L2" s="17"/>
      <c r="M2" s="17"/>
      <c r="N2" s="18"/>
    </row>
    <row r="3" spans="1:14" s="183" customFormat="1">
      <c r="A3" s="706" t="s">
        <v>36</v>
      </c>
      <c r="B3" s="706"/>
      <c r="C3" s="706"/>
      <c r="D3" s="706"/>
      <c r="E3" s="706"/>
      <c r="F3" s="706"/>
      <c r="G3" s="706"/>
      <c r="H3" s="706"/>
      <c r="I3" s="706"/>
      <c r="J3" s="706"/>
      <c r="K3" s="706"/>
      <c r="L3" s="17"/>
      <c r="M3" s="17"/>
      <c r="N3" s="18"/>
    </row>
    <row r="4" spans="1:14" s="183" customFormat="1">
      <c r="A4" s="706" t="s">
        <v>5924</v>
      </c>
      <c r="B4" s="706"/>
      <c r="C4" s="706"/>
      <c r="D4" s="706"/>
      <c r="E4" s="706"/>
      <c r="F4" s="706"/>
      <c r="G4" s="706"/>
      <c r="H4" s="706"/>
      <c r="I4" s="706"/>
      <c r="J4" s="706"/>
      <c r="K4" s="706"/>
      <c r="L4" s="17"/>
      <c r="M4" s="17"/>
      <c r="N4" s="18"/>
    </row>
    <row r="5" spans="1:14" s="183" customFormat="1" ht="15">
      <c r="A5" s="33"/>
      <c r="B5" s="33"/>
      <c r="C5" s="33"/>
      <c r="D5" s="34" t="s">
        <v>29</v>
      </c>
      <c r="E5" s="186"/>
      <c r="F5" s="424"/>
      <c r="G5" s="41"/>
      <c r="H5" s="41"/>
      <c r="I5" s="41"/>
      <c r="J5" s="428"/>
      <c r="K5" s="384"/>
      <c r="L5" s="17"/>
      <c r="M5" s="17"/>
      <c r="N5" s="18"/>
    </row>
    <row r="6" spans="1:14" s="183" customFormat="1" ht="15">
      <c r="A6" s="33"/>
      <c r="B6" s="33"/>
      <c r="C6" s="33"/>
      <c r="D6" s="34"/>
      <c r="E6" s="186"/>
      <c r="F6" s="42"/>
      <c r="G6" s="141"/>
      <c r="H6" s="141"/>
      <c r="I6" s="141"/>
      <c r="J6" s="429"/>
      <c r="K6" s="382"/>
      <c r="L6" s="383"/>
      <c r="M6" s="1"/>
      <c r="N6" s="1"/>
    </row>
    <row r="7" spans="1:14" s="183" customFormat="1" ht="15.75">
      <c r="A7" s="749" t="s">
        <v>9603</v>
      </c>
      <c r="B7" s="749"/>
      <c r="C7" s="749"/>
      <c r="D7" s="749"/>
      <c r="E7" s="749"/>
      <c r="F7" s="749"/>
      <c r="G7" s="749"/>
      <c r="H7" s="749"/>
      <c r="I7" s="749"/>
      <c r="J7" s="749"/>
      <c r="K7" s="749"/>
      <c r="L7" s="17"/>
      <c r="M7" s="17"/>
      <c r="N7" s="18"/>
    </row>
    <row r="8" spans="1:14" s="183" customFormat="1" ht="15">
      <c r="A8" s="33"/>
      <c r="B8" s="33"/>
      <c r="C8" s="33"/>
      <c r="D8" s="34"/>
      <c r="E8" s="186"/>
      <c r="F8" s="424"/>
      <c r="G8" s="41"/>
      <c r="H8" s="41"/>
      <c r="I8" s="41"/>
      <c r="J8" s="428"/>
      <c r="K8" s="384"/>
      <c r="L8" s="17"/>
      <c r="M8" s="17"/>
      <c r="N8" s="18"/>
    </row>
    <row r="9" spans="1:14" s="4" customFormat="1">
      <c r="A9" s="438" t="s">
        <v>5251</v>
      </c>
      <c r="B9" s="705" t="str">
        <f>'Orç - Canteiro e Adm'!B9:J9</f>
        <v>Construção do edifício UEP-FCE</v>
      </c>
      <c r="C9" s="705"/>
      <c r="D9" s="705"/>
      <c r="E9" s="705"/>
      <c r="F9" s="705"/>
      <c r="G9" s="705"/>
      <c r="H9" s="705"/>
      <c r="I9" s="705"/>
      <c r="J9" s="705"/>
      <c r="K9" s="384"/>
      <c r="L9" s="384"/>
      <c r="M9" s="1"/>
      <c r="N9" s="1"/>
    </row>
    <row r="10" spans="1:14" s="183" customFormat="1" ht="25.5">
      <c r="A10" s="438" t="s">
        <v>131</v>
      </c>
      <c r="B10" s="705" t="str">
        <f>'Orç - Canteiro e Adm'!B10:J10</f>
        <v>QNN 14, Área Especial, Campus UnB Ceilândia, RA IX</v>
      </c>
      <c r="C10" s="705"/>
      <c r="D10" s="705"/>
      <c r="E10" s="705"/>
      <c r="F10" s="705"/>
      <c r="G10" s="705"/>
      <c r="H10" s="705"/>
      <c r="I10" s="705"/>
      <c r="J10" s="705"/>
      <c r="K10" s="384"/>
      <c r="L10" s="384"/>
      <c r="M10" s="1"/>
      <c r="N10" s="1"/>
    </row>
    <row r="11" spans="1:14" s="183" customFormat="1">
      <c r="A11" s="438" t="s">
        <v>5252</v>
      </c>
      <c r="B11" s="705" t="str">
        <f>'Orç - Canteiro e Adm'!B11:J11</f>
        <v>Agosto de 2019</v>
      </c>
      <c r="C11" s="705"/>
      <c r="D11" s="705"/>
      <c r="E11" s="705"/>
      <c r="F11" s="705"/>
      <c r="G11" s="705"/>
      <c r="H11" s="705"/>
      <c r="I11" s="705"/>
      <c r="J11" s="705"/>
      <c r="K11" s="384"/>
      <c r="L11" s="384"/>
      <c r="M11" s="1"/>
      <c r="N11" s="1"/>
    </row>
    <row r="12" spans="1:14">
      <c r="A12" s="425"/>
      <c r="B12" s="746"/>
      <c r="C12" s="746"/>
      <c r="D12" s="746"/>
      <c r="E12" s="746"/>
      <c r="F12" s="746"/>
      <c r="G12" s="746"/>
      <c r="H12" s="746"/>
      <c r="I12" s="746"/>
      <c r="J12" s="746"/>
      <c r="K12" s="425"/>
    </row>
    <row r="13" spans="1:14">
      <c r="A13" s="226" t="str">
        <f>'Orç - Prédio'!A25</f>
        <v>01.06.002</v>
      </c>
      <c r="B13" s="748" t="str">
        <f>'Orç - Prédio'!D25</f>
        <v>Ensaio de abatimento de tronco de cone (1 a cada caminhão de 8m3 de concreto usinado)</v>
      </c>
      <c r="C13" s="748"/>
      <c r="D13" s="748"/>
      <c r="E13" s="748"/>
      <c r="F13" s="748"/>
      <c r="G13" s="748"/>
      <c r="H13" s="748"/>
      <c r="I13" s="748"/>
      <c r="J13" s="748"/>
      <c r="K13" s="227"/>
    </row>
    <row r="14" spans="1:14">
      <c r="A14" s="745"/>
      <c r="B14" s="745"/>
      <c r="C14" s="218"/>
      <c r="D14" s="218"/>
      <c r="E14" s="218"/>
      <c r="F14" s="218"/>
      <c r="G14" s="745"/>
      <c r="H14" s="745"/>
      <c r="I14" s="745"/>
      <c r="J14" s="745"/>
      <c r="K14" s="745"/>
    </row>
    <row r="15" spans="1:14">
      <c r="A15" s="745" t="s">
        <v>7880</v>
      </c>
      <c r="B15" s="745"/>
      <c r="C15" s="745"/>
      <c r="D15" s="745"/>
      <c r="E15" s="745"/>
      <c r="F15" s="745"/>
      <c r="G15" s="330"/>
      <c r="H15" s="330" t="s">
        <v>7870</v>
      </c>
      <c r="I15" s="330"/>
      <c r="J15" s="330" t="s">
        <v>8125</v>
      </c>
      <c r="K15" s="330"/>
    </row>
    <row r="16" spans="1:14">
      <c r="A16" s="745"/>
      <c r="B16" s="745"/>
      <c r="C16" s="745"/>
      <c r="D16" s="745"/>
      <c r="E16" s="745"/>
      <c r="F16" s="745"/>
      <c r="G16" s="330"/>
      <c r="H16" s="330" t="s">
        <v>7873</v>
      </c>
      <c r="I16" s="330"/>
      <c r="J16" s="330" t="s">
        <v>8692</v>
      </c>
      <c r="K16" s="330"/>
    </row>
    <row r="17" spans="1:11">
      <c r="A17" s="330"/>
      <c r="B17" s="219" t="s">
        <v>8693</v>
      </c>
      <c r="C17" s="222"/>
      <c r="D17" s="222"/>
      <c r="E17" s="225"/>
      <c r="F17" s="222"/>
      <c r="G17" s="221"/>
      <c r="H17" s="220">
        <v>20.45</v>
      </c>
      <c r="I17" s="220"/>
      <c r="J17" s="220">
        <f>ROUNDUP(H17/8,0)</f>
        <v>3</v>
      </c>
      <c r="K17" s="220">
        <f t="shared" ref="K17:K22" si="0">C17*H17</f>
        <v>0</v>
      </c>
    </row>
    <row r="18" spans="1:11">
      <c r="A18" s="330"/>
      <c r="B18" s="219" t="s">
        <v>8850</v>
      </c>
      <c r="C18" s="222"/>
      <c r="D18" s="222"/>
      <c r="E18" s="225"/>
      <c r="F18" s="222"/>
      <c r="G18" s="221"/>
      <c r="H18" s="220">
        <f>6.91+0.63</f>
        <v>7.54</v>
      </c>
      <c r="I18" s="220"/>
      <c r="J18" s="220">
        <f t="shared" ref="J18:J22" si="1">ROUNDUP(H18/8,0)</f>
        <v>1</v>
      </c>
      <c r="K18" s="220">
        <f t="shared" si="0"/>
        <v>0</v>
      </c>
    </row>
    <row r="19" spans="1:11">
      <c r="A19" s="330"/>
      <c r="B19" s="219" t="s">
        <v>8772</v>
      </c>
      <c r="C19" s="222"/>
      <c r="D19" s="222"/>
      <c r="E19" s="225"/>
      <c r="F19" s="222"/>
      <c r="G19" s="221"/>
      <c r="H19" s="220">
        <v>3.61</v>
      </c>
      <c r="I19" s="220"/>
      <c r="J19" s="220">
        <f t="shared" si="1"/>
        <v>1</v>
      </c>
      <c r="K19" s="220">
        <f t="shared" si="0"/>
        <v>0</v>
      </c>
    </row>
    <row r="20" spans="1:11">
      <c r="A20" s="343"/>
      <c r="B20" s="219" t="s">
        <v>8847</v>
      </c>
      <c r="C20" s="222"/>
      <c r="D20" s="222"/>
      <c r="E20" s="225"/>
      <c r="F20" s="222"/>
      <c r="G20" s="221"/>
      <c r="H20" s="220">
        <v>2.2400000000000002</v>
      </c>
      <c r="I20" s="220"/>
      <c r="J20" s="220">
        <f t="shared" si="1"/>
        <v>1</v>
      </c>
      <c r="K20" s="220">
        <f t="shared" si="0"/>
        <v>0</v>
      </c>
    </row>
    <row r="21" spans="1:11">
      <c r="A21" s="343"/>
      <c r="B21" s="219" t="s">
        <v>8848</v>
      </c>
      <c r="C21" s="222"/>
      <c r="D21" s="222"/>
      <c r="E21" s="225"/>
      <c r="F21" s="222"/>
      <c r="G21" s="221"/>
      <c r="H21" s="220">
        <v>19.43</v>
      </c>
      <c r="I21" s="220"/>
      <c r="J21" s="220">
        <f t="shared" si="1"/>
        <v>3</v>
      </c>
      <c r="K21" s="220">
        <f t="shared" si="0"/>
        <v>0</v>
      </c>
    </row>
    <row r="22" spans="1:11">
      <c r="A22" s="343"/>
      <c r="B22" s="219" t="s">
        <v>8849</v>
      </c>
      <c r="C22" s="222"/>
      <c r="D22" s="222"/>
      <c r="E22" s="225"/>
      <c r="F22" s="222"/>
      <c r="G22" s="221"/>
      <c r="H22" s="220">
        <v>4.5</v>
      </c>
      <c r="I22" s="220"/>
      <c r="J22" s="220">
        <f t="shared" si="1"/>
        <v>1</v>
      </c>
      <c r="K22" s="220">
        <f t="shared" si="0"/>
        <v>0</v>
      </c>
    </row>
    <row r="23" spans="1:11">
      <c r="A23" s="228"/>
      <c r="B23" s="229"/>
      <c r="C23" s="229"/>
      <c r="D23" s="229"/>
      <c r="E23" s="229"/>
      <c r="F23" s="747" t="s">
        <v>7875</v>
      </c>
      <c r="G23" s="747"/>
      <c r="H23" s="747"/>
      <c r="I23" s="230"/>
      <c r="J23" s="230">
        <f>SUM(J17:J22)</f>
        <v>10</v>
      </c>
      <c r="K23" s="230"/>
    </row>
    <row r="24" spans="1:11">
      <c r="A24" s="330"/>
      <c r="B24" s="746"/>
      <c r="C24" s="746"/>
      <c r="D24" s="746"/>
      <c r="E24" s="746"/>
      <c r="F24" s="746"/>
      <c r="G24" s="746"/>
      <c r="H24" s="746"/>
      <c r="I24" s="746"/>
      <c r="J24" s="746"/>
      <c r="K24" s="330"/>
    </row>
    <row r="25" spans="1:11">
      <c r="A25" s="226" t="str">
        <f>'Orç - Reservatório'!A30</f>
        <v>02.03.101</v>
      </c>
      <c r="B25" s="748" t="str">
        <f>'Orç - Reservatório'!D30</f>
        <v>Locação convencional de obra, através de gabarito de tábuas corridas pontaletadas a cada 2,00m, 2 utilizações</v>
      </c>
      <c r="C25" s="748"/>
      <c r="D25" s="748"/>
      <c r="E25" s="748"/>
      <c r="F25" s="748"/>
      <c r="G25" s="748"/>
      <c r="H25" s="748"/>
      <c r="I25" s="748"/>
      <c r="J25" s="748"/>
      <c r="K25" s="227" t="str">
        <f>'Orç - Reservatório'!F30</f>
        <v>m2</v>
      </c>
    </row>
    <row r="26" spans="1:11">
      <c r="A26" s="745"/>
      <c r="B26" s="745"/>
      <c r="C26" s="218"/>
      <c r="D26" s="218"/>
      <c r="E26" s="218"/>
      <c r="F26" s="218"/>
      <c r="G26" s="745" t="s">
        <v>7863</v>
      </c>
      <c r="H26" s="745"/>
      <c r="I26" s="745" t="s">
        <v>7864</v>
      </c>
      <c r="J26" s="745"/>
      <c r="K26" s="745"/>
    </row>
    <row r="27" spans="1:11" ht="22.5">
      <c r="A27" s="745" t="s">
        <v>7880</v>
      </c>
      <c r="B27" s="745"/>
      <c r="C27" s="745" t="s">
        <v>7865</v>
      </c>
      <c r="D27" s="745" t="s">
        <v>7866</v>
      </c>
      <c r="E27" s="745" t="s">
        <v>7867</v>
      </c>
      <c r="F27" s="745" t="s">
        <v>7868</v>
      </c>
      <c r="G27" s="330" t="s">
        <v>7869</v>
      </c>
      <c r="H27" s="330" t="s">
        <v>7870</v>
      </c>
      <c r="I27" s="330" t="s">
        <v>7871</v>
      </c>
      <c r="J27" s="330" t="s">
        <v>7869</v>
      </c>
      <c r="K27" s="330" t="s">
        <v>7870</v>
      </c>
    </row>
    <row r="28" spans="1:11">
      <c r="A28" s="745"/>
      <c r="B28" s="745"/>
      <c r="C28" s="745"/>
      <c r="D28" s="745"/>
      <c r="E28" s="745"/>
      <c r="F28" s="745"/>
      <c r="G28" s="330" t="s">
        <v>7872</v>
      </c>
      <c r="H28" s="330" t="s">
        <v>7873</v>
      </c>
      <c r="I28" s="330" t="s">
        <v>7874</v>
      </c>
      <c r="J28" s="330" t="s">
        <v>7872</v>
      </c>
      <c r="K28" s="330" t="s">
        <v>7873</v>
      </c>
    </row>
    <row r="29" spans="1:11">
      <c r="A29" s="330"/>
      <c r="B29" s="219" t="s">
        <v>8758</v>
      </c>
      <c r="C29" s="222">
        <v>1</v>
      </c>
      <c r="D29" s="222"/>
      <c r="E29" s="225"/>
      <c r="F29" s="222"/>
      <c r="G29" s="221">
        <v>41.96</v>
      </c>
      <c r="H29" s="220"/>
      <c r="I29" s="220"/>
      <c r="J29" s="220">
        <f>C29*G29</f>
        <v>41.96</v>
      </c>
      <c r="K29" s="220">
        <f>C29*H29</f>
        <v>0</v>
      </c>
    </row>
    <row r="30" spans="1:11">
      <c r="A30" s="228"/>
      <c r="B30" s="229"/>
      <c r="C30" s="229"/>
      <c r="D30" s="229"/>
      <c r="E30" s="229"/>
      <c r="F30" s="747" t="s">
        <v>7875</v>
      </c>
      <c r="G30" s="747"/>
      <c r="H30" s="747"/>
      <c r="I30" s="230">
        <f>ROUND(SUM(I29:I29),2)</f>
        <v>0</v>
      </c>
      <c r="J30" s="230">
        <f>ROUND(SUM(J29:J29),2)</f>
        <v>41.96</v>
      </c>
      <c r="K30" s="230">
        <f>ROUND(SUM(K29:K29),2)</f>
        <v>0</v>
      </c>
    </row>
    <row r="31" spans="1:11">
      <c r="A31" s="330"/>
      <c r="B31" s="746"/>
      <c r="C31" s="746"/>
      <c r="D31" s="746"/>
      <c r="E31" s="746"/>
      <c r="F31" s="746"/>
      <c r="G31" s="746"/>
      <c r="H31" s="746"/>
      <c r="I31" s="746"/>
      <c r="J31" s="746"/>
      <c r="K31" s="330"/>
    </row>
    <row r="32" spans="1:11">
      <c r="A32" s="226" t="str">
        <f>'Orç - Reservatório'!A34</f>
        <v>02.04.201</v>
      </c>
      <c r="B32" s="748" t="str">
        <f>'Orç - Reservatório'!D34</f>
        <v>Escavação mecanizada com retroescavadeira</v>
      </c>
      <c r="C32" s="748"/>
      <c r="D32" s="748"/>
      <c r="E32" s="748"/>
      <c r="F32" s="748"/>
      <c r="G32" s="748"/>
      <c r="H32" s="748"/>
      <c r="I32" s="748"/>
      <c r="J32" s="748"/>
      <c r="K32" s="227"/>
    </row>
    <row r="33" spans="1:13">
      <c r="A33" s="745"/>
      <c r="B33" s="745"/>
      <c r="C33" s="218"/>
      <c r="D33" s="218"/>
      <c r="E33" s="218"/>
      <c r="F33" s="218"/>
      <c r="G33" s="745" t="s">
        <v>7863</v>
      </c>
      <c r="H33" s="745"/>
      <c r="I33" s="745" t="s">
        <v>7864</v>
      </c>
      <c r="J33" s="745"/>
      <c r="K33" s="745"/>
    </row>
    <row r="34" spans="1:13" ht="22.5">
      <c r="A34" s="745" t="s">
        <v>7880</v>
      </c>
      <c r="B34" s="745"/>
      <c r="C34" s="745" t="s">
        <v>7865</v>
      </c>
      <c r="D34" s="745" t="s">
        <v>7866</v>
      </c>
      <c r="E34" s="745" t="s">
        <v>7867</v>
      </c>
      <c r="F34" s="745" t="s">
        <v>7868</v>
      </c>
      <c r="G34" s="330" t="s">
        <v>7869</v>
      </c>
      <c r="H34" s="330" t="s">
        <v>7870</v>
      </c>
      <c r="I34" s="330" t="s">
        <v>7871</v>
      </c>
      <c r="J34" s="330" t="s">
        <v>7869</v>
      </c>
      <c r="K34" s="330" t="s">
        <v>7870</v>
      </c>
    </row>
    <row r="35" spans="1:13">
      <c r="A35" s="745"/>
      <c r="B35" s="745"/>
      <c r="C35" s="745"/>
      <c r="D35" s="745"/>
      <c r="E35" s="745"/>
      <c r="F35" s="745"/>
      <c r="G35" s="330" t="s">
        <v>7872</v>
      </c>
      <c r="H35" s="330" t="s">
        <v>7873</v>
      </c>
      <c r="I35" s="330" t="s">
        <v>7874</v>
      </c>
      <c r="J35" s="330" t="s">
        <v>7872</v>
      </c>
      <c r="K35" s="330" t="s">
        <v>7873</v>
      </c>
    </row>
    <row r="36" spans="1:13">
      <c r="A36" s="330"/>
      <c r="B36" s="219" t="s">
        <v>8770</v>
      </c>
      <c r="C36" s="222">
        <v>1</v>
      </c>
      <c r="D36" s="222">
        <v>8</v>
      </c>
      <c r="E36" s="225">
        <v>8</v>
      </c>
      <c r="F36" s="222">
        <v>3.2</v>
      </c>
      <c r="G36" s="221"/>
      <c r="H36" s="220">
        <f>F36*E36*D36</f>
        <v>204.8</v>
      </c>
      <c r="I36" s="220"/>
      <c r="J36" s="220">
        <f>C36*G36</f>
        <v>0</v>
      </c>
      <c r="K36" s="220">
        <f>C36*H36</f>
        <v>204.8</v>
      </c>
    </row>
    <row r="37" spans="1:13">
      <c r="A37" s="228"/>
      <c r="B37" s="229"/>
      <c r="C37" s="229"/>
      <c r="D37" s="229"/>
      <c r="E37" s="229"/>
      <c r="F37" s="747" t="s">
        <v>7875</v>
      </c>
      <c r="G37" s="747"/>
      <c r="H37" s="747"/>
      <c r="I37" s="230">
        <f>ROUND(SUM(I36:I36),2)</f>
        <v>0</v>
      </c>
      <c r="J37" s="230">
        <f>ROUND(SUM(J36:J36),2)</f>
        <v>0</v>
      </c>
      <c r="K37" s="230">
        <f>ROUND(SUM(K36:K36),2)</f>
        <v>204.8</v>
      </c>
    </row>
    <row r="38" spans="1:13">
      <c r="A38" s="330"/>
      <c r="B38" s="746"/>
      <c r="C38" s="746"/>
      <c r="D38" s="746"/>
      <c r="E38" s="746"/>
      <c r="F38" s="746"/>
      <c r="G38" s="746"/>
      <c r="H38" s="746"/>
      <c r="I38" s="746"/>
      <c r="J38" s="746"/>
      <c r="K38" s="330"/>
    </row>
    <row r="39" spans="1:13" ht="27.75" customHeight="1">
      <c r="A39" s="226" t="str">
        <f>'Orç - Reservatório'!A50</f>
        <v>03.01.501</v>
      </c>
      <c r="B39" s="748" t="str">
        <f>'Orç - Reservatório'!D50</f>
        <v>Lastro de concreto magro, aplicado em blocos de coroamento ou sapatas, espessura 5 cm</v>
      </c>
      <c r="C39" s="748"/>
      <c r="D39" s="748"/>
      <c r="E39" s="748"/>
      <c r="F39" s="748"/>
      <c r="G39" s="748"/>
      <c r="H39" s="748"/>
      <c r="I39" s="748"/>
      <c r="J39" s="748"/>
      <c r="K39" s="227" t="str">
        <f>'Orç - Reservatório'!F50</f>
        <v>m2</v>
      </c>
    </row>
    <row r="40" spans="1:13">
      <c r="A40" s="745"/>
      <c r="B40" s="745"/>
      <c r="C40" s="218"/>
      <c r="D40" s="218"/>
      <c r="E40" s="218"/>
      <c r="F40" s="218"/>
      <c r="G40" s="745" t="s">
        <v>7863</v>
      </c>
      <c r="H40" s="745"/>
      <c r="I40" s="745" t="s">
        <v>7864</v>
      </c>
      <c r="J40" s="745"/>
      <c r="K40" s="745"/>
    </row>
    <row r="41" spans="1:13" ht="22.5" customHeight="1">
      <c r="A41" s="745" t="s">
        <v>7880</v>
      </c>
      <c r="B41" s="745"/>
      <c r="C41" s="745" t="s">
        <v>7865</v>
      </c>
      <c r="D41" s="745" t="s">
        <v>7866</v>
      </c>
      <c r="E41" s="745" t="s">
        <v>7867</v>
      </c>
      <c r="F41" s="745" t="s">
        <v>7868</v>
      </c>
      <c r="G41" s="330" t="s">
        <v>7869</v>
      </c>
      <c r="H41" s="330" t="s">
        <v>7870</v>
      </c>
      <c r="I41" s="330" t="s">
        <v>7871</v>
      </c>
      <c r="J41" s="330" t="s">
        <v>7869</v>
      </c>
      <c r="K41" s="330" t="s">
        <v>7870</v>
      </c>
    </row>
    <row r="42" spans="1:13">
      <c r="A42" s="745"/>
      <c r="B42" s="745"/>
      <c r="C42" s="745"/>
      <c r="D42" s="745"/>
      <c r="E42" s="745"/>
      <c r="F42" s="745"/>
      <c r="G42" s="330" t="s">
        <v>7872</v>
      </c>
      <c r="H42" s="330" t="s">
        <v>7873</v>
      </c>
      <c r="I42" s="330" t="s">
        <v>7874</v>
      </c>
      <c r="J42" s="330" t="s">
        <v>7872</v>
      </c>
      <c r="K42" s="330" t="s">
        <v>7873</v>
      </c>
    </row>
    <row r="43" spans="1:13">
      <c r="A43" s="330"/>
      <c r="B43" s="232" t="s">
        <v>8760</v>
      </c>
      <c r="C43" s="222">
        <v>9</v>
      </c>
      <c r="D43" s="222">
        <v>0.81</v>
      </c>
      <c r="E43" s="225">
        <v>0.81</v>
      </c>
      <c r="F43" s="222"/>
      <c r="G43" s="221">
        <f>E43*D43</f>
        <v>0.65610000000000013</v>
      </c>
      <c r="H43" s="220"/>
      <c r="I43" s="220"/>
      <c r="J43" s="220">
        <f>G43*C43</f>
        <v>5.9049000000000014</v>
      </c>
      <c r="K43" s="220">
        <f t="shared" ref="K43:K45" si="2">C43*H43</f>
        <v>0</v>
      </c>
      <c r="L43" s="278"/>
      <c r="M43" s="179"/>
    </row>
    <row r="44" spans="1:13">
      <c r="A44" s="330"/>
      <c r="B44" s="232" t="s">
        <v>8761</v>
      </c>
      <c r="C44" s="222">
        <v>3</v>
      </c>
      <c r="D44" s="222">
        <v>1.65</v>
      </c>
      <c r="E44" s="225">
        <v>0.75</v>
      </c>
      <c r="F44" s="222"/>
      <c r="G44" s="221">
        <f>E44*D44</f>
        <v>1.2374999999999998</v>
      </c>
      <c r="H44" s="220"/>
      <c r="I44" s="220"/>
      <c r="J44" s="220">
        <f>G44*C44</f>
        <v>3.7124999999999995</v>
      </c>
      <c r="K44" s="220">
        <f t="shared" si="2"/>
        <v>0</v>
      </c>
      <c r="L44" s="278"/>
      <c r="M44" s="179"/>
    </row>
    <row r="45" spans="1:13">
      <c r="A45" s="330"/>
      <c r="B45" s="232" t="s">
        <v>8762</v>
      </c>
      <c r="C45" s="222">
        <v>1</v>
      </c>
      <c r="D45" s="222"/>
      <c r="E45" s="225"/>
      <c r="F45" s="222"/>
      <c r="G45" s="221">
        <v>1.84</v>
      </c>
      <c r="H45" s="220"/>
      <c r="I45" s="220"/>
      <c r="J45" s="220">
        <f t="shared" ref="J45" si="3">G45*C45</f>
        <v>1.84</v>
      </c>
      <c r="K45" s="220">
        <f t="shared" si="2"/>
        <v>0</v>
      </c>
      <c r="L45" s="278"/>
      <c r="M45" s="179"/>
    </row>
    <row r="46" spans="1:13">
      <c r="A46" s="228"/>
      <c r="B46" s="229"/>
      <c r="C46" s="229"/>
      <c r="D46" s="229"/>
      <c r="E46" s="229"/>
      <c r="F46" s="747" t="s">
        <v>7875</v>
      </c>
      <c r="G46" s="747"/>
      <c r="H46" s="747"/>
      <c r="I46" s="230">
        <f>ROUND(SUM(I42:I45),2)</f>
        <v>0</v>
      </c>
      <c r="J46" s="230">
        <f>ROUND(SUM(J42:J45),2)</f>
        <v>11.46</v>
      </c>
      <c r="K46" s="230">
        <f>ROUND(SUM(K42:K45),2)</f>
        <v>0</v>
      </c>
      <c r="M46" s="179"/>
    </row>
    <row r="47" spans="1:13">
      <c r="A47" s="330"/>
      <c r="B47" s="746"/>
      <c r="C47" s="746"/>
      <c r="D47" s="746"/>
      <c r="E47" s="746"/>
      <c r="F47" s="746"/>
      <c r="G47" s="746"/>
      <c r="H47" s="746"/>
      <c r="I47" s="746"/>
      <c r="J47" s="746"/>
      <c r="K47" s="330"/>
      <c r="M47" s="179"/>
    </row>
    <row r="48" spans="1:13" ht="27.75" customHeight="1">
      <c r="A48" s="226" t="str">
        <f>'Orç - Reservatório'!A62</f>
        <v>03.01.602</v>
      </c>
      <c r="B48" s="748" t="str">
        <f>'Orç - Reservatório'!D62</f>
        <v>Impermeabilização de superfícies (faces de blocos de fundação) com emulsão asfáltica, duas demãos</v>
      </c>
      <c r="C48" s="748"/>
      <c r="D48" s="748"/>
      <c r="E48" s="748"/>
      <c r="F48" s="748"/>
      <c r="G48" s="748"/>
      <c r="H48" s="748"/>
      <c r="I48" s="748"/>
      <c r="J48" s="748"/>
      <c r="K48" s="227" t="str">
        <f>'Orç - Reservatório'!F62</f>
        <v>m2</v>
      </c>
    </row>
    <row r="49" spans="1:13">
      <c r="A49" s="745"/>
      <c r="B49" s="745"/>
      <c r="C49" s="218"/>
      <c r="D49" s="218"/>
      <c r="E49" s="218"/>
      <c r="F49" s="218"/>
      <c r="G49" s="745" t="s">
        <v>7863</v>
      </c>
      <c r="H49" s="745"/>
      <c r="I49" s="745" t="s">
        <v>7864</v>
      </c>
      <c r="J49" s="745"/>
      <c r="K49" s="745"/>
    </row>
    <row r="50" spans="1:13" ht="22.5" customHeight="1">
      <c r="A50" s="745" t="s">
        <v>7880</v>
      </c>
      <c r="B50" s="745"/>
      <c r="C50" s="745" t="s">
        <v>7865</v>
      </c>
      <c r="D50" s="745" t="s">
        <v>8152</v>
      </c>
      <c r="E50" s="745" t="s">
        <v>7868</v>
      </c>
      <c r="F50" s="745" t="s">
        <v>8807</v>
      </c>
      <c r="G50" s="330" t="s">
        <v>7869</v>
      </c>
      <c r="H50" s="330" t="s">
        <v>7870</v>
      </c>
      <c r="I50" s="330" t="s">
        <v>7871</v>
      </c>
      <c r="J50" s="330" t="s">
        <v>7869</v>
      </c>
      <c r="K50" s="330" t="s">
        <v>7870</v>
      </c>
    </row>
    <row r="51" spans="1:13">
      <c r="A51" s="745"/>
      <c r="B51" s="745"/>
      <c r="C51" s="745"/>
      <c r="D51" s="745"/>
      <c r="E51" s="745"/>
      <c r="F51" s="745"/>
      <c r="G51" s="330" t="s">
        <v>7872</v>
      </c>
      <c r="H51" s="330" t="s">
        <v>7873</v>
      </c>
      <c r="I51" s="330" t="s">
        <v>7874</v>
      </c>
      <c r="J51" s="330" t="s">
        <v>7872</v>
      </c>
      <c r="K51" s="330" t="s">
        <v>7873</v>
      </c>
    </row>
    <row r="52" spans="1:13">
      <c r="A52" s="330"/>
      <c r="B52" s="232" t="s">
        <v>8760</v>
      </c>
      <c r="C52" s="222">
        <v>9</v>
      </c>
      <c r="D52" s="222">
        <f>4*0.81</f>
        <v>3.24</v>
      </c>
      <c r="E52" s="225">
        <v>0.7</v>
      </c>
      <c r="F52" s="222">
        <f>0.81*0.81</f>
        <v>0.65610000000000013</v>
      </c>
      <c r="G52" s="221">
        <f>(D52*E52+F52)</f>
        <v>2.9241000000000001</v>
      </c>
      <c r="H52" s="220"/>
      <c r="I52" s="220"/>
      <c r="J52" s="220">
        <f>G52*C52</f>
        <v>26.3169</v>
      </c>
      <c r="K52" s="220">
        <f t="shared" ref="K52:K54" si="4">C52*H52</f>
        <v>0</v>
      </c>
      <c r="L52" s="278"/>
      <c r="M52" s="179"/>
    </row>
    <row r="53" spans="1:13">
      <c r="A53" s="330"/>
      <c r="B53" s="232" t="s">
        <v>8761</v>
      </c>
      <c r="C53" s="222">
        <v>3</v>
      </c>
      <c r="D53" s="222">
        <f>1.65+1.65+0.75+0.75</f>
        <v>4.8</v>
      </c>
      <c r="E53" s="225">
        <v>0.55000000000000004</v>
      </c>
      <c r="F53" s="222">
        <f>1.65*0.75</f>
        <v>1.2374999999999998</v>
      </c>
      <c r="G53" s="221">
        <f t="shared" ref="G53:G54" si="5">(D53*E53+F53)</f>
        <v>3.8774999999999999</v>
      </c>
      <c r="H53" s="220"/>
      <c r="I53" s="220"/>
      <c r="J53" s="220">
        <f>G53*C53</f>
        <v>11.6325</v>
      </c>
      <c r="K53" s="220">
        <f t="shared" si="4"/>
        <v>0</v>
      </c>
      <c r="L53" s="278"/>
      <c r="M53" s="179"/>
    </row>
    <row r="54" spans="1:13">
      <c r="A54" s="330"/>
      <c r="B54" s="232" t="s">
        <v>8762</v>
      </c>
      <c r="C54" s="222">
        <v>1</v>
      </c>
      <c r="D54" s="222">
        <f>10.6/2</f>
        <v>5.3</v>
      </c>
      <c r="E54" s="225">
        <v>0.55000000000000004</v>
      </c>
      <c r="F54" s="222">
        <f>7.42/4</f>
        <v>1.855</v>
      </c>
      <c r="G54" s="221">
        <f t="shared" si="5"/>
        <v>4.7699999999999996</v>
      </c>
      <c r="H54" s="220"/>
      <c r="I54" s="220"/>
      <c r="J54" s="220">
        <f t="shared" ref="J54" si="6">G54*C54</f>
        <v>4.7699999999999996</v>
      </c>
      <c r="K54" s="220">
        <f t="shared" si="4"/>
        <v>0</v>
      </c>
      <c r="L54" s="278"/>
      <c r="M54" s="179"/>
    </row>
    <row r="55" spans="1:13">
      <c r="A55" s="228"/>
      <c r="B55" s="229"/>
      <c r="C55" s="229"/>
      <c r="D55" s="229"/>
      <c r="E55" s="229"/>
      <c r="F55" s="747" t="s">
        <v>7875</v>
      </c>
      <c r="G55" s="747"/>
      <c r="H55" s="747"/>
      <c r="I55" s="230">
        <f>ROUND(SUM(I51:I54),2)</f>
        <v>0</v>
      </c>
      <c r="J55" s="230">
        <f>ROUND(SUM(J51:J54),2)</f>
        <v>42.72</v>
      </c>
      <c r="K55" s="230">
        <f>ROUND(SUM(K51:K54),2)</f>
        <v>0</v>
      </c>
      <c r="M55" s="179"/>
    </row>
    <row r="56" spans="1:13">
      <c r="A56" s="330"/>
      <c r="B56" s="746"/>
      <c r="C56" s="746"/>
      <c r="D56" s="746"/>
      <c r="E56" s="746"/>
      <c r="F56" s="746"/>
      <c r="G56" s="746"/>
      <c r="H56" s="746"/>
      <c r="I56" s="746"/>
      <c r="J56" s="746"/>
      <c r="K56" s="330"/>
      <c r="M56" s="179"/>
    </row>
    <row r="57" spans="1:13" ht="27.75" customHeight="1">
      <c r="A57" s="226" t="str">
        <f>'Orç - Reservatório'!A96</f>
        <v>04.01.531</v>
      </c>
      <c r="B57" s="748" t="str">
        <f>'Orç - Reservatório'!D96</f>
        <v>Chapisco aplicado em paredes internas, com colher de pedreiro, argamassa traço 1:3 com preparo mecânico</v>
      </c>
      <c r="C57" s="748"/>
      <c r="D57" s="748"/>
      <c r="E57" s="748"/>
      <c r="F57" s="748"/>
      <c r="G57" s="748"/>
      <c r="H57" s="748"/>
      <c r="I57" s="748"/>
      <c r="J57" s="748"/>
      <c r="K57" s="227" t="str">
        <f>'Orç - Reservatório'!F96</f>
        <v>m2</v>
      </c>
    </row>
    <row r="58" spans="1:13">
      <c r="A58" s="745"/>
      <c r="B58" s="745"/>
      <c r="C58" s="218"/>
      <c r="D58" s="218"/>
      <c r="E58" s="218"/>
      <c r="F58" s="218"/>
      <c r="G58" s="745" t="s">
        <v>7863</v>
      </c>
      <c r="H58" s="745"/>
      <c r="I58" s="745" t="s">
        <v>7864</v>
      </c>
      <c r="J58" s="745"/>
      <c r="K58" s="745"/>
    </row>
    <row r="59" spans="1:13" ht="22.5" customHeight="1">
      <c r="A59" s="745" t="s">
        <v>7880</v>
      </c>
      <c r="B59" s="745"/>
      <c r="C59" s="745" t="s">
        <v>7865</v>
      </c>
      <c r="D59" s="745"/>
      <c r="E59" s="745" t="s">
        <v>8152</v>
      </c>
      <c r="F59" s="745" t="s">
        <v>7868</v>
      </c>
      <c r="G59" s="330" t="s">
        <v>7869</v>
      </c>
      <c r="H59" s="330" t="s">
        <v>7870</v>
      </c>
      <c r="I59" s="330" t="s">
        <v>7871</v>
      </c>
      <c r="J59" s="330" t="s">
        <v>7869</v>
      </c>
      <c r="K59" s="330" t="s">
        <v>7870</v>
      </c>
    </row>
    <row r="60" spans="1:13">
      <c r="A60" s="745"/>
      <c r="B60" s="745"/>
      <c r="C60" s="745"/>
      <c r="D60" s="745"/>
      <c r="E60" s="745"/>
      <c r="F60" s="745"/>
      <c r="G60" s="330" t="s">
        <v>7872</v>
      </c>
      <c r="H60" s="330" t="s">
        <v>7873</v>
      </c>
      <c r="I60" s="330" t="s">
        <v>7874</v>
      </c>
      <c r="J60" s="330" t="s">
        <v>7872</v>
      </c>
      <c r="K60" s="330" t="s">
        <v>7873</v>
      </c>
    </row>
    <row r="61" spans="1:13" ht="22.5">
      <c r="A61" s="330"/>
      <c r="B61" s="219" t="s">
        <v>8814</v>
      </c>
      <c r="C61" s="222">
        <v>1</v>
      </c>
      <c r="D61" s="222"/>
      <c r="E61" s="225">
        <f>2*2.6+2*3.5</f>
        <v>12.2</v>
      </c>
      <c r="F61" s="222">
        <v>2.1</v>
      </c>
      <c r="G61" s="221">
        <f>F61*E61</f>
        <v>25.62</v>
      </c>
      <c r="H61" s="220">
        <f>F61*E61*D61</f>
        <v>0</v>
      </c>
      <c r="I61" s="220"/>
      <c r="J61" s="220">
        <f>C61*G61</f>
        <v>25.62</v>
      </c>
      <c r="K61" s="220">
        <f>C61*H61</f>
        <v>0</v>
      </c>
      <c r="L61" s="278"/>
      <c r="M61" s="179"/>
    </row>
    <row r="62" spans="1:13">
      <c r="A62" s="228"/>
      <c r="B62" s="229"/>
      <c r="C62" s="229"/>
      <c r="D62" s="229"/>
      <c r="E62" s="229"/>
      <c r="F62" s="747" t="s">
        <v>7875</v>
      </c>
      <c r="G62" s="747"/>
      <c r="H62" s="747"/>
      <c r="I62" s="230">
        <f>ROUND(SUM(I61:I61),2)</f>
        <v>0</v>
      </c>
      <c r="J62" s="230">
        <f>ROUND(SUM(J61:J61),2)</f>
        <v>25.62</v>
      </c>
      <c r="K62" s="230">
        <f>ROUND(SUM(K61:K61),2)</f>
        <v>0</v>
      </c>
      <c r="L62" s="278"/>
      <c r="M62" s="179"/>
    </row>
    <row r="63" spans="1:13">
      <c r="A63" s="330"/>
      <c r="B63" s="232"/>
      <c r="C63" s="222"/>
      <c r="D63" s="222"/>
      <c r="E63" s="225"/>
      <c r="F63" s="222"/>
      <c r="G63" s="221"/>
      <c r="H63" s="220"/>
      <c r="I63" s="220"/>
      <c r="J63" s="220"/>
      <c r="K63" s="220"/>
      <c r="L63" s="278"/>
      <c r="M63" s="179"/>
    </row>
    <row r="64" spans="1:13" ht="27.75" customHeight="1">
      <c r="A64" s="226" t="str">
        <f>'Orç - Reservatório'!A102</f>
        <v>04.01.601.02</v>
      </c>
      <c r="B64" s="748" t="str">
        <f>'Orç - Reservatório'!D102</f>
        <v>Impermeabilização de superfície com manta asfáltica com polímeros tipo app, e=4mm, antirraiz, incluindo aplicação de primer (superfície externa do reservatório enterrado)</v>
      </c>
      <c r="C64" s="748"/>
      <c r="D64" s="748"/>
      <c r="E64" s="748"/>
      <c r="F64" s="748"/>
      <c r="G64" s="748"/>
      <c r="H64" s="748"/>
      <c r="I64" s="748"/>
      <c r="J64" s="748"/>
      <c r="K64" s="227" t="str">
        <f>'Orç - Reservatório'!F102</f>
        <v>m2</v>
      </c>
    </row>
    <row r="65" spans="1:13">
      <c r="A65" s="745"/>
      <c r="B65" s="745"/>
      <c r="C65" s="218"/>
      <c r="D65" s="218"/>
      <c r="E65" s="218"/>
      <c r="F65" s="218"/>
      <c r="G65" s="745" t="s">
        <v>7863</v>
      </c>
      <c r="H65" s="745"/>
      <c r="I65" s="745" t="s">
        <v>7864</v>
      </c>
      <c r="J65" s="745"/>
      <c r="K65" s="745"/>
    </row>
    <row r="66" spans="1:13" ht="22.5" customHeight="1">
      <c r="A66" s="745" t="s">
        <v>7880</v>
      </c>
      <c r="B66" s="745"/>
      <c r="C66" s="745" t="s">
        <v>7865</v>
      </c>
      <c r="D66" s="745"/>
      <c r="E66" s="745" t="s">
        <v>8152</v>
      </c>
      <c r="F66" s="745" t="s">
        <v>7868</v>
      </c>
      <c r="G66" s="343" t="s">
        <v>7869</v>
      </c>
      <c r="H66" s="343" t="s">
        <v>7870</v>
      </c>
      <c r="I66" s="343" t="s">
        <v>7871</v>
      </c>
      <c r="J66" s="343" t="s">
        <v>7869</v>
      </c>
      <c r="K66" s="343" t="s">
        <v>7870</v>
      </c>
    </row>
    <row r="67" spans="1:13">
      <c r="A67" s="745"/>
      <c r="B67" s="745"/>
      <c r="C67" s="745"/>
      <c r="D67" s="745"/>
      <c r="E67" s="745"/>
      <c r="F67" s="745"/>
      <c r="G67" s="343" t="s">
        <v>7872</v>
      </c>
      <c r="H67" s="343" t="s">
        <v>7873</v>
      </c>
      <c r="I67" s="343" t="s">
        <v>7874</v>
      </c>
      <c r="J67" s="343" t="s">
        <v>7872</v>
      </c>
      <c r="K67" s="343" t="s">
        <v>7873</v>
      </c>
    </row>
    <row r="68" spans="1:13">
      <c r="A68" s="343"/>
      <c r="B68" s="219" t="s">
        <v>8828</v>
      </c>
      <c r="C68" s="222">
        <v>1</v>
      </c>
      <c r="D68" s="222"/>
      <c r="E68" s="225">
        <v>27.8</v>
      </c>
      <c r="F68" s="222">
        <v>3.2</v>
      </c>
      <c r="G68" s="221">
        <f>F68*E68</f>
        <v>88.960000000000008</v>
      </c>
      <c r="H68" s="220">
        <f>F68*E68*D68</f>
        <v>0</v>
      </c>
      <c r="I68" s="220"/>
      <c r="J68" s="220">
        <f>C68*G68</f>
        <v>88.960000000000008</v>
      </c>
      <c r="K68" s="220">
        <f>C68*H68</f>
        <v>0</v>
      </c>
      <c r="L68" s="278"/>
      <c r="M68" s="179"/>
    </row>
    <row r="69" spans="1:13">
      <c r="A69" s="343"/>
      <c r="B69" s="219" t="s">
        <v>8822</v>
      </c>
      <c r="C69" s="222">
        <v>1</v>
      </c>
      <c r="D69" s="222"/>
      <c r="E69" s="225"/>
      <c r="F69" s="222"/>
      <c r="G69" s="221">
        <v>41.83</v>
      </c>
      <c r="H69" s="220">
        <f>F69*E69*D69</f>
        <v>0</v>
      </c>
      <c r="I69" s="220"/>
      <c r="J69" s="220">
        <f>C69*G69</f>
        <v>41.83</v>
      </c>
      <c r="K69" s="220">
        <f>C69*H69</f>
        <v>0</v>
      </c>
      <c r="L69" s="278"/>
      <c r="M69" s="179"/>
    </row>
    <row r="70" spans="1:13">
      <c r="A70" s="228"/>
      <c r="B70" s="229"/>
      <c r="C70" s="229"/>
      <c r="D70" s="229"/>
      <c r="E70" s="229"/>
      <c r="F70" s="747" t="s">
        <v>7875</v>
      </c>
      <c r="G70" s="747"/>
      <c r="H70" s="747"/>
      <c r="I70" s="230">
        <f>ROUND(SUM(I68:I68),2)</f>
        <v>0</v>
      </c>
      <c r="J70" s="230">
        <f>ROUND(SUM(J68:J69),2)</f>
        <v>130.79</v>
      </c>
      <c r="K70" s="230">
        <f>ROUND(SUM(K68:K68),2)</f>
        <v>0</v>
      </c>
      <c r="L70" s="278"/>
      <c r="M70" s="179"/>
    </row>
    <row r="71" spans="1:13">
      <c r="A71" s="228"/>
      <c r="B71" s="229"/>
      <c r="C71" s="229"/>
      <c r="D71" s="229"/>
      <c r="E71" s="229"/>
      <c r="F71" s="747"/>
      <c r="G71" s="747"/>
      <c r="H71" s="747"/>
      <c r="I71" s="230"/>
      <c r="J71" s="230"/>
      <c r="K71" s="230"/>
      <c r="M71" s="179"/>
    </row>
    <row r="72" spans="1:13">
      <c r="A72" s="343"/>
      <c r="B72" s="746"/>
      <c r="C72" s="746"/>
      <c r="D72" s="746"/>
      <c r="E72" s="746"/>
      <c r="F72" s="746"/>
      <c r="G72" s="746"/>
      <c r="H72" s="746"/>
      <c r="I72" s="746"/>
      <c r="J72" s="746"/>
      <c r="K72" s="343"/>
      <c r="M72" s="179"/>
    </row>
    <row r="73" spans="1:13" ht="27.75" customHeight="1">
      <c r="A73" s="226"/>
      <c r="B73" s="748"/>
      <c r="C73" s="748"/>
      <c r="D73" s="748"/>
      <c r="E73" s="748"/>
      <c r="F73" s="748"/>
      <c r="G73" s="748"/>
      <c r="H73" s="748"/>
      <c r="I73" s="748"/>
      <c r="J73" s="748"/>
      <c r="K73" s="227"/>
    </row>
    <row r="74" spans="1:13">
      <c r="A74" s="745"/>
      <c r="B74" s="745"/>
      <c r="C74" s="218"/>
      <c r="D74" s="218"/>
      <c r="E74" s="218"/>
      <c r="F74" s="218"/>
      <c r="G74" s="745"/>
      <c r="H74" s="745"/>
      <c r="I74" s="745"/>
      <c r="J74" s="745"/>
      <c r="K74" s="745"/>
    </row>
    <row r="75" spans="1:13" ht="27.75" customHeight="1">
      <c r="A75" s="226" t="str">
        <f>'Orç - Reservatório'!A104</f>
        <v>04.01.604</v>
      </c>
      <c r="B75" s="748" t="str">
        <f>'Orç - Reservatório'!D104</f>
        <v>Impermeabilização com cristalizante (A+B) tipo Viaplus 5000, com quatro demãos cruzadas, aplicação de tela de poliéster (malha 1x1) na segunda demão (nas superfícies indicadas em projeto)</v>
      </c>
      <c r="C75" s="748"/>
      <c r="D75" s="748"/>
      <c r="E75" s="748"/>
      <c r="F75" s="748"/>
      <c r="G75" s="748"/>
      <c r="H75" s="748"/>
      <c r="I75" s="748"/>
      <c r="J75" s="748"/>
      <c r="K75" s="227" t="str">
        <f>'Orç - Reservatório'!F104</f>
        <v>m2</v>
      </c>
    </row>
    <row r="76" spans="1:13">
      <c r="A76" s="745"/>
      <c r="B76" s="745"/>
      <c r="C76" s="218"/>
      <c r="D76" s="218"/>
      <c r="E76" s="218"/>
      <c r="F76" s="218"/>
      <c r="G76" s="745" t="s">
        <v>7863</v>
      </c>
      <c r="H76" s="745"/>
      <c r="I76" s="745" t="s">
        <v>7864</v>
      </c>
      <c r="J76" s="745"/>
      <c r="K76" s="745"/>
    </row>
    <row r="77" spans="1:13" ht="22.5" customHeight="1">
      <c r="A77" s="745" t="s">
        <v>7880</v>
      </c>
      <c r="B77" s="745"/>
      <c r="C77" s="745" t="s">
        <v>7865</v>
      </c>
      <c r="D77" s="745"/>
      <c r="E77" s="745" t="s">
        <v>8152</v>
      </c>
      <c r="F77" s="745" t="s">
        <v>7868</v>
      </c>
      <c r="G77" s="330" t="s">
        <v>7869</v>
      </c>
      <c r="H77" s="330" t="s">
        <v>7870</v>
      </c>
      <c r="I77" s="330" t="s">
        <v>7871</v>
      </c>
      <c r="J77" s="330" t="s">
        <v>7869</v>
      </c>
      <c r="K77" s="330" t="s">
        <v>7870</v>
      </c>
    </row>
    <row r="78" spans="1:13">
      <c r="A78" s="745"/>
      <c r="B78" s="745"/>
      <c r="C78" s="745"/>
      <c r="D78" s="745"/>
      <c r="E78" s="745"/>
      <c r="F78" s="745"/>
      <c r="G78" s="330" t="s">
        <v>7872</v>
      </c>
      <c r="H78" s="330" t="s">
        <v>7873</v>
      </c>
      <c r="I78" s="330" t="s">
        <v>7874</v>
      </c>
      <c r="J78" s="330" t="s">
        <v>7872</v>
      </c>
      <c r="K78" s="330" t="s">
        <v>7873</v>
      </c>
    </row>
    <row r="79" spans="1:13">
      <c r="A79" s="330"/>
      <c r="B79" s="219" t="s">
        <v>8818</v>
      </c>
      <c r="C79" s="222">
        <v>1</v>
      </c>
      <c r="D79" s="222"/>
      <c r="E79" s="225"/>
      <c r="F79" s="222"/>
      <c r="G79" s="221">
        <v>37.700000000000003</v>
      </c>
      <c r="H79" s="220">
        <f t="shared" ref="H79:H87" si="7">F79*E79*D79</f>
        <v>0</v>
      </c>
      <c r="I79" s="220"/>
      <c r="J79" s="220">
        <f t="shared" ref="J79:J87" si="8">C79*G79</f>
        <v>37.700000000000003</v>
      </c>
      <c r="K79" s="220">
        <f t="shared" ref="K79:K87" si="9">C79*H79</f>
        <v>0</v>
      </c>
      <c r="L79" s="278"/>
      <c r="M79" s="179"/>
    </row>
    <row r="80" spans="1:13">
      <c r="A80" s="343"/>
      <c r="B80" s="219" t="s">
        <v>8819</v>
      </c>
      <c r="C80" s="222">
        <v>1</v>
      </c>
      <c r="D80" s="222"/>
      <c r="E80" s="225">
        <v>29.8</v>
      </c>
      <c r="F80" s="222">
        <v>0.65</v>
      </c>
      <c r="G80" s="221">
        <f>F80*E80</f>
        <v>19.37</v>
      </c>
      <c r="H80" s="220">
        <f t="shared" si="7"/>
        <v>0</v>
      </c>
      <c r="I80" s="220"/>
      <c r="J80" s="220">
        <f t="shared" si="8"/>
        <v>19.37</v>
      </c>
      <c r="K80" s="220">
        <f t="shared" si="9"/>
        <v>0</v>
      </c>
      <c r="L80" s="278"/>
      <c r="M80" s="179"/>
    </row>
    <row r="81" spans="1:13">
      <c r="A81" s="343"/>
      <c r="B81" s="219" t="s">
        <v>8820</v>
      </c>
      <c r="C81" s="222">
        <v>1</v>
      </c>
      <c r="D81" s="222"/>
      <c r="E81" s="225">
        <v>18.88</v>
      </c>
      <c r="F81" s="222">
        <v>2.25</v>
      </c>
      <c r="G81" s="221">
        <f>F81*E81</f>
        <v>42.48</v>
      </c>
      <c r="H81" s="220">
        <f t="shared" si="7"/>
        <v>0</v>
      </c>
      <c r="I81" s="220"/>
      <c r="J81" s="220">
        <f t="shared" si="8"/>
        <v>42.48</v>
      </c>
      <c r="K81" s="220">
        <f t="shared" si="9"/>
        <v>0</v>
      </c>
      <c r="L81" s="278"/>
      <c r="M81" s="179"/>
    </row>
    <row r="82" spans="1:13">
      <c r="A82" s="343"/>
      <c r="B82" s="219" t="s">
        <v>8821</v>
      </c>
      <c r="C82" s="222">
        <v>1</v>
      </c>
      <c r="D82" s="222"/>
      <c r="E82" s="225">
        <v>13.7</v>
      </c>
      <c r="F82" s="222">
        <v>2.25</v>
      </c>
      <c r="G82" s="221">
        <f>F82*E82</f>
        <v>30.824999999999999</v>
      </c>
      <c r="H82" s="220">
        <f t="shared" si="7"/>
        <v>0</v>
      </c>
      <c r="I82" s="220"/>
      <c r="J82" s="220">
        <f t="shared" si="8"/>
        <v>30.824999999999999</v>
      </c>
      <c r="K82" s="220">
        <f t="shared" si="9"/>
        <v>0</v>
      </c>
      <c r="L82" s="278"/>
      <c r="M82" s="179"/>
    </row>
    <row r="83" spans="1:13">
      <c r="A83" s="343"/>
      <c r="B83" s="219" t="s">
        <v>8822</v>
      </c>
      <c r="C83" s="222">
        <v>1</v>
      </c>
      <c r="D83" s="222"/>
      <c r="E83" s="225"/>
      <c r="F83" s="222"/>
      <c r="G83" s="221">
        <v>27.2</v>
      </c>
      <c r="H83" s="220">
        <f t="shared" si="7"/>
        <v>0</v>
      </c>
      <c r="I83" s="220"/>
      <c r="J83" s="220">
        <f t="shared" si="8"/>
        <v>27.2</v>
      </c>
      <c r="K83" s="220">
        <f t="shared" si="9"/>
        <v>0</v>
      </c>
      <c r="L83" s="278"/>
      <c r="M83" s="179"/>
    </row>
    <row r="84" spans="1:13">
      <c r="A84" s="343"/>
      <c r="B84" s="219" t="s">
        <v>8823</v>
      </c>
      <c r="C84" s="222">
        <v>1</v>
      </c>
      <c r="D84" s="222"/>
      <c r="E84" s="225"/>
      <c r="F84" s="222"/>
      <c r="G84" s="221">
        <v>10.6</v>
      </c>
      <c r="H84" s="220">
        <f t="shared" si="7"/>
        <v>0</v>
      </c>
      <c r="I84" s="220"/>
      <c r="J84" s="220">
        <f t="shared" si="8"/>
        <v>10.6</v>
      </c>
      <c r="K84" s="220">
        <f t="shared" si="9"/>
        <v>0</v>
      </c>
      <c r="L84" s="278"/>
      <c r="M84" s="179"/>
    </row>
    <row r="85" spans="1:13">
      <c r="A85" s="343"/>
      <c r="B85" s="219" t="s">
        <v>8824</v>
      </c>
      <c r="C85" s="222">
        <v>2</v>
      </c>
      <c r="D85" s="222"/>
      <c r="E85" s="225"/>
      <c r="F85" s="222"/>
      <c r="G85" s="221">
        <v>7.5</v>
      </c>
      <c r="H85" s="220">
        <f t="shared" si="7"/>
        <v>0</v>
      </c>
      <c r="I85" s="220"/>
      <c r="J85" s="220">
        <f t="shared" si="8"/>
        <v>15</v>
      </c>
      <c r="K85" s="220">
        <f t="shared" si="9"/>
        <v>0</v>
      </c>
      <c r="L85" s="278"/>
      <c r="M85" s="179"/>
    </row>
    <row r="86" spans="1:13">
      <c r="A86" s="343"/>
      <c r="B86" s="219" t="s">
        <v>8825</v>
      </c>
      <c r="C86" s="222">
        <v>2</v>
      </c>
      <c r="D86" s="222"/>
      <c r="E86" s="225"/>
      <c r="F86" s="222"/>
      <c r="G86" s="221">
        <v>7.5</v>
      </c>
      <c r="H86" s="220">
        <f t="shared" si="7"/>
        <v>0</v>
      </c>
      <c r="I86" s="220"/>
      <c r="J86" s="220">
        <f t="shared" si="8"/>
        <v>15</v>
      </c>
      <c r="K86" s="220">
        <f t="shared" si="9"/>
        <v>0</v>
      </c>
      <c r="L86" s="278"/>
      <c r="M86" s="179"/>
    </row>
    <row r="87" spans="1:13">
      <c r="A87" s="343"/>
      <c r="B87" s="219" t="s">
        <v>8826</v>
      </c>
      <c r="C87" s="222">
        <v>2</v>
      </c>
      <c r="D87" s="222"/>
      <c r="E87" s="225">
        <v>11</v>
      </c>
      <c r="F87" s="222">
        <v>2.1</v>
      </c>
      <c r="G87" s="221">
        <f>F87*E87</f>
        <v>23.1</v>
      </c>
      <c r="H87" s="220">
        <f t="shared" si="7"/>
        <v>0</v>
      </c>
      <c r="I87" s="220"/>
      <c r="J87" s="220">
        <f t="shared" si="8"/>
        <v>46.2</v>
      </c>
      <c r="K87" s="220">
        <f t="shared" si="9"/>
        <v>0</v>
      </c>
      <c r="L87" s="278"/>
      <c r="M87" s="179"/>
    </row>
    <row r="88" spans="1:13">
      <c r="A88" s="228"/>
      <c r="B88" s="229"/>
      <c r="C88" s="229"/>
      <c r="D88" s="229"/>
      <c r="E88" s="229"/>
      <c r="F88" s="747" t="s">
        <v>7875</v>
      </c>
      <c r="G88" s="747"/>
      <c r="H88" s="747"/>
      <c r="I88" s="230">
        <f>ROUND(SUM(I79:I79),2)</f>
        <v>0</v>
      </c>
      <c r="J88" s="230">
        <f>ROUND(SUM(J79:J87),2)</f>
        <v>244.38</v>
      </c>
      <c r="K88" s="230">
        <f>ROUND(SUM(K79:K79),2)</f>
        <v>0</v>
      </c>
      <c r="L88" s="278"/>
      <c r="M88" s="179"/>
    </row>
    <row r="89" spans="1:13">
      <c r="A89" s="228"/>
      <c r="B89" s="229"/>
      <c r="C89" s="229"/>
      <c r="D89" s="229"/>
      <c r="E89" s="229"/>
      <c r="F89" s="747"/>
      <c r="G89" s="747"/>
      <c r="H89" s="747"/>
      <c r="I89" s="230"/>
      <c r="J89" s="230"/>
      <c r="K89" s="230"/>
      <c r="M89" s="179"/>
    </row>
  </sheetData>
  <mergeCells count="100">
    <mergeCell ref="F62:H62"/>
    <mergeCell ref="A26:B26"/>
    <mergeCell ref="G26:H26"/>
    <mergeCell ref="I26:K26"/>
    <mergeCell ref="B10:J10"/>
    <mergeCell ref="B11:J11"/>
    <mergeCell ref="B12:J12"/>
    <mergeCell ref="B13:J13"/>
    <mergeCell ref="A14:B14"/>
    <mergeCell ref="G14:H14"/>
    <mergeCell ref="I14:K14"/>
    <mergeCell ref="F23:H23"/>
    <mergeCell ref="B24:J24"/>
    <mergeCell ref="B25:J25"/>
    <mergeCell ref="F27:F28"/>
    <mergeCell ref="B38:J38"/>
    <mergeCell ref="A27:B28"/>
    <mergeCell ref="C27:C28"/>
    <mergeCell ref="D27:D28"/>
    <mergeCell ref="E27:E28"/>
    <mergeCell ref="A15:B16"/>
    <mergeCell ref="C15:C16"/>
    <mergeCell ref="D15:D16"/>
    <mergeCell ref="E15:E16"/>
    <mergeCell ref="F15:F16"/>
    <mergeCell ref="A2:K2"/>
    <mergeCell ref="A3:K3"/>
    <mergeCell ref="A4:K4"/>
    <mergeCell ref="A7:K7"/>
    <mergeCell ref="B9:J9"/>
    <mergeCell ref="A77:B78"/>
    <mergeCell ref="C77:C78"/>
    <mergeCell ref="D77:D78"/>
    <mergeCell ref="E77:E78"/>
    <mergeCell ref="F30:H30"/>
    <mergeCell ref="B31:J31"/>
    <mergeCell ref="B57:J57"/>
    <mergeCell ref="A58:B58"/>
    <mergeCell ref="G58:H58"/>
    <mergeCell ref="I58:K58"/>
    <mergeCell ref="F41:F42"/>
    <mergeCell ref="F46:H46"/>
    <mergeCell ref="B47:J47"/>
    <mergeCell ref="B64:J64"/>
    <mergeCell ref="A50:B51"/>
    <mergeCell ref="B56:J56"/>
    <mergeCell ref="I76:K76"/>
    <mergeCell ref="A65:B65"/>
    <mergeCell ref="G65:H65"/>
    <mergeCell ref="I65:K65"/>
    <mergeCell ref="A66:B67"/>
    <mergeCell ref="I74:K74"/>
    <mergeCell ref="F37:H37"/>
    <mergeCell ref="B48:J48"/>
    <mergeCell ref="A49:B49"/>
    <mergeCell ref="G49:H49"/>
    <mergeCell ref="I49:K49"/>
    <mergeCell ref="B39:J39"/>
    <mergeCell ref="A40:B40"/>
    <mergeCell ref="G40:H40"/>
    <mergeCell ref="I40:K40"/>
    <mergeCell ref="A41:B42"/>
    <mergeCell ref="C41:C42"/>
    <mergeCell ref="D41:D42"/>
    <mergeCell ref="E41:E42"/>
    <mergeCell ref="F89:H89"/>
    <mergeCell ref="C66:C67"/>
    <mergeCell ref="D66:D67"/>
    <mergeCell ref="E66:E67"/>
    <mergeCell ref="F66:F67"/>
    <mergeCell ref="F70:H70"/>
    <mergeCell ref="F77:F78"/>
    <mergeCell ref="F88:H88"/>
    <mergeCell ref="F71:H71"/>
    <mergeCell ref="B72:J72"/>
    <mergeCell ref="B73:J73"/>
    <mergeCell ref="A74:B74"/>
    <mergeCell ref="G74:H74"/>
    <mergeCell ref="B75:J75"/>
    <mergeCell ref="A76:B76"/>
    <mergeCell ref="G76:H76"/>
    <mergeCell ref="B32:J32"/>
    <mergeCell ref="A33:B33"/>
    <mergeCell ref="G33:H33"/>
    <mergeCell ref="I33:K33"/>
    <mergeCell ref="A34:B35"/>
    <mergeCell ref="C34:C35"/>
    <mergeCell ref="D34:D35"/>
    <mergeCell ref="E34:E35"/>
    <mergeCell ref="F34:F35"/>
    <mergeCell ref="A59:B60"/>
    <mergeCell ref="C59:C60"/>
    <mergeCell ref="D59:D60"/>
    <mergeCell ref="E59:E60"/>
    <mergeCell ref="F59:F60"/>
    <mergeCell ref="C50:C51"/>
    <mergeCell ref="D50:D51"/>
    <mergeCell ref="E50:E51"/>
    <mergeCell ref="F50:F51"/>
    <mergeCell ref="F55:H55"/>
  </mergeCells>
  <pageMargins left="0.23622047244094491" right="0.23622047244094491" top="0.74803149606299213" bottom="0.74803149606299213" header="0.31496062992125984" footer="0.31496062992125984"/>
  <pageSetup paperSize="9" scale="96" firstPageNumber="198" fitToHeight="30" orientation="portrait" useFirstPageNumber="1" r:id="rId1"/>
  <headerFooter>
    <oddFooter>&amp;CEng. Civil Daniele Firme Miranda
CREA: 24.965/D-DF
ART nº 0720190034483&amp;RPágina &amp;P de 208</oddFooter>
  </headerFooter>
  <rowBreaks count="1" manualBreakCount="1">
    <brk id="47" max="1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9"/>
  <dimension ref="A1:N281"/>
  <sheetViews>
    <sheetView view="pageLayout" topLeftCell="A20" zoomScaleNormal="130" zoomScaleSheetLayoutView="145" workbookViewId="0">
      <selection activeCell="E25" sqref="E25"/>
    </sheetView>
  </sheetViews>
  <sheetFormatPr defaultRowHeight="12.75"/>
  <cols>
    <col min="1" max="1" width="9.85546875" style="178" customWidth="1"/>
    <col min="2" max="2" width="31.28515625" style="176" customWidth="1"/>
    <col min="3" max="3" width="7.28515625" style="176" bestFit="1" customWidth="1"/>
    <col min="4" max="4" width="7.140625" style="178" bestFit="1" customWidth="1"/>
    <col min="5" max="5" width="7.28515625" style="176" bestFit="1" customWidth="1"/>
    <col min="6" max="6" width="7.85546875" style="176" bestFit="1" customWidth="1"/>
    <col min="7" max="7" width="9.5703125" style="176" bestFit="1" customWidth="1"/>
    <col min="8" max="9" width="7.28515625" style="176" bestFit="1" customWidth="1"/>
    <col min="10" max="10" width="8" style="176" bestFit="1" customWidth="1"/>
    <col min="11" max="11" width="8.28515625" style="176" customWidth="1"/>
    <col min="12" max="13" width="10.42578125" style="176" bestFit="1" customWidth="1"/>
    <col min="14" max="14" width="13.140625" style="176" bestFit="1" customWidth="1"/>
    <col min="15" max="256" width="9.140625" style="176"/>
    <col min="257" max="257" width="9.140625" style="176" customWidth="1"/>
    <col min="258" max="258" width="25.85546875" style="176" customWidth="1"/>
    <col min="259" max="259" width="5.7109375" style="176" bestFit="1" customWidth="1"/>
    <col min="260" max="260" width="7.140625" style="176" bestFit="1" customWidth="1"/>
    <col min="261" max="261" width="7.28515625" style="176" bestFit="1" customWidth="1"/>
    <col min="262" max="262" width="6.140625" style="176" bestFit="1" customWidth="1"/>
    <col min="263" max="265" width="7.28515625" style="176" bestFit="1" customWidth="1"/>
    <col min="266" max="266" width="8" style="176" bestFit="1" customWidth="1"/>
    <col min="267" max="267" width="8.28515625" style="176" customWidth="1"/>
    <col min="268" max="269" width="10.42578125" style="176" bestFit="1" customWidth="1"/>
    <col min="270" max="270" width="13.140625" style="176" bestFit="1" customWidth="1"/>
    <col min="271" max="512" width="9.140625" style="176"/>
    <col min="513" max="513" width="9.140625" style="176" customWidth="1"/>
    <col min="514" max="514" width="25.85546875" style="176" customWidth="1"/>
    <col min="515" max="515" width="5.7109375" style="176" bestFit="1" customWidth="1"/>
    <col min="516" max="516" width="7.140625" style="176" bestFit="1" customWidth="1"/>
    <col min="517" max="517" width="7.28515625" style="176" bestFit="1" customWidth="1"/>
    <col min="518" max="518" width="6.140625" style="176" bestFit="1" customWidth="1"/>
    <col min="519" max="521" width="7.28515625" style="176" bestFit="1" customWidth="1"/>
    <col min="522" max="522" width="8" style="176" bestFit="1" customWidth="1"/>
    <col min="523" max="523" width="8.28515625" style="176" customWidth="1"/>
    <col min="524" max="525" width="10.42578125" style="176" bestFit="1" customWidth="1"/>
    <col min="526" max="526" width="13.140625" style="176" bestFit="1" customWidth="1"/>
    <col min="527" max="768" width="9.140625" style="176"/>
    <col min="769" max="769" width="9.140625" style="176" customWidth="1"/>
    <col min="770" max="770" width="25.85546875" style="176" customWidth="1"/>
    <col min="771" max="771" width="5.7109375" style="176" bestFit="1" customWidth="1"/>
    <col min="772" max="772" width="7.140625" style="176" bestFit="1" customWidth="1"/>
    <col min="773" max="773" width="7.28515625" style="176" bestFit="1" customWidth="1"/>
    <col min="774" max="774" width="6.140625" style="176" bestFit="1" customWidth="1"/>
    <col min="775" max="777" width="7.28515625" style="176" bestFit="1" customWidth="1"/>
    <col min="778" max="778" width="8" style="176" bestFit="1" customWidth="1"/>
    <col min="779" max="779" width="8.28515625" style="176" customWidth="1"/>
    <col min="780" max="781" width="10.42578125" style="176" bestFit="1" customWidth="1"/>
    <col min="782" max="782" width="13.140625" style="176" bestFit="1" customWidth="1"/>
    <col min="783" max="1024" width="9.140625" style="176"/>
    <col min="1025" max="1025" width="9.140625" style="176" customWidth="1"/>
    <col min="1026" max="1026" width="25.85546875" style="176" customWidth="1"/>
    <col min="1027" max="1027" width="5.7109375" style="176" bestFit="1" customWidth="1"/>
    <col min="1028" max="1028" width="7.140625" style="176" bestFit="1" customWidth="1"/>
    <col min="1029" max="1029" width="7.28515625" style="176" bestFit="1" customWidth="1"/>
    <col min="1030" max="1030" width="6.140625" style="176" bestFit="1" customWidth="1"/>
    <col min="1031" max="1033" width="7.28515625" style="176" bestFit="1" customWidth="1"/>
    <col min="1034" max="1034" width="8" style="176" bestFit="1" customWidth="1"/>
    <col min="1035" max="1035" width="8.28515625" style="176" customWidth="1"/>
    <col min="1036" max="1037" width="10.42578125" style="176" bestFit="1" customWidth="1"/>
    <col min="1038" max="1038" width="13.140625" style="176" bestFit="1" customWidth="1"/>
    <col min="1039" max="1280" width="9.140625" style="176"/>
    <col min="1281" max="1281" width="9.140625" style="176" customWidth="1"/>
    <col min="1282" max="1282" width="25.85546875" style="176" customWidth="1"/>
    <col min="1283" max="1283" width="5.7109375" style="176" bestFit="1" customWidth="1"/>
    <col min="1284" max="1284" width="7.140625" style="176" bestFit="1" customWidth="1"/>
    <col min="1285" max="1285" width="7.28515625" style="176" bestFit="1" customWidth="1"/>
    <col min="1286" max="1286" width="6.140625" style="176" bestFit="1" customWidth="1"/>
    <col min="1287" max="1289" width="7.28515625" style="176" bestFit="1" customWidth="1"/>
    <col min="1290" max="1290" width="8" style="176" bestFit="1" customWidth="1"/>
    <col min="1291" max="1291" width="8.28515625" style="176" customWidth="1"/>
    <col min="1292" max="1293" width="10.42578125" style="176" bestFit="1" customWidth="1"/>
    <col min="1294" max="1294" width="13.140625" style="176" bestFit="1" customWidth="1"/>
    <col min="1295" max="1536" width="9.140625" style="176"/>
    <col min="1537" max="1537" width="9.140625" style="176" customWidth="1"/>
    <col min="1538" max="1538" width="25.85546875" style="176" customWidth="1"/>
    <col min="1539" max="1539" width="5.7109375" style="176" bestFit="1" customWidth="1"/>
    <col min="1540" max="1540" width="7.140625" style="176" bestFit="1" customWidth="1"/>
    <col min="1541" max="1541" width="7.28515625" style="176" bestFit="1" customWidth="1"/>
    <col min="1542" max="1542" width="6.140625" style="176" bestFit="1" customWidth="1"/>
    <col min="1543" max="1545" width="7.28515625" style="176" bestFit="1" customWidth="1"/>
    <col min="1546" max="1546" width="8" style="176" bestFit="1" customWidth="1"/>
    <col min="1547" max="1547" width="8.28515625" style="176" customWidth="1"/>
    <col min="1548" max="1549" width="10.42578125" style="176" bestFit="1" customWidth="1"/>
    <col min="1550" max="1550" width="13.140625" style="176" bestFit="1" customWidth="1"/>
    <col min="1551" max="1792" width="9.140625" style="176"/>
    <col min="1793" max="1793" width="9.140625" style="176" customWidth="1"/>
    <col min="1794" max="1794" width="25.85546875" style="176" customWidth="1"/>
    <col min="1795" max="1795" width="5.7109375" style="176" bestFit="1" customWidth="1"/>
    <col min="1796" max="1796" width="7.140625" style="176" bestFit="1" customWidth="1"/>
    <col min="1797" max="1797" width="7.28515625" style="176" bestFit="1" customWidth="1"/>
    <col min="1798" max="1798" width="6.140625" style="176" bestFit="1" customWidth="1"/>
    <col min="1799" max="1801" width="7.28515625" style="176" bestFit="1" customWidth="1"/>
    <col min="1802" max="1802" width="8" style="176" bestFit="1" customWidth="1"/>
    <col min="1803" max="1803" width="8.28515625" style="176" customWidth="1"/>
    <col min="1804" max="1805" width="10.42578125" style="176" bestFit="1" customWidth="1"/>
    <col min="1806" max="1806" width="13.140625" style="176" bestFit="1" customWidth="1"/>
    <col min="1807" max="2048" width="9.140625" style="176"/>
    <col min="2049" max="2049" width="9.140625" style="176" customWidth="1"/>
    <col min="2050" max="2050" width="25.85546875" style="176" customWidth="1"/>
    <col min="2051" max="2051" width="5.7109375" style="176" bestFit="1" customWidth="1"/>
    <col min="2052" max="2052" width="7.140625" style="176" bestFit="1" customWidth="1"/>
    <col min="2053" max="2053" width="7.28515625" style="176" bestFit="1" customWidth="1"/>
    <col min="2054" max="2054" width="6.140625" style="176" bestFit="1" customWidth="1"/>
    <col min="2055" max="2057" width="7.28515625" style="176" bestFit="1" customWidth="1"/>
    <col min="2058" max="2058" width="8" style="176" bestFit="1" customWidth="1"/>
    <col min="2059" max="2059" width="8.28515625" style="176" customWidth="1"/>
    <col min="2060" max="2061" width="10.42578125" style="176" bestFit="1" customWidth="1"/>
    <col min="2062" max="2062" width="13.140625" style="176" bestFit="1" customWidth="1"/>
    <col min="2063" max="2304" width="9.140625" style="176"/>
    <col min="2305" max="2305" width="9.140625" style="176" customWidth="1"/>
    <col min="2306" max="2306" width="25.85546875" style="176" customWidth="1"/>
    <col min="2307" max="2307" width="5.7109375" style="176" bestFit="1" customWidth="1"/>
    <col min="2308" max="2308" width="7.140625" style="176" bestFit="1" customWidth="1"/>
    <col min="2309" max="2309" width="7.28515625" style="176" bestFit="1" customWidth="1"/>
    <col min="2310" max="2310" width="6.140625" style="176" bestFit="1" customWidth="1"/>
    <col min="2311" max="2313" width="7.28515625" style="176" bestFit="1" customWidth="1"/>
    <col min="2314" max="2314" width="8" style="176" bestFit="1" customWidth="1"/>
    <col min="2315" max="2315" width="8.28515625" style="176" customWidth="1"/>
    <col min="2316" max="2317" width="10.42578125" style="176" bestFit="1" customWidth="1"/>
    <col min="2318" max="2318" width="13.140625" style="176" bestFit="1" customWidth="1"/>
    <col min="2319" max="2560" width="9.140625" style="176"/>
    <col min="2561" max="2561" width="9.140625" style="176" customWidth="1"/>
    <col min="2562" max="2562" width="25.85546875" style="176" customWidth="1"/>
    <col min="2563" max="2563" width="5.7109375" style="176" bestFit="1" customWidth="1"/>
    <col min="2564" max="2564" width="7.140625" style="176" bestFit="1" customWidth="1"/>
    <col min="2565" max="2565" width="7.28515625" style="176" bestFit="1" customWidth="1"/>
    <col min="2566" max="2566" width="6.140625" style="176" bestFit="1" customWidth="1"/>
    <col min="2567" max="2569" width="7.28515625" style="176" bestFit="1" customWidth="1"/>
    <col min="2570" max="2570" width="8" style="176" bestFit="1" customWidth="1"/>
    <col min="2571" max="2571" width="8.28515625" style="176" customWidth="1"/>
    <col min="2572" max="2573" width="10.42578125" style="176" bestFit="1" customWidth="1"/>
    <col min="2574" max="2574" width="13.140625" style="176" bestFit="1" customWidth="1"/>
    <col min="2575" max="2816" width="9.140625" style="176"/>
    <col min="2817" max="2817" width="9.140625" style="176" customWidth="1"/>
    <col min="2818" max="2818" width="25.85546875" style="176" customWidth="1"/>
    <col min="2819" max="2819" width="5.7109375" style="176" bestFit="1" customWidth="1"/>
    <col min="2820" max="2820" width="7.140625" style="176" bestFit="1" customWidth="1"/>
    <col min="2821" max="2821" width="7.28515625" style="176" bestFit="1" customWidth="1"/>
    <col min="2822" max="2822" width="6.140625" style="176" bestFit="1" customWidth="1"/>
    <col min="2823" max="2825" width="7.28515625" style="176" bestFit="1" customWidth="1"/>
    <col min="2826" max="2826" width="8" style="176" bestFit="1" customWidth="1"/>
    <col min="2827" max="2827" width="8.28515625" style="176" customWidth="1"/>
    <col min="2828" max="2829" width="10.42578125" style="176" bestFit="1" customWidth="1"/>
    <col min="2830" max="2830" width="13.140625" style="176" bestFit="1" customWidth="1"/>
    <col min="2831" max="3072" width="9.140625" style="176"/>
    <col min="3073" max="3073" width="9.140625" style="176" customWidth="1"/>
    <col min="3074" max="3074" width="25.85546875" style="176" customWidth="1"/>
    <col min="3075" max="3075" width="5.7109375" style="176" bestFit="1" customWidth="1"/>
    <col min="3076" max="3076" width="7.140625" style="176" bestFit="1" customWidth="1"/>
    <col min="3077" max="3077" width="7.28515625" style="176" bestFit="1" customWidth="1"/>
    <col min="3078" max="3078" width="6.140625" style="176" bestFit="1" customWidth="1"/>
    <col min="3079" max="3081" width="7.28515625" style="176" bestFit="1" customWidth="1"/>
    <col min="3082" max="3082" width="8" style="176" bestFit="1" customWidth="1"/>
    <col min="3083" max="3083" width="8.28515625" style="176" customWidth="1"/>
    <col min="3084" max="3085" width="10.42578125" style="176" bestFit="1" customWidth="1"/>
    <col min="3086" max="3086" width="13.140625" style="176" bestFit="1" customWidth="1"/>
    <col min="3087" max="3328" width="9.140625" style="176"/>
    <col min="3329" max="3329" width="9.140625" style="176" customWidth="1"/>
    <col min="3330" max="3330" width="25.85546875" style="176" customWidth="1"/>
    <col min="3331" max="3331" width="5.7109375" style="176" bestFit="1" customWidth="1"/>
    <col min="3332" max="3332" width="7.140625" style="176" bestFit="1" customWidth="1"/>
    <col min="3333" max="3333" width="7.28515625" style="176" bestFit="1" customWidth="1"/>
    <col min="3334" max="3334" width="6.140625" style="176" bestFit="1" customWidth="1"/>
    <col min="3335" max="3337" width="7.28515625" style="176" bestFit="1" customWidth="1"/>
    <col min="3338" max="3338" width="8" style="176" bestFit="1" customWidth="1"/>
    <col min="3339" max="3339" width="8.28515625" style="176" customWidth="1"/>
    <col min="3340" max="3341" width="10.42578125" style="176" bestFit="1" customWidth="1"/>
    <col min="3342" max="3342" width="13.140625" style="176" bestFit="1" customWidth="1"/>
    <col min="3343" max="3584" width="9.140625" style="176"/>
    <col min="3585" max="3585" width="9.140625" style="176" customWidth="1"/>
    <col min="3586" max="3586" width="25.85546875" style="176" customWidth="1"/>
    <col min="3587" max="3587" width="5.7109375" style="176" bestFit="1" customWidth="1"/>
    <col min="3588" max="3588" width="7.140625" style="176" bestFit="1" customWidth="1"/>
    <col min="3589" max="3589" width="7.28515625" style="176" bestFit="1" customWidth="1"/>
    <col min="3590" max="3590" width="6.140625" style="176" bestFit="1" customWidth="1"/>
    <col min="3591" max="3593" width="7.28515625" style="176" bestFit="1" customWidth="1"/>
    <col min="3594" max="3594" width="8" style="176" bestFit="1" customWidth="1"/>
    <col min="3595" max="3595" width="8.28515625" style="176" customWidth="1"/>
    <col min="3596" max="3597" width="10.42578125" style="176" bestFit="1" customWidth="1"/>
    <col min="3598" max="3598" width="13.140625" style="176" bestFit="1" customWidth="1"/>
    <col min="3599" max="3840" width="9.140625" style="176"/>
    <col min="3841" max="3841" width="9.140625" style="176" customWidth="1"/>
    <col min="3842" max="3842" width="25.85546875" style="176" customWidth="1"/>
    <col min="3843" max="3843" width="5.7109375" style="176" bestFit="1" customWidth="1"/>
    <col min="3844" max="3844" width="7.140625" style="176" bestFit="1" customWidth="1"/>
    <col min="3845" max="3845" width="7.28515625" style="176" bestFit="1" customWidth="1"/>
    <col min="3846" max="3846" width="6.140625" style="176" bestFit="1" customWidth="1"/>
    <col min="3847" max="3849" width="7.28515625" style="176" bestFit="1" customWidth="1"/>
    <col min="3850" max="3850" width="8" style="176" bestFit="1" customWidth="1"/>
    <col min="3851" max="3851" width="8.28515625" style="176" customWidth="1"/>
    <col min="3852" max="3853" width="10.42578125" style="176" bestFit="1" customWidth="1"/>
    <col min="3854" max="3854" width="13.140625" style="176" bestFit="1" customWidth="1"/>
    <col min="3855" max="4096" width="9.140625" style="176"/>
    <col min="4097" max="4097" width="9.140625" style="176" customWidth="1"/>
    <col min="4098" max="4098" width="25.85546875" style="176" customWidth="1"/>
    <col min="4099" max="4099" width="5.7109375" style="176" bestFit="1" customWidth="1"/>
    <col min="4100" max="4100" width="7.140625" style="176" bestFit="1" customWidth="1"/>
    <col min="4101" max="4101" width="7.28515625" style="176" bestFit="1" customWidth="1"/>
    <col min="4102" max="4102" width="6.140625" style="176" bestFit="1" customWidth="1"/>
    <col min="4103" max="4105" width="7.28515625" style="176" bestFit="1" customWidth="1"/>
    <col min="4106" max="4106" width="8" style="176" bestFit="1" customWidth="1"/>
    <col min="4107" max="4107" width="8.28515625" style="176" customWidth="1"/>
    <col min="4108" max="4109" width="10.42578125" style="176" bestFit="1" customWidth="1"/>
    <col min="4110" max="4110" width="13.140625" style="176" bestFit="1" customWidth="1"/>
    <col min="4111" max="4352" width="9.140625" style="176"/>
    <col min="4353" max="4353" width="9.140625" style="176" customWidth="1"/>
    <col min="4354" max="4354" width="25.85546875" style="176" customWidth="1"/>
    <col min="4355" max="4355" width="5.7109375" style="176" bestFit="1" customWidth="1"/>
    <col min="4356" max="4356" width="7.140625" style="176" bestFit="1" customWidth="1"/>
    <col min="4357" max="4357" width="7.28515625" style="176" bestFit="1" customWidth="1"/>
    <col min="4358" max="4358" width="6.140625" style="176" bestFit="1" customWidth="1"/>
    <col min="4359" max="4361" width="7.28515625" style="176" bestFit="1" customWidth="1"/>
    <col min="4362" max="4362" width="8" style="176" bestFit="1" customWidth="1"/>
    <col min="4363" max="4363" width="8.28515625" style="176" customWidth="1"/>
    <col min="4364" max="4365" width="10.42578125" style="176" bestFit="1" customWidth="1"/>
    <col min="4366" max="4366" width="13.140625" style="176" bestFit="1" customWidth="1"/>
    <col min="4367" max="4608" width="9.140625" style="176"/>
    <col min="4609" max="4609" width="9.140625" style="176" customWidth="1"/>
    <col min="4610" max="4610" width="25.85546875" style="176" customWidth="1"/>
    <col min="4611" max="4611" width="5.7109375" style="176" bestFit="1" customWidth="1"/>
    <col min="4612" max="4612" width="7.140625" style="176" bestFit="1" customWidth="1"/>
    <col min="4613" max="4613" width="7.28515625" style="176" bestFit="1" customWidth="1"/>
    <col min="4614" max="4614" width="6.140625" style="176" bestFit="1" customWidth="1"/>
    <col min="4615" max="4617" width="7.28515625" style="176" bestFit="1" customWidth="1"/>
    <col min="4618" max="4618" width="8" style="176" bestFit="1" customWidth="1"/>
    <col min="4619" max="4619" width="8.28515625" style="176" customWidth="1"/>
    <col min="4620" max="4621" width="10.42578125" style="176" bestFit="1" customWidth="1"/>
    <col min="4622" max="4622" width="13.140625" style="176" bestFit="1" customWidth="1"/>
    <col min="4623" max="4864" width="9.140625" style="176"/>
    <col min="4865" max="4865" width="9.140625" style="176" customWidth="1"/>
    <col min="4866" max="4866" width="25.85546875" style="176" customWidth="1"/>
    <col min="4867" max="4867" width="5.7109375" style="176" bestFit="1" customWidth="1"/>
    <col min="4868" max="4868" width="7.140625" style="176" bestFit="1" customWidth="1"/>
    <col min="4869" max="4869" width="7.28515625" style="176" bestFit="1" customWidth="1"/>
    <col min="4870" max="4870" width="6.140625" style="176" bestFit="1" customWidth="1"/>
    <col min="4871" max="4873" width="7.28515625" style="176" bestFit="1" customWidth="1"/>
    <col min="4874" max="4874" width="8" style="176" bestFit="1" customWidth="1"/>
    <col min="4875" max="4875" width="8.28515625" style="176" customWidth="1"/>
    <col min="4876" max="4877" width="10.42578125" style="176" bestFit="1" customWidth="1"/>
    <col min="4878" max="4878" width="13.140625" style="176" bestFit="1" customWidth="1"/>
    <col min="4879" max="5120" width="9.140625" style="176"/>
    <col min="5121" max="5121" width="9.140625" style="176" customWidth="1"/>
    <col min="5122" max="5122" width="25.85546875" style="176" customWidth="1"/>
    <col min="5123" max="5123" width="5.7109375" style="176" bestFit="1" customWidth="1"/>
    <col min="5124" max="5124" width="7.140625" style="176" bestFit="1" customWidth="1"/>
    <col min="5125" max="5125" width="7.28515625" style="176" bestFit="1" customWidth="1"/>
    <col min="5126" max="5126" width="6.140625" style="176" bestFit="1" customWidth="1"/>
    <col min="5127" max="5129" width="7.28515625" style="176" bestFit="1" customWidth="1"/>
    <col min="5130" max="5130" width="8" style="176" bestFit="1" customWidth="1"/>
    <col min="5131" max="5131" width="8.28515625" style="176" customWidth="1"/>
    <col min="5132" max="5133" width="10.42578125" style="176" bestFit="1" customWidth="1"/>
    <col min="5134" max="5134" width="13.140625" style="176" bestFit="1" customWidth="1"/>
    <col min="5135" max="5376" width="9.140625" style="176"/>
    <col min="5377" max="5377" width="9.140625" style="176" customWidth="1"/>
    <col min="5378" max="5378" width="25.85546875" style="176" customWidth="1"/>
    <col min="5379" max="5379" width="5.7109375" style="176" bestFit="1" customWidth="1"/>
    <col min="5380" max="5380" width="7.140625" style="176" bestFit="1" customWidth="1"/>
    <col min="5381" max="5381" width="7.28515625" style="176" bestFit="1" customWidth="1"/>
    <col min="5382" max="5382" width="6.140625" style="176" bestFit="1" customWidth="1"/>
    <col min="5383" max="5385" width="7.28515625" style="176" bestFit="1" customWidth="1"/>
    <col min="5386" max="5386" width="8" style="176" bestFit="1" customWidth="1"/>
    <col min="5387" max="5387" width="8.28515625" style="176" customWidth="1"/>
    <col min="5388" max="5389" width="10.42578125" style="176" bestFit="1" customWidth="1"/>
    <col min="5390" max="5390" width="13.140625" style="176" bestFit="1" customWidth="1"/>
    <col min="5391" max="5632" width="9.140625" style="176"/>
    <col min="5633" max="5633" width="9.140625" style="176" customWidth="1"/>
    <col min="5634" max="5634" width="25.85546875" style="176" customWidth="1"/>
    <col min="5635" max="5635" width="5.7109375" style="176" bestFit="1" customWidth="1"/>
    <col min="5636" max="5636" width="7.140625" style="176" bestFit="1" customWidth="1"/>
    <col min="5637" max="5637" width="7.28515625" style="176" bestFit="1" customWidth="1"/>
    <col min="5638" max="5638" width="6.140625" style="176" bestFit="1" customWidth="1"/>
    <col min="5639" max="5641" width="7.28515625" style="176" bestFit="1" customWidth="1"/>
    <col min="5642" max="5642" width="8" style="176" bestFit="1" customWidth="1"/>
    <col min="5643" max="5643" width="8.28515625" style="176" customWidth="1"/>
    <col min="5644" max="5645" width="10.42578125" style="176" bestFit="1" customWidth="1"/>
    <col min="5646" max="5646" width="13.140625" style="176" bestFit="1" customWidth="1"/>
    <col min="5647" max="5888" width="9.140625" style="176"/>
    <col min="5889" max="5889" width="9.140625" style="176" customWidth="1"/>
    <col min="5890" max="5890" width="25.85546875" style="176" customWidth="1"/>
    <col min="5891" max="5891" width="5.7109375" style="176" bestFit="1" customWidth="1"/>
    <col min="5892" max="5892" width="7.140625" style="176" bestFit="1" customWidth="1"/>
    <col min="5893" max="5893" width="7.28515625" style="176" bestFit="1" customWidth="1"/>
    <col min="5894" max="5894" width="6.140625" style="176" bestFit="1" customWidth="1"/>
    <col min="5895" max="5897" width="7.28515625" style="176" bestFit="1" customWidth="1"/>
    <col min="5898" max="5898" width="8" style="176" bestFit="1" customWidth="1"/>
    <col min="5899" max="5899" width="8.28515625" style="176" customWidth="1"/>
    <col min="5900" max="5901" width="10.42578125" style="176" bestFit="1" customWidth="1"/>
    <col min="5902" max="5902" width="13.140625" style="176" bestFit="1" customWidth="1"/>
    <col min="5903" max="6144" width="9.140625" style="176"/>
    <col min="6145" max="6145" width="9.140625" style="176" customWidth="1"/>
    <col min="6146" max="6146" width="25.85546875" style="176" customWidth="1"/>
    <col min="6147" max="6147" width="5.7109375" style="176" bestFit="1" customWidth="1"/>
    <col min="6148" max="6148" width="7.140625" style="176" bestFit="1" customWidth="1"/>
    <col min="6149" max="6149" width="7.28515625" style="176" bestFit="1" customWidth="1"/>
    <col min="6150" max="6150" width="6.140625" style="176" bestFit="1" customWidth="1"/>
    <col min="6151" max="6153" width="7.28515625" style="176" bestFit="1" customWidth="1"/>
    <col min="6154" max="6154" width="8" style="176" bestFit="1" customWidth="1"/>
    <col min="6155" max="6155" width="8.28515625" style="176" customWidth="1"/>
    <col min="6156" max="6157" width="10.42578125" style="176" bestFit="1" customWidth="1"/>
    <col min="6158" max="6158" width="13.140625" style="176" bestFit="1" customWidth="1"/>
    <col min="6159" max="6400" width="9.140625" style="176"/>
    <col min="6401" max="6401" width="9.140625" style="176" customWidth="1"/>
    <col min="6402" max="6402" width="25.85546875" style="176" customWidth="1"/>
    <col min="6403" max="6403" width="5.7109375" style="176" bestFit="1" customWidth="1"/>
    <col min="6404" max="6404" width="7.140625" style="176" bestFit="1" customWidth="1"/>
    <col min="6405" max="6405" width="7.28515625" style="176" bestFit="1" customWidth="1"/>
    <col min="6406" max="6406" width="6.140625" style="176" bestFit="1" customWidth="1"/>
    <col min="6407" max="6409" width="7.28515625" style="176" bestFit="1" customWidth="1"/>
    <col min="6410" max="6410" width="8" style="176" bestFit="1" customWidth="1"/>
    <col min="6411" max="6411" width="8.28515625" style="176" customWidth="1"/>
    <col min="6412" max="6413" width="10.42578125" style="176" bestFit="1" customWidth="1"/>
    <col min="6414" max="6414" width="13.140625" style="176" bestFit="1" customWidth="1"/>
    <col min="6415" max="6656" width="9.140625" style="176"/>
    <col min="6657" max="6657" width="9.140625" style="176" customWidth="1"/>
    <col min="6658" max="6658" width="25.85546875" style="176" customWidth="1"/>
    <col min="6659" max="6659" width="5.7109375" style="176" bestFit="1" customWidth="1"/>
    <col min="6660" max="6660" width="7.140625" style="176" bestFit="1" customWidth="1"/>
    <col min="6661" max="6661" width="7.28515625" style="176" bestFit="1" customWidth="1"/>
    <col min="6662" max="6662" width="6.140625" style="176" bestFit="1" customWidth="1"/>
    <col min="6663" max="6665" width="7.28515625" style="176" bestFit="1" customWidth="1"/>
    <col min="6666" max="6666" width="8" style="176" bestFit="1" customWidth="1"/>
    <col min="6667" max="6667" width="8.28515625" style="176" customWidth="1"/>
    <col min="6668" max="6669" width="10.42578125" style="176" bestFit="1" customWidth="1"/>
    <col min="6670" max="6670" width="13.140625" style="176" bestFit="1" customWidth="1"/>
    <col min="6671" max="6912" width="9.140625" style="176"/>
    <col min="6913" max="6913" width="9.140625" style="176" customWidth="1"/>
    <col min="6914" max="6914" width="25.85546875" style="176" customWidth="1"/>
    <col min="6915" max="6915" width="5.7109375" style="176" bestFit="1" customWidth="1"/>
    <col min="6916" max="6916" width="7.140625" style="176" bestFit="1" customWidth="1"/>
    <col min="6917" max="6917" width="7.28515625" style="176" bestFit="1" customWidth="1"/>
    <col min="6918" max="6918" width="6.140625" style="176" bestFit="1" customWidth="1"/>
    <col min="6919" max="6921" width="7.28515625" style="176" bestFit="1" customWidth="1"/>
    <col min="6922" max="6922" width="8" style="176" bestFit="1" customWidth="1"/>
    <col min="6923" max="6923" width="8.28515625" style="176" customWidth="1"/>
    <col min="6924" max="6925" width="10.42578125" style="176" bestFit="1" customWidth="1"/>
    <col min="6926" max="6926" width="13.140625" style="176" bestFit="1" customWidth="1"/>
    <col min="6927" max="7168" width="9.140625" style="176"/>
    <col min="7169" max="7169" width="9.140625" style="176" customWidth="1"/>
    <col min="7170" max="7170" width="25.85546875" style="176" customWidth="1"/>
    <col min="7171" max="7171" width="5.7109375" style="176" bestFit="1" customWidth="1"/>
    <col min="7172" max="7172" width="7.140625" style="176" bestFit="1" customWidth="1"/>
    <col min="7173" max="7173" width="7.28515625" style="176" bestFit="1" customWidth="1"/>
    <col min="7174" max="7174" width="6.140625" style="176" bestFit="1" customWidth="1"/>
    <col min="7175" max="7177" width="7.28515625" style="176" bestFit="1" customWidth="1"/>
    <col min="7178" max="7178" width="8" style="176" bestFit="1" customWidth="1"/>
    <col min="7179" max="7179" width="8.28515625" style="176" customWidth="1"/>
    <col min="7180" max="7181" width="10.42578125" style="176" bestFit="1" customWidth="1"/>
    <col min="7182" max="7182" width="13.140625" style="176" bestFit="1" customWidth="1"/>
    <col min="7183" max="7424" width="9.140625" style="176"/>
    <col min="7425" max="7425" width="9.140625" style="176" customWidth="1"/>
    <col min="7426" max="7426" width="25.85546875" style="176" customWidth="1"/>
    <col min="7427" max="7427" width="5.7109375" style="176" bestFit="1" customWidth="1"/>
    <col min="7428" max="7428" width="7.140625" style="176" bestFit="1" customWidth="1"/>
    <col min="7429" max="7429" width="7.28515625" style="176" bestFit="1" customWidth="1"/>
    <col min="7430" max="7430" width="6.140625" style="176" bestFit="1" customWidth="1"/>
    <col min="7431" max="7433" width="7.28515625" style="176" bestFit="1" customWidth="1"/>
    <col min="7434" max="7434" width="8" style="176" bestFit="1" customWidth="1"/>
    <col min="7435" max="7435" width="8.28515625" style="176" customWidth="1"/>
    <col min="7436" max="7437" width="10.42578125" style="176" bestFit="1" customWidth="1"/>
    <col min="7438" max="7438" width="13.140625" style="176" bestFit="1" customWidth="1"/>
    <col min="7439" max="7680" width="9.140625" style="176"/>
    <col min="7681" max="7681" width="9.140625" style="176" customWidth="1"/>
    <col min="7682" max="7682" width="25.85546875" style="176" customWidth="1"/>
    <col min="7683" max="7683" width="5.7109375" style="176" bestFit="1" customWidth="1"/>
    <col min="7684" max="7684" width="7.140625" style="176" bestFit="1" customWidth="1"/>
    <col min="7685" max="7685" width="7.28515625" style="176" bestFit="1" customWidth="1"/>
    <col min="7686" max="7686" width="6.140625" style="176" bestFit="1" customWidth="1"/>
    <col min="7687" max="7689" width="7.28515625" style="176" bestFit="1" customWidth="1"/>
    <col min="7690" max="7690" width="8" style="176" bestFit="1" customWidth="1"/>
    <col min="7691" max="7691" width="8.28515625" style="176" customWidth="1"/>
    <col min="7692" max="7693" width="10.42578125" style="176" bestFit="1" customWidth="1"/>
    <col min="7694" max="7694" width="13.140625" style="176" bestFit="1" customWidth="1"/>
    <col min="7695" max="7936" width="9.140625" style="176"/>
    <col min="7937" max="7937" width="9.140625" style="176" customWidth="1"/>
    <col min="7938" max="7938" width="25.85546875" style="176" customWidth="1"/>
    <col min="7939" max="7939" width="5.7109375" style="176" bestFit="1" customWidth="1"/>
    <col min="7940" max="7940" width="7.140625" style="176" bestFit="1" customWidth="1"/>
    <col min="7941" max="7941" width="7.28515625" style="176" bestFit="1" customWidth="1"/>
    <col min="7942" max="7942" width="6.140625" style="176" bestFit="1" customWidth="1"/>
    <col min="7943" max="7945" width="7.28515625" style="176" bestFit="1" customWidth="1"/>
    <col min="7946" max="7946" width="8" style="176" bestFit="1" customWidth="1"/>
    <col min="7947" max="7947" width="8.28515625" style="176" customWidth="1"/>
    <col min="7948" max="7949" width="10.42578125" style="176" bestFit="1" customWidth="1"/>
    <col min="7950" max="7950" width="13.140625" style="176" bestFit="1" customWidth="1"/>
    <col min="7951" max="8192" width="9.140625" style="176"/>
    <col min="8193" max="8193" width="9.140625" style="176" customWidth="1"/>
    <col min="8194" max="8194" width="25.85546875" style="176" customWidth="1"/>
    <col min="8195" max="8195" width="5.7109375" style="176" bestFit="1" customWidth="1"/>
    <col min="8196" max="8196" width="7.140625" style="176" bestFit="1" customWidth="1"/>
    <col min="8197" max="8197" width="7.28515625" style="176" bestFit="1" customWidth="1"/>
    <col min="8198" max="8198" width="6.140625" style="176" bestFit="1" customWidth="1"/>
    <col min="8199" max="8201" width="7.28515625" style="176" bestFit="1" customWidth="1"/>
    <col min="8202" max="8202" width="8" style="176" bestFit="1" customWidth="1"/>
    <col min="8203" max="8203" width="8.28515625" style="176" customWidth="1"/>
    <col min="8204" max="8205" width="10.42578125" style="176" bestFit="1" customWidth="1"/>
    <col min="8206" max="8206" width="13.140625" style="176" bestFit="1" customWidth="1"/>
    <col min="8207" max="8448" width="9.140625" style="176"/>
    <col min="8449" max="8449" width="9.140625" style="176" customWidth="1"/>
    <col min="8450" max="8450" width="25.85546875" style="176" customWidth="1"/>
    <col min="8451" max="8451" width="5.7109375" style="176" bestFit="1" customWidth="1"/>
    <col min="8452" max="8452" width="7.140625" style="176" bestFit="1" customWidth="1"/>
    <col min="8453" max="8453" width="7.28515625" style="176" bestFit="1" customWidth="1"/>
    <col min="8454" max="8454" width="6.140625" style="176" bestFit="1" customWidth="1"/>
    <col min="8455" max="8457" width="7.28515625" style="176" bestFit="1" customWidth="1"/>
    <col min="8458" max="8458" width="8" style="176" bestFit="1" customWidth="1"/>
    <col min="8459" max="8459" width="8.28515625" style="176" customWidth="1"/>
    <col min="8460" max="8461" width="10.42578125" style="176" bestFit="1" customWidth="1"/>
    <col min="8462" max="8462" width="13.140625" style="176" bestFit="1" customWidth="1"/>
    <col min="8463" max="8704" width="9.140625" style="176"/>
    <col min="8705" max="8705" width="9.140625" style="176" customWidth="1"/>
    <col min="8706" max="8706" width="25.85546875" style="176" customWidth="1"/>
    <col min="8707" max="8707" width="5.7109375" style="176" bestFit="1" customWidth="1"/>
    <col min="8708" max="8708" width="7.140625" style="176" bestFit="1" customWidth="1"/>
    <col min="8709" max="8709" width="7.28515625" style="176" bestFit="1" customWidth="1"/>
    <col min="8710" max="8710" width="6.140625" style="176" bestFit="1" customWidth="1"/>
    <col min="8711" max="8713" width="7.28515625" style="176" bestFit="1" customWidth="1"/>
    <col min="8714" max="8714" width="8" style="176" bestFit="1" customWidth="1"/>
    <col min="8715" max="8715" width="8.28515625" style="176" customWidth="1"/>
    <col min="8716" max="8717" width="10.42578125" style="176" bestFit="1" customWidth="1"/>
    <col min="8718" max="8718" width="13.140625" style="176" bestFit="1" customWidth="1"/>
    <col min="8719" max="8960" width="9.140625" style="176"/>
    <col min="8961" max="8961" width="9.140625" style="176" customWidth="1"/>
    <col min="8962" max="8962" width="25.85546875" style="176" customWidth="1"/>
    <col min="8963" max="8963" width="5.7109375" style="176" bestFit="1" customWidth="1"/>
    <col min="8964" max="8964" width="7.140625" style="176" bestFit="1" customWidth="1"/>
    <col min="8965" max="8965" width="7.28515625" style="176" bestFit="1" customWidth="1"/>
    <col min="8966" max="8966" width="6.140625" style="176" bestFit="1" customWidth="1"/>
    <col min="8967" max="8969" width="7.28515625" style="176" bestFit="1" customWidth="1"/>
    <col min="8970" max="8970" width="8" style="176" bestFit="1" customWidth="1"/>
    <col min="8971" max="8971" width="8.28515625" style="176" customWidth="1"/>
    <col min="8972" max="8973" width="10.42578125" style="176" bestFit="1" customWidth="1"/>
    <col min="8974" max="8974" width="13.140625" style="176" bestFit="1" customWidth="1"/>
    <col min="8975" max="9216" width="9.140625" style="176"/>
    <col min="9217" max="9217" width="9.140625" style="176" customWidth="1"/>
    <col min="9218" max="9218" width="25.85546875" style="176" customWidth="1"/>
    <col min="9219" max="9219" width="5.7109375" style="176" bestFit="1" customWidth="1"/>
    <col min="9220" max="9220" width="7.140625" style="176" bestFit="1" customWidth="1"/>
    <col min="9221" max="9221" width="7.28515625" style="176" bestFit="1" customWidth="1"/>
    <col min="9222" max="9222" width="6.140625" style="176" bestFit="1" customWidth="1"/>
    <col min="9223" max="9225" width="7.28515625" style="176" bestFit="1" customWidth="1"/>
    <col min="9226" max="9226" width="8" style="176" bestFit="1" customWidth="1"/>
    <col min="9227" max="9227" width="8.28515625" style="176" customWidth="1"/>
    <col min="9228" max="9229" width="10.42578125" style="176" bestFit="1" customWidth="1"/>
    <col min="9230" max="9230" width="13.140625" style="176" bestFit="1" customWidth="1"/>
    <col min="9231" max="9472" width="9.140625" style="176"/>
    <col min="9473" max="9473" width="9.140625" style="176" customWidth="1"/>
    <col min="9474" max="9474" width="25.85546875" style="176" customWidth="1"/>
    <col min="9475" max="9475" width="5.7109375" style="176" bestFit="1" customWidth="1"/>
    <col min="9476" max="9476" width="7.140625" style="176" bestFit="1" customWidth="1"/>
    <col min="9477" max="9477" width="7.28515625" style="176" bestFit="1" customWidth="1"/>
    <col min="9478" max="9478" width="6.140625" style="176" bestFit="1" customWidth="1"/>
    <col min="9479" max="9481" width="7.28515625" style="176" bestFit="1" customWidth="1"/>
    <col min="9482" max="9482" width="8" style="176" bestFit="1" customWidth="1"/>
    <col min="9483" max="9483" width="8.28515625" style="176" customWidth="1"/>
    <col min="9484" max="9485" width="10.42578125" style="176" bestFit="1" customWidth="1"/>
    <col min="9486" max="9486" width="13.140625" style="176" bestFit="1" customWidth="1"/>
    <col min="9487" max="9728" width="9.140625" style="176"/>
    <col min="9729" max="9729" width="9.140625" style="176" customWidth="1"/>
    <col min="9730" max="9730" width="25.85546875" style="176" customWidth="1"/>
    <col min="9731" max="9731" width="5.7109375" style="176" bestFit="1" customWidth="1"/>
    <col min="9732" max="9732" width="7.140625" style="176" bestFit="1" customWidth="1"/>
    <col min="9733" max="9733" width="7.28515625" style="176" bestFit="1" customWidth="1"/>
    <col min="9734" max="9734" width="6.140625" style="176" bestFit="1" customWidth="1"/>
    <col min="9735" max="9737" width="7.28515625" style="176" bestFit="1" customWidth="1"/>
    <col min="9738" max="9738" width="8" style="176" bestFit="1" customWidth="1"/>
    <col min="9739" max="9739" width="8.28515625" style="176" customWidth="1"/>
    <col min="9740" max="9741" width="10.42578125" style="176" bestFit="1" customWidth="1"/>
    <col min="9742" max="9742" width="13.140625" style="176" bestFit="1" customWidth="1"/>
    <col min="9743" max="9984" width="9.140625" style="176"/>
    <col min="9985" max="9985" width="9.140625" style="176" customWidth="1"/>
    <col min="9986" max="9986" width="25.85546875" style="176" customWidth="1"/>
    <col min="9987" max="9987" width="5.7109375" style="176" bestFit="1" customWidth="1"/>
    <col min="9988" max="9988" width="7.140625" style="176" bestFit="1" customWidth="1"/>
    <col min="9989" max="9989" width="7.28515625" style="176" bestFit="1" customWidth="1"/>
    <col min="9990" max="9990" width="6.140625" style="176" bestFit="1" customWidth="1"/>
    <col min="9991" max="9993" width="7.28515625" style="176" bestFit="1" customWidth="1"/>
    <col min="9994" max="9994" width="8" style="176" bestFit="1" customWidth="1"/>
    <col min="9995" max="9995" width="8.28515625" style="176" customWidth="1"/>
    <col min="9996" max="9997" width="10.42578125" style="176" bestFit="1" customWidth="1"/>
    <col min="9998" max="9998" width="13.140625" style="176" bestFit="1" customWidth="1"/>
    <col min="9999" max="10240" width="9.140625" style="176"/>
    <col min="10241" max="10241" width="9.140625" style="176" customWidth="1"/>
    <col min="10242" max="10242" width="25.85546875" style="176" customWidth="1"/>
    <col min="10243" max="10243" width="5.7109375" style="176" bestFit="1" customWidth="1"/>
    <col min="10244" max="10244" width="7.140625" style="176" bestFit="1" customWidth="1"/>
    <col min="10245" max="10245" width="7.28515625" style="176" bestFit="1" customWidth="1"/>
    <col min="10246" max="10246" width="6.140625" style="176" bestFit="1" customWidth="1"/>
    <col min="10247" max="10249" width="7.28515625" style="176" bestFit="1" customWidth="1"/>
    <col min="10250" max="10250" width="8" style="176" bestFit="1" customWidth="1"/>
    <col min="10251" max="10251" width="8.28515625" style="176" customWidth="1"/>
    <col min="10252" max="10253" width="10.42578125" style="176" bestFit="1" customWidth="1"/>
    <col min="10254" max="10254" width="13.140625" style="176" bestFit="1" customWidth="1"/>
    <col min="10255" max="10496" width="9.140625" style="176"/>
    <col min="10497" max="10497" width="9.140625" style="176" customWidth="1"/>
    <col min="10498" max="10498" width="25.85546875" style="176" customWidth="1"/>
    <col min="10499" max="10499" width="5.7109375" style="176" bestFit="1" customWidth="1"/>
    <col min="10500" max="10500" width="7.140625" style="176" bestFit="1" customWidth="1"/>
    <col min="10501" max="10501" width="7.28515625" style="176" bestFit="1" customWidth="1"/>
    <col min="10502" max="10502" width="6.140625" style="176" bestFit="1" customWidth="1"/>
    <col min="10503" max="10505" width="7.28515625" style="176" bestFit="1" customWidth="1"/>
    <col min="10506" max="10506" width="8" style="176" bestFit="1" customWidth="1"/>
    <col min="10507" max="10507" width="8.28515625" style="176" customWidth="1"/>
    <col min="10508" max="10509" width="10.42578125" style="176" bestFit="1" customWidth="1"/>
    <col min="10510" max="10510" width="13.140625" style="176" bestFit="1" customWidth="1"/>
    <col min="10511" max="10752" width="9.140625" style="176"/>
    <col min="10753" max="10753" width="9.140625" style="176" customWidth="1"/>
    <col min="10754" max="10754" width="25.85546875" style="176" customWidth="1"/>
    <col min="10755" max="10755" width="5.7109375" style="176" bestFit="1" customWidth="1"/>
    <col min="10756" max="10756" width="7.140625" style="176" bestFit="1" customWidth="1"/>
    <col min="10757" max="10757" width="7.28515625" style="176" bestFit="1" customWidth="1"/>
    <col min="10758" max="10758" width="6.140625" style="176" bestFit="1" customWidth="1"/>
    <col min="10759" max="10761" width="7.28515625" style="176" bestFit="1" customWidth="1"/>
    <col min="10762" max="10762" width="8" style="176" bestFit="1" customWidth="1"/>
    <col min="10763" max="10763" width="8.28515625" style="176" customWidth="1"/>
    <col min="10764" max="10765" width="10.42578125" style="176" bestFit="1" customWidth="1"/>
    <col min="10766" max="10766" width="13.140625" style="176" bestFit="1" customWidth="1"/>
    <col min="10767" max="11008" width="9.140625" style="176"/>
    <col min="11009" max="11009" width="9.140625" style="176" customWidth="1"/>
    <col min="11010" max="11010" width="25.85546875" style="176" customWidth="1"/>
    <col min="11011" max="11011" width="5.7109375" style="176" bestFit="1" customWidth="1"/>
    <col min="11012" max="11012" width="7.140625" style="176" bestFit="1" customWidth="1"/>
    <col min="11013" max="11013" width="7.28515625" style="176" bestFit="1" customWidth="1"/>
    <col min="11014" max="11014" width="6.140625" style="176" bestFit="1" customWidth="1"/>
    <col min="11015" max="11017" width="7.28515625" style="176" bestFit="1" customWidth="1"/>
    <col min="11018" max="11018" width="8" style="176" bestFit="1" customWidth="1"/>
    <col min="11019" max="11019" width="8.28515625" style="176" customWidth="1"/>
    <col min="11020" max="11021" width="10.42578125" style="176" bestFit="1" customWidth="1"/>
    <col min="11022" max="11022" width="13.140625" style="176" bestFit="1" customWidth="1"/>
    <col min="11023" max="11264" width="9.140625" style="176"/>
    <col min="11265" max="11265" width="9.140625" style="176" customWidth="1"/>
    <col min="11266" max="11266" width="25.85546875" style="176" customWidth="1"/>
    <col min="11267" max="11267" width="5.7109375" style="176" bestFit="1" customWidth="1"/>
    <col min="11268" max="11268" width="7.140625" style="176" bestFit="1" customWidth="1"/>
    <col min="11269" max="11269" width="7.28515625" style="176" bestFit="1" customWidth="1"/>
    <col min="11270" max="11270" width="6.140625" style="176" bestFit="1" customWidth="1"/>
    <col min="11271" max="11273" width="7.28515625" style="176" bestFit="1" customWidth="1"/>
    <col min="11274" max="11274" width="8" style="176" bestFit="1" customWidth="1"/>
    <col min="11275" max="11275" width="8.28515625" style="176" customWidth="1"/>
    <col min="11276" max="11277" width="10.42578125" style="176" bestFit="1" customWidth="1"/>
    <col min="11278" max="11278" width="13.140625" style="176" bestFit="1" customWidth="1"/>
    <col min="11279" max="11520" width="9.140625" style="176"/>
    <col min="11521" max="11521" width="9.140625" style="176" customWidth="1"/>
    <col min="11522" max="11522" width="25.85546875" style="176" customWidth="1"/>
    <col min="11523" max="11523" width="5.7109375" style="176" bestFit="1" customWidth="1"/>
    <col min="11524" max="11524" width="7.140625" style="176" bestFit="1" customWidth="1"/>
    <col min="11525" max="11525" width="7.28515625" style="176" bestFit="1" customWidth="1"/>
    <col min="11526" max="11526" width="6.140625" style="176" bestFit="1" customWidth="1"/>
    <col min="11527" max="11529" width="7.28515625" style="176" bestFit="1" customWidth="1"/>
    <col min="11530" max="11530" width="8" style="176" bestFit="1" customWidth="1"/>
    <col min="11531" max="11531" width="8.28515625" style="176" customWidth="1"/>
    <col min="11532" max="11533" width="10.42578125" style="176" bestFit="1" customWidth="1"/>
    <col min="11534" max="11534" width="13.140625" style="176" bestFit="1" customWidth="1"/>
    <col min="11535" max="11776" width="9.140625" style="176"/>
    <col min="11777" max="11777" width="9.140625" style="176" customWidth="1"/>
    <col min="11778" max="11778" width="25.85546875" style="176" customWidth="1"/>
    <col min="11779" max="11779" width="5.7109375" style="176" bestFit="1" customWidth="1"/>
    <col min="11780" max="11780" width="7.140625" style="176" bestFit="1" customWidth="1"/>
    <col min="11781" max="11781" width="7.28515625" style="176" bestFit="1" customWidth="1"/>
    <col min="11782" max="11782" width="6.140625" style="176" bestFit="1" customWidth="1"/>
    <col min="11783" max="11785" width="7.28515625" style="176" bestFit="1" customWidth="1"/>
    <col min="11786" max="11786" width="8" style="176" bestFit="1" customWidth="1"/>
    <col min="11787" max="11787" width="8.28515625" style="176" customWidth="1"/>
    <col min="11788" max="11789" width="10.42578125" style="176" bestFit="1" customWidth="1"/>
    <col min="11790" max="11790" width="13.140625" style="176" bestFit="1" customWidth="1"/>
    <col min="11791" max="12032" width="9.140625" style="176"/>
    <col min="12033" max="12033" width="9.140625" style="176" customWidth="1"/>
    <col min="12034" max="12034" width="25.85546875" style="176" customWidth="1"/>
    <col min="12035" max="12035" width="5.7109375" style="176" bestFit="1" customWidth="1"/>
    <col min="12036" max="12036" width="7.140625" style="176" bestFit="1" customWidth="1"/>
    <col min="12037" max="12037" width="7.28515625" style="176" bestFit="1" customWidth="1"/>
    <col min="12038" max="12038" width="6.140625" style="176" bestFit="1" customWidth="1"/>
    <col min="12039" max="12041" width="7.28515625" style="176" bestFit="1" customWidth="1"/>
    <col min="12042" max="12042" width="8" style="176" bestFit="1" customWidth="1"/>
    <col min="12043" max="12043" width="8.28515625" style="176" customWidth="1"/>
    <col min="12044" max="12045" width="10.42578125" style="176" bestFit="1" customWidth="1"/>
    <col min="12046" max="12046" width="13.140625" style="176" bestFit="1" customWidth="1"/>
    <col min="12047" max="12288" width="9.140625" style="176"/>
    <col min="12289" max="12289" width="9.140625" style="176" customWidth="1"/>
    <col min="12290" max="12290" width="25.85546875" style="176" customWidth="1"/>
    <col min="12291" max="12291" width="5.7109375" style="176" bestFit="1" customWidth="1"/>
    <col min="12292" max="12292" width="7.140625" style="176" bestFit="1" customWidth="1"/>
    <col min="12293" max="12293" width="7.28515625" style="176" bestFit="1" customWidth="1"/>
    <col min="12294" max="12294" width="6.140625" style="176" bestFit="1" customWidth="1"/>
    <col min="12295" max="12297" width="7.28515625" style="176" bestFit="1" customWidth="1"/>
    <col min="12298" max="12298" width="8" style="176" bestFit="1" customWidth="1"/>
    <col min="12299" max="12299" width="8.28515625" style="176" customWidth="1"/>
    <col min="12300" max="12301" width="10.42578125" style="176" bestFit="1" customWidth="1"/>
    <col min="12302" max="12302" width="13.140625" style="176" bestFit="1" customWidth="1"/>
    <col min="12303" max="12544" width="9.140625" style="176"/>
    <col min="12545" max="12545" width="9.140625" style="176" customWidth="1"/>
    <col min="12546" max="12546" width="25.85546875" style="176" customWidth="1"/>
    <col min="12547" max="12547" width="5.7109375" style="176" bestFit="1" customWidth="1"/>
    <col min="12548" max="12548" width="7.140625" style="176" bestFit="1" customWidth="1"/>
    <col min="12549" max="12549" width="7.28515625" style="176" bestFit="1" customWidth="1"/>
    <col min="12550" max="12550" width="6.140625" style="176" bestFit="1" customWidth="1"/>
    <col min="12551" max="12553" width="7.28515625" style="176" bestFit="1" customWidth="1"/>
    <col min="12554" max="12554" width="8" style="176" bestFit="1" customWidth="1"/>
    <col min="12555" max="12555" width="8.28515625" style="176" customWidth="1"/>
    <col min="12556" max="12557" width="10.42578125" style="176" bestFit="1" customWidth="1"/>
    <col min="12558" max="12558" width="13.140625" style="176" bestFit="1" customWidth="1"/>
    <col min="12559" max="12800" width="9.140625" style="176"/>
    <col min="12801" max="12801" width="9.140625" style="176" customWidth="1"/>
    <col min="12802" max="12802" width="25.85546875" style="176" customWidth="1"/>
    <col min="12803" max="12803" width="5.7109375" style="176" bestFit="1" customWidth="1"/>
    <col min="12804" max="12804" width="7.140625" style="176" bestFit="1" customWidth="1"/>
    <col min="12805" max="12805" width="7.28515625" style="176" bestFit="1" customWidth="1"/>
    <col min="12806" max="12806" width="6.140625" style="176" bestFit="1" customWidth="1"/>
    <col min="12807" max="12809" width="7.28515625" style="176" bestFit="1" customWidth="1"/>
    <col min="12810" max="12810" width="8" style="176" bestFit="1" customWidth="1"/>
    <col min="12811" max="12811" width="8.28515625" style="176" customWidth="1"/>
    <col min="12812" max="12813" width="10.42578125" style="176" bestFit="1" customWidth="1"/>
    <col min="12814" max="12814" width="13.140625" style="176" bestFit="1" customWidth="1"/>
    <col min="12815" max="13056" width="9.140625" style="176"/>
    <col min="13057" max="13057" width="9.140625" style="176" customWidth="1"/>
    <col min="13058" max="13058" width="25.85546875" style="176" customWidth="1"/>
    <col min="13059" max="13059" width="5.7109375" style="176" bestFit="1" customWidth="1"/>
    <col min="13060" max="13060" width="7.140625" style="176" bestFit="1" customWidth="1"/>
    <col min="13061" max="13061" width="7.28515625" style="176" bestFit="1" customWidth="1"/>
    <col min="13062" max="13062" width="6.140625" style="176" bestFit="1" customWidth="1"/>
    <col min="13063" max="13065" width="7.28515625" style="176" bestFit="1" customWidth="1"/>
    <col min="13066" max="13066" width="8" style="176" bestFit="1" customWidth="1"/>
    <col min="13067" max="13067" width="8.28515625" style="176" customWidth="1"/>
    <col min="13068" max="13069" width="10.42578125" style="176" bestFit="1" customWidth="1"/>
    <col min="13070" max="13070" width="13.140625" style="176" bestFit="1" customWidth="1"/>
    <col min="13071" max="13312" width="9.140625" style="176"/>
    <col min="13313" max="13313" width="9.140625" style="176" customWidth="1"/>
    <col min="13314" max="13314" width="25.85546875" style="176" customWidth="1"/>
    <col min="13315" max="13315" width="5.7109375" style="176" bestFit="1" customWidth="1"/>
    <col min="13316" max="13316" width="7.140625" style="176" bestFit="1" customWidth="1"/>
    <col min="13317" max="13317" width="7.28515625" style="176" bestFit="1" customWidth="1"/>
    <col min="13318" max="13318" width="6.140625" style="176" bestFit="1" customWidth="1"/>
    <col min="13319" max="13321" width="7.28515625" style="176" bestFit="1" customWidth="1"/>
    <col min="13322" max="13322" width="8" style="176" bestFit="1" customWidth="1"/>
    <col min="13323" max="13323" width="8.28515625" style="176" customWidth="1"/>
    <col min="13324" max="13325" width="10.42578125" style="176" bestFit="1" customWidth="1"/>
    <col min="13326" max="13326" width="13.140625" style="176" bestFit="1" customWidth="1"/>
    <col min="13327" max="13568" width="9.140625" style="176"/>
    <col min="13569" max="13569" width="9.140625" style="176" customWidth="1"/>
    <col min="13570" max="13570" width="25.85546875" style="176" customWidth="1"/>
    <col min="13571" max="13571" width="5.7109375" style="176" bestFit="1" customWidth="1"/>
    <col min="13572" max="13572" width="7.140625" style="176" bestFit="1" customWidth="1"/>
    <col min="13573" max="13573" width="7.28515625" style="176" bestFit="1" customWidth="1"/>
    <col min="13574" max="13574" width="6.140625" style="176" bestFit="1" customWidth="1"/>
    <col min="13575" max="13577" width="7.28515625" style="176" bestFit="1" customWidth="1"/>
    <col min="13578" max="13578" width="8" style="176" bestFit="1" customWidth="1"/>
    <col min="13579" max="13579" width="8.28515625" style="176" customWidth="1"/>
    <col min="13580" max="13581" width="10.42578125" style="176" bestFit="1" customWidth="1"/>
    <col min="13582" max="13582" width="13.140625" style="176" bestFit="1" customWidth="1"/>
    <col min="13583" max="13824" width="9.140625" style="176"/>
    <col min="13825" max="13825" width="9.140625" style="176" customWidth="1"/>
    <col min="13826" max="13826" width="25.85546875" style="176" customWidth="1"/>
    <col min="13827" max="13827" width="5.7109375" style="176" bestFit="1" customWidth="1"/>
    <col min="13828" max="13828" width="7.140625" style="176" bestFit="1" customWidth="1"/>
    <col min="13829" max="13829" width="7.28515625" style="176" bestFit="1" customWidth="1"/>
    <col min="13830" max="13830" width="6.140625" style="176" bestFit="1" customWidth="1"/>
    <col min="13831" max="13833" width="7.28515625" style="176" bestFit="1" customWidth="1"/>
    <col min="13834" max="13834" width="8" style="176" bestFit="1" customWidth="1"/>
    <col min="13835" max="13835" width="8.28515625" style="176" customWidth="1"/>
    <col min="13836" max="13837" width="10.42578125" style="176" bestFit="1" customWidth="1"/>
    <col min="13838" max="13838" width="13.140625" style="176" bestFit="1" customWidth="1"/>
    <col min="13839" max="14080" width="9.140625" style="176"/>
    <col min="14081" max="14081" width="9.140625" style="176" customWidth="1"/>
    <col min="14082" max="14082" width="25.85546875" style="176" customWidth="1"/>
    <col min="14083" max="14083" width="5.7109375" style="176" bestFit="1" customWidth="1"/>
    <col min="14084" max="14084" width="7.140625" style="176" bestFit="1" customWidth="1"/>
    <col min="14085" max="14085" width="7.28515625" style="176" bestFit="1" customWidth="1"/>
    <col min="14086" max="14086" width="6.140625" style="176" bestFit="1" customWidth="1"/>
    <col min="14087" max="14089" width="7.28515625" style="176" bestFit="1" customWidth="1"/>
    <col min="14090" max="14090" width="8" style="176" bestFit="1" customWidth="1"/>
    <col min="14091" max="14091" width="8.28515625" style="176" customWidth="1"/>
    <col min="14092" max="14093" width="10.42578125" style="176" bestFit="1" customWidth="1"/>
    <col min="14094" max="14094" width="13.140625" style="176" bestFit="1" customWidth="1"/>
    <col min="14095" max="14336" width="9.140625" style="176"/>
    <col min="14337" max="14337" width="9.140625" style="176" customWidth="1"/>
    <col min="14338" max="14338" width="25.85546875" style="176" customWidth="1"/>
    <col min="14339" max="14339" width="5.7109375" style="176" bestFit="1" customWidth="1"/>
    <col min="14340" max="14340" width="7.140625" style="176" bestFit="1" customWidth="1"/>
    <col min="14341" max="14341" width="7.28515625" style="176" bestFit="1" customWidth="1"/>
    <col min="14342" max="14342" width="6.140625" style="176" bestFit="1" customWidth="1"/>
    <col min="14343" max="14345" width="7.28515625" style="176" bestFit="1" customWidth="1"/>
    <col min="14346" max="14346" width="8" style="176" bestFit="1" customWidth="1"/>
    <col min="14347" max="14347" width="8.28515625" style="176" customWidth="1"/>
    <col min="14348" max="14349" width="10.42578125" style="176" bestFit="1" customWidth="1"/>
    <col min="14350" max="14350" width="13.140625" style="176" bestFit="1" customWidth="1"/>
    <col min="14351" max="14592" width="9.140625" style="176"/>
    <col min="14593" max="14593" width="9.140625" style="176" customWidth="1"/>
    <col min="14594" max="14594" width="25.85546875" style="176" customWidth="1"/>
    <col min="14595" max="14595" width="5.7109375" style="176" bestFit="1" customWidth="1"/>
    <col min="14596" max="14596" width="7.140625" style="176" bestFit="1" customWidth="1"/>
    <col min="14597" max="14597" width="7.28515625" style="176" bestFit="1" customWidth="1"/>
    <col min="14598" max="14598" width="6.140625" style="176" bestFit="1" customWidth="1"/>
    <col min="14599" max="14601" width="7.28515625" style="176" bestFit="1" customWidth="1"/>
    <col min="14602" max="14602" width="8" style="176" bestFit="1" customWidth="1"/>
    <col min="14603" max="14603" width="8.28515625" style="176" customWidth="1"/>
    <col min="14604" max="14605" width="10.42578125" style="176" bestFit="1" customWidth="1"/>
    <col min="14606" max="14606" width="13.140625" style="176" bestFit="1" customWidth="1"/>
    <col min="14607" max="14848" width="9.140625" style="176"/>
    <col min="14849" max="14849" width="9.140625" style="176" customWidth="1"/>
    <col min="14850" max="14850" width="25.85546875" style="176" customWidth="1"/>
    <col min="14851" max="14851" width="5.7109375" style="176" bestFit="1" customWidth="1"/>
    <col min="14852" max="14852" width="7.140625" style="176" bestFit="1" customWidth="1"/>
    <col min="14853" max="14853" width="7.28515625" style="176" bestFit="1" customWidth="1"/>
    <col min="14854" max="14854" width="6.140625" style="176" bestFit="1" customWidth="1"/>
    <col min="14855" max="14857" width="7.28515625" style="176" bestFit="1" customWidth="1"/>
    <col min="14858" max="14858" width="8" style="176" bestFit="1" customWidth="1"/>
    <col min="14859" max="14859" width="8.28515625" style="176" customWidth="1"/>
    <col min="14860" max="14861" width="10.42578125" style="176" bestFit="1" customWidth="1"/>
    <col min="14862" max="14862" width="13.140625" style="176" bestFit="1" customWidth="1"/>
    <col min="14863" max="15104" width="9.140625" style="176"/>
    <col min="15105" max="15105" width="9.140625" style="176" customWidth="1"/>
    <col min="15106" max="15106" width="25.85546875" style="176" customWidth="1"/>
    <col min="15107" max="15107" width="5.7109375" style="176" bestFit="1" customWidth="1"/>
    <col min="15108" max="15108" width="7.140625" style="176" bestFit="1" customWidth="1"/>
    <col min="15109" max="15109" width="7.28515625" style="176" bestFit="1" customWidth="1"/>
    <col min="15110" max="15110" width="6.140625" style="176" bestFit="1" customWidth="1"/>
    <col min="15111" max="15113" width="7.28515625" style="176" bestFit="1" customWidth="1"/>
    <col min="15114" max="15114" width="8" style="176" bestFit="1" customWidth="1"/>
    <col min="15115" max="15115" width="8.28515625" style="176" customWidth="1"/>
    <col min="15116" max="15117" width="10.42578125" style="176" bestFit="1" customWidth="1"/>
    <col min="15118" max="15118" width="13.140625" style="176" bestFit="1" customWidth="1"/>
    <col min="15119" max="15360" width="9.140625" style="176"/>
    <col min="15361" max="15361" width="9.140625" style="176" customWidth="1"/>
    <col min="15362" max="15362" width="25.85546875" style="176" customWidth="1"/>
    <col min="15363" max="15363" width="5.7109375" style="176" bestFit="1" customWidth="1"/>
    <col min="15364" max="15364" width="7.140625" style="176" bestFit="1" customWidth="1"/>
    <col min="15365" max="15365" width="7.28515625" style="176" bestFit="1" customWidth="1"/>
    <col min="15366" max="15366" width="6.140625" style="176" bestFit="1" customWidth="1"/>
    <col min="15367" max="15369" width="7.28515625" style="176" bestFit="1" customWidth="1"/>
    <col min="15370" max="15370" width="8" style="176" bestFit="1" customWidth="1"/>
    <col min="15371" max="15371" width="8.28515625" style="176" customWidth="1"/>
    <col min="15372" max="15373" width="10.42578125" style="176" bestFit="1" customWidth="1"/>
    <col min="15374" max="15374" width="13.140625" style="176" bestFit="1" customWidth="1"/>
    <col min="15375" max="15616" width="9.140625" style="176"/>
    <col min="15617" max="15617" width="9.140625" style="176" customWidth="1"/>
    <col min="15618" max="15618" width="25.85546875" style="176" customWidth="1"/>
    <col min="15619" max="15619" width="5.7109375" style="176" bestFit="1" customWidth="1"/>
    <col min="15620" max="15620" width="7.140625" style="176" bestFit="1" customWidth="1"/>
    <col min="15621" max="15621" width="7.28515625" style="176" bestFit="1" customWidth="1"/>
    <col min="15622" max="15622" width="6.140625" style="176" bestFit="1" customWidth="1"/>
    <col min="15623" max="15625" width="7.28515625" style="176" bestFit="1" customWidth="1"/>
    <col min="15626" max="15626" width="8" style="176" bestFit="1" customWidth="1"/>
    <col min="15627" max="15627" width="8.28515625" style="176" customWidth="1"/>
    <col min="15628" max="15629" width="10.42578125" style="176" bestFit="1" customWidth="1"/>
    <col min="15630" max="15630" width="13.140625" style="176" bestFit="1" customWidth="1"/>
    <col min="15631" max="15872" width="9.140625" style="176"/>
    <col min="15873" max="15873" width="9.140625" style="176" customWidth="1"/>
    <col min="15874" max="15874" width="25.85546875" style="176" customWidth="1"/>
    <col min="15875" max="15875" width="5.7109375" style="176" bestFit="1" customWidth="1"/>
    <col min="15876" max="15876" width="7.140625" style="176" bestFit="1" customWidth="1"/>
    <col min="15877" max="15877" width="7.28515625" style="176" bestFit="1" customWidth="1"/>
    <col min="15878" max="15878" width="6.140625" style="176" bestFit="1" customWidth="1"/>
    <col min="15879" max="15881" width="7.28515625" style="176" bestFit="1" customWidth="1"/>
    <col min="15882" max="15882" width="8" style="176" bestFit="1" customWidth="1"/>
    <col min="15883" max="15883" width="8.28515625" style="176" customWidth="1"/>
    <col min="15884" max="15885" width="10.42578125" style="176" bestFit="1" customWidth="1"/>
    <col min="15886" max="15886" width="13.140625" style="176" bestFit="1" customWidth="1"/>
    <col min="15887" max="16128" width="9.140625" style="176"/>
    <col min="16129" max="16129" width="9.140625" style="176" customWidth="1"/>
    <col min="16130" max="16130" width="25.85546875" style="176" customWidth="1"/>
    <col min="16131" max="16131" width="5.7109375" style="176" bestFit="1" customWidth="1"/>
    <col min="16132" max="16132" width="7.140625" style="176" bestFit="1" customWidth="1"/>
    <col min="16133" max="16133" width="7.28515625" style="176" bestFit="1" customWidth="1"/>
    <col min="16134" max="16134" width="6.140625" style="176" bestFit="1" customWidth="1"/>
    <col min="16135" max="16137" width="7.28515625" style="176" bestFit="1" customWidth="1"/>
    <col min="16138" max="16138" width="8" style="176" bestFit="1" customWidth="1"/>
    <col min="16139" max="16139" width="8.28515625" style="176" customWidth="1"/>
    <col min="16140" max="16141" width="10.42578125" style="176" bestFit="1" customWidth="1"/>
    <col min="16142" max="16142" width="13.140625" style="176" bestFit="1" customWidth="1"/>
    <col min="16143" max="16384" width="9.140625" style="176"/>
  </cols>
  <sheetData>
    <row r="1" spans="1:14" s="183" customFormat="1" ht="15">
      <c r="A1" s="140"/>
      <c r="B1" s="140"/>
      <c r="C1" s="140"/>
      <c r="D1" s="39"/>
      <c r="E1" s="45"/>
      <c r="F1" s="40"/>
      <c r="G1" s="141"/>
      <c r="H1" s="141"/>
      <c r="I1" s="141"/>
      <c r="J1" s="429"/>
      <c r="K1" s="382"/>
      <c r="L1" s="383"/>
      <c r="M1" s="1"/>
      <c r="N1" s="1"/>
    </row>
    <row r="2" spans="1:14" s="183" customFormat="1">
      <c r="A2" s="706" t="s">
        <v>35</v>
      </c>
      <c r="B2" s="706"/>
      <c r="C2" s="706"/>
      <c r="D2" s="706"/>
      <c r="E2" s="706"/>
      <c r="F2" s="706"/>
      <c r="G2" s="706"/>
      <c r="H2" s="706"/>
      <c r="I2" s="706"/>
      <c r="J2" s="706"/>
      <c r="K2" s="706"/>
      <c r="L2" s="17"/>
      <c r="M2" s="17"/>
      <c r="N2" s="18"/>
    </row>
    <row r="3" spans="1:14" s="183" customFormat="1">
      <c r="A3" s="706" t="s">
        <v>36</v>
      </c>
      <c r="B3" s="706"/>
      <c r="C3" s="706"/>
      <c r="D3" s="706"/>
      <c r="E3" s="706"/>
      <c r="F3" s="706"/>
      <c r="G3" s="706"/>
      <c r="H3" s="706"/>
      <c r="I3" s="706"/>
      <c r="J3" s="706"/>
      <c r="K3" s="706"/>
      <c r="L3" s="17"/>
      <c r="M3" s="17"/>
      <c r="N3" s="18"/>
    </row>
    <row r="4" spans="1:14" s="183" customFormat="1">
      <c r="A4" s="706" t="s">
        <v>5924</v>
      </c>
      <c r="B4" s="706"/>
      <c r="C4" s="706"/>
      <c r="D4" s="706"/>
      <c r="E4" s="706"/>
      <c r="F4" s="706"/>
      <c r="G4" s="706"/>
      <c r="H4" s="706"/>
      <c r="I4" s="706"/>
      <c r="J4" s="706"/>
      <c r="K4" s="706"/>
      <c r="L4" s="17"/>
      <c r="M4" s="17"/>
      <c r="N4" s="18"/>
    </row>
    <row r="5" spans="1:14" s="183" customFormat="1" ht="15">
      <c r="A5" s="33"/>
      <c r="B5" s="33"/>
      <c r="C5" s="33"/>
      <c r="D5" s="34" t="s">
        <v>29</v>
      </c>
      <c r="E5" s="186"/>
      <c r="F5" s="424"/>
      <c r="G5" s="41"/>
      <c r="H5" s="41"/>
      <c r="I5" s="41"/>
      <c r="J5" s="428"/>
      <c r="K5" s="384"/>
      <c r="L5" s="17"/>
      <c r="M5" s="17"/>
      <c r="N5" s="18"/>
    </row>
    <row r="6" spans="1:14" s="183" customFormat="1" ht="15">
      <c r="A6" s="33"/>
      <c r="B6" s="33"/>
      <c r="C6" s="33"/>
      <c r="D6" s="34"/>
      <c r="E6" s="186"/>
      <c r="F6" s="42"/>
      <c r="G6" s="141"/>
      <c r="H6" s="141"/>
      <c r="I6" s="141"/>
      <c r="J6" s="429"/>
      <c r="K6" s="382"/>
      <c r="L6" s="383"/>
      <c r="M6" s="1"/>
      <c r="N6" s="1"/>
    </row>
    <row r="7" spans="1:14" s="183" customFormat="1" ht="15.75">
      <c r="A7" s="749" t="s">
        <v>9604</v>
      </c>
      <c r="B7" s="749"/>
      <c r="C7" s="749"/>
      <c r="D7" s="749"/>
      <c r="E7" s="749"/>
      <c r="F7" s="749"/>
      <c r="G7" s="749"/>
      <c r="H7" s="749"/>
      <c r="I7" s="749"/>
      <c r="J7" s="749"/>
      <c r="K7" s="749"/>
      <c r="L7" s="17"/>
      <c r="M7" s="17"/>
      <c r="N7" s="18"/>
    </row>
    <row r="8" spans="1:14" s="183" customFormat="1" ht="15">
      <c r="A8" s="33"/>
      <c r="B8" s="33"/>
      <c r="C8" s="33"/>
      <c r="D8" s="34"/>
      <c r="E8" s="186"/>
      <c r="F8" s="424"/>
      <c r="G8" s="41"/>
      <c r="H8" s="41"/>
      <c r="I8" s="41"/>
      <c r="J8" s="428"/>
      <c r="K8" s="384"/>
      <c r="L8" s="17"/>
      <c r="M8" s="17"/>
      <c r="N8" s="18"/>
    </row>
    <row r="9" spans="1:14" s="4" customFormat="1">
      <c r="A9" s="438" t="s">
        <v>5251</v>
      </c>
      <c r="B9" s="705" t="str">
        <f>'Orç - Canteiro e Adm'!B9:J9</f>
        <v>Construção do edifício UEP-FCE</v>
      </c>
      <c r="C9" s="705"/>
      <c r="D9" s="705"/>
      <c r="E9" s="705"/>
      <c r="F9" s="705"/>
      <c r="G9" s="705"/>
      <c r="H9" s="705"/>
      <c r="I9" s="705"/>
      <c r="J9" s="705"/>
      <c r="K9" s="384"/>
      <c r="L9" s="384"/>
      <c r="M9" s="1"/>
      <c r="N9" s="1"/>
    </row>
    <row r="10" spans="1:14" s="183" customFormat="1">
      <c r="A10" s="438" t="s">
        <v>131</v>
      </c>
      <c r="B10" s="705" t="str">
        <f>'Orç - Canteiro e Adm'!B10:J10</f>
        <v>QNN 14, Área Especial, Campus UnB Ceilândia, RA IX</v>
      </c>
      <c r="C10" s="705"/>
      <c r="D10" s="705"/>
      <c r="E10" s="705"/>
      <c r="F10" s="705"/>
      <c r="G10" s="705"/>
      <c r="H10" s="705"/>
      <c r="I10" s="705"/>
      <c r="J10" s="705"/>
      <c r="K10" s="384"/>
      <c r="L10" s="384"/>
      <c r="M10" s="1"/>
      <c r="N10" s="1"/>
    </row>
    <row r="11" spans="1:14" s="183" customFormat="1">
      <c r="A11" s="438" t="s">
        <v>5252</v>
      </c>
      <c r="B11" s="705" t="str">
        <f>'Orç - Canteiro e Adm'!B11:J11</f>
        <v>Agosto de 2019</v>
      </c>
      <c r="C11" s="705"/>
      <c r="D11" s="705"/>
      <c r="E11" s="705"/>
      <c r="F11" s="705"/>
      <c r="G11" s="705"/>
      <c r="H11" s="705"/>
      <c r="I11" s="705"/>
      <c r="J11" s="705"/>
      <c r="K11" s="384"/>
      <c r="L11" s="384"/>
      <c r="M11" s="1"/>
      <c r="N11" s="1"/>
    </row>
    <row r="12" spans="1:14">
      <c r="A12" s="425"/>
      <c r="B12" s="746"/>
      <c r="C12" s="746"/>
      <c r="D12" s="746"/>
      <c r="E12" s="746"/>
      <c r="F12" s="746"/>
      <c r="G12" s="746"/>
      <c r="H12" s="746"/>
      <c r="I12" s="746"/>
      <c r="J12" s="746"/>
      <c r="K12" s="425"/>
    </row>
    <row r="13" spans="1:14">
      <c r="A13" s="226" t="str">
        <f>'Orç - Urbanização'!A21</f>
        <v>02.02.181</v>
      </c>
      <c r="B13" s="748" t="str">
        <f>'Orç - Urbanização'!D21</f>
        <v>Demolição de pavimentação asfáltica com utilização de martelo perfurador, espessura até 15cm, exclusive carga e transporte</v>
      </c>
      <c r="C13" s="748"/>
      <c r="D13" s="748"/>
      <c r="E13" s="748"/>
      <c r="F13" s="748"/>
      <c r="G13" s="748"/>
      <c r="H13" s="748"/>
      <c r="I13" s="748"/>
      <c r="J13" s="748"/>
      <c r="K13" s="227" t="str">
        <f>'Orç - Urbanização'!F21</f>
        <v>m2</v>
      </c>
    </row>
    <row r="14" spans="1:14">
      <c r="A14" s="745"/>
      <c r="B14" s="745"/>
      <c r="C14" s="218"/>
      <c r="D14" s="394"/>
      <c r="E14" s="218"/>
      <c r="F14" s="218"/>
      <c r="G14" s="745" t="s">
        <v>7863</v>
      </c>
      <c r="H14" s="745"/>
      <c r="I14" s="745" t="s">
        <v>7864</v>
      </c>
      <c r="J14" s="745"/>
      <c r="K14" s="745"/>
    </row>
    <row r="15" spans="1:14" ht="22.5">
      <c r="A15" s="745" t="s">
        <v>7880</v>
      </c>
      <c r="B15" s="745"/>
      <c r="C15" s="745" t="s">
        <v>7865</v>
      </c>
      <c r="D15" s="745" t="s">
        <v>7866</v>
      </c>
      <c r="E15" s="745" t="s">
        <v>7867</v>
      </c>
      <c r="F15" s="745" t="s">
        <v>7868</v>
      </c>
      <c r="G15" s="390" t="s">
        <v>7869</v>
      </c>
      <c r="H15" s="390" t="s">
        <v>7870</v>
      </c>
      <c r="I15" s="390" t="s">
        <v>7871</v>
      </c>
      <c r="J15" s="390" t="s">
        <v>7869</v>
      </c>
      <c r="K15" s="390" t="s">
        <v>7869</v>
      </c>
    </row>
    <row r="16" spans="1:14">
      <c r="A16" s="745"/>
      <c r="B16" s="745"/>
      <c r="C16" s="745"/>
      <c r="D16" s="745"/>
      <c r="E16" s="745"/>
      <c r="F16" s="745"/>
      <c r="G16" s="390" t="s">
        <v>7872</v>
      </c>
      <c r="H16" s="390" t="s">
        <v>7873</v>
      </c>
      <c r="I16" s="390" t="s">
        <v>7874</v>
      </c>
      <c r="J16" s="390" t="s">
        <v>7872</v>
      </c>
      <c r="K16" s="390" t="s">
        <v>7872</v>
      </c>
    </row>
    <row r="17" spans="1:11" ht="33.75">
      <c r="A17" s="390"/>
      <c r="B17" s="219" t="s">
        <v>9431</v>
      </c>
      <c r="C17" s="222">
        <v>1</v>
      </c>
      <c r="D17" s="222">
        <f>I120</f>
        <v>238.98</v>
      </c>
      <c r="E17" s="225">
        <v>1.3</v>
      </c>
      <c r="F17" s="231"/>
      <c r="G17" s="221">
        <f>E17*D17</f>
        <v>310.67399999999998</v>
      </c>
      <c r="H17" s="220"/>
      <c r="I17" s="220"/>
      <c r="J17" s="220"/>
      <c r="K17" s="220">
        <f>C17*G17</f>
        <v>310.67399999999998</v>
      </c>
    </row>
    <row r="18" spans="1:11" ht="33.75">
      <c r="A18" s="390"/>
      <c r="B18" s="219" t="s">
        <v>9432</v>
      </c>
      <c r="C18" s="222">
        <v>1</v>
      </c>
      <c r="D18" s="222">
        <f>I128</f>
        <v>247.69</v>
      </c>
      <c r="E18" s="225">
        <v>1.3</v>
      </c>
      <c r="F18" s="231"/>
      <c r="G18" s="221">
        <f>E18*D18</f>
        <v>321.99700000000001</v>
      </c>
      <c r="H18" s="220"/>
      <c r="I18" s="220"/>
      <c r="J18" s="220"/>
      <c r="K18" s="220">
        <f>C18*G18</f>
        <v>321.99700000000001</v>
      </c>
    </row>
    <row r="19" spans="1:11" ht="22.5">
      <c r="A19" s="390"/>
      <c r="B19" s="219" t="s">
        <v>9424</v>
      </c>
      <c r="C19" s="222">
        <v>1</v>
      </c>
      <c r="D19" s="222">
        <v>169.48</v>
      </c>
      <c r="E19" s="225">
        <v>0.4</v>
      </c>
      <c r="F19" s="231"/>
      <c r="G19" s="221">
        <f>E19*D19</f>
        <v>67.792000000000002</v>
      </c>
      <c r="H19" s="220"/>
      <c r="I19" s="220"/>
      <c r="J19" s="220"/>
      <c r="K19" s="220">
        <f>C19*G19</f>
        <v>67.792000000000002</v>
      </c>
    </row>
    <row r="20" spans="1:11">
      <c r="A20" s="548"/>
      <c r="B20" s="219" t="s">
        <v>15500</v>
      </c>
      <c r="C20" s="222">
        <v>1</v>
      </c>
      <c r="D20" s="222">
        <v>7.8</v>
      </c>
      <c r="E20" s="225">
        <v>0.5</v>
      </c>
      <c r="F20" s="231"/>
      <c r="G20" s="221">
        <f>E20*D20</f>
        <v>3.9</v>
      </c>
      <c r="H20" s="220"/>
      <c r="I20" s="220"/>
      <c r="J20" s="220"/>
      <c r="K20" s="220">
        <f>C20*G20</f>
        <v>3.9</v>
      </c>
    </row>
    <row r="21" spans="1:11">
      <c r="A21" s="228"/>
      <c r="B21" s="229"/>
      <c r="C21" s="229"/>
      <c r="D21" s="228"/>
      <c r="E21" s="229"/>
      <c r="F21" s="747" t="s">
        <v>7875</v>
      </c>
      <c r="G21" s="747"/>
      <c r="H21" s="747"/>
      <c r="I21" s="230">
        <f>ROUND(SUM(I17:I17),2)</f>
        <v>0</v>
      </c>
      <c r="J21" s="230">
        <f>ROUND(SUM(J17:J17),2)</f>
        <v>0</v>
      </c>
      <c r="K21" s="230">
        <f>ROUND(SUM(K17:K20),2)</f>
        <v>704.36</v>
      </c>
    </row>
    <row r="22" spans="1:11">
      <c r="A22" s="228"/>
      <c r="B22" s="229"/>
      <c r="C22" s="229"/>
      <c r="D22" s="228"/>
      <c r="E22" s="229"/>
      <c r="F22" s="393"/>
      <c r="G22" s="393"/>
      <c r="H22" s="393"/>
      <c r="I22" s="230"/>
      <c r="J22" s="230"/>
      <c r="K22" s="230"/>
    </row>
    <row r="23" spans="1:11">
      <c r="A23" s="226" t="str">
        <f>'Orç - Urbanização'!A22</f>
        <v>02.02.182</v>
      </c>
      <c r="B23" s="748" t="str">
        <f>'Orç - Urbanização'!D22</f>
        <v>Remoção e reposição de meio-fio</v>
      </c>
      <c r="C23" s="748"/>
      <c r="D23" s="748"/>
      <c r="E23" s="748"/>
      <c r="F23" s="748"/>
      <c r="G23" s="748"/>
      <c r="H23" s="748"/>
      <c r="I23" s="748"/>
      <c r="J23" s="748"/>
      <c r="K23" s="227" t="str">
        <f>'Orç - Urbanização'!F22</f>
        <v>m</v>
      </c>
    </row>
    <row r="24" spans="1:11">
      <c r="A24" s="745"/>
      <c r="B24" s="745"/>
      <c r="C24" s="218"/>
      <c r="D24" s="394"/>
      <c r="E24" s="218"/>
      <c r="F24" s="218"/>
      <c r="G24" s="745" t="s">
        <v>7863</v>
      </c>
      <c r="H24" s="745"/>
      <c r="I24" s="745" t="s">
        <v>7864</v>
      </c>
      <c r="J24" s="745"/>
      <c r="K24" s="745"/>
    </row>
    <row r="25" spans="1:11" ht="22.5">
      <c r="A25" s="745" t="s">
        <v>7880</v>
      </c>
      <c r="B25" s="745"/>
      <c r="C25" s="745" t="s">
        <v>7865</v>
      </c>
      <c r="D25" s="745" t="s">
        <v>7866</v>
      </c>
      <c r="E25" s="745" t="s">
        <v>7867</v>
      </c>
      <c r="F25" s="745" t="s">
        <v>7868</v>
      </c>
      <c r="G25" s="394" t="s">
        <v>7869</v>
      </c>
      <c r="H25" s="394" t="s">
        <v>7870</v>
      </c>
      <c r="I25" s="394" t="s">
        <v>7871</v>
      </c>
      <c r="J25" s="394" t="s">
        <v>7869</v>
      </c>
      <c r="K25" s="394" t="s">
        <v>7869</v>
      </c>
    </row>
    <row r="26" spans="1:11">
      <c r="A26" s="745"/>
      <c r="B26" s="745"/>
      <c r="C26" s="745"/>
      <c r="D26" s="745"/>
      <c r="E26" s="745"/>
      <c r="F26" s="745"/>
      <c r="G26" s="394" t="s">
        <v>7872</v>
      </c>
      <c r="H26" s="394" t="s">
        <v>7873</v>
      </c>
      <c r="I26" s="394" t="s">
        <v>7874</v>
      </c>
      <c r="J26" s="394" t="s">
        <v>7872</v>
      </c>
      <c r="K26" s="394" t="s">
        <v>7872</v>
      </c>
    </row>
    <row r="27" spans="1:11" ht="22.5">
      <c r="A27" s="394"/>
      <c r="B27" s="219" t="s">
        <v>9457</v>
      </c>
      <c r="C27" s="222">
        <v>1</v>
      </c>
      <c r="D27" s="222">
        <v>62.1</v>
      </c>
      <c r="E27" s="225"/>
      <c r="F27" s="231"/>
      <c r="G27" s="221"/>
      <c r="H27" s="220"/>
      <c r="I27" s="220">
        <f>D27*C27</f>
        <v>62.1</v>
      </c>
      <c r="J27" s="220"/>
      <c r="K27" s="220">
        <f>C27*G27</f>
        <v>0</v>
      </c>
    </row>
    <row r="28" spans="1:11" ht="22.5">
      <c r="A28" s="406"/>
      <c r="B28" s="219" t="s">
        <v>9545</v>
      </c>
      <c r="C28" s="222">
        <v>1</v>
      </c>
      <c r="D28" s="222">
        <v>210</v>
      </c>
      <c r="E28" s="225"/>
      <c r="F28" s="231"/>
      <c r="G28" s="221"/>
      <c r="H28" s="220"/>
      <c r="I28" s="220">
        <f>D28*C28</f>
        <v>210</v>
      </c>
      <c r="J28" s="220"/>
      <c r="K28" s="220">
        <f>C28*G28</f>
        <v>0</v>
      </c>
    </row>
    <row r="29" spans="1:11">
      <c r="A29" s="228"/>
      <c r="B29" s="229"/>
      <c r="C29" s="229"/>
      <c r="D29" s="228"/>
      <c r="E29" s="229"/>
      <c r="F29" s="747" t="s">
        <v>7875</v>
      </c>
      <c r="G29" s="747"/>
      <c r="H29" s="747"/>
      <c r="I29" s="230">
        <f>ROUND(SUM(I27:I28),2)</f>
        <v>272.10000000000002</v>
      </c>
      <c r="J29" s="230">
        <f>ROUND(SUM(J27:J27),2)</f>
        <v>0</v>
      </c>
      <c r="K29" s="230">
        <f>ROUND(SUM(K27:K27),2)</f>
        <v>0</v>
      </c>
    </row>
    <row r="30" spans="1:11">
      <c r="A30" s="228"/>
      <c r="B30" s="229"/>
      <c r="C30" s="229"/>
      <c r="D30" s="228"/>
      <c r="E30" s="229"/>
      <c r="F30" s="393"/>
      <c r="G30" s="393"/>
      <c r="H30" s="393"/>
      <c r="I30" s="230"/>
      <c r="J30" s="230"/>
      <c r="K30" s="230"/>
    </row>
    <row r="31" spans="1:11">
      <c r="A31" s="226" t="str">
        <f>'Orç - Urbanização'!A28</f>
        <v>02.03.101</v>
      </c>
      <c r="B31" s="748" t="str">
        <f>'Orç - Urbanização'!D28</f>
        <v>Locação de pavimentação</v>
      </c>
      <c r="C31" s="748"/>
      <c r="D31" s="748"/>
      <c r="E31" s="748"/>
      <c r="F31" s="748"/>
      <c r="G31" s="748"/>
      <c r="H31" s="748"/>
      <c r="I31" s="748"/>
      <c r="J31" s="748"/>
      <c r="K31" s="227" t="str">
        <f>'Orç - Urbanização'!F28</f>
        <v>m2</v>
      </c>
    </row>
    <row r="32" spans="1:11">
      <c r="A32" s="745"/>
      <c r="B32" s="745"/>
      <c r="C32" s="218"/>
      <c r="D32" s="394"/>
      <c r="E32" s="218"/>
      <c r="F32" s="218"/>
      <c r="G32" s="745" t="s">
        <v>7863</v>
      </c>
      <c r="H32" s="745"/>
      <c r="I32" s="745" t="s">
        <v>7864</v>
      </c>
      <c r="J32" s="745"/>
      <c r="K32" s="745"/>
    </row>
    <row r="33" spans="1:11" ht="22.5">
      <c r="A33" s="745" t="s">
        <v>7880</v>
      </c>
      <c r="B33" s="745"/>
      <c r="C33" s="745" t="s">
        <v>7865</v>
      </c>
      <c r="D33" s="745" t="s">
        <v>7866</v>
      </c>
      <c r="E33" s="745" t="s">
        <v>7867</v>
      </c>
      <c r="F33" s="745" t="s">
        <v>7868</v>
      </c>
      <c r="G33" s="376" t="s">
        <v>7869</v>
      </c>
      <c r="H33" s="376" t="s">
        <v>7870</v>
      </c>
      <c r="I33" s="376" t="s">
        <v>7871</v>
      </c>
      <c r="J33" s="376" t="s">
        <v>7869</v>
      </c>
      <c r="K33" s="376" t="s">
        <v>7870</v>
      </c>
    </row>
    <row r="34" spans="1:11">
      <c r="A34" s="745"/>
      <c r="B34" s="745"/>
      <c r="C34" s="745"/>
      <c r="D34" s="745"/>
      <c r="E34" s="745"/>
      <c r="F34" s="745"/>
      <c r="G34" s="376" t="s">
        <v>7872</v>
      </c>
      <c r="H34" s="376" t="s">
        <v>7873</v>
      </c>
      <c r="I34" s="376" t="s">
        <v>7874</v>
      </c>
      <c r="J34" s="376" t="s">
        <v>7872</v>
      </c>
      <c r="K34" s="376" t="s">
        <v>7873</v>
      </c>
    </row>
    <row r="35" spans="1:11">
      <c r="A35" s="376"/>
      <c r="B35" s="219" t="s">
        <v>9389</v>
      </c>
      <c r="C35" s="222">
        <v>1</v>
      </c>
      <c r="D35" s="222"/>
      <c r="E35" s="225"/>
      <c r="F35" s="222"/>
      <c r="G35" s="221">
        <v>433.67</v>
      </c>
      <c r="H35" s="220"/>
      <c r="I35" s="220"/>
      <c r="J35" s="220">
        <f>C35*G35</f>
        <v>433.67</v>
      </c>
      <c r="K35" s="220">
        <f>C35*H35</f>
        <v>0</v>
      </c>
    </row>
    <row r="36" spans="1:11">
      <c r="A36" s="376"/>
      <c r="B36" s="219" t="s">
        <v>9390</v>
      </c>
      <c r="C36" s="222">
        <v>1</v>
      </c>
      <c r="D36" s="222"/>
      <c r="E36" s="225"/>
      <c r="F36" s="222"/>
      <c r="G36" s="221">
        <v>669.4</v>
      </c>
      <c r="H36" s="220"/>
      <c r="I36" s="220"/>
      <c r="J36" s="220">
        <f>C36*G36</f>
        <v>669.4</v>
      </c>
      <c r="K36" s="220">
        <f>C36*H36</f>
        <v>0</v>
      </c>
    </row>
    <row r="37" spans="1:11">
      <c r="A37" s="228"/>
      <c r="B37" s="229"/>
      <c r="C37" s="229"/>
      <c r="D37" s="228"/>
      <c r="E37" s="229"/>
      <c r="F37" s="747" t="s">
        <v>7875</v>
      </c>
      <c r="G37" s="747"/>
      <c r="H37" s="747"/>
      <c r="I37" s="230">
        <f>ROUND(SUM(I35:I36),2)</f>
        <v>0</v>
      </c>
      <c r="J37" s="230">
        <f>ROUND(SUM(J35:J36),2)</f>
        <v>1103.07</v>
      </c>
      <c r="K37" s="230">
        <f>ROUND(SUM(K35:K36),2)</f>
        <v>0</v>
      </c>
    </row>
    <row r="38" spans="1:11">
      <c r="A38" s="376"/>
      <c r="B38" s="746"/>
      <c r="C38" s="746"/>
      <c r="D38" s="746"/>
      <c r="E38" s="746"/>
      <c r="F38" s="746"/>
      <c r="G38" s="746"/>
      <c r="H38" s="746"/>
      <c r="I38" s="746"/>
      <c r="J38" s="746"/>
      <c r="K38" s="376"/>
    </row>
    <row r="39" spans="1:11">
      <c r="A39" s="226" t="str">
        <f>'Orç - Urbanização'!A40</f>
        <v>04.02.105</v>
      </c>
      <c r="B39" s="748" t="str">
        <f>'Orç - Urbanização'!D40</f>
        <v>Sinalização horizontal com tinta retroreflexiva à base de resina acrílica com microesferas de vidro</v>
      </c>
      <c r="C39" s="748"/>
      <c r="D39" s="748"/>
      <c r="E39" s="748"/>
      <c r="F39" s="748"/>
      <c r="G39" s="748"/>
      <c r="H39" s="748"/>
      <c r="I39" s="748"/>
      <c r="J39" s="748"/>
      <c r="K39" s="227" t="str">
        <f>'Orç - Urbanização'!F40</f>
        <v>m2</v>
      </c>
    </row>
    <row r="40" spans="1:11">
      <c r="A40" s="745"/>
      <c r="B40" s="745"/>
      <c r="C40" s="218"/>
      <c r="D40" s="394"/>
      <c r="E40" s="218"/>
      <c r="F40" s="218"/>
      <c r="G40" s="745" t="s">
        <v>7863</v>
      </c>
      <c r="H40" s="745"/>
      <c r="I40" s="745" t="s">
        <v>7864</v>
      </c>
      <c r="J40" s="745"/>
      <c r="K40" s="745"/>
    </row>
    <row r="41" spans="1:11" ht="22.5">
      <c r="A41" s="745" t="s">
        <v>7880</v>
      </c>
      <c r="B41" s="745"/>
      <c r="C41" s="745" t="s">
        <v>7865</v>
      </c>
      <c r="D41" s="745" t="s">
        <v>7866</v>
      </c>
      <c r="E41" s="745" t="s">
        <v>7867</v>
      </c>
      <c r="F41" s="745" t="s">
        <v>7868</v>
      </c>
      <c r="G41" s="376" t="s">
        <v>7869</v>
      </c>
      <c r="H41" s="376" t="s">
        <v>7870</v>
      </c>
      <c r="I41" s="376" t="s">
        <v>7871</v>
      </c>
      <c r="J41" s="376" t="s">
        <v>7869</v>
      </c>
      <c r="K41" s="376" t="s">
        <v>7869</v>
      </c>
    </row>
    <row r="42" spans="1:11">
      <c r="A42" s="745"/>
      <c r="B42" s="745"/>
      <c r="C42" s="745"/>
      <c r="D42" s="745"/>
      <c r="E42" s="745"/>
      <c r="F42" s="745"/>
      <c r="G42" s="376" t="s">
        <v>7872</v>
      </c>
      <c r="H42" s="376" t="s">
        <v>7873</v>
      </c>
      <c r="I42" s="376" t="s">
        <v>7874</v>
      </c>
      <c r="J42" s="376" t="s">
        <v>7872</v>
      </c>
      <c r="K42" s="376" t="s">
        <v>7872</v>
      </c>
    </row>
    <row r="43" spans="1:11">
      <c r="A43" s="376"/>
      <c r="B43" s="219" t="s">
        <v>9256</v>
      </c>
      <c r="C43" s="222">
        <v>13</v>
      </c>
      <c r="D43" s="222"/>
      <c r="E43" s="225"/>
      <c r="F43" s="231"/>
      <c r="G43" s="221">
        <v>0.53</v>
      </c>
      <c r="H43" s="220"/>
      <c r="I43" s="220"/>
      <c r="J43" s="220"/>
      <c r="K43" s="220">
        <f>C43*G43</f>
        <v>6.8900000000000006</v>
      </c>
    </row>
    <row r="44" spans="1:11">
      <c r="A44" s="376"/>
      <c r="B44" s="219" t="s">
        <v>9257</v>
      </c>
      <c r="C44" s="222">
        <v>2</v>
      </c>
      <c r="D44" s="222"/>
      <c r="E44" s="225"/>
      <c r="F44" s="231"/>
      <c r="G44" s="221">
        <v>0.63</v>
      </c>
      <c r="H44" s="220"/>
      <c r="I44" s="220"/>
      <c r="J44" s="220"/>
      <c r="K44" s="220">
        <f>C44*G44</f>
        <v>1.26</v>
      </c>
    </row>
    <row r="45" spans="1:11">
      <c r="A45" s="376"/>
      <c r="B45" s="219" t="s">
        <v>9258</v>
      </c>
      <c r="C45" s="222">
        <v>5</v>
      </c>
      <c r="D45" s="222"/>
      <c r="E45" s="225"/>
      <c r="F45" s="231"/>
      <c r="G45" s="221">
        <v>1.07</v>
      </c>
      <c r="H45" s="220"/>
      <c r="I45" s="220"/>
      <c r="J45" s="220"/>
      <c r="K45" s="220">
        <f>C45*G45</f>
        <v>5.3500000000000005</v>
      </c>
    </row>
    <row r="46" spans="1:11">
      <c r="A46" s="376"/>
      <c r="B46" s="219" t="s">
        <v>9259</v>
      </c>
      <c r="C46" s="222">
        <v>2</v>
      </c>
      <c r="D46" s="222"/>
      <c r="E46" s="225"/>
      <c r="F46" s="231"/>
      <c r="G46" s="221">
        <v>0.89</v>
      </c>
      <c r="H46" s="220"/>
      <c r="I46" s="220"/>
      <c r="J46" s="220"/>
      <c r="K46" s="220">
        <f>C46*G46</f>
        <v>1.78</v>
      </c>
    </row>
    <row r="47" spans="1:11">
      <c r="A47" s="228"/>
      <c r="B47" s="229"/>
      <c r="C47" s="229"/>
      <c r="D47" s="228"/>
      <c r="E47" s="229"/>
      <c r="F47" s="747" t="s">
        <v>7875</v>
      </c>
      <c r="G47" s="747"/>
      <c r="H47" s="747"/>
      <c r="I47" s="230">
        <f>ROUND(SUM(I43:I43),2)</f>
        <v>0</v>
      </c>
      <c r="J47" s="230">
        <f>ROUND(SUM(J43:J43),2)</f>
        <v>0</v>
      </c>
      <c r="K47" s="230">
        <f>ROUND(SUM(K43:K46),2)</f>
        <v>15.28</v>
      </c>
    </row>
    <row r="48" spans="1:11" ht="25.5" customHeight="1">
      <c r="A48" s="226" t="str">
        <f>'Orç - Urbanização'!A41</f>
        <v>04.02.106</v>
      </c>
      <c r="B48" s="748" t="str">
        <f>'Orç - Urbanização'!D41</f>
        <v>Piso tátil direcional e/ou alerta, de concreto, colorido, para deficientes visuais, dimensões 25x25cm, aplicado com argamassa industrializada ac-ii, rejuntado</v>
      </c>
      <c r="C48" s="748"/>
      <c r="D48" s="748"/>
      <c r="E48" s="748"/>
      <c r="F48" s="748"/>
      <c r="G48" s="748"/>
      <c r="H48" s="748"/>
      <c r="I48" s="748"/>
      <c r="J48" s="748"/>
      <c r="K48" s="227" t="str">
        <f>'Orç - Urbanização'!F41</f>
        <v>m2</v>
      </c>
    </row>
    <row r="49" spans="1:11">
      <c r="A49" s="745"/>
      <c r="B49" s="745"/>
      <c r="C49" s="218"/>
      <c r="D49" s="394"/>
      <c r="E49" s="218"/>
      <c r="F49" s="218"/>
      <c r="G49" s="745" t="s">
        <v>7863</v>
      </c>
      <c r="H49" s="745"/>
      <c r="I49" s="745" t="s">
        <v>7864</v>
      </c>
      <c r="J49" s="745"/>
      <c r="K49" s="745"/>
    </row>
    <row r="50" spans="1:11" ht="22.5">
      <c r="A50" s="745" t="s">
        <v>7880</v>
      </c>
      <c r="B50" s="745"/>
      <c r="C50" s="745" t="s">
        <v>7865</v>
      </c>
      <c r="D50" s="745" t="s">
        <v>7866</v>
      </c>
      <c r="E50" s="745" t="s">
        <v>7867</v>
      </c>
      <c r="F50" s="745" t="s">
        <v>7868</v>
      </c>
      <c r="G50" s="376" t="s">
        <v>7869</v>
      </c>
      <c r="H50" s="376" t="s">
        <v>7870</v>
      </c>
      <c r="I50" s="376" t="s">
        <v>7871</v>
      </c>
      <c r="J50" s="376" t="s">
        <v>7869</v>
      </c>
      <c r="K50" s="376" t="s">
        <v>7869</v>
      </c>
    </row>
    <row r="51" spans="1:11">
      <c r="A51" s="745"/>
      <c r="B51" s="745"/>
      <c r="C51" s="745"/>
      <c r="D51" s="745"/>
      <c r="E51" s="745"/>
      <c r="F51" s="745"/>
      <c r="G51" s="376" t="s">
        <v>7872</v>
      </c>
      <c r="H51" s="376" t="s">
        <v>7873</v>
      </c>
      <c r="I51" s="376" t="s">
        <v>7874</v>
      </c>
      <c r="J51" s="376" t="s">
        <v>7872</v>
      </c>
      <c r="K51" s="376" t="s">
        <v>7872</v>
      </c>
    </row>
    <row r="52" spans="1:11">
      <c r="A52" s="376"/>
      <c r="B52" s="219" t="s">
        <v>9260</v>
      </c>
      <c r="C52" s="222">
        <v>1</v>
      </c>
      <c r="D52" s="222"/>
      <c r="E52" s="225"/>
      <c r="F52" s="231"/>
      <c r="G52" s="221">
        <f>0.89+0.28</f>
        <v>1.17</v>
      </c>
      <c r="H52" s="220"/>
      <c r="I52" s="220"/>
      <c r="J52" s="220"/>
      <c r="K52" s="220">
        <f>C52*G52</f>
        <v>1.17</v>
      </c>
    </row>
    <row r="53" spans="1:11">
      <c r="A53" s="228"/>
      <c r="B53" s="229"/>
      <c r="C53" s="229"/>
      <c r="D53" s="228"/>
      <c r="E53" s="229"/>
      <c r="F53" s="747" t="s">
        <v>7875</v>
      </c>
      <c r="G53" s="747"/>
      <c r="H53" s="747"/>
      <c r="I53" s="230">
        <f>ROUND(SUM(I52:I52),2)</f>
        <v>0</v>
      </c>
      <c r="J53" s="230">
        <f>ROUND(SUM(J52:J52),2)</f>
        <v>0</v>
      </c>
      <c r="K53" s="230">
        <f>ROUND(SUM(K52:K52),2)</f>
        <v>1.17</v>
      </c>
    </row>
    <row r="54" spans="1:11">
      <c r="A54" s="228"/>
      <c r="B54" s="229"/>
      <c r="C54" s="229"/>
      <c r="D54" s="228"/>
      <c r="E54" s="229"/>
      <c r="F54" s="377"/>
      <c r="G54" s="377"/>
      <c r="H54" s="377"/>
      <c r="I54" s="230"/>
      <c r="J54" s="230"/>
      <c r="K54" s="230"/>
    </row>
    <row r="55" spans="1:11">
      <c r="A55" s="226" t="str">
        <f>'Orç - Urbanização'!A51</f>
        <v>04.05.102</v>
      </c>
      <c r="B55" s="748" t="str">
        <f>'Orç - Urbanização'!D51</f>
        <v>Regularização e compactação de subleito até 20 cm de espessura</v>
      </c>
      <c r="C55" s="748"/>
      <c r="D55" s="748"/>
      <c r="E55" s="748"/>
      <c r="F55" s="748"/>
      <c r="G55" s="748"/>
      <c r="H55" s="748"/>
      <c r="I55" s="748"/>
      <c r="J55" s="748"/>
      <c r="K55" s="227" t="str">
        <f>'Orç - Urbanização'!F51</f>
        <v>m2</v>
      </c>
    </row>
    <row r="56" spans="1:11">
      <c r="A56" s="745"/>
      <c r="B56" s="745"/>
      <c r="C56" s="218"/>
      <c r="D56" s="394"/>
      <c r="E56" s="218"/>
      <c r="F56" s="218"/>
      <c r="G56" s="745" t="s">
        <v>7863</v>
      </c>
      <c r="H56" s="745"/>
      <c r="I56" s="745" t="s">
        <v>7864</v>
      </c>
      <c r="J56" s="745"/>
      <c r="K56" s="745"/>
    </row>
    <row r="57" spans="1:11" ht="22.5">
      <c r="A57" s="745" t="s">
        <v>7880</v>
      </c>
      <c r="B57" s="745"/>
      <c r="C57" s="745" t="s">
        <v>7865</v>
      </c>
      <c r="D57" s="745" t="s">
        <v>7866</v>
      </c>
      <c r="E57" s="745" t="s">
        <v>7867</v>
      </c>
      <c r="F57" s="745" t="s">
        <v>7868</v>
      </c>
      <c r="G57" s="376" t="s">
        <v>7869</v>
      </c>
      <c r="H57" s="376" t="s">
        <v>7870</v>
      </c>
      <c r="I57" s="376" t="s">
        <v>7871</v>
      </c>
      <c r="J57" s="376" t="s">
        <v>7869</v>
      </c>
      <c r="K57" s="376" t="s">
        <v>7869</v>
      </c>
    </row>
    <row r="58" spans="1:11">
      <c r="A58" s="745"/>
      <c r="B58" s="745"/>
      <c r="C58" s="745"/>
      <c r="D58" s="745"/>
      <c r="E58" s="745"/>
      <c r="F58" s="745"/>
      <c r="G58" s="376" t="s">
        <v>7872</v>
      </c>
      <c r="H58" s="376" t="s">
        <v>7873</v>
      </c>
      <c r="I58" s="376" t="s">
        <v>7874</v>
      </c>
      <c r="J58" s="376" t="s">
        <v>7872</v>
      </c>
      <c r="K58" s="376" t="s">
        <v>7872</v>
      </c>
    </row>
    <row r="59" spans="1:11">
      <c r="A59" s="376"/>
      <c r="B59" s="219" t="s">
        <v>9254</v>
      </c>
      <c r="C59" s="222">
        <v>1</v>
      </c>
      <c r="D59" s="222"/>
      <c r="E59" s="225"/>
      <c r="F59" s="222"/>
      <c r="G59" s="221">
        <v>443.67</v>
      </c>
      <c r="H59" s="220"/>
      <c r="I59" s="220"/>
      <c r="J59" s="220"/>
      <c r="K59" s="220">
        <f>C59*G59</f>
        <v>443.67</v>
      </c>
    </row>
    <row r="60" spans="1:11">
      <c r="A60" s="376"/>
      <c r="B60" s="219" t="s">
        <v>9255</v>
      </c>
      <c r="C60" s="222">
        <v>1</v>
      </c>
      <c r="D60" s="222"/>
      <c r="E60" s="225"/>
      <c r="F60" s="222"/>
      <c r="G60" s="221">
        <v>669.4</v>
      </c>
      <c r="H60" s="220"/>
      <c r="I60" s="220"/>
      <c r="J60" s="220"/>
      <c r="K60" s="220">
        <f>C60*G60</f>
        <v>669.4</v>
      </c>
    </row>
    <row r="61" spans="1:11">
      <c r="A61" s="228"/>
      <c r="B61" s="229"/>
      <c r="C61" s="229"/>
      <c r="D61" s="228"/>
      <c r="E61" s="229"/>
      <c r="F61" s="747" t="s">
        <v>7875</v>
      </c>
      <c r="G61" s="747"/>
      <c r="H61" s="747"/>
      <c r="I61" s="230">
        <f>ROUND(SUM(I59:I59),2)</f>
        <v>0</v>
      </c>
      <c r="J61" s="230">
        <f>ROUND(SUM(J59:J59),2)</f>
        <v>0</v>
      </c>
      <c r="K61" s="230">
        <f>ROUND(SUM(K59:K60),2)</f>
        <v>1113.07</v>
      </c>
    </row>
    <row r="63" spans="1:11" ht="22.5">
      <c r="A63" s="226" t="str">
        <f>'Orç - Urbanização'!A52</f>
        <v>04.05.103.01</v>
      </c>
      <c r="B63" s="748" t="str">
        <f>'Orç - Urbanização'!D52</f>
        <v>Assentamento de guia (meio-fio) em trecho reto, confeccionada em concreto pré-fabricado, dimensões 100x15x13x30 cm (comprimento x base inferior x base superior x altura), para urbanização interna de empreendimentos</v>
      </c>
      <c r="C63" s="748"/>
      <c r="D63" s="748"/>
      <c r="E63" s="748"/>
      <c r="F63" s="748"/>
      <c r="G63" s="748"/>
      <c r="H63" s="748"/>
      <c r="I63" s="748"/>
      <c r="J63" s="748"/>
      <c r="K63" s="227" t="str">
        <f>'Orç - Urbanização'!F52</f>
        <v>m</v>
      </c>
    </row>
    <row r="64" spans="1:11">
      <c r="A64" s="745"/>
      <c r="B64" s="745"/>
      <c r="C64" s="218"/>
      <c r="D64" s="394"/>
      <c r="E64" s="218"/>
      <c r="F64" s="218"/>
      <c r="G64" s="745" t="s">
        <v>7863</v>
      </c>
      <c r="H64" s="745"/>
      <c r="I64" s="745" t="s">
        <v>7864</v>
      </c>
      <c r="J64" s="745"/>
      <c r="K64" s="745"/>
    </row>
    <row r="65" spans="1:11" ht="22.5">
      <c r="A65" s="745" t="s">
        <v>7880</v>
      </c>
      <c r="B65" s="745"/>
      <c r="C65" s="745" t="s">
        <v>7865</v>
      </c>
      <c r="D65" s="745" t="s">
        <v>7866</v>
      </c>
      <c r="E65" s="745" t="s">
        <v>7867</v>
      </c>
      <c r="F65" s="745" t="s">
        <v>7868</v>
      </c>
      <c r="G65" s="376" t="s">
        <v>7869</v>
      </c>
      <c r="H65" s="376" t="s">
        <v>7870</v>
      </c>
      <c r="I65" s="376" t="s">
        <v>7871</v>
      </c>
      <c r="J65" s="376" t="s">
        <v>7869</v>
      </c>
      <c r="K65" s="376" t="s">
        <v>7869</v>
      </c>
    </row>
    <row r="66" spans="1:11">
      <c r="A66" s="745"/>
      <c r="B66" s="745"/>
      <c r="C66" s="745"/>
      <c r="D66" s="745"/>
      <c r="E66" s="745"/>
      <c r="F66" s="745"/>
      <c r="G66" s="376" t="s">
        <v>7872</v>
      </c>
      <c r="H66" s="376" t="s">
        <v>7873</v>
      </c>
      <c r="I66" s="376" t="s">
        <v>7874</v>
      </c>
      <c r="J66" s="376" t="s">
        <v>7872</v>
      </c>
      <c r="K66" s="376" t="s">
        <v>7872</v>
      </c>
    </row>
    <row r="67" spans="1:11">
      <c r="A67" s="376"/>
      <c r="B67" s="219" t="s">
        <v>9404</v>
      </c>
      <c r="C67" s="376">
        <v>1</v>
      </c>
      <c r="D67" s="394">
        <v>93.14</v>
      </c>
      <c r="E67" s="376"/>
      <c r="F67" s="376"/>
      <c r="G67" s="376"/>
      <c r="H67" s="376"/>
      <c r="I67" s="376">
        <f>C67*D67</f>
        <v>93.14</v>
      </c>
      <c r="J67" s="376"/>
      <c r="K67" s="376"/>
    </row>
    <row r="68" spans="1:11">
      <c r="A68" s="376"/>
      <c r="B68" s="219" t="s">
        <v>9405</v>
      </c>
      <c r="C68" s="390">
        <v>-1</v>
      </c>
      <c r="D68" s="394">
        <v>1.57</v>
      </c>
      <c r="E68" s="376"/>
      <c r="F68" s="376"/>
      <c r="G68" s="376"/>
      <c r="H68" s="376"/>
      <c r="I68" s="376">
        <f t="shared" ref="I68:I74" si="0">C68*D68</f>
        <v>-1.57</v>
      </c>
      <c r="J68" s="376"/>
      <c r="K68" s="376"/>
    </row>
    <row r="69" spans="1:11">
      <c r="A69" s="376"/>
      <c r="B69" s="219" t="s">
        <v>9406</v>
      </c>
      <c r="C69" s="376">
        <v>1</v>
      </c>
      <c r="D69" s="394">
        <v>143.18</v>
      </c>
      <c r="E69" s="225"/>
      <c r="F69" s="222"/>
      <c r="G69" s="221"/>
      <c r="H69" s="220"/>
      <c r="I69" s="376">
        <f t="shared" si="0"/>
        <v>143.18</v>
      </c>
      <c r="J69" s="220"/>
      <c r="K69" s="220">
        <f t="shared" ref="K69:K74" si="1">C69*G69</f>
        <v>0</v>
      </c>
    </row>
    <row r="70" spans="1:11">
      <c r="A70" s="376"/>
      <c r="B70" s="219" t="s">
        <v>9407</v>
      </c>
      <c r="C70" s="376">
        <v>-2</v>
      </c>
      <c r="D70" s="394">
        <f>1.57</f>
        <v>1.57</v>
      </c>
      <c r="E70" s="225"/>
      <c r="F70" s="222"/>
      <c r="G70" s="221"/>
      <c r="H70" s="220"/>
      <c r="I70" s="376">
        <f t="shared" si="0"/>
        <v>-3.14</v>
      </c>
      <c r="J70" s="220"/>
      <c r="K70" s="220">
        <f t="shared" si="1"/>
        <v>0</v>
      </c>
    </row>
    <row r="71" spans="1:11">
      <c r="A71" s="390"/>
      <c r="B71" s="219" t="s">
        <v>9408</v>
      </c>
      <c r="C71" s="390">
        <v>1</v>
      </c>
      <c r="D71" s="394">
        <v>82.19</v>
      </c>
      <c r="E71" s="225"/>
      <c r="F71" s="222"/>
      <c r="G71" s="221"/>
      <c r="H71" s="220"/>
      <c r="I71" s="390">
        <f t="shared" si="0"/>
        <v>82.19</v>
      </c>
      <c r="J71" s="220"/>
      <c r="K71" s="220">
        <f t="shared" si="1"/>
        <v>0</v>
      </c>
    </row>
    <row r="72" spans="1:11">
      <c r="A72" s="390"/>
      <c r="B72" s="219" t="s">
        <v>9409</v>
      </c>
      <c r="C72" s="390">
        <v>-2</v>
      </c>
      <c r="D72" s="394">
        <v>1.57</v>
      </c>
      <c r="E72" s="225"/>
      <c r="F72" s="222"/>
      <c r="G72" s="221"/>
      <c r="H72" s="220"/>
      <c r="I72" s="390">
        <f t="shared" ref="I72" si="2">C72*D72</f>
        <v>-3.14</v>
      </c>
      <c r="J72" s="220"/>
      <c r="K72" s="220">
        <f t="shared" si="1"/>
        <v>0</v>
      </c>
    </row>
    <row r="73" spans="1:11">
      <c r="A73" s="390"/>
      <c r="B73" s="219" t="s">
        <v>9410</v>
      </c>
      <c r="C73" s="390">
        <v>1</v>
      </c>
      <c r="D73" s="394">
        <v>62.77</v>
      </c>
      <c r="E73" s="225"/>
      <c r="F73" s="222"/>
      <c r="G73" s="221"/>
      <c r="H73" s="220"/>
      <c r="I73" s="390">
        <f t="shared" ref="I73" si="3">C73*D73</f>
        <v>62.77</v>
      </c>
      <c r="J73" s="220"/>
      <c r="K73" s="220">
        <f t="shared" si="1"/>
        <v>0</v>
      </c>
    </row>
    <row r="74" spans="1:11">
      <c r="A74" s="376"/>
      <c r="B74" s="219" t="s">
        <v>9411</v>
      </c>
      <c r="C74" s="376">
        <v>-2</v>
      </c>
      <c r="D74" s="394">
        <v>1.57</v>
      </c>
      <c r="E74" s="225"/>
      <c r="F74" s="222"/>
      <c r="G74" s="221"/>
      <c r="H74" s="220"/>
      <c r="I74" s="376">
        <f t="shared" si="0"/>
        <v>-3.14</v>
      </c>
      <c r="J74" s="220"/>
      <c r="K74" s="220">
        <f t="shared" si="1"/>
        <v>0</v>
      </c>
    </row>
    <row r="75" spans="1:11">
      <c r="A75" s="406"/>
      <c r="B75" s="219" t="s">
        <v>9546</v>
      </c>
      <c r="C75" s="406">
        <v>-1</v>
      </c>
      <c r="D75" s="406">
        <f>I28</f>
        <v>210</v>
      </c>
      <c r="E75" s="225"/>
      <c r="F75" s="222"/>
      <c r="G75" s="221"/>
      <c r="H75" s="220"/>
      <c r="I75" s="406">
        <f t="shared" ref="I75" si="4">C75*D75</f>
        <v>-210</v>
      </c>
      <c r="J75" s="220"/>
      <c r="K75" s="220">
        <f t="shared" ref="K75" si="5">C75*G75</f>
        <v>0</v>
      </c>
    </row>
    <row r="76" spans="1:11">
      <c r="A76" s="228"/>
      <c r="B76" s="229"/>
      <c r="C76" s="229"/>
      <c r="D76" s="228"/>
      <c r="E76" s="229"/>
      <c r="F76" s="747" t="s">
        <v>7875</v>
      </c>
      <c r="G76" s="747"/>
      <c r="H76" s="747"/>
      <c r="I76" s="230">
        <f>ROUND(SUM(I67:I75),2)</f>
        <v>160.29</v>
      </c>
      <c r="J76" s="230">
        <f>ROUND(SUM(J69:J69),2)</f>
        <v>0</v>
      </c>
      <c r="K76" s="230">
        <f>ROUND(SUM(K69:K70),2)</f>
        <v>0</v>
      </c>
    </row>
    <row r="78" spans="1:11" ht="22.5">
      <c r="A78" s="226" t="str">
        <f>'Orç - Urbanização'!A53</f>
        <v>04.05.103.02</v>
      </c>
      <c r="B78" s="748" t="str">
        <f>'Orç - Urbanização'!D53</f>
        <v>Assentamento de guia (meio-fio) em trecho curvo, confeccionada em concreto pré-fabricado, dimensões 100x15x13x30 cm (comprimento x base inferior x base superior x altura), para urbanização interna de empreendimentos</v>
      </c>
      <c r="C78" s="748"/>
      <c r="D78" s="748"/>
      <c r="E78" s="748"/>
      <c r="F78" s="748"/>
      <c r="G78" s="748"/>
      <c r="H78" s="748"/>
      <c r="I78" s="748"/>
      <c r="J78" s="748"/>
      <c r="K78" s="227" t="str">
        <f>'Orç - Urbanização'!F53</f>
        <v>m</v>
      </c>
    </row>
    <row r="79" spans="1:11">
      <c r="A79" s="745"/>
      <c r="B79" s="745"/>
      <c r="C79" s="218"/>
      <c r="D79" s="394"/>
      <c r="E79" s="218"/>
      <c r="F79" s="218"/>
      <c r="G79" s="745" t="s">
        <v>7863</v>
      </c>
      <c r="H79" s="745"/>
      <c r="I79" s="745" t="s">
        <v>7864</v>
      </c>
      <c r="J79" s="745"/>
      <c r="K79" s="745"/>
    </row>
    <row r="80" spans="1:11" ht="22.5">
      <c r="A80" s="745" t="s">
        <v>7880</v>
      </c>
      <c r="B80" s="745"/>
      <c r="C80" s="745" t="s">
        <v>7865</v>
      </c>
      <c r="D80" s="745" t="s">
        <v>7866</v>
      </c>
      <c r="E80" s="745" t="s">
        <v>7867</v>
      </c>
      <c r="F80" s="745" t="s">
        <v>7868</v>
      </c>
      <c r="G80" s="390" t="s">
        <v>7869</v>
      </c>
      <c r="H80" s="390" t="s">
        <v>7870</v>
      </c>
      <c r="I80" s="390" t="s">
        <v>7871</v>
      </c>
      <c r="J80" s="390" t="s">
        <v>7869</v>
      </c>
      <c r="K80" s="390" t="s">
        <v>7869</v>
      </c>
    </row>
    <row r="81" spans="1:11">
      <c r="A81" s="745"/>
      <c r="B81" s="745"/>
      <c r="C81" s="745"/>
      <c r="D81" s="745"/>
      <c r="E81" s="745"/>
      <c r="F81" s="745"/>
      <c r="G81" s="390" t="s">
        <v>7872</v>
      </c>
      <c r="H81" s="390" t="s">
        <v>7873</v>
      </c>
      <c r="I81" s="390" t="s">
        <v>7874</v>
      </c>
      <c r="J81" s="390" t="s">
        <v>7872</v>
      </c>
      <c r="K81" s="390" t="s">
        <v>7872</v>
      </c>
    </row>
    <row r="82" spans="1:11">
      <c r="A82" s="390"/>
      <c r="B82" s="219" t="s">
        <v>9405</v>
      </c>
      <c r="C82" s="390">
        <v>1</v>
      </c>
      <c r="D82" s="394">
        <v>1.57</v>
      </c>
      <c r="E82" s="390"/>
      <c r="F82" s="390"/>
      <c r="G82" s="390"/>
      <c r="H82" s="390"/>
      <c r="I82" s="390">
        <f t="shared" ref="I82:I85" si="6">C82*D82</f>
        <v>1.57</v>
      </c>
      <c r="J82" s="390"/>
      <c r="K82" s="390"/>
    </row>
    <row r="83" spans="1:11">
      <c r="A83" s="390"/>
      <c r="B83" s="219" t="s">
        <v>9407</v>
      </c>
      <c r="C83" s="390">
        <v>2</v>
      </c>
      <c r="D83" s="394">
        <f>1.57</f>
        <v>1.57</v>
      </c>
      <c r="E83" s="225"/>
      <c r="F83" s="222"/>
      <c r="G83" s="221"/>
      <c r="H83" s="220"/>
      <c r="I83" s="390">
        <f t="shared" si="6"/>
        <v>3.14</v>
      </c>
      <c r="J83" s="220"/>
      <c r="K83" s="220">
        <f>C83*G83</f>
        <v>0</v>
      </c>
    </row>
    <row r="84" spans="1:11">
      <c r="A84" s="390"/>
      <c r="B84" s="219" t="s">
        <v>9409</v>
      </c>
      <c r="C84" s="390">
        <v>2</v>
      </c>
      <c r="D84" s="394">
        <v>1.57</v>
      </c>
      <c r="E84" s="225"/>
      <c r="F84" s="222"/>
      <c r="G84" s="221"/>
      <c r="H84" s="220"/>
      <c r="I84" s="390">
        <f t="shared" si="6"/>
        <v>3.14</v>
      </c>
      <c r="J84" s="220"/>
      <c r="K84" s="220">
        <f>C84*G84</f>
        <v>0</v>
      </c>
    </row>
    <row r="85" spans="1:11">
      <c r="A85" s="390"/>
      <c r="B85" s="219" t="s">
        <v>9411</v>
      </c>
      <c r="C85" s="390">
        <v>2</v>
      </c>
      <c r="D85" s="394">
        <v>1.57</v>
      </c>
      <c r="E85" s="225"/>
      <c r="F85" s="222"/>
      <c r="G85" s="221"/>
      <c r="H85" s="220"/>
      <c r="I85" s="390">
        <f t="shared" si="6"/>
        <v>3.14</v>
      </c>
      <c r="J85" s="220"/>
      <c r="K85" s="220">
        <f>C85*G85</f>
        <v>0</v>
      </c>
    </row>
    <row r="86" spans="1:11">
      <c r="A86" s="228"/>
      <c r="B86" s="229"/>
      <c r="C86" s="229"/>
      <c r="D86" s="228"/>
      <c r="E86" s="229"/>
      <c r="F86" s="747" t="s">
        <v>7875</v>
      </c>
      <c r="G86" s="747"/>
      <c r="H86" s="747"/>
      <c r="I86" s="230">
        <f>ROUND(SUM(I82:I85),2)</f>
        <v>10.99</v>
      </c>
      <c r="J86" s="230"/>
      <c r="K86" s="230">
        <f>ROUND(SUM(K83:K83),2)</f>
        <v>0</v>
      </c>
    </row>
    <row r="88" spans="1:11" ht="22.5">
      <c r="A88" s="226" t="str">
        <f>'Orç - Urbanização'!A54</f>
        <v>04.05.103.03</v>
      </c>
      <c r="B88" s="748" t="str">
        <f>'Orç - Urbanização'!D54</f>
        <v>Caiação em meio-fio</v>
      </c>
      <c r="C88" s="748"/>
      <c r="D88" s="748"/>
      <c r="E88" s="748"/>
      <c r="F88" s="748"/>
      <c r="G88" s="748"/>
      <c r="H88" s="748"/>
      <c r="I88" s="748"/>
      <c r="J88" s="748"/>
      <c r="K88" s="227" t="str">
        <f>'Orç - Urbanização'!F54</f>
        <v>m2</v>
      </c>
    </row>
    <row r="89" spans="1:11">
      <c r="A89" s="745"/>
      <c r="B89" s="745"/>
      <c r="C89" s="218"/>
      <c r="D89" s="406"/>
      <c r="E89" s="218"/>
      <c r="F89" s="218"/>
      <c r="G89" s="745" t="s">
        <v>7863</v>
      </c>
      <c r="H89" s="745"/>
      <c r="I89" s="745" t="s">
        <v>7864</v>
      </c>
      <c r="J89" s="745"/>
      <c r="K89" s="745"/>
    </row>
    <row r="90" spans="1:11" ht="22.5">
      <c r="A90" s="745" t="s">
        <v>7880</v>
      </c>
      <c r="B90" s="745"/>
      <c r="C90" s="745" t="s">
        <v>7865</v>
      </c>
      <c r="D90" s="745" t="s">
        <v>7866</v>
      </c>
      <c r="E90" s="745" t="s">
        <v>7867</v>
      </c>
      <c r="F90" s="745" t="s">
        <v>7868</v>
      </c>
      <c r="G90" s="406" t="s">
        <v>7869</v>
      </c>
      <c r="H90" s="406" t="s">
        <v>7870</v>
      </c>
      <c r="I90" s="406" t="s">
        <v>7871</v>
      </c>
      <c r="J90" s="406" t="s">
        <v>7869</v>
      </c>
      <c r="K90" s="406" t="s">
        <v>7869</v>
      </c>
    </row>
    <row r="91" spans="1:11">
      <c r="A91" s="745"/>
      <c r="B91" s="745"/>
      <c r="C91" s="745"/>
      <c r="D91" s="745"/>
      <c r="E91" s="745"/>
      <c r="F91" s="745"/>
      <c r="G91" s="406" t="s">
        <v>7872</v>
      </c>
      <c r="H91" s="406" t="s">
        <v>7873</v>
      </c>
      <c r="I91" s="406" t="s">
        <v>7874</v>
      </c>
      <c r="J91" s="406" t="s">
        <v>7872</v>
      </c>
      <c r="K91" s="406" t="s">
        <v>7872</v>
      </c>
    </row>
    <row r="92" spans="1:11">
      <c r="A92" s="406"/>
      <c r="B92" s="219" t="s">
        <v>9549</v>
      </c>
      <c r="C92" s="406">
        <f>I86+I76</f>
        <v>171.28</v>
      </c>
      <c r="D92" s="406">
        <v>1</v>
      </c>
      <c r="E92" s="406">
        <f>0.15</f>
        <v>0.15</v>
      </c>
      <c r="F92" s="406">
        <f>2*0.15</f>
        <v>0.3</v>
      </c>
      <c r="G92" s="406">
        <f>(F92+E92)*D92</f>
        <v>0.44999999999999996</v>
      </c>
      <c r="H92" s="406"/>
      <c r="I92" s="406"/>
      <c r="J92" s="406"/>
      <c r="K92" s="406">
        <f>G92*C92</f>
        <v>77.075999999999993</v>
      </c>
    </row>
    <row r="93" spans="1:11">
      <c r="A93" s="406"/>
      <c r="B93" s="219" t="s">
        <v>9550</v>
      </c>
      <c r="C93" s="406">
        <f>I29</f>
        <v>272.10000000000002</v>
      </c>
      <c r="D93" s="406">
        <v>1</v>
      </c>
      <c r="E93" s="225">
        <v>0.15</v>
      </c>
      <c r="F93" s="406">
        <f>2*0.15</f>
        <v>0.3</v>
      </c>
      <c r="G93" s="406">
        <f>(F93+E93)*D93</f>
        <v>0.44999999999999996</v>
      </c>
      <c r="H93" s="220"/>
      <c r="I93" s="406"/>
      <c r="J93" s="220"/>
      <c r="K93" s="406">
        <f>G93*C93</f>
        <v>122.44499999999999</v>
      </c>
    </row>
    <row r="94" spans="1:11">
      <c r="A94" s="228"/>
      <c r="B94" s="229"/>
      <c r="C94" s="229"/>
      <c r="D94" s="228"/>
      <c r="E94" s="229"/>
      <c r="F94" s="747" t="s">
        <v>7875</v>
      </c>
      <c r="G94" s="747"/>
      <c r="H94" s="747"/>
      <c r="I94" s="230"/>
      <c r="J94" s="230"/>
      <c r="K94" s="230">
        <f>ROUND(SUM(K92:K93),2)</f>
        <v>199.52</v>
      </c>
    </row>
    <row r="96" spans="1:11" ht="33.75" customHeight="1">
      <c r="A96" s="226" t="str">
        <f>'Orç - Urbanização'!A58</f>
        <v>04.05.502</v>
      </c>
      <c r="B96" s="748" t="str">
        <f>'Orç - Urbanização'!D58</f>
        <v>Lastro com preparo de fundo, largura maior ou igual a 1,5 m, com camada de brita, lançamento mecanizado, em local com nível baixo de interferência (esp. 5 cm) - sob passeio a construir</v>
      </c>
      <c r="C96" s="748"/>
      <c r="D96" s="748"/>
      <c r="E96" s="748"/>
      <c r="F96" s="748"/>
      <c r="G96" s="748"/>
      <c r="H96" s="748"/>
      <c r="I96" s="748"/>
      <c r="J96" s="748"/>
      <c r="K96" s="227" t="str">
        <f>'Orç - Urbanização'!F58</f>
        <v>m3</v>
      </c>
    </row>
    <row r="97" spans="1:11">
      <c r="A97" s="745"/>
      <c r="B97" s="745"/>
      <c r="C97" s="218"/>
      <c r="D97" s="394"/>
      <c r="E97" s="218"/>
      <c r="F97" s="218"/>
      <c r="G97" s="745" t="s">
        <v>7863</v>
      </c>
      <c r="H97" s="745"/>
      <c r="I97" s="745" t="s">
        <v>7864</v>
      </c>
      <c r="J97" s="745"/>
      <c r="K97" s="745"/>
    </row>
    <row r="98" spans="1:11" ht="22.5">
      <c r="A98" s="745" t="s">
        <v>7880</v>
      </c>
      <c r="B98" s="745"/>
      <c r="C98" s="745" t="s">
        <v>7865</v>
      </c>
      <c r="D98" s="745" t="s">
        <v>7866</v>
      </c>
      <c r="E98" s="745" t="s">
        <v>7867</v>
      </c>
      <c r="F98" s="745" t="s">
        <v>7868</v>
      </c>
      <c r="G98" s="376" t="s">
        <v>7869</v>
      </c>
      <c r="H98" s="376" t="s">
        <v>7870</v>
      </c>
      <c r="I98" s="376" t="s">
        <v>7871</v>
      </c>
      <c r="J98" s="376" t="s">
        <v>7869</v>
      </c>
      <c r="K98" s="376" t="s">
        <v>7870</v>
      </c>
    </row>
    <row r="99" spans="1:11">
      <c r="A99" s="745"/>
      <c r="B99" s="745"/>
      <c r="C99" s="745"/>
      <c r="D99" s="745"/>
      <c r="E99" s="745"/>
      <c r="F99" s="745"/>
      <c r="G99" s="376" t="s">
        <v>7872</v>
      </c>
      <c r="H99" s="376" t="s">
        <v>7873</v>
      </c>
      <c r="I99" s="376" t="s">
        <v>7874</v>
      </c>
      <c r="J99" s="376" t="s">
        <v>7872</v>
      </c>
      <c r="K99" s="376" t="s">
        <v>9173</v>
      </c>
    </row>
    <row r="100" spans="1:11">
      <c r="A100" s="376"/>
      <c r="B100" s="219" t="s">
        <v>9261</v>
      </c>
      <c r="C100" s="376">
        <v>1</v>
      </c>
      <c r="D100" s="394"/>
      <c r="E100" s="376"/>
      <c r="F100" s="376">
        <v>0.05</v>
      </c>
      <c r="G100" s="376">
        <v>947.02</v>
      </c>
      <c r="H100" s="376"/>
      <c r="I100" s="376"/>
      <c r="J100" s="376"/>
      <c r="K100" s="376">
        <f>G100*F100*C100</f>
        <v>47.350999999999999</v>
      </c>
    </row>
    <row r="101" spans="1:11">
      <c r="A101" s="228"/>
      <c r="B101" s="229"/>
      <c r="C101" s="229"/>
      <c r="D101" s="228"/>
      <c r="E101" s="229"/>
      <c r="F101" s="747" t="s">
        <v>7875</v>
      </c>
      <c r="G101" s="747"/>
      <c r="H101" s="747"/>
      <c r="I101" s="230">
        <f>ROUND(SUM(I100:I100),2)</f>
        <v>0</v>
      </c>
      <c r="J101" s="230">
        <f t="shared" ref="J101:K101" si="7">ROUND(SUM(J100:J100),2)</f>
        <v>0</v>
      </c>
      <c r="K101" s="230">
        <f t="shared" si="7"/>
        <v>47.35</v>
      </c>
    </row>
    <row r="102" spans="1:11">
      <c r="A102" s="228"/>
      <c r="B102" s="229"/>
      <c r="C102" s="229"/>
      <c r="D102" s="228"/>
      <c r="E102" s="229"/>
      <c r="F102" s="377"/>
      <c r="G102" s="377"/>
      <c r="H102" s="377"/>
      <c r="I102" s="230"/>
      <c r="J102" s="230"/>
      <c r="K102" s="230"/>
    </row>
    <row r="103" spans="1:11" ht="22.5">
      <c r="A103" s="226" t="str">
        <f>'Orç - Urbanização'!A80</f>
        <v>05.03.501.01</v>
      </c>
      <c r="B103" s="748" t="str">
        <f>'Orç - Urbanização'!D80</f>
        <v>Tubo de concreto para redes coletoras de águas pluviais, diâmetro de 400 mm, junta rígida, instalado em local com baixo nível de interferências - fornecimento e assentamento (inclui escavação)</v>
      </c>
      <c r="C103" s="748"/>
      <c r="D103" s="748"/>
      <c r="E103" s="748"/>
      <c r="F103" s="748"/>
      <c r="G103" s="748"/>
      <c r="H103" s="748"/>
      <c r="I103" s="748"/>
      <c r="J103" s="748"/>
      <c r="K103" s="227" t="str">
        <f>'Orç - Urbanização'!F80</f>
        <v>m</v>
      </c>
    </row>
    <row r="104" spans="1:11">
      <c r="A104" s="745"/>
      <c r="B104" s="745"/>
      <c r="C104" s="218"/>
      <c r="D104" s="394"/>
      <c r="E104" s="218"/>
      <c r="F104" s="218"/>
      <c r="G104" s="745" t="s">
        <v>7863</v>
      </c>
      <c r="H104" s="745"/>
      <c r="I104" s="745" t="s">
        <v>7864</v>
      </c>
      <c r="J104" s="745"/>
      <c r="K104" s="745"/>
    </row>
    <row r="105" spans="1:11" ht="22.5">
      <c r="A105" s="745" t="s">
        <v>7880</v>
      </c>
      <c r="B105" s="745"/>
      <c r="C105" s="745" t="s">
        <v>7865</v>
      </c>
      <c r="D105" s="745" t="s">
        <v>7866</v>
      </c>
      <c r="E105" s="745" t="s">
        <v>7867</v>
      </c>
      <c r="F105" s="745" t="s">
        <v>7868</v>
      </c>
      <c r="G105" s="376" t="s">
        <v>7869</v>
      </c>
      <c r="H105" s="376" t="s">
        <v>7870</v>
      </c>
      <c r="I105" s="376" t="s">
        <v>7871</v>
      </c>
      <c r="J105" s="376" t="s">
        <v>7869</v>
      </c>
      <c r="K105" s="376" t="s">
        <v>7870</v>
      </c>
    </row>
    <row r="106" spans="1:11">
      <c r="A106" s="745"/>
      <c r="B106" s="745"/>
      <c r="C106" s="745"/>
      <c r="D106" s="745"/>
      <c r="E106" s="745"/>
      <c r="F106" s="745"/>
      <c r="G106" s="376" t="s">
        <v>7872</v>
      </c>
      <c r="H106" s="376" t="s">
        <v>7873</v>
      </c>
      <c r="I106" s="376" t="s">
        <v>7874</v>
      </c>
      <c r="J106" s="376" t="s">
        <v>7872</v>
      </c>
      <c r="K106" s="376" t="s">
        <v>9173</v>
      </c>
    </row>
    <row r="107" spans="1:11">
      <c r="A107" s="376"/>
      <c r="B107" s="219" t="s">
        <v>9348</v>
      </c>
      <c r="C107" s="376">
        <v>1</v>
      </c>
      <c r="D107" s="394">
        <f>15+20+14.85</f>
        <v>49.85</v>
      </c>
      <c r="E107" s="376"/>
      <c r="F107" s="376"/>
      <c r="G107" s="376"/>
      <c r="H107" s="376"/>
      <c r="I107" s="376">
        <f t="shared" ref="I107:I119" si="8">D107*C107</f>
        <v>49.85</v>
      </c>
      <c r="J107" s="376"/>
      <c r="K107" s="376"/>
    </row>
    <row r="108" spans="1:11">
      <c r="A108" s="376"/>
      <c r="B108" s="219" t="s">
        <v>9347</v>
      </c>
      <c r="C108" s="376">
        <v>1</v>
      </c>
      <c r="D108" s="394">
        <f>31.74+18.4+18.43</f>
        <v>68.569999999999993</v>
      </c>
      <c r="E108" s="376"/>
      <c r="F108" s="376"/>
      <c r="G108" s="376"/>
      <c r="H108" s="376"/>
      <c r="I108" s="388">
        <f t="shared" si="8"/>
        <v>68.569999999999993</v>
      </c>
      <c r="J108" s="376"/>
      <c r="K108" s="376"/>
    </row>
    <row r="109" spans="1:11">
      <c r="A109" s="376"/>
      <c r="B109" s="219" t="s">
        <v>9349</v>
      </c>
      <c r="C109" s="376">
        <v>1</v>
      </c>
      <c r="D109" s="394">
        <f>10.33+10.33+10.38</f>
        <v>31.04</v>
      </c>
      <c r="E109" s="376"/>
      <c r="F109" s="376"/>
      <c r="G109" s="376"/>
      <c r="H109" s="376"/>
      <c r="I109" s="388">
        <f t="shared" si="8"/>
        <v>31.04</v>
      </c>
      <c r="J109" s="376"/>
      <c r="K109" s="376"/>
    </row>
    <row r="110" spans="1:11">
      <c r="A110" s="376"/>
      <c r="B110" s="219" t="s">
        <v>9350</v>
      </c>
      <c r="C110" s="376">
        <v>1</v>
      </c>
      <c r="D110" s="394">
        <f>11.65+10.44</f>
        <v>22.09</v>
      </c>
      <c r="E110" s="376"/>
      <c r="F110" s="376"/>
      <c r="G110" s="376"/>
      <c r="H110" s="376"/>
      <c r="I110" s="388">
        <f t="shared" si="8"/>
        <v>22.09</v>
      </c>
      <c r="J110" s="376"/>
      <c r="K110" s="376"/>
    </row>
    <row r="111" spans="1:11">
      <c r="A111" s="376"/>
      <c r="B111" s="219" t="s">
        <v>9351</v>
      </c>
      <c r="C111" s="376">
        <v>1</v>
      </c>
      <c r="D111" s="394">
        <f>2.6+10.53</f>
        <v>13.129999999999999</v>
      </c>
      <c r="E111" s="376"/>
      <c r="F111" s="376"/>
      <c r="G111" s="376"/>
      <c r="H111" s="376"/>
      <c r="I111" s="388">
        <f t="shared" si="8"/>
        <v>13.129999999999999</v>
      </c>
      <c r="J111" s="376"/>
      <c r="K111" s="376"/>
    </row>
    <row r="112" spans="1:11">
      <c r="A112" s="389"/>
      <c r="B112" s="219" t="s">
        <v>9363</v>
      </c>
      <c r="C112" s="389">
        <v>1</v>
      </c>
      <c r="D112" s="394">
        <v>3.18</v>
      </c>
      <c r="E112" s="389"/>
      <c r="F112" s="389"/>
      <c r="G112" s="389"/>
      <c r="H112" s="389"/>
      <c r="I112" s="389">
        <f t="shared" si="8"/>
        <v>3.18</v>
      </c>
      <c r="J112" s="389"/>
      <c r="K112" s="389"/>
    </row>
    <row r="113" spans="1:11">
      <c r="A113" s="389"/>
      <c r="B113" s="219" t="s">
        <v>9364</v>
      </c>
      <c r="C113" s="389">
        <v>1</v>
      </c>
      <c r="D113" s="394">
        <v>3.18</v>
      </c>
      <c r="E113" s="389"/>
      <c r="F113" s="389"/>
      <c r="G113" s="389"/>
      <c r="H113" s="389"/>
      <c r="I113" s="389">
        <f t="shared" si="8"/>
        <v>3.18</v>
      </c>
      <c r="J113" s="389"/>
      <c r="K113" s="389"/>
    </row>
    <row r="114" spans="1:11">
      <c r="A114" s="389"/>
      <c r="B114" s="219" t="s">
        <v>9365</v>
      </c>
      <c r="C114" s="389">
        <v>1</v>
      </c>
      <c r="D114" s="394">
        <v>3.18</v>
      </c>
      <c r="E114" s="389"/>
      <c r="F114" s="389"/>
      <c r="G114" s="389"/>
      <c r="H114" s="389"/>
      <c r="I114" s="389">
        <f t="shared" si="8"/>
        <v>3.18</v>
      </c>
      <c r="J114" s="389"/>
      <c r="K114" s="389"/>
    </row>
    <row r="115" spans="1:11">
      <c r="A115" s="389"/>
      <c r="B115" s="219" t="s">
        <v>9366</v>
      </c>
      <c r="C115" s="389">
        <v>1</v>
      </c>
      <c r="D115" s="394">
        <v>3.18</v>
      </c>
      <c r="E115" s="389"/>
      <c r="F115" s="389"/>
      <c r="G115" s="389"/>
      <c r="H115" s="389"/>
      <c r="I115" s="389">
        <f t="shared" si="8"/>
        <v>3.18</v>
      </c>
      <c r="J115" s="389"/>
      <c r="K115" s="389"/>
    </row>
    <row r="116" spans="1:11">
      <c r="A116" s="389"/>
      <c r="B116" s="219" t="s">
        <v>9367</v>
      </c>
      <c r="C116" s="389">
        <v>1</v>
      </c>
      <c r="D116" s="394">
        <v>5.14</v>
      </c>
      <c r="E116" s="389"/>
      <c r="F116" s="389"/>
      <c r="G116" s="389"/>
      <c r="H116" s="389"/>
      <c r="I116" s="389">
        <f t="shared" si="8"/>
        <v>5.14</v>
      </c>
      <c r="J116" s="389"/>
      <c r="K116" s="389"/>
    </row>
    <row r="117" spans="1:11">
      <c r="A117" s="389"/>
      <c r="B117" s="219" t="s">
        <v>9368</v>
      </c>
      <c r="C117" s="389">
        <v>1</v>
      </c>
      <c r="D117" s="394">
        <v>1.74</v>
      </c>
      <c r="E117" s="389"/>
      <c r="F117" s="389"/>
      <c r="G117" s="389"/>
      <c r="H117" s="389"/>
      <c r="I117" s="389">
        <f t="shared" si="8"/>
        <v>1.74</v>
      </c>
      <c r="J117" s="389"/>
      <c r="K117" s="389"/>
    </row>
    <row r="118" spans="1:11">
      <c r="A118" s="389"/>
      <c r="B118" s="219" t="s">
        <v>9369</v>
      </c>
      <c r="C118" s="389">
        <v>1</v>
      </c>
      <c r="D118" s="394">
        <v>15.45</v>
      </c>
      <c r="E118" s="389"/>
      <c r="F118" s="389"/>
      <c r="G118" s="389"/>
      <c r="H118" s="389"/>
      <c r="I118" s="389">
        <f t="shared" si="8"/>
        <v>15.45</v>
      </c>
      <c r="J118" s="389"/>
      <c r="K118" s="389"/>
    </row>
    <row r="119" spans="1:11">
      <c r="A119" s="389"/>
      <c r="B119" s="219" t="s">
        <v>9370</v>
      </c>
      <c r="C119" s="389">
        <v>1</v>
      </c>
      <c r="D119" s="394">
        <v>19.25</v>
      </c>
      <c r="E119" s="389"/>
      <c r="F119" s="389"/>
      <c r="G119" s="389"/>
      <c r="H119" s="389"/>
      <c r="I119" s="389">
        <f t="shared" si="8"/>
        <v>19.25</v>
      </c>
      <c r="J119" s="389"/>
      <c r="K119" s="389"/>
    </row>
    <row r="120" spans="1:11">
      <c r="A120" s="228"/>
      <c r="B120" s="229"/>
      <c r="C120" s="229"/>
      <c r="D120" s="228"/>
      <c r="E120" s="229"/>
      <c r="F120" s="747" t="s">
        <v>7875</v>
      </c>
      <c r="G120" s="747"/>
      <c r="H120" s="747"/>
      <c r="I120" s="230">
        <f>ROUND(SUM(I107:I119),2)</f>
        <v>238.98</v>
      </c>
      <c r="J120" s="230">
        <f>ROUND(SUM(J107:J107),2)</f>
        <v>0</v>
      </c>
      <c r="K120" s="230">
        <f>ROUND(SUM(K107:K107),2)</f>
        <v>0</v>
      </c>
    </row>
    <row r="122" spans="1:11" ht="22.5">
      <c r="A122" s="226" t="str">
        <f>'Orç - Urbanização'!A82</f>
        <v>05.03.501.03</v>
      </c>
      <c r="B122" s="748" t="str">
        <f>'Orç - Urbanização'!D82</f>
        <v>Tubo de concreto para redes coletoras de águas pluviais, diâmetro de 600 mm, junta rígida, instalado em local com baixo nível de interferências - fornecimento e assentamento (inclui escavação)</v>
      </c>
      <c r="C122" s="748"/>
      <c r="D122" s="748"/>
      <c r="E122" s="748"/>
      <c r="F122" s="748"/>
      <c r="G122" s="748"/>
      <c r="H122" s="748"/>
      <c r="I122" s="748"/>
      <c r="J122" s="748"/>
      <c r="K122" s="227" t="str">
        <f>'Orç - Urbanização'!F82</f>
        <v>m</v>
      </c>
    </row>
    <row r="123" spans="1:11">
      <c r="A123" s="745"/>
      <c r="B123" s="745"/>
      <c r="C123" s="218"/>
      <c r="D123" s="394"/>
      <c r="E123" s="218"/>
      <c r="F123" s="218"/>
      <c r="G123" s="745" t="s">
        <v>7863</v>
      </c>
      <c r="H123" s="745"/>
      <c r="I123" s="745" t="s">
        <v>7864</v>
      </c>
      <c r="J123" s="745"/>
      <c r="K123" s="745"/>
    </row>
    <row r="124" spans="1:11" ht="22.5">
      <c r="A124" s="745" t="s">
        <v>7880</v>
      </c>
      <c r="B124" s="745"/>
      <c r="C124" s="745" t="s">
        <v>7865</v>
      </c>
      <c r="D124" s="745" t="s">
        <v>7866</v>
      </c>
      <c r="E124" s="745" t="s">
        <v>7867</v>
      </c>
      <c r="F124" s="745" t="s">
        <v>7868</v>
      </c>
      <c r="G124" s="388" t="s">
        <v>7869</v>
      </c>
      <c r="H124" s="388" t="s">
        <v>7870</v>
      </c>
      <c r="I124" s="388" t="s">
        <v>7871</v>
      </c>
      <c r="J124" s="388" t="s">
        <v>7869</v>
      </c>
      <c r="K124" s="388" t="s">
        <v>7870</v>
      </c>
    </row>
    <row r="125" spans="1:11">
      <c r="A125" s="745"/>
      <c r="B125" s="745"/>
      <c r="C125" s="745"/>
      <c r="D125" s="745"/>
      <c r="E125" s="745"/>
      <c r="F125" s="745"/>
      <c r="G125" s="388" t="s">
        <v>7872</v>
      </c>
      <c r="H125" s="388" t="s">
        <v>7873</v>
      </c>
      <c r="I125" s="388" t="s">
        <v>7874</v>
      </c>
      <c r="J125" s="388" t="s">
        <v>7872</v>
      </c>
      <c r="K125" s="388" t="s">
        <v>9173</v>
      </c>
    </row>
    <row r="126" spans="1:11">
      <c r="A126" s="388"/>
      <c r="B126" s="219" t="s">
        <v>9347</v>
      </c>
      <c r="C126" s="388">
        <v>1</v>
      </c>
      <c r="D126" s="394">
        <f>31.74+18.4+18.43</f>
        <v>68.569999999999993</v>
      </c>
      <c r="E126" s="388"/>
      <c r="F126" s="388"/>
      <c r="G126" s="388"/>
      <c r="H126" s="388"/>
      <c r="I126" s="388">
        <f>D126*C126</f>
        <v>68.569999999999993</v>
      </c>
      <c r="J126" s="388"/>
      <c r="K126" s="388"/>
    </row>
    <row r="127" spans="1:11">
      <c r="A127" s="389"/>
      <c r="B127" s="219" t="s">
        <v>9362</v>
      </c>
      <c r="C127" s="389">
        <v>1</v>
      </c>
      <c r="D127" s="394">
        <f>22.55+25+25+25+19.68+20.51+13.35+28.03</f>
        <v>179.11999999999998</v>
      </c>
      <c r="E127" s="389"/>
      <c r="F127" s="389"/>
      <c r="G127" s="389"/>
      <c r="H127" s="389"/>
      <c r="I127" s="389">
        <f>D127*C127</f>
        <v>179.11999999999998</v>
      </c>
      <c r="J127" s="389"/>
      <c r="K127" s="389"/>
    </row>
    <row r="128" spans="1:11">
      <c r="A128" s="228"/>
      <c r="B128" s="229"/>
      <c r="C128" s="229"/>
      <c r="D128" s="228"/>
      <c r="E128" s="229"/>
      <c r="F128" s="747" t="s">
        <v>7875</v>
      </c>
      <c r="G128" s="747"/>
      <c r="H128" s="747"/>
      <c r="I128" s="230">
        <f>ROUND(SUM(I126:I127),2)</f>
        <v>247.69</v>
      </c>
      <c r="J128" s="230">
        <f>ROUND(SUM(J126:J126),2)</f>
        <v>0</v>
      </c>
      <c r="K128" s="230">
        <f>ROUND(SUM(K126:K126),2)</f>
        <v>0</v>
      </c>
    </row>
    <row r="130" spans="1:11" ht="22.5">
      <c r="A130" s="226" t="str">
        <f>'Orç - Urbanização'!A59</f>
        <v>04.05.601.01</v>
      </c>
      <c r="B130" s="748" t="str">
        <f>'Orç - Urbanização'!D59</f>
        <v>Recomposição de pavimento com aplicação de concreto betuminoso usinado a quente (CBUQ), camada de rolamento, espessura 5,0cm - exclusive transporte</v>
      </c>
      <c r="C130" s="748"/>
      <c r="D130" s="748"/>
      <c r="E130" s="748"/>
      <c r="F130" s="748"/>
      <c r="G130" s="748"/>
      <c r="H130" s="748"/>
      <c r="I130" s="748"/>
      <c r="J130" s="748"/>
      <c r="K130" s="227" t="str">
        <f>'Orç - Urbanização'!F59</f>
        <v>m3</v>
      </c>
    </row>
    <row r="131" spans="1:11">
      <c r="A131" s="745"/>
      <c r="B131" s="745"/>
      <c r="C131" s="218"/>
      <c r="D131" s="394"/>
      <c r="E131" s="218"/>
      <c r="F131" s="218"/>
      <c r="G131" s="745" t="s">
        <v>7863</v>
      </c>
      <c r="H131" s="745"/>
      <c r="I131" s="745" t="s">
        <v>7864</v>
      </c>
      <c r="J131" s="745"/>
      <c r="K131" s="745"/>
    </row>
    <row r="132" spans="1:11" ht="22.5">
      <c r="A132" s="745" t="s">
        <v>7880</v>
      </c>
      <c r="B132" s="745"/>
      <c r="C132" s="745" t="s">
        <v>7865</v>
      </c>
      <c r="D132" s="745" t="s">
        <v>7866</v>
      </c>
      <c r="E132" s="745" t="s">
        <v>7867</v>
      </c>
      <c r="F132" s="745" t="s">
        <v>7868</v>
      </c>
      <c r="G132" s="394" t="s">
        <v>7869</v>
      </c>
      <c r="H132" s="394" t="s">
        <v>7870</v>
      </c>
      <c r="I132" s="394" t="s">
        <v>7871</v>
      </c>
      <c r="J132" s="394" t="s">
        <v>7869</v>
      </c>
      <c r="K132" s="394" t="s">
        <v>7870</v>
      </c>
    </row>
    <row r="133" spans="1:11">
      <c r="A133" s="745"/>
      <c r="B133" s="745"/>
      <c r="C133" s="745"/>
      <c r="D133" s="745"/>
      <c r="E133" s="745"/>
      <c r="F133" s="745"/>
      <c r="G133" s="394" t="s">
        <v>7872</v>
      </c>
      <c r="H133" s="394" t="s">
        <v>7873</v>
      </c>
      <c r="I133" s="394" t="s">
        <v>7874</v>
      </c>
      <c r="J133" s="394" t="s">
        <v>7872</v>
      </c>
      <c r="K133" s="394" t="s">
        <v>9173</v>
      </c>
    </row>
    <row r="134" spans="1:11">
      <c r="A134" s="394"/>
      <c r="B134" s="219" t="s">
        <v>9460</v>
      </c>
      <c r="C134" s="394">
        <v>1</v>
      </c>
      <c r="D134" s="394"/>
      <c r="E134" s="394"/>
      <c r="F134" s="394">
        <v>0.05</v>
      </c>
      <c r="G134" s="394">
        <f>K21</f>
        <v>704.36</v>
      </c>
      <c r="H134" s="394"/>
      <c r="I134" s="394"/>
      <c r="J134" s="394"/>
      <c r="K134" s="394">
        <f>G134*F134*C134</f>
        <v>35.218000000000004</v>
      </c>
    </row>
    <row r="135" spans="1:11">
      <c r="A135" s="228"/>
      <c r="B135" s="229"/>
      <c r="C135" s="229"/>
      <c r="D135" s="228"/>
      <c r="E135" s="229"/>
      <c r="F135" s="747" t="s">
        <v>7875</v>
      </c>
      <c r="G135" s="747"/>
      <c r="H135" s="747"/>
      <c r="I135" s="230">
        <f>ROUND(SUM(I134:I134),2)</f>
        <v>0</v>
      </c>
      <c r="J135" s="230">
        <f>ROUND(SUM(J134:J134),2)</f>
        <v>0</v>
      </c>
      <c r="K135" s="230">
        <f>ROUND(SUM(K134:K134),2)</f>
        <v>35.22</v>
      </c>
    </row>
    <row r="137" spans="1:11">
      <c r="A137" s="226" t="s">
        <v>7861</v>
      </c>
      <c r="B137" s="748" t="s">
        <v>9469</v>
      </c>
      <c r="C137" s="748"/>
      <c r="D137" s="748"/>
      <c r="E137" s="748"/>
      <c r="F137" s="748"/>
      <c r="G137" s="748"/>
      <c r="H137" s="748"/>
      <c r="I137" s="748"/>
      <c r="J137" s="748"/>
      <c r="K137" s="227" t="str">
        <f>'Orç - Urbanização'!F81</f>
        <v>unidade</v>
      </c>
    </row>
    <row r="138" spans="1:11">
      <c r="A138" s="745"/>
      <c r="B138" s="745"/>
      <c r="C138" s="218"/>
      <c r="D138" s="394"/>
      <c r="E138" s="218"/>
      <c r="F138" s="218"/>
      <c r="G138" s="745"/>
      <c r="H138" s="745"/>
      <c r="I138" s="745"/>
      <c r="J138" s="745"/>
      <c r="K138" s="745"/>
    </row>
    <row r="139" spans="1:11">
      <c r="A139" s="745" t="s">
        <v>7880</v>
      </c>
      <c r="B139" s="745"/>
      <c r="C139" s="745" t="s">
        <v>9467</v>
      </c>
      <c r="D139" s="745" t="s">
        <v>9468</v>
      </c>
      <c r="E139" s="745"/>
      <c r="F139" s="745"/>
      <c r="G139" s="394"/>
      <c r="H139" s="394"/>
      <c r="I139" s="394"/>
      <c r="J139" s="394"/>
      <c r="K139" s="394"/>
    </row>
    <row r="140" spans="1:11">
      <c r="A140" s="745"/>
      <c r="B140" s="745"/>
      <c r="C140" s="745"/>
      <c r="D140" s="745"/>
      <c r="E140" s="745"/>
      <c r="F140" s="745"/>
      <c r="G140" s="394"/>
      <c r="H140" s="394"/>
      <c r="I140" s="394"/>
      <c r="J140" s="394"/>
      <c r="K140" s="394"/>
    </row>
    <row r="141" spans="1:11">
      <c r="A141" s="394"/>
      <c r="B141" s="219" t="s">
        <v>9464</v>
      </c>
      <c r="C141" s="222">
        <v>1</v>
      </c>
      <c r="D141" s="222">
        <v>0</v>
      </c>
      <c r="E141" s="225"/>
      <c r="F141" s="222"/>
      <c r="G141" s="225"/>
      <c r="H141" s="222"/>
      <c r="I141" s="222"/>
      <c r="J141" s="220"/>
      <c r="K141" s="220"/>
    </row>
    <row r="142" spans="1:11">
      <c r="A142" s="394"/>
      <c r="B142" s="219" t="s">
        <v>9465</v>
      </c>
      <c r="C142" s="222">
        <v>2</v>
      </c>
      <c r="D142" s="222">
        <v>0</v>
      </c>
      <c r="E142" s="225"/>
      <c r="F142" s="222"/>
      <c r="G142" s="225"/>
      <c r="H142" s="222"/>
      <c r="I142" s="222"/>
      <c r="J142" s="220"/>
      <c r="K142" s="220"/>
    </row>
    <row r="143" spans="1:11">
      <c r="A143" s="394"/>
      <c r="B143" s="219" t="s">
        <v>9466</v>
      </c>
      <c r="C143" s="222">
        <v>2</v>
      </c>
      <c r="D143" s="222">
        <v>0</v>
      </c>
      <c r="E143" s="225"/>
      <c r="F143" s="222"/>
      <c r="G143" s="225"/>
      <c r="H143" s="222"/>
      <c r="I143" s="222"/>
      <c r="J143" s="220"/>
      <c r="K143" s="220"/>
    </row>
    <row r="144" spans="1:11">
      <c r="B144" s="219" t="s">
        <v>9470</v>
      </c>
      <c r="C144" s="222">
        <v>1</v>
      </c>
      <c r="D144" s="222">
        <v>0</v>
      </c>
    </row>
    <row r="145" spans="1:11">
      <c r="B145" s="219" t="s">
        <v>9471</v>
      </c>
      <c r="C145" s="222">
        <v>2</v>
      </c>
      <c r="D145" s="222">
        <v>0</v>
      </c>
    </row>
    <row r="146" spans="1:11">
      <c r="A146" s="394"/>
      <c r="B146" s="219" t="s">
        <v>9472</v>
      </c>
      <c r="C146" s="222">
        <v>2</v>
      </c>
      <c r="D146" s="222">
        <v>0</v>
      </c>
      <c r="E146" s="225"/>
      <c r="F146" s="222"/>
      <c r="G146" s="225"/>
      <c r="H146" s="222"/>
      <c r="I146" s="222"/>
      <c r="J146" s="220"/>
      <c r="K146" s="220"/>
    </row>
    <row r="147" spans="1:11">
      <c r="A147" s="394"/>
      <c r="B147" s="219" t="s">
        <v>9473</v>
      </c>
      <c r="C147" s="222">
        <v>1</v>
      </c>
      <c r="D147" s="222">
        <v>0</v>
      </c>
      <c r="E147" s="394"/>
      <c r="F147" s="394"/>
      <c r="G147" s="225"/>
      <c r="H147" s="394"/>
      <c r="I147" s="394"/>
      <c r="J147" s="394"/>
      <c r="K147" s="220"/>
    </row>
    <row r="148" spans="1:11">
      <c r="A148" s="394"/>
      <c r="B148" s="219" t="s">
        <v>9474</v>
      </c>
      <c r="C148" s="222">
        <v>2</v>
      </c>
      <c r="D148" s="222">
        <v>0</v>
      </c>
      <c r="E148" s="225"/>
      <c r="F148" s="222"/>
      <c r="G148" s="225"/>
      <c r="H148" s="222"/>
      <c r="I148" s="222"/>
      <c r="J148" s="220"/>
      <c r="K148" s="220"/>
    </row>
    <row r="149" spans="1:11">
      <c r="A149" s="394"/>
      <c r="B149" s="219" t="s">
        <v>9475</v>
      </c>
      <c r="C149" s="222">
        <v>1</v>
      </c>
      <c r="D149" s="222">
        <v>0</v>
      </c>
      <c r="E149" s="394"/>
      <c r="F149" s="394"/>
      <c r="G149" s="225"/>
      <c r="H149" s="394"/>
      <c r="I149" s="394"/>
      <c r="J149" s="394"/>
      <c r="K149" s="220"/>
    </row>
    <row r="150" spans="1:11">
      <c r="A150" s="394"/>
      <c r="B150" s="219" t="s">
        <v>9482</v>
      </c>
      <c r="C150" s="222">
        <v>2</v>
      </c>
      <c r="D150" s="222">
        <v>0</v>
      </c>
      <c r="E150" s="394"/>
      <c r="F150" s="394"/>
      <c r="G150" s="225"/>
      <c r="H150" s="394"/>
      <c r="I150" s="394"/>
      <c r="J150" s="394"/>
      <c r="K150" s="220"/>
    </row>
    <row r="151" spans="1:11">
      <c r="A151" s="394"/>
      <c r="B151" s="219" t="s">
        <v>9476</v>
      </c>
      <c r="C151" s="222">
        <v>1</v>
      </c>
      <c r="D151" s="222">
        <v>0</v>
      </c>
      <c r="E151" s="394"/>
      <c r="F151" s="394"/>
      <c r="G151" s="225"/>
      <c r="H151" s="394"/>
      <c r="I151" s="394"/>
      <c r="J151" s="394"/>
      <c r="K151" s="220"/>
    </row>
    <row r="152" spans="1:11">
      <c r="A152" s="394"/>
      <c r="B152" s="219" t="s">
        <v>9477</v>
      </c>
      <c r="C152" s="222">
        <v>1</v>
      </c>
      <c r="D152" s="222">
        <v>0</v>
      </c>
      <c r="E152" s="225"/>
      <c r="F152" s="222"/>
      <c r="G152" s="225"/>
      <c r="H152" s="222"/>
      <c r="I152" s="222"/>
      <c r="J152" s="220"/>
      <c r="K152" s="220"/>
    </row>
    <row r="153" spans="1:11">
      <c r="A153" s="394"/>
      <c r="B153" s="219" t="s">
        <v>9478</v>
      </c>
      <c r="C153" s="222">
        <v>1</v>
      </c>
      <c r="D153" s="222">
        <v>0</v>
      </c>
      <c r="E153" s="394"/>
      <c r="F153" s="394"/>
      <c r="G153" s="225"/>
      <c r="H153" s="394"/>
      <c r="I153" s="394"/>
      <c r="J153" s="394"/>
      <c r="K153" s="220"/>
    </row>
    <row r="154" spans="1:11">
      <c r="A154" s="394"/>
      <c r="B154" s="219" t="s">
        <v>9479</v>
      </c>
      <c r="C154" s="222">
        <v>1</v>
      </c>
      <c r="D154" s="222">
        <v>0</v>
      </c>
      <c r="E154" s="225"/>
      <c r="F154" s="222"/>
      <c r="G154" s="225"/>
      <c r="H154" s="222"/>
      <c r="I154" s="222"/>
      <c r="J154" s="220"/>
      <c r="K154" s="220"/>
    </row>
    <row r="155" spans="1:11">
      <c r="A155" s="394"/>
      <c r="B155" s="219" t="s">
        <v>9480</v>
      </c>
      <c r="C155" s="222">
        <v>1</v>
      </c>
      <c r="D155" s="222">
        <v>0</v>
      </c>
      <c r="E155" s="394"/>
      <c r="F155" s="394"/>
      <c r="G155" s="225"/>
      <c r="H155" s="394"/>
      <c r="I155" s="394"/>
      <c r="J155" s="394"/>
      <c r="K155" s="220"/>
    </row>
    <row r="156" spans="1:11">
      <c r="A156" s="394"/>
      <c r="B156" s="219" t="s">
        <v>9481</v>
      </c>
      <c r="C156" s="222">
        <v>1</v>
      </c>
      <c r="D156" s="222">
        <v>0</v>
      </c>
      <c r="E156" s="394"/>
      <c r="F156" s="394"/>
      <c r="G156" s="225"/>
      <c r="H156" s="394"/>
      <c r="I156" s="394"/>
      <c r="J156" s="394"/>
      <c r="K156" s="220"/>
    </row>
    <row r="157" spans="1:11">
      <c r="A157" s="394"/>
      <c r="B157" s="219" t="s">
        <v>9483</v>
      </c>
      <c r="C157" s="222">
        <v>1</v>
      </c>
      <c r="D157" s="222">
        <v>0</v>
      </c>
      <c r="E157" s="394"/>
      <c r="F157" s="394"/>
      <c r="G157" s="225"/>
      <c r="H157" s="394"/>
      <c r="I157" s="394"/>
      <c r="J157" s="394"/>
      <c r="K157" s="220"/>
    </row>
    <row r="158" spans="1:11">
      <c r="A158" s="394"/>
      <c r="B158" s="219" t="s">
        <v>9484</v>
      </c>
      <c r="C158" s="222">
        <v>1</v>
      </c>
      <c r="D158" s="222">
        <v>0</v>
      </c>
      <c r="E158" s="394"/>
      <c r="F158" s="394"/>
      <c r="G158" s="225"/>
      <c r="H158" s="394"/>
      <c r="I158" s="394"/>
      <c r="J158" s="394"/>
      <c r="K158" s="220"/>
    </row>
    <row r="159" spans="1:11">
      <c r="A159" s="394"/>
      <c r="B159" s="219" t="s">
        <v>9371</v>
      </c>
      <c r="C159" s="222">
        <v>1</v>
      </c>
      <c r="D159" s="394">
        <v>1</v>
      </c>
      <c r="E159" s="394"/>
      <c r="F159" s="394"/>
      <c r="G159" s="225"/>
      <c r="H159" s="394"/>
      <c r="I159" s="394"/>
      <c r="J159" s="394"/>
      <c r="K159" s="220"/>
    </row>
    <row r="160" spans="1:11">
      <c r="A160" s="394"/>
      <c r="B160" s="219" t="s">
        <v>9372</v>
      </c>
      <c r="C160" s="222">
        <v>1</v>
      </c>
      <c r="D160" s="394">
        <v>2</v>
      </c>
      <c r="E160" s="394"/>
      <c r="F160" s="394"/>
      <c r="G160" s="225"/>
      <c r="H160" s="394"/>
      <c r="I160" s="394"/>
      <c r="J160" s="394"/>
      <c r="K160" s="220"/>
    </row>
    <row r="161" spans="1:11">
      <c r="A161" s="394"/>
      <c r="B161" s="219" t="s">
        <v>9373</v>
      </c>
      <c r="C161" s="222">
        <v>1</v>
      </c>
      <c r="D161" s="394">
        <v>2</v>
      </c>
      <c r="E161" s="225"/>
      <c r="F161" s="222"/>
      <c r="G161" s="225"/>
      <c r="H161" s="222"/>
      <c r="I161" s="222"/>
      <c r="J161" s="220"/>
      <c r="K161" s="220"/>
    </row>
    <row r="162" spans="1:11">
      <c r="A162" s="394"/>
      <c r="B162" s="219" t="s">
        <v>9374</v>
      </c>
      <c r="C162" s="222">
        <v>1</v>
      </c>
      <c r="D162" s="394">
        <v>2</v>
      </c>
      <c r="E162" s="394"/>
      <c r="F162" s="394"/>
      <c r="G162" s="225"/>
      <c r="H162" s="394"/>
      <c r="I162" s="394"/>
      <c r="J162" s="394"/>
      <c r="K162" s="220"/>
    </row>
    <row r="163" spans="1:11">
      <c r="A163" s="394"/>
      <c r="B163" s="219" t="s">
        <v>9375</v>
      </c>
      <c r="C163" s="222">
        <v>1</v>
      </c>
      <c r="D163" s="394">
        <v>2</v>
      </c>
      <c r="E163" s="394"/>
      <c r="F163" s="394"/>
      <c r="G163" s="225"/>
      <c r="H163" s="394"/>
      <c r="I163" s="394"/>
      <c r="J163" s="394"/>
      <c r="K163" s="220"/>
    </row>
    <row r="164" spans="1:11">
      <c r="A164" s="394"/>
      <c r="B164" s="219" t="s">
        <v>9376</v>
      </c>
      <c r="C164" s="222">
        <v>1</v>
      </c>
      <c r="D164" s="394">
        <v>2</v>
      </c>
      <c r="E164" s="225"/>
      <c r="F164" s="222"/>
      <c r="G164" s="225"/>
      <c r="H164" s="222"/>
      <c r="I164" s="222"/>
      <c r="J164" s="220"/>
      <c r="K164" s="220"/>
    </row>
    <row r="165" spans="1:11">
      <c r="A165" s="394"/>
      <c r="B165" s="219" t="s">
        <v>9377</v>
      </c>
      <c r="C165" s="222">
        <v>1</v>
      </c>
      <c r="D165" s="394">
        <v>2</v>
      </c>
      <c r="E165" s="394"/>
      <c r="F165" s="394"/>
      <c r="G165" s="225"/>
      <c r="H165" s="394"/>
      <c r="I165" s="394"/>
      <c r="J165" s="394"/>
      <c r="K165" s="220"/>
    </row>
    <row r="166" spans="1:11">
      <c r="A166" s="394"/>
      <c r="B166" s="219" t="s">
        <v>9378</v>
      </c>
      <c r="C166" s="222">
        <v>1</v>
      </c>
      <c r="D166" s="394">
        <v>2</v>
      </c>
      <c r="E166" s="225"/>
      <c r="F166" s="222"/>
      <c r="G166" s="225"/>
      <c r="H166" s="222"/>
      <c r="I166" s="222"/>
      <c r="J166" s="220"/>
      <c r="K166" s="220"/>
    </row>
    <row r="167" spans="1:11">
      <c r="A167" s="394"/>
      <c r="B167" s="219" t="s">
        <v>9379</v>
      </c>
      <c r="C167" s="222">
        <v>1</v>
      </c>
      <c r="D167" s="394">
        <v>2</v>
      </c>
      <c r="E167" s="394"/>
      <c r="F167" s="394"/>
      <c r="G167" s="225"/>
      <c r="H167" s="394"/>
      <c r="I167" s="394"/>
      <c r="J167" s="394"/>
      <c r="K167" s="220"/>
    </row>
    <row r="168" spans="1:11">
      <c r="A168" s="394"/>
      <c r="B168" s="219" t="s">
        <v>9380</v>
      </c>
      <c r="C168" s="222">
        <v>1</v>
      </c>
      <c r="D168" s="394">
        <v>2</v>
      </c>
      <c r="E168" s="394"/>
      <c r="F168" s="394"/>
      <c r="G168" s="225"/>
      <c r="H168" s="394"/>
      <c r="I168" s="394"/>
      <c r="J168" s="394"/>
      <c r="K168" s="220"/>
    </row>
    <row r="169" spans="1:11">
      <c r="A169" s="394"/>
      <c r="B169" s="219" t="s">
        <v>9381</v>
      </c>
      <c r="C169" s="222" t="s">
        <v>8137</v>
      </c>
      <c r="D169" s="394">
        <v>2</v>
      </c>
      <c r="E169" s="225"/>
      <c r="F169" s="222"/>
      <c r="G169" s="225"/>
      <c r="H169" s="222"/>
      <c r="I169" s="222"/>
      <c r="J169" s="220"/>
      <c r="K169" s="220"/>
    </row>
    <row r="170" spans="1:11">
      <c r="A170" s="394"/>
      <c r="B170" s="219" t="s">
        <v>9382</v>
      </c>
      <c r="C170" s="222" t="s">
        <v>8137</v>
      </c>
      <c r="D170" s="394">
        <v>1</v>
      </c>
      <c r="E170" s="394"/>
      <c r="F170" s="394"/>
      <c r="G170" s="225"/>
      <c r="H170" s="394"/>
      <c r="I170" s="394"/>
      <c r="J170" s="394"/>
      <c r="K170" s="220"/>
    </row>
    <row r="171" spans="1:11">
      <c r="A171" s="394"/>
      <c r="B171" s="392" t="s">
        <v>6271</v>
      </c>
      <c r="C171" s="401">
        <f>SUM(C141:C170)</f>
        <v>34</v>
      </c>
      <c r="D171" s="401">
        <f>SUM(D141:D170)</f>
        <v>22</v>
      </c>
      <c r="E171" s="225"/>
      <c r="F171" s="222"/>
      <c r="G171" s="225"/>
      <c r="H171" s="222"/>
      <c r="I171" s="222"/>
      <c r="J171" s="220"/>
      <c r="K171" s="220"/>
    </row>
    <row r="172" spans="1:11">
      <c r="A172" s="228"/>
      <c r="B172" s="229"/>
      <c r="C172" s="229"/>
      <c r="D172" s="228"/>
      <c r="E172" s="229"/>
      <c r="F172" s="393"/>
      <c r="G172" s="393"/>
      <c r="H172" s="393"/>
      <c r="I172" s="230"/>
      <c r="J172" s="230"/>
      <c r="K172" s="230"/>
    </row>
    <row r="173" spans="1:11" ht="22.5">
      <c r="A173" s="226" t="str">
        <f>'Orç - Urbanização'!A88</f>
        <v>05.06.102.01</v>
      </c>
      <c r="B173" s="748" t="str">
        <f>'Orç - Urbanização'!D88</f>
        <v>Escavação mecanizada de vala com profundidade até 1,5m, com retroescavadeira, largura menor que 0,8m, em solo de 1a categoria, locais com baixo nível de interferência (para bocas-de-lobo)</v>
      </c>
      <c r="C173" s="748"/>
      <c r="D173" s="748"/>
      <c r="E173" s="748"/>
      <c r="F173" s="748"/>
      <c r="G173" s="748"/>
      <c r="H173" s="748"/>
      <c r="I173" s="748"/>
      <c r="J173" s="748"/>
      <c r="K173" s="227" t="str">
        <f>'Orç - Urbanização'!F88</f>
        <v>m3</v>
      </c>
    </row>
    <row r="174" spans="1:11">
      <c r="A174" s="745"/>
      <c r="B174" s="745"/>
      <c r="C174" s="218"/>
      <c r="D174" s="394"/>
      <c r="E174" s="218"/>
      <c r="F174" s="218"/>
      <c r="G174" s="745" t="s">
        <v>7863</v>
      </c>
      <c r="H174" s="745"/>
      <c r="I174" s="745" t="s">
        <v>7864</v>
      </c>
      <c r="J174" s="745"/>
      <c r="K174" s="745"/>
    </row>
    <row r="175" spans="1:11" ht="22.5">
      <c r="A175" s="745" t="s">
        <v>7880</v>
      </c>
      <c r="B175" s="745"/>
      <c r="C175" s="745" t="s">
        <v>7865</v>
      </c>
      <c r="D175" s="745" t="s">
        <v>7866</v>
      </c>
      <c r="E175" s="745" t="s">
        <v>7867</v>
      </c>
      <c r="F175" s="745" t="s">
        <v>7868</v>
      </c>
      <c r="G175" s="390" t="s">
        <v>7869</v>
      </c>
      <c r="H175" s="390" t="s">
        <v>7870</v>
      </c>
      <c r="I175" s="390" t="s">
        <v>7871</v>
      </c>
      <c r="J175" s="390" t="s">
        <v>7869</v>
      </c>
      <c r="K175" s="390" t="s">
        <v>7870</v>
      </c>
    </row>
    <row r="176" spans="1:11">
      <c r="A176" s="745"/>
      <c r="B176" s="745"/>
      <c r="C176" s="745"/>
      <c r="D176" s="745"/>
      <c r="E176" s="745"/>
      <c r="F176" s="745"/>
      <c r="G176" s="390" t="s">
        <v>7872</v>
      </c>
      <c r="H176" s="390" t="s">
        <v>7873</v>
      </c>
      <c r="I176" s="390" t="s">
        <v>7874</v>
      </c>
      <c r="J176" s="390" t="s">
        <v>7872</v>
      </c>
      <c r="K176" s="390" t="s">
        <v>9173</v>
      </c>
    </row>
    <row r="177" spans="1:11">
      <c r="A177" s="390"/>
      <c r="B177" s="219" t="s">
        <v>9430</v>
      </c>
      <c r="C177" s="390">
        <v>18</v>
      </c>
      <c r="D177" s="394">
        <v>1.3</v>
      </c>
      <c r="E177" s="390">
        <v>0.8</v>
      </c>
      <c r="F177" s="390">
        <v>1.3</v>
      </c>
      <c r="G177" s="390"/>
      <c r="H177" s="390">
        <f>F177*E177*D177</f>
        <v>1.3520000000000001</v>
      </c>
      <c r="I177" s="390"/>
      <c r="J177" s="390"/>
      <c r="K177" s="390">
        <f>H177*C177</f>
        <v>24.336000000000002</v>
      </c>
    </row>
    <row r="178" spans="1:11">
      <c r="A178" s="228"/>
      <c r="B178" s="229"/>
      <c r="C178" s="229"/>
      <c r="D178" s="228"/>
      <c r="E178" s="229"/>
      <c r="F178" s="747" t="s">
        <v>7875</v>
      </c>
      <c r="G178" s="747"/>
      <c r="H178" s="747"/>
      <c r="I178" s="230">
        <f>ROUND(SUM(I177:I177),2)</f>
        <v>0</v>
      </c>
      <c r="J178" s="230">
        <f>ROUND(SUM(J177:J177),2)</f>
        <v>0</v>
      </c>
      <c r="K178" s="230">
        <f>ROUND(SUM(K177:K177),2)</f>
        <v>24.34</v>
      </c>
    </row>
    <row r="180" spans="1:11" ht="22.5">
      <c r="A180" s="226" t="str">
        <f>'Orç - Urbanização'!A89</f>
        <v>05.06.102.03</v>
      </c>
      <c r="B180" s="748" t="str">
        <f>'Orç - Urbanização'!D89</f>
        <v>Escoramento de vala, tipo pontaleteamento, com profundidade de 0 a 1,5m, largura menor que 1,50m, em local com nível baixo de interferência</v>
      </c>
      <c r="C180" s="748"/>
      <c r="D180" s="748"/>
      <c r="E180" s="748"/>
      <c r="F180" s="748"/>
      <c r="G180" s="748"/>
      <c r="H180" s="748"/>
      <c r="I180" s="748"/>
      <c r="J180" s="748"/>
      <c r="K180" s="227" t="str">
        <f>'Orç - Urbanização'!F89</f>
        <v>m2</v>
      </c>
    </row>
    <row r="181" spans="1:11">
      <c r="A181" s="745"/>
      <c r="B181" s="745"/>
      <c r="C181" s="218"/>
      <c r="D181" s="394"/>
      <c r="E181" s="218"/>
      <c r="F181" s="218"/>
      <c r="G181" s="745" t="s">
        <v>7863</v>
      </c>
      <c r="H181" s="745"/>
      <c r="I181" s="745" t="s">
        <v>7864</v>
      </c>
      <c r="J181" s="745"/>
      <c r="K181" s="745"/>
    </row>
    <row r="182" spans="1:11" ht="22.5">
      <c r="A182" s="745" t="s">
        <v>7880</v>
      </c>
      <c r="B182" s="745"/>
      <c r="C182" s="745" t="s">
        <v>7865</v>
      </c>
      <c r="D182" s="745" t="s">
        <v>7866</v>
      </c>
      <c r="E182" s="745" t="s">
        <v>7867</v>
      </c>
      <c r="F182" s="745" t="s">
        <v>7868</v>
      </c>
      <c r="G182" s="390" t="s">
        <v>7869</v>
      </c>
      <c r="H182" s="390" t="s">
        <v>7870</v>
      </c>
      <c r="I182" s="390" t="s">
        <v>7871</v>
      </c>
      <c r="J182" s="390" t="s">
        <v>7869</v>
      </c>
      <c r="K182" s="390" t="s">
        <v>7870</v>
      </c>
    </row>
    <row r="183" spans="1:11">
      <c r="A183" s="745"/>
      <c r="B183" s="745"/>
      <c r="C183" s="745"/>
      <c r="D183" s="745"/>
      <c r="E183" s="745"/>
      <c r="F183" s="745"/>
      <c r="G183" s="390" t="s">
        <v>7872</v>
      </c>
      <c r="H183" s="390" t="s">
        <v>7873</v>
      </c>
      <c r="I183" s="390" t="s">
        <v>7874</v>
      </c>
      <c r="J183" s="390" t="s">
        <v>7872</v>
      </c>
      <c r="K183" s="390" t="s">
        <v>9173</v>
      </c>
    </row>
    <row r="184" spans="1:11" ht="33.75">
      <c r="A184" s="390"/>
      <c r="B184" s="219" t="s">
        <v>9431</v>
      </c>
      <c r="C184" s="222">
        <v>2</v>
      </c>
      <c r="D184" s="222">
        <f>I120</f>
        <v>238.98</v>
      </c>
      <c r="E184" s="225"/>
      <c r="F184" s="231">
        <v>1.5</v>
      </c>
      <c r="G184" s="221">
        <f>F184*D184</f>
        <v>358.46999999999997</v>
      </c>
      <c r="H184" s="220"/>
      <c r="I184" s="220"/>
      <c r="J184" s="220">
        <f>G184*C184</f>
        <v>716.93999999999994</v>
      </c>
      <c r="K184" s="220"/>
    </row>
    <row r="185" spans="1:11" ht="33.75">
      <c r="A185" s="390"/>
      <c r="B185" s="219" t="s">
        <v>9432</v>
      </c>
      <c r="C185" s="222">
        <v>2</v>
      </c>
      <c r="D185" s="222">
        <f>I128</f>
        <v>247.69</v>
      </c>
      <c r="E185" s="225"/>
      <c r="F185" s="231">
        <v>1.5</v>
      </c>
      <c r="G185" s="221">
        <f>F185*D185</f>
        <v>371.53499999999997</v>
      </c>
      <c r="H185" s="220"/>
      <c r="I185" s="220"/>
      <c r="J185" s="220">
        <f>G185*C185</f>
        <v>743.06999999999994</v>
      </c>
      <c r="K185" s="220"/>
    </row>
    <row r="186" spans="1:11" ht="22.5">
      <c r="A186" s="394"/>
      <c r="B186" s="219" t="s">
        <v>9450</v>
      </c>
      <c r="C186" s="222">
        <v>2</v>
      </c>
      <c r="D186" s="222">
        <v>32.64</v>
      </c>
      <c r="E186" s="225"/>
      <c r="F186" s="231">
        <v>1.5</v>
      </c>
      <c r="G186" s="221">
        <f>F186*D186</f>
        <v>48.96</v>
      </c>
      <c r="H186" s="220"/>
      <c r="I186" s="220"/>
      <c r="J186" s="220">
        <f>G186*C186</f>
        <v>97.92</v>
      </c>
      <c r="K186" s="220"/>
    </row>
    <row r="187" spans="1:11">
      <c r="A187" s="228"/>
      <c r="B187" s="229"/>
      <c r="C187" s="229"/>
      <c r="D187" s="228"/>
      <c r="E187" s="229"/>
      <c r="F187" s="747" t="s">
        <v>7875</v>
      </c>
      <c r="G187" s="747"/>
      <c r="H187" s="747"/>
      <c r="I187" s="230"/>
      <c r="J187" s="230">
        <f>SUM(J184:J186)</f>
        <v>1557.9299999999998</v>
      </c>
      <c r="K187" s="230"/>
    </row>
    <row r="188" spans="1:11">
      <c r="A188" s="228"/>
      <c r="B188" s="229"/>
      <c r="C188" s="229"/>
      <c r="D188" s="228"/>
      <c r="E188" s="229"/>
      <c r="F188" s="391"/>
      <c r="G188" s="391"/>
      <c r="H188" s="391"/>
      <c r="I188" s="230"/>
      <c r="J188" s="230"/>
      <c r="K188" s="230"/>
    </row>
    <row r="189" spans="1:11">
      <c r="A189" s="226" t="str">
        <f>'Orç - Urbanização'!A90</f>
        <v>05.06.103</v>
      </c>
      <c r="B189" s="748" t="str">
        <f>'Orç - Urbanização'!D90</f>
        <v>Reaterro manual de valas com compactação mecanizada</v>
      </c>
      <c r="C189" s="748"/>
      <c r="D189" s="748"/>
      <c r="E189" s="748"/>
      <c r="F189" s="748"/>
      <c r="G189" s="748"/>
      <c r="H189" s="748"/>
      <c r="I189" s="748"/>
      <c r="J189" s="748"/>
      <c r="K189" s="227" t="str">
        <f>'Orç - Urbanização'!F90</f>
        <v>m3</v>
      </c>
    </row>
    <row r="190" spans="1:11">
      <c r="A190" s="745"/>
      <c r="B190" s="745"/>
      <c r="C190" s="218"/>
      <c r="D190" s="394"/>
      <c r="E190" s="218"/>
      <c r="F190" s="218"/>
      <c r="G190" s="745" t="s">
        <v>7863</v>
      </c>
      <c r="H190" s="745"/>
      <c r="I190" s="745" t="s">
        <v>7864</v>
      </c>
      <c r="J190" s="745"/>
      <c r="K190" s="745"/>
    </row>
    <row r="191" spans="1:11" ht="22.5">
      <c r="A191" s="745" t="s">
        <v>7880</v>
      </c>
      <c r="B191" s="745"/>
      <c r="C191" s="745" t="s">
        <v>7865</v>
      </c>
      <c r="D191" s="745" t="s">
        <v>7866</v>
      </c>
      <c r="E191" s="745" t="s">
        <v>7867</v>
      </c>
      <c r="F191" s="745" t="s">
        <v>7868</v>
      </c>
      <c r="G191" s="390" t="s">
        <v>7869</v>
      </c>
      <c r="H191" s="390" t="s">
        <v>7870</v>
      </c>
      <c r="I191" s="390" t="s">
        <v>7871</v>
      </c>
      <c r="J191" s="390" t="s">
        <v>7869</v>
      </c>
      <c r="K191" s="390" t="s">
        <v>7870</v>
      </c>
    </row>
    <row r="192" spans="1:11">
      <c r="A192" s="745"/>
      <c r="B192" s="745"/>
      <c r="C192" s="745"/>
      <c r="D192" s="745"/>
      <c r="E192" s="745"/>
      <c r="F192" s="745"/>
      <c r="G192" s="390" t="s">
        <v>7872</v>
      </c>
      <c r="H192" s="390" t="s">
        <v>7873</v>
      </c>
      <c r="I192" s="390" t="s">
        <v>7874</v>
      </c>
      <c r="J192" s="390" t="s">
        <v>7872</v>
      </c>
      <c r="K192" s="390" t="s">
        <v>9173</v>
      </c>
    </row>
    <row r="193" spans="1:11" ht="33.75">
      <c r="A193" s="390"/>
      <c r="B193" s="219" t="s">
        <v>9440</v>
      </c>
      <c r="C193" s="222">
        <f>I120</f>
        <v>238.98</v>
      </c>
      <c r="D193" s="222">
        <v>1</v>
      </c>
      <c r="E193" s="225">
        <v>1.3</v>
      </c>
      <c r="F193" s="222">
        <v>1.5</v>
      </c>
      <c r="G193" s="225"/>
      <c r="H193" s="222">
        <f>F193*E193*D193</f>
        <v>1.9500000000000002</v>
      </c>
      <c r="I193" s="222"/>
      <c r="J193" s="220">
        <f>G193*C193</f>
        <v>0</v>
      </c>
      <c r="K193" s="220">
        <f>H193*C193</f>
        <v>466.01100000000002</v>
      </c>
    </row>
    <row r="194" spans="1:11">
      <c r="A194" s="390"/>
      <c r="B194" s="219" t="s">
        <v>9441</v>
      </c>
      <c r="C194" s="222">
        <f>-I120</f>
        <v>-238.98</v>
      </c>
      <c r="D194" s="222">
        <v>1</v>
      </c>
      <c r="E194" s="225"/>
      <c r="F194" s="222"/>
      <c r="G194" s="225">
        <f>PI()*0.2*0.2</f>
        <v>0.12566370614359174</v>
      </c>
      <c r="H194" s="222"/>
      <c r="I194" s="222"/>
      <c r="J194" s="220"/>
      <c r="K194" s="220">
        <f>G194*C194</f>
        <v>-30.031112494195551</v>
      </c>
    </row>
    <row r="195" spans="1:11" ht="33.75">
      <c r="A195" s="390"/>
      <c r="B195" s="219" t="s">
        <v>9439</v>
      </c>
      <c r="C195" s="222">
        <f>I128</f>
        <v>247.69</v>
      </c>
      <c r="D195" s="222">
        <v>1</v>
      </c>
      <c r="E195" s="225">
        <v>1.3</v>
      </c>
      <c r="F195" s="222">
        <v>1.5</v>
      </c>
      <c r="G195" s="225"/>
      <c r="H195" s="222">
        <f>F195*E195*D195</f>
        <v>1.9500000000000002</v>
      </c>
      <c r="I195" s="222"/>
      <c r="J195" s="220">
        <f>G195*C195</f>
        <v>0</v>
      </c>
      <c r="K195" s="220">
        <f>H195*C195</f>
        <v>482.99550000000005</v>
      </c>
    </row>
    <row r="196" spans="1:11">
      <c r="A196" s="390"/>
      <c r="B196" s="219" t="s">
        <v>9442</v>
      </c>
      <c r="C196" s="222">
        <f>-I128</f>
        <v>-247.69</v>
      </c>
      <c r="D196" s="394">
        <v>1</v>
      </c>
      <c r="E196" s="394"/>
      <c r="F196" s="394"/>
      <c r="G196" s="225">
        <f>PI()*0.3*0.3</f>
        <v>0.28274333882308139</v>
      </c>
      <c r="H196" s="394"/>
      <c r="I196" s="394"/>
      <c r="J196" s="390"/>
      <c r="K196" s="220">
        <f>G196*C196</f>
        <v>-70.032697593089026</v>
      </c>
    </row>
    <row r="197" spans="1:11">
      <c r="A197" s="390"/>
      <c r="B197" s="219" t="s">
        <v>9448</v>
      </c>
      <c r="C197" s="222">
        <f>C196+C194</f>
        <v>-486.66999999999996</v>
      </c>
      <c r="D197" s="394">
        <v>1</v>
      </c>
      <c r="E197" s="394">
        <v>1.3</v>
      </c>
      <c r="F197" s="394">
        <v>0.15</v>
      </c>
      <c r="G197" s="225"/>
      <c r="H197" s="394">
        <f>F197*E197</f>
        <v>0.19500000000000001</v>
      </c>
      <c r="I197" s="394"/>
      <c r="J197" s="390"/>
      <c r="K197" s="220">
        <f>H197*C197</f>
        <v>-94.900649999999999</v>
      </c>
    </row>
    <row r="198" spans="1:11" ht="33.75">
      <c r="A198" s="394"/>
      <c r="B198" s="219" t="s">
        <v>9451</v>
      </c>
      <c r="C198" s="222">
        <v>32.64</v>
      </c>
      <c r="D198" s="222">
        <v>1</v>
      </c>
      <c r="E198" s="225">
        <v>1.3</v>
      </c>
      <c r="F198" s="222">
        <v>1.5</v>
      </c>
      <c r="G198" s="225"/>
      <c r="H198" s="222">
        <f>F198*E198*D198</f>
        <v>1.9500000000000002</v>
      </c>
      <c r="I198" s="222"/>
      <c r="J198" s="220">
        <f>G198*C198</f>
        <v>0</v>
      </c>
      <c r="K198" s="220">
        <f>H198*C198</f>
        <v>63.64800000000001</v>
      </c>
    </row>
    <row r="199" spans="1:11">
      <c r="A199" s="394"/>
      <c r="B199" s="219" t="s">
        <v>9452</v>
      </c>
      <c r="C199" s="222">
        <v>-32.64</v>
      </c>
      <c r="D199" s="394">
        <v>1</v>
      </c>
      <c r="E199" s="394"/>
      <c r="F199" s="394"/>
      <c r="G199" s="225">
        <f>PI()*0.315*0.315</f>
        <v>0.31172453105244718</v>
      </c>
      <c r="H199" s="394"/>
      <c r="I199" s="394"/>
      <c r="J199" s="394"/>
      <c r="K199" s="220">
        <f>G199*C199</f>
        <v>-10.174688693551877</v>
      </c>
    </row>
    <row r="200" spans="1:11">
      <c r="A200" s="228"/>
      <c r="B200" s="229"/>
      <c r="C200" s="229"/>
      <c r="D200" s="228"/>
      <c r="E200" s="229"/>
      <c r="F200" s="747" t="s">
        <v>7875</v>
      </c>
      <c r="G200" s="747"/>
      <c r="H200" s="747"/>
      <c r="I200" s="230"/>
      <c r="J200" s="230"/>
      <c r="K200" s="230">
        <f>SUM(K193:K199)</f>
        <v>807.51535121916368</v>
      </c>
    </row>
    <row r="201" spans="1:11">
      <c r="A201" s="228"/>
      <c r="B201" s="229"/>
      <c r="C201" s="229"/>
      <c r="D201" s="228"/>
      <c r="E201" s="229"/>
      <c r="F201" s="391"/>
      <c r="G201" s="391"/>
      <c r="H201" s="391"/>
      <c r="I201" s="230"/>
      <c r="J201" s="230"/>
      <c r="K201" s="230"/>
    </row>
    <row r="202" spans="1:11" ht="22.5">
      <c r="A202" s="226" t="str">
        <f>'Orç - Urbanização'!A92</f>
        <v>05.06.201.01</v>
      </c>
      <c r="B202" s="748" t="str">
        <f>'Orç - Urbanização'!D92</f>
        <v>Lastro de concreto magro, espessura 15 cm, para assentamento de tubos de concreto para drenagem</v>
      </c>
      <c r="C202" s="748"/>
      <c r="D202" s="748"/>
      <c r="E202" s="748"/>
      <c r="F202" s="748"/>
      <c r="G202" s="748"/>
      <c r="H202" s="748"/>
      <c r="I202" s="748"/>
      <c r="J202" s="748"/>
      <c r="K202" s="227" t="str">
        <f>'Orç - Urbanização'!F92</f>
        <v>m3</v>
      </c>
    </row>
    <row r="203" spans="1:11">
      <c r="A203" s="745"/>
      <c r="B203" s="745"/>
      <c r="C203" s="218"/>
      <c r="D203" s="394"/>
      <c r="E203" s="218"/>
      <c r="F203" s="218"/>
      <c r="G203" s="745" t="s">
        <v>7863</v>
      </c>
      <c r="H203" s="745"/>
      <c r="I203" s="745" t="s">
        <v>7864</v>
      </c>
      <c r="J203" s="745"/>
      <c r="K203" s="745"/>
    </row>
    <row r="204" spans="1:11" ht="22.5">
      <c r="A204" s="745" t="s">
        <v>7880</v>
      </c>
      <c r="B204" s="745"/>
      <c r="C204" s="745" t="s">
        <v>7865</v>
      </c>
      <c r="D204" s="745" t="s">
        <v>7866</v>
      </c>
      <c r="E204" s="745" t="s">
        <v>7867</v>
      </c>
      <c r="F204" s="745" t="s">
        <v>7868</v>
      </c>
      <c r="G204" s="390" t="s">
        <v>7869</v>
      </c>
      <c r="H204" s="390" t="s">
        <v>7870</v>
      </c>
      <c r="I204" s="390" t="s">
        <v>7871</v>
      </c>
      <c r="J204" s="390" t="s">
        <v>7869</v>
      </c>
      <c r="K204" s="390" t="s">
        <v>7870</v>
      </c>
    </row>
    <row r="205" spans="1:11">
      <c r="A205" s="745"/>
      <c r="B205" s="745"/>
      <c r="C205" s="745"/>
      <c r="D205" s="745"/>
      <c r="E205" s="745"/>
      <c r="F205" s="745"/>
      <c r="G205" s="390" t="s">
        <v>7872</v>
      </c>
      <c r="H205" s="390" t="s">
        <v>7873</v>
      </c>
      <c r="I205" s="390" t="s">
        <v>7874</v>
      </c>
      <c r="J205" s="390" t="s">
        <v>7872</v>
      </c>
      <c r="K205" s="390" t="s">
        <v>9173</v>
      </c>
    </row>
    <row r="206" spans="1:11" ht="33.75">
      <c r="A206" s="390"/>
      <c r="B206" s="219" t="s">
        <v>9431</v>
      </c>
      <c r="C206" s="222">
        <v>0.15</v>
      </c>
      <c r="D206" s="222">
        <f>I120</f>
        <v>238.98</v>
      </c>
      <c r="E206" s="225">
        <v>1.3</v>
      </c>
      <c r="F206" s="231"/>
      <c r="G206" s="221"/>
      <c r="H206" s="220">
        <f>E206*C206</f>
        <v>0.19500000000000001</v>
      </c>
      <c r="I206" s="220"/>
      <c r="J206" s="220"/>
      <c r="K206" s="220">
        <f>H206*D206</f>
        <v>46.601100000000002</v>
      </c>
    </row>
    <row r="207" spans="1:11" ht="33.75">
      <c r="A207" s="390"/>
      <c r="B207" s="219" t="s">
        <v>9432</v>
      </c>
      <c r="C207" s="222">
        <v>0.15</v>
      </c>
      <c r="D207" s="222">
        <f>I128</f>
        <v>247.69</v>
      </c>
      <c r="E207" s="225">
        <v>1.3</v>
      </c>
      <c r="F207" s="231"/>
      <c r="G207" s="221"/>
      <c r="H207" s="220">
        <f>E207*C207</f>
        <v>0.19500000000000001</v>
      </c>
      <c r="I207" s="220"/>
      <c r="J207" s="220"/>
      <c r="K207" s="220">
        <f>H207*D207</f>
        <v>48.299550000000004</v>
      </c>
    </row>
    <row r="208" spans="1:11">
      <c r="A208" s="228"/>
      <c r="B208" s="229"/>
      <c r="C208" s="229"/>
      <c r="D208" s="228"/>
      <c r="E208" s="229"/>
      <c r="F208" s="747" t="s">
        <v>7875</v>
      </c>
      <c r="G208" s="747"/>
      <c r="H208" s="747"/>
      <c r="I208" s="230"/>
      <c r="J208" s="230"/>
      <c r="K208" s="230">
        <f>SUM(K206:K207)</f>
        <v>94.900650000000013</v>
      </c>
    </row>
    <row r="209" spans="1:11">
      <c r="A209" s="228"/>
      <c r="B209" s="229"/>
      <c r="C209" s="229"/>
      <c r="D209" s="228"/>
      <c r="E209" s="229"/>
      <c r="F209" s="391"/>
      <c r="G209" s="391"/>
      <c r="H209" s="391"/>
      <c r="I209" s="230"/>
      <c r="J209" s="230"/>
      <c r="K209" s="230"/>
    </row>
    <row r="210" spans="1:11" ht="26.25" customHeight="1">
      <c r="A210" s="226" t="str">
        <f>'Orç - Urbanização'!A94</f>
        <v>05.06.202</v>
      </c>
      <c r="B210" s="748" t="str">
        <f>'Orç - Urbanização'!D94</f>
        <v>Lastro de vala com preparo de fundo, largura menor que 1,5m, com camada de brita (10cm), lançamento mecanizado, em local com nível baixo de interferência</v>
      </c>
      <c r="C210" s="748"/>
      <c r="D210" s="748"/>
      <c r="E210" s="748"/>
      <c r="F210" s="748"/>
      <c r="G210" s="748"/>
      <c r="H210" s="748"/>
      <c r="I210" s="748"/>
      <c r="J210" s="748"/>
      <c r="K210" s="227" t="str">
        <f>'Orç - Urbanização'!F90</f>
        <v>m3</v>
      </c>
    </row>
    <row r="211" spans="1:11">
      <c r="A211" s="745"/>
      <c r="B211" s="745"/>
      <c r="C211" s="218"/>
      <c r="D211" s="394"/>
      <c r="E211" s="218"/>
      <c r="F211" s="218"/>
      <c r="G211" s="745" t="s">
        <v>7863</v>
      </c>
      <c r="H211" s="745"/>
      <c r="I211" s="745" t="s">
        <v>7864</v>
      </c>
      <c r="J211" s="745"/>
      <c r="K211" s="745"/>
    </row>
    <row r="212" spans="1:11" ht="22.5">
      <c r="A212" s="745" t="s">
        <v>7880</v>
      </c>
      <c r="B212" s="745"/>
      <c r="C212" s="745" t="s">
        <v>7865</v>
      </c>
      <c r="D212" s="745" t="s">
        <v>7866</v>
      </c>
      <c r="E212" s="745" t="s">
        <v>7867</v>
      </c>
      <c r="F212" s="745" t="s">
        <v>7868</v>
      </c>
      <c r="G212" s="390" t="s">
        <v>7869</v>
      </c>
      <c r="H212" s="390" t="s">
        <v>7870</v>
      </c>
      <c r="I212" s="390" t="s">
        <v>7871</v>
      </c>
      <c r="J212" s="390" t="s">
        <v>7869</v>
      </c>
      <c r="K212" s="390" t="s">
        <v>7870</v>
      </c>
    </row>
    <row r="213" spans="1:11">
      <c r="A213" s="745"/>
      <c r="B213" s="745"/>
      <c r="C213" s="745"/>
      <c r="D213" s="745"/>
      <c r="E213" s="745"/>
      <c r="F213" s="745"/>
      <c r="G213" s="390" t="s">
        <v>7872</v>
      </c>
      <c r="H213" s="390" t="s">
        <v>7873</v>
      </c>
      <c r="I213" s="390" t="s">
        <v>7874</v>
      </c>
      <c r="J213" s="390" t="s">
        <v>7872</v>
      </c>
      <c r="K213" s="390" t="s">
        <v>9173</v>
      </c>
    </row>
    <row r="214" spans="1:11" ht="33.75">
      <c r="A214" s="390"/>
      <c r="B214" s="219" t="s">
        <v>9431</v>
      </c>
      <c r="C214" s="222">
        <v>0.1</v>
      </c>
      <c r="D214" s="222">
        <f>I120</f>
        <v>238.98</v>
      </c>
      <c r="E214" s="225">
        <v>1.3</v>
      </c>
      <c r="F214" s="231"/>
      <c r="G214" s="221">
        <f>E214*D214</f>
        <v>310.67399999999998</v>
      </c>
      <c r="H214" s="220"/>
      <c r="I214" s="220"/>
      <c r="J214" s="220"/>
      <c r="K214" s="220">
        <f>C214*G214</f>
        <v>31.067399999999999</v>
      </c>
    </row>
    <row r="215" spans="1:11" ht="33.75">
      <c r="A215" s="390"/>
      <c r="B215" s="219" t="s">
        <v>9432</v>
      </c>
      <c r="C215" s="222">
        <v>0.1</v>
      </c>
      <c r="D215" s="222">
        <f>I128</f>
        <v>247.69</v>
      </c>
      <c r="E215" s="225">
        <v>1.3</v>
      </c>
      <c r="F215" s="231"/>
      <c r="G215" s="221">
        <f>E215*D215</f>
        <v>321.99700000000001</v>
      </c>
      <c r="H215" s="220"/>
      <c r="I215" s="220"/>
      <c r="J215" s="220"/>
      <c r="K215" s="220">
        <f>C215*G215</f>
        <v>32.1997</v>
      </c>
    </row>
    <row r="216" spans="1:11" ht="22.5">
      <c r="A216" s="390"/>
      <c r="B216" s="219" t="s">
        <v>9450</v>
      </c>
      <c r="C216" s="222">
        <v>0.1</v>
      </c>
      <c r="D216" s="222">
        <v>32.64</v>
      </c>
      <c r="E216" s="225">
        <v>1.3</v>
      </c>
      <c r="F216" s="231"/>
      <c r="G216" s="221">
        <f>E216*D216</f>
        <v>42.432000000000002</v>
      </c>
      <c r="H216" s="390"/>
      <c r="I216" s="390"/>
      <c r="J216" s="390"/>
      <c r="K216" s="220">
        <f>C216*G216</f>
        <v>4.2432000000000007</v>
      </c>
    </row>
    <row r="217" spans="1:11">
      <c r="A217" s="228"/>
      <c r="B217" s="229"/>
      <c r="C217" s="229"/>
      <c r="D217" s="228"/>
      <c r="E217" s="229"/>
      <c r="F217" s="747" t="s">
        <v>7875</v>
      </c>
      <c r="G217" s="747"/>
      <c r="H217" s="747"/>
      <c r="I217" s="230"/>
      <c r="J217" s="230"/>
      <c r="K217" s="230">
        <f>ROUND(SUM(K214:K216),2)</f>
        <v>67.510000000000005</v>
      </c>
    </row>
    <row r="218" spans="1:11">
      <c r="A218" s="228"/>
      <c r="B218" s="229"/>
      <c r="C218" s="229"/>
      <c r="D218" s="228"/>
      <c r="E218" s="229"/>
      <c r="F218" s="391"/>
      <c r="G218" s="391"/>
      <c r="H218" s="391"/>
      <c r="I218" s="230"/>
      <c r="J218" s="230"/>
      <c r="K218" s="230"/>
    </row>
    <row r="219" spans="1:11" ht="22.5">
      <c r="A219" s="226" t="str">
        <f>'Orç - Urbanização'!A96</f>
        <v>05.06.401.01</v>
      </c>
      <c r="B219" s="748" t="str">
        <f>'Orç - Urbanização'!D96</f>
        <v>Poço de visita circular para drenagem, em concreto pré-moldado, diâmetro interno = 1m, profundidade até 1,50m, excluindo tampão (inclui escavação)</v>
      </c>
      <c r="C219" s="748"/>
      <c r="D219" s="748"/>
      <c r="E219" s="748"/>
      <c r="F219" s="748"/>
      <c r="G219" s="748"/>
      <c r="H219" s="748"/>
      <c r="I219" s="748"/>
      <c r="J219" s="748"/>
      <c r="K219" s="227" t="str">
        <f>'Orç - Urbanização'!F96</f>
        <v>unidade</v>
      </c>
    </row>
    <row r="220" spans="1:11">
      <c r="A220" s="745"/>
      <c r="B220" s="745"/>
      <c r="C220" s="218"/>
      <c r="D220" s="394"/>
      <c r="E220" s="218"/>
      <c r="F220" s="218"/>
      <c r="G220" s="745"/>
      <c r="H220" s="745"/>
      <c r="I220" s="745"/>
      <c r="J220" s="745"/>
      <c r="K220" s="745"/>
    </row>
    <row r="221" spans="1:11">
      <c r="A221" s="745" t="s">
        <v>7880</v>
      </c>
      <c r="B221" s="745"/>
      <c r="C221" s="745" t="s">
        <v>7865</v>
      </c>
      <c r="D221" s="745" t="s">
        <v>7866</v>
      </c>
      <c r="E221" s="745" t="s">
        <v>7867</v>
      </c>
      <c r="F221" s="745" t="s">
        <v>7868</v>
      </c>
      <c r="G221" s="389"/>
      <c r="H221" s="389"/>
      <c r="I221" s="389"/>
      <c r="J221" s="389"/>
      <c r="K221" s="389"/>
    </row>
    <row r="222" spans="1:11">
      <c r="A222" s="745"/>
      <c r="B222" s="745"/>
      <c r="C222" s="745"/>
      <c r="D222" s="745"/>
      <c r="E222" s="745"/>
      <c r="F222" s="745"/>
      <c r="G222" s="389"/>
      <c r="H222" s="389"/>
      <c r="I222" s="389"/>
      <c r="J222" s="389"/>
      <c r="K222" s="389"/>
    </row>
    <row r="223" spans="1:11">
      <c r="A223" s="389"/>
      <c r="B223" s="219" t="s">
        <v>9371</v>
      </c>
      <c r="C223" s="389">
        <v>1</v>
      </c>
      <c r="D223" s="394"/>
      <c r="E223" s="389"/>
      <c r="F223" s="389">
        <v>1.35</v>
      </c>
      <c r="G223" s="389"/>
      <c r="H223" s="389"/>
      <c r="I223" s="389"/>
      <c r="J223" s="389"/>
      <c r="K223" s="389"/>
    </row>
    <row r="224" spans="1:11">
      <c r="A224" s="389"/>
      <c r="B224" s="219" t="s">
        <v>9372</v>
      </c>
      <c r="C224" s="389">
        <v>1</v>
      </c>
      <c r="D224" s="394"/>
      <c r="E224" s="389"/>
      <c r="F224" s="389">
        <v>1.35</v>
      </c>
      <c r="G224" s="389"/>
      <c r="H224" s="389"/>
      <c r="I224" s="389"/>
      <c r="J224" s="389"/>
      <c r="K224" s="389"/>
    </row>
    <row r="225" spans="1:11">
      <c r="A225" s="389"/>
      <c r="B225" s="219" t="s">
        <v>9373</v>
      </c>
      <c r="C225" s="389">
        <v>1</v>
      </c>
      <c r="D225" s="394"/>
      <c r="E225" s="389"/>
      <c r="F225" s="389">
        <v>1.35</v>
      </c>
      <c r="G225" s="389"/>
      <c r="H225" s="389"/>
      <c r="I225" s="389"/>
      <c r="J225" s="389"/>
      <c r="K225" s="389"/>
    </row>
    <row r="226" spans="1:11">
      <c r="A226" s="389"/>
      <c r="B226" s="219" t="s">
        <v>9374</v>
      </c>
      <c r="C226" s="389">
        <v>1</v>
      </c>
      <c r="D226" s="394"/>
      <c r="E226" s="389"/>
      <c r="F226" s="389">
        <v>1.35</v>
      </c>
      <c r="G226" s="389"/>
      <c r="H226" s="389"/>
      <c r="I226" s="389"/>
      <c r="J226" s="389"/>
      <c r="K226" s="389"/>
    </row>
    <row r="227" spans="1:11">
      <c r="A227" s="228"/>
      <c r="B227" s="229" t="s">
        <v>6271</v>
      </c>
      <c r="C227" s="229">
        <f>SUM(C223:C226)</f>
        <v>4</v>
      </c>
      <c r="D227" s="228"/>
      <c r="E227" s="229"/>
      <c r="F227" s="392"/>
      <c r="G227" s="392"/>
      <c r="H227" s="392"/>
      <c r="I227" s="230"/>
      <c r="J227" s="230"/>
      <c r="K227" s="230"/>
    </row>
    <row r="229" spans="1:11" ht="22.5">
      <c r="A229" s="226" t="str">
        <f>'Orç - Urbanização'!A97</f>
        <v>05.06.401.02</v>
      </c>
      <c r="B229" s="748" t="str">
        <f>'Orç - Urbanização'!D97</f>
        <v>Poço de visita circular para drenagem, em concreto pré-moldado, diâmetro interno = 1m, profundidade 1,50m até 2,00m, excluindo tampão (inclui escavação)</v>
      </c>
      <c r="C229" s="748"/>
      <c r="D229" s="748"/>
      <c r="E229" s="748"/>
      <c r="F229" s="748"/>
      <c r="G229" s="748"/>
      <c r="H229" s="748"/>
      <c r="I229" s="748"/>
      <c r="J229" s="748"/>
      <c r="K229" s="227" t="str">
        <f>'Orç - Urbanização'!F97</f>
        <v>unidade</v>
      </c>
    </row>
    <row r="230" spans="1:11">
      <c r="A230" s="745"/>
      <c r="B230" s="745"/>
      <c r="C230" s="218"/>
      <c r="D230" s="394"/>
      <c r="E230" s="218"/>
      <c r="F230" s="218"/>
      <c r="G230" s="745"/>
      <c r="H230" s="745"/>
      <c r="I230" s="745"/>
      <c r="J230" s="745"/>
      <c r="K230" s="745"/>
    </row>
    <row r="231" spans="1:11">
      <c r="A231" s="745" t="s">
        <v>7880</v>
      </c>
      <c r="B231" s="745"/>
      <c r="C231" s="745" t="s">
        <v>7865</v>
      </c>
      <c r="D231" s="745" t="s">
        <v>7866</v>
      </c>
      <c r="E231" s="745" t="s">
        <v>7867</v>
      </c>
      <c r="F231" s="745" t="s">
        <v>7868</v>
      </c>
      <c r="G231" s="389"/>
      <c r="H231" s="389"/>
      <c r="I231" s="389"/>
      <c r="J231" s="389"/>
      <c r="K231" s="389"/>
    </row>
    <row r="232" spans="1:11">
      <c r="A232" s="745"/>
      <c r="B232" s="745"/>
      <c r="C232" s="745"/>
      <c r="D232" s="745"/>
      <c r="E232" s="745"/>
      <c r="F232" s="745"/>
      <c r="G232" s="389"/>
      <c r="H232" s="389"/>
      <c r="I232" s="389"/>
      <c r="J232" s="389"/>
      <c r="K232" s="389"/>
    </row>
    <row r="233" spans="1:11">
      <c r="A233" s="389"/>
      <c r="B233" s="219" t="s">
        <v>9375</v>
      </c>
      <c r="C233" s="389">
        <v>1</v>
      </c>
      <c r="D233" s="394"/>
      <c r="E233" s="389"/>
      <c r="F233" s="389">
        <v>1.99</v>
      </c>
      <c r="G233" s="389"/>
      <c r="H233" s="389"/>
      <c r="I233" s="389"/>
      <c r="J233" s="389"/>
      <c r="K233" s="389"/>
    </row>
    <row r="234" spans="1:11">
      <c r="A234" s="389"/>
      <c r="B234" s="219" t="s">
        <v>9376</v>
      </c>
      <c r="C234" s="389">
        <v>1</v>
      </c>
      <c r="D234" s="394"/>
      <c r="E234" s="389"/>
      <c r="F234" s="389">
        <v>2.06</v>
      </c>
      <c r="G234" s="389"/>
      <c r="H234" s="389"/>
      <c r="I234" s="389"/>
      <c r="J234" s="389"/>
      <c r="K234" s="389"/>
    </row>
    <row r="235" spans="1:11">
      <c r="A235" s="389"/>
      <c r="B235" s="219" t="s">
        <v>9377</v>
      </c>
      <c r="C235" s="389">
        <v>1</v>
      </c>
      <c r="D235" s="394"/>
      <c r="E235" s="389"/>
      <c r="F235" s="389">
        <v>1.91</v>
      </c>
      <c r="G235" s="389"/>
      <c r="H235" s="389"/>
      <c r="I235" s="389"/>
      <c r="J235" s="389"/>
      <c r="K235" s="389"/>
    </row>
    <row r="236" spans="1:11">
      <c r="A236" s="389"/>
      <c r="B236" s="219" t="s">
        <v>9378</v>
      </c>
      <c r="C236" s="389">
        <v>1</v>
      </c>
      <c r="D236" s="394"/>
      <c r="E236" s="389"/>
      <c r="F236" s="389">
        <v>1.69</v>
      </c>
      <c r="G236" s="389"/>
      <c r="H236" s="389"/>
      <c r="I236" s="389"/>
      <c r="J236" s="389"/>
      <c r="K236" s="389"/>
    </row>
    <row r="237" spans="1:11">
      <c r="A237" s="389"/>
      <c r="B237" s="219" t="s">
        <v>9379</v>
      </c>
      <c r="C237" s="389">
        <v>1</v>
      </c>
      <c r="D237" s="394"/>
      <c r="E237" s="389"/>
      <c r="F237" s="389">
        <v>1.71</v>
      </c>
      <c r="G237" s="389"/>
      <c r="H237" s="389"/>
      <c r="I237" s="389"/>
      <c r="J237" s="389"/>
      <c r="K237" s="389"/>
    </row>
    <row r="238" spans="1:11">
      <c r="A238" s="389"/>
      <c r="B238" s="219" t="s">
        <v>9380</v>
      </c>
      <c r="C238" s="389">
        <v>1</v>
      </c>
      <c r="D238" s="394"/>
      <c r="E238" s="389"/>
      <c r="F238" s="389">
        <v>1.57</v>
      </c>
      <c r="G238" s="389"/>
      <c r="H238" s="389"/>
      <c r="I238" s="389"/>
      <c r="J238" s="389"/>
      <c r="K238" s="389"/>
    </row>
    <row r="239" spans="1:11">
      <c r="A239" s="389"/>
      <c r="B239" s="219" t="s">
        <v>9381</v>
      </c>
      <c r="C239" s="389">
        <v>1</v>
      </c>
      <c r="D239" s="394"/>
      <c r="E239" s="389"/>
      <c r="F239" s="389">
        <v>4.8</v>
      </c>
      <c r="G239" s="389"/>
      <c r="H239" s="389"/>
      <c r="I239" s="389"/>
      <c r="J239" s="389"/>
      <c r="K239" s="389"/>
    </row>
    <row r="240" spans="1:11">
      <c r="A240" s="389"/>
      <c r="B240" s="219" t="s">
        <v>9382</v>
      </c>
      <c r="C240" s="389">
        <v>1</v>
      </c>
      <c r="D240" s="394"/>
      <c r="E240" s="389"/>
      <c r="F240" s="389">
        <v>1.53</v>
      </c>
      <c r="G240" s="389"/>
      <c r="H240" s="389"/>
      <c r="I240" s="389"/>
      <c r="J240" s="389"/>
      <c r="K240" s="389"/>
    </row>
    <row r="241" spans="1:11">
      <c r="A241" s="228"/>
      <c r="B241" s="229" t="s">
        <v>6271</v>
      </c>
      <c r="C241" s="229">
        <f>SUM(C233:C240)</f>
        <v>8</v>
      </c>
      <c r="D241" s="228"/>
      <c r="E241" s="229"/>
      <c r="F241" s="392"/>
      <c r="G241" s="392"/>
      <c r="H241" s="392"/>
      <c r="I241" s="230"/>
      <c r="J241" s="230"/>
      <c r="K241" s="230"/>
    </row>
    <row r="243" spans="1:11" ht="23.25" customHeight="1">
      <c r="A243" s="226" t="str">
        <f>'Orç - Urbanização'!A104</f>
        <v>05.06.901</v>
      </c>
      <c r="B243" s="748" t="str">
        <f>'Orç - Urbanização'!D104</f>
        <v>Escavação mecanizada de vala com profundidade maior que 1,5m até 3,0m, com escavadeira hidráulica, larg. 1,5m a 2,0m, em solo de 1a categoria, locais com baixo nível de interferência</v>
      </c>
      <c r="C243" s="748"/>
      <c r="D243" s="748"/>
      <c r="E243" s="748"/>
      <c r="F243" s="748"/>
      <c r="G243" s="748"/>
      <c r="H243" s="748"/>
      <c r="I243" s="748"/>
      <c r="J243" s="748"/>
      <c r="K243" s="227" t="str">
        <f>'Orç - Urbanização'!F104</f>
        <v>m3</v>
      </c>
    </row>
    <row r="244" spans="1:11">
      <c r="A244" s="745"/>
      <c r="B244" s="745"/>
      <c r="C244" s="218"/>
      <c r="D244" s="403"/>
      <c r="E244" s="218"/>
      <c r="F244" s="218"/>
      <c r="G244" s="745" t="s">
        <v>7863</v>
      </c>
      <c r="H244" s="745"/>
      <c r="I244" s="745" t="s">
        <v>7864</v>
      </c>
      <c r="J244" s="745"/>
      <c r="K244" s="745"/>
    </row>
    <row r="245" spans="1:11" ht="22.5">
      <c r="A245" s="745" t="s">
        <v>7880</v>
      </c>
      <c r="B245" s="745"/>
      <c r="C245" s="745" t="s">
        <v>7865</v>
      </c>
      <c r="D245" s="745" t="s">
        <v>7866</v>
      </c>
      <c r="E245" s="745" t="s">
        <v>7867</v>
      </c>
      <c r="F245" s="745" t="s">
        <v>7868</v>
      </c>
      <c r="G245" s="403" t="s">
        <v>7869</v>
      </c>
      <c r="H245" s="403" t="s">
        <v>7870</v>
      </c>
      <c r="I245" s="403" t="s">
        <v>7871</v>
      </c>
      <c r="J245" s="403" t="s">
        <v>7869</v>
      </c>
      <c r="K245" s="403" t="s">
        <v>7870</v>
      </c>
    </row>
    <row r="246" spans="1:11">
      <c r="A246" s="745"/>
      <c r="B246" s="745"/>
      <c r="C246" s="745"/>
      <c r="D246" s="745"/>
      <c r="E246" s="745"/>
      <c r="F246" s="745"/>
      <c r="G246" s="403" t="s">
        <v>7872</v>
      </c>
      <c r="H246" s="403" t="s">
        <v>7873</v>
      </c>
      <c r="I246" s="403" t="s">
        <v>7874</v>
      </c>
      <c r="J246" s="403" t="s">
        <v>7872</v>
      </c>
      <c r="K246" s="403" t="s">
        <v>9173</v>
      </c>
    </row>
    <row r="247" spans="1:11">
      <c r="A247" s="403"/>
      <c r="B247" s="219" t="s">
        <v>9509</v>
      </c>
      <c r="C247" s="403">
        <v>1</v>
      </c>
      <c r="D247" s="403">
        <v>3.3</v>
      </c>
      <c r="E247" s="403">
        <v>1.4</v>
      </c>
      <c r="F247" s="403">
        <v>2.9</v>
      </c>
      <c r="G247" s="403"/>
      <c r="H247" s="403">
        <f>F247*E247*D247</f>
        <v>13.397999999999998</v>
      </c>
      <c r="I247" s="403"/>
      <c r="J247" s="403"/>
      <c r="K247" s="403">
        <f>H247*C247</f>
        <v>13.397999999999998</v>
      </c>
    </row>
    <row r="248" spans="1:11">
      <c r="A248" s="403"/>
      <c r="B248" s="219" t="s">
        <v>9508</v>
      </c>
      <c r="C248" s="403">
        <v>1</v>
      </c>
      <c r="D248" s="403">
        <v>22</v>
      </c>
      <c r="E248" s="403">
        <v>4.3</v>
      </c>
      <c r="F248" s="403">
        <v>2.2400000000000002</v>
      </c>
      <c r="G248" s="403"/>
      <c r="H248" s="403">
        <f>F248*E248*D248</f>
        <v>211.904</v>
      </c>
      <c r="I248" s="403"/>
      <c r="J248" s="403"/>
      <c r="K248" s="403">
        <f>H248*C248</f>
        <v>211.904</v>
      </c>
    </row>
    <row r="249" spans="1:11">
      <c r="A249" s="228"/>
      <c r="B249" s="229"/>
      <c r="C249" s="229"/>
      <c r="D249" s="228"/>
      <c r="E249" s="229"/>
      <c r="F249" s="747" t="s">
        <v>7875</v>
      </c>
      <c r="G249" s="747"/>
      <c r="H249" s="747"/>
      <c r="I249" s="230">
        <f>ROUND(SUM(I247:I247),2)</f>
        <v>0</v>
      </c>
      <c r="J249" s="230">
        <f t="shared" ref="J249" si="9">ROUND(SUM(J247:J247),2)</f>
        <v>0</v>
      </c>
      <c r="K249" s="230">
        <f>ROUND(SUM(K247:K248),2)</f>
        <v>225.3</v>
      </c>
    </row>
    <row r="250" spans="1:11">
      <c r="A250" s="228"/>
      <c r="B250" s="229"/>
      <c r="C250" s="229"/>
      <c r="D250" s="228"/>
      <c r="E250" s="229"/>
      <c r="F250" s="402"/>
      <c r="G250" s="402"/>
      <c r="H250" s="402"/>
      <c r="I250" s="230"/>
      <c r="J250" s="230"/>
      <c r="K250" s="230"/>
    </row>
    <row r="251" spans="1:11" ht="23.25" customHeight="1">
      <c r="A251" s="226" t="str">
        <f>'Orç - Urbanização'!A105</f>
        <v>05.06.902</v>
      </c>
      <c r="B251" s="748" t="str">
        <f>'Orç - Urbanização'!D105</f>
        <v>Lastro com preparo de fundo, largura maior ou igual a 1,5 m, com camada de brita, lançamento mecanizado, em local com nível baixo de interferência (esp. 5 cm) - fundo da caixa de inspeção</v>
      </c>
      <c r="C251" s="748"/>
      <c r="D251" s="748"/>
      <c r="E251" s="748"/>
      <c r="F251" s="748"/>
      <c r="G251" s="748"/>
      <c r="H251" s="748"/>
      <c r="I251" s="748"/>
      <c r="J251" s="748"/>
      <c r="K251" s="227" t="str">
        <f>'Orç - Urbanização'!F105</f>
        <v>m3</v>
      </c>
    </row>
    <row r="252" spans="1:11">
      <c r="A252" s="745"/>
      <c r="B252" s="745"/>
      <c r="C252" s="218"/>
      <c r="D252" s="403"/>
      <c r="E252" s="218"/>
      <c r="F252" s="218"/>
      <c r="G252" s="745" t="s">
        <v>7863</v>
      </c>
      <c r="H252" s="745"/>
      <c r="I252" s="745" t="s">
        <v>7864</v>
      </c>
      <c r="J252" s="745"/>
      <c r="K252" s="745"/>
    </row>
    <row r="253" spans="1:11" ht="22.5">
      <c r="A253" s="745" t="s">
        <v>7880</v>
      </c>
      <c r="B253" s="745"/>
      <c r="C253" s="745" t="s">
        <v>7865</v>
      </c>
      <c r="D253" s="745" t="s">
        <v>7866</v>
      </c>
      <c r="E253" s="745" t="s">
        <v>7867</v>
      </c>
      <c r="F253" s="745" t="s">
        <v>7868</v>
      </c>
      <c r="G253" s="403" t="s">
        <v>7869</v>
      </c>
      <c r="H253" s="403" t="s">
        <v>7870</v>
      </c>
      <c r="I253" s="403" t="s">
        <v>7871</v>
      </c>
      <c r="J253" s="403" t="s">
        <v>7869</v>
      </c>
      <c r="K253" s="403" t="s">
        <v>7870</v>
      </c>
    </row>
    <row r="254" spans="1:11">
      <c r="A254" s="745"/>
      <c r="B254" s="745"/>
      <c r="C254" s="745"/>
      <c r="D254" s="745"/>
      <c r="E254" s="745"/>
      <c r="F254" s="745"/>
      <c r="G254" s="403" t="s">
        <v>7872</v>
      </c>
      <c r="H254" s="403" t="s">
        <v>7873</v>
      </c>
      <c r="I254" s="403" t="s">
        <v>7874</v>
      </c>
      <c r="J254" s="403" t="s">
        <v>7872</v>
      </c>
      <c r="K254" s="403" t="s">
        <v>9173</v>
      </c>
    </row>
    <row r="255" spans="1:11">
      <c r="A255" s="403"/>
      <c r="B255" s="219" t="s">
        <v>9509</v>
      </c>
      <c r="C255" s="403">
        <v>1</v>
      </c>
      <c r="D255" s="403">
        <v>3</v>
      </c>
      <c r="E255" s="403">
        <v>1.2</v>
      </c>
      <c r="F255" s="403">
        <v>0.05</v>
      </c>
      <c r="G255" s="403"/>
      <c r="H255" s="403">
        <f>F255*E255*D255</f>
        <v>0.18</v>
      </c>
      <c r="I255" s="403"/>
      <c r="J255" s="403"/>
      <c r="K255" s="403">
        <f>H255*C255</f>
        <v>0.18</v>
      </c>
    </row>
    <row r="256" spans="1:11">
      <c r="A256" s="228"/>
      <c r="B256" s="229"/>
      <c r="C256" s="229"/>
      <c r="D256" s="228"/>
      <c r="E256" s="229"/>
      <c r="F256" s="747" t="s">
        <v>7875</v>
      </c>
      <c r="G256" s="747"/>
      <c r="H256" s="747"/>
      <c r="I256" s="230">
        <f>ROUND(SUM(I255:I255),2)</f>
        <v>0</v>
      </c>
      <c r="J256" s="230">
        <f>ROUND(SUM(J255:J255),2)</f>
        <v>0</v>
      </c>
      <c r="K256" s="230">
        <f>ROUND(SUM(K255:K255),2)</f>
        <v>0.18</v>
      </c>
    </row>
    <row r="257" spans="1:11">
      <c r="A257" s="228"/>
      <c r="B257" s="229"/>
      <c r="C257" s="229"/>
      <c r="D257" s="228"/>
      <c r="E257" s="229"/>
      <c r="F257" s="402"/>
      <c r="G257" s="402"/>
      <c r="H257" s="402"/>
      <c r="I257" s="230"/>
      <c r="J257" s="230"/>
      <c r="K257" s="230"/>
    </row>
    <row r="258" spans="1:11">
      <c r="A258" s="226" t="str">
        <f>'Orç - Urbanização'!A107</f>
        <v>05.06.904</v>
      </c>
      <c r="B258" s="748" t="str">
        <f>'Orç - Urbanização'!D107</f>
        <v>Alvenaria de blocos de concreto para execução das paredes do reservatório e da trincheira</v>
      </c>
      <c r="C258" s="748"/>
      <c r="D258" s="748"/>
      <c r="E258" s="748"/>
      <c r="F258" s="748"/>
      <c r="G258" s="748"/>
      <c r="H258" s="748"/>
      <c r="I258" s="748"/>
      <c r="J258" s="748"/>
      <c r="K258" s="227" t="str">
        <f>'Orç - Urbanização'!F107</f>
        <v>m2</v>
      </c>
    </row>
    <row r="259" spans="1:11">
      <c r="A259" s="745"/>
      <c r="B259" s="745"/>
      <c r="C259" s="218"/>
      <c r="D259" s="405"/>
      <c r="E259" s="218"/>
      <c r="F259" s="218"/>
      <c r="G259" s="745" t="s">
        <v>7863</v>
      </c>
      <c r="H259" s="745"/>
      <c r="I259" s="745" t="s">
        <v>7864</v>
      </c>
      <c r="J259" s="745"/>
      <c r="K259" s="745"/>
    </row>
    <row r="260" spans="1:11" ht="22.5">
      <c r="A260" s="745" t="s">
        <v>7880</v>
      </c>
      <c r="B260" s="745"/>
      <c r="C260" s="745" t="s">
        <v>7865</v>
      </c>
      <c r="D260" s="745" t="s">
        <v>7866</v>
      </c>
      <c r="E260" s="745" t="s">
        <v>7867</v>
      </c>
      <c r="F260" s="745" t="s">
        <v>7868</v>
      </c>
      <c r="G260" s="405" t="s">
        <v>7869</v>
      </c>
      <c r="H260" s="405" t="s">
        <v>7870</v>
      </c>
      <c r="I260" s="405" t="s">
        <v>7871</v>
      </c>
      <c r="J260" s="405" t="s">
        <v>7869</v>
      </c>
      <c r="K260" s="405" t="s">
        <v>7870</v>
      </c>
    </row>
    <row r="261" spans="1:11">
      <c r="A261" s="745"/>
      <c r="B261" s="745"/>
      <c r="C261" s="745"/>
      <c r="D261" s="745"/>
      <c r="E261" s="745"/>
      <c r="F261" s="745"/>
      <c r="G261" s="405" t="s">
        <v>7872</v>
      </c>
      <c r="H261" s="405" t="s">
        <v>7873</v>
      </c>
      <c r="I261" s="405" t="s">
        <v>7874</v>
      </c>
      <c r="J261" s="405" t="s">
        <v>7872</v>
      </c>
      <c r="K261" s="405" t="s">
        <v>9173</v>
      </c>
    </row>
    <row r="262" spans="1:11">
      <c r="A262" s="405"/>
      <c r="B262" s="219" t="s">
        <v>9509</v>
      </c>
      <c r="C262" s="405">
        <v>1</v>
      </c>
      <c r="D262" s="405">
        <f>2*3.3+2*1.2</f>
        <v>9</v>
      </c>
      <c r="E262" s="405"/>
      <c r="F262" s="405">
        <v>2.7</v>
      </c>
      <c r="G262" s="405">
        <f>F262*D262</f>
        <v>24.3</v>
      </c>
      <c r="H262" s="405"/>
      <c r="I262" s="405"/>
      <c r="J262" s="405">
        <f>G262*C262</f>
        <v>24.3</v>
      </c>
      <c r="K262" s="405"/>
    </row>
    <row r="263" spans="1:11">
      <c r="A263" s="405"/>
      <c r="B263" s="219" t="s">
        <v>9529</v>
      </c>
      <c r="C263" s="405">
        <v>1</v>
      </c>
      <c r="D263" s="405">
        <f>2*21.9+2*4</f>
        <v>51.8</v>
      </c>
      <c r="E263" s="405"/>
      <c r="F263" s="405">
        <v>0.4</v>
      </c>
      <c r="G263" s="405">
        <f>F263*D263</f>
        <v>20.72</v>
      </c>
      <c r="H263" s="405"/>
      <c r="I263" s="405"/>
      <c r="J263" s="405">
        <f>G263*C263</f>
        <v>20.72</v>
      </c>
      <c r="K263" s="405"/>
    </row>
    <row r="264" spans="1:11">
      <c r="A264" s="228"/>
      <c r="B264" s="229"/>
      <c r="C264" s="229"/>
      <c r="D264" s="228"/>
      <c r="E264" s="229"/>
      <c r="F264" s="747" t="s">
        <v>7875</v>
      </c>
      <c r="G264" s="747"/>
      <c r="H264" s="747"/>
      <c r="I264" s="230">
        <f>ROUND(SUM(I262:I263),2)</f>
        <v>0</v>
      </c>
      <c r="J264" s="230">
        <f>ROUND(SUM(J262:J263),2)</f>
        <v>45.02</v>
      </c>
      <c r="K264" s="230">
        <f>ROUND(SUM(K262:K263),2)</f>
        <v>0</v>
      </c>
    </row>
    <row r="265" spans="1:11">
      <c r="A265" s="228"/>
      <c r="B265" s="229"/>
      <c r="C265" s="229"/>
      <c r="D265" s="228"/>
      <c r="E265" s="229"/>
      <c r="F265" s="404"/>
      <c r="G265" s="404"/>
      <c r="H265" s="404"/>
      <c r="I265" s="230"/>
      <c r="J265" s="230"/>
      <c r="K265" s="230"/>
    </row>
    <row r="266" spans="1:11">
      <c r="A266" s="226" t="str">
        <f>'Orç - Urbanização'!A112</f>
        <v>05.06.909</v>
      </c>
      <c r="B266" s="748" t="str">
        <f>'Orç - Urbanização'!D112</f>
        <v>Manta geotêxtil não-tecido RT-21, resistência à tração=21kN/m</v>
      </c>
      <c r="C266" s="748"/>
      <c r="D266" s="748"/>
      <c r="E266" s="748"/>
      <c r="F266" s="748"/>
      <c r="G266" s="748"/>
      <c r="H266" s="748"/>
      <c r="I266" s="748"/>
      <c r="J266" s="748"/>
      <c r="K266" s="227" t="str">
        <f>'Orç - Urbanização'!F112</f>
        <v>m2</v>
      </c>
    </row>
    <row r="267" spans="1:11">
      <c r="A267" s="745"/>
      <c r="B267" s="745"/>
      <c r="C267" s="218"/>
      <c r="D267" s="405"/>
      <c r="E267" s="218"/>
      <c r="F267" s="218"/>
      <c r="G267" s="745" t="s">
        <v>7863</v>
      </c>
      <c r="H267" s="745"/>
      <c r="I267" s="745" t="s">
        <v>7864</v>
      </c>
      <c r="J267" s="745"/>
      <c r="K267" s="745"/>
    </row>
    <row r="268" spans="1:11" ht="22.5">
      <c r="A268" s="745" t="s">
        <v>7880</v>
      </c>
      <c r="B268" s="745"/>
      <c r="C268" s="745" t="s">
        <v>7865</v>
      </c>
      <c r="D268" s="745" t="s">
        <v>7866</v>
      </c>
      <c r="E268" s="745" t="s">
        <v>7867</v>
      </c>
      <c r="F268" s="745" t="s">
        <v>7868</v>
      </c>
      <c r="G268" s="405" t="s">
        <v>7869</v>
      </c>
      <c r="H268" s="405" t="s">
        <v>7870</v>
      </c>
      <c r="I268" s="405" t="s">
        <v>7871</v>
      </c>
      <c r="J268" s="405" t="s">
        <v>7869</v>
      </c>
      <c r="K268" s="405" t="s">
        <v>7870</v>
      </c>
    </row>
    <row r="269" spans="1:11">
      <c r="A269" s="745"/>
      <c r="B269" s="745"/>
      <c r="C269" s="745"/>
      <c r="D269" s="745"/>
      <c r="E269" s="745"/>
      <c r="F269" s="745"/>
      <c r="G269" s="405" t="s">
        <v>7872</v>
      </c>
      <c r="H269" s="405" t="s">
        <v>7873</v>
      </c>
      <c r="I269" s="405" t="s">
        <v>7874</v>
      </c>
      <c r="J269" s="405" t="s">
        <v>7872</v>
      </c>
      <c r="K269" s="405" t="s">
        <v>9173</v>
      </c>
    </row>
    <row r="270" spans="1:11">
      <c r="A270" s="405"/>
      <c r="B270" s="219" t="s">
        <v>9531</v>
      </c>
      <c r="C270" s="405">
        <v>1</v>
      </c>
      <c r="D270" s="405">
        <v>21.9</v>
      </c>
      <c r="E270" s="405">
        <v>4.3</v>
      </c>
      <c r="F270" s="405"/>
      <c r="G270" s="405">
        <f>E270*D270</f>
        <v>94.169999999999987</v>
      </c>
      <c r="H270" s="405"/>
      <c r="I270" s="405"/>
      <c r="J270" s="405">
        <f>G270*C270</f>
        <v>94.169999999999987</v>
      </c>
      <c r="K270" s="405"/>
    </row>
    <row r="271" spans="1:11">
      <c r="A271" s="405"/>
      <c r="B271" s="219" t="s">
        <v>9532</v>
      </c>
      <c r="C271" s="405">
        <v>1</v>
      </c>
      <c r="D271" s="405">
        <f>2*21.9+2*4</f>
        <v>51.8</v>
      </c>
      <c r="E271" s="405"/>
      <c r="F271" s="405">
        <f>(2.85+1.62)/2</f>
        <v>2.2350000000000003</v>
      </c>
      <c r="G271" s="405">
        <f>F271*D271</f>
        <v>115.77300000000001</v>
      </c>
      <c r="H271" s="405"/>
      <c r="I271" s="405"/>
      <c r="J271" s="405">
        <f>G271*C271</f>
        <v>115.77300000000001</v>
      </c>
      <c r="K271" s="405"/>
    </row>
    <row r="272" spans="1:11">
      <c r="A272" s="228"/>
      <c r="B272" s="229"/>
      <c r="C272" s="229"/>
      <c r="D272" s="228"/>
      <c r="E272" s="229"/>
      <c r="F272" s="747" t="s">
        <v>7875</v>
      </c>
      <c r="G272" s="747"/>
      <c r="H272" s="747"/>
      <c r="I272" s="230">
        <f>ROUND(SUM(I270:I271),2)</f>
        <v>0</v>
      </c>
      <c r="J272" s="230">
        <f>ROUND(SUM(J270:J271),2)</f>
        <v>209.94</v>
      </c>
      <c r="K272" s="230">
        <f>ROUND(SUM(K270:K271),2)</f>
        <v>0</v>
      </c>
    </row>
    <row r="273" spans="1:11">
      <c r="A273" s="228"/>
      <c r="B273" s="229"/>
      <c r="C273" s="229"/>
      <c r="D273" s="228"/>
      <c r="E273" s="229"/>
      <c r="F273" s="404"/>
      <c r="G273" s="404"/>
      <c r="H273" s="404"/>
      <c r="I273" s="230"/>
      <c r="J273" s="230"/>
      <c r="K273" s="230"/>
    </row>
    <row r="274" spans="1:11" ht="22.5">
      <c r="A274" s="226" t="str">
        <f>'Orç - Urbanização'!A143</f>
        <v>06.10.101.01</v>
      </c>
      <c r="B274" s="748" t="str">
        <f>'Orç - Urbanização'!D143</f>
        <v>Escavação manual de vala (eletrodutos enterrados e caixas de passagem)</v>
      </c>
      <c r="C274" s="748"/>
      <c r="D274" s="748"/>
      <c r="E274" s="748"/>
      <c r="F274" s="748"/>
      <c r="G274" s="748"/>
      <c r="H274" s="748"/>
      <c r="I274" s="748"/>
      <c r="J274" s="748"/>
      <c r="K274" s="227" t="str">
        <f>'Orç - Urbanização'!F143</f>
        <v>m3</v>
      </c>
    </row>
    <row r="275" spans="1:11">
      <c r="A275" s="745"/>
      <c r="B275" s="745"/>
      <c r="C275" s="218"/>
      <c r="D275" s="394"/>
      <c r="E275" s="218"/>
      <c r="F275" s="218"/>
      <c r="G275" s="745" t="s">
        <v>7863</v>
      </c>
      <c r="H275" s="745"/>
      <c r="I275" s="745" t="s">
        <v>7864</v>
      </c>
      <c r="J275" s="745"/>
      <c r="K275" s="745"/>
    </row>
    <row r="276" spans="1:11" ht="22.5">
      <c r="A276" s="745" t="s">
        <v>7880</v>
      </c>
      <c r="B276" s="745"/>
      <c r="C276" s="745" t="s">
        <v>7865</v>
      </c>
      <c r="D276" s="745" t="s">
        <v>7866</v>
      </c>
      <c r="E276" s="745" t="s">
        <v>7867</v>
      </c>
      <c r="F276" s="745" t="s">
        <v>7868</v>
      </c>
      <c r="G276" s="376" t="s">
        <v>7869</v>
      </c>
      <c r="H276" s="376" t="s">
        <v>7870</v>
      </c>
      <c r="I276" s="376" t="s">
        <v>7871</v>
      </c>
      <c r="J276" s="376" t="s">
        <v>7869</v>
      </c>
      <c r="K276" s="376" t="s">
        <v>7870</v>
      </c>
    </row>
    <row r="277" spans="1:11">
      <c r="A277" s="745"/>
      <c r="B277" s="745"/>
      <c r="C277" s="745"/>
      <c r="D277" s="745"/>
      <c r="E277" s="745"/>
      <c r="F277" s="745"/>
      <c r="G277" s="376" t="s">
        <v>7872</v>
      </c>
      <c r="H277" s="376" t="s">
        <v>7873</v>
      </c>
      <c r="I277" s="376" t="s">
        <v>7874</v>
      </c>
      <c r="J277" s="376" t="s">
        <v>7872</v>
      </c>
      <c r="K277" s="376" t="s">
        <v>9173</v>
      </c>
    </row>
    <row r="278" spans="1:11">
      <c r="A278" s="376"/>
      <c r="B278" s="219" t="s">
        <v>9262</v>
      </c>
      <c r="C278" s="376">
        <v>1</v>
      </c>
      <c r="D278" s="394">
        <v>202</v>
      </c>
      <c r="E278" s="376">
        <v>1</v>
      </c>
      <c r="F278" s="376">
        <v>1</v>
      </c>
      <c r="G278" s="376"/>
      <c r="H278" s="376">
        <f>F278*E278</f>
        <v>1</v>
      </c>
      <c r="I278" s="376"/>
      <c r="J278" s="376"/>
      <c r="K278" s="376">
        <f>H278*D278</f>
        <v>202</v>
      </c>
    </row>
    <row r="279" spans="1:11">
      <c r="A279" s="376"/>
      <c r="B279" s="219" t="s">
        <v>9263</v>
      </c>
      <c r="C279" s="376">
        <v>12</v>
      </c>
      <c r="D279" s="394">
        <v>0.4</v>
      </c>
      <c r="E279" s="376">
        <v>0.4</v>
      </c>
      <c r="F279" s="376">
        <v>0.4</v>
      </c>
      <c r="G279" s="376"/>
      <c r="H279" s="376">
        <f>F279*E279*D279</f>
        <v>6.4000000000000015E-2</v>
      </c>
      <c r="I279" s="376"/>
      <c r="J279" s="376"/>
      <c r="K279" s="376">
        <f>H279*C279</f>
        <v>0.76800000000000024</v>
      </c>
    </row>
    <row r="280" spans="1:11">
      <c r="A280" s="228"/>
      <c r="B280" s="229"/>
      <c r="C280" s="229"/>
      <c r="D280" s="228"/>
      <c r="E280" s="229"/>
      <c r="F280" s="747" t="s">
        <v>7875</v>
      </c>
      <c r="G280" s="747"/>
      <c r="H280" s="747"/>
      <c r="I280" s="230">
        <f>ROUND(SUM(I278:I278),2)</f>
        <v>0</v>
      </c>
      <c r="J280" s="230">
        <f t="shared" ref="J280" si="10">ROUND(SUM(J278:J278),2)</f>
        <v>0</v>
      </c>
      <c r="K280" s="230">
        <f>ROUND(SUM(K278:K279),2)</f>
        <v>202.77</v>
      </c>
    </row>
    <row r="281" spans="1:11">
      <c r="A281" s="228"/>
      <c r="B281" s="229"/>
      <c r="C281" s="229"/>
      <c r="D281" s="228"/>
      <c r="E281" s="229"/>
      <c r="F281" s="377"/>
      <c r="G281" s="377"/>
      <c r="H281" s="377"/>
      <c r="I281" s="230"/>
      <c r="J281" s="230"/>
      <c r="K281" s="230"/>
    </row>
  </sheetData>
  <mergeCells count="266">
    <mergeCell ref="A139:B140"/>
    <mergeCell ref="C139:C140"/>
    <mergeCell ref="D139:D140"/>
    <mergeCell ref="E139:E140"/>
    <mergeCell ref="F139:F140"/>
    <mergeCell ref="A2:K2"/>
    <mergeCell ref="A3:K3"/>
    <mergeCell ref="A4:K4"/>
    <mergeCell ref="A7:K7"/>
    <mergeCell ref="B9:J9"/>
    <mergeCell ref="B10:J10"/>
    <mergeCell ref="B11:J11"/>
    <mergeCell ref="B12:J12"/>
    <mergeCell ref="F94:H94"/>
    <mergeCell ref="B88:J88"/>
    <mergeCell ref="A89:B89"/>
    <mergeCell ref="G89:H89"/>
    <mergeCell ref="I89:K89"/>
    <mergeCell ref="A90:B91"/>
    <mergeCell ref="C90:C91"/>
    <mergeCell ref="D90:D91"/>
    <mergeCell ref="E90:E91"/>
    <mergeCell ref="F90:F91"/>
    <mergeCell ref="A24:B24"/>
    <mergeCell ref="A132:B133"/>
    <mergeCell ref="C132:C133"/>
    <mergeCell ref="D132:D133"/>
    <mergeCell ref="E132:E133"/>
    <mergeCell ref="F132:F133"/>
    <mergeCell ref="F135:H135"/>
    <mergeCell ref="B137:J137"/>
    <mergeCell ref="A138:B138"/>
    <mergeCell ref="G138:H138"/>
    <mergeCell ref="I138:K138"/>
    <mergeCell ref="B38:J38"/>
    <mergeCell ref="A33:B34"/>
    <mergeCell ref="C33:C34"/>
    <mergeCell ref="D33:D34"/>
    <mergeCell ref="E33:E34"/>
    <mergeCell ref="F33:F34"/>
    <mergeCell ref="B130:J130"/>
    <mergeCell ref="A131:B131"/>
    <mergeCell ref="G131:H131"/>
    <mergeCell ref="I131:K131"/>
    <mergeCell ref="F37:H37"/>
    <mergeCell ref="A41:B42"/>
    <mergeCell ref="C41:C42"/>
    <mergeCell ref="D41:D42"/>
    <mergeCell ref="E41:E42"/>
    <mergeCell ref="F41:F42"/>
    <mergeCell ref="F47:H47"/>
    <mergeCell ref="B39:J39"/>
    <mergeCell ref="A40:B40"/>
    <mergeCell ref="G40:H40"/>
    <mergeCell ref="I40:K40"/>
    <mergeCell ref="B48:J48"/>
    <mergeCell ref="A49:B49"/>
    <mergeCell ref="G49:H49"/>
    <mergeCell ref="A231:B232"/>
    <mergeCell ref="C231:C232"/>
    <mergeCell ref="D231:D232"/>
    <mergeCell ref="E231:E232"/>
    <mergeCell ref="F231:F232"/>
    <mergeCell ref="I220:K220"/>
    <mergeCell ref="A221:B222"/>
    <mergeCell ref="C221:C222"/>
    <mergeCell ref="D221:D222"/>
    <mergeCell ref="E221:E222"/>
    <mergeCell ref="F221:F222"/>
    <mergeCell ref="B229:J229"/>
    <mergeCell ref="A230:B230"/>
    <mergeCell ref="G230:H230"/>
    <mergeCell ref="I230:K230"/>
    <mergeCell ref="B31:J31"/>
    <mergeCell ref="A32:B32"/>
    <mergeCell ref="G32:H32"/>
    <mergeCell ref="I32:K32"/>
    <mergeCell ref="B13:J13"/>
    <mergeCell ref="A14:B14"/>
    <mergeCell ref="G14:H14"/>
    <mergeCell ref="I14:K14"/>
    <mergeCell ref="A15:B16"/>
    <mergeCell ref="C15:C16"/>
    <mergeCell ref="D15:D16"/>
    <mergeCell ref="E15:E16"/>
    <mergeCell ref="F15:F16"/>
    <mergeCell ref="F21:H21"/>
    <mergeCell ref="B23:J23"/>
    <mergeCell ref="E25:E26"/>
    <mergeCell ref="F25:F26"/>
    <mergeCell ref="F29:H29"/>
    <mergeCell ref="G24:H24"/>
    <mergeCell ref="I24:K24"/>
    <mergeCell ref="A25:B26"/>
    <mergeCell ref="C25:C26"/>
    <mergeCell ref="D25:D26"/>
    <mergeCell ref="I49:K49"/>
    <mergeCell ref="A50:B51"/>
    <mergeCell ref="C50:C51"/>
    <mergeCell ref="D50:D51"/>
    <mergeCell ref="E50:E51"/>
    <mergeCell ref="F50:F51"/>
    <mergeCell ref="F53:H53"/>
    <mergeCell ref="B55:J55"/>
    <mergeCell ref="A56:B56"/>
    <mergeCell ref="G56:H56"/>
    <mergeCell ref="I56:K56"/>
    <mergeCell ref="A57:B58"/>
    <mergeCell ref="C57:C58"/>
    <mergeCell ref="D57:D58"/>
    <mergeCell ref="E57:E58"/>
    <mergeCell ref="F57:F58"/>
    <mergeCell ref="F86:H86"/>
    <mergeCell ref="F61:H61"/>
    <mergeCell ref="B63:J63"/>
    <mergeCell ref="A64:B64"/>
    <mergeCell ref="G64:H64"/>
    <mergeCell ref="I64:K64"/>
    <mergeCell ref="A65:B66"/>
    <mergeCell ref="C65:C66"/>
    <mergeCell ref="D65:D66"/>
    <mergeCell ref="E65:E66"/>
    <mergeCell ref="F65:F66"/>
    <mergeCell ref="F76:H76"/>
    <mergeCell ref="B78:J78"/>
    <mergeCell ref="A79:B79"/>
    <mergeCell ref="G79:H79"/>
    <mergeCell ref="I79:K79"/>
    <mergeCell ref="A80:B81"/>
    <mergeCell ref="C80:C81"/>
    <mergeCell ref="D80:D81"/>
    <mergeCell ref="E80:E81"/>
    <mergeCell ref="F80:F81"/>
    <mergeCell ref="B96:J96"/>
    <mergeCell ref="A97:B97"/>
    <mergeCell ref="G97:H97"/>
    <mergeCell ref="I97:K97"/>
    <mergeCell ref="A98:B99"/>
    <mergeCell ref="C98:C99"/>
    <mergeCell ref="D98:D99"/>
    <mergeCell ref="E98:E99"/>
    <mergeCell ref="F98:F99"/>
    <mergeCell ref="F101:H101"/>
    <mergeCell ref="B103:J103"/>
    <mergeCell ref="A104:B104"/>
    <mergeCell ref="G104:H104"/>
    <mergeCell ref="I104:K104"/>
    <mergeCell ref="A105:B106"/>
    <mergeCell ref="C105:C106"/>
    <mergeCell ref="D105:D106"/>
    <mergeCell ref="E105:E106"/>
    <mergeCell ref="F105:F106"/>
    <mergeCell ref="F280:H280"/>
    <mergeCell ref="F120:H120"/>
    <mergeCell ref="B274:J274"/>
    <mergeCell ref="A275:B275"/>
    <mergeCell ref="G275:H275"/>
    <mergeCell ref="I275:K275"/>
    <mergeCell ref="A276:B277"/>
    <mergeCell ref="C276:C277"/>
    <mergeCell ref="D276:D277"/>
    <mergeCell ref="E276:E277"/>
    <mergeCell ref="F276:F277"/>
    <mergeCell ref="B122:J122"/>
    <mergeCell ref="A123:B123"/>
    <mergeCell ref="G123:H123"/>
    <mergeCell ref="I123:K123"/>
    <mergeCell ref="A124:B125"/>
    <mergeCell ref="C124:C125"/>
    <mergeCell ref="D124:D125"/>
    <mergeCell ref="E124:E125"/>
    <mergeCell ref="F124:F125"/>
    <mergeCell ref="F128:H128"/>
    <mergeCell ref="B219:J219"/>
    <mergeCell ref="A220:B220"/>
    <mergeCell ref="G220:H220"/>
    <mergeCell ref="B173:J173"/>
    <mergeCell ref="A174:B174"/>
    <mergeCell ref="G174:H174"/>
    <mergeCell ref="I174:K174"/>
    <mergeCell ref="A175:B176"/>
    <mergeCell ref="C175:C176"/>
    <mergeCell ref="D175:D176"/>
    <mergeCell ref="E175:E176"/>
    <mergeCell ref="F175:F176"/>
    <mergeCell ref="F178:H178"/>
    <mergeCell ref="B210:J210"/>
    <mergeCell ref="A211:B211"/>
    <mergeCell ref="G211:H211"/>
    <mergeCell ref="I211:K211"/>
    <mergeCell ref="A212:B213"/>
    <mergeCell ref="C212:C213"/>
    <mergeCell ref="D212:D213"/>
    <mergeCell ref="E212:E213"/>
    <mergeCell ref="F212:F213"/>
    <mergeCell ref="G203:H203"/>
    <mergeCell ref="I203:K203"/>
    <mergeCell ref="A204:B205"/>
    <mergeCell ref="C204:C205"/>
    <mergeCell ref="D204:D205"/>
    <mergeCell ref="E204:E205"/>
    <mergeCell ref="F204:F205"/>
    <mergeCell ref="F217:H217"/>
    <mergeCell ref="B180:J180"/>
    <mergeCell ref="A181:B181"/>
    <mergeCell ref="G181:H181"/>
    <mergeCell ref="I181:K181"/>
    <mergeCell ref="A182:B183"/>
    <mergeCell ref="C182:C183"/>
    <mergeCell ref="D182:D183"/>
    <mergeCell ref="E182:E183"/>
    <mergeCell ref="F182:F183"/>
    <mergeCell ref="F208:H208"/>
    <mergeCell ref="F187:H187"/>
    <mergeCell ref="B189:J189"/>
    <mergeCell ref="A190:B190"/>
    <mergeCell ref="G190:H190"/>
    <mergeCell ref="I190:K190"/>
    <mergeCell ref="A191:B192"/>
    <mergeCell ref="C191:C192"/>
    <mergeCell ref="D191:D192"/>
    <mergeCell ref="E191:E192"/>
    <mergeCell ref="F191:F192"/>
    <mergeCell ref="F200:H200"/>
    <mergeCell ref="B202:J202"/>
    <mergeCell ref="A203:B203"/>
    <mergeCell ref="B243:J243"/>
    <mergeCell ref="A244:B244"/>
    <mergeCell ref="G244:H244"/>
    <mergeCell ref="I244:K244"/>
    <mergeCell ref="A245:B246"/>
    <mergeCell ref="C245:C246"/>
    <mergeCell ref="D245:D246"/>
    <mergeCell ref="E245:E246"/>
    <mergeCell ref="F245:F246"/>
    <mergeCell ref="F256:H256"/>
    <mergeCell ref="F249:H249"/>
    <mergeCell ref="B251:J251"/>
    <mergeCell ref="A252:B252"/>
    <mergeCell ref="G252:H252"/>
    <mergeCell ref="I252:K252"/>
    <mergeCell ref="A253:B254"/>
    <mergeCell ref="C253:C254"/>
    <mergeCell ref="D253:D254"/>
    <mergeCell ref="E253:E254"/>
    <mergeCell ref="F253:F254"/>
    <mergeCell ref="B258:J258"/>
    <mergeCell ref="A259:B259"/>
    <mergeCell ref="G259:H259"/>
    <mergeCell ref="I259:K259"/>
    <mergeCell ref="A260:B261"/>
    <mergeCell ref="C260:C261"/>
    <mergeCell ref="D260:D261"/>
    <mergeCell ref="E260:E261"/>
    <mergeCell ref="F260:F261"/>
    <mergeCell ref="F272:H272"/>
    <mergeCell ref="F264:H264"/>
    <mergeCell ref="B266:J266"/>
    <mergeCell ref="A267:B267"/>
    <mergeCell ref="G267:H267"/>
    <mergeCell ref="I267:K267"/>
    <mergeCell ref="A268:B269"/>
    <mergeCell ref="C268:C269"/>
    <mergeCell ref="D268:D269"/>
    <mergeCell ref="E268:E269"/>
    <mergeCell ref="F268:F269"/>
  </mergeCells>
  <pageMargins left="0.23622047244094491" right="0.23622047244094491" top="0.74803149606299213" bottom="0.74803149606299213" header="0.31496062992125984" footer="0.31496062992125984"/>
  <pageSetup paperSize="9" scale="91" firstPageNumber="200" fitToHeight="30" orientation="portrait" useFirstPageNumber="1" r:id="rId1"/>
  <headerFooter>
    <oddFooter>&amp;CEng. Civil Daniele Firme Miranda
CREA: 24.965/D-DF
ART nº 0720190034483&amp;RPágina &amp;P de 208</oddFooter>
  </headerFooter>
  <rowBreaks count="3" manualBreakCount="3">
    <brk id="102" max="10" man="1"/>
    <brk id="209" max="10" man="1"/>
    <brk id="257" max="10"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E5379"/>
  <sheetViews>
    <sheetView topLeftCell="A1083" zoomScale="85" zoomScaleNormal="85" workbookViewId="0">
      <selection activeCell="B1089" sqref="B1089"/>
    </sheetView>
  </sheetViews>
  <sheetFormatPr defaultRowHeight="12.75"/>
  <cols>
    <col min="1" max="1" width="10.5703125" style="114" customWidth="1"/>
    <col min="2" max="2" width="142.28515625" style="27" customWidth="1"/>
    <col min="3" max="3" width="21.140625" style="27" customWidth="1"/>
    <col min="4" max="4" width="18.7109375" style="27" customWidth="1"/>
    <col min="5" max="5" width="22.28515625" style="49" customWidth="1"/>
    <col min="6" max="256" width="9.140625" style="27"/>
    <col min="257" max="257" width="10.5703125" style="27" customWidth="1"/>
    <col min="258" max="258" width="78.140625" style="27" customWidth="1"/>
    <col min="259" max="259" width="21.140625" style="27" customWidth="1"/>
    <col min="260" max="260" width="18.7109375" style="27" customWidth="1"/>
    <col min="261" max="261" width="22.28515625" style="27" customWidth="1"/>
    <col min="262" max="512" width="9.140625" style="27"/>
    <col min="513" max="513" width="10.5703125" style="27" customWidth="1"/>
    <col min="514" max="514" width="78.140625" style="27" customWidth="1"/>
    <col min="515" max="515" width="21.140625" style="27" customWidth="1"/>
    <col min="516" max="516" width="18.7109375" style="27" customWidth="1"/>
    <col min="517" max="517" width="22.28515625" style="27" customWidth="1"/>
    <col min="518" max="768" width="9.140625" style="27"/>
    <col min="769" max="769" width="10.5703125" style="27" customWidth="1"/>
    <col min="770" max="770" width="78.140625" style="27" customWidth="1"/>
    <col min="771" max="771" width="21.140625" style="27" customWidth="1"/>
    <col min="772" max="772" width="18.7109375" style="27" customWidth="1"/>
    <col min="773" max="773" width="22.28515625" style="27" customWidth="1"/>
    <col min="774" max="1024" width="9.140625" style="27"/>
    <col min="1025" max="1025" width="10.5703125" style="27" customWidth="1"/>
    <col min="1026" max="1026" width="78.140625" style="27" customWidth="1"/>
    <col min="1027" max="1027" width="21.140625" style="27" customWidth="1"/>
    <col min="1028" max="1028" width="18.7109375" style="27" customWidth="1"/>
    <col min="1029" max="1029" width="22.28515625" style="27" customWidth="1"/>
    <col min="1030" max="1280" width="9.140625" style="27"/>
    <col min="1281" max="1281" width="10.5703125" style="27" customWidth="1"/>
    <col min="1282" max="1282" width="78.140625" style="27" customWidth="1"/>
    <col min="1283" max="1283" width="21.140625" style="27" customWidth="1"/>
    <col min="1284" max="1284" width="18.7109375" style="27" customWidth="1"/>
    <col min="1285" max="1285" width="22.28515625" style="27" customWidth="1"/>
    <col min="1286" max="1536" width="9.140625" style="27"/>
    <col min="1537" max="1537" width="10.5703125" style="27" customWidth="1"/>
    <col min="1538" max="1538" width="78.140625" style="27" customWidth="1"/>
    <col min="1539" max="1539" width="21.140625" style="27" customWidth="1"/>
    <col min="1540" max="1540" width="18.7109375" style="27" customWidth="1"/>
    <col min="1541" max="1541" width="22.28515625" style="27" customWidth="1"/>
    <col min="1542" max="1792" width="9.140625" style="27"/>
    <col min="1793" max="1793" width="10.5703125" style="27" customWidth="1"/>
    <col min="1794" max="1794" width="78.140625" style="27" customWidth="1"/>
    <col min="1795" max="1795" width="21.140625" style="27" customWidth="1"/>
    <col min="1796" max="1796" width="18.7109375" style="27" customWidth="1"/>
    <col min="1797" max="1797" width="22.28515625" style="27" customWidth="1"/>
    <col min="1798" max="2048" width="9.140625" style="27"/>
    <col min="2049" max="2049" width="10.5703125" style="27" customWidth="1"/>
    <col min="2050" max="2050" width="78.140625" style="27" customWidth="1"/>
    <col min="2051" max="2051" width="21.140625" style="27" customWidth="1"/>
    <col min="2052" max="2052" width="18.7109375" style="27" customWidth="1"/>
    <col min="2053" max="2053" width="22.28515625" style="27" customWidth="1"/>
    <col min="2054" max="2304" width="9.140625" style="27"/>
    <col min="2305" max="2305" width="10.5703125" style="27" customWidth="1"/>
    <col min="2306" max="2306" width="78.140625" style="27" customWidth="1"/>
    <col min="2307" max="2307" width="21.140625" style="27" customWidth="1"/>
    <col min="2308" max="2308" width="18.7109375" style="27" customWidth="1"/>
    <col min="2309" max="2309" width="22.28515625" style="27" customWidth="1"/>
    <col min="2310" max="2560" width="9.140625" style="27"/>
    <col min="2561" max="2561" width="10.5703125" style="27" customWidth="1"/>
    <col min="2562" max="2562" width="78.140625" style="27" customWidth="1"/>
    <col min="2563" max="2563" width="21.140625" style="27" customWidth="1"/>
    <col min="2564" max="2564" width="18.7109375" style="27" customWidth="1"/>
    <col min="2565" max="2565" width="22.28515625" style="27" customWidth="1"/>
    <col min="2566" max="2816" width="9.140625" style="27"/>
    <col min="2817" max="2817" width="10.5703125" style="27" customWidth="1"/>
    <col min="2818" max="2818" width="78.140625" style="27" customWidth="1"/>
    <col min="2819" max="2819" width="21.140625" style="27" customWidth="1"/>
    <col min="2820" max="2820" width="18.7109375" style="27" customWidth="1"/>
    <col min="2821" max="2821" width="22.28515625" style="27" customWidth="1"/>
    <col min="2822" max="3072" width="9.140625" style="27"/>
    <col min="3073" max="3073" width="10.5703125" style="27" customWidth="1"/>
    <col min="3074" max="3074" width="78.140625" style="27" customWidth="1"/>
    <col min="3075" max="3075" width="21.140625" style="27" customWidth="1"/>
    <col min="3076" max="3076" width="18.7109375" style="27" customWidth="1"/>
    <col min="3077" max="3077" width="22.28515625" style="27" customWidth="1"/>
    <col min="3078" max="3328" width="9.140625" style="27"/>
    <col min="3329" max="3329" width="10.5703125" style="27" customWidth="1"/>
    <col min="3330" max="3330" width="78.140625" style="27" customWidth="1"/>
    <col min="3331" max="3331" width="21.140625" style="27" customWidth="1"/>
    <col min="3332" max="3332" width="18.7109375" style="27" customWidth="1"/>
    <col min="3333" max="3333" width="22.28515625" style="27" customWidth="1"/>
    <col min="3334" max="3584" width="9.140625" style="27"/>
    <col min="3585" max="3585" width="10.5703125" style="27" customWidth="1"/>
    <col min="3586" max="3586" width="78.140625" style="27" customWidth="1"/>
    <col min="3587" max="3587" width="21.140625" style="27" customWidth="1"/>
    <col min="3588" max="3588" width="18.7109375" style="27" customWidth="1"/>
    <col min="3589" max="3589" width="22.28515625" style="27" customWidth="1"/>
    <col min="3590" max="3840" width="9.140625" style="27"/>
    <col min="3841" max="3841" width="10.5703125" style="27" customWidth="1"/>
    <col min="3842" max="3842" width="78.140625" style="27" customWidth="1"/>
    <col min="3843" max="3843" width="21.140625" style="27" customWidth="1"/>
    <col min="3844" max="3844" width="18.7109375" style="27" customWidth="1"/>
    <col min="3845" max="3845" width="22.28515625" style="27" customWidth="1"/>
    <col min="3846" max="4096" width="9.140625" style="27"/>
    <col min="4097" max="4097" width="10.5703125" style="27" customWidth="1"/>
    <col min="4098" max="4098" width="78.140625" style="27" customWidth="1"/>
    <col min="4099" max="4099" width="21.140625" style="27" customWidth="1"/>
    <col min="4100" max="4100" width="18.7109375" style="27" customWidth="1"/>
    <col min="4101" max="4101" width="22.28515625" style="27" customWidth="1"/>
    <col min="4102" max="4352" width="9.140625" style="27"/>
    <col min="4353" max="4353" width="10.5703125" style="27" customWidth="1"/>
    <col min="4354" max="4354" width="78.140625" style="27" customWidth="1"/>
    <col min="4355" max="4355" width="21.140625" style="27" customWidth="1"/>
    <col min="4356" max="4356" width="18.7109375" style="27" customWidth="1"/>
    <col min="4357" max="4357" width="22.28515625" style="27" customWidth="1"/>
    <col min="4358" max="4608" width="9.140625" style="27"/>
    <col min="4609" max="4609" width="10.5703125" style="27" customWidth="1"/>
    <col min="4610" max="4610" width="78.140625" style="27" customWidth="1"/>
    <col min="4611" max="4611" width="21.140625" style="27" customWidth="1"/>
    <col min="4612" max="4612" width="18.7109375" style="27" customWidth="1"/>
    <col min="4613" max="4613" width="22.28515625" style="27" customWidth="1"/>
    <col min="4614" max="4864" width="9.140625" style="27"/>
    <col min="4865" max="4865" width="10.5703125" style="27" customWidth="1"/>
    <col min="4866" max="4866" width="78.140625" style="27" customWidth="1"/>
    <col min="4867" max="4867" width="21.140625" style="27" customWidth="1"/>
    <col min="4868" max="4868" width="18.7109375" style="27" customWidth="1"/>
    <col min="4869" max="4869" width="22.28515625" style="27" customWidth="1"/>
    <col min="4870" max="5120" width="9.140625" style="27"/>
    <col min="5121" max="5121" width="10.5703125" style="27" customWidth="1"/>
    <col min="5122" max="5122" width="78.140625" style="27" customWidth="1"/>
    <col min="5123" max="5123" width="21.140625" style="27" customWidth="1"/>
    <col min="5124" max="5124" width="18.7109375" style="27" customWidth="1"/>
    <col min="5125" max="5125" width="22.28515625" style="27" customWidth="1"/>
    <col min="5126" max="5376" width="9.140625" style="27"/>
    <col min="5377" max="5377" width="10.5703125" style="27" customWidth="1"/>
    <col min="5378" max="5378" width="78.140625" style="27" customWidth="1"/>
    <col min="5379" max="5379" width="21.140625" style="27" customWidth="1"/>
    <col min="5380" max="5380" width="18.7109375" style="27" customWidth="1"/>
    <col min="5381" max="5381" width="22.28515625" style="27" customWidth="1"/>
    <col min="5382" max="5632" width="9.140625" style="27"/>
    <col min="5633" max="5633" width="10.5703125" style="27" customWidth="1"/>
    <col min="5634" max="5634" width="78.140625" style="27" customWidth="1"/>
    <col min="5635" max="5635" width="21.140625" style="27" customWidth="1"/>
    <col min="5636" max="5636" width="18.7109375" style="27" customWidth="1"/>
    <col min="5637" max="5637" width="22.28515625" style="27" customWidth="1"/>
    <col min="5638" max="5888" width="9.140625" style="27"/>
    <col min="5889" max="5889" width="10.5703125" style="27" customWidth="1"/>
    <col min="5890" max="5890" width="78.140625" style="27" customWidth="1"/>
    <col min="5891" max="5891" width="21.140625" style="27" customWidth="1"/>
    <col min="5892" max="5892" width="18.7109375" style="27" customWidth="1"/>
    <col min="5893" max="5893" width="22.28515625" style="27" customWidth="1"/>
    <col min="5894" max="6144" width="9.140625" style="27"/>
    <col min="6145" max="6145" width="10.5703125" style="27" customWidth="1"/>
    <col min="6146" max="6146" width="78.140625" style="27" customWidth="1"/>
    <col min="6147" max="6147" width="21.140625" style="27" customWidth="1"/>
    <col min="6148" max="6148" width="18.7109375" style="27" customWidth="1"/>
    <col min="6149" max="6149" width="22.28515625" style="27" customWidth="1"/>
    <col min="6150" max="6400" width="9.140625" style="27"/>
    <col min="6401" max="6401" width="10.5703125" style="27" customWidth="1"/>
    <col min="6402" max="6402" width="78.140625" style="27" customWidth="1"/>
    <col min="6403" max="6403" width="21.140625" style="27" customWidth="1"/>
    <col min="6404" max="6404" width="18.7109375" style="27" customWidth="1"/>
    <col min="6405" max="6405" width="22.28515625" style="27" customWidth="1"/>
    <col min="6406" max="6656" width="9.140625" style="27"/>
    <col min="6657" max="6657" width="10.5703125" style="27" customWidth="1"/>
    <col min="6658" max="6658" width="78.140625" style="27" customWidth="1"/>
    <col min="6659" max="6659" width="21.140625" style="27" customWidth="1"/>
    <col min="6660" max="6660" width="18.7109375" style="27" customWidth="1"/>
    <col min="6661" max="6661" width="22.28515625" style="27" customWidth="1"/>
    <col min="6662" max="6912" width="9.140625" style="27"/>
    <col min="6913" max="6913" width="10.5703125" style="27" customWidth="1"/>
    <col min="6914" max="6914" width="78.140625" style="27" customWidth="1"/>
    <col min="6915" max="6915" width="21.140625" style="27" customWidth="1"/>
    <col min="6916" max="6916" width="18.7109375" style="27" customWidth="1"/>
    <col min="6917" max="6917" width="22.28515625" style="27" customWidth="1"/>
    <col min="6918" max="7168" width="9.140625" style="27"/>
    <col min="7169" max="7169" width="10.5703125" style="27" customWidth="1"/>
    <col min="7170" max="7170" width="78.140625" style="27" customWidth="1"/>
    <col min="7171" max="7171" width="21.140625" style="27" customWidth="1"/>
    <col min="7172" max="7172" width="18.7109375" style="27" customWidth="1"/>
    <col min="7173" max="7173" width="22.28515625" style="27" customWidth="1"/>
    <col min="7174" max="7424" width="9.140625" style="27"/>
    <col min="7425" max="7425" width="10.5703125" style="27" customWidth="1"/>
    <col min="7426" max="7426" width="78.140625" style="27" customWidth="1"/>
    <col min="7427" max="7427" width="21.140625" style="27" customWidth="1"/>
    <col min="7428" max="7428" width="18.7109375" style="27" customWidth="1"/>
    <col min="7429" max="7429" width="22.28515625" style="27" customWidth="1"/>
    <col min="7430" max="7680" width="9.140625" style="27"/>
    <col min="7681" max="7681" width="10.5703125" style="27" customWidth="1"/>
    <col min="7682" max="7682" width="78.140625" style="27" customWidth="1"/>
    <col min="7683" max="7683" width="21.140625" style="27" customWidth="1"/>
    <col min="7684" max="7684" width="18.7109375" style="27" customWidth="1"/>
    <col min="7685" max="7685" width="22.28515625" style="27" customWidth="1"/>
    <col min="7686" max="7936" width="9.140625" style="27"/>
    <col min="7937" max="7937" width="10.5703125" style="27" customWidth="1"/>
    <col min="7938" max="7938" width="78.140625" style="27" customWidth="1"/>
    <col min="7939" max="7939" width="21.140625" style="27" customWidth="1"/>
    <col min="7940" max="7940" width="18.7109375" style="27" customWidth="1"/>
    <col min="7941" max="7941" width="22.28515625" style="27" customWidth="1"/>
    <col min="7942" max="8192" width="9.140625" style="27"/>
    <col min="8193" max="8193" width="10.5703125" style="27" customWidth="1"/>
    <col min="8194" max="8194" width="78.140625" style="27" customWidth="1"/>
    <col min="8195" max="8195" width="21.140625" style="27" customWidth="1"/>
    <col min="8196" max="8196" width="18.7109375" style="27" customWidth="1"/>
    <col min="8197" max="8197" width="22.28515625" style="27" customWidth="1"/>
    <col min="8198" max="8448" width="9.140625" style="27"/>
    <col min="8449" max="8449" width="10.5703125" style="27" customWidth="1"/>
    <col min="8450" max="8450" width="78.140625" style="27" customWidth="1"/>
    <col min="8451" max="8451" width="21.140625" style="27" customWidth="1"/>
    <col min="8452" max="8452" width="18.7109375" style="27" customWidth="1"/>
    <col min="8453" max="8453" width="22.28515625" style="27" customWidth="1"/>
    <col min="8454" max="8704" width="9.140625" style="27"/>
    <col min="8705" max="8705" width="10.5703125" style="27" customWidth="1"/>
    <col min="8706" max="8706" width="78.140625" style="27" customWidth="1"/>
    <col min="8707" max="8707" width="21.140625" style="27" customWidth="1"/>
    <col min="8708" max="8708" width="18.7109375" style="27" customWidth="1"/>
    <col min="8709" max="8709" width="22.28515625" style="27" customWidth="1"/>
    <col min="8710" max="8960" width="9.140625" style="27"/>
    <col min="8961" max="8961" width="10.5703125" style="27" customWidth="1"/>
    <col min="8962" max="8962" width="78.140625" style="27" customWidth="1"/>
    <col min="8963" max="8963" width="21.140625" style="27" customWidth="1"/>
    <col min="8964" max="8964" width="18.7109375" style="27" customWidth="1"/>
    <col min="8965" max="8965" width="22.28515625" style="27" customWidth="1"/>
    <col min="8966" max="9216" width="9.140625" style="27"/>
    <col min="9217" max="9217" width="10.5703125" style="27" customWidth="1"/>
    <col min="9218" max="9218" width="78.140625" style="27" customWidth="1"/>
    <col min="9219" max="9219" width="21.140625" style="27" customWidth="1"/>
    <col min="9220" max="9220" width="18.7109375" style="27" customWidth="1"/>
    <col min="9221" max="9221" width="22.28515625" style="27" customWidth="1"/>
    <col min="9222" max="9472" width="9.140625" style="27"/>
    <col min="9473" max="9473" width="10.5703125" style="27" customWidth="1"/>
    <col min="9474" max="9474" width="78.140625" style="27" customWidth="1"/>
    <col min="9475" max="9475" width="21.140625" style="27" customWidth="1"/>
    <col min="9476" max="9476" width="18.7109375" style="27" customWidth="1"/>
    <col min="9477" max="9477" width="22.28515625" style="27" customWidth="1"/>
    <col min="9478" max="9728" width="9.140625" style="27"/>
    <col min="9729" max="9729" width="10.5703125" style="27" customWidth="1"/>
    <col min="9730" max="9730" width="78.140625" style="27" customWidth="1"/>
    <col min="9731" max="9731" width="21.140625" style="27" customWidth="1"/>
    <col min="9732" max="9732" width="18.7109375" style="27" customWidth="1"/>
    <col min="9733" max="9733" width="22.28515625" style="27" customWidth="1"/>
    <col min="9734" max="9984" width="9.140625" style="27"/>
    <col min="9985" max="9985" width="10.5703125" style="27" customWidth="1"/>
    <col min="9986" max="9986" width="78.140625" style="27" customWidth="1"/>
    <col min="9987" max="9987" width="21.140625" style="27" customWidth="1"/>
    <col min="9988" max="9988" width="18.7109375" style="27" customWidth="1"/>
    <col min="9989" max="9989" width="22.28515625" style="27" customWidth="1"/>
    <col min="9990" max="10240" width="9.140625" style="27"/>
    <col min="10241" max="10241" width="10.5703125" style="27" customWidth="1"/>
    <col min="10242" max="10242" width="78.140625" style="27" customWidth="1"/>
    <col min="10243" max="10243" width="21.140625" style="27" customWidth="1"/>
    <col min="10244" max="10244" width="18.7109375" style="27" customWidth="1"/>
    <col min="10245" max="10245" width="22.28515625" style="27" customWidth="1"/>
    <col min="10246" max="10496" width="9.140625" style="27"/>
    <col min="10497" max="10497" width="10.5703125" style="27" customWidth="1"/>
    <col min="10498" max="10498" width="78.140625" style="27" customWidth="1"/>
    <col min="10499" max="10499" width="21.140625" style="27" customWidth="1"/>
    <col min="10500" max="10500" width="18.7109375" style="27" customWidth="1"/>
    <col min="10501" max="10501" width="22.28515625" style="27" customWidth="1"/>
    <col min="10502" max="10752" width="9.140625" style="27"/>
    <col min="10753" max="10753" width="10.5703125" style="27" customWidth="1"/>
    <col min="10754" max="10754" width="78.140625" style="27" customWidth="1"/>
    <col min="10755" max="10755" width="21.140625" style="27" customWidth="1"/>
    <col min="10756" max="10756" width="18.7109375" style="27" customWidth="1"/>
    <col min="10757" max="10757" width="22.28515625" style="27" customWidth="1"/>
    <col min="10758" max="11008" width="9.140625" style="27"/>
    <col min="11009" max="11009" width="10.5703125" style="27" customWidth="1"/>
    <col min="11010" max="11010" width="78.140625" style="27" customWidth="1"/>
    <col min="11011" max="11011" width="21.140625" style="27" customWidth="1"/>
    <col min="11012" max="11012" width="18.7109375" style="27" customWidth="1"/>
    <col min="11013" max="11013" width="22.28515625" style="27" customWidth="1"/>
    <col min="11014" max="11264" width="9.140625" style="27"/>
    <col min="11265" max="11265" width="10.5703125" style="27" customWidth="1"/>
    <col min="11266" max="11266" width="78.140625" style="27" customWidth="1"/>
    <col min="11267" max="11267" width="21.140625" style="27" customWidth="1"/>
    <col min="11268" max="11268" width="18.7109375" style="27" customWidth="1"/>
    <col min="11269" max="11269" width="22.28515625" style="27" customWidth="1"/>
    <col min="11270" max="11520" width="9.140625" style="27"/>
    <col min="11521" max="11521" width="10.5703125" style="27" customWidth="1"/>
    <col min="11522" max="11522" width="78.140625" style="27" customWidth="1"/>
    <col min="11523" max="11523" width="21.140625" style="27" customWidth="1"/>
    <col min="11524" max="11524" width="18.7109375" style="27" customWidth="1"/>
    <col min="11525" max="11525" width="22.28515625" style="27" customWidth="1"/>
    <col min="11526" max="11776" width="9.140625" style="27"/>
    <col min="11777" max="11777" width="10.5703125" style="27" customWidth="1"/>
    <col min="11778" max="11778" width="78.140625" style="27" customWidth="1"/>
    <col min="11779" max="11779" width="21.140625" style="27" customWidth="1"/>
    <col min="11780" max="11780" width="18.7109375" style="27" customWidth="1"/>
    <col min="11781" max="11781" width="22.28515625" style="27" customWidth="1"/>
    <col min="11782" max="12032" width="9.140625" style="27"/>
    <col min="12033" max="12033" width="10.5703125" style="27" customWidth="1"/>
    <col min="12034" max="12034" width="78.140625" style="27" customWidth="1"/>
    <col min="12035" max="12035" width="21.140625" style="27" customWidth="1"/>
    <col min="12036" max="12036" width="18.7109375" style="27" customWidth="1"/>
    <col min="12037" max="12037" width="22.28515625" style="27" customWidth="1"/>
    <col min="12038" max="12288" width="9.140625" style="27"/>
    <col min="12289" max="12289" width="10.5703125" style="27" customWidth="1"/>
    <col min="12290" max="12290" width="78.140625" style="27" customWidth="1"/>
    <col min="12291" max="12291" width="21.140625" style="27" customWidth="1"/>
    <col min="12292" max="12292" width="18.7109375" style="27" customWidth="1"/>
    <col min="12293" max="12293" width="22.28515625" style="27" customWidth="1"/>
    <col min="12294" max="12544" width="9.140625" style="27"/>
    <col min="12545" max="12545" width="10.5703125" style="27" customWidth="1"/>
    <col min="12546" max="12546" width="78.140625" style="27" customWidth="1"/>
    <col min="12547" max="12547" width="21.140625" style="27" customWidth="1"/>
    <col min="12548" max="12548" width="18.7109375" style="27" customWidth="1"/>
    <col min="12549" max="12549" width="22.28515625" style="27" customWidth="1"/>
    <col min="12550" max="12800" width="9.140625" style="27"/>
    <col min="12801" max="12801" width="10.5703125" style="27" customWidth="1"/>
    <col min="12802" max="12802" width="78.140625" style="27" customWidth="1"/>
    <col min="12803" max="12803" width="21.140625" style="27" customWidth="1"/>
    <col min="12804" max="12804" width="18.7109375" style="27" customWidth="1"/>
    <col min="12805" max="12805" width="22.28515625" style="27" customWidth="1"/>
    <col min="12806" max="13056" width="9.140625" style="27"/>
    <col min="13057" max="13057" width="10.5703125" style="27" customWidth="1"/>
    <col min="13058" max="13058" width="78.140625" style="27" customWidth="1"/>
    <col min="13059" max="13059" width="21.140625" style="27" customWidth="1"/>
    <col min="13060" max="13060" width="18.7109375" style="27" customWidth="1"/>
    <col min="13061" max="13061" width="22.28515625" style="27" customWidth="1"/>
    <col min="13062" max="13312" width="9.140625" style="27"/>
    <col min="13313" max="13313" width="10.5703125" style="27" customWidth="1"/>
    <col min="13314" max="13314" width="78.140625" style="27" customWidth="1"/>
    <col min="13315" max="13315" width="21.140625" style="27" customWidth="1"/>
    <col min="13316" max="13316" width="18.7109375" style="27" customWidth="1"/>
    <col min="13317" max="13317" width="22.28515625" style="27" customWidth="1"/>
    <col min="13318" max="13568" width="9.140625" style="27"/>
    <col min="13569" max="13569" width="10.5703125" style="27" customWidth="1"/>
    <col min="13570" max="13570" width="78.140625" style="27" customWidth="1"/>
    <col min="13571" max="13571" width="21.140625" style="27" customWidth="1"/>
    <col min="13572" max="13572" width="18.7109375" style="27" customWidth="1"/>
    <col min="13573" max="13573" width="22.28515625" style="27" customWidth="1"/>
    <col min="13574" max="13824" width="9.140625" style="27"/>
    <col min="13825" max="13825" width="10.5703125" style="27" customWidth="1"/>
    <col min="13826" max="13826" width="78.140625" style="27" customWidth="1"/>
    <col min="13827" max="13827" width="21.140625" style="27" customWidth="1"/>
    <col min="13828" max="13828" width="18.7109375" style="27" customWidth="1"/>
    <col min="13829" max="13829" width="22.28515625" style="27" customWidth="1"/>
    <col min="13830" max="14080" width="9.140625" style="27"/>
    <col min="14081" max="14081" width="10.5703125" style="27" customWidth="1"/>
    <col min="14082" max="14082" width="78.140625" style="27" customWidth="1"/>
    <col min="14083" max="14083" width="21.140625" style="27" customWidth="1"/>
    <col min="14084" max="14084" width="18.7109375" style="27" customWidth="1"/>
    <col min="14085" max="14085" width="22.28515625" style="27" customWidth="1"/>
    <col min="14086" max="14336" width="9.140625" style="27"/>
    <col min="14337" max="14337" width="10.5703125" style="27" customWidth="1"/>
    <col min="14338" max="14338" width="78.140625" style="27" customWidth="1"/>
    <col min="14339" max="14339" width="21.140625" style="27" customWidth="1"/>
    <col min="14340" max="14340" width="18.7109375" style="27" customWidth="1"/>
    <col min="14341" max="14341" width="22.28515625" style="27" customWidth="1"/>
    <col min="14342" max="14592" width="9.140625" style="27"/>
    <col min="14593" max="14593" width="10.5703125" style="27" customWidth="1"/>
    <col min="14594" max="14594" width="78.140625" style="27" customWidth="1"/>
    <col min="14595" max="14595" width="21.140625" style="27" customWidth="1"/>
    <col min="14596" max="14596" width="18.7109375" style="27" customWidth="1"/>
    <col min="14597" max="14597" width="22.28515625" style="27" customWidth="1"/>
    <col min="14598" max="14848" width="9.140625" style="27"/>
    <col min="14849" max="14849" width="10.5703125" style="27" customWidth="1"/>
    <col min="14850" max="14850" width="78.140625" style="27" customWidth="1"/>
    <col min="14851" max="14851" width="21.140625" style="27" customWidth="1"/>
    <col min="14852" max="14852" width="18.7109375" style="27" customWidth="1"/>
    <col min="14853" max="14853" width="22.28515625" style="27" customWidth="1"/>
    <col min="14854" max="15104" width="9.140625" style="27"/>
    <col min="15105" max="15105" width="10.5703125" style="27" customWidth="1"/>
    <col min="15106" max="15106" width="78.140625" style="27" customWidth="1"/>
    <col min="15107" max="15107" width="21.140625" style="27" customWidth="1"/>
    <col min="15108" max="15108" width="18.7109375" style="27" customWidth="1"/>
    <col min="15109" max="15109" width="22.28515625" style="27" customWidth="1"/>
    <col min="15110" max="15360" width="9.140625" style="27"/>
    <col min="15361" max="15361" width="10.5703125" style="27" customWidth="1"/>
    <col min="15362" max="15362" width="78.140625" style="27" customWidth="1"/>
    <col min="15363" max="15363" width="21.140625" style="27" customWidth="1"/>
    <col min="15364" max="15364" width="18.7109375" style="27" customWidth="1"/>
    <col min="15365" max="15365" width="22.28515625" style="27" customWidth="1"/>
    <col min="15366" max="15616" width="9.140625" style="27"/>
    <col min="15617" max="15617" width="10.5703125" style="27" customWidth="1"/>
    <col min="15618" max="15618" width="78.140625" style="27" customWidth="1"/>
    <col min="15619" max="15619" width="21.140625" style="27" customWidth="1"/>
    <col min="15620" max="15620" width="18.7109375" style="27" customWidth="1"/>
    <col min="15621" max="15621" width="22.28515625" style="27" customWidth="1"/>
    <col min="15622" max="15872" width="9.140625" style="27"/>
    <col min="15873" max="15873" width="10.5703125" style="27" customWidth="1"/>
    <col min="15874" max="15874" width="78.140625" style="27" customWidth="1"/>
    <col min="15875" max="15875" width="21.140625" style="27" customWidth="1"/>
    <col min="15876" max="15876" width="18.7109375" style="27" customWidth="1"/>
    <col min="15877" max="15877" width="22.28515625" style="27" customWidth="1"/>
    <col min="15878" max="16128" width="9.140625" style="27"/>
    <col min="16129" max="16129" width="10.5703125" style="27" customWidth="1"/>
    <col min="16130" max="16130" width="78.140625" style="27" customWidth="1"/>
    <col min="16131" max="16131" width="21.140625" style="27" customWidth="1"/>
    <col min="16132" max="16132" width="18.7109375" style="27" customWidth="1"/>
    <col min="16133" max="16133" width="22.28515625" style="27" customWidth="1"/>
    <col min="16134" max="16384" width="9.140625" style="27"/>
  </cols>
  <sheetData>
    <row r="1" spans="1:5">
      <c r="A1" s="473" t="s">
        <v>9665</v>
      </c>
      <c r="B1" s="473"/>
      <c r="C1" s="473"/>
      <c r="D1" s="473"/>
      <c r="E1" s="473"/>
    </row>
    <row r="2" spans="1:5">
      <c r="A2" s="473" t="s">
        <v>34</v>
      </c>
      <c r="B2" s="473"/>
      <c r="C2" s="473"/>
      <c r="D2" s="473"/>
      <c r="E2" s="473"/>
    </row>
    <row r="3" spans="1:5">
      <c r="A3" s="473" t="s">
        <v>9666</v>
      </c>
      <c r="B3" s="473"/>
      <c r="C3" s="473"/>
      <c r="D3" s="473"/>
      <c r="E3" s="473"/>
    </row>
    <row r="4" spans="1:5">
      <c r="A4" s="473" t="s">
        <v>37</v>
      </c>
      <c r="B4" s="473"/>
      <c r="C4" s="473"/>
      <c r="D4" s="473"/>
      <c r="E4" s="473"/>
    </row>
    <row r="5" spans="1:5">
      <c r="A5" s="473" t="s">
        <v>9667</v>
      </c>
      <c r="B5" s="473"/>
      <c r="C5" s="473"/>
      <c r="D5" s="473"/>
      <c r="E5" s="473"/>
    </row>
    <row r="6" spans="1:5">
      <c r="A6" s="473" t="s">
        <v>34</v>
      </c>
      <c r="B6" s="473"/>
      <c r="C6" s="473"/>
      <c r="D6" s="473"/>
      <c r="E6" s="473"/>
    </row>
    <row r="7" spans="1:5">
      <c r="A7" s="473" t="s">
        <v>38</v>
      </c>
      <c r="B7" s="473" t="s">
        <v>39</v>
      </c>
      <c r="C7" s="473" t="s">
        <v>31</v>
      </c>
      <c r="D7" s="473" t="s">
        <v>32</v>
      </c>
      <c r="E7" s="473" t="s">
        <v>9668</v>
      </c>
    </row>
    <row r="8" spans="1:5">
      <c r="A8" s="473">
        <v>39847</v>
      </c>
      <c r="B8" s="473" t="s">
        <v>9669</v>
      </c>
      <c r="C8" s="473" t="s">
        <v>40</v>
      </c>
      <c r="D8" s="473" t="s">
        <v>41</v>
      </c>
      <c r="E8" s="361">
        <v>1339.03</v>
      </c>
    </row>
    <row r="9" spans="1:5">
      <c r="A9" s="473">
        <v>39844</v>
      </c>
      <c r="B9" s="473" t="s">
        <v>9670</v>
      </c>
      <c r="C9" s="473" t="s">
        <v>40</v>
      </c>
      <c r="D9" s="473" t="s">
        <v>41</v>
      </c>
      <c r="E9" s="361">
        <v>1976.14</v>
      </c>
    </row>
    <row r="10" spans="1:5">
      <c r="A10" s="473">
        <v>39846</v>
      </c>
      <c r="B10" s="473" t="s">
        <v>9671</v>
      </c>
      <c r="C10" s="473" t="s">
        <v>40</v>
      </c>
      <c r="D10" s="473" t="s">
        <v>41</v>
      </c>
      <c r="E10" s="361">
        <v>1207.3800000000001</v>
      </c>
    </row>
    <row r="11" spans="1:5">
      <c r="A11" s="473">
        <v>39838</v>
      </c>
      <c r="B11" s="473" t="s">
        <v>9672</v>
      </c>
      <c r="C11" s="473" t="s">
        <v>40</v>
      </c>
      <c r="D11" s="473" t="s">
        <v>41</v>
      </c>
      <c r="E11" s="361">
        <v>3346.46</v>
      </c>
    </row>
    <row r="12" spans="1:5">
      <c r="A12" s="473">
        <v>39839</v>
      </c>
      <c r="B12" s="473" t="s">
        <v>9673</v>
      </c>
      <c r="C12" s="473" t="s">
        <v>40</v>
      </c>
      <c r="D12" s="473" t="s">
        <v>41</v>
      </c>
      <c r="E12" s="361">
        <v>3496.29</v>
      </c>
    </row>
    <row r="13" spans="1:5">
      <c r="A13" s="473">
        <v>39841</v>
      </c>
      <c r="B13" s="473" t="s">
        <v>9674</v>
      </c>
      <c r="C13" s="473" t="s">
        <v>40</v>
      </c>
      <c r="D13" s="473" t="s">
        <v>41</v>
      </c>
      <c r="E13" s="361">
        <v>4737.6499999999996</v>
      </c>
    </row>
    <row r="14" spans="1:5">
      <c r="A14" s="473">
        <v>39842</v>
      </c>
      <c r="B14" s="473" t="s">
        <v>9675</v>
      </c>
      <c r="C14" s="473" t="s">
        <v>40</v>
      </c>
      <c r="D14" s="473" t="s">
        <v>41</v>
      </c>
      <c r="E14" s="361">
        <v>6018.6</v>
      </c>
    </row>
    <row r="15" spans="1:5">
      <c r="A15" s="473">
        <v>39843</v>
      </c>
      <c r="B15" s="473" t="s">
        <v>9676</v>
      </c>
      <c r="C15" s="473" t="s">
        <v>40</v>
      </c>
      <c r="D15" s="473" t="s">
        <v>41</v>
      </c>
      <c r="E15" s="361">
        <v>6643.86</v>
      </c>
    </row>
    <row r="16" spans="1:5">
      <c r="A16" s="473">
        <v>2404</v>
      </c>
      <c r="B16" s="473" t="s">
        <v>9677</v>
      </c>
      <c r="C16" s="473" t="s">
        <v>46</v>
      </c>
      <c r="D16" s="473" t="s">
        <v>47</v>
      </c>
      <c r="E16" s="361">
        <v>84.62</v>
      </c>
    </row>
    <row r="17" spans="1:5">
      <c r="A17" s="473">
        <v>2720</v>
      </c>
      <c r="B17" s="473" t="s">
        <v>9678</v>
      </c>
      <c r="C17" s="473" t="s">
        <v>43</v>
      </c>
      <c r="D17" s="473" t="s">
        <v>47</v>
      </c>
      <c r="E17" s="361">
        <v>154.02000000000001</v>
      </c>
    </row>
    <row r="18" spans="1:5">
      <c r="A18" s="473">
        <v>2719</v>
      </c>
      <c r="B18" s="473" t="s">
        <v>9679</v>
      </c>
      <c r="C18" s="473" t="s">
        <v>43</v>
      </c>
      <c r="D18" s="473" t="s">
        <v>47</v>
      </c>
      <c r="E18" s="361">
        <v>130.5</v>
      </c>
    </row>
    <row r="19" spans="1:5">
      <c r="A19" s="473">
        <v>3378</v>
      </c>
      <c r="B19" s="473" t="s">
        <v>9680</v>
      </c>
      <c r="C19" s="473" t="s">
        <v>40</v>
      </c>
      <c r="D19" s="473" t="s">
        <v>41</v>
      </c>
      <c r="E19" s="361">
        <v>61.47</v>
      </c>
    </row>
    <row r="20" spans="1:5">
      <c r="A20" s="473">
        <v>3380</v>
      </c>
      <c r="B20" s="473" t="s">
        <v>9681</v>
      </c>
      <c r="C20" s="473" t="s">
        <v>40</v>
      </c>
      <c r="D20" s="473" t="s">
        <v>44</v>
      </c>
      <c r="E20" s="361">
        <v>43.03</v>
      </c>
    </row>
    <row r="21" spans="1:5">
      <c r="A21" s="473">
        <v>3379</v>
      </c>
      <c r="B21" s="473" t="s">
        <v>9682</v>
      </c>
      <c r="C21" s="473" t="s">
        <v>40</v>
      </c>
      <c r="D21" s="473" t="s">
        <v>41</v>
      </c>
      <c r="E21" s="361">
        <v>41.54</v>
      </c>
    </row>
    <row r="22" spans="1:5">
      <c r="A22" s="473">
        <v>13382</v>
      </c>
      <c r="B22" s="473" t="s">
        <v>9683</v>
      </c>
      <c r="C22" s="473" t="s">
        <v>40</v>
      </c>
      <c r="D22" s="473" t="s">
        <v>47</v>
      </c>
      <c r="E22" s="361">
        <v>189.54</v>
      </c>
    </row>
    <row r="23" spans="1:5">
      <c r="A23" s="473">
        <v>4126</v>
      </c>
      <c r="B23" s="473" t="s">
        <v>9684</v>
      </c>
      <c r="C23" s="473" t="s">
        <v>40</v>
      </c>
      <c r="D23" s="473" t="s">
        <v>47</v>
      </c>
      <c r="E23" s="361">
        <v>209.97</v>
      </c>
    </row>
    <row r="24" spans="1:5">
      <c r="A24" s="473">
        <v>10615</v>
      </c>
      <c r="B24" s="473" t="s">
        <v>9685</v>
      </c>
      <c r="C24" s="473" t="s">
        <v>40</v>
      </c>
      <c r="D24" s="473" t="s">
        <v>44</v>
      </c>
      <c r="E24" s="361">
        <v>42999</v>
      </c>
    </row>
    <row r="25" spans="1:5">
      <c r="A25" s="473">
        <v>21136</v>
      </c>
      <c r="B25" s="473" t="s">
        <v>9686</v>
      </c>
      <c r="C25" s="473" t="s">
        <v>48</v>
      </c>
      <c r="D25" s="473" t="s">
        <v>47</v>
      </c>
      <c r="E25" s="361">
        <v>11.84</v>
      </c>
    </row>
    <row r="26" spans="1:5">
      <c r="A26" s="473">
        <v>21128</v>
      </c>
      <c r="B26" s="473" t="s">
        <v>9687</v>
      </c>
      <c r="C26" s="473" t="s">
        <v>48</v>
      </c>
      <c r="D26" s="473" t="s">
        <v>47</v>
      </c>
      <c r="E26" s="361">
        <v>9.16</v>
      </c>
    </row>
    <row r="27" spans="1:5">
      <c r="A27" s="473">
        <v>21130</v>
      </c>
      <c r="B27" s="473" t="s">
        <v>9688</v>
      </c>
      <c r="C27" s="473" t="s">
        <v>48</v>
      </c>
      <c r="D27" s="473" t="s">
        <v>47</v>
      </c>
      <c r="E27" s="361">
        <v>23.13</v>
      </c>
    </row>
    <row r="28" spans="1:5">
      <c r="A28" s="473">
        <v>21135</v>
      </c>
      <c r="B28" s="473" t="s">
        <v>9689</v>
      </c>
      <c r="C28" s="473" t="s">
        <v>48</v>
      </c>
      <c r="D28" s="473" t="s">
        <v>47</v>
      </c>
      <c r="E28" s="361">
        <v>22.77</v>
      </c>
    </row>
    <row r="29" spans="1:5">
      <c r="A29" s="473">
        <v>38605</v>
      </c>
      <c r="B29" s="473" t="s">
        <v>9690</v>
      </c>
      <c r="C29" s="473" t="s">
        <v>40</v>
      </c>
      <c r="D29" s="473" t="s">
        <v>41</v>
      </c>
      <c r="E29" s="361">
        <v>60.41</v>
      </c>
    </row>
    <row r="30" spans="1:5">
      <c r="A30" s="473">
        <v>11270</v>
      </c>
      <c r="B30" s="473" t="s">
        <v>9691</v>
      </c>
      <c r="C30" s="473" t="s">
        <v>40</v>
      </c>
      <c r="D30" s="473" t="s">
        <v>41</v>
      </c>
      <c r="E30" s="361">
        <v>1.88</v>
      </c>
    </row>
    <row r="31" spans="1:5">
      <c r="A31" s="473">
        <v>412</v>
      </c>
      <c r="B31" s="473" t="s">
        <v>9692</v>
      </c>
      <c r="C31" s="473" t="s">
        <v>40</v>
      </c>
      <c r="D31" s="473" t="s">
        <v>41</v>
      </c>
      <c r="E31" s="361">
        <v>0.97</v>
      </c>
    </row>
    <row r="32" spans="1:5">
      <c r="A32" s="473">
        <v>414</v>
      </c>
      <c r="B32" s="473" t="s">
        <v>9693</v>
      </c>
      <c r="C32" s="473" t="s">
        <v>40</v>
      </c>
      <c r="D32" s="473" t="s">
        <v>41</v>
      </c>
      <c r="E32" s="361">
        <v>0.06</v>
      </c>
    </row>
    <row r="33" spans="1:5">
      <c r="A33" s="473">
        <v>410</v>
      </c>
      <c r="B33" s="473" t="s">
        <v>9694</v>
      </c>
      <c r="C33" s="473" t="s">
        <v>40</v>
      </c>
      <c r="D33" s="473" t="s">
        <v>41</v>
      </c>
      <c r="E33" s="361">
        <v>0.15</v>
      </c>
    </row>
    <row r="34" spans="1:5">
      <c r="A34" s="473">
        <v>411</v>
      </c>
      <c r="B34" s="473" t="s">
        <v>9695</v>
      </c>
      <c r="C34" s="473" t="s">
        <v>40</v>
      </c>
      <c r="D34" s="473" t="s">
        <v>44</v>
      </c>
      <c r="E34" s="361">
        <v>0.19</v>
      </c>
    </row>
    <row r="35" spans="1:5">
      <c r="A35" s="473">
        <v>408</v>
      </c>
      <c r="B35" s="473" t="s">
        <v>9696</v>
      </c>
      <c r="C35" s="473" t="s">
        <v>40</v>
      </c>
      <c r="D35" s="473" t="s">
        <v>41</v>
      </c>
      <c r="E35" s="361">
        <v>0.94</v>
      </c>
    </row>
    <row r="36" spans="1:5">
      <c r="A36" s="473">
        <v>39131</v>
      </c>
      <c r="B36" s="473" t="s">
        <v>9697</v>
      </c>
      <c r="C36" s="473" t="s">
        <v>40</v>
      </c>
      <c r="D36" s="473" t="s">
        <v>41</v>
      </c>
      <c r="E36" s="361">
        <v>2.04</v>
      </c>
    </row>
    <row r="37" spans="1:5">
      <c r="A37" s="473">
        <v>394</v>
      </c>
      <c r="B37" s="473" t="s">
        <v>9698</v>
      </c>
      <c r="C37" s="473" t="s">
        <v>40</v>
      </c>
      <c r="D37" s="473" t="s">
        <v>41</v>
      </c>
      <c r="E37" s="361">
        <v>2.06</v>
      </c>
    </row>
    <row r="38" spans="1:5">
      <c r="A38" s="473">
        <v>39130</v>
      </c>
      <c r="B38" s="473" t="s">
        <v>9699</v>
      </c>
      <c r="C38" s="473" t="s">
        <v>40</v>
      </c>
      <c r="D38" s="473" t="s">
        <v>41</v>
      </c>
      <c r="E38" s="361">
        <v>1.86</v>
      </c>
    </row>
    <row r="39" spans="1:5">
      <c r="A39" s="473">
        <v>395</v>
      </c>
      <c r="B39" s="473" t="s">
        <v>9700</v>
      </c>
      <c r="C39" s="473" t="s">
        <v>40</v>
      </c>
      <c r="D39" s="473" t="s">
        <v>41</v>
      </c>
      <c r="E39" s="361">
        <v>1.99</v>
      </c>
    </row>
    <row r="40" spans="1:5">
      <c r="A40" s="473">
        <v>39127</v>
      </c>
      <c r="B40" s="473" t="s">
        <v>9701</v>
      </c>
      <c r="C40" s="473" t="s">
        <v>40</v>
      </c>
      <c r="D40" s="473" t="s">
        <v>41</v>
      </c>
      <c r="E40" s="361">
        <v>0.98</v>
      </c>
    </row>
    <row r="41" spans="1:5">
      <c r="A41" s="473">
        <v>392</v>
      </c>
      <c r="B41" s="473" t="s">
        <v>9702</v>
      </c>
      <c r="C41" s="473" t="s">
        <v>40</v>
      </c>
      <c r="D41" s="473" t="s">
        <v>41</v>
      </c>
      <c r="E41" s="361">
        <v>1</v>
      </c>
    </row>
    <row r="42" spans="1:5">
      <c r="A42" s="473">
        <v>39129</v>
      </c>
      <c r="B42" s="473" t="s">
        <v>9703</v>
      </c>
      <c r="C42" s="473" t="s">
        <v>40</v>
      </c>
      <c r="D42" s="473" t="s">
        <v>41</v>
      </c>
      <c r="E42" s="361">
        <v>1.1399999999999999</v>
      </c>
    </row>
    <row r="43" spans="1:5">
      <c r="A43" s="473">
        <v>393</v>
      </c>
      <c r="B43" s="473" t="s">
        <v>9704</v>
      </c>
      <c r="C43" s="473" t="s">
        <v>40</v>
      </c>
      <c r="D43" s="473" t="s">
        <v>44</v>
      </c>
      <c r="E43" s="361">
        <v>1.2</v>
      </c>
    </row>
    <row r="44" spans="1:5">
      <c r="A44" s="473">
        <v>39133</v>
      </c>
      <c r="B44" s="473" t="s">
        <v>9705</v>
      </c>
      <c r="C44" s="473" t="s">
        <v>40</v>
      </c>
      <c r="D44" s="473" t="s">
        <v>41</v>
      </c>
      <c r="E44" s="361">
        <v>2.68</v>
      </c>
    </row>
    <row r="45" spans="1:5">
      <c r="A45" s="473">
        <v>397</v>
      </c>
      <c r="B45" s="473" t="s">
        <v>9706</v>
      </c>
      <c r="C45" s="473" t="s">
        <v>40</v>
      </c>
      <c r="D45" s="473" t="s">
        <v>41</v>
      </c>
      <c r="E45" s="361">
        <v>2.96</v>
      </c>
    </row>
    <row r="46" spans="1:5">
      <c r="A46" s="473">
        <v>39132</v>
      </c>
      <c r="B46" s="473" t="s">
        <v>9707</v>
      </c>
      <c r="C46" s="473" t="s">
        <v>40</v>
      </c>
      <c r="D46" s="473" t="s">
        <v>41</v>
      </c>
      <c r="E46" s="361">
        <v>2.14</v>
      </c>
    </row>
    <row r="47" spans="1:5">
      <c r="A47" s="473">
        <v>396</v>
      </c>
      <c r="B47" s="473" t="s">
        <v>9708</v>
      </c>
      <c r="C47" s="473" t="s">
        <v>40</v>
      </c>
      <c r="D47" s="473" t="s">
        <v>41</v>
      </c>
      <c r="E47" s="361">
        <v>2.29</v>
      </c>
    </row>
    <row r="48" spans="1:5">
      <c r="A48" s="473">
        <v>39135</v>
      </c>
      <c r="B48" s="473" t="s">
        <v>9709</v>
      </c>
      <c r="C48" s="473" t="s">
        <v>40</v>
      </c>
      <c r="D48" s="473" t="s">
        <v>41</v>
      </c>
      <c r="E48" s="361">
        <v>4.28</v>
      </c>
    </row>
    <row r="49" spans="1:5">
      <c r="A49" s="473">
        <v>39128</v>
      </c>
      <c r="B49" s="473" t="s">
        <v>9710</v>
      </c>
      <c r="C49" s="473" t="s">
        <v>40</v>
      </c>
      <c r="D49" s="473" t="s">
        <v>41</v>
      </c>
      <c r="E49" s="361">
        <v>1.07</v>
      </c>
    </row>
    <row r="50" spans="1:5">
      <c r="A50" s="473">
        <v>400</v>
      </c>
      <c r="B50" s="473" t="s">
        <v>9711</v>
      </c>
      <c r="C50" s="473" t="s">
        <v>40</v>
      </c>
      <c r="D50" s="473" t="s">
        <v>41</v>
      </c>
      <c r="E50" s="361">
        <v>1.04</v>
      </c>
    </row>
    <row r="51" spans="1:5">
      <c r="A51" s="473">
        <v>39125</v>
      </c>
      <c r="B51" s="473" t="s">
        <v>9712</v>
      </c>
      <c r="C51" s="473" t="s">
        <v>40</v>
      </c>
      <c r="D51" s="473" t="s">
        <v>41</v>
      </c>
      <c r="E51" s="361">
        <v>1.07</v>
      </c>
    </row>
    <row r="52" spans="1:5">
      <c r="A52" s="473">
        <v>39134</v>
      </c>
      <c r="B52" s="473" t="s">
        <v>9713</v>
      </c>
      <c r="C52" s="473" t="s">
        <v>40</v>
      </c>
      <c r="D52" s="473" t="s">
        <v>41</v>
      </c>
      <c r="E52" s="361">
        <v>3.57</v>
      </c>
    </row>
    <row r="53" spans="1:5">
      <c r="A53" s="473">
        <v>398</v>
      </c>
      <c r="B53" s="473" t="s">
        <v>9714</v>
      </c>
      <c r="C53" s="473" t="s">
        <v>40</v>
      </c>
      <c r="D53" s="473" t="s">
        <v>41</v>
      </c>
      <c r="E53" s="361">
        <v>3.29</v>
      </c>
    </row>
    <row r="54" spans="1:5">
      <c r="A54" s="473">
        <v>39126</v>
      </c>
      <c r="B54" s="473" t="s">
        <v>9715</v>
      </c>
      <c r="C54" s="473" t="s">
        <v>40</v>
      </c>
      <c r="D54" s="473" t="s">
        <v>41</v>
      </c>
      <c r="E54" s="361">
        <v>4.82</v>
      </c>
    </row>
    <row r="55" spans="1:5">
      <c r="A55" s="473">
        <v>399</v>
      </c>
      <c r="B55" s="473" t="s">
        <v>9716</v>
      </c>
      <c r="C55" s="473" t="s">
        <v>40</v>
      </c>
      <c r="D55" s="473" t="s">
        <v>41</v>
      </c>
      <c r="E55" s="361">
        <v>4.25</v>
      </c>
    </row>
    <row r="56" spans="1:5">
      <c r="A56" s="473">
        <v>39158</v>
      </c>
      <c r="B56" s="473" t="s">
        <v>9717</v>
      </c>
      <c r="C56" s="473" t="s">
        <v>40</v>
      </c>
      <c r="D56" s="473" t="s">
        <v>41</v>
      </c>
      <c r="E56" s="361">
        <v>11.41</v>
      </c>
    </row>
    <row r="57" spans="1:5">
      <c r="A57" s="473">
        <v>39141</v>
      </c>
      <c r="B57" s="473" t="s">
        <v>9718</v>
      </c>
      <c r="C57" s="473" t="s">
        <v>40</v>
      </c>
      <c r="D57" s="473" t="s">
        <v>41</v>
      </c>
      <c r="E57" s="361">
        <v>0.82</v>
      </c>
    </row>
    <row r="58" spans="1:5">
      <c r="A58" s="473">
        <v>39140</v>
      </c>
      <c r="B58" s="473" t="s">
        <v>9719</v>
      </c>
      <c r="C58" s="473" t="s">
        <v>40</v>
      </c>
      <c r="D58" s="473" t="s">
        <v>41</v>
      </c>
      <c r="E58" s="361">
        <v>0.75</v>
      </c>
    </row>
    <row r="59" spans="1:5">
      <c r="A59" s="473">
        <v>39137</v>
      </c>
      <c r="B59" s="473" t="s">
        <v>9720</v>
      </c>
      <c r="C59" s="473" t="s">
        <v>40</v>
      </c>
      <c r="D59" s="473" t="s">
        <v>41</v>
      </c>
      <c r="E59" s="361">
        <v>0.43</v>
      </c>
    </row>
    <row r="60" spans="1:5">
      <c r="A60" s="473">
        <v>39139</v>
      </c>
      <c r="B60" s="473" t="s">
        <v>9721</v>
      </c>
      <c r="C60" s="473" t="s">
        <v>40</v>
      </c>
      <c r="D60" s="473" t="s">
        <v>41</v>
      </c>
      <c r="E60" s="361">
        <v>0.62</v>
      </c>
    </row>
    <row r="61" spans="1:5">
      <c r="A61" s="473">
        <v>39143</v>
      </c>
      <c r="B61" s="473" t="s">
        <v>9722</v>
      </c>
      <c r="C61" s="473" t="s">
        <v>40</v>
      </c>
      <c r="D61" s="473" t="s">
        <v>41</v>
      </c>
      <c r="E61" s="361">
        <v>1.71</v>
      </c>
    </row>
    <row r="62" spans="1:5">
      <c r="A62" s="473">
        <v>39142</v>
      </c>
      <c r="B62" s="473" t="s">
        <v>9723</v>
      </c>
      <c r="C62" s="473" t="s">
        <v>40</v>
      </c>
      <c r="D62" s="473" t="s">
        <v>41</v>
      </c>
      <c r="E62" s="361">
        <v>1.22</v>
      </c>
    </row>
    <row r="63" spans="1:5">
      <c r="A63" s="473">
        <v>39138</v>
      </c>
      <c r="B63" s="473" t="s">
        <v>9724</v>
      </c>
      <c r="C63" s="473" t="s">
        <v>40</v>
      </c>
      <c r="D63" s="473" t="s">
        <v>41</v>
      </c>
      <c r="E63" s="361">
        <v>0.45</v>
      </c>
    </row>
    <row r="64" spans="1:5">
      <c r="A64" s="473">
        <v>39136</v>
      </c>
      <c r="B64" s="473" t="s">
        <v>9725</v>
      </c>
      <c r="C64" s="473" t="s">
        <v>40</v>
      </c>
      <c r="D64" s="473" t="s">
        <v>41</v>
      </c>
      <c r="E64" s="361">
        <v>0.3</v>
      </c>
    </row>
    <row r="65" spans="1:5">
      <c r="A65" s="473">
        <v>39144</v>
      </c>
      <c r="B65" s="473" t="s">
        <v>9726</v>
      </c>
      <c r="C65" s="473" t="s">
        <v>40</v>
      </c>
      <c r="D65" s="473" t="s">
        <v>41</v>
      </c>
      <c r="E65" s="361">
        <v>1.99</v>
      </c>
    </row>
    <row r="66" spans="1:5">
      <c r="A66" s="473">
        <v>39145</v>
      </c>
      <c r="B66" s="473" t="s">
        <v>9727</v>
      </c>
      <c r="C66" s="473" t="s">
        <v>40</v>
      </c>
      <c r="D66" s="473" t="s">
        <v>41</v>
      </c>
      <c r="E66" s="361">
        <v>3.28</v>
      </c>
    </row>
    <row r="67" spans="1:5">
      <c r="A67" s="473">
        <v>12615</v>
      </c>
      <c r="B67" s="473" t="s">
        <v>9728</v>
      </c>
      <c r="C67" s="473" t="s">
        <v>40</v>
      </c>
      <c r="D67" s="473" t="s">
        <v>47</v>
      </c>
      <c r="E67" s="361">
        <v>3.7</v>
      </c>
    </row>
    <row r="68" spans="1:5">
      <c r="A68" s="473">
        <v>11927</v>
      </c>
      <c r="B68" s="473" t="s">
        <v>9729</v>
      </c>
      <c r="C68" s="473" t="s">
        <v>40</v>
      </c>
      <c r="D68" s="473" t="s">
        <v>41</v>
      </c>
      <c r="E68" s="361">
        <v>5.62</v>
      </c>
    </row>
    <row r="69" spans="1:5">
      <c r="A69" s="473">
        <v>11928</v>
      </c>
      <c r="B69" s="473" t="s">
        <v>9730</v>
      </c>
      <c r="C69" s="473" t="s">
        <v>40</v>
      </c>
      <c r="D69" s="473" t="s">
        <v>41</v>
      </c>
      <c r="E69" s="361">
        <v>6.44</v>
      </c>
    </row>
    <row r="70" spans="1:5">
      <c r="A70" s="473">
        <v>11929</v>
      </c>
      <c r="B70" s="473" t="s">
        <v>9731</v>
      </c>
      <c r="C70" s="473" t="s">
        <v>40</v>
      </c>
      <c r="D70" s="473" t="s">
        <v>41</v>
      </c>
      <c r="E70" s="361">
        <v>9.9600000000000009</v>
      </c>
    </row>
    <row r="71" spans="1:5">
      <c r="A71" s="473">
        <v>36801</v>
      </c>
      <c r="B71" s="473" t="s">
        <v>9732</v>
      </c>
      <c r="C71" s="473" t="s">
        <v>40</v>
      </c>
      <c r="D71" s="473" t="s">
        <v>41</v>
      </c>
      <c r="E71" s="361">
        <v>19.22</v>
      </c>
    </row>
    <row r="72" spans="1:5">
      <c r="A72" s="473">
        <v>36246</v>
      </c>
      <c r="B72" s="473" t="s">
        <v>9733</v>
      </c>
      <c r="C72" s="473" t="s">
        <v>48</v>
      </c>
      <c r="D72" s="473" t="s">
        <v>41</v>
      </c>
      <c r="E72" s="361">
        <v>1.96</v>
      </c>
    </row>
    <row r="73" spans="1:5">
      <c r="A73" s="473">
        <v>37600</v>
      </c>
      <c r="B73" s="473" t="s">
        <v>9734</v>
      </c>
      <c r="C73" s="473" t="s">
        <v>40</v>
      </c>
      <c r="D73" s="473" t="s">
        <v>47</v>
      </c>
      <c r="E73" s="361">
        <v>51.99</v>
      </c>
    </row>
    <row r="74" spans="1:5">
      <c r="A74" s="473">
        <v>37599</v>
      </c>
      <c r="B74" s="473" t="s">
        <v>9735</v>
      </c>
      <c r="C74" s="473" t="s">
        <v>40</v>
      </c>
      <c r="D74" s="473" t="s">
        <v>47</v>
      </c>
      <c r="E74" s="361">
        <v>48.39</v>
      </c>
    </row>
    <row r="75" spans="1:5">
      <c r="A75" s="473">
        <v>1</v>
      </c>
      <c r="B75" s="473" t="s">
        <v>9736</v>
      </c>
      <c r="C75" s="473" t="s">
        <v>49</v>
      </c>
      <c r="D75" s="473" t="s">
        <v>44</v>
      </c>
      <c r="E75" s="361">
        <v>40</v>
      </c>
    </row>
    <row r="76" spans="1:5">
      <c r="A76" s="473">
        <v>3</v>
      </c>
      <c r="B76" s="473" t="s">
        <v>9737</v>
      </c>
      <c r="C76" s="473" t="s">
        <v>50</v>
      </c>
      <c r="D76" s="473" t="s">
        <v>41</v>
      </c>
      <c r="E76" s="361">
        <v>4.1900000000000004</v>
      </c>
    </row>
    <row r="77" spans="1:5">
      <c r="A77" s="473">
        <v>26</v>
      </c>
      <c r="B77" s="473" t="s">
        <v>9738</v>
      </c>
      <c r="C77" s="473" t="s">
        <v>49</v>
      </c>
      <c r="D77" s="473" t="s">
        <v>41</v>
      </c>
      <c r="E77" s="361">
        <v>4.71</v>
      </c>
    </row>
    <row r="78" spans="1:5">
      <c r="A78" s="473">
        <v>20</v>
      </c>
      <c r="B78" s="473" t="s">
        <v>9739</v>
      </c>
      <c r="C78" s="473" t="s">
        <v>49</v>
      </c>
      <c r="D78" s="473" t="s">
        <v>44</v>
      </c>
      <c r="E78" s="361">
        <v>4.74</v>
      </c>
    </row>
    <row r="79" spans="1:5">
      <c r="A79" s="473">
        <v>21</v>
      </c>
      <c r="B79" s="473" t="s">
        <v>9740</v>
      </c>
      <c r="C79" s="473" t="s">
        <v>49</v>
      </c>
      <c r="D79" s="473" t="s">
        <v>41</v>
      </c>
      <c r="E79" s="361">
        <v>4.74</v>
      </c>
    </row>
    <row r="80" spans="1:5">
      <c r="A80" s="473">
        <v>24</v>
      </c>
      <c r="B80" s="473" t="s">
        <v>9741</v>
      </c>
      <c r="C80" s="473" t="s">
        <v>49</v>
      </c>
      <c r="D80" s="473" t="s">
        <v>41</v>
      </c>
      <c r="E80" s="361">
        <v>4.74</v>
      </c>
    </row>
    <row r="81" spans="1:5">
      <c r="A81" s="473">
        <v>25</v>
      </c>
      <c r="B81" s="473" t="s">
        <v>9742</v>
      </c>
      <c r="C81" s="473" t="s">
        <v>49</v>
      </c>
      <c r="D81" s="473" t="s">
        <v>41</v>
      </c>
      <c r="E81" s="361">
        <v>4.74</v>
      </c>
    </row>
    <row r="82" spans="1:5">
      <c r="A82" s="473">
        <v>43065</v>
      </c>
      <c r="B82" s="473" t="s">
        <v>9743</v>
      </c>
      <c r="C82" s="473" t="s">
        <v>49</v>
      </c>
      <c r="D82" s="473" t="s">
        <v>41</v>
      </c>
      <c r="E82" s="361">
        <v>6.92</v>
      </c>
    </row>
    <row r="83" spans="1:5">
      <c r="A83" s="473">
        <v>34341</v>
      </c>
      <c r="B83" s="473" t="s">
        <v>9744</v>
      </c>
      <c r="C83" s="473" t="s">
        <v>49</v>
      </c>
      <c r="D83" s="473" t="s">
        <v>41</v>
      </c>
      <c r="E83" s="361">
        <v>4.46</v>
      </c>
    </row>
    <row r="84" spans="1:5">
      <c r="A84" s="473">
        <v>22</v>
      </c>
      <c r="B84" s="473" t="s">
        <v>9745</v>
      </c>
      <c r="C84" s="473" t="s">
        <v>49</v>
      </c>
      <c r="D84" s="473" t="s">
        <v>41</v>
      </c>
      <c r="E84" s="361">
        <v>5.07</v>
      </c>
    </row>
    <row r="85" spans="1:5">
      <c r="A85" s="473">
        <v>23</v>
      </c>
      <c r="B85" s="473" t="s">
        <v>9746</v>
      </c>
      <c r="C85" s="473" t="s">
        <v>49</v>
      </c>
      <c r="D85" s="473" t="s">
        <v>41</v>
      </c>
      <c r="E85" s="361">
        <v>5.03</v>
      </c>
    </row>
    <row r="86" spans="1:5">
      <c r="A86" s="473">
        <v>34439</v>
      </c>
      <c r="B86" s="473" t="s">
        <v>9747</v>
      </c>
      <c r="C86" s="473" t="s">
        <v>49</v>
      </c>
      <c r="D86" s="473" t="s">
        <v>41</v>
      </c>
      <c r="E86" s="361">
        <v>5.36</v>
      </c>
    </row>
    <row r="87" spans="1:5">
      <c r="A87" s="473">
        <v>34</v>
      </c>
      <c r="B87" s="473" t="s">
        <v>9748</v>
      </c>
      <c r="C87" s="473" t="s">
        <v>49</v>
      </c>
      <c r="D87" s="473" t="s">
        <v>41</v>
      </c>
      <c r="E87" s="361">
        <v>4.7699999999999996</v>
      </c>
    </row>
    <row r="88" spans="1:5">
      <c r="A88" s="473">
        <v>34441</v>
      </c>
      <c r="B88" s="473" t="s">
        <v>9749</v>
      </c>
      <c r="C88" s="473" t="s">
        <v>49</v>
      </c>
      <c r="D88" s="473" t="s">
        <v>41</v>
      </c>
      <c r="E88" s="361">
        <v>5.09</v>
      </c>
    </row>
    <row r="89" spans="1:5">
      <c r="A89" s="473">
        <v>31</v>
      </c>
      <c r="B89" s="473" t="s">
        <v>9750</v>
      </c>
      <c r="C89" s="473" t="s">
        <v>49</v>
      </c>
      <c r="D89" s="473" t="s">
        <v>41</v>
      </c>
      <c r="E89" s="361">
        <v>4.54</v>
      </c>
    </row>
    <row r="90" spans="1:5">
      <c r="A90" s="473">
        <v>34443</v>
      </c>
      <c r="B90" s="473" t="s">
        <v>9751</v>
      </c>
      <c r="C90" s="473" t="s">
        <v>49</v>
      </c>
      <c r="D90" s="473" t="s">
        <v>41</v>
      </c>
      <c r="E90" s="361">
        <v>5.09</v>
      </c>
    </row>
    <row r="91" spans="1:5">
      <c r="A91" s="473">
        <v>27</v>
      </c>
      <c r="B91" s="473" t="s">
        <v>9752</v>
      </c>
      <c r="C91" s="473" t="s">
        <v>49</v>
      </c>
      <c r="D91" s="473" t="s">
        <v>44</v>
      </c>
      <c r="E91" s="361">
        <v>4.54</v>
      </c>
    </row>
    <row r="92" spans="1:5">
      <c r="A92" s="473">
        <v>34446</v>
      </c>
      <c r="B92" s="473" t="s">
        <v>9753</v>
      </c>
      <c r="C92" s="473" t="s">
        <v>49</v>
      </c>
      <c r="D92" s="473" t="s">
        <v>41</v>
      </c>
      <c r="E92" s="361">
        <v>5.09</v>
      </c>
    </row>
    <row r="93" spans="1:5">
      <c r="A93" s="473">
        <v>29</v>
      </c>
      <c r="B93" s="473" t="s">
        <v>9754</v>
      </c>
      <c r="C93" s="473" t="s">
        <v>49</v>
      </c>
      <c r="D93" s="473" t="s">
        <v>41</v>
      </c>
      <c r="E93" s="361">
        <v>4.24</v>
      </c>
    </row>
    <row r="94" spans="1:5">
      <c r="A94" s="473">
        <v>28</v>
      </c>
      <c r="B94" s="473" t="s">
        <v>9755</v>
      </c>
      <c r="C94" s="473" t="s">
        <v>49</v>
      </c>
      <c r="D94" s="473" t="s">
        <v>41</v>
      </c>
      <c r="E94" s="361">
        <v>4.9000000000000004</v>
      </c>
    </row>
    <row r="95" spans="1:5">
      <c r="A95" s="473">
        <v>34449</v>
      </c>
      <c r="B95" s="473" t="s">
        <v>9756</v>
      </c>
      <c r="C95" s="473" t="s">
        <v>49</v>
      </c>
      <c r="D95" s="473" t="s">
        <v>41</v>
      </c>
      <c r="E95" s="361">
        <v>5.6</v>
      </c>
    </row>
    <row r="96" spans="1:5">
      <c r="A96" s="473">
        <v>32</v>
      </c>
      <c r="B96" s="473" t="s">
        <v>9757</v>
      </c>
      <c r="C96" s="473" t="s">
        <v>49</v>
      </c>
      <c r="D96" s="473" t="s">
        <v>41</v>
      </c>
      <c r="E96" s="361">
        <v>5</v>
      </c>
    </row>
    <row r="97" spans="1:5">
      <c r="A97" s="473">
        <v>33</v>
      </c>
      <c r="B97" s="473" t="s">
        <v>9758</v>
      </c>
      <c r="C97" s="473" t="s">
        <v>49</v>
      </c>
      <c r="D97" s="473" t="s">
        <v>41</v>
      </c>
      <c r="E97" s="361">
        <v>5.61</v>
      </c>
    </row>
    <row r="98" spans="1:5">
      <c r="A98" s="473">
        <v>34343</v>
      </c>
      <c r="B98" s="473" t="s">
        <v>9759</v>
      </c>
      <c r="C98" s="473" t="s">
        <v>49</v>
      </c>
      <c r="D98" s="473" t="s">
        <v>41</v>
      </c>
      <c r="E98" s="361">
        <v>5.39</v>
      </c>
    </row>
    <row r="99" spans="1:5">
      <c r="A99" s="473">
        <v>34452</v>
      </c>
      <c r="B99" s="473" t="s">
        <v>9760</v>
      </c>
      <c r="C99" s="473" t="s">
        <v>49</v>
      </c>
      <c r="D99" s="473" t="s">
        <v>41</v>
      </c>
      <c r="E99" s="361">
        <v>4.96</v>
      </c>
    </row>
    <row r="100" spans="1:5">
      <c r="A100" s="473">
        <v>36</v>
      </c>
      <c r="B100" s="473" t="s">
        <v>9761</v>
      </c>
      <c r="C100" s="473" t="s">
        <v>49</v>
      </c>
      <c r="D100" s="473" t="s">
        <v>41</v>
      </c>
      <c r="E100" s="361">
        <v>4.7300000000000004</v>
      </c>
    </row>
    <row r="101" spans="1:5">
      <c r="A101" s="473">
        <v>34456</v>
      </c>
      <c r="B101" s="473" t="s">
        <v>9762</v>
      </c>
      <c r="C101" s="473" t="s">
        <v>49</v>
      </c>
      <c r="D101" s="473" t="s">
        <v>41</v>
      </c>
      <c r="E101" s="361">
        <v>4.96</v>
      </c>
    </row>
    <row r="102" spans="1:5">
      <c r="A102" s="473">
        <v>39</v>
      </c>
      <c r="B102" s="473" t="s">
        <v>9763</v>
      </c>
      <c r="C102" s="473" t="s">
        <v>49</v>
      </c>
      <c r="D102" s="473" t="s">
        <v>41</v>
      </c>
      <c r="E102" s="361">
        <v>4.7300000000000004</v>
      </c>
    </row>
    <row r="103" spans="1:5">
      <c r="A103" s="473">
        <v>34457</v>
      </c>
      <c r="B103" s="473" t="s">
        <v>9764</v>
      </c>
      <c r="C103" s="473" t="s">
        <v>49</v>
      </c>
      <c r="D103" s="473" t="s">
        <v>41</v>
      </c>
      <c r="E103" s="361">
        <v>5.32</v>
      </c>
    </row>
    <row r="104" spans="1:5">
      <c r="A104" s="473">
        <v>40</v>
      </c>
      <c r="B104" s="473" t="s">
        <v>9765</v>
      </c>
      <c r="C104" s="473" t="s">
        <v>49</v>
      </c>
      <c r="D104" s="473" t="s">
        <v>41</v>
      </c>
      <c r="E104" s="361">
        <v>4.83</v>
      </c>
    </row>
    <row r="105" spans="1:5">
      <c r="A105" s="473">
        <v>34460</v>
      </c>
      <c r="B105" s="473" t="s">
        <v>9766</v>
      </c>
      <c r="C105" s="473" t="s">
        <v>49</v>
      </c>
      <c r="D105" s="473" t="s">
        <v>41</v>
      </c>
      <c r="E105" s="361">
        <v>5.43</v>
      </c>
    </row>
    <row r="106" spans="1:5">
      <c r="A106" s="473">
        <v>42</v>
      </c>
      <c r="B106" s="473" t="s">
        <v>9767</v>
      </c>
      <c r="C106" s="473" t="s">
        <v>49</v>
      </c>
      <c r="D106" s="473" t="s">
        <v>41</v>
      </c>
      <c r="E106" s="361">
        <v>4.91</v>
      </c>
    </row>
    <row r="107" spans="1:5">
      <c r="A107" s="473">
        <v>38</v>
      </c>
      <c r="B107" s="473" t="s">
        <v>9768</v>
      </c>
      <c r="C107" s="473" t="s">
        <v>49</v>
      </c>
      <c r="D107" s="473" t="s">
        <v>41</v>
      </c>
      <c r="E107" s="361">
        <v>5.47</v>
      </c>
    </row>
    <row r="108" spans="1:5">
      <c r="A108" s="473">
        <v>34344</v>
      </c>
      <c r="B108" s="473" t="s">
        <v>9769</v>
      </c>
      <c r="C108" s="473" t="s">
        <v>49</v>
      </c>
      <c r="D108" s="473" t="s">
        <v>41</v>
      </c>
      <c r="E108" s="361">
        <v>7.43</v>
      </c>
    </row>
    <row r="109" spans="1:5">
      <c r="A109" s="473">
        <v>20063</v>
      </c>
      <c r="B109" s="473" t="s">
        <v>9770</v>
      </c>
      <c r="C109" s="473" t="s">
        <v>40</v>
      </c>
      <c r="D109" s="473" t="s">
        <v>47</v>
      </c>
      <c r="E109" s="361">
        <v>3.68</v>
      </c>
    </row>
    <row r="110" spans="1:5">
      <c r="A110" s="473">
        <v>40410</v>
      </c>
      <c r="B110" s="473" t="s">
        <v>9771</v>
      </c>
      <c r="C110" s="473" t="s">
        <v>40</v>
      </c>
      <c r="D110" s="473" t="s">
        <v>47</v>
      </c>
      <c r="E110" s="361">
        <v>13.58</v>
      </c>
    </row>
    <row r="111" spans="1:5">
      <c r="A111" s="473">
        <v>40411</v>
      </c>
      <c r="B111" s="473" t="s">
        <v>9772</v>
      </c>
      <c r="C111" s="473" t="s">
        <v>40</v>
      </c>
      <c r="D111" s="473" t="s">
        <v>47</v>
      </c>
      <c r="E111" s="361">
        <v>14.73</v>
      </c>
    </row>
    <row r="112" spans="1:5">
      <c r="A112" s="473">
        <v>40412</v>
      </c>
      <c r="B112" s="473" t="s">
        <v>9773</v>
      </c>
      <c r="C112" s="473" t="s">
        <v>40</v>
      </c>
      <c r="D112" s="473" t="s">
        <v>47</v>
      </c>
      <c r="E112" s="361">
        <v>16.54</v>
      </c>
    </row>
    <row r="113" spans="1:5">
      <c r="A113" s="473">
        <v>38838</v>
      </c>
      <c r="B113" s="473" t="s">
        <v>9774</v>
      </c>
      <c r="C113" s="473" t="s">
        <v>40</v>
      </c>
      <c r="D113" s="473" t="s">
        <v>47</v>
      </c>
      <c r="E113" s="361">
        <v>7.57</v>
      </c>
    </row>
    <row r="114" spans="1:5">
      <c r="A114" s="473">
        <v>38839</v>
      </c>
      <c r="B114" s="473" t="s">
        <v>9775</v>
      </c>
      <c r="C114" s="473" t="s">
        <v>40</v>
      </c>
      <c r="D114" s="473" t="s">
        <v>47</v>
      </c>
      <c r="E114" s="361">
        <v>8.92</v>
      </c>
    </row>
    <row r="115" spans="1:5">
      <c r="A115" s="473">
        <v>55</v>
      </c>
      <c r="B115" s="473" t="s">
        <v>9776</v>
      </c>
      <c r="C115" s="473" t="s">
        <v>40</v>
      </c>
      <c r="D115" s="473" t="s">
        <v>47</v>
      </c>
      <c r="E115" s="361">
        <v>3.25</v>
      </c>
    </row>
    <row r="116" spans="1:5">
      <c r="A116" s="473">
        <v>61</v>
      </c>
      <c r="B116" s="473" t="s">
        <v>9777</v>
      </c>
      <c r="C116" s="473" t="s">
        <v>40</v>
      </c>
      <c r="D116" s="473" t="s">
        <v>47</v>
      </c>
      <c r="E116" s="361">
        <v>3.07</v>
      </c>
    </row>
    <row r="117" spans="1:5">
      <c r="A117" s="473">
        <v>62</v>
      </c>
      <c r="B117" s="473" t="s">
        <v>9778</v>
      </c>
      <c r="C117" s="473" t="s">
        <v>40</v>
      </c>
      <c r="D117" s="473" t="s">
        <v>47</v>
      </c>
      <c r="E117" s="361">
        <v>6.37</v>
      </c>
    </row>
    <row r="118" spans="1:5">
      <c r="A118" s="473">
        <v>77</v>
      </c>
      <c r="B118" s="473" t="s">
        <v>9779</v>
      </c>
      <c r="C118" s="473" t="s">
        <v>40</v>
      </c>
      <c r="D118" s="473" t="s">
        <v>41</v>
      </c>
      <c r="E118" s="361">
        <v>0.79</v>
      </c>
    </row>
    <row r="119" spans="1:5">
      <c r="A119" s="473">
        <v>76</v>
      </c>
      <c r="B119" s="473" t="s">
        <v>9780</v>
      </c>
      <c r="C119" s="473" t="s">
        <v>40</v>
      </c>
      <c r="D119" s="473" t="s">
        <v>41</v>
      </c>
      <c r="E119" s="361">
        <v>0.8</v>
      </c>
    </row>
    <row r="120" spans="1:5">
      <c r="A120" s="473">
        <v>67</v>
      </c>
      <c r="B120" s="473" t="s">
        <v>9781</v>
      </c>
      <c r="C120" s="473" t="s">
        <v>40</v>
      </c>
      <c r="D120" s="473" t="s">
        <v>41</v>
      </c>
      <c r="E120" s="361">
        <v>7.76</v>
      </c>
    </row>
    <row r="121" spans="1:5">
      <c r="A121" s="473">
        <v>71</v>
      </c>
      <c r="B121" s="473" t="s">
        <v>9782</v>
      </c>
      <c r="C121" s="473" t="s">
        <v>40</v>
      </c>
      <c r="D121" s="473" t="s">
        <v>41</v>
      </c>
      <c r="E121" s="361">
        <v>14.26</v>
      </c>
    </row>
    <row r="122" spans="1:5">
      <c r="A122" s="473">
        <v>73</v>
      </c>
      <c r="B122" s="473" t="s">
        <v>9783</v>
      </c>
      <c r="C122" s="473" t="s">
        <v>40</v>
      </c>
      <c r="D122" s="473" t="s">
        <v>41</v>
      </c>
      <c r="E122" s="361">
        <v>10.65</v>
      </c>
    </row>
    <row r="123" spans="1:5">
      <c r="A123" s="473">
        <v>103</v>
      </c>
      <c r="B123" s="473" t="s">
        <v>9784</v>
      </c>
      <c r="C123" s="473" t="s">
        <v>40</v>
      </c>
      <c r="D123" s="473" t="s">
        <v>41</v>
      </c>
      <c r="E123" s="361">
        <v>31.68</v>
      </c>
    </row>
    <row r="124" spans="1:5">
      <c r="A124" s="473">
        <v>107</v>
      </c>
      <c r="B124" s="473" t="s">
        <v>9785</v>
      </c>
      <c r="C124" s="473" t="s">
        <v>40</v>
      </c>
      <c r="D124" s="473" t="s">
        <v>41</v>
      </c>
      <c r="E124" s="361">
        <v>0.49</v>
      </c>
    </row>
    <row r="125" spans="1:5">
      <c r="A125" s="473">
        <v>65</v>
      </c>
      <c r="B125" s="473" t="s">
        <v>9786</v>
      </c>
      <c r="C125" s="473" t="s">
        <v>40</v>
      </c>
      <c r="D125" s="473" t="s">
        <v>41</v>
      </c>
      <c r="E125" s="361">
        <v>0.61</v>
      </c>
    </row>
    <row r="126" spans="1:5">
      <c r="A126" s="473">
        <v>108</v>
      </c>
      <c r="B126" s="473" t="s">
        <v>9787</v>
      </c>
      <c r="C126" s="473" t="s">
        <v>40</v>
      </c>
      <c r="D126" s="473" t="s">
        <v>41</v>
      </c>
      <c r="E126" s="361">
        <v>1.26</v>
      </c>
    </row>
    <row r="127" spans="1:5">
      <c r="A127" s="473">
        <v>110</v>
      </c>
      <c r="B127" s="473" t="s">
        <v>9788</v>
      </c>
      <c r="C127" s="473" t="s">
        <v>40</v>
      </c>
      <c r="D127" s="473" t="s">
        <v>41</v>
      </c>
      <c r="E127" s="361">
        <v>4.8899999999999997</v>
      </c>
    </row>
    <row r="128" spans="1:5">
      <c r="A128" s="473">
        <v>109</v>
      </c>
      <c r="B128" s="473" t="s">
        <v>9789</v>
      </c>
      <c r="C128" s="473" t="s">
        <v>40</v>
      </c>
      <c r="D128" s="473" t="s">
        <v>41</v>
      </c>
      <c r="E128" s="361">
        <v>2.41</v>
      </c>
    </row>
    <row r="129" spans="1:5">
      <c r="A129" s="473">
        <v>111</v>
      </c>
      <c r="B129" s="473" t="s">
        <v>9790</v>
      </c>
      <c r="C129" s="473" t="s">
        <v>40</v>
      </c>
      <c r="D129" s="473" t="s">
        <v>41</v>
      </c>
      <c r="E129" s="361">
        <v>5.64</v>
      </c>
    </row>
    <row r="130" spans="1:5">
      <c r="A130" s="473">
        <v>112</v>
      </c>
      <c r="B130" s="473" t="s">
        <v>9791</v>
      </c>
      <c r="C130" s="473" t="s">
        <v>40</v>
      </c>
      <c r="D130" s="473" t="s">
        <v>41</v>
      </c>
      <c r="E130" s="361">
        <v>3.07</v>
      </c>
    </row>
    <row r="131" spans="1:5">
      <c r="A131" s="473">
        <v>113</v>
      </c>
      <c r="B131" s="473" t="s">
        <v>9792</v>
      </c>
      <c r="C131" s="473" t="s">
        <v>40</v>
      </c>
      <c r="D131" s="473" t="s">
        <v>41</v>
      </c>
      <c r="E131" s="361">
        <v>8.33</v>
      </c>
    </row>
    <row r="132" spans="1:5">
      <c r="A132" s="473">
        <v>104</v>
      </c>
      <c r="B132" s="473" t="s">
        <v>9793</v>
      </c>
      <c r="C132" s="473" t="s">
        <v>40</v>
      </c>
      <c r="D132" s="473" t="s">
        <v>41</v>
      </c>
      <c r="E132" s="361">
        <v>12.12</v>
      </c>
    </row>
    <row r="133" spans="1:5">
      <c r="A133" s="473">
        <v>102</v>
      </c>
      <c r="B133" s="473" t="s">
        <v>9794</v>
      </c>
      <c r="C133" s="473" t="s">
        <v>40</v>
      </c>
      <c r="D133" s="473" t="s">
        <v>41</v>
      </c>
      <c r="E133" s="361">
        <v>19.89</v>
      </c>
    </row>
    <row r="134" spans="1:5">
      <c r="A134" s="473">
        <v>95</v>
      </c>
      <c r="B134" s="473" t="s">
        <v>9795</v>
      </c>
      <c r="C134" s="473" t="s">
        <v>40</v>
      </c>
      <c r="D134" s="473" t="s">
        <v>41</v>
      </c>
      <c r="E134" s="361">
        <v>6.73</v>
      </c>
    </row>
    <row r="135" spans="1:5">
      <c r="A135" s="473">
        <v>96</v>
      </c>
      <c r="B135" s="473" t="s">
        <v>9796</v>
      </c>
      <c r="C135" s="473" t="s">
        <v>40</v>
      </c>
      <c r="D135" s="473" t="s">
        <v>41</v>
      </c>
      <c r="E135" s="361">
        <v>7.74</v>
      </c>
    </row>
    <row r="136" spans="1:5">
      <c r="A136" s="473">
        <v>97</v>
      </c>
      <c r="B136" s="473" t="s">
        <v>9797</v>
      </c>
      <c r="C136" s="473" t="s">
        <v>40</v>
      </c>
      <c r="D136" s="473" t="s">
        <v>41</v>
      </c>
      <c r="E136" s="361">
        <v>10.050000000000001</v>
      </c>
    </row>
    <row r="137" spans="1:5">
      <c r="A137" s="473">
        <v>98</v>
      </c>
      <c r="B137" s="473" t="s">
        <v>9798</v>
      </c>
      <c r="C137" s="473" t="s">
        <v>40</v>
      </c>
      <c r="D137" s="473" t="s">
        <v>41</v>
      </c>
      <c r="E137" s="361">
        <v>13.55</v>
      </c>
    </row>
    <row r="138" spans="1:5">
      <c r="A138" s="473">
        <v>99</v>
      </c>
      <c r="B138" s="473" t="s">
        <v>9799</v>
      </c>
      <c r="C138" s="473" t="s">
        <v>40</v>
      </c>
      <c r="D138" s="473" t="s">
        <v>41</v>
      </c>
      <c r="E138" s="361">
        <v>16.440000000000001</v>
      </c>
    </row>
    <row r="139" spans="1:5">
      <c r="A139" s="473">
        <v>100</v>
      </c>
      <c r="B139" s="473" t="s">
        <v>9800</v>
      </c>
      <c r="C139" s="473" t="s">
        <v>40</v>
      </c>
      <c r="D139" s="473" t="s">
        <v>41</v>
      </c>
      <c r="E139" s="361">
        <v>22.93</v>
      </c>
    </row>
    <row r="140" spans="1:5">
      <c r="A140" s="473">
        <v>75</v>
      </c>
      <c r="B140" s="473" t="s">
        <v>9801</v>
      </c>
      <c r="C140" s="473" t="s">
        <v>40</v>
      </c>
      <c r="D140" s="473" t="s">
        <v>41</v>
      </c>
      <c r="E140" s="361">
        <v>239.02</v>
      </c>
    </row>
    <row r="141" spans="1:5">
      <c r="A141" s="473">
        <v>114</v>
      </c>
      <c r="B141" s="473" t="s">
        <v>9802</v>
      </c>
      <c r="C141" s="473" t="s">
        <v>40</v>
      </c>
      <c r="D141" s="473" t="s">
        <v>41</v>
      </c>
      <c r="E141" s="361">
        <v>8.7100000000000009</v>
      </c>
    </row>
    <row r="142" spans="1:5">
      <c r="A142" s="473">
        <v>68</v>
      </c>
      <c r="B142" s="473" t="s">
        <v>9803</v>
      </c>
      <c r="C142" s="473" t="s">
        <v>40</v>
      </c>
      <c r="D142" s="473" t="s">
        <v>41</v>
      </c>
      <c r="E142" s="361">
        <v>13.32</v>
      </c>
    </row>
    <row r="143" spans="1:5">
      <c r="A143" s="473">
        <v>86</v>
      </c>
      <c r="B143" s="473" t="s">
        <v>9804</v>
      </c>
      <c r="C143" s="473" t="s">
        <v>40</v>
      </c>
      <c r="D143" s="473" t="s">
        <v>41</v>
      </c>
      <c r="E143" s="361">
        <v>24.76</v>
      </c>
    </row>
    <row r="144" spans="1:5">
      <c r="A144" s="473">
        <v>66</v>
      </c>
      <c r="B144" s="473" t="s">
        <v>9805</v>
      </c>
      <c r="C144" s="473" t="s">
        <v>40</v>
      </c>
      <c r="D144" s="473" t="s">
        <v>41</v>
      </c>
      <c r="E144" s="361">
        <v>24.85</v>
      </c>
    </row>
    <row r="145" spans="1:5">
      <c r="A145" s="473">
        <v>69</v>
      </c>
      <c r="B145" s="473" t="s">
        <v>9806</v>
      </c>
      <c r="C145" s="473" t="s">
        <v>40</v>
      </c>
      <c r="D145" s="473" t="s">
        <v>41</v>
      </c>
      <c r="E145" s="361">
        <v>37.979999999999997</v>
      </c>
    </row>
    <row r="146" spans="1:5">
      <c r="A146" s="473">
        <v>83</v>
      </c>
      <c r="B146" s="473" t="s">
        <v>9807</v>
      </c>
      <c r="C146" s="473" t="s">
        <v>40</v>
      </c>
      <c r="D146" s="473" t="s">
        <v>41</v>
      </c>
      <c r="E146" s="361">
        <v>121.3</v>
      </c>
    </row>
    <row r="147" spans="1:5">
      <c r="A147" s="473">
        <v>74</v>
      </c>
      <c r="B147" s="473" t="s">
        <v>9808</v>
      </c>
      <c r="C147" s="473" t="s">
        <v>40</v>
      </c>
      <c r="D147" s="473" t="s">
        <v>41</v>
      </c>
      <c r="E147" s="361">
        <v>169.35</v>
      </c>
    </row>
    <row r="148" spans="1:5">
      <c r="A148" s="473">
        <v>106</v>
      </c>
      <c r="B148" s="473" t="s">
        <v>9809</v>
      </c>
      <c r="C148" s="473" t="s">
        <v>40</v>
      </c>
      <c r="D148" s="473" t="s">
        <v>41</v>
      </c>
      <c r="E148" s="361">
        <v>257.27</v>
      </c>
    </row>
    <row r="149" spans="1:5">
      <c r="A149" s="473">
        <v>87</v>
      </c>
      <c r="B149" s="473" t="s">
        <v>9810</v>
      </c>
      <c r="C149" s="473" t="s">
        <v>40</v>
      </c>
      <c r="D149" s="473" t="s">
        <v>41</v>
      </c>
      <c r="E149" s="361">
        <v>12.23</v>
      </c>
    </row>
    <row r="150" spans="1:5">
      <c r="A150" s="473">
        <v>88</v>
      </c>
      <c r="B150" s="473" t="s">
        <v>9811</v>
      </c>
      <c r="C150" s="473" t="s">
        <v>40</v>
      </c>
      <c r="D150" s="473" t="s">
        <v>41</v>
      </c>
      <c r="E150" s="361">
        <v>13.64</v>
      </c>
    </row>
    <row r="151" spans="1:5">
      <c r="A151" s="473">
        <v>89</v>
      </c>
      <c r="B151" s="473" t="s">
        <v>9812</v>
      </c>
      <c r="C151" s="473" t="s">
        <v>40</v>
      </c>
      <c r="D151" s="473" t="s">
        <v>41</v>
      </c>
      <c r="E151" s="361">
        <v>20.18</v>
      </c>
    </row>
    <row r="152" spans="1:5">
      <c r="A152" s="473">
        <v>90</v>
      </c>
      <c r="B152" s="473" t="s">
        <v>9813</v>
      </c>
      <c r="C152" s="473" t="s">
        <v>40</v>
      </c>
      <c r="D152" s="473" t="s">
        <v>41</v>
      </c>
      <c r="E152" s="361">
        <v>23.12</v>
      </c>
    </row>
    <row r="153" spans="1:5">
      <c r="A153" s="473">
        <v>81</v>
      </c>
      <c r="B153" s="473" t="s">
        <v>9814</v>
      </c>
      <c r="C153" s="473" t="s">
        <v>40</v>
      </c>
      <c r="D153" s="473" t="s">
        <v>41</v>
      </c>
      <c r="E153" s="361">
        <v>39.54</v>
      </c>
    </row>
    <row r="154" spans="1:5">
      <c r="A154" s="473">
        <v>82</v>
      </c>
      <c r="B154" s="473" t="s">
        <v>9815</v>
      </c>
      <c r="C154" s="473" t="s">
        <v>40</v>
      </c>
      <c r="D154" s="473" t="s">
        <v>41</v>
      </c>
      <c r="E154" s="361">
        <v>153.51</v>
      </c>
    </row>
    <row r="155" spans="1:5">
      <c r="A155" s="473">
        <v>105</v>
      </c>
      <c r="B155" s="473" t="s">
        <v>9816</v>
      </c>
      <c r="C155" s="473" t="s">
        <v>40</v>
      </c>
      <c r="D155" s="473" t="s">
        <v>41</v>
      </c>
      <c r="E155" s="361">
        <v>179.72</v>
      </c>
    </row>
    <row r="156" spans="1:5">
      <c r="A156" s="473">
        <v>60</v>
      </c>
      <c r="B156" s="473" t="s">
        <v>9817</v>
      </c>
      <c r="C156" s="473" t="s">
        <v>40</v>
      </c>
      <c r="D156" s="473" t="s">
        <v>47</v>
      </c>
      <c r="E156" s="361">
        <v>4.21</v>
      </c>
    </row>
    <row r="157" spans="1:5">
      <c r="A157" s="473">
        <v>72</v>
      </c>
      <c r="B157" s="473" t="s">
        <v>9818</v>
      </c>
      <c r="C157" s="473" t="s">
        <v>40</v>
      </c>
      <c r="D157" s="473" t="s">
        <v>41</v>
      </c>
      <c r="E157" s="361">
        <v>24.17</v>
      </c>
    </row>
    <row r="158" spans="1:5">
      <c r="A158" s="473">
        <v>70</v>
      </c>
      <c r="B158" s="473" t="s">
        <v>9819</v>
      </c>
      <c r="C158" s="473" t="s">
        <v>40</v>
      </c>
      <c r="D158" s="473" t="s">
        <v>41</v>
      </c>
      <c r="E158" s="361">
        <v>20.21</v>
      </c>
    </row>
    <row r="159" spans="1:5">
      <c r="A159" s="473">
        <v>85</v>
      </c>
      <c r="B159" s="473" t="s">
        <v>9820</v>
      </c>
      <c r="C159" s="473" t="s">
        <v>40</v>
      </c>
      <c r="D159" s="473" t="s">
        <v>41</v>
      </c>
      <c r="E159" s="361">
        <v>29.34</v>
      </c>
    </row>
    <row r="160" spans="1:5">
      <c r="A160" s="473">
        <v>84</v>
      </c>
      <c r="B160" s="473" t="s">
        <v>9821</v>
      </c>
      <c r="C160" s="473" t="s">
        <v>40</v>
      </c>
      <c r="D160" s="473" t="s">
        <v>41</v>
      </c>
      <c r="E160" s="361">
        <v>0.34</v>
      </c>
    </row>
    <row r="161" spans="1:5">
      <c r="A161" s="473">
        <v>37997</v>
      </c>
      <c r="B161" s="473" t="s">
        <v>9822</v>
      </c>
      <c r="C161" s="473" t="s">
        <v>40</v>
      </c>
      <c r="D161" s="473" t="s">
        <v>41</v>
      </c>
      <c r="E161" s="361">
        <v>3.18</v>
      </c>
    </row>
    <row r="162" spans="1:5">
      <c r="A162" s="473">
        <v>37998</v>
      </c>
      <c r="B162" s="473" t="s">
        <v>9823</v>
      </c>
      <c r="C162" s="473" t="s">
        <v>40</v>
      </c>
      <c r="D162" s="473" t="s">
        <v>41</v>
      </c>
      <c r="E162" s="361">
        <v>3.3</v>
      </c>
    </row>
    <row r="163" spans="1:5">
      <c r="A163" s="473">
        <v>10899</v>
      </c>
      <c r="B163" s="473" t="s">
        <v>9824</v>
      </c>
      <c r="C163" s="473" t="s">
        <v>40</v>
      </c>
      <c r="D163" s="473" t="s">
        <v>41</v>
      </c>
      <c r="E163" s="361">
        <v>52.57</v>
      </c>
    </row>
    <row r="164" spans="1:5">
      <c r="A164" s="473">
        <v>10900</v>
      </c>
      <c r="B164" s="473" t="s">
        <v>9825</v>
      </c>
      <c r="C164" s="473" t="s">
        <v>40</v>
      </c>
      <c r="D164" s="473" t="s">
        <v>41</v>
      </c>
      <c r="E164" s="361">
        <v>41.14</v>
      </c>
    </row>
    <row r="165" spans="1:5">
      <c r="A165" s="473">
        <v>46</v>
      </c>
      <c r="B165" s="473" t="s">
        <v>9826</v>
      </c>
      <c r="C165" s="473" t="s">
        <v>40</v>
      </c>
      <c r="D165" s="473" t="s">
        <v>47</v>
      </c>
      <c r="E165" s="361">
        <v>34.46</v>
      </c>
    </row>
    <row r="166" spans="1:5">
      <c r="A166" s="473">
        <v>51</v>
      </c>
      <c r="B166" s="473" t="s">
        <v>9827</v>
      </c>
      <c r="C166" s="473" t="s">
        <v>40</v>
      </c>
      <c r="D166" s="473" t="s">
        <v>47</v>
      </c>
      <c r="E166" s="361">
        <v>95.06</v>
      </c>
    </row>
    <row r="167" spans="1:5">
      <c r="A167" s="473">
        <v>12863</v>
      </c>
      <c r="B167" s="473" t="s">
        <v>9828</v>
      </c>
      <c r="C167" s="473" t="s">
        <v>40</v>
      </c>
      <c r="D167" s="473" t="s">
        <v>47</v>
      </c>
      <c r="E167" s="361">
        <v>21.89</v>
      </c>
    </row>
    <row r="168" spans="1:5">
      <c r="A168" s="473">
        <v>50</v>
      </c>
      <c r="B168" s="473" t="s">
        <v>9829</v>
      </c>
      <c r="C168" s="473" t="s">
        <v>40</v>
      </c>
      <c r="D168" s="473" t="s">
        <v>47</v>
      </c>
      <c r="E168" s="361">
        <v>49.64</v>
      </c>
    </row>
    <row r="169" spans="1:5">
      <c r="A169" s="473">
        <v>47</v>
      </c>
      <c r="B169" s="473" t="s">
        <v>9830</v>
      </c>
      <c r="C169" s="473" t="s">
        <v>40</v>
      </c>
      <c r="D169" s="473" t="s">
        <v>47</v>
      </c>
      <c r="E169" s="361">
        <v>58.92</v>
      </c>
    </row>
    <row r="170" spans="1:5">
      <c r="A170" s="473">
        <v>48</v>
      </c>
      <c r="B170" s="473" t="s">
        <v>9831</v>
      </c>
      <c r="C170" s="473" t="s">
        <v>40</v>
      </c>
      <c r="D170" s="473" t="s">
        <v>47</v>
      </c>
      <c r="E170" s="361">
        <v>15.37</v>
      </c>
    </row>
    <row r="171" spans="1:5">
      <c r="A171" s="473">
        <v>52</v>
      </c>
      <c r="B171" s="473" t="s">
        <v>9832</v>
      </c>
      <c r="C171" s="473" t="s">
        <v>40</v>
      </c>
      <c r="D171" s="473" t="s">
        <v>47</v>
      </c>
      <c r="E171" s="361">
        <v>11.67</v>
      </c>
    </row>
    <row r="172" spans="1:5">
      <c r="A172" s="473">
        <v>43</v>
      </c>
      <c r="B172" s="473" t="s">
        <v>9833</v>
      </c>
      <c r="C172" s="473" t="s">
        <v>40</v>
      </c>
      <c r="D172" s="473" t="s">
        <v>47</v>
      </c>
      <c r="E172" s="361">
        <v>39.409999999999997</v>
      </c>
    </row>
    <row r="173" spans="1:5">
      <c r="A173" s="473">
        <v>4791</v>
      </c>
      <c r="B173" s="473" t="s">
        <v>9834</v>
      </c>
      <c r="C173" s="473" t="s">
        <v>49</v>
      </c>
      <c r="D173" s="473" t="s">
        <v>41</v>
      </c>
      <c r="E173" s="361">
        <v>24.7</v>
      </c>
    </row>
    <row r="174" spans="1:5">
      <c r="A174" s="473">
        <v>157</v>
      </c>
      <c r="B174" s="473" t="s">
        <v>9835</v>
      </c>
      <c r="C174" s="473" t="s">
        <v>49</v>
      </c>
      <c r="D174" s="473" t="s">
        <v>41</v>
      </c>
      <c r="E174" s="361">
        <v>99.46</v>
      </c>
    </row>
    <row r="175" spans="1:5">
      <c r="A175" s="473">
        <v>156</v>
      </c>
      <c r="B175" s="473" t="s">
        <v>9836</v>
      </c>
      <c r="C175" s="473" t="s">
        <v>49</v>
      </c>
      <c r="D175" s="473" t="s">
        <v>41</v>
      </c>
      <c r="E175" s="361">
        <v>44.39</v>
      </c>
    </row>
    <row r="176" spans="1:5">
      <c r="A176" s="473">
        <v>131</v>
      </c>
      <c r="B176" s="473" t="s">
        <v>9837</v>
      </c>
      <c r="C176" s="473" t="s">
        <v>49</v>
      </c>
      <c r="D176" s="473" t="s">
        <v>41</v>
      </c>
      <c r="E176" s="361">
        <v>42.62</v>
      </c>
    </row>
    <row r="177" spans="1:5">
      <c r="A177" s="473">
        <v>39719</v>
      </c>
      <c r="B177" s="473" t="s">
        <v>9838</v>
      </c>
      <c r="C177" s="473" t="s">
        <v>50</v>
      </c>
      <c r="D177" s="473" t="s">
        <v>41</v>
      </c>
      <c r="E177" s="361">
        <v>73.11</v>
      </c>
    </row>
    <row r="178" spans="1:5">
      <c r="A178" s="473">
        <v>21114</v>
      </c>
      <c r="B178" s="473" t="s">
        <v>9839</v>
      </c>
      <c r="C178" s="473" t="s">
        <v>40</v>
      </c>
      <c r="D178" s="473" t="s">
        <v>41</v>
      </c>
      <c r="E178" s="361">
        <v>15.66</v>
      </c>
    </row>
    <row r="179" spans="1:5">
      <c r="A179" s="473">
        <v>119</v>
      </c>
      <c r="B179" s="473" t="s">
        <v>9840</v>
      </c>
      <c r="C179" s="473" t="s">
        <v>40</v>
      </c>
      <c r="D179" s="473" t="s">
        <v>44</v>
      </c>
      <c r="E179" s="361">
        <v>6.18</v>
      </c>
    </row>
    <row r="180" spans="1:5">
      <c r="A180" s="473">
        <v>20080</v>
      </c>
      <c r="B180" s="473" t="s">
        <v>9841</v>
      </c>
      <c r="C180" s="473" t="s">
        <v>40</v>
      </c>
      <c r="D180" s="473" t="s">
        <v>41</v>
      </c>
      <c r="E180" s="361">
        <v>17.72</v>
      </c>
    </row>
    <row r="181" spans="1:5">
      <c r="A181" s="473">
        <v>122</v>
      </c>
      <c r="B181" s="473" t="s">
        <v>9842</v>
      </c>
      <c r="C181" s="473" t="s">
        <v>40</v>
      </c>
      <c r="D181" s="473" t="s">
        <v>41</v>
      </c>
      <c r="E181" s="361">
        <v>55.82</v>
      </c>
    </row>
    <row r="182" spans="1:5">
      <c r="A182" s="473">
        <v>3410</v>
      </c>
      <c r="B182" s="473" t="s">
        <v>9843</v>
      </c>
      <c r="C182" s="473" t="s">
        <v>49</v>
      </c>
      <c r="D182" s="473" t="s">
        <v>47</v>
      </c>
      <c r="E182" s="361">
        <v>23.01</v>
      </c>
    </row>
    <row r="183" spans="1:5">
      <c r="A183" s="473">
        <v>124</v>
      </c>
      <c r="B183" s="473" t="s">
        <v>9844</v>
      </c>
      <c r="C183" s="473" t="s">
        <v>50</v>
      </c>
      <c r="D183" s="473" t="s">
        <v>41</v>
      </c>
      <c r="E183" s="361">
        <v>11.07</v>
      </c>
    </row>
    <row r="184" spans="1:5">
      <c r="A184" s="473">
        <v>7334</v>
      </c>
      <c r="B184" s="473" t="s">
        <v>9845</v>
      </c>
      <c r="C184" s="473" t="s">
        <v>50</v>
      </c>
      <c r="D184" s="473" t="s">
        <v>41</v>
      </c>
      <c r="E184" s="361">
        <v>11.36</v>
      </c>
    </row>
    <row r="185" spans="1:5">
      <c r="A185" s="473">
        <v>7325</v>
      </c>
      <c r="B185" s="473" t="s">
        <v>9846</v>
      </c>
      <c r="C185" s="473" t="s">
        <v>49</v>
      </c>
      <c r="D185" s="473" t="s">
        <v>41</v>
      </c>
      <c r="E185" s="361">
        <v>5.12</v>
      </c>
    </row>
    <row r="186" spans="1:5">
      <c r="A186" s="473">
        <v>123</v>
      </c>
      <c r="B186" s="473" t="s">
        <v>9847</v>
      </c>
      <c r="C186" s="473" t="s">
        <v>50</v>
      </c>
      <c r="D186" s="473" t="s">
        <v>44</v>
      </c>
      <c r="E186" s="361">
        <v>4.92</v>
      </c>
    </row>
    <row r="187" spans="1:5">
      <c r="A187" s="473">
        <v>127</v>
      </c>
      <c r="B187" s="473" t="s">
        <v>9848</v>
      </c>
      <c r="C187" s="473" t="s">
        <v>50</v>
      </c>
      <c r="D187" s="473" t="s">
        <v>41</v>
      </c>
      <c r="E187" s="361">
        <v>11.55</v>
      </c>
    </row>
    <row r="188" spans="1:5">
      <c r="A188" s="473">
        <v>133</v>
      </c>
      <c r="B188" s="473" t="s">
        <v>9849</v>
      </c>
      <c r="C188" s="473" t="s">
        <v>50</v>
      </c>
      <c r="D188" s="473" t="s">
        <v>41</v>
      </c>
      <c r="E188" s="361">
        <v>4.96</v>
      </c>
    </row>
    <row r="189" spans="1:5">
      <c r="A189" s="473">
        <v>37538</v>
      </c>
      <c r="B189" s="473" t="s">
        <v>9850</v>
      </c>
      <c r="C189" s="473" t="s">
        <v>51</v>
      </c>
      <c r="D189" s="473" t="s">
        <v>41</v>
      </c>
      <c r="E189" s="361">
        <v>123.18</v>
      </c>
    </row>
    <row r="190" spans="1:5">
      <c r="A190" s="473">
        <v>132</v>
      </c>
      <c r="B190" s="473" t="s">
        <v>9851</v>
      </c>
      <c r="C190" s="473" t="s">
        <v>50</v>
      </c>
      <c r="D190" s="473" t="s">
        <v>41</v>
      </c>
      <c r="E190" s="361">
        <v>5.46</v>
      </c>
    </row>
    <row r="191" spans="1:5">
      <c r="A191" s="473">
        <v>13408</v>
      </c>
      <c r="B191" s="473" t="s">
        <v>9852</v>
      </c>
      <c r="C191" s="473" t="s">
        <v>52</v>
      </c>
      <c r="D191" s="473" t="s">
        <v>41</v>
      </c>
      <c r="E191" s="361">
        <v>1940.53</v>
      </c>
    </row>
    <row r="192" spans="1:5">
      <c r="A192" s="473">
        <v>37476</v>
      </c>
      <c r="B192" s="473" t="s">
        <v>9853</v>
      </c>
      <c r="C192" s="473" t="s">
        <v>40</v>
      </c>
      <c r="D192" s="473" t="s">
        <v>41</v>
      </c>
      <c r="E192" s="361">
        <v>1874.92</v>
      </c>
    </row>
    <row r="193" spans="1:5">
      <c r="A193" s="473">
        <v>37478</v>
      </c>
      <c r="B193" s="473" t="s">
        <v>9854</v>
      </c>
      <c r="C193" s="473" t="s">
        <v>40</v>
      </c>
      <c r="D193" s="473" t="s">
        <v>41</v>
      </c>
      <c r="E193" s="361">
        <v>2652.52</v>
      </c>
    </row>
    <row r="194" spans="1:5">
      <c r="A194" s="473">
        <v>37477</v>
      </c>
      <c r="B194" s="473" t="s">
        <v>9855</v>
      </c>
      <c r="C194" s="473" t="s">
        <v>40</v>
      </c>
      <c r="D194" s="473" t="s">
        <v>41</v>
      </c>
      <c r="E194" s="361">
        <v>3245.74</v>
      </c>
    </row>
    <row r="195" spans="1:5">
      <c r="A195" s="473">
        <v>37479</v>
      </c>
      <c r="B195" s="473" t="s">
        <v>9856</v>
      </c>
      <c r="C195" s="473" t="s">
        <v>40</v>
      </c>
      <c r="D195" s="473" t="s">
        <v>41</v>
      </c>
      <c r="E195" s="361">
        <v>4058.43</v>
      </c>
    </row>
    <row r="196" spans="1:5">
      <c r="A196" s="473">
        <v>4319</v>
      </c>
      <c r="B196" s="473" t="s">
        <v>9857</v>
      </c>
      <c r="C196" s="473" t="s">
        <v>40</v>
      </c>
      <c r="D196" s="473" t="s">
        <v>41</v>
      </c>
      <c r="E196" s="361">
        <v>1</v>
      </c>
    </row>
    <row r="197" spans="1:5">
      <c r="A197" s="473">
        <v>43064</v>
      </c>
      <c r="B197" s="473" t="s">
        <v>9858</v>
      </c>
      <c r="C197" s="473" t="s">
        <v>49</v>
      </c>
      <c r="D197" s="473" t="s">
        <v>41</v>
      </c>
      <c r="E197" s="361">
        <v>7.07</v>
      </c>
    </row>
    <row r="198" spans="1:5">
      <c r="A198" s="473">
        <v>40553</v>
      </c>
      <c r="B198" s="473" t="s">
        <v>9859</v>
      </c>
      <c r="C198" s="473" t="s">
        <v>45</v>
      </c>
      <c r="D198" s="473" t="s">
        <v>47</v>
      </c>
      <c r="E198" s="361">
        <v>34.08</v>
      </c>
    </row>
    <row r="199" spans="1:5">
      <c r="A199" s="473">
        <v>13003</v>
      </c>
      <c r="B199" s="473" t="s">
        <v>9860</v>
      </c>
      <c r="C199" s="473" t="s">
        <v>50</v>
      </c>
      <c r="D199" s="473" t="s">
        <v>41</v>
      </c>
      <c r="E199" s="361">
        <v>2.0699999999999998</v>
      </c>
    </row>
    <row r="200" spans="1:5">
      <c r="A200" s="473">
        <v>6114</v>
      </c>
      <c r="B200" s="473" t="s">
        <v>9861</v>
      </c>
      <c r="C200" s="473" t="s">
        <v>43</v>
      </c>
      <c r="D200" s="473" t="s">
        <v>41</v>
      </c>
      <c r="E200" s="361">
        <v>9.4499999999999993</v>
      </c>
    </row>
    <row r="201" spans="1:5">
      <c r="A201" s="473">
        <v>40912</v>
      </c>
      <c r="B201" s="473" t="s">
        <v>9862</v>
      </c>
      <c r="C201" s="473" t="s">
        <v>53</v>
      </c>
      <c r="D201" s="473" t="s">
        <v>41</v>
      </c>
      <c r="E201" s="361">
        <v>1683.91</v>
      </c>
    </row>
    <row r="202" spans="1:5">
      <c r="A202" s="473">
        <v>247</v>
      </c>
      <c r="B202" s="473" t="s">
        <v>9863</v>
      </c>
      <c r="C202" s="473" t="s">
        <v>43</v>
      </c>
      <c r="D202" s="473" t="s">
        <v>41</v>
      </c>
      <c r="E202" s="361">
        <v>9.52</v>
      </c>
    </row>
    <row r="203" spans="1:5">
      <c r="A203" s="473">
        <v>40919</v>
      </c>
      <c r="B203" s="473" t="s">
        <v>9864</v>
      </c>
      <c r="C203" s="473" t="s">
        <v>53</v>
      </c>
      <c r="D203" s="473" t="s">
        <v>41</v>
      </c>
      <c r="E203" s="361">
        <v>1698.08</v>
      </c>
    </row>
    <row r="204" spans="1:5">
      <c r="A204" s="473">
        <v>25958</v>
      </c>
      <c r="B204" s="473" t="s">
        <v>9865</v>
      </c>
      <c r="C204" s="473" t="s">
        <v>43</v>
      </c>
      <c r="D204" s="473" t="s">
        <v>41</v>
      </c>
      <c r="E204" s="361">
        <v>7.14</v>
      </c>
    </row>
    <row r="205" spans="1:5">
      <c r="A205" s="473">
        <v>40984</v>
      </c>
      <c r="B205" s="473" t="s">
        <v>9866</v>
      </c>
      <c r="C205" s="473" t="s">
        <v>53</v>
      </c>
      <c r="D205" s="473" t="s">
        <v>41</v>
      </c>
      <c r="E205" s="361">
        <v>1274.56</v>
      </c>
    </row>
    <row r="206" spans="1:5">
      <c r="A206" s="473">
        <v>248</v>
      </c>
      <c r="B206" s="473" t="s">
        <v>9867</v>
      </c>
      <c r="C206" s="473" t="s">
        <v>43</v>
      </c>
      <c r="D206" s="473" t="s">
        <v>41</v>
      </c>
      <c r="E206" s="361">
        <v>9.76</v>
      </c>
    </row>
    <row r="207" spans="1:5">
      <c r="A207" s="473">
        <v>41086</v>
      </c>
      <c r="B207" s="473" t="s">
        <v>9868</v>
      </c>
      <c r="C207" s="473" t="s">
        <v>53</v>
      </c>
      <c r="D207" s="473" t="s">
        <v>41</v>
      </c>
      <c r="E207" s="361">
        <v>1742.45</v>
      </c>
    </row>
    <row r="208" spans="1:5">
      <c r="A208" s="473">
        <v>34466</v>
      </c>
      <c r="B208" s="473" t="s">
        <v>9869</v>
      </c>
      <c r="C208" s="473" t="s">
        <v>43</v>
      </c>
      <c r="D208" s="473" t="s">
        <v>41</v>
      </c>
      <c r="E208" s="361">
        <v>9.76</v>
      </c>
    </row>
    <row r="209" spans="1:5">
      <c r="A209" s="473">
        <v>41083</v>
      </c>
      <c r="B209" s="473" t="s">
        <v>9870</v>
      </c>
      <c r="C209" s="473" t="s">
        <v>53</v>
      </c>
      <c r="D209" s="473" t="s">
        <v>41</v>
      </c>
      <c r="E209" s="361">
        <v>1742.45</v>
      </c>
    </row>
    <row r="210" spans="1:5">
      <c r="A210" s="473">
        <v>252</v>
      </c>
      <c r="B210" s="473" t="s">
        <v>9871</v>
      </c>
      <c r="C210" s="473" t="s">
        <v>43</v>
      </c>
      <c r="D210" s="473" t="s">
        <v>41</v>
      </c>
      <c r="E210" s="361">
        <v>10.130000000000001</v>
      </c>
    </row>
    <row r="211" spans="1:5">
      <c r="A211" s="473">
        <v>40909</v>
      </c>
      <c r="B211" s="473" t="s">
        <v>9872</v>
      </c>
      <c r="C211" s="473" t="s">
        <v>53</v>
      </c>
      <c r="D211" s="473" t="s">
        <v>41</v>
      </c>
      <c r="E211" s="361">
        <v>1806.16</v>
      </c>
    </row>
    <row r="212" spans="1:5">
      <c r="A212" s="473">
        <v>242</v>
      </c>
      <c r="B212" s="473" t="s">
        <v>9873</v>
      </c>
      <c r="C212" s="473" t="s">
        <v>43</v>
      </c>
      <c r="D212" s="473" t="s">
        <v>41</v>
      </c>
      <c r="E212" s="361">
        <v>11.42</v>
      </c>
    </row>
    <row r="213" spans="1:5">
      <c r="A213" s="473">
        <v>41085</v>
      </c>
      <c r="B213" s="473" t="s">
        <v>9874</v>
      </c>
      <c r="C213" s="473" t="s">
        <v>53</v>
      </c>
      <c r="D213" s="473" t="s">
        <v>41</v>
      </c>
      <c r="E213" s="361">
        <v>2036.02</v>
      </c>
    </row>
    <row r="214" spans="1:5">
      <c r="A214" s="473">
        <v>427</v>
      </c>
      <c r="B214" s="473" t="s">
        <v>9875</v>
      </c>
      <c r="C214" s="473" t="s">
        <v>40</v>
      </c>
      <c r="D214" s="473" t="s">
        <v>47</v>
      </c>
      <c r="E214" s="361">
        <v>4.8899999999999997</v>
      </c>
    </row>
    <row r="215" spans="1:5">
      <c r="A215" s="473">
        <v>417</v>
      </c>
      <c r="B215" s="473" t="s">
        <v>9876</v>
      </c>
      <c r="C215" s="473" t="s">
        <v>40</v>
      </c>
      <c r="D215" s="473" t="s">
        <v>47</v>
      </c>
      <c r="E215" s="361">
        <v>2.2999999999999998</v>
      </c>
    </row>
    <row r="216" spans="1:5">
      <c r="A216" s="473">
        <v>11273</v>
      </c>
      <c r="B216" s="473" t="s">
        <v>9877</v>
      </c>
      <c r="C216" s="473" t="s">
        <v>40</v>
      </c>
      <c r="D216" s="473" t="s">
        <v>47</v>
      </c>
      <c r="E216" s="361">
        <v>7.15</v>
      </c>
    </row>
    <row r="217" spans="1:5">
      <c r="A217" s="473">
        <v>11272</v>
      </c>
      <c r="B217" s="473" t="s">
        <v>9878</v>
      </c>
      <c r="C217" s="473" t="s">
        <v>40</v>
      </c>
      <c r="D217" s="473" t="s">
        <v>47</v>
      </c>
      <c r="E217" s="361">
        <v>4.3099999999999996</v>
      </c>
    </row>
    <row r="218" spans="1:5">
      <c r="A218" s="473">
        <v>11275</v>
      </c>
      <c r="B218" s="473" t="s">
        <v>9879</v>
      </c>
      <c r="C218" s="473" t="s">
        <v>40</v>
      </c>
      <c r="D218" s="473" t="s">
        <v>47</v>
      </c>
      <c r="E218" s="361">
        <v>1.73</v>
      </c>
    </row>
    <row r="219" spans="1:5">
      <c r="A219" s="473">
        <v>11274</v>
      </c>
      <c r="B219" s="473" t="s">
        <v>9880</v>
      </c>
      <c r="C219" s="473" t="s">
        <v>40</v>
      </c>
      <c r="D219" s="473" t="s">
        <v>47</v>
      </c>
      <c r="E219" s="361">
        <v>1.32</v>
      </c>
    </row>
    <row r="220" spans="1:5">
      <c r="A220" s="473">
        <v>38470</v>
      </c>
      <c r="B220" s="473" t="s">
        <v>9881</v>
      </c>
      <c r="C220" s="473" t="s">
        <v>40</v>
      </c>
      <c r="D220" s="473" t="s">
        <v>44</v>
      </c>
      <c r="E220" s="361">
        <v>36.75</v>
      </c>
    </row>
    <row r="221" spans="1:5">
      <c r="A221" s="473">
        <v>38547</v>
      </c>
      <c r="B221" s="473" t="s">
        <v>9882</v>
      </c>
      <c r="C221" s="473" t="s">
        <v>40</v>
      </c>
      <c r="D221" s="473" t="s">
        <v>41</v>
      </c>
      <c r="E221" s="361">
        <v>100.28</v>
      </c>
    </row>
    <row r="222" spans="1:5">
      <c r="A222" s="473">
        <v>38469</v>
      </c>
      <c r="B222" s="473" t="s">
        <v>9883</v>
      </c>
      <c r="C222" s="473" t="s">
        <v>40</v>
      </c>
      <c r="D222" s="473" t="s">
        <v>41</v>
      </c>
      <c r="E222" s="361">
        <v>107.83</v>
      </c>
    </row>
    <row r="223" spans="1:5">
      <c r="A223" s="473">
        <v>38467</v>
      </c>
      <c r="B223" s="473" t="s">
        <v>9884</v>
      </c>
      <c r="C223" s="473" t="s">
        <v>40</v>
      </c>
      <c r="D223" s="473" t="s">
        <v>41</v>
      </c>
      <c r="E223" s="361">
        <v>60.67</v>
      </c>
    </row>
    <row r="224" spans="1:5">
      <c r="A224" s="473">
        <v>38468</v>
      </c>
      <c r="B224" s="473" t="s">
        <v>9885</v>
      </c>
      <c r="C224" s="473" t="s">
        <v>40</v>
      </c>
      <c r="D224" s="473" t="s">
        <v>41</v>
      </c>
      <c r="E224" s="361">
        <v>66.760000000000005</v>
      </c>
    </row>
    <row r="225" spans="1:5">
      <c r="A225" s="473">
        <v>38471</v>
      </c>
      <c r="B225" s="473" t="s">
        <v>9886</v>
      </c>
      <c r="C225" s="473" t="s">
        <v>40</v>
      </c>
      <c r="D225" s="473" t="s">
        <v>41</v>
      </c>
      <c r="E225" s="361">
        <v>86.7</v>
      </c>
    </row>
    <row r="226" spans="1:5">
      <c r="A226" s="473">
        <v>37370</v>
      </c>
      <c r="B226" s="473" t="s">
        <v>9887</v>
      </c>
      <c r="C226" s="473" t="s">
        <v>43</v>
      </c>
      <c r="D226" s="473" t="s">
        <v>44</v>
      </c>
      <c r="E226" s="361">
        <v>2.31</v>
      </c>
    </row>
    <row r="227" spans="1:5">
      <c r="A227" s="473">
        <v>40862</v>
      </c>
      <c r="B227" s="473" t="s">
        <v>9888</v>
      </c>
      <c r="C227" s="473" t="s">
        <v>53</v>
      </c>
      <c r="D227" s="473" t="s">
        <v>44</v>
      </c>
      <c r="E227" s="361">
        <v>436.05</v>
      </c>
    </row>
    <row r="228" spans="1:5">
      <c r="A228" s="473">
        <v>10658</v>
      </c>
      <c r="B228" s="473" t="s">
        <v>9889</v>
      </c>
      <c r="C228" s="473" t="s">
        <v>40</v>
      </c>
      <c r="D228" s="473" t="s">
        <v>47</v>
      </c>
      <c r="E228" s="361">
        <v>6900</v>
      </c>
    </row>
    <row r="229" spans="1:5">
      <c r="A229" s="473">
        <v>253</v>
      </c>
      <c r="B229" s="473" t="s">
        <v>9890</v>
      </c>
      <c r="C229" s="473" t="s">
        <v>43</v>
      </c>
      <c r="D229" s="473" t="s">
        <v>44</v>
      </c>
      <c r="E229" s="361">
        <v>23.14</v>
      </c>
    </row>
    <row r="230" spans="1:5">
      <c r="A230" s="473">
        <v>40809</v>
      </c>
      <c r="B230" s="473" t="s">
        <v>9891</v>
      </c>
      <c r="C230" s="473" t="s">
        <v>53</v>
      </c>
      <c r="D230" s="473" t="s">
        <v>41</v>
      </c>
      <c r="E230" s="361">
        <v>4124.13</v>
      </c>
    </row>
    <row r="231" spans="1:5">
      <c r="A231" s="473">
        <v>42428</v>
      </c>
      <c r="B231" s="473" t="s">
        <v>9892</v>
      </c>
      <c r="C231" s="473" t="s">
        <v>40</v>
      </c>
      <c r="D231" s="473" t="s">
        <v>47</v>
      </c>
      <c r="E231" s="361">
        <v>1290</v>
      </c>
    </row>
    <row r="232" spans="1:5">
      <c r="A232" s="473">
        <v>583</v>
      </c>
      <c r="B232" s="473" t="s">
        <v>9893</v>
      </c>
      <c r="C232" s="473" t="s">
        <v>49</v>
      </c>
      <c r="D232" s="473" t="s">
        <v>47</v>
      </c>
      <c r="E232" s="361">
        <v>25.3</v>
      </c>
    </row>
    <row r="233" spans="1:5">
      <c r="A233" s="473">
        <v>299</v>
      </c>
      <c r="B233" s="473" t="s">
        <v>9894</v>
      </c>
      <c r="C233" s="473" t="s">
        <v>40</v>
      </c>
      <c r="D233" s="473" t="s">
        <v>41</v>
      </c>
      <c r="E233" s="361">
        <v>2.17</v>
      </c>
    </row>
    <row r="234" spans="1:5">
      <c r="A234" s="473">
        <v>298</v>
      </c>
      <c r="B234" s="473" t="s">
        <v>9895</v>
      </c>
      <c r="C234" s="473" t="s">
        <v>40</v>
      </c>
      <c r="D234" s="473" t="s">
        <v>41</v>
      </c>
      <c r="E234" s="361">
        <v>2.1800000000000002</v>
      </c>
    </row>
    <row r="235" spans="1:5">
      <c r="A235" s="473">
        <v>295</v>
      </c>
      <c r="B235" s="473" t="s">
        <v>9896</v>
      </c>
      <c r="C235" s="473" t="s">
        <v>40</v>
      </c>
      <c r="D235" s="473" t="s">
        <v>41</v>
      </c>
      <c r="E235" s="361">
        <v>1.3</v>
      </c>
    </row>
    <row r="236" spans="1:5">
      <c r="A236" s="473">
        <v>296</v>
      </c>
      <c r="B236" s="473" t="s">
        <v>9897</v>
      </c>
      <c r="C236" s="473" t="s">
        <v>40</v>
      </c>
      <c r="D236" s="473" t="s">
        <v>41</v>
      </c>
      <c r="E236" s="361">
        <v>1.35</v>
      </c>
    </row>
    <row r="237" spans="1:5">
      <c r="A237" s="473">
        <v>297</v>
      </c>
      <c r="B237" s="473" t="s">
        <v>9898</v>
      </c>
      <c r="C237" s="473" t="s">
        <v>40</v>
      </c>
      <c r="D237" s="473" t="s">
        <v>41</v>
      </c>
      <c r="E237" s="361">
        <v>1.9</v>
      </c>
    </row>
    <row r="238" spans="1:5">
      <c r="A238" s="473">
        <v>301</v>
      </c>
      <c r="B238" s="473" t="s">
        <v>9899</v>
      </c>
      <c r="C238" s="473" t="s">
        <v>40</v>
      </c>
      <c r="D238" s="473" t="s">
        <v>44</v>
      </c>
      <c r="E238" s="361">
        <v>2.39</v>
      </c>
    </row>
    <row r="239" spans="1:5">
      <c r="A239" s="473">
        <v>300</v>
      </c>
      <c r="B239" s="473" t="s">
        <v>9900</v>
      </c>
      <c r="C239" s="473" t="s">
        <v>40</v>
      </c>
      <c r="D239" s="473" t="s">
        <v>41</v>
      </c>
      <c r="E239" s="361">
        <v>10.039999999999999</v>
      </c>
    </row>
    <row r="240" spans="1:5">
      <c r="A240" s="473">
        <v>20084</v>
      </c>
      <c r="B240" s="473" t="s">
        <v>9901</v>
      </c>
      <c r="C240" s="473" t="s">
        <v>40</v>
      </c>
      <c r="D240" s="473" t="s">
        <v>41</v>
      </c>
      <c r="E240" s="361">
        <v>1.3</v>
      </c>
    </row>
    <row r="241" spans="1:5">
      <c r="A241" s="473">
        <v>20085</v>
      </c>
      <c r="B241" s="473" t="s">
        <v>9902</v>
      </c>
      <c r="C241" s="473" t="s">
        <v>40</v>
      </c>
      <c r="D241" s="473" t="s">
        <v>41</v>
      </c>
      <c r="E241" s="361">
        <v>1.2</v>
      </c>
    </row>
    <row r="242" spans="1:5">
      <c r="A242" s="473">
        <v>311</v>
      </c>
      <c r="B242" s="473" t="s">
        <v>9903</v>
      </c>
      <c r="C242" s="473" t="s">
        <v>40</v>
      </c>
      <c r="D242" s="473" t="s">
        <v>41</v>
      </c>
      <c r="E242" s="361">
        <v>7.77</v>
      </c>
    </row>
    <row r="243" spans="1:5">
      <c r="A243" s="473">
        <v>318</v>
      </c>
      <c r="B243" s="473" t="s">
        <v>9904</v>
      </c>
      <c r="C243" s="473" t="s">
        <v>40</v>
      </c>
      <c r="D243" s="473" t="s">
        <v>41</v>
      </c>
      <c r="E243" s="361">
        <v>13.61</v>
      </c>
    </row>
    <row r="244" spans="1:5">
      <c r="A244" s="473">
        <v>319</v>
      </c>
      <c r="B244" s="473" t="s">
        <v>9905</v>
      </c>
      <c r="C244" s="473" t="s">
        <v>40</v>
      </c>
      <c r="D244" s="473" t="s">
        <v>41</v>
      </c>
      <c r="E244" s="361">
        <v>25.71</v>
      </c>
    </row>
    <row r="245" spans="1:5">
      <c r="A245" s="473">
        <v>320</v>
      </c>
      <c r="B245" s="473" t="s">
        <v>9906</v>
      </c>
      <c r="C245" s="473" t="s">
        <v>40</v>
      </c>
      <c r="D245" s="473" t="s">
        <v>41</v>
      </c>
      <c r="E245" s="361">
        <v>81.73</v>
      </c>
    </row>
    <row r="246" spans="1:5">
      <c r="A246" s="473">
        <v>314</v>
      </c>
      <c r="B246" s="473" t="s">
        <v>9907</v>
      </c>
      <c r="C246" s="473" t="s">
        <v>40</v>
      </c>
      <c r="D246" s="473" t="s">
        <v>41</v>
      </c>
      <c r="E246" s="361">
        <v>125.53</v>
      </c>
    </row>
    <row r="247" spans="1:5">
      <c r="A247" s="473">
        <v>303</v>
      </c>
      <c r="B247" s="473" t="s">
        <v>9908</v>
      </c>
      <c r="C247" s="473" t="s">
        <v>40</v>
      </c>
      <c r="D247" s="473" t="s">
        <v>41</v>
      </c>
      <c r="E247" s="361">
        <v>3.25</v>
      </c>
    </row>
    <row r="248" spans="1:5">
      <c r="A248" s="473">
        <v>304</v>
      </c>
      <c r="B248" s="473" t="s">
        <v>9909</v>
      </c>
      <c r="C248" s="473" t="s">
        <v>40</v>
      </c>
      <c r="D248" s="473" t="s">
        <v>41</v>
      </c>
      <c r="E248" s="361">
        <v>4.97</v>
      </c>
    </row>
    <row r="249" spans="1:5">
      <c r="A249" s="473">
        <v>305</v>
      </c>
      <c r="B249" s="473" t="s">
        <v>9910</v>
      </c>
      <c r="C249" s="473" t="s">
        <v>40</v>
      </c>
      <c r="D249" s="473" t="s">
        <v>41</v>
      </c>
      <c r="E249" s="361">
        <v>8.49</v>
      </c>
    </row>
    <row r="250" spans="1:5">
      <c r="A250" s="473">
        <v>306</v>
      </c>
      <c r="B250" s="473" t="s">
        <v>9911</v>
      </c>
      <c r="C250" s="473" t="s">
        <v>40</v>
      </c>
      <c r="D250" s="473" t="s">
        <v>41</v>
      </c>
      <c r="E250" s="361">
        <v>10.210000000000001</v>
      </c>
    </row>
    <row r="251" spans="1:5">
      <c r="A251" s="473">
        <v>307</v>
      </c>
      <c r="B251" s="473" t="s">
        <v>9912</v>
      </c>
      <c r="C251" s="473" t="s">
        <v>40</v>
      </c>
      <c r="D251" s="473" t="s">
        <v>41</v>
      </c>
      <c r="E251" s="361">
        <v>20.149999999999999</v>
      </c>
    </row>
    <row r="252" spans="1:5">
      <c r="A252" s="473">
        <v>309</v>
      </c>
      <c r="B252" s="473" t="s">
        <v>9913</v>
      </c>
      <c r="C252" s="473" t="s">
        <v>40</v>
      </c>
      <c r="D252" s="473" t="s">
        <v>41</v>
      </c>
      <c r="E252" s="361">
        <v>41.3</v>
      </c>
    </row>
    <row r="253" spans="1:5">
      <c r="A253" s="473">
        <v>310</v>
      </c>
      <c r="B253" s="473" t="s">
        <v>9914</v>
      </c>
      <c r="C253" s="473" t="s">
        <v>40</v>
      </c>
      <c r="D253" s="473" t="s">
        <v>41</v>
      </c>
      <c r="E253" s="361">
        <v>52.38</v>
      </c>
    </row>
    <row r="254" spans="1:5">
      <c r="A254" s="473">
        <v>328</v>
      </c>
      <c r="B254" s="473" t="s">
        <v>9915</v>
      </c>
      <c r="C254" s="473" t="s">
        <v>40</v>
      </c>
      <c r="D254" s="473" t="s">
        <v>41</v>
      </c>
      <c r="E254" s="361">
        <v>6.25</v>
      </c>
    </row>
    <row r="255" spans="1:5">
      <c r="A255" s="473">
        <v>325</v>
      </c>
      <c r="B255" s="473" t="s">
        <v>9916</v>
      </c>
      <c r="C255" s="473" t="s">
        <v>40</v>
      </c>
      <c r="D255" s="473" t="s">
        <v>41</v>
      </c>
      <c r="E255" s="361">
        <v>2.42</v>
      </c>
    </row>
    <row r="256" spans="1:5">
      <c r="A256" s="473">
        <v>20326</v>
      </c>
      <c r="B256" s="473" t="s">
        <v>9917</v>
      </c>
      <c r="C256" s="473" t="s">
        <v>40</v>
      </c>
      <c r="D256" s="473" t="s">
        <v>41</v>
      </c>
      <c r="E256" s="361">
        <v>6.49</v>
      </c>
    </row>
    <row r="257" spans="1:5">
      <c r="A257" s="473">
        <v>329</v>
      </c>
      <c r="B257" s="473" t="s">
        <v>9918</v>
      </c>
      <c r="C257" s="473" t="s">
        <v>40</v>
      </c>
      <c r="D257" s="473" t="s">
        <v>41</v>
      </c>
      <c r="E257" s="361">
        <v>7.99</v>
      </c>
    </row>
    <row r="258" spans="1:5">
      <c r="A258" s="473">
        <v>308</v>
      </c>
      <c r="B258" s="473" t="s">
        <v>9919</v>
      </c>
      <c r="C258" s="473" t="s">
        <v>40</v>
      </c>
      <c r="D258" s="473" t="s">
        <v>41</v>
      </c>
      <c r="E258" s="361">
        <v>26.91</v>
      </c>
    </row>
    <row r="259" spans="1:5">
      <c r="A259" s="473">
        <v>39642</v>
      </c>
      <c r="B259" s="473" t="s">
        <v>9920</v>
      </c>
      <c r="C259" s="473" t="s">
        <v>40</v>
      </c>
      <c r="D259" s="473" t="s">
        <v>41</v>
      </c>
      <c r="E259" s="361">
        <v>1.63</v>
      </c>
    </row>
    <row r="260" spans="1:5">
      <c r="A260" s="473">
        <v>39641</v>
      </c>
      <c r="B260" s="473" t="s">
        <v>9921</v>
      </c>
      <c r="C260" s="473" t="s">
        <v>40</v>
      </c>
      <c r="D260" s="473" t="s">
        <v>41</v>
      </c>
      <c r="E260" s="361">
        <v>1.1299999999999999</v>
      </c>
    </row>
    <row r="261" spans="1:5">
      <c r="A261" s="473">
        <v>39643</v>
      </c>
      <c r="B261" s="473" t="s">
        <v>9922</v>
      </c>
      <c r="C261" s="473" t="s">
        <v>40</v>
      </c>
      <c r="D261" s="473" t="s">
        <v>41</v>
      </c>
      <c r="E261" s="361">
        <v>4.54</v>
      </c>
    </row>
    <row r="262" spans="1:5">
      <c r="A262" s="473">
        <v>39644</v>
      </c>
      <c r="B262" s="473" t="s">
        <v>9923</v>
      </c>
      <c r="C262" s="473" t="s">
        <v>40</v>
      </c>
      <c r="D262" s="473" t="s">
        <v>41</v>
      </c>
      <c r="E262" s="361">
        <v>5.86</v>
      </c>
    </row>
    <row r="263" spans="1:5">
      <c r="A263" s="473">
        <v>39645</v>
      </c>
      <c r="B263" s="473" t="s">
        <v>9924</v>
      </c>
      <c r="C263" s="473" t="s">
        <v>40</v>
      </c>
      <c r="D263" s="473" t="s">
        <v>41</v>
      </c>
      <c r="E263" s="361">
        <v>7.57</v>
      </c>
    </row>
    <row r="264" spans="1:5">
      <c r="A264" s="473">
        <v>12548</v>
      </c>
      <c r="B264" s="473" t="s">
        <v>9925</v>
      </c>
      <c r="C264" s="473" t="s">
        <v>40</v>
      </c>
      <c r="D264" s="473" t="s">
        <v>41</v>
      </c>
      <c r="E264" s="361">
        <v>93.77</v>
      </c>
    </row>
    <row r="265" spans="1:5">
      <c r="A265" s="473">
        <v>13113</v>
      </c>
      <c r="B265" s="473" t="s">
        <v>9926</v>
      </c>
      <c r="C265" s="473" t="s">
        <v>40</v>
      </c>
      <c r="D265" s="473" t="s">
        <v>41</v>
      </c>
      <c r="E265" s="361">
        <v>38.43</v>
      </c>
    </row>
    <row r="266" spans="1:5">
      <c r="A266" s="473">
        <v>13114</v>
      </c>
      <c r="B266" s="473" t="s">
        <v>9927</v>
      </c>
      <c r="C266" s="473" t="s">
        <v>40</v>
      </c>
      <c r="D266" s="473" t="s">
        <v>41</v>
      </c>
      <c r="E266" s="361">
        <v>46.78</v>
      </c>
    </row>
    <row r="267" spans="1:5">
      <c r="A267" s="473">
        <v>12530</v>
      </c>
      <c r="B267" s="473" t="s">
        <v>9928</v>
      </c>
      <c r="C267" s="473" t="s">
        <v>40</v>
      </c>
      <c r="D267" s="473" t="s">
        <v>41</v>
      </c>
      <c r="E267" s="361">
        <v>57.01</v>
      </c>
    </row>
    <row r="268" spans="1:5">
      <c r="A268" s="473">
        <v>12531</v>
      </c>
      <c r="B268" s="473" t="s">
        <v>9929</v>
      </c>
      <c r="C268" s="473" t="s">
        <v>40</v>
      </c>
      <c r="D268" s="473" t="s">
        <v>41</v>
      </c>
      <c r="E268" s="361">
        <v>63.76</v>
      </c>
    </row>
    <row r="269" spans="1:5">
      <c r="A269" s="473">
        <v>12532</v>
      </c>
      <c r="B269" s="473" t="s">
        <v>9930</v>
      </c>
      <c r="C269" s="473" t="s">
        <v>40</v>
      </c>
      <c r="D269" s="473" t="s">
        <v>41</v>
      </c>
      <c r="E269" s="361">
        <v>77.98</v>
      </c>
    </row>
    <row r="270" spans="1:5">
      <c r="A270" s="473">
        <v>12533</v>
      </c>
      <c r="B270" s="473" t="s">
        <v>9931</v>
      </c>
      <c r="C270" s="473" t="s">
        <v>40</v>
      </c>
      <c r="D270" s="473" t="s">
        <v>41</v>
      </c>
      <c r="E270" s="361">
        <v>93.02</v>
      </c>
    </row>
    <row r="271" spans="1:5">
      <c r="A271" s="473">
        <v>12544</v>
      </c>
      <c r="B271" s="473" t="s">
        <v>9932</v>
      </c>
      <c r="C271" s="473" t="s">
        <v>40</v>
      </c>
      <c r="D271" s="473" t="s">
        <v>41</v>
      </c>
      <c r="E271" s="361">
        <v>113.63</v>
      </c>
    </row>
    <row r="272" spans="1:5">
      <c r="A272" s="473">
        <v>12546</v>
      </c>
      <c r="B272" s="473" t="s">
        <v>9933</v>
      </c>
      <c r="C272" s="473" t="s">
        <v>40</v>
      </c>
      <c r="D272" s="473" t="s">
        <v>41</v>
      </c>
      <c r="E272" s="361">
        <v>117.62</v>
      </c>
    </row>
    <row r="273" spans="1:5">
      <c r="A273" s="473">
        <v>12547</v>
      </c>
      <c r="B273" s="473" t="s">
        <v>9934</v>
      </c>
      <c r="C273" s="473" t="s">
        <v>40</v>
      </c>
      <c r="D273" s="473" t="s">
        <v>41</v>
      </c>
      <c r="E273" s="361">
        <v>136.78</v>
      </c>
    </row>
    <row r="274" spans="1:5">
      <c r="A274" s="473">
        <v>12551</v>
      </c>
      <c r="B274" s="473" t="s">
        <v>9935</v>
      </c>
      <c r="C274" s="473" t="s">
        <v>40</v>
      </c>
      <c r="D274" s="473" t="s">
        <v>41</v>
      </c>
      <c r="E274" s="361">
        <v>148.94</v>
      </c>
    </row>
    <row r="275" spans="1:5">
      <c r="A275" s="473">
        <v>12563</v>
      </c>
      <c r="B275" s="473" t="s">
        <v>9936</v>
      </c>
      <c r="C275" s="473" t="s">
        <v>40</v>
      </c>
      <c r="D275" s="473" t="s">
        <v>41</v>
      </c>
      <c r="E275" s="361">
        <v>233.94</v>
      </c>
    </row>
    <row r="276" spans="1:5">
      <c r="A276" s="473">
        <v>12565</v>
      </c>
      <c r="B276" s="473" t="s">
        <v>9937</v>
      </c>
      <c r="C276" s="473" t="s">
        <v>40</v>
      </c>
      <c r="D276" s="473" t="s">
        <v>41</v>
      </c>
      <c r="E276" s="361">
        <v>368.14</v>
      </c>
    </row>
    <row r="277" spans="1:5">
      <c r="A277" s="473">
        <v>12567</v>
      </c>
      <c r="B277" s="473" t="s">
        <v>9938</v>
      </c>
      <c r="C277" s="473" t="s">
        <v>40</v>
      </c>
      <c r="D277" s="473" t="s">
        <v>41</v>
      </c>
      <c r="E277" s="361">
        <v>479.03</v>
      </c>
    </row>
    <row r="278" spans="1:5">
      <c r="A278" s="473">
        <v>12568</v>
      </c>
      <c r="B278" s="473" t="s">
        <v>9939</v>
      </c>
      <c r="C278" s="473" t="s">
        <v>40</v>
      </c>
      <c r="D278" s="473" t="s">
        <v>41</v>
      </c>
      <c r="E278" s="361">
        <v>790.96</v>
      </c>
    </row>
    <row r="279" spans="1:5">
      <c r="A279" s="473">
        <v>11789</v>
      </c>
      <c r="B279" s="473" t="s">
        <v>9940</v>
      </c>
      <c r="C279" s="473" t="s">
        <v>40</v>
      </c>
      <c r="D279" s="473" t="s">
        <v>47</v>
      </c>
      <c r="E279" s="361">
        <v>0.65</v>
      </c>
    </row>
    <row r="280" spans="1:5">
      <c r="A280" s="473">
        <v>20975</v>
      </c>
      <c r="B280" s="473" t="s">
        <v>9941</v>
      </c>
      <c r="C280" s="473" t="s">
        <v>40</v>
      </c>
      <c r="D280" s="473" t="s">
        <v>41</v>
      </c>
      <c r="E280" s="361">
        <v>8.24</v>
      </c>
    </row>
    <row r="281" spans="1:5">
      <c r="A281" s="473">
        <v>20976</v>
      </c>
      <c r="B281" s="473" t="s">
        <v>9942</v>
      </c>
      <c r="C281" s="473" t="s">
        <v>40</v>
      </c>
      <c r="D281" s="473" t="s">
        <v>41</v>
      </c>
      <c r="E281" s="361">
        <v>12.45</v>
      </c>
    </row>
    <row r="282" spans="1:5">
      <c r="A282" s="473">
        <v>40340</v>
      </c>
      <c r="B282" s="473" t="s">
        <v>9943</v>
      </c>
      <c r="C282" s="473" t="s">
        <v>40</v>
      </c>
      <c r="D282" s="473" t="s">
        <v>41</v>
      </c>
      <c r="E282" s="361">
        <v>63.29</v>
      </c>
    </row>
    <row r="283" spans="1:5">
      <c r="A283" s="473">
        <v>40341</v>
      </c>
      <c r="B283" s="473" t="s">
        <v>9944</v>
      </c>
      <c r="C283" s="473" t="s">
        <v>40</v>
      </c>
      <c r="D283" s="473" t="s">
        <v>41</v>
      </c>
      <c r="E283" s="361">
        <v>74.94</v>
      </c>
    </row>
    <row r="284" spans="1:5">
      <c r="A284" s="473">
        <v>40342</v>
      </c>
      <c r="B284" s="473" t="s">
        <v>9945</v>
      </c>
      <c r="C284" s="473" t="s">
        <v>40</v>
      </c>
      <c r="D284" s="473" t="s">
        <v>41</v>
      </c>
      <c r="E284" s="361">
        <v>95.01</v>
      </c>
    </row>
    <row r="285" spans="1:5">
      <c r="A285" s="473">
        <v>40343</v>
      </c>
      <c r="B285" s="473" t="s">
        <v>9946</v>
      </c>
      <c r="C285" s="473" t="s">
        <v>40</v>
      </c>
      <c r="D285" s="473" t="s">
        <v>41</v>
      </c>
      <c r="E285" s="361">
        <v>116.56</v>
      </c>
    </row>
    <row r="286" spans="1:5">
      <c r="A286" s="473">
        <v>40344</v>
      </c>
      <c r="B286" s="473" t="s">
        <v>9947</v>
      </c>
      <c r="C286" s="473" t="s">
        <v>40</v>
      </c>
      <c r="D286" s="473" t="s">
        <v>41</v>
      </c>
      <c r="E286" s="361">
        <v>123.24</v>
      </c>
    </row>
    <row r="287" spans="1:5">
      <c r="A287" s="473">
        <v>40345</v>
      </c>
      <c r="B287" s="473" t="s">
        <v>9948</v>
      </c>
      <c r="C287" s="473" t="s">
        <v>40</v>
      </c>
      <c r="D287" s="473" t="s">
        <v>41</v>
      </c>
      <c r="E287" s="361">
        <v>153.87</v>
      </c>
    </row>
    <row r="288" spans="1:5">
      <c r="A288" s="473">
        <v>40346</v>
      </c>
      <c r="B288" s="473" t="s">
        <v>9949</v>
      </c>
      <c r="C288" s="473" t="s">
        <v>40</v>
      </c>
      <c r="D288" s="473" t="s">
        <v>41</v>
      </c>
      <c r="E288" s="361">
        <v>144.75</v>
      </c>
    </row>
    <row r="289" spans="1:5">
      <c r="A289" s="473">
        <v>40347</v>
      </c>
      <c r="B289" s="473" t="s">
        <v>9950</v>
      </c>
      <c r="C289" s="473" t="s">
        <v>40</v>
      </c>
      <c r="D289" s="473" t="s">
        <v>41</v>
      </c>
      <c r="E289" s="361">
        <v>178.98</v>
      </c>
    </row>
    <row r="290" spans="1:5">
      <c r="A290" s="473">
        <v>38840</v>
      </c>
      <c r="B290" s="473" t="s">
        <v>9951</v>
      </c>
      <c r="C290" s="473" t="s">
        <v>40</v>
      </c>
      <c r="D290" s="473" t="s">
        <v>47</v>
      </c>
      <c r="E290" s="361">
        <v>2.12</v>
      </c>
    </row>
    <row r="291" spans="1:5">
      <c r="A291" s="473">
        <v>38841</v>
      </c>
      <c r="B291" s="473" t="s">
        <v>9952</v>
      </c>
      <c r="C291" s="473" t="s">
        <v>40</v>
      </c>
      <c r="D291" s="473" t="s">
        <v>47</v>
      </c>
      <c r="E291" s="361">
        <v>2.35</v>
      </c>
    </row>
    <row r="292" spans="1:5">
      <c r="A292" s="473">
        <v>38842</v>
      </c>
      <c r="B292" s="473" t="s">
        <v>9953</v>
      </c>
      <c r="C292" s="473" t="s">
        <v>40</v>
      </c>
      <c r="D292" s="473" t="s">
        <v>47</v>
      </c>
      <c r="E292" s="361">
        <v>4.6500000000000004</v>
      </c>
    </row>
    <row r="293" spans="1:5">
      <c r="A293" s="473">
        <v>38843</v>
      </c>
      <c r="B293" s="473" t="s">
        <v>9954</v>
      </c>
      <c r="C293" s="473" t="s">
        <v>40</v>
      </c>
      <c r="D293" s="473" t="s">
        <v>47</v>
      </c>
      <c r="E293" s="361">
        <v>7.26</v>
      </c>
    </row>
    <row r="294" spans="1:5">
      <c r="A294" s="473">
        <v>13761</v>
      </c>
      <c r="B294" s="473" t="s">
        <v>9955</v>
      </c>
      <c r="C294" s="473" t="s">
        <v>40</v>
      </c>
      <c r="D294" s="473" t="s">
        <v>47</v>
      </c>
      <c r="E294" s="361">
        <v>2876.37</v>
      </c>
    </row>
    <row r="295" spans="1:5">
      <c r="A295" s="473">
        <v>12888</v>
      </c>
      <c r="B295" s="473" t="s">
        <v>9956</v>
      </c>
      <c r="C295" s="473" t="s">
        <v>54</v>
      </c>
      <c r="D295" s="473" t="s">
        <v>47</v>
      </c>
      <c r="E295" s="361">
        <v>111.22</v>
      </c>
    </row>
    <row r="296" spans="1:5">
      <c r="A296" s="473">
        <v>12889</v>
      </c>
      <c r="B296" s="473" t="s">
        <v>9957</v>
      </c>
      <c r="C296" s="473" t="s">
        <v>54</v>
      </c>
      <c r="D296" s="473" t="s">
        <v>47</v>
      </c>
      <c r="E296" s="361">
        <v>72.63</v>
      </c>
    </row>
    <row r="297" spans="1:5">
      <c r="A297" s="473">
        <v>4814</v>
      </c>
      <c r="B297" s="473" t="s">
        <v>9958</v>
      </c>
      <c r="C297" s="473" t="s">
        <v>40</v>
      </c>
      <c r="D297" s="473" t="s">
        <v>47</v>
      </c>
      <c r="E297" s="361">
        <v>121.67</v>
      </c>
    </row>
    <row r="298" spans="1:5">
      <c r="A298" s="473">
        <v>25967</v>
      </c>
      <c r="B298" s="473" t="s">
        <v>9959</v>
      </c>
      <c r="C298" s="473" t="s">
        <v>40</v>
      </c>
      <c r="D298" s="473" t="s">
        <v>47</v>
      </c>
      <c r="E298" s="361">
        <v>1661.94</v>
      </c>
    </row>
    <row r="299" spans="1:5">
      <c r="A299" s="473">
        <v>6122</v>
      </c>
      <c r="B299" s="473" t="s">
        <v>9960</v>
      </c>
      <c r="C299" s="473" t="s">
        <v>43</v>
      </c>
      <c r="D299" s="473" t="s">
        <v>41</v>
      </c>
      <c r="E299" s="361">
        <v>27.79</v>
      </c>
    </row>
    <row r="300" spans="1:5">
      <c r="A300" s="473">
        <v>40810</v>
      </c>
      <c r="B300" s="473" t="s">
        <v>9961</v>
      </c>
      <c r="C300" s="473" t="s">
        <v>53</v>
      </c>
      <c r="D300" s="473" t="s">
        <v>41</v>
      </c>
      <c r="E300" s="361">
        <v>4954.9799999999996</v>
      </c>
    </row>
    <row r="301" spans="1:5">
      <c r="A301" s="473">
        <v>21100</v>
      </c>
      <c r="B301" s="473" t="s">
        <v>9962</v>
      </c>
      <c r="C301" s="473" t="s">
        <v>40</v>
      </c>
      <c r="D301" s="473" t="s">
        <v>47</v>
      </c>
      <c r="E301" s="361">
        <v>2449.14</v>
      </c>
    </row>
    <row r="302" spans="1:5">
      <c r="A302" s="473">
        <v>11816</v>
      </c>
      <c r="B302" s="473" t="s">
        <v>9963</v>
      </c>
      <c r="C302" s="473" t="s">
        <v>40</v>
      </c>
      <c r="D302" s="473" t="s">
        <v>47</v>
      </c>
      <c r="E302" s="361">
        <v>2611.5</v>
      </c>
    </row>
    <row r="303" spans="1:5">
      <c r="A303" s="473">
        <v>11814</v>
      </c>
      <c r="B303" s="473" t="s">
        <v>9964</v>
      </c>
      <c r="C303" s="473" t="s">
        <v>40</v>
      </c>
      <c r="D303" s="473" t="s">
        <v>47</v>
      </c>
      <c r="E303" s="361">
        <v>5684.58</v>
      </c>
    </row>
    <row r="304" spans="1:5">
      <c r="A304" s="473">
        <v>14186</v>
      </c>
      <c r="B304" s="473" t="s">
        <v>9965</v>
      </c>
      <c r="C304" s="473" t="s">
        <v>40</v>
      </c>
      <c r="D304" s="473" t="s">
        <v>47</v>
      </c>
      <c r="E304" s="361">
        <v>7137.76</v>
      </c>
    </row>
    <row r="305" spans="1:5">
      <c r="A305" s="473">
        <v>14185</v>
      </c>
      <c r="B305" s="473" t="s">
        <v>9966</v>
      </c>
      <c r="C305" s="473" t="s">
        <v>40</v>
      </c>
      <c r="D305" s="473" t="s">
        <v>47</v>
      </c>
      <c r="E305" s="361">
        <v>9246.18</v>
      </c>
    </row>
    <row r="306" spans="1:5">
      <c r="A306" s="473">
        <v>11811</v>
      </c>
      <c r="B306" s="473" t="s">
        <v>9967</v>
      </c>
      <c r="C306" s="473" t="s">
        <v>40</v>
      </c>
      <c r="D306" s="473" t="s">
        <v>47</v>
      </c>
      <c r="E306" s="361">
        <v>3535.38</v>
      </c>
    </row>
    <row r="307" spans="1:5">
      <c r="A307" s="473">
        <v>26038</v>
      </c>
      <c r="B307" s="473" t="s">
        <v>9968</v>
      </c>
      <c r="C307" s="473" t="s">
        <v>40</v>
      </c>
      <c r="D307" s="473" t="s">
        <v>47</v>
      </c>
      <c r="E307" s="361">
        <v>202992.51</v>
      </c>
    </row>
    <row r="308" spans="1:5">
      <c r="A308" s="473">
        <v>34482</v>
      </c>
      <c r="B308" s="473" t="s">
        <v>9969</v>
      </c>
      <c r="C308" s="473" t="s">
        <v>40</v>
      </c>
      <c r="D308" s="473" t="s">
        <v>47</v>
      </c>
      <c r="E308" s="361">
        <v>4202.34</v>
      </c>
    </row>
    <row r="309" spans="1:5">
      <c r="A309" s="473">
        <v>34469</v>
      </c>
      <c r="B309" s="473" t="s">
        <v>9970</v>
      </c>
      <c r="C309" s="473" t="s">
        <v>40</v>
      </c>
      <c r="D309" s="473" t="s">
        <v>47</v>
      </c>
      <c r="E309" s="361">
        <v>6500.5</v>
      </c>
    </row>
    <row r="310" spans="1:5">
      <c r="A310" s="473">
        <v>34472</v>
      </c>
      <c r="B310" s="473" t="s">
        <v>9971</v>
      </c>
      <c r="C310" s="473" t="s">
        <v>40</v>
      </c>
      <c r="D310" s="473" t="s">
        <v>47</v>
      </c>
      <c r="E310" s="361">
        <v>2000</v>
      </c>
    </row>
    <row r="311" spans="1:5">
      <c r="A311" s="473">
        <v>34476</v>
      </c>
      <c r="B311" s="473" t="s">
        <v>9972</v>
      </c>
      <c r="C311" s="473" t="s">
        <v>40</v>
      </c>
      <c r="D311" s="473" t="s">
        <v>47</v>
      </c>
      <c r="E311" s="361">
        <v>3390.28</v>
      </c>
    </row>
    <row r="312" spans="1:5">
      <c r="A312" s="473">
        <v>34477</v>
      </c>
      <c r="B312" s="473" t="s">
        <v>9973</v>
      </c>
      <c r="C312" s="473" t="s">
        <v>40</v>
      </c>
      <c r="D312" s="473" t="s">
        <v>47</v>
      </c>
      <c r="E312" s="361">
        <v>4499.5600000000004</v>
      </c>
    </row>
    <row r="313" spans="1:5">
      <c r="A313" s="473">
        <v>42425</v>
      </c>
      <c r="B313" s="473" t="s">
        <v>9974</v>
      </c>
      <c r="C313" s="473" t="s">
        <v>40</v>
      </c>
      <c r="D313" s="473" t="s">
        <v>41</v>
      </c>
      <c r="E313" s="361">
        <v>1734.21</v>
      </c>
    </row>
    <row r="314" spans="1:5">
      <c r="A314" s="473">
        <v>42422</v>
      </c>
      <c r="B314" s="473" t="s">
        <v>9975</v>
      </c>
      <c r="C314" s="473" t="s">
        <v>40</v>
      </c>
      <c r="D314" s="473" t="s">
        <v>44</v>
      </c>
      <c r="E314" s="361">
        <v>2574.5</v>
      </c>
    </row>
    <row r="315" spans="1:5">
      <c r="A315" s="473">
        <v>42424</v>
      </c>
      <c r="B315" s="473" t="s">
        <v>9976</v>
      </c>
      <c r="C315" s="473" t="s">
        <v>40</v>
      </c>
      <c r="D315" s="473" t="s">
        <v>41</v>
      </c>
      <c r="E315" s="361">
        <v>1548.8</v>
      </c>
    </row>
    <row r="316" spans="1:5">
      <c r="A316" s="473">
        <v>42416</v>
      </c>
      <c r="B316" s="473" t="s">
        <v>9977</v>
      </c>
      <c r="C316" s="473" t="s">
        <v>40</v>
      </c>
      <c r="D316" s="473" t="s">
        <v>41</v>
      </c>
      <c r="E316" s="361">
        <v>6676.72</v>
      </c>
    </row>
    <row r="317" spans="1:5">
      <c r="A317" s="473">
        <v>42417</v>
      </c>
      <c r="B317" s="473" t="s">
        <v>9978</v>
      </c>
      <c r="C317" s="473" t="s">
        <v>40</v>
      </c>
      <c r="D317" s="473" t="s">
        <v>41</v>
      </c>
      <c r="E317" s="361">
        <v>7485.15</v>
      </c>
    </row>
    <row r="318" spans="1:5">
      <c r="A318" s="473">
        <v>42419</v>
      </c>
      <c r="B318" s="473" t="s">
        <v>9979</v>
      </c>
      <c r="C318" s="473" t="s">
        <v>40</v>
      </c>
      <c r="D318" s="473" t="s">
        <v>41</v>
      </c>
      <c r="E318" s="361">
        <v>8456.6299999999992</v>
      </c>
    </row>
    <row r="319" spans="1:5">
      <c r="A319" s="473">
        <v>42420</v>
      </c>
      <c r="B319" s="473" t="s">
        <v>9980</v>
      </c>
      <c r="C319" s="473" t="s">
        <v>40</v>
      </c>
      <c r="D319" s="473" t="s">
        <v>41</v>
      </c>
      <c r="E319" s="361">
        <v>11623.01</v>
      </c>
    </row>
    <row r="320" spans="1:5">
      <c r="A320" s="473">
        <v>42421</v>
      </c>
      <c r="B320" s="473" t="s">
        <v>9981</v>
      </c>
      <c r="C320" s="473" t="s">
        <v>40</v>
      </c>
      <c r="D320" s="473" t="s">
        <v>41</v>
      </c>
      <c r="E320" s="361">
        <v>14101.7</v>
      </c>
    </row>
    <row r="321" spans="1:5">
      <c r="A321" s="473">
        <v>39556</v>
      </c>
      <c r="B321" s="473" t="s">
        <v>9982</v>
      </c>
      <c r="C321" s="473" t="s">
        <v>40</v>
      </c>
      <c r="D321" s="473" t="s">
        <v>41</v>
      </c>
      <c r="E321" s="361">
        <v>4897.2</v>
      </c>
    </row>
    <row r="322" spans="1:5">
      <c r="A322" s="473">
        <v>39557</v>
      </c>
      <c r="B322" s="473" t="s">
        <v>9983</v>
      </c>
      <c r="C322" s="473" t="s">
        <v>40</v>
      </c>
      <c r="D322" s="473" t="s">
        <v>41</v>
      </c>
      <c r="E322" s="361">
        <v>5273.22</v>
      </c>
    </row>
    <row r="323" spans="1:5">
      <c r="A323" s="473">
        <v>39558</v>
      </c>
      <c r="B323" s="473" t="s">
        <v>9984</v>
      </c>
      <c r="C323" s="473" t="s">
        <v>40</v>
      </c>
      <c r="D323" s="473" t="s">
        <v>41</v>
      </c>
      <c r="E323" s="361">
        <v>5408.19</v>
      </c>
    </row>
    <row r="324" spans="1:5">
      <c r="A324" s="473">
        <v>39559</v>
      </c>
      <c r="B324" s="473" t="s">
        <v>9985</v>
      </c>
      <c r="C324" s="473" t="s">
        <v>40</v>
      </c>
      <c r="D324" s="473" t="s">
        <v>41</v>
      </c>
      <c r="E324" s="361">
        <v>7792.8</v>
      </c>
    </row>
    <row r="325" spans="1:5">
      <c r="A325" s="473">
        <v>39560</v>
      </c>
      <c r="B325" s="473" t="s">
        <v>9986</v>
      </c>
      <c r="C325" s="473" t="s">
        <v>40</v>
      </c>
      <c r="D325" s="473" t="s">
        <v>41</v>
      </c>
      <c r="E325" s="361">
        <v>9015.51</v>
      </c>
    </row>
    <row r="326" spans="1:5">
      <c r="A326" s="473">
        <v>39561</v>
      </c>
      <c r="B326" s="473" t="s">
        <v>9987</v>
      </c>
      <c r="C326" s="473" t="s">
        <v>40</v>
      </c>
      <c r="D326" s="473" t="s">
        <v>41</v>
      </c>
      <c r="E326" s="361">
        <v>9431.3799999999992</v>
      </c>
    </row>
    <row r="327" spans="1:5">
      <c r="A327" s="473">
        <v>39555</v>
      </c>
      <c r="B327" s="473" t="s">
        <v>9988</v>
      </c>
      <c r="C327" s="473" t="s">
        <v>40</v>
      </c>
      <c r="D327" s="473" t="s">
        <v>41</v>
      </c>
      <c r="E327" s="361">
        <v>1505.59</v>
      </c>
    </row>
    <row r="328" spans="1:5">
      <c r="A328" s="473">
        <v>39548</v>
      </c>
      <c r="B328" s="473" t="s">
        <v>9989</v>
      </c>
      <c r="C328" s="473" t="s">
        <v>40</v>
      </c>
      <c r="D328" s="473" t="s">
        <v>41</v>
      </c>
      <c r="E328" s="361">
        <v>2233.2600000000002</v>
      </c>
    </row>
    <row r="329" spans="1:5">
      <c r="A329" s="473">
        <v>39554</v>
      </c>
      <c r="B329" s="473" t="s">
        <v>9990</v>
      </c>
      <c r="C329" s="473" t="s">
        <v>40</v>
      </c>
      <c r="D329" s="473" t="s">
        <v>41</v>
      </c>
      <c r="E329" s="361">
        <v>2953.15</v>
      </c>
    </row>
    <row r="330" spans="1:5">
      <c r="A330" s="473">
        <v>39550</v>
      </c>
      <c r="B330" s="473" t="s">
        <v>9991</v>
      </c>
      <c r="C330" s="473" t="s">
        <v>40</v>
      </c>
      <c r="D330" s="473" t="s">
        <v>41</v>
      </c>
      <c r="E330" s="361">
        <v>1241.8900000000001</v>
      </c>
    </row>
    <row r="331" spans="1:5">
      <c r="A331" s="473">
        <v>39551</v>
      </c>
      <c r="B331" s="473" t="s">
        <v>9992</v>
      </c>
      <c r="C331" s="473" t="s">
        <v>40</v>
      </c>
      <c r="D331" s="473" t="s">
        <v>41</v>
      </c>
      <c r="E331" s="361">
        <v>1312.88</v>
      </c>
    </row>
    <row r="332" spans="1:5">
      <c r="A332" s="473">
        <v>39580</v>
      </c>
      <c r="B332" s="473" t="s">
        <v>9993</v>
      </c>
      <c r="C332" s="473" t="s">
        <v>40</v>
      </c>
      <c r="D332" s="473" t="s">
        <v>41</v>
      </c>
      <c r="E332" s="361">
        <v>56088.62</v>
      </c>
    </row>
    <row r="333" spans="1:5">
      <c r="A333" s="473">
        <v>39577</v>
      </c>
      <c r="B333" s="473" t="s">
        <v>9994</v>
      </c>
      <c r="C333" s="473" t="s">
        <v>40</v>
      </c>
      <c r="D333" s="473" t="s">
        <v>41</v>
      </c>
      <c r="E333" s="361">
        <v>24723.61</v>
      </c>
    </row>
    <row r="334" spans="1:5">
      <c r="A334" s="473">
        <v>39578</v>
      </c>
      <c r="B334" s="473" t="s">
        <v>9995</v>
      </c>
      <c r="C334" s="473" t="s">
        <v>40</v>
      </c>
      <c r="D334" s="473" t="s">
        <v>41</v>
      </c>
      <c r="E334" s="361">
        <v>29893.32</v>
      </c>
    </row>
    <row r="335" spans="1:5">
      <c r="A335" s="473">
        <v>39579</v>
      </c>
      <c r="B335" s="473" t="s">
        <v>9996</v>
      </c>
      <c r="C335" s="473" t="s">
        <v>40</v>
      </c>
      <c r="D335" s="473" t="s">
        <v>41</v>
      </c>
      <c r="E335" s="361">
        <v>32962.519999999997</v>
      </c>
    </row>
    <row r="336" spans="1:5">
      <c r="A336" s="473">
        <v>39826</v>
      </c>
      <c r="B336" s="473" t="s">
        <v>9997</v>
      </c>
      <c r="C336" s="473" t="s">
        <v>40</v>
      </c>
      <c r="D336" s="473" t="s">
        <v>41</v>
      </c>
      <c r="E336" s="361">
        <v>4048.39</v>
      </c>
    </row>
    <row r="337" spans="1:5">
      <c r="A337" s="473">
        <v>10700</v>
      </c>
      <c r="B337" s="473" t="s">
        <v>9998</v>
      </c>
      <c r="C337" s="473" t="s">
        <v>40</v>
      </c>
      <c r="D337" s="473" t="s">
        <v>47</v>
      </c>
      <c r="E337" s="361">
        <v>12075.33</v>
      </c>
    </row>
    <row r="338" spans="1:5">
      <c r="A338" s="473">
        <v>346</v>
      </c>
      <c r="B338" s="473" t="s">
        <v>9999</v>
      </c>
      <c r="C338" s="473" t="s">
        <v>49</v>
      </c>
      <c r="D338" s="473" t="s">
        <v>41</v>
      </c>
      <c r="E338" s="361">
        <v>14.45</v>
      </c>
    </row>
    <row r="339" spans="1:5">
      <c r="A339" s="473">
        <v>3312</v>
      </c>
      <c r="B339" s="473" t="s">
        <v>10000</v>
      </c>
      <c r="C339" s="473" t="s">
        <v>49</v>
      </c>
      <c r="D339" s="473" t="s">
        <v>47</v>
      </c>
      <c r="E339" s="361">
        <v>21.12</v>
      </c>
    </row>
    <row r="340" spans="1:5">
      <c r="A340" s="473">
        <v>339</v>
      </c>
      <c r="B340" s="473" t="s">
        <v>10001</v>
      </c>
      <c r="C340" s="473" t="s">
        <v>48</v>
      </c>
      <c r="D340" s="473" t="s">
        <v>41</v>
      </c>
      <c r="E340" s="361">
        <v>0.7</v>
      </c>
    </row>
    <row r="341" spans="1:5">
      <c r="A341" s="473">
        <v>340</v>
      </c>
      <c r="B341" s="473" t="s">
        <v>10002</v>
      </c>
      <c r="C341" s="473" t="s">
        <v>48</v>
      </c>
      <c r="D341" s="473" t="s">
        <v>41</v>
      </c>
      <c r="E341" s="361">
        <v>0.96</v>
      </c>
    </row>
    <row r="342" spans="1:5">
      <c r="A342" s="473">
        <v>338</v>
      </c>
      <c r="B342" s="473" t="s">
        <v>10003</v>
      </c>
      <c r="C342" s="473" t="s">
        <v>49</v>
      </c>
      <c r="D342" s="473" t="s">
        <v>41</v>
      </c>
      <c r="E342" s="361">
        <v>18.190000000000001</v>
      </c>
    </row>
    <row r="343" spans="1:5">
      <c r="A343" s="473">
        <v>334</v>
      </c>
      <c r="B343" s="473" t="s">
        <v>10004</v>
      </c>
      <c r="C343" s="473" t="s">
        <v>49</v>
      </c>
      <c r="D343" s="473" t="s">
        <v>41</v>
      </c>
      <c r="E343" s="361">
        <v>13.07</v>
      </c>
    </row>
    <row r="344" spans="1:5">
      <c r="A344" s="473">
        <v>335</v>
      </c>
      <c r="B344" s="473" t="s">
        <v>10005</v>
      </c>
      <c r="C344" s="473" t="s">
        <v>49</v>
      </c>
      <c r="D344" s="473" t="s">
        <v>41</v>
      </c>
      <c r="E344" s="361">
        <v>11.97</v>
      </c>
    </row>
    <row r="345" spans="1:5">
      <c r="A345" s="473">
        <v>342</v>
      </c>
      <c r="B345" s="473" t="s">
        <v>10006</v>
      </c>
      <c r="C345" s="473" t="s">
        <v>49</v>
      </c>
      <c r="D345" s="473" t="s">
        <v>41</v>
      </c>
      <c r="E345" s="361">
        <v>13.53</v>
      </c>
    </row>
    <row r="346" spans="1:5">
      <c r="A346" s="473">
        <v>333</v>
      </c>
      <c r="B346" s="473" t="s">
        <v>10007</v>
      </c>
      <c r="C346" s="473" t="s">
        <v>49</v>
      </c>
      <c r="D346" s="473" t="s">
        <v>44</v>
      </c>
      <c r="E346" s="361">
        <v>13.85</v>
      </c>
    </row>
    <row r="347" spans="1:5">
      <c r="A347" s="473">
        <v>343</v>
      </c>
      <c r="B347" s="473" t="s">
        <v>10008</v>
      </c>
      <c r="C347" s="473" t="s">
        <v>48</v>
      </c>
      <c r="D347" s="473" t="s">
        <v>41</v>
      </c>
      <c r="E347" s="361">
        <v>0.37</v>
      </c>
    </row>
    <row r="348" spans="1:5">
      <c r="A348" s="473">
        <v>344</v>
      </c>
      <c r="B348" s="473" t="s">
        <v>10009</v>
      </c>
      <c r="C348" s="473" t="s">
        <v>49</v>
      </c>
      <c r="D348" s="473" t="s">
        <v>41</v>
      </c>
      <c r="E348" s="361">
        <v>14.98</v>
      </c>
    </row>
    <row r="349" spans="1:5">
      <c r="A349" s="473">
        <v>341</v>
      </c>
      <c r="B349" s="473" t="s">
        <v>10010</v>
      </c>
      <c r="C349" s="473" t="s">
        <v>48</v>
      </c>
      <c r="D349" s="473" t="s">
        <v>41</v>
      </c>
      <c r="E349" s="361">
        <v>0.18</v>
      </c>
    </row>
    <row r="350" spans="1:5">
      <c r="A350" s="473">
        <v>345</v>
      </c>
      <c r="B350" s="473" t="s">
        <v>10010</v>
      </c>
      <c r="C350" s="473" t="s">
        <v>49</v>
      </c>
      <c r="D350" s="473" t="s">
        <v>41</v>
      </c>
      <c r="E350" s="361">
        <v>18.309999999999999</v>
      </c>
    </row>
    <row r="351" spans="1:5">
      <c r="A351" s="473">
        <v>11107</v>
      </c>
      <c r="B351" s="473" t="s">
        <v>10011</v>
      </c>
      <c r="C351" s="473" t="s">
        <v>49</v>
      </c>
      <c r="D351" s="473" t="s">
        <v>41</v>
      </c>
      <c r="E351" s="361">
        <v>11.89</v>
      </c>
    </row>
    <row r="352" spans="1:5">
      <c r="A352" s="473">
        <v>3313</v>
      </c>
      <c r="B352" s="473" t="s">
        <v>10012</v>
      </c>
      <c r="C352" s="473" t="s">
        <v>49</v>
      </c>
      <c r="D352" s="473" t="s">
        <v>47</v>
      </c>
      <c r="E352" s="361">
        <v>27.18</v>
      </c>
    </row>
    <row r="353" spans="1:5">
      <c r="A353" s="473">
        <v>34562</v>
      </c>
      <c r="B353" s="473" t="s">
        <v>10013</v>
      </c>
      <c r="C353" s="473" t="s">
        <v>49</v>
      </c>
      <c r="D353" s="473" t="s">
        <v>41</v>
      </c>
      <c r="E353" s="361">
        <v>12</v>
      </c>
    </row>
    <row r="354" spans="1:5">
      <c r="A354" s="473">
        <v>337</v>
      </c>
      <c r="B354" s="473" t="s">
        <v>10014</v>
      </c>
      <c r="C354" s="473" t="s">
        <v>49</v>
      </c>
      <c r="D354" s="473" t="s">
        <v>44</v>
      </c>
      <c r="E354" s="361">
        <v>11.6</v>
      </c>
    </row>
    <row r="355" spans="1:5">
      <c r="A355" s="473">
        <v>369</v>
      </c>
      <c r="B355" s="473" t="s">
        <v>10015</v>
      </c>
      <c r="C355" s="473" t="s">
        <v>45</v>
      </c>
      <c r="D355" s="473" t="s">
        <v>41</v>
      </c>
      <c r="E355" s="361">
        <v>61.25</v>
      </c>
    </row>
    <row r="356" spans="1:5">
      <c r="A356" s="473">
        <v>366</v>
      </c>
      <c r="B356" s="473" t="s">
        <v>10016</v>
      </c>
      <c r="C356" s="473" t="s">
        <v>45</v>
      </c>
      <c r="D356" s="473" t="s">
        <v>44</v>
      </c>
      <c r="E356" s="361">
        <v>95</v>
      </c>
    </row>
    <row r="357" spans="1:5">
      <c r="A357" s="473">
        <v>367</v>
      </c>
      <c r="B357" s="473" t="s">
        <v>10017</v>
      </c>
      <c r="C357" s="473" t="s">
        <v>45</v>
      </c>
      <c r="D357" s="473" t="s">
        <v>44</v>
      </c>
      <c r="E357" s="361">
        <v>116.35</v>
      </c>
    </row>
    <row r="358" spans="1:5">
      <c r="A358" s="473">
        <v>370</v>
      </c>
      <c r="B358" s="473" t="s">
        <v>10018</v>
      </c>
      <c r="C358" s="473" t="s">
        <v>45</v>
      </c>
      <c r="D358" s="473" t="s">
        <v>44</v>
      </c>
      <c r="E358" s="361">
        <v>89.17</v>
      </c>
    </row>
    <row r="359" spans="1:5">
      <c r="A359" s="473">
        <v>368</v>
      </c>
      <c r="B359" s="473" t="s">
        <v>10019</v>
      </c>
      <c r="C359" s="473" t="s">
        <v>45</v>
      </c>
      <c r="D359" s="473" t="s">
        <v>41</v>
      </c>
      <c r="E359" s="361">
        <v>87.26</v>
      </c>
    </row>
    <row r="360" spans="1:5">
      <c r="A360" s="473">
        <v>11075</v>
      </c>
      <c r="B360" s="473" t="s">
        <v>10020</v>
      </c>
      <c r="C360" s="473" t="s">
        <v>45</v>
      </c>
      <c r="D360" s="473" t="s">
        <v>41</v>
      </c>
      <c r="E360" s="361">
        <v>1905.23</v>
      </c>
    </row>
    <row r="361" spans="1:5">
      <c r="A361" s="473">
        <v>11076</v>
      </c>
      <c r="B361" s="473" t="s">
        <v>10021</v>
      </c>
      <c r="C361" s="473" t="s">
        <v>45</v>
      </c>
      <c r="D361" s="473" t="s">
        <v>41</v>
      </c>
      <c r="E361" s="361">
        <v>145.43</v>
      </c>
    </row>
    <row r="362" spans="1:5">
      <c r="A362" s="473">
        <v>1381</v>
      </c>
      <c r="B362" s="473" t="s">
        <v>10022</v>
      </c>
      <c r="C362" s="473" t="s">
        <v>49</v>
      </c>
      <c r="D362" s="473" t="s">
        <v>44</v>
      </c>
      <c r="E362" s="361">
        <v>0.38</v>
      </c>
    </row>
    <row r="363" spans="1:5">
      <c r="A363" s="473">
        <v>34353</v>
      </c>
      <c r="B363" s="473" t="s">
        <v>10023</v>
      </c>
      <c r="C363" s="473" t="s">
        <v>49</v>
      </c>
      <c r="D363" s="473" t="s">
        <v>41</v>
      </c>
      <c r="E363" s="361">
        <v>0.76</v>
      </c>
    </row>
    <row r="364" spans="1:5">
      <c r="A364" s="473">
        <v>37595</v>
      </c>
      <c r="B364" s="473" t="s">
        <v>10024</v>
      </c>
      <c r="C364" s="473" t="s">
        <v>49</v>
      </c>
      <c r="D364" s="473" t="s">
        <v>41</v>
      </c>
      <c r="E364" s="361">
        <v>1.1599999999999999</v>
      </c>
    </row>
    <row r="365" spans="1:5">
      <c r="A365" s="473">
        <v>37596</v>
      </c>
      <c r="B365" s="473" t="s">
        <v>10025</v>
      </c>
      <c r="C365" s="473" t="s">
        <v>49</v>
      </c>
      <c r="D365" s="473" t="s">
        <v>41</v>
      </c>
      <c r="E365" s="361">
        <v>1.72</v>
      </c>
    </row>
    <row r="366" spans="1:5">
      <c r="A366" s="473">
        <v>371</v>
      </c>
      <c r="B366" s="473" t="s">
        <v>10026</v>
      </c>
      <c r="C366" s="473" t="s">
        <v>49</v>
      </c>
      <c r="D366" s="473" t="s">
        <v>41</v>
      </c>
      <c r="E366" s="361">
        <v>0.34</v>
      </c>
    </row>
    <row r="367" spans="1:5">
      <c r="A367" s="473">
        <v>37553</v>
      </c>
      <c r="B367" s="473" t="s">
        <v>10027</v>
      </c>
      <c r="C367" s="473" t="s">
        <v>49</v>
      </c>
      <c r="D367" s="473" t="s">
        <v>41</v>
      </c>
      <c r="E367" s="361">
        <v>1.29</v>
      </c>
    </row>
    <row r="368" spans="1:5">
      <c r="A368" s="473">
        <v>37552</v>
      </c>
      <c r="B368" s="473" t="s">
        <v>10028</v>
      </c>
      <c r="C368" s="473" t="s">
        <v>49</v>
      </c>
      <c r="D368" s="473" t="s">
        <v>41</v>
      </c>
      <c r="E368" s="361">
        <v>1.64</v>
      </c>
    </row>
    <row r="369" spans="1:5">
      <c r="A369" s="473">
        <v>36880</v>
      </c>
      <c r="B369" s="473" t="s">
        <v>10029</v>
      </c>
      <c r="C369" s="473" t="s">
        <v>49</v>
      </c>
      <c r="D369" s="473" t="s">
        <v>41</v>
      </c>
      <c r="E369" s="361">
        <v>1.28</v>
      </c>
    </row>
    <row r="370" spans="1:5">
      <c r="A370" s="473">
        <v>34355</v>
      </c>
      <c r="B370" s="473" t="s">
        <v>10030</v>
      </c>
      <c r="C370" s="473" t="s">
        <v>49</v>
      </c>
      <c r="D370" s="473" t="s">
        <v>41</v>
      </c>
      <c r="E370" s="361">
        <v>1.05</v>
      </c>
    </row>
    <row r="371" spans="1:5">
      <c r="A371" s="473">
        <v>130</v>
      </c>
      <c r="B371" s="473" t="s">
        <v>10031</v>
      </c>
      <c r="C371" s="473" t="s">
        <v>49</v>
      </c>
      <c r="D371" s="473" t="s">
        <v>41</v>
      </c>
      <c r="E371" s="361">
        <v>3.97</v>
      </c>
    </row>
    <row r="372" spans="1:5">
      <c r="A372" s="473">
        <v>135</v>
      </c>
      <c r="B372" s="473" t="s">
        <v>10032</v>
      </c>
      <c r="C372" s="473" t="s">
        <v>49</v>
      </c>
      <c r="D372" s="473" t="s">
        <v>41</v>
      </c>
      <c r="E372" s="361">
        <v>5.12</v>
      </c>
    </row>
    <row r="373" spans="1:5">
      <c r="A373" s="473">
        <v>36886</v>
      </c>
      <c r="B373" s="473" t="s">
        <v>10033</v>
      </c>
      <c r="C373" s="473" t="s">
        <v>49</v>
      </c>
      <c r="D373" s="473" t="s">
        <v>41</v>
      </c>
      <c r="E373" s="361">
        <v>0.4</v>
      </c>
    </row>
    <row r="374" spans="1:5">
      <c r="A374" s="473">
        <v>374</v>
      </c>
      <c r="B374" s="473" t="s">
        <v>10034</v>
      </c>
      <c r="C374" s="473" t="s">
        <v>49</v>
      </c>
      <c r="D374" s="473" t="s">
        <v>41</v>
      </c>
      <c r="E374" s="361">
        <v>0.28999999999999998</v>
      </c>
    </row>
    <row r="375" spans="1:5">
      <c r="A375" s="473">
        <v>38546</v>
      </c>
      <c r="B375" s="473" t="s">
        <v>10035</v>
      </c>
      <c r="C375" s="473" t="s">
        <v>45</v>
      </c>
      <c r="D375" s="473" t="s">
        <v>41</v>
      </c>
      <c r="E375" s="361">
        <v>330.99</v>
      </c>
    </row>
    <row r="376" spans="1:5">
      <c r="A376" s="473">
        <v>34549</v>
      </c>
      <c r="B376" s="473" t="s">
        <v>10036</v>
      </c>
      <c r="C376" s="473" t="s">
        <v>45</v>
      </c>
      <c r="D376" s="473" t="s">
        <v>41</v>
      </c>
      <c r="E376" s="361">
        <v>183.75</v>
      </c>
    </row>
    <row r="377" spans="1:5">
      <c r="A377" s="473">
        <v>6081</v>
      </c>
      <c r="B377" s="473" t="s">
        <v>10037</v>
      </c>
      <c r="C377" s="473" t="s">
        <v>45</v>
      </c>
      <c r="D377" s="473" t="s">
        <v>41</v>
      </c>
      <c r="E377" s="361">
        <v>26.03</v>
      </c>
    </row>
    <row r="378" spans="1:5">
      <c r="A378" s="473">
        <v>6077</v>
      </c>
      <c r="B378" s="473" t="s">
        <v>10038</v>
      </c>
      <c r="C378" s="473" t="s">
        <v>45</v>
      </c>
      <c r="D378" s="473" t="s">
        <v>41</v>
      </c>
      <c r="E378" s="361">
        <v>15</v>
      </c>
    </row>
    <row r="379" spans="1:5">
      <c r="A379" s="473">
        <v>6079</v>
      </c>
      <c r="B379" s="473" t="s">
        <v>10039</v>
      </c>
      <c r="C379" s="473" t="s">
        <v>45</v>
      </c>
      <c r="D379" s="473" t="s">
        <v>41</v>
      </c>
      <c r="E379" s="361">
        <v>8.57</v>
      </c>
    </row>
    <row r="380" spans="1:5">
      <c r="A380" s="473">
        <v>1091</v>
      </c>
      <c r="B380" s="473" t="s">
        <v>10040</v>
      </c>
      <c r="C380" s="473" t="s">
        <v>40</v>
      </c>
      <c r="D380" s="473" t="s">
        <v>47</v>
      </c>
      <c r="E380" s="361">
        <v>19.47</v>
      </c>
    </row>
    <row r="381" spans="1:5">
      <c r="A381" s="473">
        <v>1094</v>
      </c>
      <c r="B381" s="473" t="s">
        <v>10041</v>
      </c>
      <c r="C381" s="473" t="s">
        <v>40</v>
      </c>
      <c r="D381" s="473" t="s">
        <v>47</v>
      </c>
      <c r="E381" s="361">
        <v>13.62</v>
      </c>
    </row>
    <row r="382" spans="1:5">
      <c r="A382" s="473">
        <v>1095</v>
      </c>
      <c r="B382" s="473" t="s">
        <v>10042</v>
      </c>
      <c r="C382" s="473" t="s">
        <v>40</v>
      </c>
      <c r="D382" s="473" t="s">
        <v>47</v>
      </c>
      <c r="E382" s="361">
        <v>28.95</v>
      </c>
    </row>
    <row r="383" spans="1:5">
      <c r="A383" s="473">
        <v>1092</v>
      </c>
      <c r="B383" s="473" t="s">
        <v>10043</v>
      </c>
      <c r="C383" s="473" t="s">
        <v>40</v>
      </c>
      <c r="D383" s="473" t="s">
        <v>47</v>
      </c>
      <c r="E383" s="361">
        <v>22.4</v>
      </c>
    </row>
    <row r="384" spans="1:5">
      <c r="A384" s="473">
        <v>1093</v>
      </c>
      <c r="B384" s="473" t="s">
        <v>10044</v>
      </c>
      <c r="C384" s="473" t="s">
        <v>40</v>
      </c>
      <c r="D384" s="473" t="s">
        <v>47</v>
      </c>
      <c r="E384" s="361">
        <v>52.31</v>
      </c>
    </row>
    <row r="385" spans="1:5">
      <c r="A385" s="473">
        <v>1090</v>
      </c>
      <c r="B385" s="473" t="s">
        <v>10045</v>
      </c>
      <c r="C385" s="473" t="s">
        <v>40</v>
      </c>
      <c r="D385" s="473" t="s">
        <v>47</v>
      </c>
      <c r="E385" s="361">
        <v>37.450000000000003</v>
      </c>
    </row>
    <row r="386" spans="1:5">
      <c r="A386" s="473">
        <v>1096</v>
      </c>
      <c r="B386" s="473" t="s">
        <v>10046</v>
      </c>
      <c r="C386" s="473" t="s">
        <v>40</v>
      </c>
      <c r="D386" s="473" t="s">
        <v>47</v>
      </c>
      <c r="E386" s="361">
        <v>67.400000000000006</v>
      </c>
    </row>
    <row r="387" spans="1:5">
      <c r="A387" s="473">
        <v>1097</v>
      </c>
      <c r="B387" s="473" t="s">
        <v>10047</v>
      </c>
      <c r="C387" s="473" t="s">
        <v>40</v>
      </c>
      <c r="D387" s="473" t="s">
        <v>47</v>
      </c>
      <c r="E387" s="361">
        <v>57.21</v>
      </c>
    </row>
    <row r="388" spans="1:5">
      <c r="A388" s="473">
        <v>378</v>
      </c>
      <c r="B388" s="473" t="s">
        <v>10048</v>
      </c>
      <c r="C388" s="473" t="s">
        <v>43</v>
      </c>
      <c r="D388" s="473" t="s">
        <v>41</v>
      </c>
      <c r="E388" s="361">
        <v>13.54</v>
      </c>
    </row>
    <row r="389" spans="1:5">
      <c r="A389" s="473">
        <v>40911</v>
      </c>
      <c r="B389" s="473" t="s">
        <v>10049</v>
      </c>
      <c r="C389" s="473" t="s">
        <v>53</v>
      </c>
      <c r="D389" s="473" t="s">
        <v>41</v>
      </c>
      <c r="E389" s="361">
        <v>2413.96</v>
      </c>
    </row>
    <row r="390" spans="1:5">
      <c r="A390" s="473">
        <v>33939</v>
      </c>
      <c r="B390" s="473" t="s">
        <v>10050</v>
      </c>
      <c r="C390" s="473" t="s">
        <v>43</v>
      </c>
      <c r="D390" s="473" t="s">
        <v>41</v>
      </c>
      <c r="E390" s="361">
        <v>52.45</v>
      </c>
    </row>
    <row r="391" spans="1:5">
      <c r="A391" s="473">
        <v>40815</v>
      </c>
      <c r="B391" s="473" t="s">
        <v>10051</v>
      </c>
      <c r="C391" s="473" t="s">
        <v>53</v>
      </c>
      <c r="D391" s="473" t="s">
        <v>41</v>
      </c>
      <c r="E391" s="361">
        <v>9347.56</v>
      </c>
    </row>
    <row r="392" spans="1:5">
      <c r="A392" s="473">
        <v>34760</v>
      </c>
      <c r="B392" s="473" t="s">
        <v>10052</v>
      </c>
      <c r="C392" s="473" t="s">
        <v>43</v>
      </c>
      <c r="D392" s="473" t="s">
        <v>41</v>
      </c>
      <c r="E392" s="361">
        <v>58.1</v>
      </c>
    </row>
    <row r="393" spans="1:5">
      <c r="A393" s="473">
        <v>40935</v>
      </c>
      <c r="B393" s="473" t="s">
        <v>10053</v>
      </c>
      <c r="C393" s="473" t="s">
        <v>53</v>
      </c>
      <c r="D393" s="473" t="s">
        <v>41</v>
      </c>
      <c r="E393" s="361">
        <v>10356.08</v>
      </c>
    </row>
    <row r="394" spans="1:5">
      <c r="A394" s="473">
        <v>33952</v>
      </c>
      <c r="B394" s="473" t="s">
        <v>10054</v>
      </c>
      <c r="C394" s="473" t="s">
        <v>43</v>
      </c>
      <c r="D394" s="473" t="s">
        <v>41</v>
      </c>
      <c r="E394" s="361">
        <v>74.510000000000005</v>
      </c>
    </row>
    <row r="395" spans="1:5">
      <c r="A395" s="473">
        <v>40816</v>
      </c>
      <c r="B395" s="473" t="s">
        <v>10055</v>
      </c>
      <c r="C395" s="473" t="s">
        <v>53</v>
      </c>
      <c r="D395" s="473" t="s">
        <v>41</v>
      </c>
      <c r="E395" s="361">
        <v>13277.43</v>
      </c>
    </row>
    <row r="396" spans="1:5">
      <c r="A396" s="473">
        <v>33953</v>
      </c>
      <c r="B396" s="473" t="s">
        <v>10056</v>
      </c>
      <c r="C396" s="473" t="s">
        <v>43</v>
      </c>
      <c r="D396" s="473" t="s">
        <v>41</v>
      </c>
      <c r="E396" s="361">
        <v>98.51</v>
      </c>
    </row>
    <row r="397" spans="1:5">
      <c r="A397" s="473">
        <v>40817</v>
      </c>
      <c r="B397" s="473" t="s">
        <v>10057</v>
      </c>
      <c r="C397" s="473" t="s">
        <v>53</v>
      </c>
      <c r="D397" s="473" t="s">
        <v>41</v>
      </c>
      <c r="E397" s="361">
        <v>17553.95</v>
      </c>
    </row>
    <row r="398" spans="1:5">
      <c r="A398" s="473">
        <v>13348</v>
      </c>
      <c r="B398" s="473" t="s">
        <v>10058</v>
      </c>
      <c r="C398" s="473" t="s">
        <v>40</v>
      </c>
      <c r="D398" s="473" t="s">
        <v>47</v>
      </c>
      <c r="E398" s="361">
        <v>0.83</v>
      </c>
    </row>
    <row r="399" spans="1:5">
      <c r="A399" s="473">
        <v>39211</v>
      </c>
      <c r="B399" s="473" t="s">
        <v>10059</v>
      </c>
      <c r="C399" s="473" t="s">
        <v>40</v>
      </c>
      <c r="D399" s="473" t="s">
        <v>41</v>
      </c>
      <c r="E399" s="361">
        <v>0.95</v>
      </c>
    </row>
    <row r="400" spans="1:5">
      <c r="A400" s="473">
        <v>39212</v>
      </c>
      <c r="B400" s="473" t="s">
        <v>10060</v>
      </c>
      <c r="C400" s="473" t="s">
        <v>40</v>
      </c>
      <c r="D400" s="473" t="s">
        <v>41</v>
      </c>
      <c r="E400" s="361">
        <v>1.06</v>
      </c>
    </row>
    <row r="401" spans="1:5">
      <c r="A401" s="473">
        <v>39208</v>
      </c>
      <c r="B401" s="473" t="s">
        <v>10061</v>
      </c>
      <c r="C401" s="473" t="s">
        <v>40</v>
      </c>
      <c r="D401" s="473" t="s">
        <v>41</v>
      </c>
      <c r="E401" s="361">
        <v>0.28999999999999998</v>
      </c>
    </row>
    <row r="402" spans="1:5">
      <c r="A402" s="473">
        <v>39210</v>
      </c>
      <c r="B402" s="473" t="s">
        <v>10062</v>
      </c>
      <c r="C402" s="473" t="s">
        <v>40</v>
      </c>
      <c r="D402" s="473" t="s">
        <v>41</v>
      </c>
      <c r="E402" s="361">
        <v>0.53</v>
      </c>
    </row>
    <row r="403" spans="1:5">
      <c r="A403" s="473">
        <v>39214</v>
      </c>
      <c r="B403" s="473" t="s">
        <v>10063</v>
      </c>
      <c r="C403" s="473" t="s">
        <v>40</v>
      </c>
      <c r="D403" s="473" t="s">
        <v>41</v>
      </c>
      <c r="E403" s="361">
        <v>1.96</v>
      </c>
    </row>
    <row r="404" spans="1:5">
      <c r="A404" s="473">
        <v>39213</v>
      </c>
      <c r="B404" s="473" t="s">
        <v>10064</v>
      </c>
      <c r="C404" s="473" t="s">
        <v>40</v>
      </c>
      <c r="D404" s="473" t="s">
        <v>41</v>
      </c>
      <c r="E404" s="361">
        <v>1.38</v>
      </c>
    </row>
    <row r="405" spans="1:5">
      <c r="A405" s="473">
        <v>39209</v>
      </c>
      <c r="B405" s="473" t="s">
        <v>10065</v>
      </c>
      <c r="C405" s="473" t="s">
        <v>40</v>
      </c>
      <c r="D405" s="473" t="s">
        <v>41</v>
      </c>
      <c r="E405" s="361">
        <v>0.34</v>
      </c>
    </row>
    <row r="406" spans="1:5">
      <c r="A406" s="473">
        <v>39207</v>
      </c>
      <c r="B406" s="473" t="s">
        <v>10066</v>
      </c>
      <c r="C406" s="473" t="s">
        <v>40</v>
      </c>
      <c r="D406" s="473" t="s">
        <v>41</v>
      </c>
      <c r="E406" s="361">
        <v>0.53</v>
      </c>
    </row>
    <row r="407" spans="1:5">
      <c r="A407" s="473">
        <v>39215</v>
      </c>
      <c r="B407" s="473" t="s">
        <v>10067</v>
      </c>
      <c r="C407" s="473" t="s">
        <v>40</v>
      </c>
      <c r="D407" s="473" t="s">
        <v>41</v>
      </c>
      <c r="E407" s="361">
        <v>3.57</v>
      </c>
    </row>
    <row r="408" spans="1:5">
      <c r="A408" s="473">
        <v>39216</v>
      </c>
      <c r="B408" s="473" t="s">
        <v>10068</v>
      </c>
      <c r="C408" s="473" t="s">
        <v>40</v>
      </c>
      <c r="D408" s="473" t="s">
        <v>41</v>
      </c>
      <c r="E408" s="361">
        <v>4.99</v>
      </c>
    </row>
    <row r="409" spans="1:5">
      <c r="A409" s="473">
        <v>379</v>
      </c>
      <c r="B409" s="473" t="s">
        <v>10069</v>
      </c>
      <c r="C409" s="473" t="s">
        <v>40</v>
      </c>
      <c r="D409" s="473" t="s">
        <v>47</v>
      </c>
      <c r="E409" s="361">
        <v>0.73</v>
      </c>
    </row>
    <row r="410" spans="1:5">
      <c r="A410" s="473">
        <v>11267</v>
      </c>
      <c r="B410" s="473" t="s">
        <v>10070</v>
      </c>
      <c r="C410" s="473" t="s">
        <v>40</v>
      </c>
      <c r="D410" s="473" t="s">
        <v>47</v>
      </c>
      <c r="E410" s="361">
        <v>7.27</v>
      </c>
    </row>
    <row r="411" spans="1:5">
      <c r="A411" s="473">
        <v>41901</v>
      </c>
      <c r="B411" s="473" t="s">
        <v>10071</v>
      </c>
      <c r="C411" s="473" t="s">
        <v>49</v>
      </c>
      <c r="D411" s="473" t="s">
        <v>47</v>
      </c>
      <c r="E411" s="361">
        <v>5.3</v>
      </c>
    </row>
    <row r="412" spans="1:5">
      <c r="A412" s="473">
        <v>510</v>
      </c>
      <c r="B412" s="473" t="s">
        <v>10072</v>
      </c>
      <c r="C412" s="473" t="s">
        <v>49</v>
      </c>
      <c r="D412" s="473" t="s">
        <v>47</v>
      </c>
      <c r="E412" s="361">
        <v>7.32</v>
      </c>
    </row>
    <row r="413" spans="1:5">
      <c r="A413" s="473">
        <v>516</v>
      </c>
      <c r="B413" s="473" t="s">
        <v>10073</v>
      </c>
      <c r="C413" s="473" t="s">
        <v>49</v>
      </c>
      <c r="D413" s="473" t="s">
        <v>47</v>
      </c>
      <c r="E413" s="361">
        <v>7.81</v>
      </c>
    </row>
    <row r="414" spans="1:5">
      <c r="A414" s="473">
        <v>509</v>
      </c>
      <c r="B414" s="473" t="s">
        <v>10074</v>
      </c>
      <c r="C414" s="473" t="s">
        <v>49</v>
      </c>
      <c r="D414" s="473" t="s">
        <v>47</v>
      </c>
      <c r="E414" s="361">
        <v>7.97</v>
      </c>
    </row>
    <row r="415" spans="1:5">
      <c r="A415" s="473">
        <v>40331</v>
      </c>
      <c r="B415" s="473" t="s">
        <v>10075</v>
      </c>
      <c r="C415" s="473" t="s">
        <v>43</v>
      </c>
      <c r="D415" s="473" t="s">
        <v>41</v>
      </c>
      <c r="E415" s="361">
        <v>10.28</v>
      </c>
    </row>
    <row r="416" spans="1:5">
      <c r="A416" s="473">
        <v>40930</v>
      </c>
      <c r="B416" s="473" t="s">
        <v>10076</v>
      </c>
      <c r="C416" s="473" t="s">
        <v>53</v>
      </c>
      <c r="D416" s="473" t="s">
        <v>41</v>
      </c>
      <c r="E416" s="361">
        <v>1832.19</v>
      </c>
    </row>
    <row r="417" spans="1:5">
      <c r="A417" s="473">
        <v>11761</v>
      </c>
      <c r="B417" s="473" t="s">
        <v>10077</v>
      </c>
      <c r="C417" s="473" t="s">
        <v>40</v>
      </c>
      <c r="D417" s="473" t="s">
        <v>41</v>
      </c>
      <c r="E417" s="361">
        <v>52.67</v>
      </c>
    </row>
    <row r="418" spans="1:5">
      <c r="A418" s="473">
        <v>377</v>
      </c>
      <c r="B418" s="473" t="s">
        <v>10078</v>
      </c>
      <c r="C418" s="473" t="s">
        <v>40</v>
      </c>
      <c r="D418" s="473" t="s">
        <v>44</v>
      </c>
      <c r="E418" s="361">
        <v>24.75</v>
      </c>
    </row>
    <row r="419" spans="1:5">
      <c r="A419" s="473">
        <v>7588</v>
      </c>
      <c r="B419" s="473" t="s">
        <v>10079</v>
      </c>
      <c r="C419" s="473" t="s">
        <v>40</v>
      </c>
      <c r="D419" s="473" t="s">
        <v>44</v>
      </c>
      <c r="E419" s="361">
        <v>37.450000000000003</v>
      </c>
    </row>
    <row r="420" spans="1:5">
      <c r="A420" s="473">
        <v>34392</v>
      </c>
      <c r="B420" s="473" t="s">
        <v>10080</v>
      </c>
      <c r="C420" s="473" t="s">
        <v>43</v>
      </c>
      <c r="D420" s="473" t="s">
        <v>41</v>
      </c>
      <c r="E420" s="361">
        <v>17.71</v>
      </c>
    </row>
    <row r="421" spans="1:5">
      <c r="A421" s="473">
        <v>40908</v>
      </c>
      <c r="B421" s="473" t="s">
        <v>10081</v>
      </c>
      <c r="C421" s="473" t="s">
        <v>53</v>
      </c>
      <c r="D421" s="473" t="s">
        <v>41</v>
      </c>
      <c r="E421" s="361">
        <v>3160.11</v>
      </c>
    </row>
    <row r="422" spans="1:5">
      <c r="A422" s="473">
        <v>34551</v>
      </c>
      <c r="B422" s="473" t="s">
        <v>10082</v>
      </c>
      <c r="C422" s="473" t="s">
        <v>43</v>
      </c>
      <c r="D422" s="473" t="s">
        <v>41</v>
      </c>
      <c r="E422" s="361">
        <v>9.8699999999999992</v>
      </c>
    </row>
    <row r="423" spans="1:5">
      <c r="A423" s="473">
        <v>41078</v>
      </c>
      <c r="B423" s="473" t="s">
        <v>10083</v>
      </c>
      <c r="C423" s="473" t="s">
        <v>53</v>
      </c>
      <c r="D423" s="473" t="s">
        <v>41</v>
      </c>
      <c r="E423" s="361">
        <v>1759.67</v>
      </c>
    </row>
    <row r="424" spans="1:5">
      <c r="A424" s="473">
        <v>246</v>
      </c>
      <c r="B424" s="473" t="s">
        <v>10084</v>
      </c>
      <c r="C424" s="473" t="s">
        <v>43</v>
      </c>
      <c r="D424" s="473" t="s">
        <v>41</v>
      </c>
      <c r="E424" s="361">
        <v>9.59</v>
      </c>
    </row>
    <row r="425" spans="1:5">
      <c r="A425" s="473">
        <v>40927</v>
      </c>
      <c r="B425" s="473" t="s">
        <v>10085</v>
      </c>
      <c r="C425" s="473" t="s">
        <v>53</v>
      </c>
      <c r="D425" s="473" t="s">
        <v>41</v>
      </c>
      <c r="E425" s="361">
        <v>1711.46</v>
      </c>
    </row>
    <row r="426" spans="1:5">
      <c r="A426" s="473">
        <v>2350</v>
      </c>
      <c r="B426" s="473" t="s">
        <v>10086</v>
      </c>
      <c r="C426" s="473" t="s">
        <v>43</v>
      </c>
      <c r="D426" s="473" t="s">
        <v>41</v>
      </c>
      <c r="E426" s="361">
        <v>19.38</v>
      </c>
    </row>
    <row r="427" spans="1:5">
      <c r="A427" s="473">
        <v>40812</v>
      </c>
      <c r="B427" s="473" t="s">
        <v>10087</v>
      </c>
      <c r="C427" s="473" t="s">
        <v>53</v>
      </c>
      <c r="D427" s="473" t="s">
        <v>41</v>
      </c>
      <c r="E427" s="361">
        <v>3454.17</v>
      </c>
    </row>
    <row r="428" spans="1:5">
      <c r="A428" s="473">
        <v>245</v>
      </c>
      <c r="B428" s="473" t="s">
        <v>10088</v>
      </c>
      <c r="C428" s="473" t="s">
        <v>43</v>
      </c>
      <c r="D428" s="473" t="s">
        <v>41</v>
      </c>
      <c r="E428" s="361">
        <v>25.3</v>
      </c>
    </row>
    <row r="429" spans="1:5">
      <c r="A429" s="473">
        <v>41090</v>
      </c>
      <c r="B429" s="473" t="s">
        <v>10089</v>
      </c>
      <c r="C429" s="473" t="s">
        <v>53</v>
      </c>
      <c r="D429" s="473" t="s">
        <v>41</v>
      </c>
      <c r="E429" s="361">
        <v>4511.8999999999996</v>
      </c>
    </row>
    <row r="430" spans="1:5">
      <c r="A430" s="473">
        <v>251</v>
      </c>
      <c r="B430" s="473" t="s">
        <v>10090</v>
      </c>
      <c r="C430" s="473" t="s">
        <v>43</v>
      </c>
      <c r="D430" s="473" t="s">
        <v>41</v>
      </c>
      <c r="E430" s="361">
        <v>8.76</v>
      </c>
    </row>
    <row r="431" spans="1:5">
      <c r="A431" s="473">
        <v>40975</v>
      </c>
      <c r="B431" s="473" t="s">
        <v>10091</v>
      </c>
      <c r="C431" s="473" t="s">
        <v>53</v>
      </c>
      <c r="D431" s="473" t="s">
        <v>41</v>
      </c>
      <c r="E431" s="361">
        <v>1565.05</v>
      </c>
    </row>
    <row r="432" spans="1:5">
      <c r="A432" s="473">
        <v>6127</v>
      </c>
      <c r="B432" s="473" t="s">
        <v>10092</v>
      </c>
      <c r="C432" s="473" t="s">
        <v>43</v>
      </c>
      <c r="D432" s="473" t="s">
        <v>41</v>
      </c>
      <c r="E432" s="361">
        <v>8.7799999999999994</v>
      </c>
    </row>
    <row r="433" spans="1:5">
      <c r="A433" s="473">
        <v>41072</v>
      </c>
      <c r="B433" s="473" t="s">
        <v>10093</v>
      </c>
      <c r="C433" s="473" t="s">
        <v>53</v>
      </c>
      <c r="D433" s="473" t="s">
        <v>41</v>
      </c>
      <c r="E433" s="361">
        <v>1567.31</v>
      </c>
    </row>
    <row r="434" spans="1:5">
      <c r="A434" s="473">
        <v>6121</v>
      </c>
      <c r="B434" s="473" t="s">
        <v>10094</v>
      </c>
      <c r="C434" s="473" t="s">
        <v>43</v>
      </c>
      <c r="D434" s="473" t="s">
        <v>41</v>
      </c>
      <c r="E434" s="361">
        <v>9.4600000000000009</v>
      </c>
    </row>
    <row r="435" spans="1:5">
      <c r="A435" s="473">
        <v>41071</v>
      </c>
      <c r="B435" s="473" t="s">
        <v>10095</v>
      </c>
      <c r="C435" s="473" t="s">
        <v>53</v>
      </c>
      <c r="D435" s="473" t="s">
        <v>41</v>
      </c>
      <c r="E435" s="361">
        <v>1688.89</v>
      </c>
    </row>
    <row r="436" spans="1:5">
      <c r="A436" s="473">
        <v>244</v>
      </c>
      <c r="B436" s="473" t="s">
        <v>10096</v>
      </c>
      <c r="C436" s="473" t="s">
        <v>43</v>
      </c>
      <c r="D436" s="473" t="s">
        <v>41</v>
      </c>
      <c r="E436" s="361">
        <v>5.51</v>
      </c>
    </row>
    <row r="437" spans="1:5">
      <c r="A437" s="473">
        <v>41093</v>
      </c>
      <c r="B437" s="473" t="s">
        <v>10097</v>
      </c>
      <c r="C437" s="473" t="s">
        <v>53</v>
      </c>
      <c r="D437" s="473" t="s">
        <v>41</v>
      </c>
      <c r="E437" s="361">
        <v>1033.7</v>
      </c>
    </row>
    <row r="438" spans="1:5">
      <c r="A438" s="473">
        <v>532</v>
      </c>
      <c r="B438" s="473" t="s">
        <v>10098</v>
      </c>
      <c r="C438" s="473" t="s">
        <v>43</v>
      </c>
      <c r="D438" s="473" t="s">
        <v>41</v>
      </c>
      <c r="E438" s="361">
        <v>27.96</v>
      </c>
    </row>
    <row r="439" spans="1:5">
      <c r="A439" s="473">
        <v>40931</v>
      </c>
      <c r="B439" s="473" t="s">
        <v>10099</v>
      </c>
      <c r="C439" s="473" t="s">
        <v>53</v>
      </c>
      <c r="D439" s="473" t="s">
        <v>41</v>
      </c>
      <c r="E439" s="361">
        <v>4984.53</v>
      </c>
    </row>
    <row r="440" spans="1:5">
      <c r="A440" s="473">
        <v>36150</v>
      </c>
      <c r="B440" s="473" t="s">
        <v>10100</v>
      </c>
      <c r="C440" s="473" t="s">
        <v>40</v>
      </c>
      <c r="D440" s="473" t="s">
        <v>41</v>
      </c>
      <c r="E440" s="361">
        <v>33.26</v>
      </c>
    </row>
    <row r="441" spans="1:5">
      <c r="A441" s="473">
        <v>41069</v>
      </c>
      <c r="B441" s="473" t="s">
        <v>10101</v>
      </c>
      <c r="C441" s="473" t="s">
        <v>53</v>
      </c>
      <c r="D441" s="473" t="s">
        <v>41</v>
      </c>
      <c r="E441" s="361">
        <v>2413.96</v>
      </c>
    </row>
    <row r="442" spans="1:5">
      <c r="A442" s="473">
        <v>4760</v>
      </c>
      <c r="B442" s="473" t="s">
        <v>10102</v>
      </c>
      <c r="C442" s="473" t="s">
        <v>43</v>
      </c>
      <c r="D442" s="473" t="s">
        <v>41</v>
      </c>
      <c r="E442" s="361">
        <v>13.54</v>
      </c>
    </row>
    <row r="443" spans="1:5">
      <c r="A443" s="473">
        <v>10422</v>
      </c>
      <c r="B443" s="473" t="s">
        <v>10103</v>
      </c>
      <c r="C443" s="473" t="s">
        <v>40</v>
      </c>
      <c r="D443" s="473" t="s">
        <v>41</v>
      </c>
      <c r="E443" s="361">
        <v>308.12</v>
      </c>
    </row>
    <row r="444" spans="1:5">
      <c r="A444" s="473">
        <v>10420</v>
      </c>
      <c r="B444" s="473" t="s">
        <v>10104</v>
      </c>
      <c r="C444" s="473" t="s">
        <v>40</v>
      </c>
      <c r="D444" s="473" t="s">
        <v>44</v>
      </c>
      <c r="E444" s="361">
        <v>115.56</v>
      </c>
    </row>
    <row r="445" spans="1:5">
      <c r="A445" s="473">
        <v>10421</v>
      </c>
      <c r="B445" s="473" t="s">
        <v>10105</v>
      </c>
      <c r="C445" s="473" t="s">
        <v>40</v>
      </c>
      <c r="D445" s="473" t="s">
        <v>41</v>
      </c>
      <c r="E445" s="361">
        <v>154.65</v>
      </c>
    </row>
    <row r="446" spans="1:5">
      <c r="A446" s="473">
        <v>36520</v>
      </c>
      <c r="B446" s="473" t="s">
        <v>10106</v>
      </c>
      <c r="C446" s="473" t="s">
        <v>40</v>
      </c>
      <c r="D446" s="473" t="s">
        <v>41</v>
      </c>
      <c r="E446" s="361">
        <v>575.73</v>
      </c>
    </row>
    <row r="447" spans="1:5">
      <c r="A447" s="473">
        <v>11784</v>
      </c>
      <c r="B447" s="473" t="s">
        <v>10107</v>
      </c>
      <c r="C447" s="473" t="s">
        <v>40</v>
      </c>
      <c r="D447" s="473" t="s">
        <v>41</v>
      </c>
      <c r="E447" s="361">
        <v>432.4</v>
      </c>
    </row>
    <row r="448" spans="1:5">
      <c r="A448" s="473">
        <v>10</v>
      </c>
      <c r="B448" s="473" t="s">
        <v>10108</v>
      </c>
      <c r="C448" s="473" t="s">
        <v>40</v>
      </c>
      <c r="D448" s="473" t="s">
        <v>41</v>
      </c>
      <c r="E448" s="361">
        <v>9.64</v>
      </c>
    </row>
    <row r="449" spans="1:5">
      <c r="A449" s="473">
        <v>4815</v>
      </c>
      <c r="B449" s="473" t="s">
        <v>10109</v>
      </c>
      <c r="C449" s="473" t="s">
        <v>40</v>
      </c>
      <c r="D449" s="473" t="s">
        <v>41</v>
      </c>
      <c r="E449" s="361">
        <v>4.7</v>
      </c>
    </row>
    <row r="450" spans="1:5">
      <c r="A450" s="473">
        <v>541</v>
      </c>
      <c r="B450" s="473" t="s">
        <v>10110</v>
      </c>
      <c r="C450" s="473" t="s">
        <v>40</v>
      </c>
      <c r="D450" s="473" t="s">
        <v>44</v>
      </c>
      <c r="E450" s="361">
        <v>128.05000000000001</v>
      </c>
    </row>
    <row r="451" spans="1:5">
      <c r="A451" s="473">
        <v>542</v>
      </c>
      <c r="B451" s="473" t="s">
        <v>10111</v>
      </c>
      <c r="C451" s="473" t="s">
        <v>40</v>
      </c>
      <c r="D451" s="473" t="s">
        <v>41</v>
      </c>
      <c r="E451" s="361">
        <v>160.51</v>
      </c>
    </row>
    <row r="452" spans="1:5">
      <c r="A452" s="473">
        <v>540</v>
      </c>
      <c r="B452" s="473" t="s">
        <v>10112</v>
      </c>
      <c r="C452" s="473" t="s">
        <v>40</v>
      </c>
      <c r="D452" s="473" t="s">
        <v>41</v>
      </c>
      <c r="E452" s="361">
        <v>361.71</v>
      </c>
    </row>
    <row r="453" spans="1:5">
      <c r="A453" s="473">
        <v>38364</v>
      </c>
      <c r="B453" s="473" t="s">
        <v>10113</v>
      </c>
      <c r="C453" s="473" t="s">
        <v>40</v>
      </c>
      <c r="D453" s="473" t="s">
        <v>41</v>
      </c>
      <c r="E453" s="361">
        <v>691.82</v>
      </c>
    </row>
    <row r="454" spans="1:5">
      <c r="A454" s="473">
        <v>11692</v>
      </c>
      <c r="B454" s="473" t="s">
        <v>10114</v>
      </c>
      <c r="C454" s="473" t="s">
        <v>46</v>
      </c>
      <c r="D454" s="473" t="s">
        <v>41</v>
      </c>
      <c r="E454" s="361">
        <v>204.48</v>
      </c>
    </row>
    <row r="455" spans="1:5">
      <c r="A455" s="473">
        <v>1746</v>
      </c>
      <c r="B455" s="473" t="s">
        <v>10115</v>
      </c>
      <c r="C455" s="473" t="s">
        <v>40</v>
      </c>
      <c r="D455" s="473" t="s">
        <v>44</v>
      </c>
      <c r="E455" s="361">
        <v>179.03</v>
      </c>
    </row>
    <row r="456" spans="1:5">
      <c r="A456" s="473">
        <v>1748</v>
      </c>
      <c r="B456" s="473" t="s">
        <v>10116</v>
      </c>
      <c r="C456" s="473" t="s">
        <v>40</v>
      </c>
      <c r="D456" s="473" t="s">
        <v>41</v>
      </c>
      <c r="E456" s="361">
        <v>238.06</v>
      </c>
    </row>
    <row r="457" spans="1:5">
      <c r="A457" s="473">
        <v>1749</v>
      </c>
      <c r="B457" s="473" t="s">
        <v>10117</v>
      </c>
      <c r="C457" s="473" t="s">
        <v>40</v>
      </c>
      <c r="D457" s="473" t="s">
        <v>41</v>
      </c>
      <c r="E457" s="361">
        <v>344.91</v>
      </c>
    </row>
    <row r="458" spans="1:5">
      <c r="A458" s="473">
        <v>37412</v>
      </c>
      <c r="B458" s="473" t="s">
        <v>10118</v>
      </c>
      <c r="C458" s="473" t="s">
        <v>40</v>
      </c>
      <c r="D458" s="473" t="s">
        <v>41</v>
      </c>
      <c r="E458" s="361">
        <v>175</v>
      </c>
    </row>
    <row r="459" spans="1:5">
      <c r="A459" s="473">
        <v>1745</v>
      </c>
      <c r="B459" s="473" t="s">
        <v>10119</v>
      </c>
      <c r="C459" s="473" t="s">
        <v>40</v>
      </c>
      <c r="D459" s="473" t="s">
        <v>41</v>
      </c>
      <c r="E459" s="361">
        <v>208.1</v>
      </c>
    </row>
    <row r="460" spans="1:5">
      <c r="A460" s="473">
        <v>1750</v>
      </c>
      <c r="B460" s="473" t="s">
        <v>10120</v>
      </c>
      <c r="C460" s="473" t="s">
        <v>40</v>
      </c>
      <c r="D460" s="473" t="s">
        <v>41</v>
      </c>
      <c r="E460" s="361">
        <v>486.3</v>
      </c>
    </row>
    <row r="461" spans="1:5">
      <c r="A461" s="473">
        <v>11687</v>
      </c>
      <c r="B461" s="473" t="s">
        <v>10121</v>
      </c>
      <c r="C461" s="473" t="s">
        <v>48</v>
      </c>
      <c r="D461" s="473" t="s">
        <v>41</v>
      </c>
      <c r="E461" s="361">
        <v>774.82</v>
      </c>
    </row>
    <row r="462" spans="1:5">
      <c r="A462" s="473">
        <v>11689</v>
      </c>
      <c r="B462" s="473" t="s">
        <v>10122</v>
      </c>
      <c r="C462" s="473" t="s">
        <v>48</v>
      </c>
      <c r="D462" s="473" t="s">
        <v>41</v>
      </c>
      <c r="E462" s="361">
        <v>970.8</v>
      </c>
    </row>
    <row r="463" spans="1:5">
      <c r="A463" s="473">
        <v>11693</v>
      </c>
      <c r="B463" s="473" t="s">
        <v>10123</v>
      </c>
      <c r="C463" s="473" t="s">
        <v>46</v>
      </c>
      <c r="D463" s="473" t="s">
        <v>41</v>
      </c>
      <c r="E463" s="361">
        <v>141.97999999999999</v>
      </c>
    </row>
    <row r="464" spans="1:5">
      <c r="A464" s="473">
        <v>36215</v>
      </c>
      <c r="B464" s="473" t="s">
        <v>10124</v>
      </c>
      <c r="C464" s="473" t="s">
        <v>40</v>
      </c>
      <c r="D464" s="473" t="s">
        <v>41</v>
      </c>
      <c r="E464" s="361">
        <v>693.69</v>
      </c>
    </row>
    <row r="465" spans="1:5">
      <c r="A465" s="473">
        <v>42439</v>
      </c>
      <c r="B465" s="473" t="s">
        <v>10125</v>
      </c>
      <c r="C465" s="473" t="s">
        <v>40</v>
      </c>
      <c r="D465" s="473" t="s">
        <v>47</v>
      </c>
      <c r="E465" s="361">
        <v>686.09</v>
      </c>
    </row>
    <row r="466" spans="1:5">
      <c r="A466" s="473">
        <v>38381</v>
      </c>
      <c r="B466" s="473" t="s">
        <v>10126</v>
      </c>
      <c r="C466" s="473" t="s">
        <v>40</v>
      </c>
      <c r="D466" s="473" t="s">
        <v>41</v>
      </c>
      <c r="E466" s="361">
        <v>7.72</v>
      </c>
    </row>
    <row r="467" spans="1:5">
      <c r="A467" s="473">
        <v>39621</v>
      </c>
      <c r="B467" s="473" t="s">
        <v>10127</v>
      </c>
      <c r="C467" s="473" t="s">
        <v>42</v>
      </c>
      <c r="D467" s="473" t="s">
        <v>41</v>
      </c>
      <c r="E467" s="361">
        <v>1269.32</v>
      </c>
    </row>
    <row r="468" spans="1:5">
      <c r="A468" s="473">
        <v>39624</v>
      </c>
      <c r="B468" s="473" t="s">
        <v>10128</v>
      </c>
      <c r="C468" s="473" t="s">
        <v>42</v>
      </c>
      <c r="D468" s="473" t="s">
        <v>41</v>
      </c>
      <c r="E468" s="361">
        <v>1284.48</v>
      </c>
    </row>
    <row r="469" spans="1:5">
      <c r="A469" s="473">
        <v>39615</v>
      </c>
      <c r="B469" s="473" t="s">
        <v>10129</v>
      </c>
      <c r="C469" s="473" t="s">
        <v>40</v>
      </c>
      <c r="D469" s="473" t="s">
        <v>41</v>
      </c>
      <c r="E469" s="361">
        <v>442.83</v>
      </c>
    </row>
    <row r="470" spans="1:5">
      <c r="A470" s="473">
        <v>39620</v>
      </c>
      <c r="B470" s="473" t="s">
        <v>10130</v>
      </c>
      <c r="C470" s="473" t="s">
        <v>40</v>
      </c>
      <c r="D470" s="473" t="s">
        <v>41</v>
      </c>
      <c r="E470" s="361">
        <v>676.97</v>
      </c>
    </row>
    <row r="471" spans="1:5">
      <c r="A471" s="473">
        <v>39623</v>
      </c>
      <c r="B471" s="473" t="s">
        <v>10131</v>
      </c>
      <c r="C471" s="473" t="s">
        <v>40</v>
      </c>
      <c r="D471" s="473" t="s">
        <v>41</v>
      </c>
      <c r="E471" s="361">
        <v>655.53</v>
      </c>
    </row>
    <row r="472" spans="1:5">
      <c r="A472" s="473">
        <v>36207</v>
      </c>
      <c r="B472" s="473" t="s">
        <v>10132</v>
      </c>
      <c r="C472" s="473" t="s">
        <v>40</v>
      </c>
      <c r="D472" s="473" t="s">
        <v>41</v>
      </c>
      <c r="E472" s="361">
        <v>307.26</v>
      </c>
    </row>
    <row r="473" spans="1:5">
      <c r="A473" s="473">
        <v>36209</v>
      </c>
      <c r="B473" s="473" t="s">
        <v>10133</v>
      </c>
      <c r="C473" s="473" t="s">
        <v>40</v>
      </c>
      <c r="D473" s="473" t="s">
        <v>41</v>
      </c>
      <c r="E473" s="361">
        <v>352.62</v>
      </c>
    </row>
    <row r="474" spans="1:5">
      <c r="A474" s="473">
        <v>36210</v>
      </c>
      <c r="B474" s="473" t="s">
        <v>10134</v>
      </c>
      <c r="C474" s="473" t="s">
        <v>40</v>
      </c>
      <c r="D474" s="473" t="s">
        <v>41</v>
      </c>
      <c r="E474" s="361">
        <v>381.53</v>
      </c>
    </row>
    <row r="475" spans="1:5">
      <c r="A475" s="473">
        <v>36204</v>
      </c>
      <c r="B475" s="473" t="s">
        <v>10135</v>
      </c>
      <c r="C475" s="473" t="s">
        <v>40</v>
      </c>
      <c r="D475" s="473" t="s">
        <v>41</v>
      </c>
      <c r="E475" s="361">
        <v>135.27000000000001</v>
      </c>
    </row>
    <row r="476" spans="1:5">
      <c r="A476" s="473">
        <v>36205</v>
      </c>
      <c r="B476" s="473" t="s">
        <v>10136</v>
      </c>
      <c r="C476" s="473" t="s">
        <v>40</v>
      </c>
      <c r="D476" s="473" t="s">
        <v>41</v>
      </c>
      <c r="E476" s="361">
        <v>150.22999999999999</v>
      </c>
    </row>
    <row r="477" spans="1:5">
      <c r="A477" s="473">
        <v>36081</v>
      </c>
      <c r="B477" s="473" t="s">
        <v>10137</v>
      </c>
      <c r="C477" s="473" t="s">
        <v>40</v>
      </c>
      <c r="D477" s="473" t="s">
        <v>44</v>
      </c>
      <c r="E477" s="361">
        <v>160.19</v>
      </c>
    </row>
    <row r="478" spans="1:5">
      <c r="A478" s="473">
        <v>36206</v>
      </c>
      <c r="B478" s="473" t="s">
        <v>10138</v>
      </c>
      <c r="C478" s="473" t="s">
        <v>40</v>
      </c>
      <c r="D478" s="473" t="s">
        <v>41</v>
      </c>
      <c r="E478" s="361">
        <v>167.82</v>
      </c>
    </row>
    <row r="479" spans="1:5">
      <c r="A479" s="473">
        <v>36218</v>
      </c>
      <c r="B479" s="473" t="s">
        <v>10139</v>
      </c>
      <c r="C479" s="473" t="s">
        <v>40</v>
      </c>
      <c r="D479" s="473" t="s">
        <v>47</v>
      </c>
      <c r="E479" s="361">
        <v>84.64</v>
      </c>
    </row>
    <row r="480" spans="1:5">
      <c r="A480" s="473">
        <v>36220</v>
      </c>
      <c r="B480" s="473" t="s">
        <v>10140</v>
      </c>
      <c r="C480" s="473" t="s">
        <v>40</v>
      </c>
      <c r="D480" s="473" t="s">
        <v>47</v>
      </c>
      <c r="E480" s="361">
        <v>97.05</v>
      </c>
    </row>
    <row r="481" spans="1:5">
      <c r="A481" s="473">
        <v>36080</v>
      </c>
      <c r="B481" s="473" t="s">
        <v>10141</v>
      </c>
      <c r="C481" s="473" t="s">
        <v>40</v>
      </c>
      <c r="D481" s="473" t="s">
        <v>47</v>
      </c>
      <c r="E481" s="361">
        <v>104.98</v>
      </c>
    </row>
    <row r="482" spans="1:5">
      <c r="A482" s="473">
        <v>36223</v>
      </c>
      <c r="B482" s="473" t="s">
        <v>10142</v>
      </c>
      <c r="C482" s="473" t="s">
        <v>40</v>
      </c>
      <c r="D482" s="473" t="s">
        <v>47</v>
      </c>
      <c r="E482" s="361">
        <v>109.93</v>
      </c>
    </row>
    <row r="483" spans="1:5">
      <c r="A483" s="473">
        <v>546</v>
      </c>
      <c r="B483" s="473" t="s">
        <v>10143</v>
      </c>
      <c r="C483" s="473" t="s">
        <v>49</v>
      </c>
      <c r="D483" s="473" t="s">
        <v>44</v>
      </c>
      <c r="E483" s="361">
        <v>5.36</v>
      </c>
    </row>
    <row r="484" spans="1:5">
      <c r="A484" s="473">
        <v>557</v>
      </c>
      <c r="B484" s="473" t="s">
        <v>10144</v>
      </c>
      <c r="C484" s="473" t="s">
        <v>48</v>
      </c>
      <c r="D484" s="473" t="s">
        <v>41</v>
      </c>
      <c r="E484" s="361">
        <v>20.57</v>
      </c>
    </row>
    <row r="485" spans="1:5">
      <c r="A485" s="473">
        <v>552</v>
      </c>
      <c r="B485" s="473" t="s">
        <v>10145</v>
      </c>
      <c r="C485" s="473" t="s">
        <v>48</v>
      </c>
      <c r="D485" s="473" t="s">
        <v>41</v>
      </c>
      <c r="E485" s="361">
        <v>10.130000000000001</v>
      </c>
    </row>
    <row r="486" spans="1:5">
      <c r="A486" s="473">
        <v>555</v>
      </c>
      <c r="B486" s="473" t="s">
        <v>10146</v>
      </c>
      <c r="C486" s="473" t="s">
        <v>48</v>
      </c>
      <c r="D486" s="473" t="s">
        <v>41</v>
      </c>
      <c r="E486" s="361">
        <v>6.21</v>
      </c>
    </row>
    <row r="487" spans="1:5">
      <c r="A487" s="473">
        <v>565</v>
      </c>
      <c r="B487" s="473" t="s">
        <v>10147</v>
      </c>
      <c r="C487" s="473" t="s">
        <v>48</v>
      </c>
      <c r="D487" s="473" t="s">
        <v>41</v>
      </c>
      <c r="E487" s="361">
        <v>9.48</v>
      </c>
    </row>
    <row r="488" spans="1:5">
      <c r="A488" s="473">
        <v>549</v>
      </c>
      <c r="B488" s="473" t="s">
        <v>10148</v>
      </c>
      <c r="C488" s="473" t="s">
        <v>48</v>
      </c>
      <c r="D488" s="473" t="s">
        <v>41</v>
      </c>
      <c r="E488" s="361">
        <v>27.12</v>
      </c>
    </row>
    <row r="489" spans="1:5">
      <c r="A489" s="473">
        <v>559</v>
      </c>
      <c r="B489" s="473" t="s">
        <v>10149</v>
      </c>
      <c r="C489" s="473" t="s">
        <v>48</v>
      </c>
      <c r="D489" s="473" t="s">
        <v>41</v>
      </c>
      <c r="E489" s="361">
        <v>13.56</v>
      </c>
    </row>
    <row r="490" spans="1:5">
      <c r="A490" s="473">
        <v>551</v>
      </c>
      <c r="B490" s="473" t="s">
        <v>10150</v>
      </c>
      <c r="C490" s="473" t="s">
        <v>48</v>
      </c>
      <c r="D490" s="473" t="s">
        <v>41</v>
      </c>
      <c r="E490" s="361">
        <v>52.99</v>
      </c>
    </row>
    <row r="491" spans="1:5">
      <c r="A491" s="473">
        <v>547</v>
      </c>
      <c r="B491" s="473" t="s">
        <v>10151</v>
      </c>
      <c r="C491" s="473" t="s">
        <v>48</v>
      </c>
      <c r="D491" s="473" t="s">
        <v>41</v>
      </c>
      <c r="E491" s="361">
        <v>20.309999999999999</v>
      </c>
    </row>
    <row r="492" spans="1:5">
      <c r="A492" s="473">
        <v>560</v>
      </c>
      <c r="B492" s="473" t="s">
        <v>10152</v>
      </c>
      <c r="C492" s="473" t="s">
        <v>48</v>
      </c>
      <c r="D492" s="473" t="s">
        <v>41</v>
      </c>
      <c r="E492" s="361">
        <v>17.16</v>
      </c>
    </row>
    <row r="493" spans="1:5">
      <c r="A493" s="473">
        <v>566</v>
      </c>
      <c r="B493" s="473" t="s">
        <v>10153</v>
      </c>
      <c r="C493" s="473" t="s">
        <v>48</v>
      </c>
      <c r="D493" s="473" t="s">
        <v>41</v>
      </c>
      <c r="E493" s="361">
        <v>2.75</v>
      </c>
    </row>
    <row r="494" spans="1:5">
      <c r="A494" s="473">
        <v>563</v>
      </c>
      <c r="B494" s="473" t="s">
        <v>10154</v>
      </c>
      <c r="C494" s="473" t="s">
        <v>48</v>
      </c>
      <c r="D494" s="473" t="s">
        <v>41</v>
      </c>
      <c r="E494" s="361">
        <v>15.41</v>
      </c>
    </row>
    <row r="495" spans="1:5">
      <c r="A495" s="473">
        <v>38127</v>
      </c>
      <c r="B495" s="473" t="s">
        <v>10155</v>
      </c>
      <c r="C495" s="473" t="s">
        <v>40</v>
      </c>
      <c r="D495" s="473" t="s">
        <v>41</v>
      </c>
      <c r="E495" s="361">
        <v>336.8</v>
      </c>
    </row>
    <row r="496" spans="1:5">
      <c r="A496" s="473">
        <v>38060</v>
      </c>
      <c r="B496" s="473" t="s">
        <v>10156</v>
      </c>
      <c r="C496" s="473" t="s">
        <v>40</v>
      </c>
      <c r="D496" s="473" t="s">
        <v>41</v>
      </c>
      <c r="E496" s="361">
        <v>62.16</v>
      </c>
    </row>
    <row r="497" spans="1:5">
      <c r="A497" s="473">
        <v>10956</v>
      </c>
      <c r="B497" s="473" t="s">
        <v>10157</v>
      </c>
      <c r="C497" s="473" t="s">
        <v>40</v>
      </c>
      <c r="D497" s="473" t="s">
        <v>41</v>
      </c>
      <c r="E497" s="361">
        <v>64.569999999999993</v>
      </c>
    </row>
    <row r="498" spans="1:5">
      <c r="A498" s="473">
        <v>39380</v>
      </c>
      <c r="B498" s="473" t="s">
        <v>10158</v>
      </c>
      <c r="C498" s="473" t="s">
        <v>40</v>
      </c>
      <c r="D498" s="473" t="s">
        <v>47</v>
      </c>
      <c r="E498" s="361">
        <v>9.86</v>
      </c>
    </row>
    <row r="499" spans="1:5">
      <c r="A499" s="473">
        <v>13374</v>
      </c>
      <c r="B499" s="473" t="s">
        <v>10159</v>
      </c>
      <c r="C499" s="473" t="s">
        <v>40</v>
      </c>
      <c r="D499" s="473" t="s">
        <v>47</v>
      </c>
      <c r="E499" s="361">
        <v>89.91</v>
      </c>
    </row>
    <row r="500" spans="1:5">
      <c r="A500" s="473">
        <v>37597</v>
      </c>
      <c r="B500" s="473" t="s">
        <v>10160</v>
      </c>
      <c r="C500" s="473" t="s">
        <v>40</v>
      </c>
      <c r="D500" s="473" t="s">
        <v>47</v>
      </c>
      <c r="E500" s="361">
        <v>317187.5</v>
      </c>
    </row>
    <row r="501" spans="1:5">
      <c r="A501" s="473">
        <v>183</v>
      </c>
      <c r="B501" s="473" t="s">
        <v>10161</v>
      </c>
      <c r="C501" s="473" t="s">
        <v>55</v>
      </c>
      <c r="D501" s="473" t="s">
        <v>44</v>
      </c>
      <c r="E501" s="361">
        <v>178</v>
      </c>
    </row>
    <row r="502" spans="1:5">
      <c r="A502" s="473">
        <v>184</v>
      </c>
      <c r="B502" s="473" t="s">
        <v>10162</v>
      </c>
      <c r="C502" s="473" t="s">
        <v>55</v>
      </c>
      <c r="D502" s="473" t="s">
        <v>41</v>
      </c>
      <c r="E502" s="361">
        <v>117.64</v>
      </c>
    </row>
    <row r="503" spans="1:5">
      <c r="A503" s="473">
        <v>195</v>
      </c>
      <c r="B503" s="473" t="s">
        <v>10163</v>
      </c>
      <c r="C503" s="473" t="s">
        <v>55</v>
      </c>
      <c r="D503" s="473" t="s">
        <v>41</v>
      </c>
      <c r="E503" s="361">
        <v>144.6</v>
      </c>
    </row>
    <row r="504" spans="1:5">
      <c r="A504" s="473">
        <v>194</v>
      </c>
      <c r="B504" s="473" t="s">
        <v>10164</v>
      </c>
      <c r="C504" s="473" t="s">
        <v>55</v>
      </c>
      <c r="D504" s="473" t="s">
        <v>41</v>
      </c>
      <c r="E504" s="361">
        <v>78.599999999999994</v>
      </c>
    </row>
    <row r="505" spans="1:5">
      <c r="A505" s="473">
        <v>20001</v>
      </c>
      <c r="B505" s="473" t="s">
        <v>10165</v>
      </c>
      <c r="C505" s="473" t="s">
        <v>55</v>
      </c>
      <c r="D505" s="473" t="s">
        <v>41</v>
      </c>
      <c r="E505" s="361">
        <v>144.09</v>
      </c>
    </row>
    <row r="506" spans="1:5">
      <c r="A506" s="473">
        <v>181</v>
      </c>
      <c r="B506" s="473" t="s">
        <v>10166</v>
      </c>
      <c r="C506" s="473" t="s">
        <v>55</v>
      </c>
      <c r="D506" s="473" t="s">
        <v>41</v>
      </c>
      <c r="E506" s="361">
        <v>194.95</v>
      </c>
    </row>
    <row r="507" spans="1:5">
      <c r="A507" s="473">
        <v>39837</v>
      </c>
      <c r="B507" s="473" t="s">
        <v>10167</v>
      </c>
      <c r="C507" s="473" t="s">
        <v>55</v>
      </c>
      <c r="D507" s="473" t="s">
        <v>41</v>
      </c>
      <c r="E507" s="361">
        <v>224.07</v>
      </c>
    </row>
    <row r="508" spans="1:5">
      <c r="A508" s="473">
        <v>10535</v>
      </c>
      <c r="B508" s="473" t="s">
        <v>10168</v>
      </c>
      <c r="C508" s="473" t="s">
        <v>40</v>
      </c>
      <c r="D508" s="473" t="s">
        <v>44</v>
      </c>
      <c r="E508" s="361">
        <v>3439.16</v>
      </c>
    </row>
    <row r="509" spans="1:5">
      <c r="A509" s="473">
        <v>10537</v>
      </c>
      <c r="B509" s="473" t="s">
        <v>10169</v>
      </c>
      <c r="C509" s="473" t="s">
        <v>40</v>
      </c>
      <c r="D509" s="473" t="s">
        <v>41</v>
      </c>
      <c r="E509" s="361">
        <v>4690.08</v>
      </c>
    </row>
    <row r="510" spans="1:5">
      <c r="A510" s="473">
        <v>13891</v>
      </c>
      <c r="B510" s="473" t="s">
        <v>10170</v>
      </c>
      <c r="C510" s="473" t="s">
        <v>40</v>
      </c>
      <c r="D510" s="473" t="s">
        <v>41</v>
      </c>
      <c r="E510" s="361">
        <v>4301.8599999999997</v>
      </c>
    </row>
    <row r="511" spans="1:5">
      <c r="A511" s="473">
        <v>25975</v>
      </c>
      <c r="B511" s="473" t="s">
        <v>10171</v>
      </c>
      <c r="C511" s="473" t="s">
        <v>40</v>
      </c>
      <c r="D511" s="473" t="s">
        <v>41</v>
      </c>
      <c r="E511" s="361">
        <v>18711.36</v>
      </c>
    </row>
    <row r="512" spans="1:5">
      <c r="A512" s="473">
        <v>36396</v>
      </c>
      <c r="B512" s="473" t="s">
        <v>10172</v>
      </c>
      <c r="C512" s="473" t="s">
        <v>40</v>
      </c>
      <c r="D512" s="473" t="s">
        <v>41</v>
      </c>
      <c r="E512" s="361">
        <v>3934.63</v>
      </c>
    </row>
    <row r="513" spans="1:5">
      <c r="A513" s="473">
        <v>36397</v>
      </c>
      <c r="B513" s="473" t="s">
        <v>10173</v>
      </c>
      <c r="C513" s="473" t="s">
        <v>40</v>
      </c>
      <c r="D513" s="473" t="s">
        <v>41</v>
      </c>
      <c r="E513" s="361">
        <v>13989.8</v>
      </c>
    </row>
    <row r="514" spans="1:5">
      <c r="A514" s="473">
        <v>36398</v>
      </c>
      <c r="B514" s="473" t="s">
        <v>10174</v>
      </c>
      <c r="C514" s="473" t="s">
        <v>40</v>
      </c>
      <c r="D514" s="473" t="s">
        <v>41</v>
      </c>
      <c r="E514" s="361">
        <v>17003.43</v>
      </c>
    </row>
    <row r="515" spans="1:5">
      <c r="A515" s="473">
        <v>647</v>
      </c>
      <c r="B515" s="473" t="s">
        <v>10175</v>
      </c>
      <c r="C515" s="473" t="s">
        <v>43</v>
      </c>
      <c r="D515" s="473" t="s">
        <v>41</v>
      </c>
      <c r="E515" s="361">
        <v>9.5</v>
      </c>
    </row>
    <row r="516" spans="1:5">
      <c r="A516" s="473">
        <v>40920</v>
      </c>
      <c r="B516" s="473" t="s">
        <v>10176</v>
      </c>
      <c r="C516" s="473" t="s">
        <v>53</v>
      </c>
      <c r="D516" s="473" t="s">
        <v>41</v>
      </c>
      <c r="E516" s="361">
        <v>1696.3</v>
      </c>
    </row>
    <row r="517" spans="1:5">
      <c r="A517" s="473">
        <v>7266</v>
      </c>
      <c r="B517" s="473" t="s">
        <v>10177</v>
      </c>
      <c r="C517" s="473" t="s">
        <v>56</v>
      </c>
      <c r="D517" s="473" t="s">
        <v>44</v>
      </c>
      <c r="E517" s="361">
        <v>490</v>
      </c>
    </row>
    <row r="518" spans="1:5">
      <c r="A518" s="473">
        <v>7270</v>
      </c>
      <c r="B518" s="473" t="s">
        <v>10178</v>
      </c>
      <c r="C518" s="473" t="s">
        <v>40</v>
      </c>
      <c r="D518" s="473" t="s">
        <v>41</v>
      </c>
      <c r="E518" s="361">
        <v>0.46</v>
      </c>
    </row>
    <row r="519" spans="1:5">
      <c r="A519" s="473">
        <v>7269</v>
      </c>
      <c r="B519" s="473" t="s">
        <v>10179</v>
      </c>
      <c r="C519" s="473" t="s">
        <v>40</v>
      </c>
      <c r="D519" s="473" t="s">
        <v>41</v>
      </c>
      <c r="E519" s="361">
        <v>0.33</v>
      </c>
    </row>
    <row r="520" spans="1:5">
      <c r="A520" s="473">
        <v>7271</v>
      </c>
      <c r="B520" s="473" t="s">
        <v>10180</v>
      </c>
      <c r="C520" s="473" t="s">
        <v>40</v>
      </c>
      <c r="D520" s="473" t="s">
        <v>41</v>
      </c>
      <c r="E520" s="361">
        <v>0.49</v>
      </c>
    </row>
    <row r="521" spans="1:5">
      <c r="A521" s="473">
        <v>7268</v>
      </c>
      <c r="B521" s="473" t="s">
        <v>10181</v>
      </c>
      <c r="C521" s="473" t="s">
        <v>40</v>
      </c>
      <c r="D521" s="473" t="s">
        <v>41</v>
      </c>
      <c r="E521" s="361">
        <v>0.69</v>
      </c>
    </row>
    <row r="522" spans="1:5">
      <c r="A522" s="473">
        <v>7267</v>
      </c>
      <c r="B522" s="473" t="s">
        <v>10182</v>
      </c>
      <c r="C522" s="473" t="s">
        <v>40</v>
      </c>
      <c r="D522" s="473" t="s">
        <v>41</v>
      </c>
      <c r="E522" s="361">
        <v>0.34</v>
      </c>
    </row>
    <row r="523" spans="1:5">
      <c r="A523" s="473">
        <v>38783</v>
      </c>
      <c r="B523" s="473" t="s">
        <v>10183</v>
      </c>
      <c r="C523" s="473" t="s">
        <v>40</v>
      </c>
      <c r="D523" s="473" t="s">
        <v>41</v>
      </c>
      <c r="E523" s="361">
        <v>0.61</v>
      </c>
    </row>
    <row r="524" spans="1:5">
      <c r="A524" s="473">
        <v>37593</v>
      </c>
      <c r="B524" s="473" t="s">
        <v>10184</v>
      </c>
      <c r="C524" s="473" t="s">
        <v>40</v>
      </c>
      <c r="D524" s="473" t="s">
        <v>41</v>
      </c>
      <c r="E524" s="361">
        <v>1.6</v>
      </c>
    </row>
    <row r="525" spans="1:5">
      <c r="A525" s="473">
        <v>37594</v>
      </c>
      <c r="B525" s="473" t="s">
        <v>10185</v>
      </c>
      <c r="C525" s="473" t="s">
        <v>40</v>
      </c>
      <c r="D525" s="473" t="s">
        <v>41</v>
      </c>
      <c r="E525" s="361">
        <v>1.96</v>
      </c>
    </row>
    <row r="526" spans="1:5">
      <c r="A526" s="473">
        <v>37592</v>
      </c>
      <c r="B526" s="473" t="s">
        <v>10186</v>
      </c>
      <c r="C526" s="473" t="s">
        <v>40</v>
      </c>
      <c r="D526" s="473" t="s">
        <v>41</v>
      </c>
      <c r="E526" s="361">
        <v>1.19</v>
      </c>
    </row>
    <row r="527" spans="1:5">
      <c r="A527" s="473">
        <v>34556</v>
      </c>
      <c r="B527" s="473" t="s">
        <v>10187</v>
      </c>
      <c r="C527" s="473" t="s">
        <v>40</v>
      </c>
      <c r="D527" s="473" t="s">
        <v>41</v>
      </c>
      <c r="E527" s="361">
        <v>2.23</v>
      </c>
    </row>
    <row r="528" spans="1:5">
      <c r="A528" s="473">
        <v>37873</v>
      </c>
      <c r="B528" s="473" t="s">
        <v>10188</v>
      </c>
      <c r="C528" s="473" t="s">
        <v>40</v>
      </c>
      <c r="D528" s="473" t="s">
        <v>41</v>
      </c>
      <c r="E528" s="361">
        <v>2.4300000000000002</v>
      </c>
    </row>
    <row r="529" spans="1:5">
      <c r="A529" s="473">
        <v>34564</v>
      </c>
      <c r="B529" s="473" t="s">
        <v>10189</v>
      </c>
      <c r="C529" s="473" t="s">
        <v>40</v>
      </c>
      <c r="D529" s="473" t="s">
        <v>41</v>
      </c>
      <c r="E529" s="361">
        <v>2.78</v>
      </c>
    </row>
    <row r="530" spans="1:5">
      <c r="A530" s="473">
        <v>34565</v>
      </c>
      <c r="B530" s="473" t="s">
        <v>10190</v>
      </c>
      <c r="C530" s="473" t="s">
        <v>40</v>
      </c>
      <c r="D530" s="473" t="s">
        <v>41</v>
      </c>
      <c r="E530" s="361">
        <v>3.21</v>
      </c>
    </row>
    <row r="531" spans="1:5">
      <c r="A531" s="473">
        <v>38590</v>
      </c>
      <c r="B531" s="473" t="s">
        <v>10191</v>
      </c>
      <c r="C531" s="473" t="s">
        <v>40</v>
      </c>
      <c r="D531" s="473" t="s">
        <v>41</v>
      </c>
      <c r="E531" s="361">
        <v>1.86</v>
      </c>
    </row>
    <row r="532" spans="1:5">
      <c r="A532" s="473">
        <v>34566</v>
      </c>
      <c r="B532" s="473" t="s">
        <v>10192</v>
      </c>
      <c r="C532" s="473" t="s">
        <v>40</v>
      </c>
      <c r="D532" s="473" t="s">
        <v>41</v>
      </c>
      <c r="E532" s="361">
        <v>1.74</v>
      </c>
    </row>
    <row r="533" spans="1:5">
      <c r="A533" s="473">
        <v>34567</v>
      </c>
      <c r="B533" s="473" t="s">
        <v>10193</v>
      </c>
      <c r="C533" s="473" t="s">
        <v>40</v>
      </c>
      <c r="D533" s="473" t="s">
        <v>41</v>
      </c>
      <c r="E533" s="361">
        <v>1.95</v>
      </c>
    </row>
    <row r="534" spans="1:5">
      <c r="A534" s="473">
        <v>38591</v>
      </c>
      <c r="B534" s="473" t="s">
        <v>10194</v>
      </c>
      <c r="C534" s="473" t="s">
        <v>40</v>
      </c>
      <c r="D534" s="473" t="s">
        <v>41</v>
      </c>
      <c r="E534" s="361">
        <v>2.11</v>
      </c>
    </row>
    <row r="535" spans="1:5">
      <c r="A535" s="473">
        <v>34568</v>
      </c>
      <c r="B535" s="473" t="s">
        <v>10195</v>
      </c>
      <c r="C535" s="473" t="s">
        <v>40</v>
      </c>
      <c r="D535" s="473" t="s">
        <v>41</v>
      </c>
      <c r="E535" s="361">
        <v>2.5499999999999998</v>
      </c>
    </row>
    <row r="536" spans="1:5">
      <c r="A536" s="473">
        <v>34569</v>
      </c>
      <c r="B536" s="473" t="s">
        <v>10196</v>
      </c>
      <c r="C536" s="473" t="s">
        <v>40</v>
      </c>
      <c r="D536" s="473" t="s">
        <v>41</v>
      </c>
      <c r="E536" s="361">
        <v>2.61</v>
      </c>
    </row>
    <row r="537" spans="1:5">
      <c r="A537" s="473">
        <v>34570</v>
      </c>
      <c r="B537" s="473" t="s">
        <v>10197</v>
      </c>
      <c r="C537" s="473" t="s">
        <v>40</v>
      </c>
      <c r="D537" s="473" t="s">
        <v>41</v>
      </c>
      <c r="E537" s="361">
        <v>2.79</v>
      </c>
    </row>
    <row r="538" spans="1:5">
      <c r="A538" s="473">
        <v>25070</v>
      </c>
      <c r="B538" s="473" t="s">
        <v>10198</v>
      </c>
      <c r="C538" s="473" t="s">
        <v>40</v>
      </c>
      <c r="D538" s="473" t="s">
        <v>41</v>
      </c>
      <c r="E538" s="361">
        <v>2.14</v>
      </c>
    </row>
    <row r="539" spans="1:5">
      <c r="A539" s="473">
        <v>34571</v>
      </c>
      <c r="B539" s="473" t="s">
        <v>10199</v>
      </c>
      <c r="C539" s="473" t="s">
        <v>40</v>
      </c>
      <c r="D539" s="473" t="s">
        <v>41</v>
      </c>
      <c r="E539" s="361">
        <v>2.1800000000000002</v>
      </c>
    </row>
    <row r="540" spans="1:5">
      <c r="A540" s="473">
        <v>34573</v>
      </c>
      <c r="B540" s="473" t="s">
        <v>10200</v>
      </c>
      <c r="C540" s="473" t="s">
        <v>40</v>
      </c>
      <c r="D540" s="473" t="s">
        <v>41</v>
      </c>
      <c r="E540" s="361">
        <v>2.2999999999999998</v>
      </c>
    </row>
    <row r="541" spans="1:5">
      <c r="A541" s="473">
        <v>37107</v>
      </c>
      <c r="B541" s="473" t="s">
        <v>10201</v>
      </c>
      <c r="C541" s="473" t="s">
        <v>40</v>
      </c>
      <c r="D541" s="473" t="s">
        <v>41</v>
      </c>
      <c r="E541" s="361">
        <v>3.39</v>
      </c>
    </row>
    <row r="542" spans="1:5">
      <c r="A542" s="473">
        <v>34576</v>
      </c>
      <c r="B542" s="473" t="s">
        <v>10202</v>
      </c>
      <c r="C542" s="473" t="s">
        <v>40</v>
      </c>
      <c r="D542" s="473" t="s">
        <v>41</v>
      </c>
      <c r="E542" s="361">
        <v>3.18</v>
      </c>
    </row>
    <row r="543" spans="1:5">
      <c r="A543" s="473">
        <v>34577</v>
      </c>
      <c r="B543" s="473" t="s">
        <v>10203</v>
      </c>
      <c r="C543" s="473" t="s">
        <v>40</v>
      </c>
      <c r="D543" s="473" t="s">
        <v>41</v>
      </c>
      <c r="E543" s="361">
        <v>3.39</v>
      </c>
    </row>
    <row r="544" spans="1:5">
      <c r="A544" s="473">
        <v>34578</v>
      </c>
      <c r="B544" s="473" t="s">
        <v>10204</v>
      </c>
      <c r="C544" s="473" t="s">
        <v>40</v>
      </c>
      <c r="D544" s="473" t="s">
        <v>41</v>
      </c>
      <c r="E544" s="361">
        <v>3.76</v>
      </c>
    </row>
    <row r="545" spans="1:5">
      <c r="A545" s="473">
        <v>34579</v>
      </c>
      <c r="B545" s="473" t="s">
        <v>10205</v>
      </c>
      <c r="C545" s="473" t="s">
        <v>40</v>
      </c>
      <c r="D545" s="473" t="s">
        <v>41</v>
      </c>
      <c r="E545" s="361">
        <v>4.82</v>
      </c>
    </row>
    <row r="546" spans="1:5">
      <c r="A546" s="473">
        <v>25067</v>
      </c>
      <c r="B546" s="473" t="s">
        <v>10206</v>
      </c>
      <c r="C546" s="473" t="s">
        <v>40</v>
      </c>
      <c r="D546" s="473" t="s">
        <v>41</v>
      </c>
      <c r="E546" s="361">
        <v>2.78</v>
      </c>
    </row>
    <row r="547" spans="1:5">
      <c r="A547" s="473">
        <v>34580</v>
      </c>
      <c r="B547" s="473" t="s">
        <v>10207</v>
      </c>
      <c r="C547" s="473" t="s">
        <v>40</v>
      </c>
      <c r="D547" s="473" t="s">
        <v>41</v>
      </c>
      <c r="E547" s="361">
        <v>3.03</v>
      </c>
    </row>
    <row r="548" spans="1:5">
      <c r="A548" s="473">
        <v>25071</v>
      </c>
      <c r="B548" s="473" t="s">
        <v>10208</v>
      </c>
      <c r="C548" s="473" t="s">
        <v>40</v>
      </c>
      <c r="D548" s="473" t="s">
        <v>41</v>
      </c>
      <c r="E548" s="361">
        <v>1.46</v>
      </c>
    </row>
    <row r="549" spans="1:5">
      <c r="A549" s="473">
        <v>38395</v>
      </c>
      <c r="B549" s="473" t="s">
        <v>10209</v>
      </c>
      <c r="C549" s="473" t="s">
        <v>40</v>
      </c>
      <c r="D549" s="473" t="s">
        <v>41</v>
      </c>
      <c r="E549" s="361">
        <v>6.45</v>
      </c>
    </row>
    <row r="550" spans="1:5">
      <c r="A550" s="473">
        <v>34583</v>
      </c>
      <c r="B550" s="473" t="s">
        <v>10210</v>
      </c>
      <c r="C550" s="473" t="s">
        <v>46</v>
      </c>
      <c r="D550" s="473" t="s">
        <v>41</v>
      </c>
      <c r="E550" s="361">
        <v>68.92</v>
      </c>
    </row>
    <row r="551" spans="1:5">
      <c r="A551" s="473">
        <v>34584</v>
      </c>
      <c r="B551" s="473" t="s">
        <v>10211</v>
      </c>
      <c r="C551" s="473" t="s">
        <v>46</v>
      </c>
      <c r="D551" s="473" t="s">
        <v>41</v>
      </c>
      <c r="E551" s="361">
        <v>38.58</v>
      </c>
    </row>
    <row r="552" spans="1:5">
      <c r="A552" s="473">
        <v>709</v>
      </c>
      <c r="B552" s="473" t="s">
        <v>10212</v>
      </c>
      <c r="C552" s="473" t="s">
        <v>46</v>
      </c>
      <c r="D552" s="473" t="s">
        <v>47</v>
      </c>
      <c r="E552" s="361">
        <v>468.66</v>
      </c>
    </row>
    <row r="553" spans="1:5">
      <c r="A553" s="473">
        <v>716</v>
      </c>
      <c r="B553" s="473" t="s">
        <v>10213</v>
      </c>
      <c r="C553" s="473" t="s">
        <v>40</v>
      </c>
      <c r="D553" s="473" t="s">
        <v>41</v>
      </c>
      <c r="E553" s="361">
        <v>11.12</v>
      </c>
    </row>
    <row r="554" spans="1:5">
      <c r="A554" s="473">
        <v>715</v>
      </c>
      <c r="B554" s="473" t="s">
        <v>10214</v>
      </c>
      <c r="C554" s="473" t="s">
        <v>40</v>
      </c>
      <c r="D554" s="473" t="s">
        <v>44</v>
      </c>
      <c r="E554" s="361">
        <v>11</v>
      </c>
    </row>
    <row r="555" spans="1:5">
      <c r="A555" s="473">
        <v>718</v>
      </c>
      <c r="B555" s="473" t="s">
        <v>10215</v>
      </c>
      <c r="C555" s="473" t="s">
        <v>40</v>
      </c>
      <c r="D555" s="473" t="s">
        <v>41</v>
      </c>
      <c r="E555" s="361">
        <v>16.39</v>
      </c>
    </row>
    <row r="556" spans="1:5">
      <c r="A556" s="473">
        <v>11981</v>
      </c>
      <c r="B556" s="473" t="s">
        <v>10216</v>
      </c>
      <c r="C556" s="473" t="s">
        <v>40</v>
      </c>
      <c r="D556" s="473" t="s">
        <v>41</v>
      </c>
      <c r="E556" s="361">
        <v>11.24</v>
      </c>
    </row>
    <row r="557" spans="1:5">
      <c r="A557" s="473">
        <v>10610</v>
      </c>
      <c r="B557" s="473" t="s">
        <v>10217</v>
      </c>
      <c r="C557" s="473" t="s">
        <v>40</v>
      </c>
      <c r="D557" s="473" t="s">
        <v>41</v>
      </c>
      <c r="E557" s="361">
        <v>1.32</v>
      </c>
    </row>
    <row r="558" spans="1:5">
      <c r="A558" s="473">
        <v>34585</v>
      </c>
      <c r="B558" s="473" t="s">
        <v>10218</v>
      </c>
      <c r="C558" s="473" t="s">
        <v>40</v>
      </c>
      <c r="D558" s="473" t="s">
        <v>41</v>
      </c>
      <c r="E558" s="361">
        <v>1.34</v>
      </c>
    </row>
    <row r="559" spans="1:5">
      <c r="A559" s="473">
        <v>34586</v>
      </c>
      <c r="B559" s="473" t="s">
        <v>10219</v>
      </c>
      <c r="C559" s="473" t="s">
        <v>40</v>
      </c>
      <c r="D559" s="473" t="s">
        <v>41</v>
      </c>
      <c r="E559" s="361">
        <v>1.36</v>
      </c>
    </row>
    <row r="560" spans="1:5">
      <c r="A560" s="473">
        <v>38603</v>
      </c>
      <c r="B560" s="473" t="s">
        <v>10220</v>
      </c>
      <c r="C560" s="473" t="s">
        <v>40</v>
      </c>
      <c r="D560" s="473" t="s">
        <v>41</v>
      </c>
      <c r="E560" s="361">
        <v>1.57</v>
      </c>
    </row>
    <row r="561" spans="1:5">
      <c r="A561" s="473">
        <v>34588</v>
      </c>
      <c r="B561" s="473" t="s">
        <v>10221</v>
      </c>
      <c r="C561" s="473" t="s">
        <v>40</v>
      </c>
      <c r="D561" s="473" t="s">
        <v>41</v>
      </c>
      <c r="E561" s="361">
        <v>1.75</v>
      </c>
    </row>
    <row r="562" spans="1:5">
      <c r="A562" s="473">
        <v>34590</v>
      </c>
      <c r="B562" s="473" t="s">
        <v>10222</v>
      </c>
      <c r="C562" s="473" t="s">
        <v>40</v>
      </c>
      <c r="D562" s="473" t="s">
        <v>41</v>
      </c>
      <c r="E562" s="361">
        <v>1.89</v>
      </c>
    </row>
    <row r="563" spans="1:5">
      <c r="A563" s="473">
        <v>34591</v>
      </c>
      <c r="B563" s="473" t="s">
        <v>10223</v>
      </c>
      <c r="C563" s="473" t="s">
        <v>40</v>
      </c>
      <c r="D563" s="473" t="s">
        <v>41</v>
      </c>
      <c r="E563" s="361">
        <v>2.36</v>
      </c>
    </row>
    <row r="564" spans="1:5">
      <c r="A564" s="473">
        <v>37103</v>
      </c>
      <c r="B564" s="473" t="s">
        <v>10224</v>
      </c>
      <c r="C564" s="473" t="s">
        <v>40</v>
      </c>
      <c r="D564" s="473" t="s">
        <v>41</v>
      </c>
      <c r="E564" s="361">
        <v>1.82</v>
      </c>
    </row>
    <row r="565" spans="1:5">
      <c r="A565" s="473">
        <v>34555</v>
      </c>
      <c r="B565" s="473" t="s">
        <v>10225</v>
      </c>
      <c r="C565" s="473" t="s">
        <v>40</v>
      </c>
      <c r="D565" s="473" t="s">
        <v>41</v>
      </c>
      <c r="E565" s="361">
        <v>2.2799999999999998</v>
      </c>
    </row>
    <row r="566" spans="1:5">
      <c r="A566" s="473">
        <v>34599</v>
      </c>
      <c r="B566" s="473" t="s">
        <v>10226</v>
      </c>
      <c r="C566" s="473" t="s">
        <v>40</v>
      </c>
      <c r="D566" s="473" t="s">
        <v>41</v>
      </c>
      <c r="E566" s="361">
        <v>1.63</v>
      </c>
    </row>
    <row r="567" spans="1:5">
      <c r="A567" s="473">
        <v>674</v>
      </c>
      <c r="B567" s="473" t="s">
        <v>10227</v>
      </c>
      <c r="C567" s="473" t="s">
        <v>46</v>
      </c>
      <c r="D567" s="473" t="s">
        <v>47</v>
      </c>
      <c r="E567" s="361">
        <v>43.85</v>
      </c>
    </row>
    <row r="568" spans="1:5">
      <c r="A568" s="473">
        <v>34600</v>
      </c>
      <c r="B568" s="473" t="s">
        <v>10228</v>
      </c>
      <c r="C568" s="473" t="s">
        <v>46</v>
      </c>
      <c r="D568" s="473" t="s">
        <v>47</v>
      </c>
      <c r="E568" s="361">
        <v>71.25</v>
      </c>
    </row>
    <row r="569" spans="1:5">
      <c r="A569" s="473">
        <v>652</v>
      </c>
      <c r="B569" s="473" t="s">
        <v>10229</v>
      </c>
      <c r="C569" s="473" t="s">
        <v>46</v>
      </c>
      <c r="D569" s="473" t="s">
        <v>47</v>
      </c>
      <c r="E569" s="361">
        <v>90.74</v>
      </c>
    </row>
    <row r="570" spans="1:5">
      <c r="A570" s="473">
        <v>34592</v>
      </c>
      <c r="B570" s="473" t="s">
        <v>10230</v>
      </c>
      <c r="C570" s="473" t="s">
        <v>40</v>
      </c>
      <c r="D570" s="473" t="s">
        <v>41</v>
      </c>
      <c r="E570" s="361">
        <v>1.55</v>
      </c>
    </row>
    <row r="571" spans="1:5">
      <c r="A571" s="473">
        <v>651</v>
      </c>
      <c r="B571" s="473" t="s">
        <v>10231</v>
      </c>
      <c r="C571" s="473" t="s">
        <v>40</v>
      </c>
      <c r="D571" s="473" t="s">
        <v>41</v>
      </c>
      <c r="E571" s="361">
        <v>1.77</v>
      </c>
    </row>
    <row r="572" spans="1:5">
      <c r="A572" s="473">
        <v>654</v>
      </c>
      <c r="B572" s="473" t="s">
        <v>10232</v>
      </c>
      <c r="C572" s="473" t="s">
        <v>40</v>
      </c>
      <c r="D572" s="473" t="s">
        <v>41</v>
      </c>
      <c r="E572" s="361">
        <v>2.29</v>
      </c>
    </row>
    <row r="573" spans="1:5">
      <c r="A573" s="473">
        <v>650</v>
      </c>
      <c r="B573" s="473" t="s">
        <v>10233</v>
      </c>
      <c r="C573" s="473" t="s">
        <v>40</v>
      </c>
      <c r="D573" s="473" t="s">
        <v>44</v>
      </c>
      <c r="E573" s="361">
        <v>1.51</v>
      </c>
    </row>
    <row r="574" spans="1:5">
      <c r="A574" s="473">
        <v>40517</v>
      </c>
      <c r="B574" s="473" t="s">
        <v>10234</v>
      </c>
      <c r="C574" s="473" t="s">
        <v>46</v>
      </c>
      <c r="D574" s="473" t="s">
        <v>41</v>
      </c>
      <c r="E574" s="361">
        <v>44.54</v>
      </c>
    </row>
    <row r="575" spans="1:5">
      <c r="A575" s="473">
        <v>40520</v>
      </c>
      <c r="B575" s="473" t="s">
        <v>10235</v>
      </c>
      <c r="C575" s="473" t="s">
        <v>46</v>
      </c>
      <c r="D575" s="473" t="s">
        <v>41</v>
      </c>
      <c r="E575" s="361">
        <v>46.66</v>
      </c>
    </row>
    <row r="576" spans="1:5">
      <c r="A576" s="473">
        <v>40515</v>
      </c>
      <c r="B576" s="473" t="s">
        <v>10236</v>
      </c>
      <c r="C576" s="473" t="s">
        <v>46</v>
      </c>
      <c r="D576" s="473" t="s">
        <v>41</v>
      </c>
      <c r="E576" s="361">
        <v>56.33</v>
      </c>
    </row>
    <row r="577" spans="1:5">
      <c r="A577" s="473">
        <v>40516</v>
      </c>
      <c r="B577" s="473" t="s">
        <v>10237</v>
      </c>
      <c r="C577" s="473" t="s">
        <v>46</v>
      </c>
      <c r="D577" s="473" t="s">
        <v>41</v>
      </c>
      <c r="E577" s="361">
        <v>67.08</v>
      </c>
    </row>
    <row r="578" spans="1:5">
      <c r="A578" s="473">
        <v>40529</v>
      </c>
      <c r="B578" s="473" t="s">
        <v>10238</v>
      </c>
      <c r="C578" s="473" t="s">
        <v>46</v>
      </c>
      <c r="D578" s="473" t="s">
        <v>41</v>
      </c>
      <c r="E578" s="361">
        <v>52.39</v>
      </c>
    </row>
    <row r="579" spans="1:5">
      <c r="A579" s="473">
        <v>36170</v>
      </c>
      <c r="B579" s="473" t="s">
        <v>10239</v>
      </c>
      <c r="C579" s="473" t="s">
        <v>46</v>
      </c>
      <c r="D579" s="473" t="s">
        <v>44</v>
      </c>
      <c r="E579" s="361">
        <v>39.24</v>
      </c>
    </row>
    <row r="580" spans="1:5">
      <c r="A580" s="473">
        <v>40524</v>
      </c>
      <c r="B580" s="473" t="s">
        <v>10240</v>
      </c>
      <c r="C580" s="473" t="s">
        <v>46</v>
      </c>
      <c r="D580" s="473" t="s">
        <v>41</v>
      </c>
      <c r="E580" s="361">
        <v>47.72</v>
      </c>
    </row>
    <row r="581" spans="1:5">
      <c r="A581" s="473">
        <v>36156</v>
      </c>
      <c r="B581" s="473" t="s">
        <v>10241</v>
      </c>
      <c r="C581" s="473" t="s">
        <v>46</v>
      </c>
      <c r="D581" s="473" t="s">
        <v>41</v>
      </c>
      <c r="E581" s="361">
        <v>41.36</v>
      </c>
    </row>
    <row r="582" spans="1:5">
      <c r="A582" s="473">
        <v>36155</v>
      </c>
      <c r="B582" s="473" t="s">
        <v>10242</v>
      </c>
      <c r="C582" s="473" t="s">
        <v>46</v>
      </c>
      <c r="D582" s="473" t="s">
        <v>41</v>
      </c>
      <c r="E582" s="361">
        <v>36.64</v>
      </c>
    </row>
    <row r="583" spans="1:5">
      <c r="A583" s="473">
        <v>36154</v>
      </c>
      <c r="B583" s="473" t="s">
        <v>10243</v>
      </c>
      <c r="C583" s="473" t="s">
        <v>46</v>
      </c>
      <c r="D583" s="473" t="s">
        <v>41</v>
      </c>
      <c r="E583" s="361">
        <v>48.67</v>
      </c>
    </row>
    <row r="584" spans="1:5">
      <c r="A584" s="473">
        <v>695</v>
      </c>
      <c r="B584" s="473" t="s">
        <v>10244</v>
      </c>
      <c r="C584" s="473" t="s">
        <v>46</v>
      </c>
      <c r="D584" s="473" t="s">
        <v>41</v>
      </c>
      <c r="E584" s="361">
        <v>35.979999999999997</v>
      </c>
    </row>
    <row r="585" spans="1:5">
      <c r="A585" s="473">
        <v>679</v>
      </c>
      <c r="B585" s="473" t="s">
        <v>10245</v>
      </c>
      <c r="C585" s="473" t="s">
        <v>46</v>
      </c>
      <c r="D585" s="473" t="s">
        <v>41</v>
      </c>
      <c r="E585" s="361">
        <v>49.31</v>
      </c>
    </row>
    <row r="586" spans="1:5">
      <c r="A586" s="473">
        <v>711</v>
      </c>
      <c r="B586" s="473" t="s">
        <v>10246</v>
      </c>
      <c r="C586" s="473" t="s">
        <v>46</v>
      </c>
      <c r="D586" s="473" t="s">
        <v>41</v>
      </c>
      <c r="E586" s="361">
        <v>37.64</v>
      </c>
    </row>
    <row r="587" spans="1:5">
      <c r="A587" s="473">
        <v>712</v>
      </c>
      <c r="B587" s="473" t="s">
        <v>10247</v>
      </c>
      <c r="C587" s="473" t="s">
        <v>46</v>
      </c>
      <c r="D587" s="473" t="s">
        <v>41</v>
      </c>
      <c r="E587" s="361">
        <v>39.24</v>
      </c>
    </row>
    <row r="588" spans="1:5">
      <c r="A588" s="473">
        <v>12614</v>
      </c>
      <c r="B588" s="473" t="s">
        <v>10248</v>
      </c>
      <c r="C588" s="473" t="s">
        <v>40</v>
      </c>
      <c r="D588" s="473" t="s">
        <v>47</v>
      </c>
      <c r="E588" s="361">
        <v>17.2</v>
      </c>
    </row>
    <row r="589" spans="1:5">
      <c r="A589" s="473">
        <v>6140</v>
      </c>
      <c r="B589" s="473" t="s">
        <v>10249</v>
      </c>
      <c r="C589" s="473" t="s">
        <v>40</v>
      </c>
      <c r="D589" s="473" t="s">
        <v>41</v>
      </c>
      <c r="E589" s="361">
        <v>2.41</v>
      </c>
    </row>
    <row r="590" spans="1:5">
      <c r="A590" s="473">
        <v>38399</v>
      </c>
      <c r="B590" s="473" t="s">
        <v>10250</v>
      </c>
      <c r="C590" s="473" t="s">
        <v>40</v>
      </c>
      <c r="D590" s="473" t="s">
        <v>41</v>
      </c>
      <c r="E590" s="361">
        <v>144.06</v>
      </c>
    </row>
    <row r="591" spans="1:5">
      <c r="A591" s="473">
        <v>735</v>
      </c>
      <c r="B591" s="473" t="s">
        <v>10251</v>
      </c>
      <c r="C591" s="473" t="s">
        <v>40</v>
      </c>
      <c r="D591" s="473" t="s">
        <v>41</v>
      </c>
      <c r="E591" s="361">
        <v>1663.54</v>
      </c>
    </row>
    <row r="592" spans="1:5">
      <c r="A592" s="473">
        <v>736</v>
      </c>
      <c r="B592" s="473" t="s">
        <v>10252</v>
      </c>
      <c r="C592" s="473" t="s">
        <v>40</v>
      </c>
      <c r="D592" s="473" t="s">
        <v>41</v>
      </c>
      <c r="E592" s="361">
        <v>1398.73</v>
      </c>
    </row>
    <row r="593" spans="1:5">
      <c r="A593" s="473">
        <v>729</v>
      </c>
      <c r="B593" s="473" t="s">
        <v>10253</v>
      </c>
      <c r="C593" s="473" t="s">
        <v>40</v>
      </c>
      <c r="D593" s="473" t="s">
        <v>44</v>
      </c>
      <c r="E593" s="361">
        <v>570</v>
      </c>
    </row>
    <row r="594" spans="1:5">
      <c r="A594" s="473">
        <v>39925</v>
      </c>
      <c r="B594" s="473" t="s">
        <v>10254</v>
      </c>
      <c r="C594" s="473" t="s">
        <v>40</v>
      </c>
      <c r="D594" s="473" t="s">
        <v>41</v>
      </c>
      <c r="E594" s="361">
        <v>8236.44</v>
      </c>
    </row>
    <row r="595" spans="1:5">
      <c r="A595" s="473">
        <v>731</v>
      </c>
      <c r="B595" s="473" t="s">
        <v>10255</v>
      </c>
      <c r="C595" s="473" t="s">
        <v>40</v>
      </c>
      <c r="D595" s="473" t="s">
        <v>41</v>
      </c>
      <c r="E595" s="361">
        <v>554.75</v>
      </c>
    </row>
    <row r="596" spans="1:5">
      <c r="A596" s="473">
        <v>10575</v>
      </c>
      <c r="B596" s="473" t="s">
        <v>10256</v>
      </c>
      <c r="C596" s="473" t="s">
        <v>40</v>
      </c>
      <c r="D596" s="473" t="s">
        <v>41</v>
      </c>
      <c r="E596" s="361">
        <v>865.73</v>
      </c>
    </row>
    <row r="597" spans="1:5">
      <c r="A597" s="473">
        <v>733</v>
      </c>
      <c r="B597" s="473" t="s">
        <v>10257</v>
      </c>
      <c r="C597" s="473" t="s">
        <v>40</v>
      </c>
      <c r="D597" s="473" t="s">
        <v>41</v>
      </c>
      <c r="E597" s="361">
        <v>947.87</v>
      </c>
    </row>
    <row r="598" spans="1:5">
      <c r="A598" s="473">
        <v>732</v>
      </c>
      <c r="B598" s="473" t="s">
        <v>10258</v>
      </c>
      <c r="C598" s="473" t="s">
        <v>40</v>
      </c>
      <c r="D598" s="473" t="s">
        <v>41</v>
      </c>
      <c r="E598" s="361">
        <v>935.12</v>
      </c>
    </row>
    <row r="599" spans="1:5">
      <c r="A599" s="473">
        <v>737</v>
      </c>
      <c r="B599" s="473" t="s">
        <v>10259</v>
      </c>
      <c r="C599" s="473" t="s">
        <v>40</v>
      </c>
      <c r="D599" s="473" t="s">
        <v>41</v>
      </c>
      <c r="E599" s="361">
        <v>5243.9</v>
      </c>
    </row>
    <row r="600" spans="1:5">
      <c r="A600" s="473">
        <v>738</v>
      </c>
      <c r="B600" s="473" t="s">
        <v>10260</v>
      </c>
      <c r="C600" s="473" t="s">
        <v>40</v>
      </c>
      <c r="D600" s="473" t="s">
        <v>41</v>
      </c>
      <c r="E600" s="361">
        <v>2431.56</v>
      </c>
    </row>
    <row r="601" spans="1:5">
      <c r="A601" s="473">
        <v>740</v>
      </c>
      <c r="B601" s="473" t="s">
        <v>10261</v>
      </c>
      <c r="C601" s="473" t="s">
        <v>40</v>
      </c>
      <c r="D601" s="473" t="s">
        <v>41</v>
      </c>
      <c r="E601" s="361">
        <v>4933.13</v>
      </c>
    </row>
    <row r="602" spans="1:5">
      <c r="A602" s="473">
        <v>734</v>
      </c>
      <c r="B602" s="473" t="s">
        <v>10262</v>
      </c>
      <c r="C602" s="473" t="s">
        <v>40</v>
      </c>
      <c r="D602" s="473" t="s">
        <v>41</v>
      </c>
      <c r="E602" s="361">
        <v>1002.45</v>
      </c>
    </row>
    <row r="603" spans="1:5">
      <c r="A603" s="473">
        <v>39008</v>
      </c>
      <c r="B603" s="473" t="s">
        <v>10263</v>
      </c>
      <c r="C603" s="473" t="s">
        <v>40</v>
      </c>
      <c r="D603" s="473" t="s">
        <v>41</v>
      </c>
      <c r="E603" s="361">
        <v>41924.410000000003</v>
      </c>
    </row>
    <row r="604" spans="1:5">
      <c r="A604" s="473">
        <v>39009</v>
      </c>
      <c r="B604" s="473" t="s">
        <v>10264</v>
      </c>
      <c r="C604" s="473" t="s">
        <v>40</v>
      </c>
      <c r="D604" s="473" t="s">
        <v>41</v>
      </c>
      <c r="E604" s="361">
        <v>44916.81</v>
      </c>
    </row>
    <row r="605" spans="1:5">
      <c r="A605" s="473">
        <v>10587</v>
      </c>
      <c r="B605" s="473" t="s">
        <v>10265</v>
      </c>
      <c r="C605" s="473" t="s">
        <v>40</v>
      </c>
      <c r="D605" s="473" t="s">
        <v>41</v>
      </c>
      <c r="E605" s="361">
        <v>2867.81</v>
      </c>
    </row>
    <row r="606" spans="1:5">
      <c r="A606" s="473">
        <v>759</v>
      </c>
      <c r="B606" s="473" t="s">
        <v>10266</v>
      </c>
      <c r="C606" s="473" t="s">
        <v>40</v>
      </c>
      <c r="D606" s="473" t="s">
        <v>41</v>
      </c>
      <c r="E606" s="361">
        <v>4123.34</v>
      </c>
    </row>
    <row r="607" spans="1:5">
      <c r="A607" s="473">
        <v>761</v>
      </c>
      <c r="B607" s="473" t="s">
        <v>10267</v>
      </c>
      <c r="C607" s="473" t="s">
        <v>40</v>
      </c>
      <c r="D607" s="473" t="s">
        <v>41</v>
      </c>
      <c r="E607" s="361">
        <v>6989.41</v>
      </c>
    </row>
    <row r="608" spans="1:5">
      <c r="A608" s="473">
        <v>750</v>
      </c>
      <c r="B608" s="473" t="s">
        <v>10268</v>
      </c>
      <c r="C608" s="473" t="s">
        <v>40</v>
      </c>
      <c r="D608" s="473" t="s">
        <v>41</v>
      </c>
      <c r="E608" s="361">
        <v>6635.88</v>
      </c>
    </row>
    <row r="609" spans="1:5">
      <c r="A609" s="473">
        <v>755</v>
      </c>
      <c r="B609" s="473" t="s">
        <v>10269</v>
      </c>
      <c r="C609" s="473" t="s">
        <v>40</v>
      </c>
      <c r="D609" s="473" t="s">
        <v>41</v>
      </c>
      <c r="E609" s="361">
        <v>27230.46</v>
      </c>
    </row>
    <row r="610" spans="1:5">
      <c r="A610" s="473">
        <v>749</v>
      </c>
      <c r="B610" s="473" t="s">
        <v>10270</v>
      </c>
      <c r="C610" s="473" t="s">
        <v>40</v>
      </c>
      <c r="D610" s="473" t="s">
        <v>41</v>
      </c>
      <c r="E610" s="361">
        <v>10014.86</v>
      </c>
    </row>
    <row r="611" spans="1:5">
      <c r="A611" s="473">
        <v>756</v>
      </c>
      <c r="B611" s="473" t="s">
        <v>10271</v>
      </c>
      <c r="C611" s="473" t="s">
        <v>40</v>
      </c>
      <c r="D611" s="473" t="s">
        <v>41</v>
      </c>
      <c r="E611" s="361">
        <v>29698.46</v>
      </c>
    </row>
    <row r="612" spans="1:5">
      <c r="A612" s="473">
        <v>757</v>
      </c>
      <c r="B612" s="473" t="s">
        <v>10272</v>
      </c>
      <c r="C612" s="473" t="s">
        <v>40</v>
      </c>
      <c r="D612" s="473" t="s">
        <v>41</v>
      </c>
      <c r="E612" s="361">
        <v>13485</v>
      </c>
    </row>
    <row r="613" spans="1:5">
      <c r="A613" s="473">
        <v>10588</v>
      </c>
      <c r="B613" s="473" t="s">
        <v>10273</v>
      </c>
      <c r="C613" s="473" t="s">
        <v>40</v>
      </c>
      <c r="D613" s="473" t="s">
        <v>41</v>
      </c>
      <c r="E613" s="361">
        <v>2977.15</v>
      </c>
    </row>
    <row r="614" spans="1:5">
      <c r="A614" s="473">
        <v>10592</v>
      </c>
      <c r="B614" s="473" t="s">
        <v>10274</v>
      </c>
      <c r="C614" s="473" t="s">
        <v>40</v>
      </c>
      <c r="D614" s="473" t="s">
        <v>44</v>
      </c>
      <c r="E614" s="361">
        <v>3596</v>
      </c>
    </row>
    <row r="615" spans="1:5">
      <c r="A615" s="473">
        <v>10589</v>
      </c>
      <c r="B615" s="473" t="s">
        <v>10275</v>
      </c>
      <c r="C615" s="473" t="s">
        <v>40</v>
      </c>
      <c r="D615" s="473" t="s">
        <v>41</v>
      </c>
      <c r="E615" s="361">
        <v>4831</v>
      </c>
    </row>
    <row r="616" spans="1:5">
      <c r="A616" s="473">
        <v>760</v>
      </c>
      <c r="B616" s="473" t="s">
        <v>10276</v>
      </c>
      <c r="C616" s="473" t="s">
        <v>40</v>
      </c>
      <c r="D616" s="473" t="s">
        <v>41</v>
      </c>
      <c r="E616" s="361">
        <v>26970</v>
      </c>
    </row>
    <row r="617" spans="1:5">
      <c r="A617" s="473">
        <v>751</v>
      </c>
      <c r="B617" s="473" t="s">
        <v>10277</v>
      </c>
      <c r="C617" s="473" t="s">
        <v>40</v>
      </c>
      <c r="D617" s="473" t="s">
        <v>41</v>
      </c>
      <c r="E617" s="361">
        <v>4247.7700000000004</v>
      </c>
    </row>
    <row r="618" spans="1:5">
      <c r="A618" s="473">
        <v>754</v>
      </c>
      <c r="B618" s="473" t="s">
        <v>10278</v>
      </c>
      <c r="C618" s="473" t="s">
        <v>40</v>
      </c>
      <c r="D618" s="473" t="s">
        <v>41</v>
      </c>
      <c r="E618" s="361">
        <v>6742.5</v>
      </c>
    </row>
    <row r="619" spans="1:5">
      <c r="A619" s="473">
        <v>14013</v>
      </c>
      <c r="B619" s="473" t="s">
        <v>10279</v>
      </c>
      <c r="C619" s="473" t="s">
        <v>40</v>
      </c>
      <c r="D619" s="473" t="s">
        <v>41</v>
      </c>
      <c r="E619" s="361">
        <v>141701.74</v>
      </c>
    </row>
    <row r="620" spans="1:5">
      <c r="A620" s="473">
        <v>39917</v>
      </c>
      <c r="B620" s="473" t="s">
        <v>10280</v>
      </c>
      <c r="C620" s="473" t="s">
        <v>40</v>
      </c>
      <c r="D620" s="473" t="s">
        <v>41</v>
      </c>
      <c r="E620" s="361">
        <v>64398.92</v>
      </c>
    </row>
    <row r="621" spans="1:5">
      <c r="A621" s="473">
        <v>5081</v>
      </c>
      <c r="B621" s="473" t="s">
        <v>10281</v>
      </c>
      <c r="C621" s="473" t="s">
        <v>42</v>
      </c>
      <c r="D621" s="473" t="s">
        <v>41</v>
      </c>
      <c r="E621" s="361">
        <v>19.260000000000002</v>
      </c>
    </row>
    <row r="622" spans="1:5">
      <c r="A622" s="473">
        <v>38167</v>
      </c>
      <c r="B622" s="473" t="s">
        <v>10282</v>
      </c>
      <c r="C622" s="473" t="s">
        <v>42</v>
      </c>
      <c r="D622" s="473" t="s">
        <v>41</v>
      </c>
      <c r="E622" s="361">
        <v>16.600000000000001</v>
      </c>
    </row>
    <row r="623" spans="1:5">
      <c r="A623" s="473">
        <v>36145</v>
      </c>
      <c r="B623" s="473" t="s">
        <v>10283</v>
      </c>
      <c r="C623" s="473" t="s">
        <v>42</v>
      </c>
      <c r="D623" s="473" t="s">
        <v>41</v>
      </c>
      <c r="E623" s="361">
        <v>32.25</v>
      </c>
    </row>
    <row r="624" spans="1:5">
      <c r="A624" s="473">
        <v>12893</v>
      </c>
      <c r="B624" s="473" t="s">
        <v>10284</v>
      </c>
      <c r="C624" s="473" t="s">
        <v>42</v>
      </c>
      <c r="D624" s="473" t="s">
        <v>41</v>
      </c>
      <c r="E624" s="361">
        <v>53.76</v>
      </c>
    </row>
    <row r="625" spans="1:5">
      <c r="A625" s="473">
        <v>11685</v>
      </c>
      <c r="B625" s="473" t="s">
        <v>10285</v>
      </c>
      <c r="C625" s="473" t="s">
        <v>40</v>
      </c>
      <c r="D625" s="473" t="s">
        <v>41</v>
      </c>
      <c r="E625" s="361">
        <v>16.05</v>
      </c>
    </row>
    <row r="626" spans="1:5">
      <c r="A626" s="473">
        <v>11679</v>
      </c>
      <c r="B626" s="473" t="s">
        <v>10286</v>
      </c>
      <c r="C626" s="473" t="s">
        <v>40</v>
      </c>
      <c r="D626" s="473" t="s">
        <v>41</v>
      </c>
      <c r="E626" s="361">
        <v>6.71</v>
      </c>
    </row>
    <row r="627" spans="1:5">
      <c r="A627" s="473">
        <v>11680</v>
      </c>
      <c r="B627" s="473" t="s">
        <v>10287</v>
      </c>
      <c r="C627" s="473" t="s">
        <v>40</v>
      </c>
      <c r="D627" s="473" t="s">
        <v>41</v>
      </c>
      <c r="E627" s="361">
        <v>5.53</v>
      </c>
    </row>
    <row r="628" spans="1:5">
      <c r="A628" s="473">
        <v>2512</v>
      </c>
      <c r="B628" s="473" t="s">
        <v>10288</v>
      </c>
      <c r="C628" s="473" t="s">
        <v>40</v>
      </c>
      <c r="D628" s="473" t="s">
        <v>47</v>
      </c>
      <c r="E628" s="361">
        <v>18.95</v>
      </c>
    </row>
    <row r="629" spans="1:5">
      <c r="A629" s="473">
        <v>4374</v>
      </c>
      <c r="B629" s="473" t="s">
        <v>10289</v>
      </c>
      <c r="C629" s="473" t="s">
        <v>40</v>
      </c>
      <c r="D629" s="473" t="s">
        <v>41</v>
      </c>
      <c r="E629" s="361">
        <v>0.37</v>
      </c>
    </row>
    <row r="630" spans="1:5">
      <c r="A630" s="473">
        <v>7568</v>
      </c>
      <c r="B630" s="473" t="s">
        <v>10290</v>
      </c>
      <c r="C630" s="473" t="s">
        <v>40</v>
      </c>
      <c r="D630" s="473" t="s">
        <v>41</v>
      </c>
      <c r="E630" s="361">
        <v>0.61</v>
      </c>
    </row>
    <row r="631" spans="1:5">
      <c r="A631" s="473">
        <v>7584</v>
      </c>
      <c r="B631" s="473" t="s">
        <v>10291</v>
      </c>
      <c r="C631" s="473" t="s">
        <v>40</v>
      </c>
      <c r="D631" s="473" t="s">
        <v>41</v>
      </c>
      <c r="E631" s="361">
        <v>0.93</v>
      </c>
    </row>
    <row r="632" spans="1:5">
      <c r="A632" s="473">
        <v>11945</v>
      </c>
      <c r="B632" s="473" t="s">
        <v>10292</v>
      </c>
      <c r="C632" s="473" t="s">
        <v>40</v>
      </c>
      <c r="D632" s="473" t="s">
        <v>41</v>
      </c>
      <c r="E632" s="361">
        <v>0.06</v>
      </c>
    </row>
    <row r="633" spans="1:5">
      <c r="A633" s="473">
        <v>11946</v>
      </c>
      <c r="B633" s="473" t="s">
        <v>10293</v>
      </c>
      <c r="C633" s="473" t="s">
        <v>40</v>
      </c>
      <c r="D633" s="473" t="s">
        <v>41</v>
      </c>
      <c r="E633" s="361">
        <v>0.06</v>
      </c>
    </row>
    <row r="634" spans="1:5">
      <c r="A634" s="473">
        <v>4375</v>
      </c>
      <c r="B634" s="473" t="s">
        <v>10294</v>
      </c>
      <c r="C634" s="473" t="s">
        <v>40</v>
      </c>
      <c r="D634" s="473" t="s">
        <v>44</v>
      </c>
      <c r="E634" s="361">
        <v>0.1</v>
      </c>
    </row>
    <row r="635" spans="1:5">
      <c r="A635" s="473">
        <v>11950</v>
      </c>
      <c r="B635" s="473" t="s">
        <v>10295</v>
      </c>
      <c r="C635" s="473" t="s">
        <v>40</v>
      </c>
      <c r="D635" s="473" t="s">
        <v>41</v>
      </c>
      <c r="E635" s="361">
        <v>0.2</v>
      </c>
    </row>
    <row r="636" spans="1:5">
      <c r="A636" s="473">
        <v>4376</v>
      </c>
      <c r="B636" s="473" t="s">
        <v>10296</v>
      </c>
      <c r="C636" s="473" t="s">
        <v>40</v>
      </c>
      <c r="D636" s="473" t="s">
        <v>41</v>
      </c>
      <c r="E636" s="361">
        <v>0.19</v>
      </c>
    </row>
    <row r="637" spans="1:5">
      <c r="A637" s="473">
        <v>7583</v>
      </c>
      <c r="B637" s="473" t="s">
        <v>10297</v>
      </c>
      <c r="C637" s="473" t="s">
        <v>40</v>
      </c>
      <c r="D637" s="473" t="s">
        <v>41</v>
      </c>
      <c r="E637" s="361">
        <v>0.41</v>
      </c>
    </row>
    <row r="638" spans="1:5">
      <c r="A638" s="473">
        <v>4350</v>
      </c>
      <c r="B638" s="473" t="s">
        <v>10298</v>
      </c>
      <c r="C638" s="473" t="s">
        <v>40</v>
      </c>
      <c r="D638" s="473" t="s">
        <v>41</v>
      </c>
      <c r="E638" s="361">
        <v>0.46</v>
      </c>
    </row>
    <row r="639" spans="1:5">
      <c r="A639" s="473">
        <v>39886</v>
      </c>
      <c r="B639" s="473" t="s">
        <v>10299</v>
      </c>
      <c r="C639" s="473" t="s">
        <v>40</v>
      </c>
      <c r="D639" s="473" t="s">
        <v>47</v>
      </c>
      <c r="E639" s="361">
        <v>3.43</v>
      </c>
    </row>
    <row r="640" spans="1:5">
      <c r="A640" s="473">
        <v>39887</v>
      </c>
      <c r="B640" s="473" t="s">
        <v>10300</v>
      </c>
      <c r="C640" s="473" t="s">
        <v>40</v>
      </c>
      <c r="D640" s="473" t="s">
        <v>47</v>
      </c>
      <c r="E640" s="361">
        <v>5.14</v>
      </c>
    </row>
    <row r="641" spans="1:5">
      <c r="A641" s="473">
        <v>39888</v>
      </c>
      <c r="B641" s="473" t="s">
        <v>10301</v>
      </c>
      <c r="C641" s="473" t="s">
        <v>40</v>
      </c>
      <c r="D641" s="473" t="s">
        <v>47</v>
      </c>
      <c r="E641" s="361">
        <v>11.76</v>
      </c>
    </row>
    <row r="642" spans="1:5">
      <c r="A642" s="473">
        <v>39890</v>
      </c>
      <c r="B642" s="473" t="s">
        <v>10302</v>
      </c>
      <c r="C642" s="473" t="s">
        <v>40</v>
      </c>
      <c r="D642" s="473" t="s">
        <v>47</v>
      </c>
      <c r="E642" s="361">
        <v>20.079999999999998</v>
      </c>
    </row>
    <row r="643" spans="1:5">
      <c r="A643" s="473">
        <v>39891</v>
      </c>
      <c r="B643" s="473" t="s">
        <v>10303</v>
      </c>
      <c r="C643" s="473" t="s">
        <v>40</v>
      </c>
      <c r="D643" s="473" t="s">
        <v>47</v>
      </c>
      <c r="E643" s="361">
        <v>28.31</v>
      </c>
    </row>
    <row r="644" spans="1:5">
      <c r="A644" s="473">
        <v>39892</v>
      </c>
      <c r="B644" s="473" t="s">
        <v>10304</v>
      </c>
      <c r="C644" s="473" t="s">
        <v>40</v>
      </c>
      <c r="D644" s="473" t="s">
        <v>47</v>
      </c>
      <c r="E644" s="361">
        <v>88.25</v>
      </c>
    </row>
    <row r="645" spans="1:5">
      <c r="A645" s="473">
        <v>790</v>
      </c>
      <c r="B645" s="473" t="s">
        <v>10305</v>
      </c>
      <c r="C645" s="473" t="s">
        <v>40</v>
      </c>
      <c r="D645" s="473" t="s">
        <v>41</v>
      </c>
      <c r="E645" s="361">
        <v>11.54</v>
      </c>
    </row>
    <row r="646" spans="1:5">
      <c r="A646" s="473">
        <v>766</v>
      </c>
      <c r="B646" s="473" t="s">
        <v>10306</v>
      </c>
      <c r="C646" s="473" t="s">
        <v>40</v>
      </c>
      <c r="D646" s="473" t="s">
        <v>41</v>
      </c>
      <c r="E646" s="361">
        <v>11.54</v>
      </c>
    </row>
    <row r="647" spans="1:5">
      <c r="A647" s="473">
        <v>791</v>
      </c>
      <c r="B647" s="473" t="s">
        <v>10307</v>
      </c>
      <c r="C647" s="473" t="s">
        <v>40</v>
      </c>
      <c r="D647" s="473" t="s">
        <v>41</v>
      </c>
      <c r="E647" s="361">
        <v>11.54</v>
      </c>
    </row>
    <row r="648" spans="1:5">
      <c r="A648" s="473">
        <v>767</v>
      </c>
      <c r="B648" s="473" t="s">
        <v>10308</v>
      </c>
      <c r="C648" s="473" t="s">
        <v>40</v>
      </c>
      <c r="D648" s="473" t="s">
        <v>41</v>
      </c>
      <c r="E648" s="361">
        <v>11.54</v>
      </c>
    </row>
    <row r="649" spans="1:5">
      <c r="A649" s="473">
        <v>768</v>
      </c>
      <c r="B649" s="473" t="s">
        <v>10309</v>
      </c>
      <c r="C649" s="473" t="s">
        <v>40</v>
      </c>
      <c r="D649" s="473" t="s">
        <v>41</v>
      </c>
      <c r="E649" s="361">
        <v>9.06</v>
      </c>
    </row>
    <row r="650" spans="1:5">
      <c r="A650" s="473">
        <v>789</v>
      </c>
      <c r="B650" s="473" t="s">
        <v>10310</v>
      </c>
      <c r="C650" s="473" t="s">
        <v>40</v>
      </c>
      <c r="D650" s="473" t="s">
        <v>41</v>
      </c>
      <c r="E650" s="361">
        <v>8.8699999999999992</v>
      </c>
    </row>
    <row r="651" spans="1:5">
      <c r="A651" s="473">
        <v>769</v>
      </c>
      <c r="B651" s="473" t="s">
        <v>10311</v>
      </c>
      <c r="C651" s="473" t="s">
        <v>40</v>
      </c>
      <c r="D651" s="473" t="s">
        <v>41</v>
      </c>
      <c r="E651" s="361">
        <v>9.06</v>
      </c>
    </row>
    <row r="652" spans="1:5">
      <c r="A652" s="473">
        <v>770</v>
      </c>
      <c r="B652" s="473" t="s">
        <v>10312</v>
      </c>
      <c r="C652" s="473" t="s">
        <v>40</v>
      </c>
      <c r="D652" s="473" t="s">
        <v>41</v>
      </c>
      <c r="E652" s="361">
        <v>3.2</v>
      </c>
    </row>
    <row r="653" spans="1:5">
      <c r="A653" s="473">
        <v>12394</v>
      </c>
      <c r="B653" s="473" t="s">
        <v>10313</v>
      </c>
      <c r="C653" s="473" t="s">
        <v>40</v>
      </c>
      <c r="D653" s="473" t="s">
        <v>41</v>
      </c>
      <c r="E653" s="361">
        <v>3.2</v>
      </c>
    </row>
    <row r="654" spans="1:5">
      <c r="A654" s="473">
        <v>764</v>
      </c>
      <c r="B654" s="473" t="s">
        <v>10314</v>
      </c>
      <c r="C654" s="473" t="s">
        <v>40</v>
      </c>
      <c r="D654" s="473" t="s">
        <v>44</v>
      </c>
      <c r="E654" s="361">
        <v>5.58</v>
      </c>
    </row>
    <row r="655" spans="1:5">
      <c r="A655" s="473">
        <v>765</v>
      </c>
      <c r="B655" s="473" t="s">
        <v>10315</v>
      </c>
      <c r="C655" s="473" t="s">
        <v>40</v>
      </c>
      <c r="D655" s="473" t="s">
        <v>41</v>
      </c>
      <c r="E655" s="361">
        <v>5.58</v>
      </c>
    </row>
    <row r="656" spans="1:5">
      <c r="A656" s="473">
        <v>787</v>
      </c>
      <c r="B656" s="473" t="s">
        <v>10316</v>
      </c>
      <c r="C656" s="473" t="s">
        <v>40</v>
      </c>
      <c r="D656" s="473" t="s">
        <v>41</v>
      </c>
      <c r="E656" s="361">
        <v>24.92</v>
      </c>
    </row>
    <row r="657" spans="1:5">
      <c r="A657" s="473">
        <v>774</v>
      </c>
      <c r="B657" s="473" t="s">
        <v>10317</v>
      </c>
      <c r="C657" s="473" t="s">
        <v>40</v>
      </c>
      <c r="D657" s="473" t="s">
        <v>41</v>
      </c>
      <c r="E657" s="361">
        <v>24.92</v>
      </c>
    </row>
    <row r="658" spans="1:5">
      <c r="A658" s="473">
        <v>773</v>
      </c>
      <c r="B658" s="473" t="s">
        <v>10318</v>
      </c>
      <c r="C658" s="473" t="s">
        <v>40</v>
      </c>
      <c r="D658" s="473" t="s">
        <v>41</v>
      </c>
      <c r="E658" s="361">
        <v>24.92</v>
      </c>
    </row>
    <row r="659" spans="1:5">
      <c r="A659" s="473">
        <v>775</v>
      </c>
      <c r="B659" s="473" t="s">
        <v>10319</v>
      </c>
      <c r="C659" s="473" t="s">
        <v>40</v>
      </c>
      <c r="D659" s="473" t="s">
        <v>41</v>
      </c>
      <c r="E659" s="361">
        <v>24.92</v>
      </c>
    </row>
    <row r="660" spans="1:5">
      <c r="A660" s="473">
        <v>788</v>
      </c>
      <c r="B660" s="473" t="s">
        <v>10320</v>
      </c>
      <c r="C660" s="473" t="s">
        <v>40</v>
      </c>
      <c r="D660" s="473" t="s">
        <v>41</v>
      </c>
      <c r="E660" s="361">
        <v>15.49</v>
      </c>
    </row>
    <row r="661" spans="1:5">
      <c r="A661" s="473">
        <v>772</v>
      </c>
      <c r="B661" s="473" t="s">
        <v>10321</v>
      </c>
      <c r="C661" s="473" t="s">
        <v>40</v>
      </c>
      <c r="D661" s="473" t="s">
        <v>41</v>
      </c>
      <c r="E661" s="361">
        <v>15.49</v>
      </c>
    </row>
    <row r="662" spans="1:5">
      <c r="A662" s="473">
        <v>771</v>
      </c>
      <c r="B662" s="473" t="s">
        <v>10322</v>
      </c>
      <c r="C662" s="473" t="s">
        <v>40</v>
      </c>
      <c r="D662" s="473" t="s">
        <v>41</v>
      </c>
      <c r="E662" s="361">
        <v>15.49</v>
      </c>
    </row>
    <row r="663" spans="1:5">
      <c r="A663" s="473">
        <v>779</v>
      </c>
      <c r="B663" s="473" t="s">
        <v>10323</v>
      </c>
      <c r="C663" s="473" t="s">
        <v>40</v>
      </c>
      <c r="D663" s="473" t="s">
        <v>41</v>
      </c>
      <c r="E663" s="361">
        <v>3.85</v>
      </c>
    </row>
    <row r="664" spans="1:5">
      <c r="A664" s="473">
        <v>776</v>
      </c>
      <c r="B664" s="473" t="s">
        <v>10324</v>
      </c>
      <c r="C664" s="473" t="s">
        <v>40</v>
      </c>
      <c r="D664" s="473" t="s">
        <v>41</v>
      </c>
      <c r="E664" s="361">
        <v>36.74</v>
      </c>
    </row>
    <row r="665" spans="1:5">
      <c r="A665" s="473">
        <v>777</v>
      </c>
      <c r="B665" s="473" t="s">
        <v>10325</v>
      </c>
      <c r="C665" s="473" t="s">
        <v>40</v>
      </c>
      <c r="D665" s="473" t="s">
        <v>41</v>
      </c>
      <c r="E665" s="361">
        <v>35.72</v>
      </c>
    </row>
    <row r="666" spans="1:5">
      <c r="A666" s="473">
        <v>780</v>
      </c>
      <c r="B666" s="473" t="s">
        <v>10326</v>
      </c>
      <c r="C666" s="473" t="s">
        <v>40</v>
      </c>
      <c r="D666" s="473" t="s">
        <v>41</v>
      </c>
      <c r="E666" s="361">
        <v>35.9</v>
      </c>
    </row>
    <row r="667" spans="1:5">
      <c r="A667" s="473">
        <v>778</v>
      </c>
      <c r="B667" s="473" t="s">
        <v>10327</v>
      </c>
      <c r="C667" s="473" t="s">
        <v>40</v>
      </c>
      <c r="D667" s="473" t="s">
        <v>41</v>
      </c>
      <c r="E667" s="361">
        <v>36.74</v>
      </c>
    </row>
    <row r="668" spans="1:5">
      <c r="A668" s="473">
        <v>781</v>
      </c>
      <c r="B668" s="473" t="s">
        <v>10328</v>
      </c>
      <c r="C668" s="473" t="s">
        <v>40</v>
      </c>
      <c r="D668" s="473" t="s">
        <v>41</v>
      </c>
      <c r="E668" s="361">
        <v>67.89</v>
      </c>
    </row>
    <row r="669" spans="1:5">
      <c r="A669" s="473">
        <v>786</v>
      </c>
      <c r="B669" s="473" t="s">
        <v>10329</v>
      </c>
      <c r="C669" s="473" t="s">
        <v>40</v>
      </c>
      <c r="D669" s="473" t="s">
        <v>41</v>
      </c>
      <c r="E669" s="361">
        <v>67.89</v>
      </c>
    </row>
    <row r="670" spans="1:5">
      <c r="A670" s="473">
        <v>782</v>
      </c>
      <c r="B670" s="473" t="s">
        <v>10330</v>
      </c>
      <c r="C670" s="473" t="s">
        <v>40</v>
      </c>
      <c r="D670" s="473" t="s">
        <v>41</v>
      </c>
      <c r="E670" s="361">
        <v>67.89</v>
      </c>
    </row>
    <row r="671" spans="1:5">
      <c r="A671" s="473">
        <v>783</v>
      </c>
      <c r="B671" s="473" t="s">
        <v>10331</v>
      </c>
      <c r="C671" s="473" t="s">
        <v>40</v>
      </c>
      <c r="D671" s="473" t="s">
        <v>41</v>
      </c>
      <c r="E671" s="361">
        <v>185.8</v>
      </c>
    </row>
    <row r="672" spans="1:5">
      <c r="A672" s="473">
        <v>785</v>
      </c>
      <c r="B672" s="473" t="s">
        <v>10332</v>
      </c>
      <c r="C672" s="473" t="s">
        <v>40</v>
      </c>
      <c r="D672" s="473" t="s">
        <v>41</v>
      </c>
      <c r="E672" s="361">
        <v>196.32</v>
      </c>
    </row>
    <row r="673" spans="1:5">
      <c r="A673" s="473">
        <v>784</v>
      </c>
      <c r="B673" s="473" t="s">
        <v>10333</v>
      </c>
      <c r="C673" s="473" t="s">
        <v>40</v>
      </c>
      <c r="D673" s="473" t="s">
        <v>41</v>
      </c>
      <c r="E673" s="361">
        <v>210.6</v>
      </c>
    </row>
    <row r="674" spans="1:5">
      <c r="A674" s="473">
        <v>831</v>
      </c>
      <c r="B674" s="473" t="s">
        <v>10334</v>
      </c>
      <c r="C674" s="473" t="s">
        <v>40</v>
      </c>
      <c r="D674" s="473" t="s">
        <v>41</v>
      </c>
      <c r="E674" s="361">
        <v>51.84</v>
      </c>
    </row>
    <row r="675" spans="1:5">
      <c r="A675" s="473">
        <v>828</v>
      </c>
      <c r="B675" s="473" t="s">
        <v>10335</v>
      </c>
      <c r="C675" s="473" t="s">
        <v>40</v>
      </c>
      <c r="D675" s="473" t="s">
        <v>41</v>
      </c>
      <c r="E675" s="361">
        <v>0.3</v>
      </c>
    </row>
    <row r="676" spans="1:5">
      <c r="A676" s="473">
        <v>829</v>
      </c>
      <c r="B676" s="473" t="s">
        <v>10336</v>
      </c>
      <c r="C676" s="473" t="s">
        <v>40</v>
      </c>
      <c r="D676" s="473" t="s">
        <v>41</v>
      </c>
      <c r="E676" s="361">
        <v>0.62</v>
      </c>
    </row>
    <row r="677" spans="1:5">
      <c r="A677" s="473">
        <v>812</v>
      </c>
      <c r="B677" s="473" t="s">
        <v>10337</v>
      </c>
      <c r="C677" s="473" t="s">
        <v>40</v>
      </c>
      <c r="D677" s="473" t="s">
        <v>41</v>
      </c>
      <c r="E677" s="361">
        <v>1.36</v>
      </c>
    </row>
    <row r="678" spans="1:5">
      <c r="A678" s="473">
        <v>819</v>
      </c>
      <c r="B678" s="473" t="s">
        <v>10338</v>
      </c>
      <c r="C678" s="473" t="s">
        <v>40</v>
      </c>
      <c r="D678" s="473" t="s">
        <v>41</v>
      </c>
      <c r="E678" s="361">
        <v>2.2400000000000002</v>
      </c>
    </row>
    <row r="679" spans="1:5">
      <c r="A679" s="473">
        <v>818</v>
      </c>
      <c r="B679" s="473" t="s">
        <v>10339</v>
      </c>
      <c r="C679" s="473" t="s">
        <v>40</v>
      </c>
      <c r="D679" s="473" t="s">
        <v>41</v>
      </c>
      <c r="E679" s="361">
        <v>3.76</v>
      </c>
    </row>
    <row r="680" spans="1:5">
      <c r="A680" s="473">
        <v>823</v>
      </c>
      <c r="B680" s="473" t="s">
        <v>10340</v>
      </c>
      <c r="C680" s="473" t="s">
        <v>40</v>
      </c>
      <c r="D680" s="473" t="s">
        <v>41</v>
      </c>
      <c r="E680" s="361">
        <v>11.34</v>
      </c>
    </row>
    <row r="681" spans="1:5">
      <c r="A681" s="473">
        <v>830</v>
      </c>
      <c r="B681" s="473" t="s">
        <v>10341</v>
      </c>
      <c r="C681" s="473" t="s">
        <v>40</v>
      </c>
      <c r="D681" s="473" t="s">
        <v>41</v>
      </c>
      <c r="E681" s="361">
        <v>9.34</v>
      </c>
    </row>
    <row r="682" spans="1:5">
      <c r="A682" s="473">
        <v>826</v>
      </c>
      <c r="B682" s="473" t="s">
        <v>10342</v>
      </c>
      <c r="C682" s="473" t="s">
        <v>40</v>
      </c>
      <c r="D682" s="473" t="s">
        <v>41</v>
      </c>
      <c r="E682" s="361">
        <v>29.07</v>
      </c>
    </row>
    <row r="683" spans="1:5">
      <c r="A683" s="473">
        <v>827</v>
      </c>
      <c r="B683" s="473" t="s">
        <v>10343</v>
      </c>
      <c r="C683" s="473" t="s">
        <v>40</v>
      </c>
      <c r="D683" s="473" t="s">
        <v>41</v>
      </c>
      <c r="E683" s="361">
        <v>24.56</v>
      </c>
    </row>
    <row r="684" spans="1:5">
      <c r="A684" s="473">
        <v>832</v>
      </c>
      <c r="B684" s="473" t="s">
        <v>10344</v>
      </c>
      <c r="C684" s="473" t="s">
        <v>40</v>
      </c>
      <c r="D684" s="473" t="s">
        <v>41</v>
      </c>
      <c r="E684" s="361">
        <v>1.7</v>
      </c>
    </row>
    <row r="685" spans="1:5">
      <c r="A685" s="473">
        <v>833</v>
      </c>
      <c r="B685" s="473" t="s">
        <v>10345</v>
      </c>
      <c r="C685" s="473" t="s">
        <v>40</v>
      </c>
      <c r="D685" s="473" t="s">
        <v>41</v>
      </c>
      <c r="E685" s="361">
        <v>2.41</v>
      </c>
    </row>
    <row r="686" spans="1:5">
      <c r="A686" s="473">
        <v>834</v>
      </c>
      <c r="B686" s="473" t="s">
        <v>10346</v>
      </c>
      <c r="C686" s="473" t="s">
        <v>40</v>
      </c>
      <c r="D686" s="473" t="s">
        <v>41</v>
      </c>
      <c r="E686" s="361">
        <v>2.64</v>
      </c>
    </row>
    <row r="687" spans="1:5">
      <c r="A687" s="473">
        <v>825</v>
      </c>
      <c r="B687" s="473" t="s">
        <v>10347</v>
      </c>
      <c r="C687" s="473" t="s">
        <v>40</v>
      </c>
      <c r="D687" s="473" t="s">
        <v>41</v>
      </c>
      <c r="E687" s="361">
        <v>2.95</v>
      </c>
    </row>
    <row r="688" spans="1:5">
      <c r="A688" s="473">
        <v>813</v>
      </c>
      <c r="B688" s="473" t="s">
        <v>10348</v>
      </c>
      <c r="C688" s="473" t="s">
        <v>40</v>
      </c>
      <c r="D688" s="473" t="s">
        <v>41</v>
      </c>
      <c r="E688" s="361">
        <v>2.89</v>
      </c>
    </row>
    <row r="689" spans="1:5">
      <c r="A689" s="473">
        <v>820</v>
      </c>
      <c r="B689" s="473" t="s">
        <v>10349</v>
      </c>
      <c r="C689" s="473" t="s">
        <v>40</v>
      </c>
      <c r="D689" s="473" t="s">
        <v>41</v>
      </c>
      <c r="E689" s="361">
        <v>3.67</v>
      </c>
    </row>
    <row r="690" spans="1:5">
      <c r="A690" s="473">
        <v>816</v>
      </c>
      <c r="B690" s="473" t="s">
        <v>10350</v>
      </c>
      <c r="C690" s="473" t="s">
        <v>40</v>
      </c>
      <c r="D690" s="473" t="s">
        <v>41</v>
      </c>
      <c r="E690" s="361">
        <v>6.26</v>
      </c>
    </row>
    <row r="691" spans="1:5">
      <c r="A691" s="473">
        <v>814</v>
      </c>
      <c r="B691" s="473" t="s">
        <v>10351</v>
      </c>
      <c r="C691" s="473" t="s">
        <v>40</v>
      </c>
      <c r="D691" s="473" t="s">
        <v>41</v>
      </c>
      <c r="E691" s="361">
        <v>7.56</v>
      </c>
    </row>
    <row r="692" spans="1:5">
      <c r="A692" s="473">
        <v>815</v>
      </c>
      <c r="B692" s="473" t="s">
        <v>10352</v>
      </c>
      <c r="C692" s="473" t="s">
        <v>40</v>
      </c>
      <c r="D692" s="473" t="s">
        <v>41</v>
      </c>
      <c r="E692" s="361">
        <v>8.17</v>
      </c>
    </row>
    <row r="693" spans="1:5">
      <c r="A693" s="473">
        <v>822</v>
      </c>
      <c r="B693" s="473" t="s">
        <v>10353</v>
      </c>
      <c r="C693" s="473" t="s">
        <v>40</v>
      </c>
      <c r="D693" s="473" t="s">
        <v>41</v>
      </c>
      <c r="E693" s="361">
        <v>9.9499999999999993</v>
      </c>
    </row>
    <row r="694" spans="1:5">
      <c r="A694" s="473">
        <v>821</v>
      </c>
      <c r="B694" s="473" t="s">
        <v>10354</v>
      </c>
      <c r="C694" s="473" t="s">
        <v>40</v>
      </c>
      <c r="D694" s="473" t="s">
        <v>41</v>
      </c>
      <c r="E694" s="361">
        <v>11.63</v>
      </c>
    </row>
    <row r="695" spans="1:5">
      <c r="A695" s="473">
        <v>817</v>
      </c>
      <c r="B695" s="473" t="s">
        <v>10355</v>
      </c>
      <c r="C695" s="473" t="s">
        <v>40</v>
      </c>
      <c r="D695" s="473" t="s">
        <v>41</v>
      </c>
      <c r="E695" s="361">
        <v>13.83</v>
      </c>
    </row>
    <row r="696" spans="1:5">
      <c r="A696" s="473">
        <v>20086</v>
      </c>
      <c r="B696" s="473" t="s">
        <v>10356</v>
      </c>
      <c r="C696" s="473" t="s">
        <v>40</v>
      </c>
      <c r="D696" s="473" t="s">
        <v>41</v>
      </c>
      <c r="E696" s="361">
        <v>1.35</v>
      </c>
    </row>
    <row r="697" spans="1:5">
      <c r="A697" s="473">
        <v>39191</v>
      </c>
      <c r="B697" s="473" t="s">
        <v>10357</v>
      </c>
      <c r="C697" s="473" t="s">
        <v>40</v>
      </c>
      <c r="D697" s="473" t="s">
        <v>41</v>
      </c>
      <c r="E697" s="361">
        <v>11.14</v>
      </c>
    </row>
    <row r="698" spans="1:5">
      <c r="A698" s="473">
        <v>39190</v>
      </c>
      <c r="B698" s="473" t="s">
        <v>10358</v>
      </c>
      <c r="C698" s="473" t="s">
        <v>40</v>
      </c>
      <c r="D698" s="473" t="s">
        <v>41</v>
      </c>
      <c r="E698" s="361">
        <v>11.64</v>
      </c>
    </row>
    <row r="699" spans="1:5">
      <c r="A699" s="473">
        <v>39189</v>
      </c>
      <c r="B699" s="473" t="s">
        <v>10359</v>
      </c>
      <c r="C699" s="473" t="s">
        <v>40</v>
      </c>
      <c r="D699" s="473" t="s">
        <v>41</v>
      </c>
      <c r="E699" s="361">
        <v>12.32</v>
      </c>
    </row>
    <row r="700" spans="1:5">
      <c r="A700" s="473">
        <v>39186</v>
      </c>
      <c r="B700" s="473" t="s">
        <v>10360</v>
      </c>
      <c r="C700" s="473" t="s">
        <v>40</v>
      </c>
      <c r="D700" s="473" t="s">
        <v>41</v>
      </c>
      <c r="E700" s="361">
        <v>11.02</v>
      </c>
    </row>
    <row r="701" spans="1:5">
      <c r="A701" s="473">
        <v>39188</v>
      </c>
      <c r="B701" s="473" t="s">
        <v>10361</v>
      </c>
      <c r="C701" s="473" t="s">
        <v>40</v>
      </c>
      <c r="D701" s="473" t="s">
        <v>41</v>
      </c>
      <c r="E701" s="361">
        <v>9.07</v>
      </c>
    </row>
    <row r="702" spans="1:5">
      <c r="A702" s="473">
        <v>39187</v>
      </c>
      <c r="B702" s="473" t="s">
        <v>10362</v>
      </c>
      <c r="C702" s="473" t="s">
        <v>40</v>
      </c>
      <c r="D702" s="473" t="s">
        <v>41</v>
      </c>
      <c r="E702" s="361">
        <v>9.51</v>
      </c>
    </row>
    <row r="703" spans="1:5">
      <c r="A703" s="473">
        <v>39184</v>
      </c>
      <c r="B703" s="473" t="s">
        <v>10363</v>
      </c>
      <c r="C703" s="473" t="s">
        <v>40</v>
      </c>
      <c r="D703" s="473" t="s">
        <v>41</v>
      </c>
      <c r="E703" s="361">
        <v>3.57</v>
      </c>
    </row>
    <row r="704" spans="1:5">
      <c r="A704" s="473">
        <v>39185</v>
      </c>
      <c r="B704" s="473" t="s">
        <v>10364</v>
      </c>
      <c r="C704" s="473" t="s">
        <v>40</v>
      </c>
      <c r="D704" s="473" t="s">
        <v>41</v>
      </c>
      <c r="E704" s="361">
        <v>3.26</v>
      </c>
    </row>
    <row r="705" spans="1:5">
      <c r="A705" s="473">
        <v>39198</v>
      </c>
      <c r="B705" s="473" t="s">
        <v>10365</v>
      </c>
      <c r="C705" s="473" t="s">
        <v>40</v>
      </c>
      <c r="D705" s="473" t="s">
        <v>41</v>
      </c>
      <c r="E705" s="361">
        <v>36.57</v>
      </c>
    </row>
    <row r="706" spans="1:5">
      <c r="A706" s="473">
        <v>39197</v>
      </c>
      <c r="B706" s="473" t="s">
        <v>10366</v>
      </c>
      <c r="C706" s="473" t="s">
        <v>40</v>
      </c>
      <c r="D706" s="473" t="s">
        <v>41</v>
      </c>
      <c r="E706" s="361">
        <v>38.200000000000003</v>
      </c>
    </row>
    <row r="707" spans="1:5">
      <c r="A707" s="473">
        <v>39196</v>
      </c>
      <c r="B707" s="473" t="s">
        <v>10367</v>
      </c>
      <c r="C707" s="473" t="s">
        <v>40</v>
      </c>
      <c r="D707" s="473" t="s">
        <v>41</v>
      </c>
      <c r="E707" s="361">
        <v>39.4</v>
      </c>
    </row>
    <row r="708" spans="1:5">
      <c r="A708" s="473">
        <v>39199</v>
      </c>
      <c r="B708" s="473" t="s">
        <v>10368</v>
      </c>
      <c r="C708" s="473" t="s">
        <v>40</v>
      </c>
      <c r="D708" s="473" t="s">
        <v>41</v>
      </c>
      <c r="E708" s="361">
        <v>35.19</v>
      </c>
    </row>
    <row r="709" spans="1:5">
      <c r="A709" s="473">
        <v>39195</v>
      </c>
      <c r="B709" s="473" t="s">
        <v>10369</v>
      </c>
      <c r="C709" s="473" t="s">
        <v>40</v>
      </c>
      <c r="D709" s="473" t="s">
        <v>41</v>
      </c>
      <c r="E709" s="361">
        <v>20.309999999999999</v>
      </c>
    </row>
    <row r="710" spans="1:5">
      <c r="A710" s="473">
        <v>39194</v>
      </c>
      <c r="B710" s="473" t="s">
        <v>10370</v>
      </c>
      <c r="C710" s="473" t="s">
        <v>40</v>
      </c>
      <c r="D710" s="473" t="s">
        <v>41</v>
      </c>
      <c r="E710" s="361">
        <v>21.74</v>
      </c>
    </row>
    <row r="711" spans="1:5">
      <c r="A711" s="473">
        <v>39193</v>
      </c>
      <c r="B711" s="473" t="s">
        <v>10371</v>
      </c>
      <c r="C711" s="473" t="s">
        <v>40</v>
      </c>
      <c r="D711" s="473" t="s">
        <v>41</v>
      </c>
      <c r="E711" s="361">
        <v>23.82</v>
      </c>
    </row>
    <row r="712" spans="1:5">
      <c r="A712" s="473">
        <v>39192</v>
      </c>
      <c r="B712" s="473" t="s">
        <v>10372</v>
      </c>
      <c r="C712" s="473" t="s">
        <v>40</v>
      </c>
      <c r="D712" s="473" t="s">
        <v>41</v>
      </c>
      <c r="E712" s="361">
        <v>24.78</v>
      </c>
    </row>
    <row r="713" spans="1:5">
      <c r="A713" s="473">
        <v>39920</v>
      </c>
      <c r="B713" s="473" t="s">
        <v>10373</v>
      </c>
      <c r="C713" s="473" t="s">
        <v>40</v>
      </c>
      <c r="D713" s="473" t="s">
        <v>41</v>
      </c>
      <c r="E713" s="361">
        <v>3</v>
      </c>
    </row>
    <row r="714" spans="1:5">
      <c r="A714" s="473">
        <v>39201</v>
      </c>
      <c r="B714" s="473" t="s">
        <v>10374</v>
      </c>
      <c r="C714" s="473" t="s">
        <v>40</v>
      </c>
      <c r="D714" s="473" t="s">
        <v>41</v>
      </c>
      <c r="E714" s="361">
        <v>43.72</v>
      </c>
    </row>
    <row r="715" spans="1:5">
      <c r="A715" s="473">
        <v>39200</v>
      </c>
      <c r="B715" s="473" t="s">
        <v>10375</v>
      </c>
      <c r="C715" s="473" t="s">
        <v>40</v>
      </c>
      <c r="D715" s="473" t="s">
        <v>41</v>
      </c>
      <c r="E715" s="361">
        <v>44.07</v>
      </c>
    </row>
    <row r="716" spans="1:5">
      <c r="A716" s="473">
        <v>39203</v>
      </c>
      <c r="B716" s="473" t="s">
        <v>10376</v>
      </c>
      <c r="C716" s="473" t="s">
        <v>40</v>
      </c>
      <c r="D716" s="473" t="s">
        <v>41</v>
      </c>
      <c r="E716" s="361">
        <v>35.590000000000003</v>
      </c>
    </row>
    <row r="717" spans="1:5">
      <c r="A717" s="473">
        <v>39202</v>
      </c>
      <c r="B717" s="473" t="s">
        <v>10377</v>
      </c>
      <c r="C717" s="473" t="s">
        <v>40</v>
      </c>
      <c r="D717" s="473" t="s">
        <v>41</v>
      </c>
      <c r="E717" s="361">
        <v>41.8</v>
      </c>
    </row>
    <row r="718" spans="1:5">
      <c r="A718" s="473">
        <v>39205</v>
      </c>
      <c r="B718" s="473" t="s">
        <v>10378</v>
      </c>
      <c r="C718" s="473" t="s">
        <v>40</v>
      </c>
      <c r="D718" s="473" t="s">
        <v>41</v>
      </c>
      <c r="E718" s="361">
        <v>69.75</v>
      </c>
    </row>
    <row r="719" spans="1:5">
      <c r="A719" s="473">
        <v>39204</v>
      </c>
      <c r="B719" s="473" t="s">
        <v>10379</v>
      </c>
      <c r="C719" s="473" t="s">
        <v>40</v>
      </c>
      <c r="D719" s="473" t="s">
        <v>41</v>
      </c>
      <c r="E719" s="361">
        <v>71.430000000000007</v>
      </c>
    </row>
    <row r="720" spans="1:5">
      <c r="A720" s="473">
        <v>39206</v>
      </c>
      <c r="B720" s="473" t="s">
        <v>10380</v>
      </c>
      <c r="C720" s="473" t="s">
        <v>40</v>
      </c>
      <c r="D720" s="473" t="s">
        <v>41</v>
      </c>
      <c r="E720" s="361">
        <v>67.77</v>
      </c>
    </row>
    <row r="721" spans="1:5">
      <c r="A721" s="473">
        <v>797</v>
      </c>
      <c r="B721" s="473" t="s">
        <v>10381</v>
      </c>
      <c r="C721" s="473" t="s">
        <v>40</v>
      </c>
      <c r="D721" s="473" t="s">
        <v>41</v>
      </c>
      <c r="E721" s="361">
        <v>5.41</v>
      </c>
    </row>
    <row r="722" spans="1:5">
      <c r="A722" s="473">
        <v>798</v>
      </c>
      <c r="B722" s="473" t="s">
        <v>10382</v>
      </c>
      <c r="C722" s="473" t="s">
        <v>40</v>
      </c>
      <c r="D722" s="473" t="s">
        <v>41</v>
      </c>
      <c r="E722" s="361">
        <v>0.74</v>
      </c>
    </row>
    <row r="723" spans="1:5">
      <c r="A723" s="473">
        <v>796</v>
      </c>
      <c r="B723" s="473" t="s">
        <v>10383</v>
      </c>
      <c r="C723" s="473" t="s">
        <v>40</v>
      </c>
      <c r="D723" s="473" t="s">
        <v>41</v>
      </c>
      <c r="E723" s="361">
        <v>5.18</v>
      </c>
    </row>
    <row r="724" spans="1:5">
      <c r="A724" s="473">
        <v>799</v>
      </c>
      <c r="B724" s="473" t="s">
        <v>10384</v>
      </c>
      <c r="C724" s="473" t="s">
        <v>40</v>
      </c>
      <c r="D724" s="473" t="s">
        <v>41</v>
      </c>
      <c r="E724" s="361">
        <v>2.44</v>
      </c>
    </row>
    <row r="725" spans="1:5">
      <c r="A725" s="473">
        <v>792</v>
      </c>
      <c r="B725" s="473" t="s">
        <v>10385</v>
      </c>
      <c r="C725" s="473" t="s">
        <v>40</v>
      </c>
      <c r="D725" s="473" t="s">
        <v>41</v>
      </c>
      <c r="E725" s="361">
        <v>2.4700000000000002</v>
      </c>
    </row>
    <row r="726" spans="1:5">
      <c r="A726" s="473">
        <v>804</v>
      </c>
      <c r="B726" s="473" t="s">
        <v>10386</v>
      </c>
      <c r="C726" s="473" t="s">
        <v>40</v>
      </c>
      <c r="D726" s="473" t="s">
        <v>41</v>
      </c>
      <c r="E726" s="361">
        <v>12.28</v>
      </c>
    </row>
    <row r="727" spans="1:5">
      <c r="A727" s="473">
        <v>793</v>
      </c>
      <c r="B727" s="473" t="s">
        <v>10387</v>
      </c>
      <c r="C727" s="473" t="s">
        <v>40</v>
      </c>
      <c r="D727" s="473" t="s">
        <v>41</v>
      </c>
      <c r="E727" s="361">
        <v>5.27</v>
      </c>
    </row>
    <row r="728" spans="1:5">
      <c r="A728" s="473">
        <v>801</v>
      </c>
      <c r="B728" s="473" t="s">
        <v>10388</v>
      </c>
      <c r="C728" s="473" t="s">
        <v>40</v>
      </c>
      <c r="D728" s="473" t="s">
        <v>41</v>
      </c>
      <c r="E728" s="361">
        <v>3.76</v>
      </c>
    </row>
    <row r="729" spans="1:5">
      <c r="A729" s="473">
        <v>794</v>
      </c>
      <c r="B729" s="473" t="s">
        <v>10389</v>
      </c>
      <c r="C729" s="473" t="s">
        <v>40</v>
      </c>
      <c r="D729" s="473" t="s">
        <v>41</v>
      </c>
      <c r="E729" s="361">
        <v>3.88</v>
      </c>
    </row>
    <row r="730" spans="1:5">
      <c r="A730" s="473">
        <v>802</v>
      </c>
      <c r="B730" s="473" t="s">
        <v>10390</v>
      </c>
      <c r="C730" s="473" t="s">
        <v>40</v>
      </c>
      <c r="D730" s="473" t="s">
        <v>41</v>
      </c>
      <c r="E730" s="361">
        <v>10.83</v>
      </c>
    </row>
    <row r="731" spans="1:5">
      <c r="A731" s="473">
        <v>803</v>
      </c>
      <c r="B731" s="473" t="s">
        <v>10391</v>
      </c>
      <c r="C731" s="473" t="s">
        <v>40</v>
      </c>
      <c r="D731" s="473" t="s">
        <v>41</v>
      </c>
      <c r="E731" s="361">
        <v>9.4499999999999993</v>
      </c>
    </row>
    <row r="732" spans="1:5">
      <c r="A732" s="473">
        <v>38001</v>
      </c>
      <c r="B732" s="473" t="s">
        <v>10392</v>
      </c>
      <c r="C732" s="473" t="s">
        <v>40</v>
      </c>
      <c r="D732" s="473" t="s">
        <v>41</v>
      </c>
      <c r="E732" s="361">
        <v>0.52</v>
      </c>
    </row>
    <row r="733" spans="1:5">
      <c r="A733" s="473">
        <v>38002</v>
      </c>
      <c r="B733" s="473" t="s">
        <v>10393</v>
      </c>
      <c r="C733" s="473" t="s">
        <v>40</v>
      </c>
      <c r="D733" s="473" t="s">
        <v>41</v>
      </c>
      <c r="E733" s="361">
        <v>0.97</v>
      </c>
    </row>
    <row r="734" spans="1:5">
      <c r="A734" s="473">
        <v>38003</v>
      </c>
      <c r="B734" s="473" t="s">
        <v>10394</v>
      </c>
      <c r="C734" s="473" t="s">
        <v>40</v>
      </c>
      <c r="D734" s="473" t="s">
        <v>41</v>
      </c>
      <c r="E734" s="361">
        <v>11.65</v>
      </c>
    </row>
    <row r="735" spans="1:5">
      <c r="A735" s="473">
        <v>38004</v>
      </c>
      <c r="B735" s="473" t="s">
        <v>10395</v>
      </c>
      <c r="C735" s="473" t="s">
        <v>40</v>
      </c>
      <c r="D735" s="473" t="s">
        <v>41</v>
      </c>
      <c r="E735" s="361">
        <v>15.58</v>
      </c>
    </row>
    <row r="736" spans="1:5">
      <c r="A736" s="473">
        <v>36327</v>
      </c>
      <c r="B736" s="473" t="s">
        <v>10396</v>
      </c>
      <c r="C736" s="473" t="s">
        <v>40</v>
      </c>
      <c r="D736" s="473" t="s">
        <v>47</v>
      </c>
      <c r="E736" s="361">
        <v>1.38</v>
      </c>
    </row>
    <row r="737" spans="1:5">
      <c r="A737" s="473">
        <v>38992</v>
      </c>
      <c r="B737" s="473" t="s">
        <v>10397</v>
      </c>
      <c r="C737" s="473" t="s">
        <v>40</v>
      </c>
      <c r="D737" s="473" t="s">
        <v>47</v>
      </c>
      <c r="E737" s="361">
        <v>2.2000000000000002</v>
      </c>
    </row>
    <row r="738" spans="1:5">
      <c r="A738" s="473">
        <v>38993</v>
      </c>
      <c r="B738" s="473" t="s">
        <v>10398</v>
      </c>
      <c r="C738" s="473" t="s">
        <v>40</v>
      </c>
      <c r="D738" s="473" t="s">
        <v>47</v>
      </c>
      <c r="E738" s="361">
        <v>6.28</v>
      </c>
    </row>
    <row r="739" spans="1:5">
      <c r="A739" s="473">
        <v>38418</v>
      </c>
      <c r="B739" s="473" t="s">
        <v>10399</v>
      </c>
      <c r="C739" s="473" t="s">
        <v>40</v>
      </c>
      <c r="D739" s="473" t="s">
        <v>41</v>
      </c>
      <c r="E739" s="361">
        <v>3.92</v>
      </c>
    </row>
    <row r="740" spans="1:5">
      <c r="A740" s="473">
        <v>39178</v>
      </c>
      <c r="B740" s="473" t="s">
        <v>10400</v>
      </c>
      <c r="C740" s="473" t="s">
        <v>40</v>
      </c>
      <c r="D740" s="473" t="s">
        <v>41</v>
      </c>
      <c r="E740" s="361">
        <v>1.2</v>
      </c>
    </row>
    <row r="741" spans="1:5">
      <c r="A741" s="473">
        <v>39177</v>
      </c>
      <c r="B741" s="473" t="s">
        <v>10401</v>
      </c>
      <c r="C741" s="473" t="s">
        <v>40</v>
      </c>
      <c r="D741" s="473" t="s">
        <v>41</v>
      </c>
      <c r="E741" s="361">
        <v>1.0900000000000001</v>
      </c>
    </row>
    <row r="742" spans="1:5">
      <c r="A742" s="473">
        <v>39174</v>
      </c>
      <c r="B742" s="473" t="s">
        <v>10402</v>
      </c>
      <c r="C742" s="473" t="s">
        <v>40</v>
      </c>
      <c r="D742" s="473" t="s">
        <v>41</v>
      </c>
      <c r="E742" s="361">
        <v>0.54</v>
      </c>
    </row>
    <row r="743" spans="1:5">
      <c r="A743" s="473">
        <v>39176</v>
      </c>
      <c r="B743" s="473" t="s">
        <v>10403</v>
      </c>
      <c r="C743" s="473" t="s">
        <v>40</v>
      </c>
      <c r="D743" s="473" t="s">
        <v>41</v>
      </c>
      <c r="E743" s="361">
        <v>0.71</v>
      </c>
    </row>
    <row r="744" spans="1:5">
      <c r="A744" s="473">
        <v>39180</v>
      </c>
      <c r="B744" s="473" t="s">
        <v>10404</v>
      </c>
      <c r="C744" s="473" t="s">
        <v>40</v>
      </c>
      <c r="D744" s="473" t="s">
        <v>41</v>
      </c>
      <c r="E744" s="361">
        <v>3.27</v>
      </c>
    </row>
    <row r="745" spans="1:5">
      <c r="A745" s="473">
        <v>39179</v>
      </c>
      <c r="B745" s="473" t="s">
        <v>10405</v>
      </c>
      <c r="C745" s="473" t="s">
        <v>40</v>
      </c>
      <c r="D745" s="473" t="s">
        <v>41</v>
      </c>
      <c r="E745" s="361">
        <v>2.89</v>
      </c>
    </row>
    <row r="746" spans="1:5">
      <c r="A746" s="473">
        <v>39175</v>
      </c>
      <c r="B746" s="473" t="s">
        <v>10406</v>
      </c>
      <c r="C746" s="473" t="s">
        <v>40</v>
      </c>
      <c r="D746" s="473" t="s">
        <v>41</v>
      </c>
      <c r="E746" s="361">
        <v>0.66</v>
      </c>
    </row>
    <row r="747" spans="1:5">
      <c r="A747" s="473">
        <v>39217</v>
      </c>
      <c r="B747" s="473" t="s">
        <v>10407</v>
      </c>
      <c r="C747" s="473" t="s">
        <v>40</v>
      </c>
      <c r="D747" s="473" t="s">
        <v>41</v>
      </c>
      <c r="E747" s="361">
        <v>0.51</v>
      </c>
    </row>
    <row r="748" spans="1:5">
      <c r="A748" s="473">
        <v>39181</v>
      </c>
      <c r="B748" s="473" t="s">
        <v>10408</v>
      </c>
      <c r="C748" s="473" t="s">
        <v>40</v>
      </c>
      <c r="D748" s="473" t="s">
        <v>41</v>
      </c>
      <c r="E748" s="361">
        <v>4.3899999999999997</v>
      </c>
    </row>
    <row r="749" spans="1:5">
      <c r="A749" s="473">
        <v>39182</v>
      </c>
      <c r="B749" s="473" t="s">
        <v>10409</v>
      </c>
      <c r="C749" s="473" t="s">
        <v>40</v>
      </c>
      <c r="D749" s="473" t="s">
        <v>41</v>
      </c>
      <c r="E749" s="361">
        <v>6.17</v>
      </c>
    </row>
    <row r="750" spans="1:5">
      <c r="A750" s="473">
        <v>12616</v>
      </c>
      <c r="B750" s="473" t="s">
        <v>10410</v>
      </c>
      <c r="C750" s="473" t="s">
        <v>40</v>
      </c>
      <c r="D750" s="473" t="s">
        <v>47</v>
      </c>
      <c r="E750" s="361">
        <v>5.0999999999999996</v>
      </c>
    </row>
    <row r="751" spans="1:5">
      <c r="A751" s="473">
        <v>1049</v>
      </c>
      <c r="B751" s="473" t="s">
        <v>10411</v>
      </c>
      <c r="C751" s="473" t="s">
        <v>40</v>
      </c>
      <c r="D751" s="473" t="s">
        <v>41</v>
      </c>
      <c r="E751" s="361">
        <v>5.16</v>
      </c>
    </row>
    <row r="752" spans="1:5">
      <c r="A752" s="473">
        <v>1099</v>
      </c>
      <c r="B752" s="473" t="s">
        <v>10412</v>
      </c>
      <c r="C752" s="473" t="s">
        <v>40</v>
      </c>
      <c r="D752" s="473" t="s">
        <v>41</v>
      </c>
      <c r="E752" s="361">
        <v>3.95</v>
      </c>
    </row>
    <row r="753" spans="1:5">
      <c r="A753" s="473">
        <v>39678</v>
      </c>
      <c r="B753" s="473" t="s">
        <v>10413</v>
      </c>
      <c r="C753" s="473" t="s">
        <v>40</v>
      </c>
      <c r="D753" s="473" t="s">
        <v>41</v>
      </c>
      <c r="E753" s="361">
        <v>1.59</v>
      </c>
    </row>
    <row r="754" spans="1:5">
      <c r="A754" s="473">
        <v>1050</v>
      </c>
      <c r="B754" s="473" t="s">
        <v>10414</v>
      </c>
      <c r="C754" s="473" t="s">
        <v>40</v>
      </c>
      <c r="D754" s="473" t="s">
        <v>41</v>
      </c>
      <c r="E754" s="361">
        <v>2.7</v>
      </c>
    </row>
    <row r="755" spans="1:5">
      <c r="A755" s="473">
        <v>1101</v>
      </c>
      <c r="B755" s="473" t="s">
        <v>10415</v>
      </c>
      <c r="C755" s="473" t="s">
        <v>40</v>
      </c>
      <c r="D755" s="473" t="s">
        <v>41</v>
      </c>
      <c r="E755" s="361">
        <v>17.04</v>
      </c>
    </row>
    <row r="756" spans="1:5">
      <c r="A756" s="473">
        <v>1100</v>
      </c>
      <c r="B756" s="473" t="s">
        <v>10416</v>
      </c>
      <c r="C756" s="473" t="s">
        <v>40</v>
      </c>
      <c r="D756" s="473" t="s">
        <v>41</v>
      </c>
      <c r="E756" s="361">
        <v>8.7899999999999991</v>
      </c>
    </row>
    <row r="757" spans="1:5">
      <c r="A757" s="473">
        <v>39679</v>
      </c>
      <c r="B757" s="473" t="s">
        <v>10417</v>
      </c>
      <c r="C757" s="473" t="s">
        <v>40</v>
      </c>
      <c r="D757" s="473" t="s">
        <v>41</v>
      </c>
      <c r="E757" s="361">
        <v>33.97</v>
      </c>
    </row>
    <row r="758" spans="1:5">
      <c r="A758" s="473">
        <v>1098</v>
      </c>
      <c r="B758" s="473" t="s">
        <v>10418</v>
      </c>
      <c r="C758" s="473" t="s">
        <v>40</v>
      </c>
      <c r="D758" s="473" t="s">
        <v>41</v>
      </c>
      <c r="E758" s="361">
        <v>2.11</v>
      </c>
    </row>
    <row r="759" spans="1:5">
      <c r="A759" s="473">
        <v>1102</v>
      </c>
      <c r="B759" s="473" t="s">
        <v>10419</v>
      </c>
      <c r="C759" s="473" t="s">
        <v>40</v>
      </c>
      <c r="D759" s="473" t="s">
        <v>41</v>
      </c>
      <c r="E759" s="361">
        <v>25.41</v>
      </c>
    </row>
    <row r="760" spans="1:5">
      <c r="A760" s="473">
        <v>1051</v>
      </c>
      <c r="B760" s="473" t="s">
        <v>10420</v>
      </c>
      <c r="C760" s="473" t="s">
        <v>40</v>
      </c>
      <c r="D760" s="473" t="s">
        <v>41</v>
      </c>
      <c r="E760" s="361">
        <v>36.94</v>
      </c>
    </row>
    <row r="761" spans="1:5">
      <c r="A761" s="473">
        <v>37399</v>
      </c>
      <c r="B761" s="473" t="s">
        <v>10421</v>
      </c>
      <c r="C761" s="473" t="s">
        <v>40</v>
      </c>
      <c r="D761" s="473" t="s">
        <v>41</v>
      </c>
      <c r="E761" s="361">
        <v>16.21</v>
      </c>
    </row>
    <row r="762" spans="1:5">
      <c r="A762" s="473">
        <v>42655</v>
      </c>
      <c r="B762" s="473" t="s">
        <v>10422</v>
      </c>
      <c r="C762" s="473" t="s">
        <v>49</v>
      </c>
      <c r="D762" s="473" t="s">
        <v>41</v>
      </c>
      <c r="E762" s="361">
        <v>10.34</v>
      </c>
    </row>
    <row r="763" spans="1:5">
      <c r="A763" s="473">
        <v>25004</v>
      </c>
      <c r="B763" s="473" t="s">
        <v>10423</v>
      </c>
      <c r="C763" s="473" t="s">
        <v>49</v>
      </c>
      <c r="D763" s="473" t="s">
        <v>47</v>
      </c>
      <c r="E763" s="361">
        <v>19.03</v>
      </c>
    </row>
    <row r="764" spans="1:5">
      <c r="A764" s="473">
        <v>25002</v>
      </c>
      <c r="B764" s="473" t="s">
        <v>10424</v>
      </c>
      <c r="C764" s="473" t="s">
        <v>49</v>
      </c>
      <c r="D764" s="473" t="s">
        <v>47</v>
      </c>
      <c r="E764" s="361">
        <v>19.190000000000001</v>
      </c>
    </row>
    <row r="765" spans="1:5">
      <c r="A765" s="473">
        <v>37409</v>
      </c>
      <c r="B765" s="473" t="s">
        <v>10425</v>
      </c>
      <c r="C765" s="473" t="s">
        <v>49</v>
      </c>
      <c r="D765" s="473" t="s">
        <v>47</v>
      </c>
      <c r="E765" s="361">
        <v>18.88</v>
      </c>
    </row>
    <row r="766" spans="1:5">
      <c r="A766" s="473">
        <v>841</v>
      </c>
      <c r="B766" s="473" t="s">
        <v>10426</v>
      </c>
      <c r="C766" s="473" t="s">
        <v>49</v>
      </c>
      <c r="D766" s="473" t="s">
        <v>47</v>
      </c>
      <c r="E766" s="361">
        <v>19.5</v>
      </c>
    </row>
    <row r="767" spans="1:5">
      <c r="A767" s="473">
        <v>25005</v>
      </c>
      <c r="B767" s="473" t="s">
        <v>10427</v>
      </c>
      <c r="C767" s="473" t="s">
        <v>49</v>
      </c>
      <c r="D767" s="473" t="s">
        <v>47</v>
      </c>
      <c r="E767" s="361">
        <v>21.38</v>
      </c>
    </row>
    <row r="768" spans="1:5">
      <c r="A768" s="473">
        <v>25003</v>
      </c>
      <c r="B768" s="473" t="s">
        <v>10428</v>
      </c>
      <c r="C768" s="473" t="s">
        <v>49</v>
      </c>
      <c r="D768" s="473" t="s">
        <v>47</v>
      </c>
      <c r="E768" s="361">
        <v>22.84</v>
      </c>
    </row>
    <row r="769" spans="1:5">
      <c r="A769" s="473">
        <v>37410</v>
      </c>
      <c r="B769" s="473" t="s">
        <v>10429</v>
      </c>
      <c r="C769" s="473" t="s">
        <v>49</v>
      </c>
      <c r="D769" s="473" t="s">
        <v>47</v>
      </c>
      <c r="E769" s="361">
        <v>21.38</v>
      </c>
    </row>
    <row r="770" spans="1:5">
      <c r="A770" s="473">
        <v>842</v>
      </c>
      <c r="B770" s="473" t="s">
        <v>10430</v>
      </c>
      <c r="C770" s="473" t="s">
        <v>49</v>
      </c>
      <c r="D770" s="473" t="s">
        <v>47</v>
      </c>
      <c r="E770" s="361">
        <v>24.05</v>
      </c>
    </row>
    <row r="771" spans="1:5">
      <c r="A771" s="473">
        <v>862</v>
      </c>
      <c r="B771" s="473" t="s">
        <v>10431</v>
      </c>
      <c r="C771" s="473" t="s">
        <v>48</v>
      </c>
      <c r="D771" s="473" t="s">
        <v>41</v>
      </c>
      <c r="E771" s="361">
        <v>4.53</v>
      </c>
    </row>
    <row r="772" spans="1:5">
      <c r="A772" s="473">
        <v>866</v>
      </c>
      <c r="B772" s="473" t="s">
        <v>10432</v>
      </c>
      <c r="C772" s="473" t="s">
        <v>48</v>
      </c>
      <c r="D772" s="473" t="s">
        <v>41</v>
      </c>
      <c r="E772" s="361">
        <v>55.69</v>
      </c>
    </row>
    <row r="773" spans="1:5">
      <c r="A773" s="473">
        <v>892</v>
      </c>
      <c r="B773" s="473" t="s">
        <v>10433</v>
      </c>
      <c r="C773" s="473" t="s">
        <v>48</v>
      </c>
      <c r="D773" s="473" t="s">
        <v>41</v>
      </c>
      <c r="E773" s="361">
        <v>70.819999999999993</v>
      </c>
    </row>
    <row r="774" spans="1:5">
      <c r="A774" s="473">
        <v>857</v>
      </c>
      <c r="B774" s="473" t="s">
        <v>10434</v>
      </c>
      <c r="C774" s="473" t="s">
        <v>48</v>
      </c>
      <c r="D774" s="473" t="s">
        <v>44</v>
      </c>
      <c r="E774" s="361">
        <v>7.21</v>
      </c>
    </row>
    <row r="775" spans="1:5">
      <c r="A775" s="473">
        <v>37404</v>
      </c>
      <c r="B775" s="473" t="s">
        <v>10435</v>
      </c>
      <c r="C775" s="473" t="s">
        <v>48</v>
      </c>
      <c r="D775" s="473" t="s">
        <v>41</v>
      </c>
      <c r="E775" s="361">
        <v>85.16</v>
      </c>
    </row>
    <row r="776" spans="1:5">
      <c r="A776" s="473">
        <v>868</v>
      </c>
      <c r="B776" s="473" t="s">
        <v>10436</v>
      </c>
      <c r="C776" s="473" t="s">
        <v>48</v>
      </c>
      <c r="D776" s="473" t="s">
        <v>41</v>
      </c>
      <c r="E776" s="361">
        <v>11.13</v>
      </c>
    </row>
    <row r="777" spans="1:5">
      <c r="A777" s="473">
        <v>870</v>
      </c>
      <c r="B777" s="473" t="s">
        <v>10437</v>
      </c>
      <c r="C777" s="473" t="s">
        <v>48</v>
      </c>
      <c r="D777" s="473" t="s">
        <v>41</v>
      </c>
      <c r="E777" s="361">
        <v>146.75</v>
      </c>
    </row>
    <row r="778" spans="1:5">
      <c r="A778" s="473">
        <v>863</v>
      </c>
      <c r="B778" s="473" t="s">
        <v>10438</v>
      </c>
      <c r="C778" s="473" t="s">
        <v>48</v>
      </c>
      <c r="D778" s="473" t="s">
        <v>41</v>
      </c>
      <c r="E778" s="361">
        <v>15.38</v>
      </c>
    </row>
    <row r="779" spans="1:5">
      <c r="A779" s="473">
        <v>867</v>
      </c>
      <c r="B779" s="473" t="s">
        <v>10439</v>
      </c>
      <c r="C779" s="473" t="s">
        <v>48</v>
      </c>
      <c r="D779" s="473" t="s">
        <v>41</v>
      </c>
      <c r="E779" s="361">
        <v>21.42</v>
      </c>
    </row>
    <row r="780" spans="1:5">
      <c r="A780" s="473">
        <v>891</v>
      </c>
      <c r="B780" s="473" t="s">
        <v>10440</v>
      </c>
      <c r="C780" s="473" t="s">
        <v>48</v>
      </c>
      <c r="D780" s="473" t="s">
        <v>41</v>
      </c>
      <c r="E780" s="361">
        <v>246.46</v>
      </c>
    </row>
    <row r="781" spans="1:5">
      <c r="A781" s="473">
        <v>864</v>
      </c>
      <c r="B781" s="473" t="s">
        <v>10441</v>
      </c>
      <c r="C781" s="473" t="s">
        <v>48</v>
      </c>
      <c r="D781" s="473" t="s">
        <v>41</v>
      </c>
      <c r="E781" s="361">
        <v>30.18</v>
      </c>
    </row>
    <row r="782" spans="1:5">
      <c r="A782" s="473">
        <v>865</v>
      </c>
      <c r="B782" s="473" t="s">
        <v>10442</v>
      </c>
      <c r="C782" s="473" t="s">
        <v>48</v>
      </c>
      <c r="D782" s="473" t="s">
        <v>41</v>
      </c>
      <c r="E782" s="361">
        <v>42.51</v>
      </c>
    </row>
    <row r="783" spans="1:5">
      <c r="A783" s="473">
        <v>1006</v>
      </c>
      <c r="B783" s="473" t="s">
        <v>10443</v>
      </c>
      <c r="C783" s="473" t="s">
        <v>48</v>
      </c>
      <c r="D783" s="473" t="s">
        <v>41</v>
      </c>
      <c r="E783" s="361">
        <v>73.959999999999994</v>
      </c>
    </row>
    <row r="784" spans="1:5">
      <c r="A784" s="473">
        <v>948</v>
      </c>
      <c r="B784" s="473" t="s">
        <v>10444</v>
      </c>
      <c r="C784" s="473" t="s">
        <v>48</v>
      </c>
      <c r="D784" s="473" t="s">
        <v>47</v>
      </c>
      <c r="E784" s="361">
        <v>22.5</v>
      </c>
    </row>
    <row r="785" spans="1:5">
      <c r="A785" s="473">
        <v>947</v>
      </c>
      <c r="B785" s="473" t="s">
        <v>10445</v>
      </c>
      <c r="C785" s="473" t="s">
        <v>48</v>
      </c>
      <c r="D785" s="473" t="s">
        <v>47</v>
      </c>
      <c r="E785" s="361">
        <v>22.89</v>
      </c>
    </row>
    <row r="786" spans="1:5">
      <c r="A786" s="473">
        <v>911</v>
      </c>
      <c r="B786" s="473" t="s">
        <v>10446</v>
      </c>
      <c r="C786" s="473" t="s">
        <v>48</v>
      </c>
      <c r="D786" s="473" t="s">
        <v>47</v>
      </c>
      <c r="E786" s="361">
        <v>33.29</v>
      </c>
    </row>
    <row r="787" spans="1:5">
      <c r="A787" s="473">
        <v>925</v>
      </c>
      <c r="B787" s="473" t="s">
        <v>10447</v>
      </c>
      <c r="C787" s="473" t="s">
        <v>48</v>
      </c>
      <c r="D787" s="473" t="s">
        <v>47</v>
      </c>
      <c r="E787" s="361">
        <v>30.77</v>
      </c>
    </row>
    <row r="788" spans="1:5">
      <c r="A788" s="473">
        <v>954</v>
      </c>
      <c r="B788" s="473" t="s">
        <v>10448</v>
      </c>
      <c r="C788" s="473" t="s">
        <v>48</v>
      </c>
      <c r="D788" s="473" t="s">
        <v>47</v>
      </c>
      <c r="E788" s="361">
        <v>33.99</v>
      </c>
    </row>
    <row r="789" spans="1:5">
      <c r="A789" s="473">
        <v>901</v>
      </c>
      <c r="B789" s="473" t="s">
        <v>10449</v>
      </c>
      <c r="C789" s="473" t="s">
        <v>48</v>
      </c>
      <c r="D789" s="473" t="s">
        <v>47</v>
      </c>
      <c r="E789" s="361">
        <v>36.380000000000003</v>
      </c>
    </row>
    <row r="790" spans="1:5">
      <c r="A790" s="473">
        <v>926</v>
      </c>
      <c r="B790" s="473" t="s">
        <v>10450</v>
      </c>
      <c r="C790" s="473" t="s">
        <v>48</v>
      </c>
      <c r="D790" s="473" t="s">
        <v>47</v>
      </c>
      <c r="E790" s="361">
        <v>38.44</v>
      </c>
    </row>
    <row r="791" spans="1:5">
      <c r="A791" s="473">
        <v>912</v>
      </c>
      <c r="B791" s="473" t="s">
        <v>10451</v>
      </c>
      <c r="C791" s="473" t="s">
        <v>48</v>
      </c>
      <c r="D791" s="473" t="s">
        <v>47</v>
      </c>
      <c r="E791" s="361">
        <v>38.68</v>
      </c>
    </row>
    <row r="792" spans="1:5">
      <c r="A792" s="473">
        <v>955</v>
      </c>
      <c r="B792" s="473" t="s">
        <v>10452</v>
      </c>
      <c r="C792" s="473" t="s">
        <v>48</v>
      </c>
      <c r="D792" s="473" t="s">
        <v>47</v>
      </c>
      <c r="E792" s="361">
        <v>46.17</v>
      </c>
    </row>
    <row r="793" spans="1:5">
      <c r="A793" s="473">
        <v>946</v>
      </c>
      <c r="B793" s="473" t="s">
        <v>10453</v>
      </c>
      <c r="C793" s="473" t="s">
        <v>48</v>
      </c>
      <c r="D793" s="473" t="s">
        <v>47</v>
      </c>
      <c r="E793" s="361">
        <v>51.91</v>
      </c>
    </row>
    <row r="794" spans="1:5">
      <c r="A794" s="473">
        <v>953</v>
      </c>
      <c r="B794" s="473" t="s">
        <v>10454</v>
      </c>
      <c r="C794" s="473" t="s">
        <v>48</v>
      </c>
      <c r="D794" s="473" t="s">
        <v>47</v>
      </c>
      <c r="E794" s="361">
        <v>47.24</v>
      </c>
    </row>
    <row r="795" spans="1:5">
      <c r="A795" s="473">
        <v>902</v>
      </c>
      <c r="B795" s="473" t="s">
        <v>10455</v>
      </c>
      <c r="C795" s="473" t="s">
        <v>48</v>
      </c>
      <c r="D795" s="473" t="s">
        <v>47</v>
      </c>
      <c r="E795" s="361">
        <v>57.42</v>
      </c>
    </row>
    <row r="796" spans="1:5">
      <c r="A796" s="473">
        <v>927</v>
      </c>
      <c r="B796" s="473" t="s">
        <v>10456</v>
      </c>
      <c r="C796" s="473" t="s">
        <v>48</v>
      </c>
      <c r="D796" s="473" t="s">
        <v>47</v>
      </c>
      <c r="E796" s="361">
        <v>55.66</v>
      </c>
    </row>
    <row r="797" spans="1:5">
      <c r="A797" s="473">
        <v>913</v>
      </c>
      <c r="B797" s="473" t="s">
        <v>10457</v>
      </c>
      <c r="C797" s="473" t="s">
        <v>48</v>
      </c>
      <c r="D797" s="473" t="s">
        <v>47</v>
      </c>
      <c r="E797" s="361">
        <v>62.12</v>
      </c>
    </row>
    <row r="798" spans="1:5">
      <c r="A798" s="473">
        <v>903</v>
      </c>
      <c r="B798" s="473" t="s">
        <v>10458</v>
      </c>
      <c r="C798" s="473" t="s">
        <v>48</v>
      </c>
      <c r="D798" s="473" t="s">
        <v>47</v>
      </c>
      <c r="E798" s="361">
        <v>70.31</v>
      </c>
    </row>
    <row r="799" spans="1:5">
      <c r="A799" s="473">
        <v>945</v>
      </c>
      <c r="B799" s="473" t="s">
        <v>10459</v>
      </c>
      <c r="C799" s="473" t="s">
        <v>48</v>
      </c>
      <c r="D799" s="473" t="s">
        <v>47</v>
      </c>
      <c r="E799" s="361">
        <v>74.37</v>
      </c>
    </row>
    <row r="800" spans="1:5">
      <c r="A800" s="473">
        <v>914</v>
      </c>
      <c r="B800" s="473" t="s">
        <v>10460</v>
      </c>
      <c r="C800" s="473" t="s">
        <v>48</v>
      </c>
      <c r="D800" s="473" t="s">
        <v>47</v>
      </c>
      <c r="E800" s="361">
        <v>76.19</v>
      </c>
    </row>
    <row r="801" spans="1:5">
      <c r="A801" s="473">
        <v>993</v>
      </c>
      <c r="B801" s="473" t="s">
        <v>10461</v>
      </c>
      <c r="C801" s="473" t="s">
        <v>48</v>
      </c>
      <c r="D801" s="473" t="s">
        <v>41</v>
      </c>
      <c r="E801" s="361">
        <v>1.59</v>
      </c>
    </row>
    <row r="802" spans="1:5">
      <c r="A802" s="473">
        <v>1020</v>
      </c>
      <c r="B802" s="473" t="s">
        <v>10462</v>
      </c>
      <c r="C802" s="473" t="s">
        <v>48</v>
      </c>
      <c r="D802" s="473" t="s">
        <v>41</v>
      </c>
      <c r="E802" s="361">
        <v>6.93</v>
      </c>
    </row>
    <row r="803" spans="1:5">
      <c r="A803" s="473">
        <v>1017</v>
      </c>
      <c r="B803" s="473" t="s">
        <v>10463</v>
      </c>
      <c r="C803" s="473" t="s">
        <v>48</v>
      </c>
      <c r="D803" s="473" t="s">
        <v>41</v>
      </c>
      <c r="E803" s="361">
        <v>76.19</v>
      </c>
    </row>
    <row r="804" spans="1:5">
      <c r="A804" s="473">
        <v>999</v>
      </c>
      <c r="B804" s="473" t="s">
        <v>10464</v>
      </c>
      <c r="C804" s="473" t="s">
        <v>48</v>
      </c>
      <c r="D804" s="473" t="s">
        <v>41</v>
      </c>
      <c r="E804" s="361">
        <v>94.41</v>
      </c>
    </row>
    <row r="805" spans="1:5">
      <c r="A805" s="473">
        <v>995</v>
      </c>
      <c r="B805" s="473" t="s">
        <v>10465</v>
      </c>
      <c r="C805" s="473" t="s">
        <v>48</v>
      </c>
      <c r="D805" s="473" t="s">
        <v>41</v>
      </c>
      <c r="E805" s="361">
        <v>10.63</v>
      </c>
    </row>
    <row r="806" spans="1:5">
      <c r="A806" s="473">
        <v>1000</v>
      </c>
      <c r="B806" s="473" t="s">
        <v>10466</v>
      </c>
      <c r="C806" s="473" t="s">
        <v>48</v>
      </c>
      <c r="D806" s="473" t="s">
        <v>41</v>
      </c>
      <c r="E806" s="361">
        <v>115.73</v>
      </c>
    </row>
    <row r="807" spans="1:5">
      <c r="A807" s="473">
        <v>1022</v>
      </c>
      <c r="B807" s="473" t="s">
        <v>10467</v>
      </c>
      <c r="C807" s="473" t="s">
        <v>48</v>
      </c>
      <c r="D807" s="473" t="s">
        <v>41</v>
      </c>
      <c r="E807" s="361">
        <v>2.21</v>
      </c>
    </row>
    <row r="808" spans="1:5">
      <c r="A808" s="473">
        <v>1015</v>
      </c>
      <c r="B808" s="473" t="s">
        <v>10468</v>
      </c>
      <c r="C808" s="473" t="s">
        <v>48</v>
      </c>
      <c r="D808" s="473" t="s">
        <v>41</v>
      </c>
      <c r="E808" s="361">
        <v>152.38999999999999</v>
      </c>
    </row>
    <row r="809" spans="1:5">
      <c r="A809" s="473">
        <v>996</v>
      </c>
      <c r="B809" s="473" t="s">
        <v>10469</v>
      </c>
      <c r="C809" s="473" t="s">
        <v>48</v>
      </c>
      <c r="D809" s="473" t="s">
        <v>41</v>
      </c>
      <c r="E809" s="361">
        <v>16.190000000000001</v>
      </c>
    </row>
    <row r="810" spans="1:5">
      <c r="A810" s="473">
        <v>1001</v>
      </c>
      <c r="B810" s="473" t="s">
        <v>10470</v>
      </c>
      <c r="C810" s="473" t="s">
        <v>48</v>
      </c>
      <c r="D810" s="473" t="s">
        <v>41</v>
      </c>
      <c r="E810" s="361">
        <v>190.71</v>
      </c>
    </row>
    <row r="811" spans="1:5">
      <c r="A811" s="473">
        <v>1019</v>
      </c>
      <c r="B811" s="473" t="s">
        <v>10471</v>
      </c>
      <c r="C811" s="473" t="s">
        <v>48</v>
      </c>
      <c r="D811" s="473" t="s">
        <v>41</v>
      </c>
      <c r="E811" s="361">
        <v>22.32</v>
      </c>
    </row>
    <row r="812" spans="1:5">
      <c r="A812" s="473">
        <v>1021</v>
      </c>
      <c r="B812" s="473" t="s">
        <v>10472</v>
      </c>
      <c r="C812" s="473" t="s">
        <v>48</v>
      </c>
      <c r="D812" s="473" t="s">
        <v>41</v>
      </c>
      <c r="E812" s="361">
        <v>3.17</v>
      </c>
    </row>
    <row r="813" spans="1:5">
      <c r="A813" s="473">
        <v>39249</v>
      </c>
      <c r="B813" s="473" t="s">
        <v>10473</v>
      </c>
      <c r="C813" s="473" t="s">
        <v>48</v>
      </c>
      <c r="D813" s="473" t="s">
        <v>41</v>
      </c>
      <c r="E813" s="361">
        <v>248.78</v>
      </c>
    </row>
    <row r="814" spans="1:5">
      <c r="A814" s="473">
        <v>1018</v>
      </c>
      <c r="B814" s="473" t="s">
        <v>10474</v>
      </c>
      <c r="C814" s="473" t="s">
        <v>48</v>
      </c>
      <c r="D814" s="473" t="s">
        <v>41</v>
      </c>
      <c r="E814" s="361">
        <v>31.81</v>
      </c>
    </row>
    <row r="815" spans="1:5">
      <c r="A815" s="473">
        <v>39250</v>
      </c>
      <c r="B815" s="473" t="s">
        <v>10475</v>
      </c>
      <c r="C815" s="473" t="s">
        <v>48</v>
      </c>
      <c r="D815" s="473" t="s">
        <v>41</v>
      </c>
      <c r="E815" s="361">
        <v>319.58</v>
      </c>
    </row>
    <row r="816" spans="1:5">
      <c r="A816" s="473">
        <v>994</v>
      </c>
      <c r="B816" s="473" t="s">
        <v>10476</v>
      </c>
      <c r="C816" s="473" t="s">
        <v>48</v>
      </c>
      <c r="D816" s="473" t="s">
        <v>41</v>
      </c>
      <c r="E816" s="361">
        <v>4.33</v>
      </c>
    </row>
    <row r="817" spans="1:5">
      <c r="A817" s="473">
        <v>977</v>
      </c>
      <c r="B817" s="473" t="s">
        <v>10477</v>
      </c>
      <c r="C817" s="473" t="s">
        <v>48</v>
      </c>
      <c r="D817" s="473" t="s">
        <v>41</v>
      </c>
      <c r="E817" s="361">
        <v>44.06</v>
      </c>
    </row>
    <row r="818" spans="1:5">
      <c r="A818" s="473">
        <v>998</v>
      </c>
      <c r="B818" s="473" t="s">
        <v>10478</v>
      </c>
      <c r="C818" s="473" t="s">
        <v>48</v>
      </c>
      <c r="D818" s="473" t="s">
        <v>41</v>
      </c>
      <c r="E818" s="361">
        <v>58.53</v>
      </c>
    </row>
    <row r="819" spans="1:5">
      <c r="A819" s="473">
        <v>39251</v>
      </c>
      <c r="B819" s="473" t="s">
        <v>10479</v>
      </c>
      <c r="C819" s="473" t="s">
        <v>48</v>
      </c>
      <c r="D819" s="473" t="s">
        <v>41</v>
      </c>
      <c r="E819" s="361">
        <v>0.42</v>
      </c>
    </row>
    <row r="820" spans="1:5">
      <c r="A820" s="473">
        <v>1011</v>
      </c>
      <c r="B820" s="473" t="s">
        <v>10480</v>
      </c>
      <c r="C820" s="473" t="s">
        <v>48</v>
      </c>
      <c r="D820" s="473" t="s">
        <v>41</v>
      </c>
      <c r="E820" s="361">
        <v>0.59</v>
      </c>
    </row>
    <row r="821" spans="1:5">
      <c r="A821" s="473">
        <v>39252</v>
      </c>
      <c r="B821" s="473" t="s">
        <v>10481</v>
      </c>
      <c r="C821" s="473" t="s">
        <v>48</v>
      </c>
      <c r="D821" s="473" t="s">
        <v>41</v>
      </c>
      <c r="E821" s="361">
        <v>0.7</v>
      </c>
    </row>
    <row r="822" spans="1:5">
      <c r="A822" s="473">
        <v>1013</v>
      </c>
      <c r="B822" s="473" t="s">
        <v>10482</v>
      </c>
      <c r="C822" s="473" t="s">
        <v>48</v>
      </c>
      <c r="D822" s="473" t="s">
        <v>41</v>
      </c>
      <c r="E822" s="361">
        <v>0.93</v>
      </c>
    </row>
    <row r="823" spans="1:5">
      <c r="A823" s="473">
        <v>980</v>
      </c>
      <c r="B823" s="473" t="s">
        <v>10483</v>
      </c>
      <c r="C823" s="473" t="s">
        <v>48</v>
      </c>
      <c r="D823" s="473" t="s">
        <v>41</v>
      </c>
      <c r="E823" s="361">
        <v>6.36</v>
      </c>
    </row>
    <row r="824" spans="1:5">
      <c r="A824" s="473">
        <v>39237</v>
      </c>
      <c r="B824" s="473" t="s">
        <v>10484</v>
      </c>
      <c r="C824" s="473" t="s">
        <v>48</v>
      </c>
      <c r="D824" s="473" t="s">
        <v>41</v>
      </c>
      <c r="E824" s="361">
        <v>75.39</v>
      </c>
    </row>
    <row r="825" spans="1:5">
      <c r="A825" s="473">
        <v>39238</v>
      </c>
      <c r="B825" s="473" t="s">
        <v>10485</v>
      </c>
      <c r="C825" s="473" t="s">
        <v>48</v>
      </c>
      <c r="D825" s="473" t="s">
        <v>41</v>
      </c>
      <c r="E825" s="361">
        <v>94.13</v>
      </c>
    </row>
    <row r="826" spans="1:5">
      <c r="A826" s="473">
        <v>979</v>
      </c>
      <c r="B826" s="473" t="s">
        <v>10486</v>
      </c>
      <c r="C826" s="473" t="s">
        <v>48</v>
      </c>
      <c r="D826" s="473" t="s">
        <v>44</v>
      </c>
      <c r="E826" s="361">
        <v>9.8000000000000007</v>
      </c>
    </row>
    <row r="827" spans="1:5">
      <c r="A827" s="473">
        <v>39239</v>
      </c>
      <c r="B827" s="473" t="s">
        <v>10487</v>
      </c>
      <c r="C827" s="473" t="s">
        <v>48</v>
      </c>
      <c r="D827" s="473" t="s">
        <v>41</v>
      </c>
      <c r="E827" s="361">
        <v>114.56</v>
      </c>
    </row>
    <row r="828" spans="1:5">
      <c r="A828" s="473">
        <v>1014</v>
      </c>
      <c r="B828" s="473" t="s">
        <v>10488</v>
      </c>
      <c r="C828" s="473" t="s">
        <v>48</v>
      </c>
      <c r="D828" s="473" t="s">
        <v>41</v>
      </c>
      <c r="E828" s="361">
        <v>1.48</v>
      </c>
    </row>
    <row r="829" spans="1:5">
      <c r="A829" s="473">
        <v>39240</v>
      </c>
      <c r="B829" s="473" t="s">
        <v>10489</v>
      </c>
      <c r="C829" s="473" t="s">
        <v>48</v>
      </c>
      <c r="D829" s="473" t="s">
        <v>41</v>
      </c>
      <c r="E829" s="361">
        <v>151.41</v>
      </c>
    </row>
    <row r="830" spans="1:5">
      <c r="A830" s="473">
        <v>39232</v>
      </c>
      <c r="B830" s="473" t="s">
        <v>10490</v>
      </c>
      <c r="C830" s="473" t="s">
        <v>48</v>
      </c>
      <c r="D830" s="473" t="s">
        <v>41</v>
      </c>
      <c r="E830" s="361">
        <v>15.72</v>
      </c>
    </row>
    <row r="831" spans="1:5">
      <c r="A831" s="473">
        <v>39233</v>
      </c>
      <c r="B831" s="473" t="s">
        <v>10491</v>
      </c>
      <c r="C831" s="473" t="s">
        <v>48</v>
      </c>
      <c r="D831" s="473" t="s">
        <v>41</v>
      </c>
      <c r="E831" s="361">
        <v>21.61</v>
      </c>
    </row>
    <row r="832" spans="1:5">
      <c r="A832" s="473">
        <v>981</v>
      </c>
      <c r="B832" s="473" t="s">
        <v>10492</v>
      </c>
      <c r="C832" s="473" t="s">
        <v>48</v>
      </c>
      <c r="D832" s="473" t="s">
        <v>41</v>
      </c>
      <c r="E832" s="361">
        <v>2.65</v>
      </c>
    </row>
    <row r="833" spans="1:5">
      <c r="A833" s="473">
        <v>39234</v>
      </c>
      <c r="B833" s="473" t="s">
        <v>10493</v>
      </c>
      <c r="C833" s="473" t="s">
        <v>48</v>
      </c>
      <c r="D833" s="473" t="s">
        <v>41</v>
      </c>
      <c r="E833" s="361">
        <v>31.72</v>
      </c>
    </row>
    <row r="834" spans="1:5">
      <c r="A834" s="473">
        <v>982</v>
      </c>
      <c r="B834" s="473" t="s">
        <v>10494</v>
      </c>
      <c r="C834" s="473" t="s">
        <v>48</v>
      </c>
      <c r="D834" s="473" t="s">
        <v>41</v>
      </c>
      <c r="E834" s="361">
        <v>3.72</v>
      </c>
    </row>
    <row r="835" spans="1:5">
      <c r="A835" s="473">
        <v>39235</v>
      </c>
      <c r="B835" s="473" t="s">
        <v>10495</v>
      </c>
      <c r="C835" s="473" t="s">
        <v>48</v>
      </c>
      <c r="D835" s="473" t="s">
        <v>41</v>
      </c>
      <c r="E835" s="361">
        <v>44.62</v>
      </c>
    </row>
    <row r="836" spans="1:5">
      <c r="A836" s="473">
        <v>39236</v>
      </c>
      <c r="B836" s="473" t="s">
        <v>10496</v>
      </c>
      <c r="C836" s="473" t="s">
        <v>48</v>
      </c>
      <c r="D836" s="473" t="s">
        <v>41</v>
      </c>
      <c r="E836" s="361">
        <v>58.49</v>
      </c>
    </row>
    <row r="837" spans="1:5">
      <c r="A837" s="473">
        <v>876</v>
      </c>
      <c r="B837" s="473" t="s">
        <v>10497</v>
      </c>
      <c r="C837" s="473" t="s">
        <v>48</v>
      </c>
      <c r="D837" s="473" t="s">
        <v>41</v>
      </c>
      <c r="E837" s="361">
        <v>150.99</v>
      </c>
    </row>
    <row r="838" spans="1:5">
      <c r="A838" s="473">
        <v>877</v>
      </c>
      <c r="B838" s="473" t="s">
        <v>10498</v>
      </c>
      <c r="C838" s="473" t="s">
        <v>48</v>
      </c>
      <c r="D838" s="473" t="s">
        <v>41</v>
      </c>
      <c r="E838" s="361">
        <v>177.5</v>
      </c>
    </row>
    <row r="839" spans="1:5">
      <c r="A839" s="473">
        <v>882</v>
      </c>
      <c r="B839" s="473" t="s">
        <v>10499</v>
      </c>
      <c r="C839" s="473" t="s">
        <v>48</v>
      </c>
      <c r="D839" s="473" t="s">
        <v>41</v>
      </c>
      <c r="E839" s="361">
        <v>193.41</v>
      </c>
    </row>
    <row r="840" spans="1:5">
      <c r="A840" s="473">
        <v>878</v>
      </c>
      <c r="B840" s="473" t="s">
        <v>10500</v>
      </c>
      <c r="C840" s="473" t="s">
        <v>48</v>
      </c>
      <c r="D840" s="473" t="s">
        <v>41</v>
      </c>
      <c r="E840" s="361">
        <v>240.46</v>
      </c>
    </row>
    <row r="841" spans="1:5">
      <c r="A841" s="473">
        <v>879</v>
      </c>
      <c r="B841" s="473" t="s">
        <v>10501</v>
      </c>
      <c r="C841" s="473" t="s">
        <v>48</v>
      </c>
      <c r="D841" s="473" t="s">
        <v>41</v>
      </c>
      <c r="E841" s="361">
        <v>283.42</v>
      </c>
    </row>
    <row r="842" spans="1:5">
      <c r="A842" s="473">
        <v>880</v>
      </c>
      <c r="B842" s="473" t="s">
        <v>10502</v>
      </c>
      <c r="C842" s="473" t="s">
        <v>48</v>
      </c>
      <c r="D842" s="473" t="s">
        <v>41</v>
      </c>
      <c r="E842" s="361">
        <v>333.48</v>
      </c>
    </row>
    <row r="843" spans="1:5">
      <c r="A843" s="473">
        <v>873</v>
      </c>
      <c r="B843" s="473" t="s">
        <v>10503</v>
      </c>
      <c r="C843" s="473" t="s">
        <v>48</v>
      </c>
      <c r="D843" s="473" t="s">
        <v>41</v>
      </c>
      <c r="E843" s="361">
        <v>101.4</v>
      </c>
    </row>
    <row r="844" spans="1:5">
      <c r="A844" s="473">
        <v>881</v>
      </c>
      <c r="B844" s="473" t="s">
        <v>10504</v>
      </c>
      <c r="C844" s="473" t="s">
        <v>48</v>
      </c>
      <c r="D844" s="473" t="s">
        <v>41</v>
      </c>
      <c r="E844" s="361">
        <v>455.81</v>
      </c>
    </row>
    <row r="845" spans="1:5">
      <c r="A845" s="473">
        <v>874</v>
      </c>
      <c r="B845" s="473" t="s">
        <v>10505</v>
      </c>
      <c r="C845" s="473" t="s">
        <v>48</v>
      </c>
      <c r="D845" s="473" t="s">
        <v>41</v>
      </c>
      <c r="E845" s="361">
        <v>120.33</v>
      </c>
    </row>
    <row r="846" spans="1:5">
      <c r="A846" s="473">
        <v>875</v>
      </c>
      <c r="B846" s="473" t="s">
        <v>10506</v>
      </c>
      <c r="C846" s="473" t="s">
        <v>48</v>
      </c>
      <c r="D846" s="473" t="s">
        <v>41</v>
      </c>
      <c r="E846" s="361">
        <v>143.57</v>
      </c>
    </row>
    <row r="847" spans="1:5">
      <c r="A847" s="473">
        <v>983</v>
      </c>
      <c r="B847" s="473" t="s">
        <v>10507</v>
      </c>
      <c r="C847" s="473" t="s">
        <v>48</v>
      </c>
      <c r="D847" s="473" t="s">
        <v>41</v>
      </c>
      <c r="E847" s="361">
        <v>0.9</v>
      </c>
    </row>
    <row r="848" spans="1:5">
      <c r="A848" s="473">
        <v>985</v>
      </c>
      <c r="B848" s="473" t="s">
        <v>10508</v>
      </c>
      <c r="C848" s="473" t="s">
        <v>48</v>
      </c>
      <c r="D848" s="473" t="s">
        <v>41</v>
      </c>
      <c r="E848" s="361">
        <v>6.74</v>
      </c>
    </row>
    <row r="849" spans="1:5">
      <c r="A849" s="473">
        <v>990</v>
      </c>
      <c r="B849" s="473" t="s">
        <v>10509</v>
      </c>
      <c r="C849" s="473" t="s">
        <v>48</v>
      </c>
      <c r="D849" s="473" t="s">
        <v>41</v>
      </c>
      <c r="E849" s="361">
        <v>92.29</v>
      </c>
    </row>
    <row r="850" spans="1:5">
      <c r="A850" s="473">
        <v>39241</v>
      </c>
      <c r="B850" s="473" t="s">
        <v>10510</v>
      </c>
      <c r="C850" s="473" t="s">
        <v>48</v>
      </c>
      <c r="D850" s="473" t="s">
        <v>41</v>
      </c>
      <c r="E850" s="361">
        <v>10.55</v>
      </c>
    </row>
    <row r="851" spans="1:5">
      <c r="A851" s="473">
        <v>1005</v>
      </c>
      <c r="B851" s="473" t="s">
        <v>10511</v>
      </c>
      <c r="C851" s="473" t="s">
        <v>48</v>
      </c>
      <c r="D851" s="473" t="s">
        <v>41</v>
      </c>
      <c r="E851" s="361">
        <v>113.28</v>
      </c>
    </row>
    <row r="852" spans="1:5">
      <c r="A852" s="473">
        <v>984</v>
      </c>
      <c r="B852" s="473" t="s">
        <v>10512</v>
      </c>
      <c r="C852" s="473" t="s">
        <v>48</v>
      </c>
      <c r="D852" s="473" t="s">
        <v>41</v>
      </c>
      <c r="E852" s="361">
        <v>2.33</v>
      </c>
    </row>
    <row r="853" spans="1:5">
      <c r="A853" s="473">
        <v>991</v>
      </c>
      <c r="B853" s="473" t="s">
        <v>10513</v>
      </c>
      <c r="C853" s="473" t="s">
        <v>48</v>
      </c>
      <c r="D853" s="473" t="s">
        <v>41</v>
      </c>
      <c r="E853" s="361">
        <v>149.69</v>
      </c>
    </row>
    <row r="854" spans="1:5">
      <c r="A854" s="473">
        <v>986</v>
      </c>
      <c r="B854" s="473" t="s">
        <v>10514</v>
      </c>
      <c r="C854" s="473" t="s">
        <v>48</v>
      </c>
      <c r="D854" s="473" t="s">
        <v>41</v>
      </c>
      <c r="E854" s="361">
        <v>16.12</v>
      </c>
    </row>
    <row r="855" spans="1:5">
      <c r="A855" s="473">
        <v>1024</v>
      </c>
      <c r="B855" s="473" t="s">
        <v>10515</v>
      </c>
      <c r="C855" s="473" t="s">
        <v>48</v>
      </c>
      <c r="D855" s="473" t="s">
        <v>41</v>
      </c>
      <c r="E855" s="361">
        <v>185.26</v>
      </c>
    </row>
    <row r="856" spans="1:5">
      <c r="A856" s="473">
        <v>987</v>
      </c>
      <c r="B856" s="473" t="s">
        <v>10516</v>
      </c>
      <c r="C856" s="473" t="s">
        <v>48</v>
      </c>
      <c r="D856" s="473" t="s">
        <v>41</v>
      </c>
      <c r="E856" s="361">
        <v>21.91</v>
      </c>
    </row>
    <row r="857" spans="1:5">
      <c r="A857" s="473">
        <v>1003</v>
      </c>
      <c r="B857" s="473" t="s">
        <v>10517</v>
      </c>
      <c r="C857" s="473" t="s">
        <v>48</v>
      </c>
      <c r="D857" s="473" t="s">
        <v>41</v>
      </c>
      <c r="E857" s="361">
        <v>3.41</v>
      </c>
    </row>
    <row r="858" spans="1:5">
      <c r="A858" s="473">
        <v>992</v>
      </c>
      <c r="B858" s="473" t="s">
        <v>10518</v>
      </c>
      <c r="C858" s="473" t="s">
        <v>48</v>
      </c>
      <c r="D858" s="473" t="s">
        <v>41</v>
      </c>
      <c r="E858" s="361">
        <v>239.69</v>
      </c>
    </row>
    <row r="859" spans="1:5">
      <c r="A859" s="473">
        <v>1007</v>
      </c>
      <c r="B859" s="473" t="s">
        <v>10519</v>
      </c>
      <c r="C859" s="473" t="s">
        <v>48</v>
      </c>
      <c r="D859" s="473" t="s">
        <v>41</v>
      </c>
      <c r="E859" s="361">
        <v>31.08</v>
      </c>
    </row>
    <row r="860" spans="1:5">
      <c r="A860" s="473">
        <v>39242</v>
      </c>
      <c r="B860" s="473" t="s">
        <v>10520</v>
      </c>
      <c r="C860" s="473" t="s">
        <v>48</v>
      </c>
      <c r="D860" s="473" t="s">
        <v>41</v>
      </c>
      <c r="E860" s="361">
        <v>296.98</v>
      </c>
    </row>
    <row r="861" spans="1:5">
      <c r="A861" s="473">
        <v>1008</v>
      </c>
      <c r="B861" s="473" t="s">
        <v>10521</v>
      </c>
      <c r="C861" s="473" t="s">
        <v>48</v>
      </c>
      <c r="D861" s="473" t="s">
        <v>41</v>
      </c>
      <c r="E861" s="361">
        <v>3.87</v>
      </c>
    </row>
    <row r="862" spans="1:5">
      <c r="A862" s="473">
        <v>988</v>
      </c>
      <c r="B862" s="473" t="s">
        <v>10522</v>
      </c>
      <c r="C862" s="473" t="s">
        <v>48</v>
      </c>
      <c r="D862" s="473" t="s">
        <v>41</v>
      </c>
      <c r="E862" s="361">
        <v>42.93</v>
      </c>
    </row>
    <row r="863" spans="1:5">
      <c r="A863" s="473">
        <v>989</v>
      </c>
      <c r="B863" s="473" t="s">
        <v>10523</v>
      </c>
      <c r="C863" s="473" t="s">
        <v>48</v>
      </c>
      <c r="D863" s="473" t="s">
        <v>41</v>
      </c>
      <c r="E863" s="361">
        <v>58.16</v>
      </c>
    </row>
    <row r="864" spans="1:5">
      <c r="A864" s="473">
        <v>39598</v>
      </c>
      <c r="B864" s="473" t="s">
        <v>10524</v>
      </c>
      <c r="C864" s="473" t="s">
        <v>48</v>
      </c>
      <c r="D864" s="473" t="s">
        <v>47</v>
      </c>
      <c r="E864" s="361">
        <v>1.03</v>
      </c>
    </row>
    <row r="865" spans="1:5">
      <c r="A865" s="473">
        <v>39599</v>
      </c>
      <c r="B865" s="473" t="s">
        <v>10525</v>
      </c>
      <c r="C865" s="473" t="s">
        <v>48</v>
      </c>
      <c r="D865" s="473" t="s">
        <v>47</v>
      </c>
      <c r="E865" s="361">
        <v>1.55</v>
      </c>
    </row>
    <row r="866" spans="1:5">
      <c r="A866" s="473">
        <v>34602</v>
      </c>
      <c r="B866" s="473" t="s">
        <v>10526</v>
      </c>
      <c r="C866" s="473" t="s">
        <v>48</v>
      </c>
      <c r="D866" s="473" t="s">
        <v>47</v>
      </c>
      <c r="E866" s="361">
        <v>2.12</v>
      </c>
    </row>
    <row r="867" spans="1:5">
      <c r="A867" s="473">
        <v>34603</v>
      </c>
      <c r="B867" s="473" t="s">
        <v>10527</v>
      </c>
      <c r="C867" s="473" t="s">
        <v>48</v>
      </c>
      <c r="D867" s="473" t="s">
        <v>47</v>
      </c>
      <c r="E867" s="361">
        <v>10.19</v>
      </c>
    </row>
    <row r="868" spans="1:5">
      <c r="A868" s="473">
        <v>34607</v>
      </c>
      <c r="B868" s="473" t="s">
        <v>10528</v>
      </c>
      <c r="C868" s="473" t="s">
        <v>48</v>
      </c>
      <c r="D868" s="473" t="s">
        <v>47</v>
      </c>
      <c r="E868" s="361">
        <v>4.54</v>
      </c>
    </row>
    <row r="869" spans="1:5">
      <c r="A869" s="473">
        <v>34609</v>
      </c>
      <c r="B869" s="473" t="s">
        <v>10529</v>
      </c>
      <c r="C869" s="473" t="s">
        <v>48</v>
      </c>
      <c r="D869" s="473" t="s">
        <v>47</v>
      </c>
      <c r="E869" s="361">
        <v>6.82</v>
      </c>
    </row>
    <row r="870" spans="1:5">
      <c r="A870" s="473">
        <v>34618</v>
      </c>
      <c r="B870" s="473" t="s">
        <v>10530</v>
      </c>
      <c r="C870" s="473" t="s">
        <v>48</v>
      </c>
      <c r="D870" s="473" t="s">
        <v>47</v>
      </c>
      <c r="E870" s="361">
        <v>2.81</v>
      </c>
    </row>
    <row r="871" spans="1:5">
      <c r="A871" s="473">
        <v>34620</v>
      </c>
      <c r="B871" s="473" t="s">
        <v>10531</v>
      </c>
      <c r="C871" s="473" t="s">
        <v>48</v>
      </c>
      <c r="D871" s="473" t="s">
        <v>47</v>
      </c>
      <c r="E871" s="361">
        <v>14.07</v>
      </c>
    </row>
    <row r="872" spans="1:5">
      <c r="A872" s="473">
        <v>34621</v>
      </c>
      <c r="B872" s="473" t="s">
        <v>10532</v>
      </c>
      <c r="C872" s="473" t="s">
        <v>48</v>
      </c>
      <c r="D872" s="473" t="s">
        <v>47</v>
      </c>
      <c r="E872" s="361">
        <v>6.52</v>
      </c>
    </row>
    <row r="873" spans="1:5">
      <c r="A873" s="473">
        <v>34622</v>
      </c>
      <c r="B873" s="473" t="s">
        <v>10533</v>
      </c>
      <c r="C873" s="473" t="s">
        <v>48</v>
      </c>
      <c r="D873" s="473" t="s">
        <v>47</v>
      </c>
      <c r="E873" s="361">
        <v>9.24</v>
      </c>
    </row>
    <row r="874" spans="1:5">
      <c r="A874" s="473">
        <v>34624</v>
      </c>
      <c r="B874" s="473" t="s">
        <v>10534</v>
      </c>
      <c r="C874" s="473" t="s">
        <v>48</v>
      </c>
      <c r="D874" s="473" t="s">
        <v>47</v>
      </c>
      <c r="E874" s="361">
        <v>3.59</v>
      </c>
    </row>
    <row r="875" spans="1:5">
      <c r="A875" s="473">
        <v>34626</v>
      </c>
      <c r="B875" s="473" t="s">
        <v>10535</v>
      </c>
      <c r="C875" s="473" t="s">
        <v>48</v>
      </c>
      <c r="D875" s="473" t="s">
        <v>47</v>
      </c>
      <c r="E875" s="361">
        <v>19.34</v>
      </c>
    </row>
    <row r="876" spans="1:5">
      <c r="A876" s="473">
        <v>34627</v>
      </c>
      <c r="B876" s="473" t="s">
        <v>10536</v>
      </c>
      <c r="C876" s="473" t="s">
        <v>48</v>
      </c>
      <c r="D876" s="473" t="s">
        <v>47</v>
      </c>
      <c r="E876" s="361">
        <v>8.33</v>
      </c>
    </row>
    <row r="877" spans="1:5">
      <c r="A877" s="473">
        <v>34629</v>
      </c>
      <c r="B877" s="473" t="s">
        <v>10537</v>
      </c>
      <c r="C877" s="473" t="s">
        <v>48</v>
      </c>
      <c r="D877" s="473" t="s">
        <v>47</v>
      </c>
      <c r="E877" s="361">
        <v>12.2</v>
      </c>
    </row>
    <row r="878" spans="1:5">
      <c r="A878" s="473">
        <v>39257</v>
      </c>
      <c r="B878" s="473" t="s">
        <v>10538</v>
      </c>
      <c r="C878" s="473" t="s">
        <v>48</v>
      </c>
      <c r="D878" s="473" t="s">
        <v>41</v>
      </c>
      <c r="E878" s="361">
        <v>4.0599999999999996</v>
      </c>
    </row>
    <row r="879" spans="1:5">
      <c r="A879" s="473">
        <v>39261</v>
      </c>
      <c r="B879" s="473" t="s">
        <v>10539</v>
      </c>
      <c r="C879" s="473" t="s">
        <v>48</v>
      </c>
      <c r="D879" s="473" t="s">
        <v>41</v>
      </c>
      <c r="E879" s="361">
        <v>21.63</v>
      </c>
    </row>
    <row r="880" spans="1:5">
      <c r="A880" s="473">
        <v>39268</v>
      </c>
      <c r="B880" s="473" t="s">
        <v>10540</v>
      </c>
      <c r="C880" s="473" t="s">
        <v>48</v>
      </c>
      <c r="D880" s="473" t="s">
        <v>41</v>
      </c>
      <c r="E880" s="361">
        <v>249.63</v>
      </c>
    </row>
    <row r="881" spans="1:5">
      <c r="A881" s="473">
        <v>39262</v>
      </c>
      <c r="B881" s="473" t="s">
        <v>10541</v>
      </c>
      <c r="C881" s="473" t="s">
        <v>48</v>
      </c>
      <c r="D881" s="473" t="s">
        <v>41</v>
      </c>
      <c r="E881" s="361">
        <v>33.83</v>
      </c>
    </row>
    <row r="882" spans="1:5">
      <c r="A882" s="473">
        <v>39258</v>
      </c>
      <c r="B882" s="473" t="s">
        <v>10542</v>
      </c>
      <c r="C882" s="473" t="s">
        <v>48</v>
      </c>
      <c r="D882" s="473" t="s">
        <v>41</v>
      </c>
      <c r="E882" s="361">
        <v>6.02</v>
      </c>
    </row>
    <row r="883" spans="1:5">
      <c r="A883" s="473">
        <v>39263</v>
      </c>
      <c r="B883" s="473" t="s">
        <v>10543</v>
      </c>
      <c r="C883" s="473" t="s">
        <v>48</v>
      </c>
      <c r="D883" s="473" t="s">
        <v>41</v>
      </c>
      <c r="E883" s="361">
        <v>52.34</v>
      </c>
    </row>
    <row r="884" spans="1:5">
      <c r="A884" s="473">
        <v>39264</v>
      </c>
      <c r="B884" s="473" t="s">
        <v>10544</v>
      </c>
      <c r="C884" s="473" t="s">
        <v>48</v>
      </c>
      <c r="D884" s="473" t="s">
        <v>41</v>
      </c>
      <c r="E884" s="361">
        <v>70.87</v>
      </c>
    </row>
    <row r="885" spans="1:5">
      <c r="A885" s="473">
        <v>39259</v>
      </c>
      <c r="B885" s="473" t="s">
        <v>10545</v>
      </c>
      <c r="C885" s="473" t="s">
        <v>48</v>
      </c>
      <c r="D885" s="473" t="s">
        <v>41</v>
      </c>
      <c r="E885" s="361">
        <v>9.17</v>
      </c>
    </row>
    <row r="886" spans="1:5">
      <c r="A886" s="473">
        <v>39265</v>
      </c>
      <c r="B886" s="473" t="s">
        <v>10546</v>
      </c>
      <c r="C886" s="473" t="s">
        <v>48</v>
      </c>
      <c r="D886" s="473" t="s">
        <v>41</v>
      </c>
      <c r="E886" s="361">
        <v>104.4</v>
      </c>
    </row>
    <row r="887" spans="1:5">
      <c r="A887" s="473">
        <v>39260</v>
      </c>
      <c r="B887" s="473" t="s">
        <v>10547</v>
      </c>
      <c r="C887" s="473" t="s">
        <v>48</v>
      </c>
      <c r="D887" s="473" t="s">
        <v>41</v>
      </c>
      <c r="E887" s="361">
        <v>13.05</v>
      </c>
    </row>
    <row r="888" spans="1:5">
      <c r="A888" s="473">
        <v>39266</v>
      </c>
      <c r="B888" s="473" t="s">
        <v>10548</v>
      </c>
      <c r="C888" s="473" t="s">
        <v>48</v>
      </c>
      <c r="D888" s="473" t="s">
        <v>41</v>
      </c>
      <c r="E888" s="361">
        <v>146.5</v>
      </c>
    </row>
    <row r="889" spans="1:5">
      <c r="A889" s="473">
        <v>39267</v>
      </c>
      <c r="B889" s="473" t="s">
        <v>10549</v>
      </c>
      <c r="C889" s="473" t="s">
        <v>48</v>
      </c>
      <c r="D889" s="473" t="s">
        <v>41</v>
      </c>
      <c r="E889" s="361">
        <v>192.03</v>
      </c>
    </row>
    <row r="890" spans="1:5">
      <c r="A890" s="473">
        <v>11901</v>
      </c>
      <c r="B890" s="473" t="s">
        <v>10550</v>
      </c>
      <c r="C890" s="473" t="s">
        <v>48</v>
      </c>
      <c r="D890" s="473" t="s">
        <v>44</v>
      </c>
      <c r="E890" s="361">
        <v>0.56999999999999995</v>
      </c>
    </row>
    <row r="891" spans="1:5">
      <c r="A891" s="473">
        <v>11902</v>
      </c>
      <c r="B891" s="473" t="s">
        <v>10551</v>
      </c>
      <c r="C891" s="473" t="s">
        <v>48</v>
      </c>
      <c r="D891" s="473" t="s">
        <v>41</v>
      </c>
      <c r="E891" s="361">
        <v>0.99</v>
      </c>
    </row>
    <row r="892" spans="1:5">
      <c r="A892" s="473">
        <v>11903</v>
      </c>
      <c r="B892" s="473" t="s">
        <v>10552</v>
      </c>
      <c r="C892" s="473" t="s">
        <v>48</v>
      </c>
      <c r="D892" s="473" t="s">
        <v>41</v>
      </c>
      <c r="E892" s="361">
        <v>1.53</v>
      </c>
    </row>
    <row r="893" spans="1:5">
      <c r="A893" s="473">
        <v>11904</v>
      </c>
      <c r="B893" s="473" t="s">
        <v>10553</v>
      </c>
      <c r="C893" s="473" t="s">
        <v>48</v>
      </c>
      <c r="D893" s="473" t="s">
        <v>41</v>
      </c>
      <c r="E893" s="361">
        <v>1.95</v>
      </c>
    </row>
    <row r="894" spans="1:5">
      <c r="A894" s="473">
        <v>11905</v>
      </c>
      <c r="B894" s="473" t="s">
        <v>10554</v>
      </c>
      <c r="C894" s="473" t="s">
        <v>48</v>
      </c>
      <c r="D894" s="473" t="s">
        <v>41</v>
      </c>
      <c r="E894" s="361">
        <v>2.63</v>
      </c>
    </row>
    <row r="895" spans="1:5">
      <c r="A895" s="473">
        <v>11906</v>
      </c>
      <c r="B895" s="473" t="s">
        <v>10555</v>
      </c>
      <c r="C895" s="473" t="s">
        <v>48</v>
      </c>
      <c r="D895" s="473" t="s">
        <v>41</v>
      </c>
      <c r="E895" s="361">
        <v>3.02</v>
      </c>
    </row>
    <row r="896" spans="1:5">
      <c r="A896" s="473">
        <v>11919</v>
      </c>
      <c r="B896" s="473" t="s">
        <v>10556</v>
      </c>
      <c r="C896" s="473" t="s">
        <v>48</v>
      </c>
      <c r="D896" s="473" t="s">
        <v>41</v>
      </c>
      <c r="E896" s="361">
        <v>5.93</v>
      </c>
    </row>
    <row r="897" spans="1:5">
      <c r="A897" s="473">
        <v>11920</v>
      </c>
      <c r="B897" s="473" t="s">
        <v>10557</v>
      </c>
      <c r="C897" s="473" t="s">
        <v>48</v>
      </c>
      <c r="D897" s="473" t="s">
        <v>41</v>
      </c>
      <c r="E897" s="361">
        <v>11.5</v>
      </c>
    </row>
    <row r="898" spans="1:5">
      <c r="A898" s="473">
        <v>11924</v>
      </c>
      <c r="B898" s="473" t="s">
        <v>10558</v>
      </c>
      <c r="C898" s="473" t="s">
        <v>48</v>
      </c>
      <c r="D898" s="473" t="s">
        <v>41</v>
      </c>
      <c r="E898" s="361">
        <v>111.86</v>
      </c>
    </row>
    <row r="899" spans="1:5">
      <c r="A899" s="473">
        <v>11921</v>
      </c>
      <c r="B899" s="473" t="s">
        <v>10559</v>
      </c>
      <c r="C899" s="473" t="s">
        <v>48</v>
      </c>
      <c r="D899" s="473" t="s">
        <v>41</v>
      </c>
      <c r="E899" s="361">
        <v>15.66</v>
      </c>
    </row>
    <row r="900" spans="1:5">
      <c r="A900" s="473">
        <v>11922</v>
      </c>
      <c r="B900" s="473" t="s">
        <v>10560</v>
      </c>
      <c r="C900" s="473" t="s">
        <v>48</v>
      </c>
      <c r="D900" s="473" t="s">
        <v>41</v>
      </c>
      <c r="E900" s="361">
        <v>27.8</v>
      </c>
    </row>
    <row r="901" spans="1:5">
      <c r="A901" s="473">
        <v>11923</v>
      </c>
      <c r="B901" s="473" t="s">
        <v>10561</v>
      </c>
      <c r="C901" s="473" t="s">
        <v>48</v>
      </c>
      <c r="D901" s="473" t="s">
        <v>41</v>
      </c>
      <c r="E901" s="361">
        <v>45.41</v>
      </c>
    </row>
    <row r="902" spans="1:5">
      <c r="A902" s="473">
        <v>11916</v>
      </c>
      <c r="B902" s="473" t="s">
        <v>10562</v>
      </c>
      <c r="C902" s="473" t="s">
        <v>48</v>
      </c>
      <c r="D902" s="473" t="s">
        <v>41</v>
      </c>
      <c r="E902" s="361">
        <v>7.7</v>
      </c>
    </row>
    <row r="903" spans="1:5">
      <c r="A903" s="473">
        <v>11914</v>
      </c>
      <c r="B903" s="473" t="s">
        <v>10563</v>
      </c>
      <c r="C903" s="473" t="s">
        <v>48</v>
      </c>
      <c r="D903" s="473" t="s">
        <v>41</v>
      </c>
      <c r="E903" s="361">
        <v>55.94</v>
      </c>
    </row>
    <row r="904" spans="1:5">
      <c r="A904" s="473">
        <v>11917</v>
      </c>
      <c r="B904" s="473" t="s">
        <v>10564</v>
      </c>
      <c r="C904" s="473" t="s">
        <v>48</v>
      </c>
      <c r="D904" s="473" t="s">
        <v>41</v>
      </c>
      <c r="E904" s="361">
        <v>13.41</v>
      </c>
    </row>
    <row r="905" spans="1:5">
      <c r="A905" s="473">
        <v>11918</v>
      </c>
      <c r="B905" s="473" t="s">
        <v>10565</v>
      </c>
      <c r="C905" s="473" t="s">
        <v>48</v>
      </c>
      <c r="D905" s="473" t="s">
        <v>41</v>
      </c>
      <c r="E905" s="361">
        <v>18.190000000000001</v>
      </c>
    </row>
    <row r="906" spans="1:5">
      <c r="A906" s="473">
        <v>37734</v>
      </c>
      <c r="B906" s="473" t="s">
        <v>10566</v>
      </c>
      <c r="C906" s="473" t="s">
        <v>40</v>
      </c>
      <c r="D906" s="473" t="s">
        <v>47</v>
      </c>
      <c r="E906" s="361">
        <v>40756.99</v>
      </c>
    </row>
    <row r="907" spans="1:5">
      <c r="A907" s="473">
        <v>42251</v>
      </c>
      <c r="B907" s="473" t="s">
        <v>10567</v>
      </c>
      <c r="C907" s="473" t="s">
        <v>40</v>
      </c>
      <c r="D907" s="473" t="s">
        <v>47</v>
      </c>
      <c r="E907" s="361">
        <v>46282.05</v>
      </c>
    </row>
    <row r="908" spans="1:5">
      <c r="A908" s="473">
        <v>37733</v>
      </c>
      <c r="B908" s="473" t="s">
        <v>10568</v>
      </c>
      <c r="C908" s="473" t="s">
        <v>40</v>
      </c>
      <c r="D908" s="473" t="s">
        <v>47</v>
      </c>
      <c r="E908" s="361">
        <v>30559.439999999999</v>
      </c>
    </row>
    <row r="909" spans="1:5">
      <c r="A909" s="473">
        <v>37735</v>
      </c>
      <c r="B909" s="473" t="s">
        <v>10569</v>
      </c>
      <c r="C909" s="473" t="s">
        <v>40</v>
      </c>
      <c r="D909" s="473" t="s">
        <v>47</v>
      </c>
      <c r="E909" s="361">
        <v>36824.120000000003</v>
      </c>
    </row>
    <row r="910" spans="1:5">
      <c r="A910" s="473">
        <v>41758</v>
      </c>
      <c r="B910" s="473" t="s">
        <v>10570</v>
      </c>
      <c r="C910" s="473" t="s">
        <v>40</v>
      </c>
      <c r="D910" s="473" t="s">
        <v>41</v>
      </c>
      <c r="E910" s="361">
        <v>133.72999999999999</v>
      </c>
    </row>
    <row r="911" spans="1:5">
      <c r="A911" s="473">
        <v>5090</v>
      </c>
      <c r="B911" s="473" t="s">
        <v>10571</v>
      </c>
      <c r="C911" s="473" t="s">
        <v>40</v>
      </c>
      <c r="D911" s="473" t="s">
        <v>44</v>
      </c>
      <c r="E911" s="361">
        <v>15.32</v>
      </c>
    </row>
    <row r="912" spans="1:5">
      <c r="A912" s="473">
        <v>5085</v>
      </c>
      <c r="B912" s="473" t="s">
        <v>10572</v>
      </c>
      <c r="C912" s="473" t="s">
        <v>40</v>
      </c>
      <c r="D912" s="473" t="s">
        <v>41</v>
      </c>
      <c r="E912" s="361">
        <v>17.079999999999998</v>
      </c>
    </row>
    <row r="913" spans="1:5">
      <c r="A913" s="473">
        <v>38374</v>
      </c>
      <c r="B913" s="473" t="s">
        <v>10573</v>
      </c>
      <c r="C913" s="473" t="s">
        <v>40</v>
      </c>
      <c r="D913" s="473" t="s">
        <v>41</v>
      </c>
      <c r="E913" s="361">
        <v>808.58</v>
      </c>
    </row>
    <row r="914" spans="1:5">
      <c r="A914" s="473">
        <v>20212</v>
      </c>
      <c r="B914" s="473" t="s">
        <v>10574</v>
      </c>
      <c r="C914" s="473" t="s">
        <v>48</v>
      </c>
      <c r="D914" s="473" t="s">
        <v>41</v>
      </c>
      <c r="E914" s="361">
        <v>15.51</v>
      </c>
    </row>
    <row r="915" spans="1:5">
      <c r="A915" s="473">
        <v>4430</v>
      </c>
      <c r="B915" s="473" t="s">
        <v>10575</v>
      </c>
      <c r="C915" s="473" t="s">
        <v>48</v>
      </c>
      <c r="D915" s="473" t="s">
        <v>44</v>
      </c>
      <c r="E915" s="361">
        <v>9.84</v>
      </c>
    </row>
    <row r="916" spans="1:5">
      <c r="A916" s="473">
        <v>4400</v>
      </c>
      <c r="B916" s="473" t="s">
        <v>10576</v>
      </c>
      <c r="C916" s="473" t="s">
        <v>48</v>
      </c>
      <c r="D916" s="473" t="s">
        <v>41</v>
      </c>
      <c r="E916" s="361">
        <v>12.42</v>
      </c>
    </row>
    <row r="917" spans="1:5">
      <c r="A917" s="473">
        <v>4500</v>
      </c>
      <c r="B917" s="473" t="s">
        <v>10577</v>
      </c>
      <c r="C917" s="473" t="s">
        <v>48</v>
      </c>
      <c r="D917" s="473" t="s">
        <v>41</v>
      </c>
      <c r="E917" s="361">
        <v>11.76</v>
      </c>
    </row>
    <row r="918" spans="1:5">
      <c r="A918" s="473">
        <v>4513</v>
      </c>
      <c r="B918" s="473" t="s">
        <v>10578</v>
      </c>
      <c r="C918" s="473" t="s">
        <v>48</v>
      </c>
      <c r="D918" s="473" t="s">
        <v>41</v>
      </c>
      <c r="E918" s="361">
        <v>3.15</v>
      </c>
    </row>
    <row r="919" spans="1:5">
      <c r="A919" s="473">
        <v>4496</v>
      </c>
      <c r="B919" s="473" t="s">
        <v>10579</v>
      </c>
      <c r="C919" s="473" t="s">
        <v>48</v>
      </c>
      <c r="D919" s="473" t="s">
        <v>41</v>
      </c>
      <c r="E919" s="361">
        <v>6.67</v>
      </c>
    </row>
    <row r="920" spans="1:5">
      <c r="A920" s="473">
        <v>11871</v>
      </c>
      <c r="B920" s="473" t="s">
        <v>10580</v>
      </c>
      <c r="C920" s="473" t="s">
        <v>40</v>
      </c>
      <c r="D920" s="473" t="s">
        <v>47</v>
      </c>
      <c r="E920" s="361">
        <v>261</v>
      </c>
    </row>
    <row r="921" spans="1:5">
      <c r="A921" s="473">
        <v>34636</v>
      </c>
      <c r="B921" s="473" t="s">
        <v>10581</v>
      </c>
      <c r="C921" s="473" t="s">
        <v>40</v>
      </c>
      <c r="D921" s="473" t="s">
        <v>44</v>
      </c>
      <c r="E921" s="361">
        <v>335</v>
      </c>
    </row>
    <row r="922" spans="1:5">
      <c r="A922" s="473">
        <v>34639</v>
      </c>
      <c r="B922" s="473" t="s">
        <v>10582</v>
      </c>
      <c r="C922" s="473" t="s">
        <v>40</v>
      </c>
      <c r="D922" s="473" t="s">
        <v>41</v>
      </c>
      <c r="E922" s="361">
        <v>680.38</v>
      </c>
    </row>
    <row r="923" spans="1:5">
      <c r="A923" s="473">
        <v>34640</v>
      </c>
      <c r="B923" s="473" t="s">
        <v>10583</v>
      </c>
      <c r="C923" s="473" t="s">
        <v>40</v>
      </c>
      <c r="D923" s="473" t="s">
        <v>41</v>
      </c>
      <c r="E923" s="361">
        <v>764.24</v>
      </c>
    </row>
    <row r="924" spans="1:5">
      <c r="A924" s="473">
        <v>34637</v>
      </c>
      <c r="B924" s="473" t="s">
        <v>10584</v>
      </c>
      <c r="C924" s="473" t="s">
        <v>40</v>
      </c>
      <c r="D924" s="473" t="s">
        <v>41</v>
      </c>
      <c r="E924" s="361">
        <v>192.34</v>
      </c>
    </row>
    <row r="925" spans="1:5">
      <c r="A925" s="473">
        <v>34638</v>
      </c>
      <c r="B925" s="473" t="s">
        <v>10585</v>
      </c>
      <c r="C925" s="473" t="s">
        <v>40</v>
      </c>
      <c r="D925" s="473" t="s">
        <v>41</v>
      </c>
      <c r="E925" s="361">
        <v>329.83</v>
      </c>
    </row>
    <row r="926" spans="1:5">
      <c r="A926" s="473">
        <v>11868</v>
      </c>
      <c r="B926" s="473" t="s">
        <v>10586</v>
      </c>
      <c r="C926" s="473" t="s">
        <v>40</v>
      </c>
      <c r="D926" s="473" t="s">
        <v>47</v>
      </c>
      <c r="E926" s="361">
        <v>358.71</v>
      </c>
    </row>
    <row r="927" spans="1:5">
      <c r="A927" s="473">
        <v>37106</v>
      </c>
      <c r="B927" s="473" t="s">
        <v>10587</v>
      </c>
      <c r="C927" s="473" t="s">
        <v>40</v>
      </c>
      <c r="D927" s="473" t="s">
        <v>47</v>
      </c>
      <c r="E927" s="361">
        <v>3464.72</v>
      </c>
    </row>
    <row r="928" spans="1:5">
      <c r="A928" s="473">
        <v>11869</v>
      </c>
      <c r="B928" s="473" t="s">
        <v>10588</v>
      </c>
      <c r="C928" s="473" t="s">
        <v>40</v>
      </c>
      <c r="D928" s="473" t="s">
        <v>47</v>
      </c>
      <c r="E928" s="361">
        <v>582</v>
      </c>
    </row>
    <row r="929" spans="1:5">
      <c r="A929" s="473">
        <v>37104</v>
      </c>
      <c r="B929" s="473" t="s">
        <v>10589</v>
      </c>
      <c r="C929" s="473" t="s">
        <v>40</v>
      </c>
      <c r="D929" s="473" t="s">
        <v>47</v>
      </c>
      <c r="E929" s="361">
        <v>750.23</v>
      </c>
    </row>
    <row r="930" spans="1:5">
      <c r="A930" s="473">
        <v>37105</v>
      </c>
      <c r="B930" s="473" t="s">
        <v>10590</v>
      </c>
      <c r="C930" s="473" t="s">
        <v>40</v>
      </c>
      <c r="D930" s="473" t="s">
        <v>47</v>
      </c>
      <c r="E930" s="361">
        <v>1670.88</v>
      </c>
    </row>
    <row r="931" spans="1:5">
      <c r="A931" s="473">
        <v>11638</v>
      </c>
      <c r="B931" s="473" t="s">
        <v>10591</v>
      </c>
      <c r="C931" s="473" t="s">
        <v>40</v>
      </c>
      <c r="D931" s="473" t="s">
        <v>47</v>
      </c>
      <c r="E931" s="361">
        <v>105.51</v>
      </c>
    </row>
    <row r="932" spans="1:5">
      <c r="A932" s="473">
        <v>1030</v>
      </c>
      <c r="B932" s="473" t="s">
        <v>10592</v>
      </c>
      <c r="C932" s="473" t="s">
        <v>40</v>
      </c>
      <c r="D932" s="473" t="s">
        <v>44</v>
      </c>
      <c r="E932" s="361">
        <v>27.7</v>
      </c>
    </row>
    <row r="933" spans="1:5">
      <c r="A933" s="473">
        <v>11694</v>
      </c>
      <c r="B933" s="473" t="s">
        <v>10593</v>
      </c>
      <c r="C933" s="473" t="s">
        <v>40</v>
      </c>
      <c r="D933" s="473" t="s">
        <v>41</v>
      </c>
      <c r="E933" s="361">
        <v>612.30999999999995</v>
      </c>
    </row>
    <row r="934" spans="1:5">
      <c r="A934" s="473">
        <v>35277</v>
      </c>
      <c r="B934" s="473" t="s">
        <v>10594</v>
      </c>
      <c r="C934" s="473" t="s">
        <v>40</v>
      </c>
      <c r="D934" s="473" t="s">
        <v>41</v>
      </c>
      <c r="E934" s="361">
        <v>390.35</v>
      </c>
    </row>
    <row r="935" spans="1:5">
      <c r="A935" s="473">
        <v>10521</v>
      </c>
      <c r="B935" s="473" t="s">
        <v>10595</v>
      </c>
      <c r="C935" s="473" t="s">
        <v>40</v>
      </c>
      <c r="D935" s="473" t="s">
        <v>41</v>
      </c>
      <c r="E935" s="361">
        <v>207.23</v>
      </c>
    </row>
    <row r="936" spans="1:5">
      <c r="A936" s="473">
        <v>10885</v>
      </c>
      <c r="B936" s="473" t="s">
        <v>10596</v>
      </c>
      <c r="C936" s="473" t="s">
        <v>40</v>
      </c>
      <c r="D936" s="473" t="s">
        <v>41</v>
      </c>
      <c r="E936" s="361">
        <v>262.12</v>
      </c>
    </row>
    <row r="937" spans="1:5">
      <c r="A937" s="473">
        <v>20962</v>
      </c>
      <c r="B937" s="473" t="s">
        <v>10597</v>
      </c>
      <c r="C937" s="473" t="s">
        <v>40</v>
      </c>
      <c r="D937" s="473" t="s">
        <v>44</v>
      </c>
      <c r="E937" s="361">
        <v>217.1</v>
      </c>
    </row>
    <row r="938" spans="1:5">
      <c r="A938" s="473">
        <v>20963</v>
      </c>
      <c r="B938" s="473" t="s">
        <v>10598</v>
      </c>
      <c r="C938" s="473" t="s">
        <v>40</v>
      </c>
      <c r="D938" s="473" t="s">
        <v>41</v>
      </c>
      <c r="E938" s="361">
        <v>265.2</v>
      </c>
    </row>
    <row r="939" spans="1:5">
      <c r="A939" s="473">
        <v>2555</v>
      </c>
      <c r="B939" s="473" t="s">
        <v>10599</v>
      </c>
      <c r="C939" s="473" t="s">
        <v>40</v>
      </c>
      <c r="D939" s="473" t="s">
        <v>41</v>
      </c>
      <c r="E939" s="361">
        <v>1.98</v>
      </c>
    </row>
    <row r="940" spans="1:5">
      <c r="A940" s="473">
        <v>2556</v>
      </c>
      <c r="B940" s="473" t="s">
        <v>10600</v>
      </c>
      <c r="C940" s="473" t="s">
        <v>40</v>
      </c>
      <c r="D940" s="473" t="s">
        <v>41</v>
      </c>
      <c r="E940" s="361">
        <v>1.84</v>
      </c>
    </row>
    <row r="941" spans="1:5">
      <c r="A941" s="473">
        <v>2557</v>
      </c>
      <c r="B941" s="473" t="s">
        <v>10601</v>
      </c>
      <c r="C941" s="473" t="s">
        <v>40</v>
      </c>
      <c r="D941" s="473" t="s">
        <v>41</v>
      </c>
      <c r="E941" s="361">
        <v>3.87</v>
      </c>
    </row>
    <row r="942" spans="1:5">
      <c r="A942" s="473">
        <v>39810</v>
      </c>
      <c r="B942" s="473" t="s">
        <v>10602</v>
      </c>
      <c r="C942" s="473" t="s">
        <v>40</v>
      </c>
      <c r="D942" s="473" t="s">
        <v>41</v>
      </c>
      <c r="E942" s="361">
        <v>14.01</v>
      </c>
    </row>
    <row r="943" spans="1:5">
      <c r="A943" s="473">
        <v>39811</v>
      </c>
      <c r="B943" s="473" t="s">
        <v>10603</v>
      </c>
      <c r="C943" s="473" t="s">
        <v>40</v>
      </c>
      <c r="D943" s="473" t="s">
        <v>41</v>
      </c>
      <c r="E943" s="361">
        <v>17.75</v>
      </c>
    </row>
    <row r="944" spans="1:5">
      <c r="A944" s="473">
        <v>39812</v>
      </c>
      <c r="B944" s="473" t="s">
        <v>10604</v>
      </c>
      <c r="C944" s="473" t="s">
        <v>40</v>
      </c>
      <c r="D944" s="473" t="s">
        <v>41</v>
      </c>
      <c r="E944" s="361">
        <v>27.07</v>
      </c>
    </row>
    <row r="945" spans="1:5">
      <c r="A945" s="473">
        <v>20254</v>
      </c>
      <c r="B945" s="473" t="s">
        <v>10605</v>
      </c>
      <c r="C945" s="473" t="s">
        <v>40</v>
      </c>
      <c r="D945" s="473" t="s">
        <v>41</v>
      </c>
      <c r="E945" s="361">
        <v>21.36</v>
      </c>
    </row>
    <row r="946" spans="1:5">
      <c r="A946" s="473">
        <v>39771</v>
      </c>
      <c r="B946" s="473" t="s">
        <v>10606</v>
      </c>
      <c r="C946" s="473" t="s">
        <v>40</v>
      </c>
      <c r="D946" s="473" t="s">
        <v>41</v>
      </c>
      <c r="E946" s="361">
        <v>35.380000000000003</v>
      </c>
    </row>
    <row r="947" spans="1:5">
      <c r="A947" s="473">
        <v>20255</v>
      </c>
      <c r="B947" s="473" t="s">
        <v>10607</v>
      </c>
      <c r="C947" s="473" t="s">
        <v>40</v>
      </c>
      <c r="D947" s="473" t="s">
        <v>41</v>
      </c>
      <c r="E947" s="361">
        <v>58.45</v>
      </c>
    </row>
    <row r="948" spans="1:5">
      <c r="A948" s="473">
        <v>39772</v>
      </c>
      <c r="B948" s="473" t="s">
        <v>10608</v>
      </c>
      <c r="C948" s="473" t="s">
        <v>40</v>
      </c>
      <c r="D948" s="473" t="s">
        <v>41</v>
      </c>
      <c r="E948" s="361">
        <v>70.069999999999993</v>
      </c>
    </row>
    <row r="949" spans="1:5">
      <c r="A949" s="473">
        <v>20253</v>
      </c>
      <c r="B949" s="473" t="s">
        <v>10609</v>
      </c>
      <c r="C949" s="473" t="s">
        <v>40</v>
      </c>
      <c r="D949" s="473" t="s">
        <v>41</v>
      </c>
      <c r="E949" s="361">
        <v>122.16</v>
      </c>
    </row>
    <row r="950" spans="1:5">
      <c r="A950" s="473">
        <v>39773</v>
      </c>
      <c r="B950" s="473" t="s">
        <v>10610</v>
      </c>
      <c r="C950" s="473" t="s">
        <v>40</v>
      </c>
      <c r="D950" s="473" t="s">
        <v>41</v>
      </c>
      <c r="E950" s="361">
        <v>126.89</v>
      </c>
    </row>
    <row r="951" spans="1:5">
      <c r="A951" s="473">
        <v>39774</v>
      </c>
      <c r="B951" s="473" t="s">
        <v>10611</v>
      </c>
      <c r="C951" s="473" t="s">
        <v>40</v>
      </c>
      <c r="D951" s="473" t="s">
        <v>41</v>
      </c>
      <c r="E951" s="361">
        <v>164.87</v>
      </c>
    </row>
    <row r="952" spans="1:5">
      <c r="A952" s="473">
        <v>39775</v>
      </c>
      <c r="B952" s="473" t="s">
        <v>10612</v>
      </c>
      <c r="C952" s="473" t="s">
        <v>40</v>
      </c>
      <c r="D952" s="473" t="s">
        <v>41</v>
      </c>
      <c r="E952" s="361">
        <v>288.74</v>
      </c>
    </row>
    <row r="953" spans="1:5">
      <c r="A953" s="473">
        <v>39776</v>
      </c>
      <c r="B953" s="473" t="s">
        <v>10613</v>
      </c>
      <c r="C953" s="473" t="s">
        <v>40</v>
      </c>
      <c r="D953" s="473" t="s">
        <v>41</v>
      </c>
      <c r="E953" s="361">
        <v>355.37</v>
      </c>
    </row>
    <row r="954" spans="1:5">
      <c r="A954" s="473">
        <v>39777</v>
      </c>
      <c r="B954" s="473" t="s">
        <v>10614</v>
      </c>
      <c r="C954" s="473" t="s">
        <v>40</v>
      </c>
      <c r="D954" s="473" t="s">
        <v>41</v>
      </c>
      <c r="E954" s="361">
        <v>426.45</v>
      </c>
    </row>
    <row r="955" spans="1:5">
      <c r="A955" s="473">
        <v>11250</v>
      </c>
      <c r="B955" s="473" t="s">
        <v>10615</v>
      </c>
      <c r="C955" s="473" t="s">
        <v>40</v>
      </c>
      <c r="D955" s="473" t="s">
        <v>41</v>
      </c>
      <c r="E955" s="361">
        <v>63.33</v>
      </c>
    </row>
    <row r="956" spans="1:5">
      <c r="A956" s="473">
        <v>39766</v>
      </c>
      <c r="B956" s="473" t="s">
        <v>10616</v>
      </c>
      <c r="C956" s="473" t="s">
        <v>40</v>
      </c>
      <c r="D956" s="473" t="s">
        <v>41</v>
      </c>
      <c r="E956" s="361">
        <v>77.290000000000006</v>
      </c>
    </row>
    <row r="957" spans="1:5">
      <c r="A957" s="473">
        <v>11251</v>
      </c>
      <c r="B957" s="473" t="s">
        <v>10617</v>
      </c>
      <c r="C957" s="473" t="s">
        <v>40</v>
      </c>
      <c r="D957" s="473" t="s">
        <v>41</v>
      </c>
      <c r="E957" s="361">
        <v>133.26</v>
      </c>
    </row>
    <row r="958" spans="1:5">
      <c r="A958" s="473">
        <v>39767</v>
      </c>
      <c r="B958" s="473" t="s">
        <v>10618</v>
      </c>
      <c r="C958" s="473" t="s">
        <v>40</v>
      </c>
      <c r="D958" s="473" t="s">
        <v>41</v>
      </c>
      <c r="E958" s="361">
        <v>175.46</v>
      </c>
    </row>
    <row r="959" spans="1:5">
      <c r="A959" s="473">
        <v>11253</v>
      </c>
      <c r="B959" s="473" t="s">
        <v>10619</v>
      </c>
      <c r="C959" s="473" t="s">
        <v>40</v>
      </c>
      <c r="D959" s="473" t="s">
        <v>41</v>
      </c>
      <c r="E959" s="361">
        <v>262.08999999999997</v>
      </c>
    </row>
    <row r="960" spans="1:5">
      <c r="A960" s="473">
        <v>11254</v>
      </c>
      <c r="B960" s="473" t="s">
        <v>10620</v>
      </c>
      <c r="C960" s="473" t="s">
        <v>40</v>
      </c>
      <c r="D960" s="473" t="s">
        <v>41</v>
      </c>
      <c r="E960" s="361">
        <v>281.58</v>
      </c>
    </row>
    <row r="961" spans="1:5">
      <c r="A961" s="473">
        <v>11255</v>
      </c>
      <c r="B961" s="473" t="s">
        <v>10621</v>
      </c>
      <c r="C961" s="473" t="s">
        <v>40</v>
      </c>
      <c r="D961" s="473" t="s">
        <v>41</v>
      </c>
      <c r="E961" s="361">
        <v>426.45</v>
      </c>
    </row>
    <row r="962" spans="1:5">
      <c r="A962" s="473">
        <v>11256</v>
      </c>
      <c r="B962" s="473" t="s">
        <v>10622</v>
      </c>
      <c r="C962" s="473" t="s">
        <v>40</v>
      </c>
      <c r="D962" s="473" t="s">
        <v>41</v>
      </c>
      <c r="E962" s="361">
        <v>488</v>
      </c>
    </row>
    <row r="963" spans="1:5">
      <c r="A963" s="473">
        <v>14055</v>
      </c>
      <c r="B963" s="473" t="s">
        <v>10623</v>
      </c>
      <c r="C963" s="473" t="s">
        <v>40</v>
      </c>
      <c r="D963" s="473" t="s">
        <v>41</v>
      </c>
      <c r="E963" s="361">
        <v>865.7</v>
      </c>
    </row>
    <row r="964" spans="1:5">
      <c r="A964" s="473">
        <v>39768</v>
      </c>
      <c r="B964" s="473" t="s">
        <v>10624</v>
      </c>
      <c r="C964" s="473" t="s">
        <v>40</v>
      </c>
      <c r="D964" s="473" t="s">
        <v>41</v>
      </c>
      <c r="E964" s="361">
        <v>923.71</v>
      </c>
    </row>
    <row r="965" spans="1:5">
      <c r="A965" s="473">
        <v>11247</v>
      </c>
      <c r="B965" s="473" t="s">
        <v>10625</v>
      </c>
      <c r="C965" s="473" t="s">
        <v>40</v>
      </c>
      <c r="D965" s="473" t="s">
        <v>41</v>
      </c>
      <c r="E965" s="361">
        <v>1240.21</v>
      </c>
    </row>
    <row r="966" spans="1:5">
      <c r="A966" s="473">
        <v>39769</v>
      </c>
      <c r="B966" s="473" t="s">
        <v>10626</v>
      </c>
      <c r="C966" s="473" t="s">
        <v>40</v>
      </c>
      <c r="D966" s="473" t="s">
        <v>41</v>
      </c>
      <c r="E966" s="361">
        <v>1503.51</v>
      </c>
    </row>
    <row r="967" spans="1:5">
      <c r="A967" s="473">
        <v>11249</v>
      </c>
      <c r="B967" s="473" t="s">
        <v>10627</v>
      </c>
      <c r="C967" s="473" t="s">
        <v>40</v>
      </c>
      <c r="D967" s="473" t="s">
        <v>41</v>
      </c>
      <c r="E967" s="361">
        <v>4053.79</v>
      </c>
    </row>
    <row r="968" spans="1:5">
      <c r="A968" s="473">
        <v>39770</v>
      </c>
      <c r="B968" s="473" t="s">
        <v>10628</v>
      </c>
      <c r="C968" s="473" t="s">
        <v>40</v>
      </c>
      <c r="D968" s="473" t="s">
        <v>41</v>
      </c>
      <c r="E968" s="361">
        <v>5271.14</v>
      </c>
    </row>
    <row r="969" spans="1:5">
      <c r="A969" s="473">
        <v>10569</v>
      </c>
      <c r="B969" s="473" t="s">
        <v>10629</v>
      </c>
      <c r="C969" s="473" t="s">
        <v>40</v>
      </c>
      <c r="D969" s="473" t="s">
        <v>41</v>
      </c>
      <c r="E969" s="361">
        <v>3.85</v>
      </c>
    </row>
    <row r="970" spans="1:5">
      <c r="A970" s="473">
        <v>1872</v>
      </c>
      <c r="B970" s="473" t="s">
        <v>10630</v>
      </c>
      <c r="C970" s="473" t="s">
        <v>40</v>
      </c>
      <c r="D970" s="473" t="s">
        <v>41</v>
      </c>
      <c r="E970" s="361">
        <v>1.54</v>
      </c>
    </row>
    <row r="971" spans="1:5">
      <c r="A971" s="473">
        <v>1873</v>
      </c>
      <c r="B971" s="473" t="s">
        <v>10631</v>
      </c>
      <c r="C971" s="473" t="s">
        <v>40</v>
      </c>
      <c r="D971" s="473" t="s">
        <v>41</v>
      </c>
      <c r="E971" s="361">
        <v>3.06</v>
      </c>
    </row>
    <row r="972" spans="1:5">
      <c r="A972" s="473">
        <v>39693</v>
      </c>
      <c r="B972" s="473" t="s">
        <v>10632</v>
      </c>
      <c r="C972" s="473" t="s">
        <v>40</v>
      </c>
      <c r="D972" s="473" t="s">
        <v>41</v>
      </c>
      <c r="E972" s="361">
        <v>2313.33</v>
      </c>
    </row>
    <row r="973" spans="1:5">
      <c r="A973" s="473">
        <v>39692</v>
      </c>
      <c r="B973" s="473" t="s">
        <v>10633</v>
      </c>
      <c r="C973" s="473" t="s">
        <v>40</v>
      </c>
      <c r="D973" s="473" t="s">
        <v>41</v>
      </c>
      <c r="E973" s="361">
        <v>389.41</v>
      </c>
    </row>
    <row r="974" spans="1:5">
      <c r="A974" s="473">
        <v>39681</v>
      </c>
      <c r="B974" s="473" t="s">
        <v>10634</v>
      </c>
      <c r="C974" s="473" t="s">
        <v>40</v>
      </c>
      <c r="D974" s="473" t="s">
        <v>41</v>
      </c>
      <c r="E974" s="361">
        <v>219.89</v>
      </c>
    </row>
    <row r="975" spans="1:5">
      <c r="A975" s="473">
        <v>39680</v>
      </c>
      <c r="B975" s="473" t="s">
        <v>10635</v>
      </c>
      <c r="C975" s="473" t="s">
        <v>40</v>
      </c>
      <c r="D975" s="473" t="s">
        <v>41</v>
      </c>
      <c r="E975" s="361">
        <v>113.27</v>
      </c>
    </row>
    <row r="976" spans="1:5">
      <c r="A976" s="473">
        <v>39682</v>
      </c>
      <c r="B976" s="473" t="s">
        <v>10636</v>
      </c>
      <c r="C976" s="473" t="s">
        <v>40</v>
      </c>
      <c r="D976" s="473" t="s">
        <v>41</v>
      </c>
      <c r="E976" s="361">
        <v>222.11</v>
      </c>
    </row>
    <row r="977" spans="1:5">
      <c r="A977" s="473">
        <v>39685</v>
      </c>
      <c r="B977" s="473" t="s">
        <v>10637</v>
      </c>
      <c r="C977" s="473" t="s">
        <v>40</v>
      </c>
      <c r="D977" s="473" t="s">
        <v>41</v>
      </c>
      <c r="E977" s="361">
        <v>188.42</v>
      </c>
    </row>
    <row r="978" spans="1:5">
      <c r="A978" s="473">
        <v>39687</v>
      </c>
      <c r="B978" s="473" t="s">
        <v>10638</v>
      </c>
      <c r="C978" s="473" t="s">
        <v>40</v>
      </c>
      <c r="D978" s="473" t="s">
        <v>41</v>
      </c>
      <c r="E978" s="361">
        <v>355.2</v>
      </c>
    </row>
    <row r="979" spans="1:5">
      <c r="A979" s="473">
        <v>3280</v>
      </c>
      <c r="B979" s="473" t="s">
        <v>10639</v>
      </c>
      <c r="C979" s="473" t="s">
        <v>40</v>
      </c>
      <c r="D979" s="473" t="s">
        <v>41</v>
      </c>
      <c r="E979" s="361">
        <v>148.72</v>
      </c>
    </row>
    <row r="980" spans="1:5">
      <c r="A980" s="473">
        <v>11881</v>
      </c>
      <c r="B980" s="473" t="s">
        <v>10640</v>
      </c>
      <c r="C980" s="473" t="s">
        <v>40</v>
      </c>
      <c r="D980" s="473" t="s">
        <v>41</v>
      </c>
      <c r="E980" s="361">
        <v>69.069999999999993</v>
      </c>
    </row>
    <row r="981" spans="1:5">
      <c r="A981" s="473">
        <v>34641</v>
      </c>
      <c r="B981" s="473" t="s">
        <v>10641</v>
      </c>
      <c r="C981" s="473" t="s">
        <v>40</v>
      </c>
      <c r="D981" s="473" t="s">
        <v>41</v>
      </c>
      <c r="E981" s="361">
        <v>55.7</v>
      </c>
    </row>
    <row r="982" spans="1:5">
      <c r="A982" s="473">
        <v>34643</v>
      </c>
      <c r="B982" s="473" t="s">
        <v>10642</v>
      </c>
      <c r="C982" s="473" t="s">
        <v>40</v>
      </c>
      <c r="D982" s="473" t="s">
        <v>41</v>
      </c>
      <c r="E982" s="361">
        <v>12.63</v>
      </c>
    </row>
    <row r="983" spans="1:5">
      <c r="A983" s="473">
        <v>3278</v>
      </c>
      <c r="B983" s="473" t="s">
        <v>10643</v>
      </c>
      <c r="C983" s="473" t="s">
        <v>40</v>
      </c>
      <c r="D983" s="473" t="s">
        <v>41</v>
      </c>
      <c r="E983" s="361">
        <v>77.98</v>
      </c>
    </row>
    <row r="984" spans="1:5">
      <c r="A984" s="473">
        <v>3279</v>
      </c>
      <c r="B984" s="473" t="s">
        <v>10644</v>
      </c>
      <c r="C984" s="473" t="s">
        <v>40</v>
      </c>
      <c r="D984" s="473" t="s">
        <v>41</v>
      </c>
      <c r="E984" s="361">
        <v>128.66999999999999</v>
      </c>
    </row>
    <row r="985" spans="1:5">
      <c r="A985" s="473">
        <v>1062</v>
      </c>
      <c r="B985" s="473" t="s">
        <v>10645</v>
      </c>
      <c r="C985" s="473" t="s">
        <v>40</v>
      </c>
      <c r="D985" s="473" t="s">
        <v>44</v>
      </c>
      <c r="E985" s="361">
        <v>199.9</v>
      </c>
    </row>
    <row r="986" spans="1:5">
      <c r="A986" s="473">
        <v>39686</v>
      </c>
      <c r="B986" s="473" t="s">
        <v>10646</v>
      </c>
      <c r="C986" s="473" t="s">
        <v>40</v>
      </c>
      <c r="D986" s="473" t="s">
        <v>41</v>
      </c>
      <c r="E986" s="361">
        <v>340.98</v>
      </c>
    </row>
    <row r="987" spans="1:5">
      <c r="A987" s="473">
        <v>39683</v>
      </c>
      <c r="B987" s="473" t="s">
        <v>10647</v>
      </c>
      <c r="C987" s="473" t="s">
        <v>40</v>
      </c>
      <c r="D987" s="473" t="s">
        <v>41</v>
      </c>
      <c r="E987" s="361">
        <v>69.34</v>
      </c>
    </row>
    <row r="988" spans="1:5">
      <c r="A988" s="473">
        <v>1871</v>
      </c>
      <c r="B988" s="473" t="s">
        <v>10648</v>
      </c>
      <c r="C988" s="473" t="s">
        <v>40</v>
      </c>
      <c r="D988" s="473" t="s">
        <v>41</v>
      </c>
      <c r="E988" s="361">
        <v>2.75</v>
      </c>
    </row>
    <row r="989" spans="1:5">
      <c r="A989" s="473">
        <v>12001</v>
      </c>
      <c r="B989" s="473" t="s">
        <v>10649</v>
      </c>
      <c r="C989" s="473" t="s">
        <v>40</v>
      </c>
      <c r="D989" s="473" t="s">
        <v>41</v>
      </c>
      <c r="E989" s="361">
        <v>3.97</v>
      </c>
    </row>
    <row r="990" spans="1:5">
      <c r="A990" s="473">
        <v>11882</v>
      </c>
      <c r="B990" s="473" t="s">
        <v>10650</v>
      </c>
      <c r="C990" s="473" t="s">
        <v>40</v>
      </c>
      <c r="D990" s="473" t="s">
        <v>41</v>
      </c>
      <c r="E990" s="361">
        <v>77.98</v>
      </c>
    </row>
    <row r="991" spans="1:5">
      <c r="A991" s="473">
        <v>39689</v>
      </c>
      <c r="B991" s="473" t="s">
        <v>10651</v>
      </c>
      <c r="C991" s="473" t="s">
        <v>40</v>
      </c>
      <c r="D991" s="473" t="s">
        <v>41</v>
      </c>
      <c r="E991" s="361">
        <v>4442.22</v>
      </c>
    </row>
    <row r="992" spans="1:5">
      <c r="A992" s="473">
        <v>39688</v>
      </c>
      <c r="B992" s="473" t="s">
        <v>10652</v>
      </c>
      <c r="C992" s="473" t="s">
        <v>40</v>
      </c>
      <c r="D992" s="473" t="s">
        <v>41</v>
      </c>
      <c r="E992" s="361">
        <v>641.9</v>
      </c>
    </row>
    <row r="993" spans="1:5">
      <c r="A993" s="473">
        <v>1068</v>
      </c>
      <c r="B993" s="473" t="s">
        <v>10653</v>
      </c>
      <c r="C993" s="473" t="s">
        <v>40</v>
      </c>
      <c r="D993" s="473" t="s">
        <v>41</v>
      </c>
      <c r="E993" s="361">
        <v>2680.88</v>
      </c>
    </row>
    <row r="994" spans="1:5">
      <c r="A994" s="473">
        <v>39690</v>
      </c>
      <c r="B994" s="473" t="s">
        <v>10654</v>
      </c>
      <c r="C994" s="473" t="s">
        <v>40</v>
      </c>
      <c r="D994" s="473" t="s">
        <v>41</v>
      </c>
      <c r="E994" s="361">
        <v>6030.31</v>
      </c>
    </row>
    <row r="995" spans="1:5">
      <c r="A995" s="473">
        <v>39691</v>
      </c>
      <c r="B995" s="473" t="s">
        <v>10655</v>
      </c>
      <c r="C995" s="473" t="s">
        <v>40</v>
      </c>
      <c r="D995" s="473" t="s">
        <v>41</v>
      </c>
      <c r="E995" s="361">
        <v>6741.07</v>
      </c>
    </row>
    <row r="996" spans="1:5">
      <c r="A996" s="473">
        <v>39808</v>
      </c>
      <c r="B996" s="473" t="s">
        <v>10656</v>
      </c>
      <c r="C996" s="473" t="s">
        <v>40</v>
      </c>
      <c r="D996" s="473" t="s">
        <v>41</v>
      </c>
      <c r="E996" s="361">
        <v>51.73</v>
      </c>
    </row>
    <row r="997" spans="1:5">
      <c r="A997" s="473">
        <v>39809</v>
      </c>
      <c r="B997" s="473" t="s">
        <v>10657</v>
      </c>
      <c r="C997" s="473" t="s">
        <v>40</v>
      </c>
      <c r="D997" s="473" t="s">
        <v>41</v>
      </c>
      <c r="E997" s="361">
        <v>142.80000000000001</v>
      </c>
    </row>
    <row r="998" spans="1:5">
      <c r="A998" s="473">
        <v>11713</v>
      </c>
      <c r="B998" s="473" t="s">
        <v>10658</v>
      </c>
      <c r="C998" s="473" t="s">
        <v>40</v>
      </c>
      <c r="D998" s="473" t="s">
        <v>41</v>
      </c>
      <c r="E998" s="361">
        <v>27.42</v>
      </c>
    </row>
    <row r="999" spans="1:5">
      <c r="A999" s="473">
        <v>11716</v>
      </c>
      <c r="B999" s="473" t="s">
        <v>10659</v>
      </c>
      <c r="C999" s="473" t="s">
        <v>40</v>
      </c>
      <c r="D999" s="473" t="s">
        <v>41</v>
      </c>
      <c r="E999" s="361">
        <v>11.71</v>
      </c>
    </row>
    <row r="1000" spans="1:5">
      <c r="A1000" s="473">
        <v>5103</v>
      </c>
      <c r="B1000" s="473" t="s">
        <v>10660</v>
      </c>
      <c r="C1000" s="473" t="s">
        <v>40</v>
      </c>
      <c r="D1000" s="473" t="s">
        <v>41</v>
      </c>
      <c r="E1000" s="361">
        <v>11.87</v>
      </c>
    </row>
    <row r="1001" spans="1:5">
      <c r="A1001" s="473">
        <v>11712</v>
      </c>
      <c r="B1001" s="473" t="s">
        <v>10661</v>
      </c>
      <c r="C1001" s="473" t="s">
        <v>40</v>
      </c>
      <c r="D1001" s="473" t="s">
        <v>44</v>
      </c>
      <c r="E1001" s="361">
        <v>27.65</v>
      </c>
    </row>
    <row r="1002" spans="1:5">
      <c r="A1002" s="473">
        <v>11717</v>
      </c>
      <c r="B1002" s="473" t="s">
        <v>10662</v>
      </c>
      <c r="C1002" s="473" t="s">
        <v>40</v>
      </c>
      <c r="D1002" s="473" t="s">
        <v>41</v>
      </c>
      <c r="E1002" s="361">
        <v>30.04</v>
      </c>
    </row>
    <row r="1003" spans="1:5">
      <c r="A1003" s="473">
        <v>11714</v>
      </c>
      <c r="B1003" s="473" t="s">
        <v>10663</v>
      </c>
      <c r="C1003" s="473" t="s">
        <v>40</v>
      </c>
      <c r="D1003" s="473" t="s">
        <v>41</v>
      </c>
      <c r="E1003" s="361">
        <v>37.380000000000003</v>
      </c>
    </row>
    <row r="1004" spans="1:5">
      <c r="A1004" s="473">
        <v>11715</v>
      </c>
      <c r="B1004" s="473" t="s">
        <v>10664</v>
      </c>
      <c r="C1004" s="473" t="s">
        <v>40</v>
      </c>
      <c r="D1004" s="473" t="s">
        <v>41</v>
      </c>
      <c r="E1004" s="361">
        <v>43.01</v>
      </c>
    </row>
    <row r="1005" spans="1:5">
      <c r="A1005" s="473">
        <v>11880</v>
      </c>
      <c r="B1005" s="473" t="s">
        <v>10665</v>
      </c>
      <c r="C1005" s="473" t="s">
        <v>40</v>
      </c>
      <c r="D1005" s="473" t="s">
        <v>41</v>
      </c>
      <c r="E1005" s="361">
        <v>77.31</v>
      </c>
    </row>
    <row r="1006" spans="1:5">
      <c r="A1006" s="473">
        <v>1106</v>
      </c>
      <c r="B1006" s="473" t="s">
        <v>10666</v>
      </c>
      <c r="C1006" s="473" t="s">
        <v>49</v>
      </c>
      <c r="D1006" s="473" t="s">
        <v>44</v>
      </c>
      <c r="E1006" s="361">
        <v>0.74</v>
      </c>
    </row>
    <row r="1007" spans="1:5">
      <c r="A1007" s="473">
        <v>11161</v>
      </c>
      <c r="B1007" s="473" t="s">
        <v>10667</v>
      </c>
      <c r="C1007" s="473" t="s">
        <v>49</v>
      </c>
      <c r="D1007" s="473" t="s">
        <v>41</v>
      </c>
      <c r="E1007" s="361">
        <v>1.23</v>
      </c>
    </row>
    <row r="1008" spans="1:5">
      <c r="A1008" s="473">
        <v>1107</v>
      </c>
      <c r="B1008" s="473" t="s">
        <v>10668</v>
      </c>
      <c r="C1008" s="473" t="s">
        <v>49</v>
      </c>
      <c r="D1008" s="473" t="s">
        <v>41</v>
      </c>
      <c r="E1008" s="361">
        <v>0.85</v>
      </c>
    </row>
    <row r="1009" spans="1:5">
      <c r="A1009" s="473">
        <v>4758</v>
      </c>
      <c r="B1009" s="473" t="s">
        <v>10669</v>
      </c>
      <c r="C1009" s="473" t="s">
        <v>43</v>
      </c>
      <c r="D1009" s="473" t="s">
        <v>41</v>
      </c>
      <c r="E1009" s="361">
        <v>16.5</v>
      </c>
    </row>
    <row r="1010" spans="1:5">
      <c r="A1010" s="473">
        <v>41080</v>
      </c>
      <c r="B1010" s="473" t="s">
        <v>10670</v>
      </c>
      <c r="C1010" s="473" t="s">
        <v>53</v>
      </c>
      <c r="D1010" s="473" t="s">
        <v>41</v>
      </c>
      <c r="E1010" s="361">
        <v>2940.82</v>
      </c>
    </row>
    <row r="1011" spans="1:5">
      <c r="A1011" s="473">
        <v>25963</v>
      </c>
      <c r="B1011" s="473" t="s">
        <v>10671</v>
      </c>
      <c r="C1011" s="473" t="s">
        <v>49</v>
      </c>
      <c r="D1011" s="473" t="s">
        <v>41</v>
      </c>
      <c r="E1011" s="361">
        <v>0.11</v>
      </c>
    </row>
    <row r="1012" spans="1:5">
      <c r="A1012" s="473">
        <v>4759</v>
      </c>
      <c r="B1012" s="473" t="s">
        <v>10672</v>
      </c>
      <c r="C1012" s="473" t="s">
        <v>43</v>
      </c>
      <c r="D1012" s="473" t="s">
        <v>41</v>
      </c>
      <c r="E1012" s="361">
        <v>12.53</v>
      </c>
    </row>
    <row r="1013" spans="1:5">
      <c r="A1013" s="473">
        <v>41068</v>
      </c>
      <c r="B1013" s="473" t="s">
        <v>10673</v>
      </c>
      <c r="C1013" s="473" t="s">
        <v>53</v>
      </c>
      <c r="D1013" s="473" t="s">
        <v>41</v>
      </c>
      <c r="E1013" s="361">
        <v>2234.96</v>
      </c>
    </row>
    <row r="1014" spans="1:5">
      <c r="A1014" s="473">
        <v>1108</v>
      </c>
      <c r="B1014" s="473" t="s">
        <v>10674</v>
      </c>
      <c r="C1014" s="473" t="s">
        <v>48</v>
      </c>
      <c r="D1014" s="473" t="s">
        <v>41</v>
      </c>
      <c r="E1014" s="361">
        <v>19.02</v>
      </c>
    </row>
    <row r="1015" spans="1:5">
      <c r="A1015" s="473">
        <v>1117</v>
      </c>
      <c r="B1015" s="473" t="s">
        <v>10675</v>
      </c>
      <c r="C1015" s="473" t="s">
        <v>48</v>
      </c>
      <c r="D1015" s="473" t="s">
        <v>41</v>
      </c>
      <c r="E1015" s="361">
        <v>22.08</v>
      </c>
    </row>
    <row r="1016" spans="1:5">
      <c r="A1016" s="473">
        <v>1118</v>
      </c>
      <c r="B1016" s="473" t="s">
        <v>10676</v>
      </c>
      <c r="C1016" s="473" t="s">
        <v>48</v>
      </c>
      <c r="D1016" s="473" t="s">
        <v>41</v>
      </c>
      <c r="E1016" s="361">
        <v>28.4</v>
      </c>
    </row>
    <row r="1017" spans="1:5">
      <c r="A1017" s="473">
        <v>1110</v>
      </c>
      <c r="B1017" s="473" t="s">
        <v>10677</v>
      </c>
      <c r="C1017" s="473" t="s">
        <v>48</v>
      </c>
      <c r="D1017" s="473" t="s">
        <v>41</v>
      </c>
      <c r="E1017" s="361">
        <v>28.4</v>
      </c>
    </row>
    <row r="1018" spans="1:5">
      <c r="A1018" s="473">
        <v>12618</v>
      </c>
      <c r="B1018" s="473" t="s">
        <v>10678</v>
      </c>
      <c r="C1018" s="473" t="s">
        <v>40</v>
      </c>
      <c r="D1018" s="473" t="s">
        <v>47</v>
      </c>
      <c r="E1018" s="361">
        <v>41.03</v>
      </c>
    </row>
    <row r="1019" spans="1:5">
      <c r="A1019" s="473">
        <v>40871</v>
      </c>
      <c r="B1019" s="473" t="s">
        <v>10679</v>
      </c>
      <c r="C1019" s="473" t="s">
        <v>48</v>
      </c>
      <c r="D1019" s="473" t="s">
        <v>41</v>
      </c>
      <c r="E1019" s="361">
        <v>64.37</v>
      </c>
    </row>
    <row r="1020" spans="1:5">
      <c r="A1020" s="473">
        <v>40869</v>
      </c>
      <c r="B1020" s="473" t="s">
        <v>10680</v>
      </c>
      <c r="C1020" s="473" t="s">
        <v>48</v>
      </c>
      <c r="D1020" s="473" t="s">
        <v>41</v>
      </c>
      <c r="E1020" s="361">
        <v>21.14</v>
      </c>
    </row>
    <row r="1021" spans="1:5">
      <c r="A1021" s="473">
        <v>40870</v>
      </c>
      <c r="B1021" s="473" t="s">
        <v>10681</v>
      </c>
      <c r="C1021" s="473" t="s">
        <v>48</v>
      </c>
      <c r="D1021" s="473" t="s">
        <v>41</v>
      </c>
      <c r="E1021" s="361">
        <v>32.29</v>
      </c>
    </row>
    <row r="1022" spans="1:5">
      <c r="A1022" s="473">
        <v>1109</v>
      </c>
      <c r="B1022" s="473" t="s">
        <v>10682</v>
      </c>
      <c r="C1022" s="473" t="s">
        <v>48</v>
      </c>
      <c r="D1022" s="473" t="s">
        <v>41</v>
      </c>
      <c r="E1022" s="361">
        <v>18.93</v>
      </c>
    </row>
    <row r="1023" spans="1:5">
      <c r="A1023" s="473">
        <v>1119</v>
      </c>
      <c r="B1023" s="473" t="s">
        <v>10683</v>
      </c>
      <c r="C1023" s="473" t="s">
        <v>48</v>
      </c>
      <c r="D1023" s="473" t="s">
        <v>41</v>
      </c>
      <c r="E1023" s="361">
        <v>14.2</v>
      </c>
    </row>
    <row r="1024" spans="1:5">
      <c r="A1024" s="473">
        <v>13115</v>
      </c>
      <c r="B1024" s="473" t="s">
        <v>10684</v>
      </c>
      <c r="C1024" s="473" t="s">
        <v>48</v>
      </c>
      <c r="D1024" s="473" t="s">
        <v>41</v>
      </c>
      <c r="E1024" s="361">
        <v>17.329999999999998</v>
      </c>
    </row>
    <row r="1025" spans="1:5">
      <c r="A1025" s="473">
        <v>10541</v>
      </c>
      <c r="B1025" s="473" t="s">
        <v>10685</v>
      </c>
      <c r="C1025" s="473" t="s">
        <v>48</v>
      </c>
      <c r="D1025" s="473" t="s">
        <v>41</v>
      </c>
      <c r="E1025" s="361">
        <v>20.13</v>
      </c>
    </row>
    <row r="1026" spans="1:5">
      <c r="A1026" s="473">
        <v>10543</v>
      </c>
      <c r="B1026" s="473" t="s">
        <v>10686</v>
      </c>
      <c r="C1026" s="473" t="s">
        <v>48</v>
      </c>
      <c r="D1026" s="473" t="s">
        <v>41</v>
      </c>
      <c r="E1026" s="361">
        <v>39.06</v>
      </c>
    </row>
    <row r="1027" spans="1:5">
      <c r="A1027" s="473">
        <v>10544</v>
      </c>
      <c r="B1027" s="473" t="s">
        <v>10687</v>
      </c>
      <c r="C1027" s="473" t="s">
        <v>48</v>
      </c>
      <c r="D1027" s="473" t="s">
        <v>41</v>
      </c>
      <c r="E1027" s="361">
        <v>46.98</v>
      </c>
    </row>
    <row r="1028" spans="1:5">
      <c r="A1028" s="473">
        <v>10545</v>
      </c>
      <c r="B1028" s="473" t="s">
        <v>10688</v>
      </c>
      <c r="C1028" s="473" t="s">
        <v>48</v>
      </c>
      <c r="D1028" s="473" t="s">
        <v>41</v>
      </c>
      <c r="E1028" s="361">
        <v>72.06</v>
      </c>
    </row>
    <row r="1029" spans="1:5">
      <c r="A1029" s="473">
        <v>10542</v>
      </c>
      <c r="B1029" s="473" t="s">
        <v>10689</v>
      </c>
      <c r="C1029" s="473" t="s">
        <v>48</v>
      </c>
      <c r="D1029" s="473" t="s">
        <v>41</v>
      </c>
      <c r="E1029" s="361">
        <v>27.74</v>
      </c>
    </row>
    <row r="1030" spans="1:5">
      <c r="A1030" s="473">
        <v>38365</v>
      </c>
      <c r="B1030" s="473" t="s">
        <v>10690</v>
      </c>
      <c r="C1030" s="473" t="s">
        <v>46</v>
      </c>
      <c r="D1030" s="473" t="s">
        <v>41</v>
      </c>
      <c r="E1030" s="361">
        <v>1.42</v>
      </c>
    </row>
    <row r="1031" spans="1:5">
      <c r="A1031" s="473">
        <v>37745</v>
      </c>
      <c r="B1031" s="473" t="s">
        <v>10691</v>
      </c>
      <c r="C1031" s="473" t="s">
        <v>40</v>
      </c>
      <c r="D1031" s="473" t="s">
        <v>47</v>
      </c>
      <c r="E1031" s="361">
        <v>231530</v>
      </c>
    </row>
    <row r="1032" spans="1:5">
      <c r="A1032" s="473">
        <v>37754</v>
      </c>
      <c r="B1032" s="473" t="s">
        <v>10692</v>
      </c>
      <c r="C1032" s="473" t="s">
        <v>40</v>
      </c>
      <c r="D1032" s="473" t="s">
        <v>47</v>
      </c>
      <c r="E1032" s="361">
        <v>241787.65</v>
      </c>
    </row>
    <row r="1033" spans="1:5">
      <c r="A1033" s="473">
        <v>37748</v>
      </c>
      <c r="B1033" s="473" t="s">
        <v>10693</v>
      </c>
      <c r="C1033" s="473" t="s">
        <v>40</v>
      </c>
      <c r="D1033" s="473" t="s">
        <v>47</v>
      </c>
      <c r="E1033" s="361">
        <v>246147.16</v>
      </c>
    </row>
    <row r="1034" spans="1:5">
      <c r="A1034" s="473">
        <v>37761</v>
      </c>
      <c r="B1034" s="473" t="s">
        <v>10694</v>
      </c>
      <c r="C1034" s="473" t="s">
        <v>40</v>
      </c>
      <c r="D1034" s="473" t="s">
        <v>47</v>
      </c>
      <c r="E1034" s="361">
        <v>203687.77</v>
      </c>
    </row>
    <row r="1035" spans="1:5">
      <c r="A1035" s="473">
        <v>37757</v>
      </c>
      <c r="B1035" s="473" t="s">
        <v>10695</v>
      </c>
      <c r="C1035" s="473" t="s">
        <v>40</v>
      </c>
      <c r="D1035" s="473" t="s">
        <v>47</v>
      </c>
      <c r="E1035" s="361">
        <v>283550.96999999997</v>
      </c>
    </row>
    <row r="1036" spans="1:5">
      <c r="A1036" s="473">
        <v>37759</v>
      </c>
      <c r="B1036" s="473" t="s">
        <v>10696</v>
      </c>
      <c r="C1036" s="473" t="s">
        <v>40</v>
      </c>
      <c r="D1036" s="473" t="s">
        <v>47</v>
      </c>
      <c r="E1036" s="361">
        <v>284650.02</v>
      </c>
    </row>
    <row r="1037" spans="1:5">
      <c r="A1037" s="473">
        <v>37766</v>
      </c>
      <c r="B1037" s="473" t="s">
        <v>10697</v>
      </c>
      <c r="C1037" s="473" t="s">
        <v>40</v>
      </c>
      <c r="D1037" s="473" t="s">
        <v>47</v>
      </c>
      <c r="E1037" s="361">
        <v>284649.99</v>
      </c>
    </row>
    <row r="1038" spans="1:5">
      <c r="A1038" s="473">
        <v>37752</v>
      </c>
      <c r="B1038" s="473" t="s">
        <v>10698</v>
      </c>
      <c r="C1038" s="473" t="s">
        <v>40</v>
      </c>
      <c r="D1038" s="473" t="s">
        <v>47</v>
      </c>
      <c r="E1038" s="361">
        <v>258126.63</v>
      </c>
    </row>
    <row r="1039" spans="1:5">
      <c r="A1039" s="473">
        <v>37760</v>
      </c>
      <c r="B1039" s="473" t="s">
        <v>10699</v>
      </c>
      <c r="C1039" s="473" t="s">
        <v>40</v>
      </c>
      <c r="D1039" s="473" t="s">
        <v>47</v>
      </c>
      <c r="E1039" s="361">
        <v>271827.93</v>
      </c>
    </row>
    <row r="1040" spans="1:5">
      <c r="A1040" s="473">
        <v>37765</v>
      </c>
      <c r="B1040" s="473" t="s">
        <v>10700</v>
      </c>
      <c r="C1040" s="473" t="s">
        <v>40</v>
      </c>
      <c r="D1040" s="473" t="s">
        <v>47</v>
      </c>
      <c r="E1040" s="361">
        <v>189766.68</v>
      </c>
    </row>
    <row r="1041" spans="1:5">
      <c r="A1041" s="473">
        <v>37746</v>
      </c>
      <c r="B1041" s="473" t="s">
        <v>10701</v>
      </c>
      <c r="C1041" s="473" t="s">
        <v>40</v>
      </c>
      <c r="D1041" s="473" t="s">
        <v>47</v>
      </c>
      <c r="E1041" s="361">
        <v>208047.27</v>
      </c>
    </row>
    <row r="1042" spans="1:5">
      <c r="A1042" s="473">
        <v>37750</v>
      </c>
      <c r="B1042" s="473" t="s">
        <v>10702</v>
      </c>
      <c r="C1042" s="473" t="s">
        <v>40</v>
      </c>
      <c r="D1042" s="473" t="s">
        <v>47</v>
      </c>
      <c r="E1042" s="361">
        <v>207314.6</v>
      </c>
    </row>
    <row r="1043" spans="1:5">
      <c r="A1043" s="473">
        <v>37753</v>
      </c>
      <c r="B1043" s="473" t="s">
        <v>10703</v>
      </c>
      <c r="C1043" s="473" t="s">
        <v>40</v>
      </c>
      <c r="D1043" s="473" t="s">
        <v>47</v>
      </c>
      <c r="E1043" s="361">
        <v>206581.9</v>
      </c>
    </row>
    <row r="1044" spans="1:5">
      <c r="A1044" s="473">
        <v>37756</v>
      </c>
      <c r="B1044" s="473" t="s">
        <v>10704</v>
      </c>
      <c r="C1044" s="473" t="s">
        <v>40</v>
      </c>
      <c r="D1044" s="473" t="s">
        <v>47</v>
      </c>
      <c r="E1044" s="361">
        <v>203687.77</v>
      </c>
    </row>
    <row r="1045" spans="1:5">
      <c r="A1045" s="473">
        <v>37755</v>
      </c>
      <c r="B1045" s="473" t="s">
        <v>10705</v>
      </c>
      <c r="C1045" s="473" t="s">
        <v>40</v>
      </c>
      <c r="D1045" s="473" t="s">
        <v>47</v>
      </c>
      <c r="E1045" s="361">
        <v>296006.7</v>
      </c>
    </row>
    <row r="1046" spans="1:5">
      <c r="A1046" s="473">
        <v>37758</v>
      </c>
      <c r="B1046" s="473" t="s">
        <v>10706</v>
      </c>
      <c r="C1046" s="473" t="s">
        <v>40</v>
      </c>
      <c r="D1046" s="473" t="s">
        <v>47</v>
      </c>
      <c r="E1046" s="361">
        <v>334106.58</v>
      </c>
    </row>
    <row r="1047" spans="1:5">
      <c r="A1047" s="473">
        <v>37747</v>
      </c>
      <c r="B1047" s="473" t="s">
        <v>10707</v>
      </c>
      <c r="C1047" s="473" t="s">
        <v>40</v>
      </c>
      <c r="D1047" s="473" t="s">
        <v>47</v>
      </c>
      <c r="E1047" s="361">
        <v>300622.65000000002</v>
      </c>
    </row>
    <row r="1048" spans="1:5">
      <c r="A1048" s="473">
        <v>37767</v>
      </c>
      <c r="B1048" s="473" t="s">
        <v>10708</v>
      </c>
      <c r="C1048" s="473" t="s">
        <v>40</v>
      </c>
      <c r="D1048" s="473" t="s">
        <v>47</v>
      </c>
      <c r="E1048" s="361">
        <v>317254.71999999997</v>
      </c>
    </row>
    <row r="1049" spans="1:5">
      <c r="A1049" s="473">
        <v>37751</v>
      </c>
      <c r="B1049" s="473" t="s">
        <v>10709</v>
      </c>
      <c r="C1049" s="473" t="s">
        <v>40</v>
      </c>
      <c r="D1049" s="473" t="s">
        <v>47</v>
      </c>
      <c r="E1049" s="361">
        <v>317254.71999999997</v>
      </c>
    </row>
    <row r="1050" spans="1:5">
      <c r="A1050" s="473">
        <v>37749</v>
      </c>
      <c r="B1050" s="473" t="s">
        <v>10710</v>
      </c>
      <c r="C1050" s="473" t="s">
        <v>40</v>
      </c>
      <c r="D1050" s="473" t="s">
        <v>47</v>
      </c>
      <c r="E1050" s="361">
        <v>313591.27</v>
      </c>
    </row>
    <row r="1051" spans="1:5">
      <c r="A1051" s="473">
        <v>1159</v>
      </c>
      <c r="B1051" s="473" t="s">
        <v>10711</v>
      </c>
      <c r="C1051" s="473" t="s">
        <v>40</v>
      </c>
      <c r="D1051" s="473" t="s">
        <v>41</v>
      </c>
      <c r="E1051" s="361">
        <v>151504.15</v>
      </c>
    </row>
    <row r="1052" spans="1:5">
      <c r="A1052" s="473">
        <v>12114</v>
      </c>
      <c r="B1052" s="473" t="s">
        <v>10712</v>
      </c>
      <c r="C1052" s="473" t="s">
        <v>40</v>
      </c>
      <c r="D1052" s="473" t="s">
        <v>41</v>
      </c>
      <c r="E1052" s="361">
        <v>110.6</v>
      </c>
    </row>
    <row r="1053" spans="1:5">
      <c r="A1053" s="473">
        <v>38106</v>
      </c>
      <c r="B1053" s="473" t="s">
        <v>10713</v>
      </c>
      <c r="C1053" s="473" t="s">
        <v>40</v>
      </c>
      <c r="D1053" s="473" t="s">
        <v>41</v>
      </c>
      <c r="E1053" s="361">
        <v>15.03</v>
      </c>
    </row>
    <row r="1054" spans="1:5">
      <c r="A1054" s="473">
        <v>38085</v>
      </c>
      <c r="B1054" s="473" t="s">
        <v>10714</v>
      </c>
      <c r="C1054" s="473" t="s">
        <v>40</v>
      </c>
      <c r="D1054" s="473" t="s">
        <v>41</v>
      </c>
      <c r="E1054" s="361">
        <v>17.75</v>
      </c>
    </row>
    <row r="1055" spans="1:5">
      <c r="A1055" s="473">
        <v>38599</v>
      </c>
      <c r="B1055" s="473" t="s">
        <v>10715</v>
      </c>
      <c r="C1055" s="473" t="s">
        <v>40</v>
      </c>
      <c r="D1055" s="473" t="s">
        <v>41</v>
      </c>
      <c r="E1055" s="361">
        <v>2.86</v>
      </c>
    </row>
    <row r="1056" spans="1:5">
      <c r="A1056" s="473">
        <v>38596</v>
      </c>
      <c r="B1056" s="473" t="s">
        <v>10716</v>
      </c>
      <c r="C1056" s="473" t="s">
        <v>40</v>
      </c>
      <c r="D1056" s="473" t="s">
        <v>41</v>
      </c>
      <c r="E1056" s="361">
        <v>1.95</v>
      </c>
    </row>
    <row r="1057" spans="1:5">
      <c r="A1057" s="473">
        <v>38600</v>
      </c>
      <c r="B1057" s="473" t="s">
        <v>10717</v>
      </c>
      <c r="C1057" s="473" t="s">
        <v>40</v>
      </c>
      <c r="D1057" s="473" t="s">
        <v>41</v>
      </c>
      <c r="E1057" s="361">
        <v>3.37</v>
      </c>
    </row>
    <row r="1058" spans="1:5">
      <c r="A1058" s="473">
        <v>38597</v>
      </c>
      <c r="B1058" s="473" t="s">
        <v>10718</v>
      </c>
      <c r="C1058" s="473" t="s">
        <v>40</v>
      </c>
      <c r="D1058" s="473" t="s">
        <v>41</v>
      </c>
      <c r="E1058" s="361">
        <v>2.39</v>
      </c>
    </row>
    <row r="1059" spans="1:5">
      <c r="A1059" s="473">
        <v>659</v>
      </c>
      <c r="B1059" s="473" t="s">
        <v>10719</v>
      </c>
      <c r="C1059" s="473" t="s">
        <v>40</v>
      </c>
      <c r="D1059" s="473" t="s">
        <v>41</v>
      </c>
      <c r="E1059" s="361">
        <v>1.1599999999999999</v>
      </c>
    </row>
    <row r="1060" spans="1:5">
      <c r="A1060" s="473">
        <v>660</v>
      </c>
      <c r="B1060" s="473" t="s">
        <v>10720</v>
      </c>
      <c r="C1060" s="473" t="s">
        <v>40</v>
      </c>
      <c r="D1060" s="473" t="s">
        <v>41</v>
      </c>
      <c r="E1060" s="361">
        <v>1.7</v>
      </c>
    </row>
    <row r="1061" spans="1:5">
      <c r="A1061" s="473">
        <v>658</v>
      </c>
      <c r="B1061" s="473" t="s">
        <v>10721</v>
      </c>
      <c r="C1061" s="473" t="s">
        <v>40</v>
      </c>
      <c r="D1061" s="473" t="s">
        <v>41</v>
      </c>
      <c r="E1061" s="361">
        <v>0.93</v>
      </c>
    </row>
    <row r="1062" spans="1:5">
      <c r="A1062" s="473">
        <v>38548</v>
      </c>
      <c r="B1062" s="473" t="s">
        <v>10722</v>
      </c>
      <c r="C1062" s="473" t="s">
        <v>40</v>
      </c>
      <c r="D1062" s="473" t="s">
        <v>41</v>
      </c>
      <c r="E1062" s="361">
        <v>1.03</v>
      </c>
    </row>
    <row r="1063" spans="1:5">
      <c r="A1063" s="473">
        <v>34647</v>
      </c>
      <c r="B1063" s="473" t="s">
        <v>10723</v>
      </c>
      <c r="C1063" s="473" t="s">
        <v>40</v>
      </c>
      <c r="D1063" s="473" t="s">
        <v>41</v>
      </c>
      <c r="E1063" s="361">
        <v>1.78</v>
      </c>
    </row>
    <row r="1064" spans="1:5">
      <c r="A1064" s="473">
        <v>34649</v>
      </c>
      <c r="B1064" s="473" t="s">
        <v>10724</v>
      </c>
      <c r="C1064" s="473" t="s">
        <v>40</v>
      </c>
      <c r="D1064" s="473" t="s">
        <v>41</v>
      </c>
      <c r="E1064" s="361">
        <v>1.83</v>
      </c>
    </row>
    <row r="1065" spans="1:5">
      <c r="A1065" s="473">
        <v>34652</v>
      </c>
      <c r="B1065" s="473" t="s">
        <v>10725</v>
      </c>
      <c r="C1065" s="473" t="s">
        <v>40</v>
      </c>
      <c r="D1065" s="473" t="s">
        <v>41</v>
      </c>
      <c r="E1065" s="361">
        <v>2.5</v>
      </c>
    </row>
    <row r="1066" spans="1:5">
      <c r="A1066" s="473">
        <v>34655</v>
      </c>
      <c r="B1066" s="473" t="s">
        <v>10726</v>
      </c>
      <c r="C1066" s="473" t="s">
        <v>40</v>
      </c>
      <c r="D1066" s="473" t="s">
        <v>41</v>
      </c>
      <c r="E1066" s="361">
        <v>2.42</v>
      </c>
    </row>
    <row r="1067" spans="1:5">
      <c r="A1067" s="473">
        <v>40607</v>
      </c>
      <c r="B1067" s="473" t="s">
        <v>10727</v>
      </c>
      <c r="C1067" s="473" t="s">
        <v>40</v>
      </c>
      <c r="D1067" s="473" t="s">
        <v>41</v>
      </c>
      <c r="E1067" s="361">
        <v>4.08</v>
      </c>
    </row>
    <row r="1068" spans="1:5">
      <c r="A1068" s="473">
        <v>585</v>
      </c>
      <c r="B1068" s="473" t="s">
        <v>10728</v>
      </c>
      <c r="C1068" s="473" t="s">
        <v>49</v>
      </c>
      <c r="D1068" s="473" t="s">
        <v>47</v>
      </c>
      <c r="E1068" s="361">
        <v>20.53</v>
      </c>
    </row>
    <row r="1069" spans="1:5">
      <c r="A1069" s="473">
        <v>4777</v>
      </c>
      <c r="B1069" s="473" t="s">
        <v>10729</v>
      </c>
      <c r="C1069" s="473" t="s">
        <v>49</v>
      </c>
      <c r="D1069" s="473" t="s">
        <v>47</v>
      </c>
      <c r="E1069" s="361">
        <v>4.5599999999999996</v>
      </c>
    </row>
    <row r="1070" spans="1:5">
      <c r="A1070" s="473">
        <v>587</v>
      </c>
      <c r="B1070" s="473" t="s">
        <v>10730</v>
      </c>
      <c r="C1070" s="473" t="s">
        <v>49</v>
      </c>
      <c r="D1070" s="473" t="s">
        <v>47</v>
      </c>
      <c r="E1070" s="361">
        <v>22</v>
      </c>
    </row>
    <row r="1071" spans="1:5">
      <c r="A1071" s="473">
        <v>590</v>
      </c>
      <c r="B1071" s="473" t="s">
        <v>10731</v>
      </c>
      <c r="C1071" s="473" t="s">
        <v>49</v>
      </c>
      <c r="D1071" s="473" t="s">
        <v>47</v>
      </c>
      <c r="E1071" s="361">
        <v>21.26</v>
      </c>
    </row>
    <row r="1072" spans="1:5">
      <c r="A1072" s="473">
        <v>592</v>
      </c>
      <c r="B1072" s="473" t="s">
        <v>10732</v>
      </c>
      <c r="C1072" s="473" t="s">
        <v>49</v>
      </c>
      <c r="D1072" s="473" t="s">
        <v>47</v>
      </c>
      <c r="E1072" s="361">
        <v>22</v>
      </c>
    </row>
    <row r="1073" spans="1:5">
      <c r="A1073" s="473">
        <v>586</v>
      </c>
      <c r="B1073" s="473" t="s">
        <v>10733</v>
      </c>
      <c r="C1073" s="473" t="s">
        <v>48</v>
      </c>
      <c r="D1073" s="473" t="s">
        <v>47</v>
      </c>
      <c r="E1073" s="361">
        <v>12.93</v>
      </c>
    </row>
    <row r="1074" spans="1:5">
      <c r="A1074" s="473">
        <v>591</v>
      </c>
      <c r="B1074" s="473" t="s">
        <v>10734</v>
      </c>
      <c r="C1074" s="473" t="s">
        <v>49</v>
      </c>
      <c r="D1074" s="473" t="s">
        <v>47</v>
      </c>
      <c r="E1074" s="361">
        <v>20.53</v>
      </c>
    </row>
    <row r="1075" spans="1:5">
      <c r="A1075" s="473">
        <v>588</v>
      </c>
      <c r="B1075" s="473" t="s">
        <v>10735</v>
      </c>
      <c r="C1075" s="473" t="s">
        <v>48</v>
      </c>
      <c r="D1075" s="473" t="s">
        <v>47</v>
      </c>
      <c r="E1075" s="361">
        <v>20.46</v>
      </c>
    </row>
    <row r="1076" spans="1:5">
      <c r="A1076" s="473">
        <v>589</v>
      </c>
      <c r="B1076" s="473" t="s">
        <v>10736</v>
      </c>
      <c r="C1076" s="473" t="s">
        <v>48</v>
      </c>
      <c r="D1076" s="473" t="s">
        <v>47</v>
      </c>
      <c r="E1076" s="361">
        <v>34.58</v>
      </c>
    </row>
    <row r="1077" spans="1:5">
      <c r="A1077" s="473">
        <v>584</v>
      </c>
      <c r="B1077" s="473" t="s">
        <v>10737</v>
      </c>
      <c r="C1077" s="473" t="s">
        <v>48</v>
      </c>
      <c r="D1077" s="473" t="s">
        <v>47</v>
      </c>
      <c r="E1077" s="361">
        <v>21.85</v>
      </c>
    </row>
    <row r="1078" spans="1:5">
      <c r="A1078" s="473">
        <v>4912</v>
      </c>
      <c r="B1078" s="473" t="s">
        <v>10738</v>
      </c>
      <c r="C1078" s="473" t="s">
        <v>49</v>
      </c>
      <c r="D1078" s="473" t="s">
        <v>47</v>
      </c>
      <c r="E1078" s="361">
        <v>5.3</v>
      </c>
    </row>
    <row r="1079" spans="1:5">
      <c r="A1079" s="473">
        <v>574</v>
      </c>
      <c r="B1079" s="473" t="s">
        <v>10739</v>
      </c>
      <c r="C1079" s="473" t="s">
        <v>48</v>
      </c>
      <c r="D1079" s="473" t="s">
        <v>41</v>
      </c>
      <c r="E1079" s="361">
        <v>19.059999999999999</v>
      </c>
    </row>
    <row r="1080" spans="1:5">
      <c r="A1080" s="473">
        <v>567</v>
      </c>
      <c r="B1080" s="473" t="s">
        <v>10740</v>
      </c>
      <c r="C1080" s="473" t="s">
        <v>48</v>
      </c>
      <c r="D1080" s="473" t="s">
        <v>41</v>
      </c>
      <c r="E1080" s="361">
        <v>7.06</v>
      </c>
    </row>
    <row r="1081" spans="1:5">
      <c r="A1081" s="473">
        <v>568</v>
      </c>
      <c r="B1081" s="473" t="s">
        <v>10741</v>
      </c>
      <c r="C1081" s="473" t="s">
        <v>48</v>
      </c>
      <c r="D1081" s="473" t="s">
        <v>41</v>
      </c>
      <c r="E1081" s="361">
        <v>42.76</v>
      </c>
    </row>
    <row r="1082" spans="1:5">
      <c r="A1082" s="473">
        <v>569</v>
      </c>
      <c r="B1082" s="473" t="s">
        <v>10742</v>
      </c>
      <c r="C1082" s="473" t="s">
        <v>49</v>
      </c>
      <c r="D1082" s="473" t="s">
        <v>41</v>
      </c>
      <c r="E1082" s="361">
        <v>5.95</v>
      </c>
    </row>
    <row r="1083" spans="1:5">
      <c r="A1083" s="473">
        <v>1165</v>
      </c>
      <c r="B1083" s="473" t="s">
        <v>10743</v>
      </c>
      <c r="C1083" s="473" t="s">
        <v>40</v>
      </c>
      <c r="D1083" s="473" t="s">
        <v>41</v>
      </c>
      <c r="E1083" s="361">
        <v>10.7</v>
      </c>
    </row>
    <row r="1084" spans="1:5">
      <c r="A1084" s="473">
        <v>1164</v>
      </c>
      <c r="B1084" s="473" t="s">
        <v>10744</v>
      </c>
      <c r="C1084" s="473" t="s">
        <v>40</v>
      </c>
      <c r="D1084" s="473" t="s">
        <v>41</v>
      </c>
      <c r="E1084" s="361">
        <v>8.66</v>
      </c>
    </row>
    <row r="1085" spans="1:5">
      <c r="A1085" s="473">
        <v>1162</v>
      </c>
      <c r="B1085" s="473" t="s">
        <v>10745</v>
      </c>
      <c r="C1085" s="473" t="s">
        <v>40</v>
      </c>
      <c r="D1085" s="473" t="s">
        <v>41</v>
      </c>
      <c r="E1085" s="361">
        <v>3.01</v>
      </c>
    </row>
    <row r="1086" spans="1:5">
      <c r="A1086" s="473">
        <v>12395</v>
      </c>
      <c r="B1086" s="473" t="s">
        <v>10746</v>
      </c>
      <c r="C1086" s="473" t="s">
        <v>40</v>
      </c>
      <c r="D1086" s="473" t="s">
        <v>41</v>
      </c>
      <c r="E1086" s="361">
        <v>2.92</v>
      </c>
    </row>
    <row r="1087" spans="1:5">
      <c r="A1087" s="473">
        <v>1170</v>
      </c>
      <c r="B1087" s="473" t="s">
        <v>10747</v>
      </c>
      <c r="C1087" s="473" t="s">
        <v>40</v>
      </c>
      <c r="D1087" s="473" t="s">
        <v>41</v>
      </c>
      <c r="E1087" s="361">
        <v>5.68</v>
      </c>
    </row>
    <row r="1088" spans="1:5">
      <c r="A1088" s="473">
        <v>1169</v>
      </c>
      <c r="B1088" s="473" t="s">
        <v>10748</v>
      </c>
      <c r="C1088" s="473" t="s">
        <v>40</v>
      </c>
      <c r="D1088" s="473" t="s">
        <v>41</v>
      </c>
      <c r="E1088" s="361">
        <v>27.87</v>
      </c>
    </row>
    <row r="1089" spans="1:5">
      <c r="A1089" s="473">
        <v>1166</v>
      </c>
      <c r="B1089" s="473" t="s">
        <v>10749</v>
      </c>
      <c r="C1089" s="473" t="s">
        <v>40</v>
      </c>
      <c r="D1089" s="473" t="s">
        <v>41</v>
      </c>
      <c r="E1089" s="361">
        <v>15.45</v>
      </c>
    </row>
    <row r="1090" spans="1:5">
      <c r="A1090" s="473">
        <v>1163</v>
      </c>
      <c r="B1090" s="473" t="s">
        <v>10750</v>
      </c>
      <c r="C1090" s="473" t="s">
        <v>40</v>
      </c>
      <c r="D1090" s="473" t="s">
        <v>41</v>
      </c>
      <c r="E1090" s="361">
        <v>3.89</v>
      </c>
    </row>
    <row r="1091" spans="1:5">
      <c r="A1091" s="473">
        <v>12396</v>
      </c>
      <c r="B1091" s="473" t="s">
        <v>10751</v>
      </c>
      <c r="C1091" s="473" t="s">
        <v>40</v>
      </c>
      <c r="D1091" s="473" t="s">
        <v>41</v>
      </c>
      <c r="E1091" s="361">
        <v>2.92</v>
      </c>
    </row>
    <row r="1092" spans="1:5">
      <c r="A1092" s="473">
        <v>1168</v>
      </c>
      <c r="B1092" s="473" t="s">
        <v>10752</v>
      </c>
      <c r="C1092" s="473" t="s">
        <v>40</v>
      </c>
      <c r="D1092" s="473" t="s">
        <v>41</v>
      </c>
      <c r="E1092" s="361">
        <v>39.74</v>
      </c>
    </row>
    <row r="1093" spans="1:5">
      <c r="A1093" s="473">
        <v>1167</v>
      </c>
      <c r="B1093" s="473" t="s">
        <v>10753</v>
      </c>
      <c r="C1093" s="473" t="s">
        <v>40</v>
      </c>
      <c r="D1093" s="473" t="s">
        <v>41</v>
      </c>
      <c r="E1093" s="361">
        <v>66.47</v>
      </c>
    </row>
    <row r="1094" spans="1:5">
      <c r="A1094" s="473">
        <v>36331</v>
      </c>
      <c r="B1094" s="473" t="s">
        <v>10754</v>
      </c>
      <c r="C1094" s="473" t="s">
        <v>40</v>
      </c>
      <c r="D1094" s="473" t="s">
        <v>47</v>
      </c>
      <c r="E1094" s="361">
        <v>1.06</v>
      </c>
    </row>
    <row r="1095" spans="1:5">
      <c r="A1095" s="473">
        <v>36346</v>
      </c>
      <c r="B1095" s="473" t="s">
        <v>10755</v>
      </c>
      <c r="C1095" s="473" t="s">
        <v>40</v>
      </c>
      <c r="D1095" s="473" t="s">
        <v>47</v>
      </c>
      <c r="E1095" s="361">
        <v>1.83</v>
      </c>
    </row>
    <row r="1096" spans="1:5">
      <c r="A1096" s="473">
        <v>1210</v>
      </c>
      <c r="B1096" s="473" t="s">
        <v>10756</v>
      </c>
      <c r="C1096" s="473" t="s">
        <v>40</v>
      </c>
      <c r="D1096" s="473" t="s">
        <v>41</v>
      </c>
      <c r="E1096" s="361">
        <v>8.3699999999999992</v>
      </c>
    </row>
    <row r="1097" spans="1:5">
      <c r="A1097" s="473">
        <v>1203</v>
      </c>
      <c r="B1097" s="473" t="s">
        <v>10757</v>
      </c>
      <c r="C1097" s="473" t="s">
        <v>40</v>
      </c>
      <c r="D1097" s="473" t="s">
        <v>41</v>
      </c>
      <c r="E1097" s="361">
        <v>8.11</v>
      </c>
    </row>
    <row r="1098" spans="1:5">
      <c r="A1098" s="473">
        <v>1197</v>
      </c>
      <c r="B1098" s="473" t="s">
        <v>10758</v>
      </c>
      <c r="C1098" s="473" t="s">
        <v>40</v>
      </c>
      <c r="D1098" s="473" t="s">
        <v>41</v>
      </c>
      <c r="E1098" s="361">
        <v>1.03</v>
      </c>
    </row>
    <row r="1099" spans="1:5">
      <c r="A1099" s="473">
        <v>1202</v>
      </c>
      <c r="B1099" s="473" t="s">
        <v>10759</v>
      </c>
      <c r="C1099" s="473" t="s">
        <v>40</v>
      </c>
      <c r="D1099" s="473" t="s">
        <v>41</v>
      </c>
      <c r="E1099" s="361">
        <v>2.79</v>
      </c>
    </row>
    <row r="1100" spans="1:5">
      <c r="A1100" s="473">
        <v>1188</v>
      </c>
      <c r="B1100" s="473" t="s">
        <v>10760</v>
      </c>
      <c r="C1100" s="473" t="s">
        <v>40</v>
      </c>
      <c r="D1100" s="473" t="s">
        <v>41</v>
      </c>
      <c r="E1100" s="361">
        <v>16.5</v>
      </c>
    </row>
    <row r="1101" spans="1:5">
      <c r="A1101" s="473">
        <v>1211</v>
      </c>
      <c r="B1101" s="473" t="s">
        <v>10761</v>
      </c>
      <c r="C1101" s="473" t="s">
        <v>40</v>
      </c>
      <c r="D1101" s="473" t="s">
        <v>41</v>
      </c>
      <c r="E1101" s="361">
        <v>8.51</v>
      </c>
    </row>
    <row r="1102" spans="1:5">
      <c r="A1102" s="473">
        <v>1198</v>
      </c>
      <c r="B1102" s="473" t="s">
        <v>10762</v>
      </c>
      <c r="C1102" s="473" t="s">
        <v>40</v>
      </c>
      <c r="D1102" s="473" t="s">
        <v>41</v>
      </c>
      <c r="E1102" s="361">
        <v>1.53</v>
      </c>
    </row>
    <row r="1103" spans="1:5">
      <c r="A1103" s="473">
        <v>1199</v>
      </c>
      <c r="B1103" s="473" t="s">
        <v>10763</v>
      </c>
      <c r="C1103" s="473" t="s">
        <v>40</v>
      </c>
      <c r="D1103" s="473" t="s">
        <v>41</v>
      </c>
      <c r="E1103" s="361">
        <v>21.55</v>
      </c>
    </row>
    <row r="1104" spans="1:5">
      <c r="A1104" s="473">
        <v>20088</v>
      </c>
      <c r="B1104" s="473" t="s">
        <v>10764</v>
      </c>
      <c r="C1104" s="473" t="s">
        <v>40</v>
      </c>
      <c r="D1104" s="473" t="s">
        <v>41</v>
      </c>
      <c r="E1104" s="361">
        <v>9.02</v>
      </c>
    </row>
    <row r="1105" spans="1:5">
      <c r="A1105" s="473">
        <v>20089</v>
      </c>
      <c r="B1105" s="473" t="s">
        <v>10765</v>
      </c>
      <c r="C1105" s="473" t="s">
        <v>40</v>
      </c>
      <c r="D1105" s="473" t="s">
        <v>41</v>
      </c>
      <c r="E1105" s="361">
        <v>43.02</v>
      </c>
    </row>
    <row r="1106" spans="1:5">
      <c r="A1106" s="473">
        <v>20087</v>
      </c>
      <c r="B1106" s="473" t="s">
        <v>10766</v>
      </c>
      <c r="C1106" s="473" t="s">
        <v>40</v>
      </c>
      <c r="D1106" s="473" t="s">
        <v>41</v>
      </c>
      <c r="E1106" s="361">
        <v>6.5</v>
      </c>
    </row>
    <row r="1107" spans="1:5">
      <c r="A1107" s="473">
        <v>1200</v>
      </c>
      <c r="B1107" s="473" t="s">
        <v>10767</v>
      </c>
      <c r="C1107" s="473" t="s">
        <v>40</v>
      </c>
      <c r="D1107" s="473" t="s">
        <v>41</v>
      </c>
      <c r="E1107" s="361">
        <v>5.28</v>
      </c>
    </row>
    <row r="1108" spans="1:5">
      <c r="A1108" s="473">
        <v>12909</v>
      </c>
      <c r="B1108" s="473" t="s">
        <v>10768</v>
      </c>
      <c r="C1108" s="473" t="s">
        <v>40</v>
      </c>
      <c r="D1108" s="473" t="s">
        <v>41</v>
      </c>
      <c r="E1108" s="361">
        <v>2.39</v>
      </c>
    </row>
    <row r="1109" spans="1:5">
      <c r="A1109" s="473">
        <v>12910</v>
      </c>
      <c r="B1109" s="473" t="s">
        <v>10769</v>
      </c>
      <c r="C1109" s="473" t="s">
        <v>40</v>
      </c>
      <c r="D1109" s="473" t="s">
        <v>41</v>
      </c>
      <c r="E1109" s="361">
        <v>3.99</v>
      </c>
    </row>
    <row r="1110" spans="1:5">
      <c r="A1110" s="473">
        <v>1184</v>
      </c>
      <c r="B1110" s="473" t="s">
        <v>10770</v>
      </c>
      <c r="C1110" s="473" t="s">
        <v>40</v>
      </c>
      <c r="D1110" s="473" t="s">
        <v>41</v>
      </c>
      <c r="E1110" s="361">
        <v>52.99</v>
      </c>
    </row>
    <row r="1111" spans="1:5">
      <c r="A1111" s="473">
        <v>1191</v>
      </c>
      <c r="B1111" s="473" t="s">
        <v>10771</v>
      </c>
      <c r="C1111" s="473" t="s">
        <v>40</v>
      </c>
      <c r="D1111" s="473" t="s">
        <v>41</v>
      </c>
      <c r="E1111" s="361">
        <v>0.75</v>
      </c>
    </row>
    <row r="1112" spans="1:5">
      <c r="A1112" s="473">
        <v>1185</v>
      </c>
      <c r="B1112" s="473" t="s">
        <v>10772</v>
      </c>
      <c r="C1112" s="473" t="s">
        <v>40</v>
      </c>
      <c r="D1112" s="473" t="s">
        <v>41</v>
      </c>
      <c r="E1112" s="361">
        <v>0.86</v>
      </c>
    </row>
    <row r="1113" spans="1:5">
      <c r="A1113" s="473">
        <v>1189</v>
      </c>
      <c r="B1113" s="473" t="s">
        <v>10773</v>
      </c>
      <c r="C1113" s="473" t="s">
        <v>40</v>
      </c>
      <c r="D1113" s="473" t="s">
        <v>41</v>
      </c>
      <c r="E1113" s="361">
        <v>1.49</v>
      </c>
    </row>
    <row r="1114" spans="1:5">
      <c r="A1114" s="473">
        <v>1193</v>
      </c>
      <c r="B1114" s="473" t="s">
        <v>10774</v>
      </c>
      <c r="C1114" s="473" t="s">
        <v>40</v>
      </c>
      <c r="D1114" s="473" t="s">
        <v>41</v>
      </c>
      <c r="E1114" s="361">
        <v>2.87</v>
      </c>
    </row>
    <row r="1115" spans="1:5">
      <c r="A1115" s="473">
        <v>1194</v>
      </c>
      <c r="B1115" s="473" t="s">
        <v>10775</v>
      </c>
      <c r="C1115" s="473" t="s">
        <v>40</v>
      </c>
      <c r="D1115" s="473" t="s">
        <v>41</v>
      </c>
      <c r="E1115" s="361">
        <v>5.43</v>
      </c>
    </row>
    <row r="1116" spans="1:5">
      <c r="A1116" s="473">
        <v>1195</v>
      </c>
      <c r="B1116" s="473" t="s">
        <v>10776</v>
      </c>
      <c r="C1116" s="473" t="s">
        <v>40</v>
      </c>
      <c r="D1116" s="473" t="s">
        <v>41</v>
      </c>
      <c r="E1116" s="361">
        <v>8.17</v>
      </c>
    </row>
    <row r="1117" spans="1:5">
      <c r="A1117" s="473">
        <v>1204</v>
      </c>
      <c r="B1117" s="473" t="s">
        <v>10777</v>
      </c>
      <c r="C1117" s="473" t="s">
        <v>40</v>
      </c>
      <c r="D1117" s="473" t="s">
        <v>41</v>
      </c>
      <c r="E1117" s="361">
        <v>14.86</v>
      </c>
    </row>
    <row r="1118" spans="1:5">
      <c r="A1118" s="473">
        <v>1205</v>
      </c>
      <c r="B1118" s="473" t="s">
        <v>10778</v>
      </c>
      <c r="C1118" s="473" t="s">
        <v>40</v>
      </c>
      <c r="D1118" s="473" t="s">
        <v>41</v>
      </c>
      <c r="E1118" s="361">
        <v>35.25</v>
      </c>
    </row>
    <row r="1119" spans="1:5">
      <c r="A1119" s="473">
        <v>1207</v>
      </c>
      <c r="B1119" s="473" t="s">
        <v>10779</v>
      </c>
      <c r="C1119" s="473" t="s">
        <v>40</v>
      </c>
      <c r="D1119" s="473" t="s">
        <v>47</v>
      </c>
      <c r="E1119" s="361">
        <v>24.13</v>
      </c>
    </row>
    <row r="1120" spans="1:5">
      <c r="A1120" s="473">
        <v>1206</v>
      </c>
      <c r="B1120" s="473" t="s">
        <v>10780</v>
      </c>
      <c r="C1120" s="473" t="s">
        <v>40</v>
      </c>
      <c r="D1120" s="473" t="s">
        <v>47</v>
      </c>
      <c r="E1120" s="361">
        <v>6.05</v>
      </c>
    </row>
    <row r="1121" spans="1:5">
      <c r="A1121" s="473">
        <v>1183</v>
      </c>
      <c r="B1121" s="473" t="s">
        <v>10781</v>
      </c>
      <c r="C1121" s="473" t="s">
        <v>40</v>
      </c>
      <c r="D1121" s="473" t="s">
        <v>47</v>
      </c>
      <c r="E1121" s="361">
        <v>15.76</v>
      </c>
    </row>
    <row r="1122" spans="1:5">
      <c r="A1122" s="473">
        <v>42685</v>
      </c>
      <c r="B1122" s="473" t="s">
        <v>10782</v>
      </c>
      <c r="C1122" s="473" t="s">
        <v>40</v>
      </c>
      <c r="D1122" s="473" t="s">
        <v>47</v>
      </c>
      <c r="E1122" s="361">
        <v>49.4</v>
      </c>
    </row>
    <row r="1123" spans="1:5">
      <c r="A1123" s="473">
        <v>42686</v>
      </c>
      <c r="B1123" s="473" t="s">
        <v>10783</v>
      </c>
      <c r="C1123" s="473" t="s">
        <v>40</v>
      </c>
      <c r="D1123" s="473" t="s">
        <v>47</v>
      </c>
      <c r="E1123" s="361">
        <v>76.900000000000006</v>
      </c>
    </row>
    <row r="1124" spans="1:5">
      <c r="A1124" s="473">
        <v>12894</v>
      </c>
      <c r="B1124" s="473" t="s">
        <v>10784</v>
      </c>
      <c r="C1124" s="473" t="s">
        <v>40</v>
      </c>
      <c r="D1124" s="473" t="s">
        <v>41</v>
      </c>
      <c r="E1124" s="361">
        <v>14.56</v>
      </c>
    </row>
    <row r="1125" spans="1:5">
      <c r="A1125" s="473">
        <v>12895</v>
      </c>
      <c r="B1125" s="473" t="s">
        <v>10785</v>
      </c>
      <c r="C1125" s="473" t="s">
        <v>40</v>
      </c>
      <c r="D1125" s="473" t="s">
        <v>44</v>
      </c>
      <c r="E1125" s="361">
        <v>11.2</v>
      </c>
    </row>
    <row r="1126" spans="1:5">
      <c r="A1126" s="473">
        <v>1631</v>
      </c>
      <c r="B1126" s="473" t="s">
        <v>10786</v>
      </c>
      <c r="C1126" s="473" t="s">
        <v>40</v>
      </c>
      <c r="D1126" s="473" t="s">
        <v>47</v>
      </c>
      <c r="E1126" s="361">
        <v>125.56</v>
      </c>
    </row>
    <row r="1127" spans="1:5">
      <c r="A1127" s="473">
        <v>1633</v>
      </c>
      <c r="B1127" s="473" t="s">
        <v>10787</v>
      </c>
      <c r="C1127" s="473" t="s">
        <v>40</v>
      </c>
      <c r="D1127" s="473" t="s">
        <v>47</v>
      </c>
      <c r="E1127" s="361">
        <v>213.34</v>
      </c>
    </row>
    <row r="1128" spans="1:5">
      <c r="A1128" s="473">
        <v>10818</v>
      </c>
      <c r="B1128" s="473" t="s">
        <v>10788</v>
      </c>
      <c r="C1128" s="473" t="s">
        <v>49</v>
      </c>
      <c r="D1128" s="473" t="s">
        <v>41</v>
      </c>
      <c r="E1128" s="361">
        <v>19.71</v>
      </c>
    </row>
    <row r="1129" spans="1:5">
      <c r="A1129" s="473">
        <v>39359</v>
      </c>
      <c r="B1129" s="473" t="s">
        <v>10789</v>
      </c>
      <c r="C1129" s="473" t="s">
        <v>40</v>
      </c>
      <c r="D1129" s="473" t="s">
        <v>47</v>
      </c>
      <c r="E1129" s="361">
        <v>23.98</v>
      </c>
    </row>
    <row r="1130" spans="1:5">
      <c r="A1130" s="473">
        <v>39360</v>
      </c>
      <c r="B1130" s="473" t="s">
        <v>10790</v>
      </c>
      <c r="C1130" s="473" t="s">
        <v>40</v>
      </c>
      <c r="D1130" s="473" t="s">
        <v>47</v>
      </c>
      <c r="E1130" s="361">
        <v>21.8</v>
      </c>
    </row>
    <row r="1131" spans="1:5">
      <c r="A1131" s="473">
        <v>10710</v>
      </c>
      <c r="B1131" s="473" t="s">
        <v>10791</v>
      </c>
      <c r="C1131" s="473" t="s">
        <v>46</v>
      </c>
      <c r="D1131" s="473" t="s">
        <v>44</v>
      </c>
      <c r="E1131" s="361">
        <v>81</v>
      </c>
    </row>
    <row r="1132" spans="1:5">
      <c r="A1132" s="473">
        <v>10709</v>
      </c>
      <c r="B1132" s="473" t="s">
        <v>10792</v>
      </c>
      <c r="C1132" s="473" t="s">
        <v>46</v>
      </c>
      <c r="D1132" s="473" t="s">
        <v>41</v>
      </c>
      <c r="E1132" s="361">
        <v>99.51</v>
      </c>
    </row>
    <row r="1133" spans="1:5">
      <c r="A1133" s="473">
        <v>39636</v>
      </c>
      <c r="B1133" s="473" t="s">
        <v>10793</v>
      </c>
      <c r="C1133" s="473" t="s">
        <v>46</v>
      </c>
      <c r="D1133" s="473" t="s">
        <v>41</v>
      </c>
      <c r="E1133" s="361">
        <v>101.61</v>
      </c>
    </row>
    <row r="1134" spans="1:5">
      <c r="A1134" s="473">
        <v>10708</v>
      </c>
      <c r="B1134" s="473" t="s">
        <v>10794</v>
      </c>
      <c r="C1134" s="473" t="s">
        <v>46</v>
      </c>
      <c r="D1134" s="473" t="s">
        <v>41</v>
      </c>
      <c r="E1134" s="361">
        <v>31.35</v>
      </c>
    </row>
    <row r="1135" spans="1:5">
      <c r="A1135" s="473">
        <v>39635</v>
      </c>
      <c r="B1135" s="473" t="s">
        <v>10795</v>
      </c>
      <c r="C1135" s="473" t="s">
        <v>46</v>
      </c>
      <c r="D1135" s="473" t="s">
        <v>41</v>
      </c>
      <c r="E1135" s="361">
        <v>53.38</v>
      </c>
    </row>
    <row r="1136" spans="1:5">
      <c r="A1136" s="473">
        <v>6117</v>
      </c>
      <c r="B1136" s="473" t="s">
        <v>10796</v>
      </c>
      <c r="C1136" s="473" t="s">
        <v>43</v>
      </c>
      <c r="D1136" s="473" t="s">
        <v>41</v>
      </c>
      <c r="E1136" s="361">
        <v>10.66</v>
      </c>
    </row>
    <row r="1137" spans="1:5">
      <c r="A1137" s="473">
        <v>40913</v>
      </c>
      <c r="B1137" s="473" t="s">
        <v>10797</v>
      </c>
      <c r="C1137" s="473" t="s">
        <v>53</v>
      </c>
      <c r="D1137" s="473" t="s">
        <v>41</v>
      </c>
      <c r="E1137" s="361">
        <v>1901.85</v>
      </c>
    </row>
    <row r="1138" spans="1:5">
      <c r="A1138" s="473">
        <v>1214</v>
      </c>
      <c r="B1138" s="473" t="s">
        <v>10798</v>
      </c>
      <c r="C1138" s="473" t="s">
        <v>43</v>
      </c>
      <c r="D1138" s="473" t="s">
        <v>41</v>
      </c>
      <c r="E1138" s="361">
        <v>13.54</v>
      </c>
    </row>
    <row r="1139" spans="1:5">
      <c r="A1139" s="473">
        <v>40915</v>
      </c>
      <c r="B1139" s="473" t="s">
        <v>10799</v>
      </c>
      <c r="C1139" s="473" t="s">
        <v>53</v>
      </c>
      <c r="D1139" s="473" t="s">
        <v>41</v>
      </c>
      <c r="E1139" s="361">
        <v>2413.96</v>
      </c>
    </row>
    <row r="1140" spans="1:5">
      <c r="A1140" s="473">
        <v>1213</v>
      </c>
      <c r="B1140" s="473" t="s">
        <v>10800</v>
      </c>
      <c r="C1140" s="473" t="s">
        <v>43</v>
      </c>
      <c r="D1140" s="473" t="s">
        <v>44</v>
      </c>
      <c r="E1140" s="361">
        <v>13.54</v>
      </c>
    </row>
    <row r="1141" spans="1:5">
      <c r="A1141" s="473">
        <v>40914</v>
      </c>
      <c r="B1141" s="473" t="s">
        <v>10801</v>
      </c>
      <c r="C1141" s="473" t="s">
        <v>53</v>
      </c>
      <c r="D1141" s="473" t="s">
        <v>41</v>
      </c>
      <c r="E1141" s="361">
        <v>2413.96</v>
      </c>
    </row>
    <row r="1142" spans="1:5">
      <c r="A1142" s="473">
        <v>5091</v>
      </c>
      <c r="B1142" s="473" t="s">
        <v>10802</v>
      </c>
      <c r="C1142" s="473" t="s">
        <v>40</v>
      </c>
      <c r="D1142" s="473" t="s">
        <v>41</v>
      </c>
      <c r="E1142" s="361">
        <v>14.96</v>
      </c>
    </row>
    <row r="1143" spans="1:5">
      <c r="A1143" s="473">
        <v>14615</v>
      </c>
      <c r="B1143" s="473" t="s">
        <v>10803</v>
      </c>
      <c r="C1143" s="473" t="s">
        <v>40</v>
      </c>
      <c r="D1143" s="473" t="s">
        <v>47</v>
      </c>
      <c r="E1143" s="361">
        <v>3324.77</v>
      </c>
    </row>
    <row r="1144" spans="1:5">
      <c r="A1144" s="473">
        <v>2711</v>
      </c>
      <c r="B1144" s="473" t="s">
        <v>10804</v>
      </c>
      <c r="C1144" s="473" t="s">
        <v>40</v>
      </c>
      <c r="D1144" s="473" t="s">
        <v>44</v>
      </c>
      <c r="E1144" s="361">
        <v>116.58</v>
      </c>
    </row>
    <row r="1145" spans="1:5">
      <c r="A1145" s="473">
        <v>37727</v>
      </c>
      <c r="B1145" s="473" t="s">
        <v>10805</v>
      </c>
      <c r="C1145" s="473" t="s">
        <v>40</v>
      </c>
      <c r="D1145" s="473" t="s">
        <v>47</v>
      </c>
      <c r="E1145" s="361">
        <v>9500</v>
      </c>
    </row>
    <row r="1146" spans="1:5">
      <c r="A1146" s="473">
        <v>37728</v>
      </c>
      <c r="B1146" s="473" t="s">
        <v>10806</v>
      </c>
      <c r="C1146" s="473" t="s">
        <v>40</v>
      </c>
      <c r="D1146" s="473" t="s">
        <v>47</v>
      </c>
      <c r="E1146" s="361">
        <v>12888.11</v>
      </c>
    </row>
    <row r="1147" spans="1:5">
      <c r="A1147" s="473">
        <v>37729</v>
      </c>
      <c r="B1147" s="473" t="s">
        <v>10807</v>
      </c>
      <c r="C1147" s="473" t="s">
        <v>40</v>
      </c>
      <c r="D1147" s="473" t="s">
        <v>47</v>
      </c>
      <c r="E1147" s="361">
        <v>13951.04</v>
      </c>
    </row>
    <row r="1148" spans="1:5">
      <c r="A1148" s="473">
        <v>37730</v>
      </c>
      <c r="B1148" s="473" t="s">
        <v>10808</v>
      </c>
      <c r="C1148" s="473" t="s">
        <v>40</v>
      </c>
      <c r="D1148" s="473" t="s">
        <v>47</v>
      </c>
      <c r="E1148" s="361">
        <v>15013.98</v>
      </c>
    </row>
    <row r="1149" spans="1:5">
      <c r="A1149" s="473">
        <v>37731</v>
      </c>
      <c r="B1149" s="473" t="s">
        <v>10809</v>
      </c>
      <c r="C1149" s="473" t="s">
        <v>40</v>
      </c>
      <c r="D1149" s="473" t="s">
        <v>47</v>
      </c>
      <c r="E1149" s="361">
        <v>16076.92</v>
      </c>
    </row>
    <row r="1150" spans="1:5">
      <c r="A1150" s="473">
        <v>37732</v>
      </c>
      <c r="B1150" s="473" t="s">
        <v>10810</v>
      </c>
      <c r="C1150" s="473" t="s">
        <v>40</v>
      </c>
      <c r="D1150" s="473" t="s">
        <v>47</v>
      </c>
      <c r="E1150" s="361">
        <v>18335.66</v>
      </c>
    </row>
    <row r="1151" spans="1:5">
      <c r="A1151" s="473">
        <v>42250</v>
      </c>
      <c r="B1151" s="473" t="s">
        <v>10811</v>
      </c>
      <c r="C1151" s="473" t="s">
        <v>57</v>
      </c>
      <c r="D1151" s="473" t="s">
        <v>41</v>
      </c>
      <c r="E1151" s="361">
        <v>2183.42</v>
      </c>
    </row>
    <row r="1152" spans="1:5">
      <c r="A1152" s="473">
        <v>42256</v>
      </c>
      <c r="B1152" s="473" t="s">
        <v>10812</v>
      </c>
      <c r="C1152" s="473" t="s">
        <v>49</v>
      </c>
      <c r="D1152" s="473" t="s">
        <v>41</v>
      </c>
      <c r="E1152" s="361">
        <v>4.58</v>
      </c>
    </row>
    <row r="1153" spans="1:5">
      <c r="A1153" s="473">
        <v>4743</v>
      </c>
      <c r="B1153" s="473" t="s">
        <v>10813</v>
      </c>
      <c r="C1153" s="473" t="s">
        <v>45</v>
      </c>
      <c r="D1153" s="473" t="s">
        <v>41</v>
      </c>
      <c r="E1153" s="361">
        <v>37.86</v>
      </c>
    </row>
    <row r="1154" spans="1:5">
      <c r="A1154" s="473">
        <v>4744</v>
      </c>
      <c r="B1154" s="473" t="s">
        <v>10814</v>
      </c>
      <c r="C1154" s="473" t="s">
        <v>45</v>
      </c>
      <c r="D1154" s="473" t="s">
        <v>41</v>
      </c>
      <c r="E1154" s="361">
        <v>49.5</v>
      </c>
    </row>
    <row r="1155" spans="1:5">
      <c r="A1155" s="473">
        <v>4745</v>
      </c>
      <c r="B1155" s="473" t="s">
        <v>10815</v>
      </c>
      <c r="C1155" s="473" t="s">
        <v>45</v>
      </c>
      <c r="D1155" s="473" t="s">
        <v>41</v>
      </c>
      <c r="E1155" s="361">
        <v>66.31</v>
      </c>
    </row>
    <row r="1156" spans="1:5">
      <c r="A1156" s="473">
        <v>36496</v>
      </c>
      <c r="B1156" s="473" t="s">
        <v>10816</v>
      </c>
      <c r="C1156" s="473" t="s">
        <v>40</v>
      </c>
      <c r="D1156" s="473" t="s">
        <v>47</v>
      </c>
      <c r="E1156" s="361">
        <v>8441.5300000000007</v>
      </c>
    </row>
    <row r="1157" spans="1:5">
      <c r="A1157" s="473">
        <v>10630</v>
      </c>
      <c r="B1157" s="473" t="s">
        <v>10817</v>
      </c>
      <c r="C1157" s="473" t="s">
        <v>40</v>
      </c>
      <c r="D1157" s="473" t="s">
        <v>41</v>
      </c>
      <c r="E1157" s="361">
        <v>350051.66</v>
      </c>
    </row>
    <row r="1158" spans="1:5">
      <c r="A1158" s="473">
        <v>37762</v>
      </c>
      <c r="B1158" s="473" t="s">
        <v>10818</v>
      </c>
      <c r="C1158" s="473" t="s">
        <v>40</v>
      </c>
      <c r="D1158" s="473" t="s">
        <v>41</v>
      </c>
      <c r="E1158" s="361">
        <v>300217.96999999997</v>
      </c>
    </row>
    <row r="1159" spans="1:5">
      <c r="A1159" s="473">
        <v>37763</v>
      </c>
      <c r="B1159" s="473" t="s">
        <v>10819</v>
      </c>
      <c r="C1159" s="473" t="s">
        <v>40</v>
      </c>
      <c r="D1159" s="473" t="s">
        <v>41</v>
      </c>
      <c r="E1159" s="361">
        <v>303864.3</v>
      </c>
    </row>
    <row r="1160" spans="1:5">
      <c r="A1160" s="473">
        <v>41992</v>
      </c>
      <c r="B1160" s="473" t="s">
        <v>10820</v>
      </c>
      <c r="C1160" s="473" t="s">
        <v>40</v>
      </c>
      <c r="D1160" s="473" t="s">
        <v>44</v>
      </c>
      <c r="E1160" s="361">
        <v>345432.98</v>
      </c>
    </row>
    <row r="1161" spans="1:5">
      <c r="A1161" s="473">
        <v>13215</v>
      </c>
      <c r="B1161" s="473" t="s">
        <v>10821</v>
      </c>
      <c r="C1161" s="473" t="s">
        <v>40</v>
      </c>
      <c r="D1161" s="473" t="s">
        <v>41</v>
      </c>
      <c r="E1161" s="361">
        <v>423586.84</v>
      </c>
    </row>
    <row r="1162" spans="1:5">
      <c r="A1162" s="473">
        <v>4235</v>
      </c>
      <c r="B1162" s="473" t="s">
        <v>10822</v>
      </c>
      <c r="C1162" s="473" t="s">
        <v>43</v>
      </c>
      <c r="D1162" s="473" t="s">
        <v>41</v>
      </c>
      <c r="E1162" s="361">
        <v>8.23</v>
      </c>
    </row>
    <row r="1163" spans="1:5">
      <c r="A1163" s="473">
        <v>40976</v>
      </c>
      <c r="B1163" s="473" t="s">
        <v>10823</v>
      </c>
      <c r="C1163" s="473" t="s">
        <v>53</v>
      </c>
      <c r="D1163" s="473" t="s">
        <v>41</v>
      </c>
      <c r="E1163" s="361">
        <v>1467.66</v>
      </c>
    </row>
    <row r="1164" spans="1:5">
      <c r="A1164" s="473">
        <v>39013</v>
      </c>
      <c r="B1164" s="473" t="s">
        <v>10824</v>
      </c>
      <c r="C1164" s="473" t="s">
        <v>40</v>
      </c>
      <c r="D1164" s="473" t="s">
        <v>47</v>
      </c>
      <c r="E1164" s="361">
        <v>1.04</v>
      </c>
    </row>
    <row r="1165" spans="1:5">
      <c r="A1165" s="473">
        <v>41967</v>
      </c>
      <c r="B1165" s="473" t="s">
        <v>10825</v>
      </c>
      <c r="C1165" s="473" t="s">
        <v>50</v>
      </c>
      <c r="D1165" s="473" t="s">
        <v>41</v>
      </c>
      <c r="E1165" s="361">
        <v>6.1</v>
      </c>
    </row>
    <row r="1166" spans="1:5">
      <c r="A1166" s="473">
        <v>12760</v>
      </c>
      <c r="B1166" s="473" t="s">
        <v>10826</v>
      </c>
      <c r="C1166" s="473" t="s">
        <v>46</v>
      </c>
      <c r="D1166" s="473" t="s">
        <v>41</v>
      </c>
      <c r="E1166" s="361">
        <v>1041.06</v>
      </c>
    </row>
    <row r="1167" spans="1:5">
      <c r="A1167" s="473">
        <v>12759</v>
      </c>
      <c r="B1167" s="473" t="s">
        <v>10827</v>
      </c>
      <c r="C1167" s="473" t="s">
        <v>46</v>
      </c>
      <c r="D1167" s="473" t="s">
        <v>41</v>
      </c>
      <c r="E1167" s="361">
        <v>694.02</v>
      </c>
    </row>
    <row r="1168" spans="1:5">
      <c r="A1168" s="473">
        <v>40424</v>
      </c>
      <c r="B1168" s="473" t="s">
        <v>10828</v>
      </c>
      <c r="C1168" s="473" t="s">
        <v>49</v>
      </c>
      <c r="D1168" s="473" t="s">
        <v>41</v>
      </c>
      <c r="E1168" s="361">
        <v>4.5599999999999996</v>
      </c>
    </row>
    <row r="1169" spans="1:5">
      <c r="A1169" s="473">
        <v>1325</v>
      </c>
      <c r="B1169" s="473" t="s">
        <v>10829</v>
      </c>
      <c r="C1169" s="473" t="s">
        <v>49</v>
      </c>
      <c r="D1169" s="473" t="s">
        <v>41</v>
      </c>
      <c r="E1169" s="361">
        <v>5.56</v>
      </c>
    </row>
    <row r="1170" spans="1:5">
      <c r="A1170" s="473">
        <v>1327</v>
      </c>
      <c r="B1170" s="473" t="s">
        <v>10830</v>
      </c>
      <c r="C1170" s="473" t="s">
        <v>49</v>
      </c>
      <c r="D1170" s="473" t="s">
        <v>41</v>
      </c>
      <c r="E1170" s="361">
        <v>4.9800000000000004</v>
      </c>
    </row>
    <row r="1171" spans="1:5">
      <c r="A1171" s="473">
        <v>1328</v>
      </c>
      <c r="B1171" s="473" t="s">
        <v>10831</v>
      </c>
      <c r="C1171" s="473" t="s">
        <v>49</v>
      </c>
      <c r="D1171" s="473" t="s">
        <v>41</v>
      </c>
      <c r="E1171" s="361">
        <v>5.21</v>
      </c>
    </row>
    <row r="1172" spans="1:5">
      <c r="A1172" s="473">
        <v>1321</v>
      </c>
      <c r="B1172" s="473" t="s">
        <v>10832</v>
      </c>
      <c r="C1172" s="473" t="s">
        <v>49</v>
      </c>
      <c r="D1172" s="473" t="s">
        <v>41</v>
      </c>
      <c r="E1172" s="361">
        <v>5.58</v>
      </c>
    </row>
    <row r="1173" spans="1:5">
      <c r="A1173" s="473">
        <v>1318</v>
      </c>
      <c r="B1173" s="473" t="s">
        <v>10833</v>
      </c>
      <c r="C1173" s="473" t="s">
        <v>49</v>
      </c>
      <c r="D1173" s="473" t="s">
        <v>41</v>
      </c>
      <c r="E1173" s="361">
        <v>5.37</v>
      </c>
    </row>
    <row r="1174" spans="1:5">
      <c r="A1174" s="473">
        <v>1322</v>
      </c>
      <c r="B1174" s="473" t="s">
        <v>10834</v>
      </c>
      <c r="C1174" s="473" t="s">
        <v>49</v>
      </c>
      <c r="D1174" s="473" t="s">
        <v>41</v>
      </c>
      <c r="E1174" s="361">
        <v>5.92</v>
      </c>
    </row>
    <row r="1175" spans="1:5">
      <c r="A1175" s="473">
        <v>1323</v>
      </c>
      <c r="B1175" s="473" t="s">
        <v>10835</v>
      </c>
      <c r="C1175" s="473" t="s">
        <v>49</v>
      </c>
      <c r="D1175" s="473" t="s">
        <v>41</v>
      </c>
      <c r="E1175" s="361">
        <v>5.79</v>
      </c>
    </row>
    <row r="1176" spans="1:5">
      <c r="A1176" s="473">
        <v>1319</v>
      </c>
      <c r="B1176" s="473" t="s">
        <v>10836</v>
      </c>
      <c r="C1176" s="473" t="s">
        <v>49</v>
      </c>
      <c r="D1176" s="473" t="s">
        <v>41</v>
      </c>
      <c r="E1176" s="361">
        <v>5.12</v>
      </c>
    </row>
    <row r="1177" spans="1:5">
      <c r="A1177" s="473">
        <v>11026</v>
      </c>
      <c r="B1177" s="473" t="s">
        <v>10837</v>
      </c>
      <c r="C1177" s="473" t="s">
        <v>49</v>
      </c>
      <c r="D1177" s="473" t="s">
        <v>41</v>
      </c>
      <c r="E1177" s="361">
        <v>6.86</v>
      </c>
    </row>
    <row r="1178" spans="1:5">
      <c r="A1178" s="473">
        <v>11027</v>
      </c>
      <c r="B1178" s="473" t="s">
        <v>10838</v>
      </c>
      <c r="C1178" s="473" t="s">
        <v>49</v>
      </c>
      <c r="D1178" s="473" t="s">
        <v>41</v>
      </c>
      <c r="E1178" s="361">
        <v>7.28</v>
      </c>
    </row>
    <row r="1179" spans="1:5">
      <c r="A1179" s="473">
        <v>11046</v>
      </c>
      <c r="B1179" s="473" t="s">
        <v>10839</v>
      </c>
      <c r="C1179" s="473" t="s">
        <v>49</v>
      </c>
      <c r="D1179" s="473" t="s">
        <v>41</v>
      </c>
      <c r="E1179" s="361">
        <v>7.07</v>
      </c>
    </row>
    <row r="1180" spans="1:5">
      <c r="A1180" s="473">
        <v>11047</v>
      </c>
      <c r="B1180" s="473" t="s">
        <v>10840</v>
      </c>
      <c r="C1180" s="473" t="s">
        <v>49</v>
      </c>
      <c r="D1180" s="473" t="s">
        <v>41</v>
      </c>
      <c r="E1180" s="361">
        <v>5.34</v>
      </c>
    </row>
    <row r="1181" spans="1:5">
      <c r="A1181" s="473">
        <v>39630</v>
      </c>
      <c r="B1181" s="473" t="s">
        <v>10841</v>
      </c>
      <c r="C1181" s="473" t="s">
        <v>46</v>
      </c>
      <c r="D1181" s="473" t="s">
        <v>41</v>
      </c>
      <c r="E1181" s="361">
        <v>49.67</v>
      </c>
    </row>
    <row r="1182" spans="1:5">
      <c r="A1182" s="473">
        <v>11049</v>
      </c>
      <c r="B1182" s="473" t="s">
        <v>10842</v>
      </c>
      <c r="C1182" s="473" t="s">
        <v>49</v>
      </c>
      <c r="D1182" s="473" t="s">
        <v>44</v>
      </c>
      <c r="E1182" s="361">
        <v>6.59</v>
      </c>
    </row>
    <row r="1183" spans="1:5">
      <c r="A1183" s="473">
        <v>39632</v>
      </c>
      <c r="B1183" s="473" t="s">
        <v>10843</v>
      </c>
      <c r="C1183" s="473" t="s">
        <v>46</v>
      </c>
      <c r="D1183" s="473" t="s">
        <v>41</v>
      </c>
      <c r="E1183" s="361">
        <v>34.659999999999997</v>
      </c>
    </row>
    <row r="1184" spans="1:5">
      <c r="A1184" s="473">
        <v>11051</v>
      </c>
      <c r="B1184" s="473" t="s">
        <v>10844</v>
      </c>
      <c r="C1184" s="473" t="s">
        <v>49</v>
      </c>
      <c r="D1184" s="473" t="s">
        <v>41</v>
      </c>
      <c r="E1184" s="361">
        <v>7.08</v>
      </c>
    </row>
    <row r="1185" spans="1:5">
      <c r="A1185" s="473">
        <v>11061</v>
      </c>
      <c r="B1185" s="473" t="s">
        <v>10845</v>
      </c>
      <c r="C1185" s="473" t="s">
        <v>49</v>
      </c>
      <c r="D1185" s="473" t="s">
        <v>41</v>
      </c>
      <c r="E1185" s="361">
        <v>4.95</v>
      </c>
    </row>
    <row r="1186" spans="1:5">
      <c r="A1186" s="473">
        <v>1336</v>
      </c>
      <c r="B1186" s="473" t="s">
        <v>10846</v>
      </c>
      <c r="C1186" s="473" t="s">
        <v>46</v>
      </c>
      <c r="D1186" s="473" t="s">
        <v>41</v>
      </c>
      <c r="E1186" s="361">
        <v>1325.36</v>
      </c>
    </row>
    <row r="1187" spans="1:5">
      <c r="A1187" s="473">
        <v>1333</v>
      </c>
      <c r="B1187" s="473" t="s">
        <v>10847</v>
      </c>
      <c r="C1187" s="473" t="s">
        <v>49</v>
      </c>
      <c r="D1187" s="473" t="s">
        <v>41</v>
      </c>
      <c r="E1187" s="361">
        <v>5.15</v>
      </c>
    </row>
    <row r="1188" spans="1:5">
      <c r="A1188" s="473">
        <v>1330</v>
      </c>
      <c r="B1188" s="473" t="s">
        <v>10848</v>
      </c>
      <c r="C1188" s="473" t="s">
        <v>49</v>
      </c>
      <c r="D1188" s="473" t="s">
        <v>41</v>
      </c>
      <c r="E1188" s="361">
        <v>5.28</v>
      </c>
    </row>
    <row r="1189" spans="1:5">
      <c r="A1189" s="473">
        <v>10957</v>
      </c>
      <c r="B1189" s="473" t="s">
        <v>10849</v>
      </c>
      <c r="C1189" s="473" t="s">
        <v>49</v>
      </c>
      <c r="D1189" s="473" t="s">
        <v>41</v>
      </c>
      <c r="E1189" s="361">
        <v>6.59</v>
      </c>
    </row>
    <row r="1190" spans="1:5">
      <c r="A1190" s="473">
        <v>1332</v>
      </c>
      <c r="B1190" s="473" t="s">
        <v>10850</v>
      </c>
      <c r="C1190" s="473" t="s">
        <v>49</v>
      </c>
      <c r="D1190" s="473" t="s">
        <v>41</v>
      </c>
      <c r="E1190" s="361">
        <v>5.49</v>
      </c>
    </row>
    <row r="1191" spans="1:5">
      <c r="A1191" s="473">
        <v>1334</v>
      </c>
      <c r="B1191" s="473" t="s">
        <v>10851</v>
      </c>
      <c r="C1191" s="473" t="s">
        <v>49</v>
      </c>
      <c r="D1191" s="473" t="s">
        <v>41</v>
      </c>
      <c r="E1191" s="361">
        <v>6.08</v>
      </c>
    </row>
    <row r="1192" spans="1:5">
      <c r="A1192" s="473">
        <v>1335</v>
      </c>
      <c r="B1192" s="473" t="s">
        <v>10852</v>
      </c>
      <c r="C1192" s="473" t="s">
        <v>49</v>
      </c>
      <c r="D1192" s="473" t="s">
        <v>41</v>
      </c>
      <c r="E1192" s="361">
        <v>6.16</v>
      </c>
    </row>
    <row r="1193" spans="1:5">
      <c r="A1193" s="473">
        <v>40425</v>
      </c>
      <c r="B1193" s="473" t="s">
        <v>10853</v>
      </c>
      <c r="C1193" s="473" t="s">
        <v>49</v>
      </c>
      <c r="D1193" s="473" t="s">
        <v>41</v>
      </c>
      <c r="E1193" s="361">
        <v>4.59</v>
      </c>
    </row>
    <row r="1194" spans="1:5">
      <c r="A1194" s="473">
        <v>1337</v>
      </c>
      <c r="B1194" s="473" t="s">
        <v>10854</v>
      </c>
      <c r="C1194" s="473" t="s">
        <v>49</v>
      </c>
      <c r="D1194" s="473" t="s">
        <v>41</v>
      </c>
      <c r="E1194" s="361">
        <v>6.5</v>
      </c>
    </row>
    <row r="1195" spans="1:5">
      <c r="A1195" s="473">
        <v>11122</v>
      </c>
      <c r="B1195" s="473" t="s">
        <v>10855</v>
      </c>
      <c r="C1195" s="473" t="s">
        <v>49</v>
      </c>
      <c r="D1195" s="473" t="s">
        <v>47</v>
      </c>
      <c r="E1195" s="361">
        <v>23.69</v>
      </c>
    </row>
    <row r="1196" spans="1:5">
      <c r="A1196" s="473">
        <v>11123</v>
      </c>
      <c r="B1196" s="473" t="s">
        <v>10856</v>
      </c>
      <c r="C1196" s="473" t="s">
        <v>49</v>
      </c>
      <c r="D1196" s="473" t="s">
        <v>47</v>
      </c>
      <c r="E1196" s="361">
        <v>23.69</v>
      </c>
    </row>
    <row r="1197" spans="1:5">
      <c r="A1197" s="473">
        <v>11125</v>
      </c>
      <c r="B1197" s="473" t="s">
        <v>10857</v>
      </c>
      <c r="C1197" s="473" t="s">
        <v>49</v>
      </c>
      <c r="D1197" s="473" t="s">
        <v>47</v>
      </c>
      <c r="E1197" s="361">
        <v>23.69</v>
      </c>
    </row>
    <row r="1198" spans="1:5">
      <c r="A1198" s="473">
        <v>39416</v>
      </c>
      <c r="B1198" s="473" t="s">
        <v>10858</v>
      </c>
      <c r="C1198" s="473" t="s">
        <v>46</v>
      </c>
      <c r="D1198" s="473" t="s">
        <v>41</v>
      </c>
      <c r="E1198" s="361">
        <v>30.33</v>
      </c>
    </row>
    <row r="1199" spans="1:5">
      <c r="A1199" s="473">
        <v>39417</v>
      </c>
      <c r="B1199" s="473" t="s">
        <v>10859</v>
      </c>
      <c r="C1199" s="473" t="s">
        <v>46</v>
      </c>
      <c r="D1199" s="473" t="s">
        <v>41</v>
      </c>
      <c r="E1199" s="361">
        <v>31.8</v>
      </c>
    </row>
    <row r="1200" spans="1:5">
      <c r="A1200" s="473">
        <v>39414</v>
      </c>
      <c r="B1200" s="473" t="s">
        <v>10860</v>
      </c>
      <c r="C1200" s="473" t="s">
        <v>46</v>
      </c>
      <c r="D1200" s="473" t="s">
        <v>41</v>
      </c>
      <c r="E1200" s="361">
        <v>28.48</v>
      </c>
    </row>
    <row r="1201" spans="1:5">
      <c r="A1201" s="473">
        <v>39415</v>
      </c>
      <c r="B1201" s="473" t="s">
        <v>10861</v>
      </c>
      <c r="C1201" s="473" t="s">
        <v>46</v>
      </c>
      <c r="D1201" s="473" t="s">
        <v>41</v>
      </c>
      <c r="E1201" s="361">
        <v>30.18</v>
      </c>
    </row>
    <row r="1202" spans="1:5">
      <c r="A1202" s="473">
        <v>39412</v>
      </c>
      <c r="B1202" s="473" t="s">
        <v>10862</v>
      </c>
      <c r="C1202" s="473" t="s">
        <v>46</v>
      </c>
      <c r="D1202" s="473" t="s">
        <v>41</v>
      </c>
      <c r="E1202" s="361">
        <v>21.44</v>
      </c>
    </row>
    <row r="1203" spans="1:5">
      <c r="A1203" s="473">
        <v>39413</v>
      </c>
      <c r="B1203" s="473" t="s">
        <v>10863</v>
      </c>
      <c r="C1203" s="473" t="s">
        <v>46</v>
      </c>
      <c r="D1203" s="473" t="s">
        <v>41</v>
      </c>
      <c r="E1203" s="361">
        <v>21.24</v>
      </c>
    </row>
    <row r="1204" spans="1:5">
      <c r="A1204" s="473">
        <v>1338</v>
      </c>
      <c r="B1204" s="473" t="s">
        <v>10864</v>
      </c>
      <c r="C1204" s="473" t="s">
        <v>46</v>
      </c>
      <c r="D1204" s="473" t="s">
        <v>44</v>
      </c>
      <c r="E1204" s="361">
        <v>26.43</v>
      </c>
    </row>
    <row r="1205" spans="1:5">
      <c r="A1205" s="473">
        <v>1340</v>
      </c>
      <c r="B1205" s="473" t="s">
        <v>10865</v>
      </c>
      <c r="C1205" s="473" t="s">
        <v>46</v>
      </c>
      <c r="D1205" s="473" t="s">
        <v>41</v>
      </c>
      <c r="E1205" s="361">
        <v>30.55</v>
      </c>
    </row>
    <row r="1206" spans="1:5">
      <c r="A1206" s="473">
        <v>1341</v>
      </c>
      <c r="B1206" s="473" t="s">
        <v>10866</v>
      </c>
      <c r="C1206" s="473" t="s">
        <v>46</v>
      </c>
      <c r="D1206" s="473" t="s">
        <v>41</v>
      </c>
      <c r="E1206" s="361">
        <v>29.43</v>
      </c>
    </row>
    <row r="1207" spans="1:5">
      <c r="A1207" s="473">
        <v>1364</v>
      </c>
      <c r="B1207" s="473" t="s">
        <v>10867</v>
      </c>
      <c r="C1207" s="473" t="s">
        <v>46</v>
      </c>
      <c r="D1207" s="473" t="s">
        <v>41</v>
      </c>
      <c r="E1207" s="361">
        <v>29.18</v>
      </c>
    </row>
    <row r="1208" spans="1:5">
      <c r="A1208" s="473">
        <v>1361</v>
      </c>
      <c r="B1208" s="473" t="s">
        <v>10868</v>
      </c>
      <c r="C1208" s="473" t="s">
        <v>40</v>
      </c>
      <c r="D1208" s="473" t="s">
        <v>41</v>
      </c>
      <c r="E1208" s="361">
        <v>121.7</v>
      </c>
    </row>
    <row r="1209" spans="1:5">
      <c r="A1209" s="473">
        <v>1362</v>
      </c>
      <c r="B1209" s="473" t="s">
        <v>10869</v>
      </c>
      <c r="C1209" s="473" t="s">
        <v>46</v>
      </c>
      <c r="D1209" s="473" t="s">
        <v>41</v>
      </c>
      <c r="E1209" s="361">
        <v>40.619999999999997</v>
      </c>
    </row>
    <row r="1210" spans="1:5">
      <c r="A1210" s="473">
        <v>11131</v>
      </c>
      <c r="B1210" s="473" t="s">
        <v>10870</v>
      </c>
      <c r="C1210" s="473" t="s">
        <v>46</v>
      </c>
      <c r="D1210" s="473" t="s">
        <v>41</v>
      </c>
      <c r="E1210" s="361">
        <v>51.99</v>
      </c>
    </row>
    <row r="1211" spans="1:5">
      <c r="A1211" s="473">
        <v>11132</v>
      </c>
      <c r="B1211" s="473" t="s">
        <v>10871</v>
      </c>
      <c r="C1211" s="473" t="s">
        <v>46</v>
      </c>
      <c r="D1211" s="473" t="s">
        <v>41</v>
      </c>
      <c r="E1211" s="361">
        <v>61.47</v>
      </c>
    </row>
    <row r="1212" spans="1:5">
      <c r="A1212" s="473">
        <v>1363</v>
      </c>
      <c r="B1212" s="473" t="s">
        <v>10872</v>
      </c>
      <c r="C1212" s="473" t="s">
        <v>46</v>
      </c>
      <c r="D1212" s="473" t="s">
        <v>44</v>
      </c>
      <c r="E1212" s="361">
        <v>20.67</v>
      </c>
    </row>
    <row r="1213" spans="1:5">
      <c r="A1213" s="473">
        <v>11130</v>
      </c>
      <c r="B1213" s="473" t="s">
        <v>10873</v>
      </c>
      <c r="C1213" s="473" t="s">
        <v>46</v>
      </c>
      <c r="D1213" s="473" t="s">
        <v>41</v>
      </c>
      <c r="E1213" s="361">
        <v>26.18</v>
      </c>
    </row>
    <row r="1214" spans="1:5">
      <c r="A1214" s="473">
        <v>11134</v>
      </c>
      <c r="B1214" s="473" t="s">
        <v>10874</v>
      </c>
      <c r="C1214" s="473" t="s">
        <v>46</v>
      </c>
      <c r="D1214" s="473" t="s">
        <v>44</v>
      </c>
      <c r="E1214" s="361">
        <v>41.42</v>
      </c>
    </row>
    <row r="1215" spans="1:5">
      <c r="A1215" s="473">
        <v>11135</v>
      </c>
      <c r="B1215" s="473" t="s">
        <v>10875</v>
      </c>
      <c r="C1215" s="473" t="s">
        <v>46</v>
      </c>
      <c r="D1215" s="473" t="s">
        <v>41</v>
      </c>
      <c r="E1215" s="361">
        <v>50.49</v>
      </c>
    </row>
    <row r="1216" spans="1:5">
      <c r="A1216" s="473">
        <v>11136</v>
      </c>
      <c r="B1216" s="473" t="s">
        <v>10876</v>
      </c>
      <c r="C1216" s="473" t="s">
        <v>46</v>
      </c>
      <c r="D1216" s="473" t="s">
        <v>41</v>
      </c>
      <c r="E1216" s="361">
        <v>54.61</v>
      </c>
    </row>
    <row r="1217" spans="1:5">
      <c r="A1217" s="473">
        <v>34743</v>
      </c>
      <c r="B1217" s="473" t="s">
        <v>10877</v>
      </c>
      <c r="C1217" s="473" t="s">
        <v>46</v>
      </c>
      <c r="D1217" s="473" t="s">
        <v>41</v>
      </c>
      <c r="E1217" s="361">
        <v>69.53</v>
      </c>
    </row>
    <row r="1218" spans="1:5">
      <c r="A1218" s="473">
        <v>11137</v>
      </c>
      <c r="B1218" s="473" t="s">
        <v>10878</v>
      </c>
      <c r="C1218" s="473" t="s">
        <v>46</v>
      </c>
      <c r="D1218" s="473" t="s">
        <v>41</v>
      </c>
      <c r="E1218" s="361">
        <v>77.53</v>
      </c>
    </row>
    <row r="1219" spans="1:5">
      <c r="A1219" s="473">
        <v>34745</v>
      </c>
      <c r="B1219" s="473" t="s">
        <v>10879</v>
      </c>
      <c r="C1219" s="473" t="s">
        <v>46</v>
      </c>
      <c r="D1219" s="473" t="s">
        <v>41</v>
      </c>
      <c r="E1219" s="361">
        <v>88.36</v>
      </c>
    </row>
    <row r="1220" spans="1:5">
      <c r="A1220" s="473">
        <v>34746</v>
      </c>
      <c r="B1220" s="473" t="s">
        <v>10880</v>
      </c>
      <c r="C1220" s="473" t="s">
        <v>46</v>
      </c>
      <c r="D1220" s="473" t="s">
        <v>41</v>
      </c>
      <c r="E1220" s="361">
        <v>22.75</v>
      </c>
    </row>
    <row r="1221" spans="1:5">
      <c r="A1221" s="473">
        <v>1360</v>
      </c>
      <c r="B1221" s="473" t="s">
        <v>10881</v>
      </c>
      <c r="C1221" s="473" t="s">
        <v>46</v>
      </c>
      <c r="D1221" s="473" t="s">
        <v>41</v>
      </c>
      <c r="E1221" s="361">
        <v>28.11</v>
      </c>
    </row>
    <row r="1222" spans="1:5">
      <c r="A1222" s="473">
        <v>1346</v>
      </c>
      <c r="B1222" s="473" t="s">
        <v>10882</v>
      </c>
      <c r="C1222" s="473" t="s">
        <v>46</v>
      </c>
      <c r="D1222" s="473" t="s">
        <v>41</v>
      </c>
      <c r="E1222" s="361">
        <v>23.2</v>
      </c>
    </row>
    <row r="1223" spans="1:5">
      <c r="A1223" s="473">
        <v>1345</v>
      </c>
      <c r="B1223" s="473" t="s">
        <v>10883</v>
      </c>
      <c r="C1223" s="473" t="s">
        <v>46</v>
      </c>
      <c r="D1223" s="473" t="s">
        <v>41</v>
      </c>
      <c r="E1223" s="361">
        <v>37.6</v>
      </c>
    </row>
    <row r="1224" spans="1:5">
      <c r="A1224" s="473">
        <v>1344</v>
      </c>
      <c r="B1224" s="473" t="s">
        <v>10884</v>
      </c>
      <c r="C1224" s="473" t="s">
        <v>40</v>
      </c>
      <c r="D1224" s="473" t="s">
        <v>41</v>
      </c>
      <c r="E1224" s="361">
        <v>40.43</v>
      </c>
    </row>
    <row r="1225" spans="1:5">
      <c r="A1225" s="473">
        <v>1342</v>
      </c>
      <c r="B1225" s="473" t="s">
        <v>10885</v>
      </c>
      <c r="C1225" s="473" t="s">
        <v>40</v>
      </c>
      <c r="D1225" s="473" t="s">
        <v>41</v>
      </c>
      <c r="E1225" s="361">
        <v>71.48</v>
      </c>
    </row>
    <row r="1226" spans="1:5">
      <c r="A1226" s="473">
        <v>1347</v>
      </c>
      <c r="B1226" s="473" t="s">
        <v>10886</v>
      </c>
      <c r="C1226" s="473" t="s">
        <v>46</v>
      </c>
      <c r="D1226" s="473" t="s">
        <v>44</v>
      </c>
      <c r="E1226" s="361">
        <v>27.73</v>
      </c>
    </row>
    <row r="1227" spans="1:5">
      <c r="A1227" s="473">
        <v>1349</v>
      </c>
      <c r="B1227" s="473" t="s">
        <v>10887</v>
      </c>
      <c r="C1227" s="473" t="s">
        <v>40</v>
      </c>
      <c r="D1227" s="473" t="s">
        <v>41</v>
      </c>
      <c r="E1227" s="361">
        <v>101.94</v>
      </c>
    </row>
    <row r="1228" spans="1:5">
      <c r="A1228" s="473">
        <v>1350</v>
      </c>
      <c r="B1228" s="473" t="s">
        <v>10888</v>
      </c>
      <c r="C1228" s="473" t="s">
        <v>40</v>
      </c>
      <c r="D1228" s="473" t="s">
        <v>44</v>
      </c>
      <c r="E1228" s="361">
        <v>36.01</v>
      </c>
    </row>
    <row r="1229" spans="1:5">
      <c r="A1229" s="473">
        <v>1357</v>
      </c>
      <c r="B1229" s="473" t="s">
        <v>10889</v>
      </c>
      <c r="C1229" s="473" t="s">
        <v>40</v>
      </c>
      <c r="D1229" s="473" t="s">
        <v>41</v>
      </c>
      <c r="E1229" s="361">
        <v>45.87</v>
      </c>
    </row>
    <row r="1230" spans="1:5">
      <c r="A1230" s="473">
        <v>1355</v>
      </c>
      <c r="B1230" s="473" t="s">
        <v>10890</v>
      </c>
      <c r="C1230" s="473" t="s">
        <v>46</v>
      </c>
      <c r="D1230" s="473" t="s">
        <v>41</v>
      </c>
      <c r="E1230" s="361">
        <v>21.11</v>
      </c>
    </row>
    <row r="1231" spans="1:5">
      <c r="A1231" s="473">
        <v>1358</v>
      </c>
      <c r="B1231" s="473" t="s">
        <v>10891</v>
      </c>
      <c r="C1231" s="473" t="s">
        <v>46</v>
      </c>
      <c r="D1231" s="473" t="s">
        <v>41</v>
      </c>
      <c r="E1231" s="361">
        <v>24.45</v>
      </c>
    </row>
    <row r="1232" spans="1:5">
      <c r="A1232" s="473">
        <v>1359</v>
      </c>
      <c r="B1232" s="473" t="s">
        <v>10892</v>
      </c>
      <c r="C1232" s="473" t="s">
        <v>40</v>
      </c>
      <c r="D1232" s="473" t="s">
        <v>41</v>
      </c>
      <c r="E1232" s="361">
        <v>70.86</v>
      </c>
    </row>
    <row r="1233" spans="1:5">
      <c r="A1233" s="473">
        <v>1351</v>
      </c>
      <c r="B1233" s="473" t="s">
        <v>10893</v>
      </c>
      <c r="C1233" s="473" t="s">
        <v>40</v>
      </c>
      <c r="D1233" s="473" t="s">
        <v>41</v>
      </c>
      <c r="E1233" s="361">
        <v>22.83</v>
      </c>
    </row>
    <row r="1234" spans="1:5">
      <c r="A1234" s="473">
        <v>34659</v>
      </c>
      <c r="B1234" s="473" t="s">
        <v>10894</v>
      </c>
      <c r="C1234" s="473" t="s">
        <v>46</v>
      </c>
      <c r="D1234" s="473" t="s">
        <v>41</v>
      </c>
      <c r="E1234" s="361">
        <v>26.61</v>
      </c>
    </row>
    <row r="1235" spans="1:5">
      <c r="A1235" s="473">
        <v>34514</v>
      </c>
      <c r="B1235" s="473" t="s">
        <v>10895</v>
      </c>
      <c r="C1235" s="473" t="s">
        <v>46</v>
      </c>
      <c r="D1235" s="473" t="s">
        <v>44</v>
      </c>
      <c r="E1235" s="361">
        <v>29.48</v>
      </c>
    </row>
    <row r="1236" spans="1:5">
      <c r="A1236" s="473">
        <v>34660</v>
      </c>
      <c r="B1236" s="473" t="s">
        <v>10896</v>
      </c>
      <c r="C1236" s="473" t="s">
        <v>46</v>
      </c>
      <c r="D1236" s="473" t="s">
        <v>41</v>
      </c>
      <c r="E1236" s="361">
        <v>37.409999999999997</v>
      </c>
    </row>
    <row r="1237" spans="1:5">
      <c r="A1237" s="473">
        <v>34661</v>
      </c>
      <c r="B1237" s="473" t="s">
        <v>10897</v>
      </c>
      <c r="C1237" s="473" t="s">
        <v>46</v>
      </c>
      <c r="D1237" s="473" t="s">
        <v>41</v>
      </c>
      <c r="E1237" s="361">
        <v>53.73</v>
      </c>
    </row>
    <row r="1238" spans="1:5">
      <c r="A1238" s="473">
        <v>34667</v>
      </c>
      <c r="B1238" s="473" t="s">
        <v>10898</v>
      </c>
      <c r="C1238" s="473" t="s">
        <v>46</v>
      </c>
      <c r="D1238" s="473" t="s">
        <v>41</v>
      </c>
      <c r="E1238" s="361">
        <v>19.46</v>
      </c>
    </row>
    <row r="1239" spans="1:5">
      <c r="A1239" s="473">
        <v>34668</v>
      </c>
      <c r="B1239" s="473" t="s">
        <v>10899</v>
      </c>
      <c r="C1239" s="473" t="s">
        <v>46</v>
      </c>
      <c r="D1239" s="473" t="s">
        <v>41</v>
      </c>
      <c r="E1239" s="361">
        <v>25.43</v>
      </c>
    </row>
    <row r="1240" spans="1:5">
      <c r="A1240" s="473">
        <v>34741</v>
      </c>
      <c r="B1240" s="473" t="s">
        <v>10900</v>
      </c>
      <c r="C1240" s="473" t="s">
        <v>46</v>
      </c>
      <c r="D1240" s="473" t="s">
        <v>41</v>
      </c>
      <c r="E1240" s="361">
        <v>27.98</v>
      </c>
    </row>
    <row r="1241" spans="1:5">
      <c r="A1241" s="473">
        <v>34664</v>
      </c>
      <c r="B1241" s="473" t="s">
        <v>10901</v>
      </c>
      <c r="C1241" s="473" t="s">
        <v>46</v>
      </c>
      <c r="D1241" s="473" t="s">
        <v>41</v>
      </c>
      <c r="E1241" s="361">
        <v>30.53</v>
      </c>
    </row>
    <row r="1242" spans="1:5">
      <c r="A1242" s="473">
        <v>34665</v>
      </c>
      <c r="B1242" s="473" t="s">
        <v>10902</v>
      </c>
      <c r="C1242" s="473" t="s">
        <v>46</v>
      </c>
      <c r="D1242" s="473" t="s">
        <v>41</v>
      </c>
      <c r="E1242" s="361">
        <v>37.9</v>
      </c>
    </row>
    <row r="1243" spans="1:5">
      <c r="A1243" s="473">
        <v>34666</v>
      </c>
      <c r="B1243" s="473" t="s">
        <v>10903</v>
      </c>
      <c r="C1243" s="473" t="s">
        <v>46</v>
      </c>
      <c r="D1243" s="473" t="s">
        <v>41</v>
      </c>
      <c r="E1243" s="361">
        <v>57.25</v>
      </c>
    </row>
    <row r="1244" spans="1:5">
      <c r="A1244" s="473">
        <v>34669</v>
      </c>
      <c r="B1244" s="473" t="s">
        <v>10904</v>
      </c>
      <c r="C1244" s="473" t="s">
        <v>46</v>
      </c>
      <c r="D1244" s="473" t="s">
        <v>41</v>
      </c>
      <c r="E1244" s="361">
        <v>20.99</v>
      </c>
    </row>
    <row r="1245" spans="1:5">
      <c r="A1245" s="473">
        <v>34670</v>
      </c>
      <c r="B1245" s="473" t="s">
        <v>10905</v>
      </c>
      <c r="C1245" s="473" t="s">
        <v>46</v>
      </c>
      <c r="D1245" s="473" t="s">
        <v>41</v>
      </c>
      <c r="E1245" s="361">
        <v>25.67</v>
      </c>
    </row>
    <row r="1246" spans="1:5">
      <c r="A1246" s="473">
        <v>34671</v>
      </c>
      <c r="B1246" s="473" t="s">
        <v>10906</v>
      </c>
      <c r="C1246" s="473" t="s">
        <v>46</v>
      </c>
      <c r="D1246" s="473" t="s">
        <v>41</v>
      </c>
      <c r="E1246" s="361">
        <v>21.43</v>
      </c>
    </row>
    <row r="1247" spans="1:5">
      <c r="A1247" s="473">
        <v>34672</v>
      </c>
      <c r="B1247" s="473" t="s">
        <v>10907</v>
      </c>
      <c r="C1247" s="473" t="s">
        <v>46</v>
      </c>
      <c r="D1247" s="473" t="s">
        <v>41</v>
      </c>
      <c r="E1247" s="361">
        <v>22.59</v>
      </c>
    </row>
    <row r="1248" spans="1:5">
      <c r="A1248" s="473">
        <v>34673</v>
      </c>
      <c r="B1248" s="473" t="s">
        <v>10908</v>
      </c>
      <c r="C1248" s="473" t="s">
        <v>46</v>
      </c>
      <c r="D1248" s="473" t="s">
        <v>41</v>
      </c>
      <c r="E1248" s="361">
        <v>27.57</v>
      </c>
    </row>
    <row r="1249" spans="1:5">
      <c r="A1249" s="473">
        <v>34674</v>
      </c>
      <c r="B1249" s="473" t="s">
        <v>10909</v>
      </c>
      <c r="C1249" s="473" t="s">
        <v>46</v>
      </c>
      <c r="D1249" s="473" t="s">
        <v>41</v>
      </c>
      <c r="E1249" s="361">
        <v>36.659999999999997</v>
      </c>
    </row>
    <row r="1250" spans="1:5">
      <c r="A1250" s="473">
        <v>34675</v>
      </c>
      <c r="B1250" s="473" t="s">
        <v>10910</v>
      </c>
      <c r="C1250" s="473" t="s">
        <v>46</v>
      </c>
      <c r="D1250" s="473" t="s">
        <v>41</v>
      </c>
      <c r="E1250" s="361">
        <v>44.69</v>
      </c>
    </row>
    <row r="1251" spans="1:5">
      <c r="A1251" s="473">
        <v>34676</v>
      </c>
      <c r="B1251" s="473" t="s">
        <v>10911</v>
      </c>
      <c r="C1251" s="473" t="s">
        <v>46</v>
      </c>
      <c r="D1251" s="473" t="s">
        <v>41</v>
      </c>
      <c r="E1251" s="361">
        <v>12.86</v>
      </c>
    </row>
    <row r="1252" spans="1:5">
      <c r="A1252" s="473">
        <v>34677</v>
      </c>
      <c r="B1252" s="473" t="s">
        <v>10912</v>
      </c>
      <c r="C1252" s="473" t="s">
        <v>46</v>
      </c>
      <c r="D1252" s="473" t="s">
        <v>41</v>
      </c>
      <c r="E1252" s="361">
        <v>17.3</v>
      </c>
    </row>
    <row r="1253" spans="1:5">
      <c r="A1253" s="473">
        <v>40623</v>
      </c>
      <c r="B1253" s="473" t="s">
        <v>10913</v>
      </c>
      <c r="C1253" s="473" t="s">
        <v>42</v>
      </c>
      <c r="D1253" s="473" t="s">
        <v>41</v>
      </c>
      <c r="E1253" s="361">
        <v>28.96</v>
      </c>
    </row>
    <row r="1254" spans="1:5">
      <c r="A1254" s="473">
        <v>11112</v>
      </c>
      <c r="B1254" s="473" t="s">
        <v>10914</v>
      </c>
      <c r="C1254" s="473" t="s">
        <v>49</v>
      </c>
      <c r="D1254" s="473" t="s">
        <v>47</v>
      </c>
      <c r="E1254" s="361">
        <v>23.69</v>
      </c>
    </row>
    <row r="1255" spans="1:5">
      <c r="A1255" s="473">
        <v>11115</v>
      </c>
      <c r="B1255" s="473" t="s">
        <v>10915</v>
      </c>
      <c r="C1255" s="473" t="s">
        <v>48</v>
      </c>
      <c r="D1255" s="473" t="s">
        <v>47</v>
      </c>
      <c r="E1255" s="361">
        <v>10.96</v>
      </c>
    </row>
    <row r="1256" spans="1:5">
      <c r="A1256" s="473">
        <v>11113</v>
      </c>
      <c r="B1256" s="473" t="s">
        <v>10916</v>
      </c>
      <c r="C1256" s="473" t="s">
        <v>49</v>
      </c>
      <c r="D1256" s="473" t="s">
        <v>47</v>
      </c>
      <c r="E1256" s="361">
        <v>23.69</v>
      </c>
    </row>
    <row r="1257" spans="1:5">
      <c r="A1257" s="473">
        <v>11114</v>
      </c>
      <c r="B1257" s="473" t="s">
        <v>10917</v>
      </c>
      <c r="C1257" s="473" t="s">
        <v>48</v>
      </c>
      <c r="D1257" s="473" t="s">
        <v>47</v>
      </c>
      <c r="E1257" s="361">
        <v>18.22</v>
      </c>
    </row>
    <row r="1258" spans="1:5">
      <c r="A1258" s="473">
        <v>12083</v>
      </c>
      <c r="B1258" s="473" t="s">
        <v>10918</v>
      </c>
      <c r="C1258" s="473" t="s">
        <v>40</v>
      </c>
      <c r="D1258" s="473" t="s">
        <v>47</v>
      </c>
      <c r="E1258" s="361">
        <v>635.51</v>
      </c>
    </row>
    <row r="1259" spans="1:5">
      <c r="A1259" s="473">
        <v>12081</v>
      </c>
      <c r="B1259" s="473" t="s">
        <v>10919</v>
      </c>
      <c r="C1259" s="473" t="s">
        <v>40</v>
      </c>
      <c r="D1259" s="473" t="s">
        <v>47</v>
      </c>
      <c r="E1259" s="361">
        <v>214.91</v>
      </c>
    </row>
    <row r="1260" spans="1:5">
      <c r="A1260" s="473">
        <v>12082</v>
      </c>
      <c r="B1260" s="473" t="s">
        <v>10920</v>
      </c>
      <c r="C1260" s="473" t="s">
        <v>40</v>
      </c>
      <c r="D1260" s="473" t="s">
        <v>47</v>
      </c>
      <c r="E1260" s="361">
        <v>337.76</v>
      </c>
    </row>
    <row r="1261" spans="1:5">
      <c r="A1261" s="473">
        <v>13354</v>
      </c>
      <c r="B1261" s="473" t="s">
        <v>10921</v>
      </c>
      <c r="C1261" s="473" t="s">
        <v>40</v>
      </c>
      <c r="D1261" s="473" t="s">
        <v>47</v>
      </c>
      <c r="E1261" s="361">
        <v>504.44</v>
      </c>
    </row>
    <row r="1262" spans="1:5">
      <c r="A1262" s="473">
        <v>14057</v>
      </c>
      <c r="B1262" s="473" t="s">
        <v>10922</v>
      </c>
      <c r="C1262" s="473" t="s">
        <v>40</v>
      </c>
      <c r="D1262" s="473" t="s">
        <v>47</v>
      </c>
      <c r="E1262" s="361">
        <v>281.64</v>
      </c>
    </row>
    <row r="1263" spans="1:5">
      <c r="A1263" s="473">
        <v>14058</v>
      </c>
      <c r="B1263" s="473" t="s">
        <v>10923</v>
      </c>
      <c r="C1263" s="473" t="s">
        <v>40</v>
      </c>
      <c r="D1263" s="473" t="s">
        <v>47</v>
      </c>
      <c r="E1263" s="361">
        <v>444.28</v>
      </c>
    </row>
    <row r="1264" spans="1:5">
      <c r="A1264" s="473">
        <v>20971</v>
      </c>
      <c r="B1264" s="473" t="s">
        <v>10924</v>
      </c>
      <c r="C1264" s="473" t="s">
        <v>40</v>
      </c>
      <c r="D1264" s="473" t="s">
        <v>41</v>
      </c>
      <c r="E1264" s="361">
        <v>11.42</v>
      </c>
    </row>
    <row r="1265" spans="1:5">
      <c r="A1265" s="473">
        <v>5047</v>
      </c>
      <c r="B1265" s="473" t="s">
        <v>10925</v>
      </c>
      <c r="C1265" s="473" t="s">
        <v>40</v>
      </c>
      <c r="D1265" s="473" t="s">
        <v>47</v>
      </c>
      <c r="E1265" s="361">
        <v>302.69</v>
      </c>
    </row>
    <row r="1266" spans="1:5">
      <c r="A1266" s="473">
        <v>13369</v>
      </c>
      <c r="B1266" s="473" t="s">
        <v>10926</v>
      </c>
      <c r="C1266" s="473" t="s">
        <v>40</v>
      </c>
      <c r="D1266" s="473" t="s">
        <v>47</v>
      </c>
      <c r="E1266" s="361">
        <v>328.34</v>
      </c>
    </row>
    <row r="1267" spans="1:5">
      <c r="A1267" s="473">
        <v>13370</v>
      </c>
      <c r="B1267" s="473" t="s">
        <v>10927</v>
      </c>
      <c r="C1267" s="473" t="s">
        <v>40</v>
      </c>
      <c r="D1267" s="473" t="s">
        <v>47</v>
      </c>
      <c r="E1267" s="361">
        <v>455.16</v>
      </c>
    </row>
    <row r="1268" spans="1:5">
      <c r="A1268" s="473">
        <v>13279</v>
      </c>
      <c r="B1268" s="473" t="s">
        <v>10928</v>
      </c>
      <c r="C1268" s="473" t="s">
        <v>49</v>
      </c>
      <c r="D1268" s="473" t="s">
        <v>41</v>
      </c>
      <c r="E1268" s="361">
        <v>15.01</v>
      </c>
    </row>
    <row r="1269" spans="1:5">
      <c r="A1269" s="473">
        <v>11977</v>
      </c>
      <c r="B1269" s="473" t="s">
        <v>10929</v>
      </c>
      <c r="C1269" s="473" t="s">
        <v>40</v>
      </c>
      <c r="D1269" s="473" t="s">
        <v>41</v>
      </c>
      <c r="E1269" s="361">
        <v>7.78</v>
      </c>
    </row>
    <row r="1270" spans="1:5">
      <c r="A1270" s="473">
        <v>11975</v>
      </c>
      <c r="B1270" s="473" t="s">
        <v>10930</v>
      </c>
      <c r="C1270" s="473" t="s">
        <v>40</v>
      </c>
      <c r="D1270" s="473" t="s">
        <v>41</v>
      </c>
      <c r="E1270" s="361">
        <v>17.05</v>
      </c>
    </row>
    <row r="1271" spans="1:5">
      <c r="A1271" s="473">
        <v>39746</v>
      </c>
      <c r="B1271" s="473" t="s">
        <v>10931</v>
      </c>
      <c r="C1271" s="473" t="s">
        <v>40</v>
      </c>
      <c r="D1271" s="473" t="s">
        <v>41</v>
      </c>
      <c r="E1271" s="361">
        <v>189.73</v>
      </c>
    </row>
    <row r="1272" spans="1:5">
      <c r="A1272" s="473">
        <v>11976</v>
      </c>
      <c r="B1272" s="473" t="s">
        <v>10932</v>
      </c>
      <c r="C1272" s="473" t="s">
        <v>40</v>
      </c>
      <c r="D1272" s="473" t="s">
        <v>41</v>
      </c>
      <c r="E1272" s="361">
        <v>0.87</v>
      </c>
    </row>
    <row r="1273" spans="1:5">
      <c r="A1273" s="473">
        <v>1368</v>
      </c>
      <c r="B1273" s="473" t="s">
        <v>10933</v>
      </c>
      <c r="C1273" s="473" t="s">
        <v>40</v>
      </c>
      <c r="D1273" s="473" t="s">
        <v>44</v>
      </c>
      <c r="E1273" s="361">
        <v>49.9</v>
      </c>
    </row>
    <row r="1274" spans="1:5">
      <c r="A1274" s="473">
        <v>1367</v>
      </c>
      <c r="B1274" s="473" t="s">
        <v>10934</v>
      </c>
      <c r="C1274" s="473" t="s">
        <v>40</v>
      </c>
      <c r="D1274" s="473" t="s">
        <v>41</v>
      </c>
      <c r="E1274" s="361">
        <v>161.41</v>
      </c>
    </row>
    <row r="1275" spans="1:5">
      <c r="A1275" s="473">
        <v>7608</v>
      </c>
      <c r="B1275" s="473" t="s">
        <v>10935</v>
      </c>
      <c r="C1275" s="473" t="s">
        <v>40</v>
      </c>
      <c r="D1275" s="473" t="s">
        <v>41</v>
      </c>
      <c r="E1275" s="361">
        <v>4.75</v>
      </c>
    </row>
    <row r="1276" spans="1:5">
      <c r="A1276" s="473">
        <v>41900</v>
      </c>
      <c r="B1276" s="473" t="s">
        <v>10936</v>
      </c>
      <c r="C1276" s="473" t="s">
        <v>49</v>
      </c>
      <c r="D1276" s="473" t="s">
        <v>47</v>
      </c>
      <c r="E1276" s="361">
        <v>3.26</v>
      </c>
    </row>
    <row r="1277" spans="1:5">
      <c r="A1277" s="473">
        <v>41899</v>
      </c>
      <c r="B1277" s="473" t="s">
        <v>10937</v>
      </c>
      <c r="C1277" s="473" t="s">
        <v>57</v>
      </c>
      <c r="D1277" s="473" t="s">
        <v>47</v>
      </c>
      <c r="E1277" s="361">
        <v>3275.45</v>
      </c>
    </row>
    <row r="1278" spans="1:5">
      <c r="A1278" s="473">
        <v>1380</v>
      </c>
      <c r="B1278" s="473" t="s">
        <v>10938</v>
      </c>
      <c r="C1278" s="473" t="s">
        <v>49</v>
      </c>
      <c r="D1278" s="473" t="s">
        <v>41</v>
      </c>
      <c r="E1278" s="361">
        <v>2.4500000000000002</v>
      </c>
    </row>
    <row r="1279" spans="1:5">
      <c r="A1279" s="473">
        <v>1375</v>
      </c>
      <c r="B1279" s="473" t="s">
        <v>10939</v>
      </c>
      <c r="C1279" s="473" t="s">
        <v>49</v>
      </c>
      <c r="D1279" s="473" t="s">
        <v>41</v>
      </c>
      <c r="E1279" s="361">
        <v>10.35</v>
      </c>
    </row>
    <row r="1280" spans="1:5">
      <c r="A1280" s="473">
        <v>1379</v>
      </c>
      <c r="B1280" s="473" t="s">
        <v>10940</v>
      </c>
      <c r="C1280" s="473" t="s">
        <v>49</v>
      </c>
      <c r="D1280" s="473" t="s">
        <v>41</v>
      </c>
      <c r="E1280" s="361">
        <v>0.41</v>
      </c>
    </row>
    <row r="1281" spans="1:5">
      <c r="A1281" s="473">
        <v>10511</v>
      </c>
      <c r="B1281" s="473" t="s">
        <v>10941</v>
      </c>
      <c r="C1281" s="473" t="s">
        <v>58</v>
      </c>
      <c r="D1281" s="473" t="s">
        <v>44</v>
      </c>
      <c r="E1281" s="361">
        <v>20.9</v>
      </c>
    </row>
    <row r="1282" spans="1:5">
      <c r="A1282" s="473">
        <v>13284</v>
      </c>
      <c r="B1282" s="473" t="s">
        <v>10942</v>
      </c>
      <c r="C1282" s="473" t="s">
        <v>49</v>
      </c>
      <c r="D1282" s="473" t="s">
        <v>41</v>
      </c>
      <c r="E1282" s="361">
        <v>0.35</v>
      </c>
    </row>
    <row r="1283" spans="1:5">
      <c r="A1283" s="473">
        <v>25974</v>
      </c>
      <c r="B1283" s="473" t="s">
        <v>10943</v>
      </c>
      <c r="C1283" s="473" t="s">
        <v>49</v>
      </c>
      <c r="D1283" s="473" t="s">
        <v>41</v>
      </c>
      <c r="E1283" s="361">
        <v>1.4</v>
      </c>
    </row>
    <row r="1284" spans="1:5">
      <c r="A1284" s="473">
        <v>1382</v>
      </c>
      <c r="B1284" s="473" t="s">
        <v>10944</v>
      </c>
      <c r="C1284" s="473" t="s">
        <v>58</v>
      </c>
      <c r="D1284" s="473" t="s">
        <v>41</v>
      </c>
      <c r="E1284" s="361">
        <v>20.14</v>
      </c>
    </row>
    <row r="1285" spans="1:5">
      <c r="A1285" s="473">
        <v>34753</v>
      </c>
      <c r="B1285" s="473" t="s">
        <v>10945</v>
      </c>
      <c r="C1285" s="473" t="s">
        <v>49</v>
      </c>
      <c r="D1285" s="473" t="s">
        <v>41</v>
      </c>
      <c r="E1285" s="361">
        <v>0.4</v>
      </c>
    </row>
    <row r="1286" spans="1:5">
      <c r="A1286" s="473">
        <v>420</v>
      </c>
      <c r="B1286" s="473" t="s">
        <v>10946</v>
      </c>
      <c r="C1286" s="473" t="s">
        <v>40</v>
      </c>
      <c r="D1286" s="473" t="s">
        <v>47</v>
      </c>
      <c r="E1286" s="361">
        <v>20.309999999999999</v>
      </c>
    </row>
    <row r="1287" spans="1:5">
      <c r="A1287" s="473">
        <v>12327</v>
      </c>
      <c r="B1287" s="473" t="s">
        <v>10947</v>
      </c>
      <c r="C1287" s="473" t="s">
        <v>40</v>
      </c>
      <c r="D1287" s="473" t="s">
        <v>47</v>
      </c>
      <c r="E1287" s="361">
        <v>24.19</v>
      </c>
    </row>
    <row r="1288" spans="1:5">
      <c r="A1288" s="473">
        <v>36148</v>
      </c>
      <c r="B1288" s="473" t="s">
        <v>10948</v>
      </c>
      <c r="C1288" s="473" t="s">
        <v>40</v>
      </c>
      <c r="D1288" s="473" t="s">
        <v>41</v>
      </c>
      <c r="E1288" s="361">
        <v>53.76</v>
      </c>
    </row>
    <row r="1289" spans="1:5">
      <c r="A1289" s="473">
        <v>12329</v>
      </c>
      <c r="B1289" s="473" t="s">
        <v>10949</v>
      </c>
      <c r="C1289" s="473" t="s">
        <v>49</v>
      </c>
      <c r="D1289" s="473" t="s">
        <v>41</v>
      </c>
      <c r="E1289" s="361">
        <v>66.13</v>
      </c>
    </row>
    <row r="1290" spans="1:5">
      <c r="A1290" s="473">
        <v>1339</v>
      </c>
      <c r="B1290" s="473" t="s">
        <v>10950</v>
      </c>
      <c r="C1290" s="473" t="s">
        <v>49</v>
      </c>
      <c r="D1290" s="473" t="s">
        <v>41</v>
      </c>
      <c r="E1290" s="361">
        <v>26.5</v>
      </c>
    </row>
    <row r="1291" spans="1:5">
      <c r="A1291" s="473">
        <v>11849</v>
      </c>
      <c r="B1291" s="473" t="s">
        <v>10951</v>
      </c>
      <c r="C1291" s="473" t="s">
        <v>50</v>
      </c>
      <c r="D1291" s="473" t="s">
        <v>41</v>
      </c>
      <c r="E1291" s="361">
        <v>16.96</v>
      </c>
    </row>
    <row r="1292" spans="1:5">
      <c r="A1292" s="473">
        <v>37418</v>
      </c>
      <c r="B1292" s="473" t="s">
        <v>10952</v>
      </c>
      <c r="C1292" s="473" t="s">
        <v>40</v>
      </c>
      <c r="D1292" s="473" t="s">
        <v>47</v>
      </c>
      <c r="E1292" s="361">
        <v>12.93</v>
      </c>
    </row>
    <row r="1293" spans="1:5">
      <c r="A1293" s="473">
        <v>37419</v>
      </c>
      <c r="B1293" s="473" t="s">
        <v>10953</v>
      </c>
      <c r="C1293" s="473" t="s">
        <v>40</v>
      </c>
      <c r="D1293" s="473" t="s">
        <v>47</v>
      </c>
      <c r="E1293" s="361">
        <v>13.28</v>
      </c>
    </row>
    <row r="1294" spans="1:5">
      <c r="A1294" s="473">
        <v>1427</v>
      </c>
      <c r="B1294" s="473" t="s">
        <v>10954</v>
      </c>
      <c r="C1294" s="473" t="s">
        <v>40</v>
      </c>
      <c r="D1294" s="473" t="s">
        <v>47</v>
      </c>
      <c r="E1294" s="361">
        <v>14.19</v>
      </c>
    </row>
    <row r="1295" spans="1:5">
      <c r="A1295" s="473">
        <v>1402</v>
      </c>
      <c r="B1295" s="473" t="s">
        <v>10955</v>
      </c>
      <c r="C1295" s="473" t="s">
        <v>40</v>
      </c>
      <c r="D1295" s="473" t="s">
        <v>47</v>
      </c>
      <c r="E1295" s="361">
        <v>4.91</v>
      </c>
    </row>
    <row r="1296" spans="1:5">
      <c r="A1296" s="473">
        <v>1420</v>
      </c>
      <c r="B1296" s="473" t="s">
        <v>10956</v>
      </c>
      <c r="C1296" s="473" t="s">
        <v>40</v>
      </c>
      <c r="D1296" s="473" t="s">
        <v>47</v>
      </c>
      <c r="E1296" s="361">
        <v>6.31</v>
      </c>
    </row>
    <row r="1297" spans="1:5">
      <c r="A1297" s="473">
        <v>1419</v>
      </c>
      <c r="B1297" s="473" t="s">
        <v>10957</v>
      </c>
      <c r="C1297" s="473" t="s">
        <v>40</v>
      </c>
      <c r="D1297" s="473" t="s">
        <v>47</v>
      </c>
      <c r="E1297" s="361">
        <v>7.63</v>
      </c>
    </row>
    <row r="1298" spans="1:5">
      <c r="A1298" s="473">
        <v>1414</v>
      </c>
      <c r="B1298" s="473" t="s">
        <v>10958</v>
      </c>
      <c r="C1298" s="473" t="s">
        <v>40</v>
      </c>
      <c r="D1298" s="473" t="s">
        <v>47</v>
      </c>
      <c r="E1298" s="361">
        <v>7.46</v>
      </c>
    </row>
    <row r="1299" spans="1:5">
      <c r="A1299" s="473">
        <v>1413</v>
      </c>
      <c r="B1299" s="473" t="s">
        <v>10959</v>
      </c>
      <c r="C1299" s="473" t="s">
        <v>40</v>
      </c>
      <c r="D1299" s="473" t="s">
        <v>47</v>
      </c>
      <c r="E1299" s="361">
        <v>11.02</v>
      </c>
    </row>
    <row r="1300" spans="1:5">
      <c r="A1300" s="473">
        <v>1412</v>
      </c>
      <c r="B1300" s="473" t="s">
        <v>10960</v>
      </c>
      <c r="C1300" s="473" t="s">
        <v>40</v>
      </c>
      <c r="D1300" s="473" t="s">
        <v>47</v>
      </c>
      <c r="E1300" s="361">
        <v>9.34</v>
      </c>
    </row>
    <row r="1301" spans="1:5">
      <c r="A1301" s="473">
        <v>1411</v>
      </c>
      <c r="B1301" s="473" t="s">
        <v>10961</v>
      </c>
      <c r="C1301" s="473" t="s">
        <v>40</v>
      </c>
      <c r="D1301" s="473" t="s">
        <v>47</v>
      </c>
      <c r="E1301" s="361">
        <v>16.989999999999998</v>
      </c>
    </row>
    <row r="1302" spans="1:5">
      <c r="A1302" s="473">
        <v>1406</v>
      </c>
      <c r="B1302" s="473" t="s">
        <v>10962</v>
      </c>
      <c r="C1302" s="473" t="s">
        <v>40</v>
      </c>
      <c r="D1302" s="473" t="s">
        <v>47</v>
      </c>
      <c r="E1302" s="361">
        <v>11.27</v>
      </c>
    </row>
    <row r="1303" spans="1:5">
      <c r="A1303" s="473">
        <v>1407</v>
      </c>
      <c r="B1303" s="473" t="s">
        <v>10963</v>
      </c>
      <c r="C1303" s="473" t="s">
        <v>40</v>
      </c>
      <c r="D1303" s="473" t="s">
        <v>47</v>
      </c>
      <c r="E1303" s="361">
        <v>14.05</v>
      </c>
    </row>
    <row r="1304" spans="1:5">
      <c r="A1304" s="473">
        <v>1404</v>
      </c>
      <c r="B1304" s="473" t="s">
        <v>10964</v>
      </c>
      <c r="C1304" s="473" t="s">
        <v>40</v>
      </c>
      <c r="D1304" s="473" t="s">
        <v>47</v>
      </c>
      <c r="E1304" s="361">
        <v>14.94</v>
      </c>
    </row>
    <row r="1305" spans="1:5">
      <c r="A1305" s="473">
        <v>11281</v>
      </c>
      <c r="B1305" s="473" t="s">
        <v>10965</v>
      </c>
      <c r="C1305" s="473" t="s">
        <v>40</v>
      </c>
      <c r="D1305" s="473" t="s">
        <v>44</v>
      </c>
      <c r="E1305" s="361">
        <v>11000</v>
      </c>
    </row>
    <row r="1306" spans="1:5">
      <c r="A1306" s="473">
        <v>1442</v>
      </c>
      <c r="B1306" s="473" t="s">
        <v>10966</v>
      </c>
      <c r="C1306" s="473" t="s">
        <v>40</v>
      </c>
      <c r="D1306" s="473" t="s">
        <v>41</v>
      </c>
      <c r="E1306" s="361">
        <v>9234.41</v>
      </c>
    </row>
    <row r="1307" spans="1:5">
      <c r="A1307" s="473">
        <v>13457</v>
      </c>
      <c r="B1307" s="473" t="s">
        <v>10967</v>
      </c>
      <c r="C1307" s="473" t="s">
        <v>40</v>
      </c>
      <c r="D1307" s="473" t="s">
        <v>41</v>
      </c>
      <c r="E1307" s="361">
        <v>7971.01</v>
      </c>
    </row>
    <row r="1308" spans="1:5">
      <c r="A1308" s="473">
        <v>40699</v>
      </c>
      <c r="B1308" s="473" t="s">
        <v>10968</v>
      </c>
      <c r="C1308" s="473" t="s">
        <v>40</v>
      </c>
      <c r="D1308" s="473" t="s">
        <v>41</v>
      </c>
      <c r="E1308" s="361">
        <v>6161.89</v>
      </c>
    </row>
    <row r="1309" spans="1:5">
      <c r="A1309" s="473">
        <v>40701</v>
      </c>
      <c r="B1309" s="473" t="s">
        <v>10969</v>
      </c>
      <c r="C1309" s="473" t="s">
        <v>40</v>
      </c>
      <c r="D1309" s="473" t="s">
        <v>41</v>
      </c>
      <c r="E1309" s="361">
        <v>108950.77</v>
      </c>
    </row>
    <row r="1310" spans="1:5">
      <c r="A1310" s="473">
        <v>40700</v>
      </c>
      <c r="B1310" s="473" t="s">
        <v>10970</v>
      </c>
      <c r="C1310" s="473" t="s">
        <v>40</v>
      </c>
      <c r="D1310" s="473" t="s">
        <v>41</v>
      </c>
      <c r="E1310" s="361">
        <v>14344.09</v>
      </c>
    </row>
    <row r="1311" spans="1:5">
      <c r="A1311" s="473">
        <v>13458</v>
      </c>
      <c r="B1311" s="473" t="s">
        <v>10971</v>
      </c>
      <c r="C1311" s="473" t="s">
        <v>40</v>
      </c>
      <c r="D1311" s="473" t="s">
        <v>41</v>
      </c>
      <c r="E1311" s="361">
        <v>13630.43</v>
      </c>
    </row>
    <row r="1312" spans="1:5">
      <c r="A1312" s="473">
        <v>36524</v>
      </c>
      <c r="B1312" s="473" t="s">
        <v>10972</v>
      </c>
      <c r="C1312" s="473" t="s">
        <v>40</v>
      </c>
      <c r="D1312" s="473" t="s">
        <v>47</v>
      </c>
      <c r="E1312" s="361">
        <v>86280.46</v>
      </c>
    </row>
    <row r="1313" spans="1:5">
      <c r="A1313" s="473">
        <v>36526</v>
      </c>
      <c r="B1313" s="473" t="s">
        <v>10973</v>
      </c>
      <c r="C1313" s="473" t="s">
        <v>40</v>
      </c>
      <c r="D1313" s="473" t="s">
        <v>47</v>
      </c>
      <c r="E1313" s="361">
        <v>69528.3</v>
      </c>
    </row>
    <row r="1314" spans="1:5">
      <c r="A1314" s="473">
        <v>36523</v>
      </c>
      <c r="B1314" s="473" t="s">
        <v>10974</v>
      </c>
      <c r="C1314" s="473" t="s">
        <v>40</v>
      </c>
      <c r="D1314" s="473" t="s">
        <v>47</v>
      </c>
      <c r="E1314" s="361">
        <v>148850.72</v>
      </c>
    </row>
    <row r="1315" spans="1:5">
      <c r="A1315" s="473">
        <v>36527</v>
      </c>
      <c r="B1315" s="473" t="s">
        <v>10975</v>
      </c>
      <c r="C1315" s="473" t="s">
        <v>40</v>
      </c>
      <c r="D1315" s="473" t="s">
        <v>47</v>
      </c>
      <c r="E1315" s="361">
        <v>161682.54</v>
      </c>
    </row>
    <row r="1316" spans="1:5">
      <c r="A1316" s="473">
        <v>13803</v>
      </c>
      <c r="B1316" s="473" t="s">
        <v>10976</v>
      </c>
      <c r="C1316" s="473" t="s">
        <v>40</v>
      </c>
      <c r="D1316" s="473" t="s">
        <v>47</v>
      </c>
      <c r="E1316" s="361">
        <v>58463</v>
      </c>
    </row>
    <row r="1317" spans="1:5">
      <c r="A1317" s="473">
        <v>38642</v>
      </c>
      <c r="B1317" s="473" t="s">
        <v>10977</v>
      </c>
      <c r="C1317" s="473" t="s">
        <v>40</v>
      </c>
      <c r="D1317" s="473" t="s">
        <v>47</v>
      </c>
      <c r="E1317" s="361">
        <v>37643.839999999997</v>
      </c>
    </row>
    <row r="1318" spans="1:5">
      <c r="A1318" s="473">
        <v>36522</v>
      </c>
      <c r="B1318" s="473" t="s">
        <v>10978</v>
      </c>
      <c r="C1318" s="473" t="s">
        <v>40</v>
      </c>
      <c r="D1318" s="473" t="s">
        <v>47</v>
      </c>
      <c r="E1318" s="361">
        <v>43779.34</v>
      </c>
    </row>
    <row r="1319" spans="1:5">
      <c r="A1319" s="473">
        <v>36525</v>
      </c>
      <c r="B1319" s="473" t="s">
        <v>10979</v>
      </c>
      <c r="C1319" s="473" t="s">
        <v>40</v>
      </c>
      <c r="D1319" s="473" t="s">
        <v>47</v>
      </c>
      <c r="E1319" s="361">
        <v>58630.76</v>
      </c>
    </row>
    <row r="1320" spans="1:5">
      <c r="A1320" s="473">
        <v>41991</v>
      </c>
      <c r="B1320" s="473" t="s">
        <v>10980</v>
      </c>
      <c r="C1320" s="473" t="s">
        <v>40</v>
      </c>
      <c r="D1320" s="473" t="s">
        <v>47</v>
      </c>
      <c r="E1320" s="361">
        <v>2166.4899999999998</v>
      </c>
    </row>
    <row r="1321" spans="1:5">
      <c r="A1321" s="473">
        <v>34348</v>
      </c>
      <c r="B1321" s="473" t="s">
        <v>10981</v>
      </c>
      <c r="C1321" s="473" t="s">
        <v>48</v>
      </c>
      <c r="D1321" s="473" t="s">
        <v>41</v>
      </c>
      <c r="E1321" s="361">
        <v>31.19</v>
      </c>
    </row>
    <row r="1322" spans="1:5">
      <c r="A1322" s="473">
        <v>34347</v>
      </c>
      <c r="B1322" s="473" t="s">
        <v>10982</v>
      </c>
      <c r="C1322" s="473" t="s">
        <v>48</v>
      </c>
      <c r="D1322" s="473" t="s">
        <v>41</v>
      </c>
      <c r="E1322" s="361">
        <v>16.11</v>
      </c>
    </row>
    <row r="1323" spans="1:5">
      <c r="A1323" s="473">
        <v>11146</v>
      </c>
      <c r="B1323" s="473" t="s">
        <v>10983</v>
      </c>
      <c r="C1323" s="473" t="s">
        <v>45</v>
      </c>
      <c r="D1323" s="473" t="s">
        <v>41</v>
      </c>
      <c r="E1323" s="361">
        <v>265.26</v>
      </c>
    </row>
    <row r="1324" spans="1:5">
      <c r="A1324" s="473">
        <v>11147</v>
      </c>
      <c r="B1324" s="473" t="s">
        <v>10984</v>
      </c>
      <c r="C1324" s="473" t="s">
        <v>45</v>
      </c>
      <c r="D1324" s="473" t="s">
        <v>41</v>
      </c>
      <c r="E1324" s="361">
        <v>275.08</v>
      </c>
    </row>
    <row r="1325" spans="1:5">
      <c r="A1325" s="473">
        <v>34872</v>
      </c>
      <c r="B1325" s="473" t="s">
        <v>10985</v>
      </c>
      <c r="C1325" s="473" t="s">
        <v>45</v>
      </c>
      <c r="D1325" s="473" t="s">
        <v>41</v>
      </c>
      <c r="E1325" s="361">
        <v>284.91000000000003</v>
      </c>
    </row>
    <row r="1326" spans="1:5">
      <c r="A1326" s="473">
        <v>34491</v>
      </c>
      <c r="B1326" s="473" t="s">
        <v>10986</v>
      </c>
      <c r="C1326" s="473" t="s">
        <v>45</v>
      </c>
      <c r="D1326" s="473" t="s">
        <v>41</v>
      </c>
      <c r="E1326" s="361">
        <v>290.67</v>
      </c>
    </row>
    <row r="1327" spans="1:5">
      <c r="A1327" s="473">
        <v>34770</v>
      </c>
      <c r="B1327" s="473" t="s">
        <v>10987</v>
      </c>
      <c r="C1327" s="473" t="s">
        <v>57</v>
      </c>
      <c r="D1327" s="473" t="s">
        <v>47</v>
      </c>
      <c r="E1327" s="361">
        <v>301.14</v>
      </c>
    </row>
    <row r="1328" spans="1:5">
      <c r="A1328" s="473">
        <v>1518</v>
      </c>
      <c r="B1328" s="473" t="s">
        <v>10988</v>
      </c>
      <c r="C1328" s="473" t="s">
        <v>57</v>
      </c>
      <c r="D1328" s="473" t="s">
        <v>47</v>
      </c>
      <c r="E1328" s="361">
        <v>325</v>
      </c>
    </row>
    <row r="1329" spans="1:5">
      <c r="A1329" s="473">
        <v>41965</v>
      </c>
      <c r="B1329" s="473" t="s">
        <v>10989</v>
      </c>
      <c r="C1329" s="473" t="s">
        <v>57</v>
      </c>
      <c r="D1329" s="473" t="s">
        <v>47</v>
      </c>
      <c r="E1329" s="361">
        <v>314.86</v>
      </c>
    </row>
    <row r="1330" spans="1:5">
      <c r="A1330" s="473">
        <v>34492</v>
      </c>
      <c r="B1330" s="473" t="s">
        <v>10990</v>
      </c>
      <c r="C1330" s="473" t="s">
        <v>45</v>
      </c>
      <c r="D1330" s="473" t="s">
        <v>41</v>
      </c>
      <c r="E1330" s="361">
        <v>240.7</v>
      </c>
    </row>
    <row r="1331" spans="1:5">
      <c r="A1331" s="473">
        <v>1524</v>
      </c>
      <c r="B1331" s="473" t="s">
        <v>10991</v>
      </c>
      <c r="C1331" s="473" t="s">
        <v>45</v>
      </c>
      <c r="D1331" s="473" t="s">
        <v>44</v>
      </c>
      <c r="E1331" s="361">
        <v>280</v>
      </c>
    </row>
    <row r="1332" spans="1:5">
      <c r="A1332" s="473">
        <v>38404</v>
      </c>
      <c r="B1332" s="473" t="s">
        <v>10992</v>
      </c>
      <c r="C1332" s="473" t="s">
        <v>45</v>
      </c>
      <c r="D1332" s="473" t="s">
        <v>41</v>
      </c>
      <c r="E1332" s="361">
        <v>295.52999999999997</v>
      </c>
    </row>
    <row r="1333" spans="1:5">
      <c r="A1333" s="473">
        <v>39849</v>
      </c>
      <c r="B1333" s="473" t="s">
        <v>10993</v>
      </c>
      <c r="C1333" s="473" t="s">
        <v>45</v>
      </c>
      <c r="D1333" s="473" t="s">
        <v>41</v>
      </c>
      <c r="E1333" s="361">
        <v>294.89</v>
      </c>
    </row>
    <row r="1334" spans="1:5">
      <c r="A1334" s="473">
        <v>38464</v>
      </c>
      <c r="B1334" s="473" t="s">
        <v>10994</v>
      </c>
      <c r="C1334" s="473" t="s">
        <v>45</v>
      </c>
      <c r="D1334" s="473" t="s">
        <v>41</v>
      </c>
      <c r="E1334" s="361">
        <v>357</v>
      </c>
    </row>
    <row r="1335" spans="1:5">
      <c r="A1335" s="473">
        <v>34493</v>
      </c>
      <c r="B1335" s="473" t="s">
        <v>10995</v>
      </c>
      <c r="C1335" s="473" t="s">
        <v>45</v>
      </c>
      <c r="D1335" s="473" t="s">
        <v>41</v>
      </c>
      <c r="E1335" s="361">
        <v>250.03</v>
      </c>
    </row>
    <row r="1336" spans="1:5">
      <c r="A1336" s="473">
        <v>1527</v>
      </c>
      <c r="B1336" s="473" t="s">
        <v>10996</v>
      </c>
      <c r="C1336" s="473" t="s">
        <v>45</v>
      </c>
      <c r="D1336" s="473" t="s">
        <v>41</v>
      </c>
      <c r="E1336" s="361">
        <v>291.77999999999997</v>
      </c>
    </row>
    <row r="1337" spans="1:5">
      <c r="A1337" s="473">
        <v>38405</v>
      </c>
      <c r="B1337" s="473" t="s">
        <v>10997</v>
      </c>
      <c r="C1337" s="473" t="s">
        <v>45</v>
      </c>
      <c r="D1337" s="473" t="s">
        <v>41</v>
      </c>
      <c r="E1337" s="361">
        <v>313.26</v>
      </c>
    </row>
    <row r="1338" spans="1:5">
      <c r="A1338" s="473">
        <v>38408</v>
      </c>
      <c r="B1338" s="473" t="s">
        <v>10998</v>
      </c>
      <c r="C1338" s="473" t="s">
        <v>45</v>
      </c>
      <c r="D1338" s="473" t="s">
        <v>41</v>
      </c>
      <c r="E1338" s="361">
        <v>325.74</v>
      </c>
    </row>
    <row r="1339" spans="1:5">
      <c r="A1339" s="473">
        <v>34494</v>
      </c>
      <c r="B1339" s="473" t="s">
        <v>10999</v>
      </c>
      <c r="C1339" s="473" t="s">
        <v>45</v>
      </c>
      <c r="D1339" s="473" t="s">
        <v>41</v>
      </c>
      <c r="E1339" s="361">
        <v>261.13</v>
      </c>
    </row>
    <row r="1340" spans="1:5">
      <c r="A1340" s="473">
        <v>1525</v>
      </c>
      <c r="B1340" s="473" t="s">
        <v>11000</v>
      </c>
      <c r="C1340" s="473" t="s">
        <v>45</v>
      </c>
      <c r="D1340" s="473" t="s">
        <v>41</v>
      </c>
      <c r="E1340" s="361">
        <v>301.61</v>
      </c>
    </row>
    <row r="1341" spans="1:5">
      <c r="A1341" s="473">
        <v>38406</v>
      </c>
      <c r="B1341" s="473" t="s">
        <v>11001</v>
      </c>
      <c r="C1341" s="473" t="s">
        <v>45</v>
      </c>
      <c r="D1341" s="473" t="s">
        <v>41</v>
      </c>
      <c r="E1341" s="361">
        <v>329.14</v>
      </c>
    </row>
    <row r="1342" spans="1:5">
      <c r="A1342" s="473">
        <v>38409</v>
      </c>
      <c r="B1342" s="473" t="s">
        <v>11002</v>
      </c>
      <c r="C1342" s="473" t="s">
        <v>45</v>
      </c>
      <c r="D1342" s="473" t="s">
        <v>41</v>
      </c>
      <c r="E1342" s="361">
        <v>351.12</v>
      </c>
    </row>
    <row r="1343" spans="1:5">
      <c r="A1343" s="473">
        <v>34495</v>
      </c>
      <c r="B1343" s="473" t="s">
        <v>11003</v>
      </c>
      <c r="C1343" s="473" t="s">
        <v>45</v>
      </c>
      <c r="D1343" s="473" t="s">
        <v>41</v>
      </c>
      <c r="E1343" s="361">
        <v>272.27999999999997</v>
      </c>
    </row>
    <row r="1344" spans="1:5">
      <c r="A1344" s="473">
        <v>11145</v>
      </c>
      <c r="B1344" s="473" t="s">
        <v>11004</v>
      </c>
      <c r="C1344" s="473" t="s">
        <v>45</v>
      </c>
      <c r="D1344" s="473" t="s">
        <v>41</v>
      </c>
      <c r="E1344" s="361">
        <v>312.42</v>
      </c>
    </row>
    <row r="1345" spans="1:5">
      <c r="A1345" s="473">
        <v>34496</v>
      </c>
      <c r="B1345" s="473" t="s">
        <v>11005</v>
      </c>
      <c r="C1345" s="473" t="s">
        <v>45</v>
      </c>
      <c r="D1345" s="473" t="s">
        <v>41</v>
      </c>
      <c r="E1345" s="361">
        <v>284.42</v>
      </c>
    </row>
    <row r="1346" spans="1:5">
      <c r="A1346" s="473">
        <v>34479</v>
      </c>
      <c r="B1346" s="473" t="s">
        <v>11006</v>
      </c>
      <c r="C1346" s="473" t="s">
        <v>45</v>
      </c>
      <c r="D1346" s="473" t="s">
        <v>41</v>
      </c>
      <c r="E1346" s="361">
        <v>324.20999999999998</v>
      </c>
    </row>
    <row r="1347" spans="1:5">
      <c r="A1347" s="473">
        <v>34481</v>
      </c>
      <c r="B1347" s="473" t="s">
        <v>11007</v>
      </c>
      <c r="C1347" s="473" t="s">
        <v>45</v>
      </c>
      <c r="D1347" s="473" t="s">
        <v>41</v>
      </c>
      <c r="E1347" s="361">
        <v>364.49</v>
      </c>
    </row>
    <row r="1348" spans="1:5">
      <c r="A1348" s="473">
        <v>34483</v>
      </c>
      <c r="B1348" s="473" t="s">
        <v>11008</v>
      </c>
      <c r="C1348" s="473" t="s">
        <v>45</v>
      </c>
      <c r="D1348" s="473" t="s">
        <v>41</v>
      </c>
      <c r="E1348" s="361">
        <v>432.28</v>
      </c>
    </row>
    <row r="1349" spans="1:5">
      <c r="A1349" s="473">
        <v>34485</v>
      </c>
      <c r="B1349" s="473" t="s">
        <v>11009</v>
      </c>
      <c r="C1349" s="473" t="s">
        <v>45</v>
      </c>
      <c r="D1349" s="473" t="s">
        <v>41</v>
      </c>
      <c r="E1349" s="361">
        <v>555.08000000000004</v>
      </c>
    </row>
    <row r="1350" spans="1:5">
      <c r="A1350" s="473">
        <v>34497</v>
      </c>
      <c r="B1350" s="473" t="s">
        <v>11010</v>
      </c>
      <c r="C1350" s="473" t="s">
        <v>45</v>
      </c>
      <c r="D1350" s="473" t="s">
        <v>41</v>
      </c>
      <c r="E1350" s="361">
        <v>766.31</v>
      </c>
    </row>
    <row r="1351" spans="1:5">
      <c r="A1351" s="473">
        <v>14041</v>
      </c>
      <c r="B1351" s="473" t="s">
        <v>11011</v>
      </c>
      <c r="C1351" s="473" t="s">
        <v>45</v>
      </c>
      <c r="D1351" s="473" t="s">
        <v>41</v>
      </c>
      <c r="E1351" s="361">
        <v>240.17</v>
      </c>
    </row>
    <row r="1352" spans="1:5">
      <c r="A1352" s="473">
        <v>1523</v>
      </c>
      <c r="B1352" s="473" t="s">
        <v>11012</v>
      </c>
      <c r="C1352" s="473" t="s">
        <v>45</v>
      </c>
      <c r="D1352" s="473" t="s">
        <v>41</v>
      </c>
      <c r="E1352" s="361">
        <v>242.46</v>
      </c>
    </row>
    <row r="1353" spans="1:5">
      <c r="A1353" s="473">
        <v>14052</v>
      </c>
      <c r="B1353" s="473" t="s">
        <v>11013</v>
      </c>
      <c r="C1353" s="473" t="s">
        <v>40</v>
      </c>
      <c r="D1353" s="473" t="s">
        <v>41</v>
      </c>
      <c r="E1353" s="361">
        <v>7.14</v>
      </c>
    </row>
    <row r="1354" spans="1:5">
      <c r="A1354" s="473">
        <v>14054</v>
      </c>
      <c r="B1354" s="473" t="s">
        <v>11014</v>
      </c>
      <c r="C1354" s="473" t="s">
        <v>40</v>
      </c>
      <c r="D1354" s="473" t="s">
        <v>41</v>
      </c>
      <c r="E1354" s="361">
        <v>9.2799999999999994</v>
      </c>
    </row>
    <row r="1355" spans="1:5">
      <c r="A1355" s="473">
        <v>14053</v>
      </c>
      <c r="B1355" s="473" t="s">
        <v>11015</v>
      </c>
      <c r="C1355" s="473" t="s">
        <v>40</v>
      </c>
      <c r="D1355" s="473" t="s">
        <v>41</v>
      </c>
      <c r="E1355" s="361">
        <v>7.24</v>
      </c>
    </row>
    <row r="1356" spans="1:5">
      <c r="A1356" s="473">
        <v>2558</v>
      </c>
      <c r="B1356" s="473" t="s">
        <v>11016</v>
      </c>
      <c r="C1356" s="473" t="s">
        <v>40</v>
      </c>
      <c r="D1356" s="473" t="s">
        <v>41</v>
      </c>
      <c r="E1356" s="361">
        <v>5.45</v>
      </c>
    </row>
    <row r="1357" spans="1:5">
      <c r="A1357" s="473">
        <v>2560</v>
      </c>
      <c r="B1357" s="473" t="s">
        <v>11017</v>
      </c>
      <c r="C1357" s="473" t="s">
        <v>40</v>
      </c>
      <c r="D1357" s="473" t="s">
        <v>41</v>
      </c>
      <c r="E1357" s="361">
        <v>9.6</v>
      </c>
    </row>
    <row r="1358" spans="1:5">
      <c r="A1358" s="473">
        <v>2559</v>
      </c>
      <c r="B1358" s="473" t="s">
        <v>11018</v>
      </c>
      <c r="C1358" s="473" t="s">
        <v>40</v>
      </c>
      <c r="D1358" s="473" t="s">
        <v>44</v>
      </c>
      <c r="E1358" s="361">
        <v>7.68</v>
      </c>
    </row>
    <row r="1359" spans="1:5">
      <c r="A1359" s="473">
        <v>2592</v>
      </c>
      <c r="B1359" s="473" t="s">
        <v>11019</v>
      </c>
      <c r="C1359" s="473" t="s">
        <v>40</v>
      </c>
      <c r="D1359" s="473" t="s">
        <v>41</v>
      </c>
      <c r="E1359" s="361">
        <v>127.31</v>
      </c>
    </row>
    <row r="1360" spans="1:5">
      <c r="A1360" s="473">
        <v>2566</v>
      </c>
      <c r="B1360" s="473" t="s">
        <v>11020</v>
      </c>
      <c r="C1360" s="473" t="s">
        <v>40</v>
      </c>
      <c r="D1360" s="473" t="s">
        <v>41</v>
      </c>
      <c r="E1360" s="361">
        <v>12.81</v>
      </c>
    </row>
    <row r="1361" spans="1:5">
      <c r="A1361" s="473">
        <v>2589</v>
      </c>
      <c r="B1361" s="473" t="s">
        <v>11021</v>
      </c>
      <c r="C1361" s="473" t="s">
        <v>40</v>
      </c>
      <c r="D1361" s="473" t="s">
        <v>41</v>
      </c>
      <c r="E1361" s="361">
        <v>17.03</v>
      </c>
    </row>
    <row r="1362" spans="1:5">
      <c r="A1362" s="473">
        <v>2591</v>
      </c>
      <c r="B1362" s="473" t="s">
        <v>11022</v>
      </c>
      <c r="C1362" s="473" t="s">
        <v>40</v>
      </c>
      <c r="D1362" s="473" t="s">
        <v>41</v>
      </c>
      <c r="E1362" s="361">
        <v>6.21</v>
      </c>
    </row>
    <row r="1363" spans="1:5">
      <c r="A1363" s="473">
        <v>2590</v>
      </c>
      <c r="B1363" s="473" t="s">
        <v>11023</v>
      </c>
      <c r="C1363" s="473" t="s">
        <v>40</v>
      </c>
      <c r="D1363" s="473" t="s">
        <v>41</v>
      </c>
      <c r="E1363" s="361">
        <v>10.45</v>
      </c>
    </row>
    <row r="1364" spans="1:5">
      <c r="A1364" s="473">
        <v>2567</v>
      </c>
      <c r="B1364" s="473" t="s">
        <v>11024</v>
      </c>
      <c r="C1364" s="473" t="s">
        <v>40</v>
      </c>
      <c r="D1364" s="473" t="s">
        <v>41</v>
      </c>
      <c r="E1364" s="361">
        <v>24.98</v>
      </c>
    </row>
    <row r="1365" spans="1:5">
      <c r="A1365" s="473">
        <v>2565</v>
      </c>
      <c r="B1365" s="473" t="s">
        <v>11025</v>
      </c>
      <c r="C1365" s="473" t="s">
        <v>40</v>
      </c>
      <c r="D1365" s="473" t="s">
        <v>41</v>
      </c>
      <c r="E1365" s="361">
        <v>6.22</v>
      </c>
    </row>
    <row r="1366" spans="1:5">
      <c r="A1366" s="473">
        <v>2568</v>
      </c>
      <c r="B1366" s="473" t="s">
        <v>11026</v>
      </c>
      <c r="C1366" s="473" t="s">
        <v>40</v>
      </c>
      <c r="D1366" s="473" t="s">
        <v>41</v>
      </c>
      <c r="E1366" s="361">
        <v>69.36</v>
      </c>
    </row>
    <row r="1367" spans="1:5">
      <c r="A1367" s="473">
        <v>2594</v>
      </c>
      <c r="B1367" s="473" t="s">
        <v>11027</v>
      </c>
      <c r="C1367" s="473" t="s">
        <v>40</v>
      </c>
      <c r="D1367" s="473" t="s">
        <v>41</v>
      </c>
      <c r="E1367" s="361">
        <v>115.56</v>
      </c>
    </row>
    <row r="1368" spans="1:5">
      <c r="A1368" s="473">
        <v>2587</v>
      </c>
      <c r="B1368" s="473" t="s">
        <v>11028</v>
      </c>
      <c r="C1368" s="473" t="s">
        <v>40</v>
      </c>
      <c r="D1368" s="473" t="s">
        <v>41</v>
      </c>
      <c r="E1368" s="361">
        <v>19.690000000000001</v>
      </c>
    </row>
    <row r="1369" spans="1:5">
      <c r="A1369" s="473">
        <v>2588</v>
      </c>
      <c r="B1369" s="473" t="s">
        <v>11029</v>
      </c>
      <c r="C1369" s="473" t="s">
        <v>40</v>
      </c>
      <c r="D1369" s="473" t="s">
        <v>41</v>
      </c>
      <c r="E1369" s="361">
        <v>15.64</v>
      </c>
    </row>
    <row r="1370" spans="1:5">
      <c r="A1370" s="473">
        <v>2569</v>
      </c>
      <c r="B1370" s="473" t="s">
        <v>11030</v>
      </c>
      <c r="C1370" s="473" t="s">
        <v>40</v>
      </c>
      <c r="D1370" s="473" t="s">
        <v>41</v>
      </c>
      <c r="E1370" s="361">
        <v>6.02</v>
      </c>
    </row>
    <row r="1371" spans="1:5">
      <c r="A1371" s="473">
        <v>2570</v>
      </c>
      <c r="B1371" s="473" t="s">
        <v>11031</v>
      </c>
      <c r="C1371" s="473" t="s">
        <v>40</v>
      </c>
      <c r="D1371" s="473" t="s">
        <v>41</v>
      </c>
      <c r="E1371" s="361">
        <v>10.1</v>
      </c>
    </row>
    <row r="1372" spans="1:5">
      <c r="A1372" s="473">
        <v>2571</v>
      </c>
      <c r="B1372" s="473" t="s">
        <v>11032</v>
      </c>
      <c r="C1372" s="473" t="s">
        <v>40</v>
      </c>
      <c r="D1372" s="473" t="s">
        <v>41</v>
      </c>
      <c r="E1372" s="361">
        <v>29.99</v>
      </c>
    </row>
    <row r="1373" spans="1:5">
      <c r="A1373" s="473">
        <v>2593</v>
      </c>
      <c r="B1373" s="473" t="s">
        <v>11033</v>
      </c>
      <c r="C1373" s="473" t="s">
        <v>40</v>
      </c>
      <c r="D1373" s="473" t="s">
        <v>41</v>
      </c>
      <c r="E1373" s="361">
        <v>6.42</v>
      </c>
    </row>
    <row r="1374" spans="1:5">
      <c r="A1374" s="473">
        <v>2572</v>
      </c>
      <c r="B1374" s="473" t="s">
        <v>11034</v>
      </c>
      <c r="C1374" s="473" t="s">
        <v>40</v>
      </c>
      <c r="D1374" s="473" t="s">
        <v>41</v>
      </c>
      <c r="E1374" s="361">
        <v>88.7</v>
      </c>
    </row>
    <row r="1375" spans="1:5">
      <c r="A1375" s="473">
        <v>2595</v>
      </c>
      <c r="B1375" s="473" t="s">
        <v>11035</v>
      </c>
      <c r="C1375" s="473" t="s">
        <v>40</v>
      </c>
      <c r="D1375" s="473" t="s">
        <v>41</v>
      </c>
      <c r="E1375" s="361">
        <v>138.4</v>
      </c>
    </row>
    <row r="1376" spans="1:5">
      <c r="A1376" s="473">
        <v>2576</v>
      </c>
      <c r="B1376" s="473" t="s">
        <v>11036</v>
      </c>
      <c r="C1376" s="473" t="s">
        <v>40</v>
      </c>
      <c r="D1376" s="473" t="s">
        <v>41</v>
      </c>
      <c r="E1376" s="361">
        <v>23.59</v>
      </c>
    </row>
    <row r="1377" spans="1:5">
      <c r="A1377" s="473">
        <v>2575</v>
      </c>
      <c r="B1377" s="473" t="s">
        <v>11037</v>
      </c>
      <c r="C1377" s="473" t="s">
        <v>40</v>
      </c>
      <c r="D1377" s="473" t="s">
        <v>41</v>
      </c>
      <c r="E1377" s="361">
        <v>17.73</v>
      </c>
    </row>
    <row r="1378" spans="1:5">
      <c r="A1378" s="473">
        <v>2573</v>
      </c>
      <c r="B1378" s="473" t="s">
        <v>11038</v>
      </c>
      <c r="C1378" s="473" t="s">
        <v>40</v>
      </c>
      <c r="D1378" s="473" t="s">
        <v>41</v>
      </c>
      <c r="E1378" s="361">
        <v>7.36</v>
      </c>
    </row>
    <row r="1379" spans="1:5">
      <c r="A1379" s="473">
        <v>2586</v>
      </c>
      <c r="B1379" s="473" t="s">
        <v>11039</v>
      </c>
      <c r="C1379" s="473" t="s">
        <v>40</v>
      </c>
      <c r="D1379" s="473" t="s">
        <v>41</v>
      </c>
      <c r="E1379" s="361">
        <v>11.94</v>
      </c>
    </row>
    <row r="1380" spans="1:5">
      <c r="A1380" s="473">
        <v>2577</v>
      </c>
      <c r="B1380" s="473" t="s">
        <v>11040</v>
      </c>
      <c r="C1380" s="473" t="s">
        <v>40</v>
      </c>
      <c r="D1380" s="473" t="s">
        <v>41</v>
      </c>
      <c r="E1380" s="361">
        <v>31.97</v>
      </c>
    </row>
    <row r="1381" spans="1:5">
      <c r="A1381" s="473">
        <v>2574</v>
      </c>
      <c r="B1381" s="473" t="s">
        <v>11041</v>
      </c>
      <c r="C1381" s="473" t="s">
        <v>40</v>
      </c>
      <c r="D1381" s="473" t="s">
        <v>41</v>
      </c>
      <c r="E1381" s="361">
        <v>7.41</v>
      </c>
    </row>
    <row r="1382" spans="1:5">
      <c r="A1382" s="473">
        <v>2578</v>
      </c>
      <c r="B1382" s="473" t="s">
        <v>11042</v>
      </c>
      <c r="C1382" s="473" t="s">
        <v>40</v>
      </c>
      <c r="D1382" s="473" t="s">
        <v>41</v>
      </c>
      <c r="E1382" s="361">
        <v>99.81</v>
      </c>
    </row>
    <row r="1383" spans="1:5">
      <c r="A1383" s="473">
        <v>2585</v>
      </c>
      <c r="B1383" s="473" t="s">
        <v>11043</v>
      </c>
      <c r="C1383" s="473" t="s">
        <v>40</v>
      </c>
      <c r="D1383" s="473" t="s">
        <v>41</v>
      </c>
      <c r="E1383" s="361">
        <v>136.96</v>
      </c>
    </row>
    <row r="1384" spans="1:5">
      <c r="A1384" s="473">
        <v>12008</v>
      </c>
      <c r="B1384" s="473" t="s">
        <v>11044</v>
      </c>
      <c r="C1384" s="473" t="s">
        <v>40</v>
      </c>
      <c r="D1384" s="473" t="s">
        <v>41</v>
      </c>
      <c r="E1384" s="361">
        <v>73.48</v>
      </c>
    </row>
    <row r="1385" spans="1:5">
      <c r="A1385" s="473">
        <v>2582</v>
      </c>
      <c r="B1385" s="473" t="s">
        <v>11045</v>
      </c>
      <c r="C1385" s="473" t="s">
        <v>40</v>
      </c>
      <c r="D1385" s="473" t="s">
        <v>41</v>
      </c>
      <c r="E1385" s="361">
        <v>21.88</v>
      </c>
    </row>
    <row r="1386" spans="1:5">
      <c r="A1386" s="473">
        <v>2597</v>
      </c>
      <c r="B1386" s="473" t="s">
        <v>11046</v>
      </c>
      <c r="C1386" s="473" t="s">
        <v>40</v>
      </c>
      <c r="D1386" s="473" t="s">
        <v>41</v>
      </c>
      <c r="E1386" s="361">
        <v>18.75</v>
      </c>
    </row>
    <row r="1387" spans="1:5">
      <c r="A1387" s="473">
        <v>2579</v>
      </c>
      <c r="B1387" s="473" t="s">
        <v>11047</v>
      </c>
      <c r="C1387" s="473" t="s">
        <v>40</v>
      </c>
      <c r="D1387" s="473" t="s">
        <v>41</v>
      </c>
      <c r="E1387" s="361">
        <v>8.93</v>
      </c>
    </row>
    <row r="1388" spans="1:5">
      <c r="A1388" s="473">
        <v>2581</v>
      </c>
      <c r="B1388" s="473" t="s">
        <v>11048</v>
      </c>
      <c r="C1388" s="473" t="s">
        <v>40</v>
      </c>
      <c r="D1388" s="473" t="s">
        <v>41</v>
      </c>
      <c r="E1388" s="361">
        <v>11.42</v>
      </c>
    </row>
    <row r="1389" spans="1:5">
      <c r="A1389" s="473">
        <v>2596</v>
      </c>
      <c r="B1389" s="473" t="s">
        <v>11049</v>
      </c>
      <c r="C1389" s="473" t="s">
        <v>40</v>
      </c>
      <c r="D1389" s="473" t="s">
        <v>41</v>
      </c>
      <c r="E1389" s="361">
        <v>33.79</v>
      </c>
    </row>
    <row r="1390" spans="1:5">
      <c r="A1390" s="473">
        <v>2580</v>
      </c>
      <c r="B1390" s="473" t="s">
        <v>11050</v>
      </c>
      <c r="C1390" s="473" t="s">
        <v>40</v>
      </c>
      <c r="D1390" s="473" t="s">
        <v>41</v>
      </c>
      <c r="E1390" s="361">
        <v>9.7799999999999994</v>
      </c>
    </row>
    <row r="1391" spans="1:5">
      <c r="A1391" s="473">
        <v>2583</v>
      </c>
      <c r="B1391" s="473" t="s">
        <v>11051</v>
      </c>
      <c r="C1391" s="473" t="s">
        <v>40</v>
      </c>
      <c r="D1391" s="473" t="s">
        <v>41</v>
      </c>
      <c r="E1391" s="361">
        <v>82.19</v>
      </c>
    </row>
    <row r="1392" spans="1:5">
      <c r="A1392" s="473">
        <v>2584</v>
      </c>
      <c r="B1392" s="473" t="s">
        <v>11052</v>
      </c>
      <c r="C1392" s="473" t="s">
        <v>40</v>
      </c>
      <c r="D1392" s="473" t="s">
        <v>41</v>
      </c>
      <c r="E1392" s="361">
        <v>136.82</v>
      </c>
    </row>
    <row r="1393" spans="1:5">
      <c r="A1393" s="473">
        <v>12010</v>
      </c>
      <c r="B1393" s="473" t="s">
        <v>11053</v>
      </c>
      <c r="C1393" s="473" t="s">
        <v>40</v>
      </c>
      <c r="D1393" s="473" t="s">
        <v>41</v>
      </c>
      <c r="E1393" s="361">
        <v>6.46</v>
      </c>
    </row>
    <row r="1394" spans="1:5">
      <c r="A1394" s="473">
        <v>39329</v>
      </c>
      <c r="B1394" s="473" t="s">
        <v>11054</v>
      </c>
      <c r="C1394" s="473" t="s">
        <v>40</v>
      </c>
      <c r="D1394" s="473" t="s">
        <v>41</v>
      </c>
      <c r="E1394" s="361">
        <v>6.76</v>
      </c>
    </row>
    <row r="1395" spans="1:5">
      <c r="A1395" s="473">
        <v>39330</v>
      </c>
      <c r="B1395" s="473" t="s">
        <v>11055</v>
      </c>
      <c r="C1395" s="473" t="s">
        <v>40</v>
      </c>
      <c r="D1395" s="473" t="s">
        <v>41</v>
      </c>
      <c r="E1395" s="361">
        <v>7.11</v>
      </c>
    </row>
    <row r="1396" spans="1:5">
      <c r="A1396" s="473">
        <v>39332</v>
      </c>
      <c r="B1396" s="473" t="s">
        <v>11056</v>
      </c>
      <c r="C1396" s="473" t="s">
        <v>40</v>
      </c>
      <c r="D1396" s="473" t="s">
        <v>41</v>
      </c>
      <c r="E1396" s="361">
        <v>7.95</v>
      </c>
    </row>
    <row r="1397" spans="1:5">
      <c r="A1397" s="473">
        <v>39331</v>
      </c>
      <c r="B1397" s="473" t="s">
        <v>11057</v>
      </c>
      <c r="C1397" s="473" t="s">
        <v>40</v>
      </c>
      <c r="D1397" s="473" t="s">
        <v>41</v>
      </c>
      <c r="E1397" s="361">
        <v>6.33</v>
      </c>
    </row>
    <row r="1398" spans="1:5">
      <c r="A1398" s="473">
        <v>39333</v>
      </c>
      <c r="B1398" s="473" t="s">
        <v>11058</v>
      </c>
      <c r="C1398" s="473" t="s">
        <v>40</v>
      </c>
      <c r="D1398" s="473" t="s">
        <v>41</v>
      </c>
      <c r="E1398" s="361">
        <v>6.17</v>
      </c>
    </row>
    <row r="1399" spans="1:5">
      <c r="A1399" s="473">
        <v>39335</v>
      </c>
      <c r="B1399" s="473" t="s">
        <v>11059</v>
      </c>
      <c r="C1399" s="473" t="s">
        <v>40</v>
      </c>
      <c r="D1399" s="473" t="s">
        <v>41</v>
      </c>
      <c r="E1399" s="361">
        <v>7.14</v>
      </c>
    </row>
    <row r="1400" spans="1:5">
      <c r="A1400" s="473">
        <v>39334</v>
      </c>
      <c r="B1400" s="473" t="s">
        <v>11060</v>
      </c>
      <c r="C1400" s="473" t="s">
        <v>40</v>
      </c>
      <c r="D1400" s="473" t="s">
        <v>41</v>
      </c>
      <c r="E1400" s="361">
        <v>5.67</v>
      </c>
    </row>
    <row r="1401" spans="1:5">
      <c r="A1401" s="473">
        <v>12016</v>
      </c>
      <c r="B1401" s="473" t="s">
        <v>11061</v>
      </c>
      <c r="C1401" s="473" t="s">
        <v>40</v>
      </c>
      <c r="D1401" s="473" t="s">
        <v>41</v>
      </c>
      <c r="E1401" s="361">
        <v>7.12</v>
      </c>
    </row>
    <row r="1402" spans="1:5">
      <c r="A1402" s="473">
        <v>12015</v>
      </c>
      <c r="B1402" s="473" t="s">
        <v>11062</v>
      </c>
      <c r="C1402" s="473" t="s">
        <v>40</v>
      </c>
      <c r="D1402" s="473" t="s">
        <v>41</v>
      </c>
      <c r="E1402" s="361">
        <v>8.2899999999999991</v>
      </c>
    </row>
    <row r="1403" spans="1:5">
      <c r="A1403" s="473">
        <v>12020</v>
      </c>
      <c r="B1403" s="473" t="s">
        <v>11063</v>
      </c>
      <c r="C1403" s="473" t="s">
        <v>40</v>
      </c>
      <c r="D1403" s="473" t="s">
        <v>41</v>
      </c>
      <c r="E1403" s="361">
        <v>7.12</v>
      </c>
    </row>
    <row r="1404" spans="1:5">
      <c r="A1404" s="473">
        <v>12019</v>
      </c>
      <c r="B1404" s="473" t="s">
        <v>11064</v>
      </c>
      <c r="C1404" s="473" t="s">
        <v>40</v>
      </c>
      <c r="D1404" s="473" t="s">
        <v>41</v>
      </c>
      <c r="E1404" s="361">
        <v>8.2899999999999991</v>
      </c>
    </row>
    <row r="1405" spans="1:5">
      <c r="A1405" s="473">
        <v>39336</v>
      </c>
      <c r="B1405" s="473" t="s">
        <v>11065</v>
      </c>
      <c r="C1405" s="473" t="s">
        <v>40</v>
      </c>
      <c r="D1405" s="473" t="s">
        <v>41</v>
      </c>
      <c r="E1405" s="361">
        <v>7.11</v>
      </c>
    </row>
    <row r="1406" spans="1:5">
      <c r="A1406" s="473">
        <v>39338</v>
      </c>
      <c r="B1406" s="473" t="s">
        <v>11066</v>
      </c>
      <c r="C1406" s="473" t="s">
        <v>40</v>
      </c>
      <c r="D1406" s="473" t="s">
        <v>41</v>
      </c>
      <c r="E1406" s="361">
        <v>7.95</v>
      </c>
    </row>
    <row r="1407" spans="1:5">
      <c r="A1407" s="473">
        <v>39337</v>
      </c>
      <c r="B1407" s="473" t="s">
        <v>11067</v>
      </c>
      <c r="C1407" s="473" t="s">
        <v>40</v>
      </c>
      <c r="D1407" s="473" t="s">
        <v>41</v>
      </c>
      <c r="E1407" s="361">
        <v>6.33</v>
      </c>
    </row>
    <row r="1408" spans="1:5">
      <c r="A1408" s="473">
        <v>39341</v>
      </c>
      <c r="B1408" s="473" t="s">
        <v>11068</v>
      </c>
      <c r="C1408" s="473" t="s">
        <v>40</v>
      </c>
      <c r="D1408" s="473" t="s">
        <v>41</v>
      </c>
      <c r="E1408" s="361">
        <v>10.36</v>
      </c>
    </row>
    <row r="1409" spans="1:5">
      <c r="A1409" s="473">
        <v>39340</v>
      </c>
      <c r="B1409" s="473" t="s">
        <v>11069</v>
      </c>
      <c r="C1409" s="473" t="s">
        <v>40</v>
      </c>
      <c r="D1409" s="473" t="s">
        <v>41</v>
      </c>
      <c r="E1409" s="361">
        <v>7.61</v>
      </c>
    </row>
    <row r="1410" spans="1:5">
      <c r="A1410" s="473">
        <v>12025</v>
      </c>
      <c r="B1410" s="473" t="s">
        <v>11070</v>
      </c>
      <c r="C1410" s="473" t="s">
        <v>40</v>
      </c>
      <c r="D1410" s="473" t="s">
        <v>41</v>
      </c>
      <c r="E1410" s="361">
        <v>7.86</v>
      </c>
    </row>
    <row r="1411" spans="1:5">
      <c r="A1411" s="473">
        <v>39342</v>
      </c>
      <c r="B1411" s="473" t="s">
        <v>11071</v>
      </c>
      <c r="C1411" s="473" t="s">
        <v>40</v>
      </c>
      <c r="D1411" s="473" t="s">
        <v>41</v>
      </c>
      <c r="E1411" s="361">
        <v>10.36</v>
      </c>
    </row>
    <row r="1412" spans="1:5">
      <c r="A1412" s="473">
        <v>39343</v>
      </c>
      <c r="B1412" s="473" t="s">
        <v>11072</v>
      </c>
      <c r="C1412" s="473" t="s">
        <v>40</v>
      </c>
      <c r="D1412" s="473" t="s">
        <v>41</v>
      </c>
      <c r="E1412" s="361">
        <v>8.75</v>
      </c>
    </row>
    <row r="1413" spans="1:5">
      <c r="A1413" s="473">
        <v>39345</v>
      </c>
      <c r="B1413" s="473" t="s">
        <v>11073</v>
      </c>
      <c r="C1413" s="473" t="s">
        <v>40</v>
      </c>
      <c r="D1413" s="473" t="s">
        <v>41</v>
      </c>
      <c r="E1413" s="361">
        <v>11.84</v>
      </c>
    </row>
    <row r="1414" spans="1:5">
      <c r="A1414" s="473">
        <v>39344</v>
      </c>
      <c r="B1414" s="473" t="s">
        <v>11074</v>
      </c>
      <c r="C1414" s="473" t="s">
        <v>40</v>
      </c>
      <c r="D1414" s="473" t="s">
        <v>41</v>
      </c>
      <c r="E1414" s="361">
        <v>8.4600000000000009</v>
      </c>
    </row>
    <row r="1415" spans="1:5">
      <c r="A1415" s="473">
        <v>12623</v>
      </c>
      <c r="B1415" s="473" t="s">
        <v>11075</v>
      </c>
      <c r="C1415" s="473" t="s">
        <v>48</v>
      </c>
      <c r="D1415" s="473" t="s">
        <v>47</v>
      </c>
      <c r="E1415" s="361">
        <v>10.69</v>
      </c>
    </row>
    <row r="1416" spans="1:5">
      <c r="A1416" s="473">
        <v>34498</v>
      </c>
      <c r="B1416" s="473" t="s">
        <v>11076</v>
      </c>
      <c r="C1416" s="473" t="s">
        <v>40</v>
      </c>
      <c r="D1416" s="473" t="s">
        <v>41</v>
      </c>
      <c r="E1416" s="361">
        <v>106.9</v>
      </c>
    </row>
    <row r="1417" spans="1:5">
      <c r="A1417" s="473">
        <v>13244</v>
      </c>
      <c r="B1417" s="473" t="s">
        <v>11077</v>
      </c>
      <c r="C1417" s="473" t="s">
        <v>40</v>
      </c>
      <c r="D1417" s="473" t="s">
        <v>44</v>
      </c>
      <c r="E1417" s="361">
        <v>45</v>
      </c>
    </row>
    <row r="1418" spans="1:5">
      <c r="A1418" s="473">
        <v>38998</v>
      </c>
      <c r="B1418" s="473" t="s">
        <v>11078</v>
      </c>
      <c r="C1418" s="473" t="s">
        <v>40</v>
      </c>
      <c r="D1418" s="473" t="s">
        <v>47</v>
      </c>
      <c r="E1418" s="361">
        <v>7.72</v>
      </c>
    </row>
    <row r="1419" spans="1:5">
      <c r="A1419" s="473">
        <v>38999</v>
      </c>
      <c r="B1419" s="473" t="s">
        <v>11079</v>
      </c>
      <c r="C1419" s="473" t="s">
        <v>40</v>
      </c>
      <c r="D1419" s="473" t="s">
        <v>47</v>
      </c>
      <c r="E1419" s="361">
        <v>12.78</v>
      </c>
    </row>
    <row r="1420" spans="1:5">
      <c r="A1420" s="473">
        <v>38996</v>
      </c>
      <c r="B1420" s="473" t="s">
        <v>11080</v>
      </c>
      <c r="C1420" s="473" t="s">
        <v>40</v>
      </c>
      <c r="D1420" s="473" t="s">
        <v>47</v>
      </c>
      <c r="E1420" s="361">
        <v>11.16</v>
      </c>
    </row>
    <row r="1421" spans="1:5">
      <c r="A1421" s="473">
        <v>38997</v>
      </c>
      <c r="B1421" s="473" t="s">
        <v>11081</v>
      </c>
      <c r="C1421" s="473" t="s">
        <v>40</v>
      </c>
      <c r="D1421" s="473" t="s">
        <v>47</v>
      </c>
      <c r="E1421" s="361">
        <v>18.059999999999999</v>
      </c>
    </row>
    <row r="1422" spans="1:5">
      <c r="A1422" s="473">
        <v>39862</v>
      </c>
      <c r="B1422" s="473" t="s">
        <v>11082</v>
      </c>
      <c r="C1422" s="473" t="s">
        <v>40</v>
      </c>
      <c r="D1422" s="473" t="s">
        <v>47</v>
      </c>
      <c r="E1422" s="361">
        <v>8.01</v>
      </c>
    </row>
    <row r="1423" spans="1:5">
      <c r="A1423" s="473">
        <v>39863</v>
      </c>
      <c r="B1423" s="473" t="s">
        <v>11083</v>
      </c>
      <c r="C1423" s="473" t="s">
        <v>40</v>
      </c>
      <c r="D1423" s="473" t="s">
        <v>47</v>
      </c>
      <c r="E1423" s="361">
        <v>8.1300000000000008</v>
      </c>
    </row>
    <row r="1424" spans="1:5">
      <c r="A1424" s="473">
        <v>39864</v>
      </c>
      <c r="B1424" s="473" t="s">
        <v>11084</v>
      </c>
      <c r="C1424" s="473" t="s">
        <v>40</v>
      </c>
      <c r="D1424" s="473" t="s">
        <v>47</v>
      </c>
      <c r="E1424" s="361">
        <v>10.08</v>
      </c>
    </row>
    <row r="1425" spans="1:5">
      <c r="A1425" s="473">
        <v>39865</v>
      </c>
      <c r="B1425" s="473" t="s">
        <v>11085</v>
      </c>
      <c r="C1425" s="473" t="s">
        <v>40</v>
      </c>
      <c r="D1425" s="473" t="s">
        <v>47</v>
      </c>
      <c r="E1425" s="361">
        <v>14.21</v>
      </c>
    </row>
    <row r="1426" spans="1:5">
      <c r="A1426" s="473">
        <v>2517</v>
      </c>
      <c r="B1426" s="473" t="s">
        <v>11086</v>
      </c>
      <c r="C1426" s="473" t="s">
        <v>40</v>
      </c>
      <c r="D1426" s="473" t="s">
        <v>41</v>
      </c>
      <c r="E1426" s="361">
        <v>13.63</v>
      </c>
    </row>
    <row r="1427" spans="1:5">
      <c r="A1427" s="473">
        <v>2522</v>
      </c>
      <c r="B1427" s="473" t="s">
        <v>11087</v>
      </c>
      <c r="C1427" s="473" t="s">
        <v>40</v>
      </c>
      <c r="D1427" s="473" t="s">
        <v>41</v>
      </c>
      <c r="E1427" s="361">
        <v>8.81</v>
      </c>
    </row>
    <row r="1428" spans="1:5">
      <c r="A1428" s="473">
        <v>2548</v>
      </c>
      <c r="B1428" s="473" t="s">
        <v>11088</v>
      </c>
      <c r="C1428" s="473" t="s">
        <v>40</v>
      </c>
      <c r="D1428" s="473" t="s">
        <v>41</v>
      </c>
      <c r="E1428" s="361">
        <v>5.42</v>
      </c>
    </row>
    <row r="1429" spans="1:5">
      <c r="A1429" s="473">
        <v>2516</v>
      </c>
      <c r="B1429" s="473" t="s">
        <v>11089</v>
      </c>
      <c r="C1429" s="473" t="s">
        <v>40</v>
      </c>
      <c r="D1429" s="473" t="s">
        <v>41</v>
      </c>
      <c r="E1429" s="361">
        <v>7.07</v>
      </c>
    </row>
    <row r="1430" spans="1:5">
      <c r="A1430" s="473">
        <v>2518</v>
      </c>
      <c r="B1430" s="473" t="s">
        <v>11090</v>
      </c>
      <c r="C1430" s="473" t="s">
        <v>40</v>
      </c>
      <c r="D1430" s="473" t="s">
        <v>41</v>
      </c>
      <c r="E1430" s="361">
        <v>64.89</v>
      </c>
    </row>
    <row r="1431" spans="1:5">
      <c r="A1431" s="473">
        <v>2521</v>
      </c>
      <c r="B1431" s="473" t="s">
        <v>11091</v>
      </c>
      <c r="C1431" s="473" t="s">
        <v>40</v>
      </c>
      <c r="D1431" s="473" t="s">
        <v>41</v>
      </c>
      <c r="E1431" s="361">
        <v>27.62</v>
      </c>
    </row>
    <row r="1432" spans="1:5">
      <c r="A1432" s="473">
        <v>2515</v>
      </c>
      <c r="B1432" s="473" t="s">
        <v>11092</v>
      </c>
      <c r="C1432" s="473" t="s">
        <v>40</v>
      </c>
      <c r="D1432" s="473" t="s">
        <v>41</v>
      </c>
      <c r="E1432" s="361">
        <v>5.88</v>
      </c>
    </row>
    <row r="1433" spans="1:5">
      <c r="A1433" s="473">
        <v>2519</v>
      </c>
      <c r="B1433" s="473" t="s">
        <v>11093</v>
      </c>
      <c r="C1433" s="473" t="s">
        <v>40</v>
      </c>
      <c r="D1433" s="473" t="s">
        <v>41</v>
      </c>
      <c r="E1433" s="361">
        <v>78.239999999999995</v>
      </c>
    </row>
    <row r="1434" spans="1:5">
      <c r="A1434" s="473">
        <v>2520</v>
      </c>
      <c r="B1434" s="473" t="s">
        <v>11094</v>
      </c>
      <c r="C1434" s="473" t="s">
        <v>40</v>
      </c>
      <c r="D1434" s="473" t="s">
        <v>41</v>
      </c>
      <c r="E1434" s="361">
        <v>144.01</v>
      </c>
    </row>
    <row r="1435" spans="1:5">
      <c r="A1435" s="473">
        <v>1602</v>
      </c>
      <c r="B1435" s="473" t="s">
        <v>11095</v>
      </c>
      <c r="C1435" s="473" t="s">
        <v>40</v>
      </c>
      <c r="D1435" s="473" t="s">
        <v>41</v>
      </c>
      <c r="E1435" s="361">
        <v>27.42</v>
      </c>
    </row>
    <row r="1436" spans="1:5">
      <c r="A1436" s="473">
        <v>1601</v>
      </c>
      <c r="B1436" s="473" t="s">
        <v>11096</v>
      </c>
      <c r="C1436" s="473" t="s">
        <v>40</v>
      </c>
      <c r="D1436" s="473" t="s">
        <v>41</v>
      </c>
      <c r="E1436" s="361">
        <v>24.44</v>
      </c>
    </row>
    <row r="1437" spans="1:5">
      <c r="A1437" s="473">
        <v>1598</v>
      </c>
      <c r="B1437" s="473" t="s">
        <v>11097</v>
      </c>
      <c r="C1437" s="473" t="s">
        <v>40</v>
      </c>
      <c r="D1437" s="473" t="s">
        <v>41</v>
      </c>
      <c r="E1437" s="361">
        <v>7.23</v>
      </c>
    </row>
    <row r="1438" spans="1:5">
      <c r="A1438" s="473">
        <v>1600</v>
      </c>
      <c r="B1438" s="473" t="s">
        <v>11098</v>
      </c>
      <c r="C1438" s="473" t="s">
        <v>40</v>
      </c>
      <c r="D1438" s="473" t="s">
        <v>41</v>
      </c>
      <c r="E1438" s="361">
        <v>10.67</v>
      </c>
    </row>
    <row r="1439" spans="1:5">
      <c r="A1439" s="473">
        <v>1603</v>
      </c>
      <c r="B1439" s="473" t="s">
        <v>11099</v>
      </c>
      <c r="C1439" s="473" t="s">
        <v>40</v>
      </c>
      <c r="D1439" s="473" t="s">
        <v>41</v>
      </c>
      <c r="E1439" s="361">
        <v>41.41</v>
      </c>
    </row>
    <row r="1440" spans="1:5">
      <c r="A1440" s="473">
        <v>1599</v>
      </c>
      <c r="B1440" s="473" t="s">
        <v>11100</v>
      </c>
      <c r="C1440" s="473" t="s">
        <v>40</v>
      </c>
      <c r="D1440" s="473" t="s">
        <v>41</v>
      </c>
      <c r="E1440" s="361">
        <v>8.39</v>
      </c>
    </row>
    <row r="1441" spans="1:5">
      <c r="A1441" s="473">
        <v>1597</v>
      </c>
      <c r="B1441" s="473" t="s">
        <v>11101</v>
      </c>
      <c r="C1441" s="473" t="s">
        <v>40</v>
      </c>
      <c r="D1441" s="473" t="s">
        <v>41</v>
      </c>
      <c r="E1441" s="361">
        <v>6.8</v>
      </c>
    </row>
    <row r="1442" spans="1:5">
      <c r="A1442" s="473">
        <v>39600</v>
      </c>
      <c r="B1442" s="473" t="s">
        <v>11102</v>
      </c>
      <c r="C1442" s="473" t="s">
        <v>40</v>
      </c>
      <c r="D1442" s="473" t="s">
        <v>47</v>
      </c>
      <c r="E1442" s="361">
        <v>8.7799999999999994</v>
      </c>
    </row>
    <row r="1443" spans="1:5">
      <c r="A1443" s="473">
        <v>39601</v>
      </c>
      <c r="B1443" s="473" t="s">
        <v>11103</v>
      </c>
      <c r="C1443" s="473" t="s">
        <v>40</v>
      </c>
      <c r="D1443" s="473" t="s">
        <v>47</v>
      </c>
      <c r="E1443" s="361">
        <v>15.26</v>
      </c>
    </row>
    <row r="1444" spans="1:5">
      <c r="A1444" s="473">
        <v>39602</v>
      </c>
      <c r="B1444" s="473" t="s">
        <v>11104</v>
      </c>
      <c r="C1444" s="473" t="s">
        <v>40</v>
      </c>
      <c r="D1444" s="473" t="s">
        <v>47</v>
      </c>
      <c r="E1444" s="361">
        <v>1</v>
      </c>
    </row>
    <row r="1445" spans="1:5">
      <c r="A1445" s="473">
        <v>39603</v>
      </c>
      <c r="B1445" s="473" t="s">
        <v>11105</v>
      </c>
      <c r="C1445" s="473" t="s">
        <v>40</v>
      </c>
      <c r="D1445" s="473" t="s">
        <v>47</v>
      </c>
      <c r="E1445" s="361">
        <v>1.72</v>
      </c>
    </row>
    <row r="1446" spans="1:5">
      <c r="A1446" s="473">
        <v>11821</v>
      </c>
      <c r="B1446" s="473" t="s">
        <v>11106</v>
      </c>
      <c r="C1446" s="473" t="s">
        <v>40</v>
      </c>
      <c r="D1446" s="473" t="s">
        <v>41</v>
      </c>
      <c r="E1446" s="361">
        <v>5.58</v>
      </c>
    </row>
    <row r="1447" spans="1:5">
      <c r="A1447" s="473">
        <v>1562</v>
      </c>
      <c r="B1447" s="473" t="s">
        <v>11107</v>
      </c>
      <c r="C1447" s="473" t="s">
        <v>40</v>
      </c>
      <c r="D1447" s="473" t="s">
        <v>41</v>
      </c>
      <c r="E1447" s="361">
        <v>9.15</v>
      </c>
    </row>
    <row r="1448" spans="1:5">
      <c r="A1448" s="473">
        <v>1563</v>
      </c>
      <c r="B1448" s="473" t="s">
        <v>11108</v>
      </c>
      <c r="C1448" s="473" t="s">
        <v>40</v>
      </c>
      <c r="D1448" s="473" t="s">
        <v>41</v>
      </c>
      <c r="E1448" s="361">
        <v>12.27</v>
      </c>
    </row>
    <row r="1449" spans="1:5">
      <c r="A1449" s="473">
        <v>11856</v>
      </c>
      <c r="B1449" s="473" t="s">
        <v>11109</v>
      </c>
      <c r="C1449" s="473" t="s">
        <v>40</v>
      </c>
      <c r="D1449" s="473" t="s">
        <v>44</v>
      </c>
      <c r="E1449" s="361">
        <v>3.66</v>
      </c>
    </row>
    <row r="1450" spans="1:5">
      <c r="A1450" s="473">
        <v>11857</v>
      </c>
      <c r="B1450" s="473" t="s">
        <v>11110</v>
      </c>
      <c r="C1450" s="473" t="s">
        <v>40</v>
      </c>
      <c r="D1450" s="473" t="s">
        <v>41</v>
      </c>
      <c r="E1450" s="361">
        <v>19.260000000000002</v>
      </c>
    </row>
    <row r="1451" spans="1:5">
      <c r="A1451" s="473">
        <v>11858</v>
      </c>
      <c r="B1451" s="473" t="s">
        <v>11111</v>
      </c>
      <c r="C1451" s="473" t="s">
        <v>40</v>
      </c>
      <c r="D1451" s="473" t="s">
        <v>41</v>
      </c>
      <c r="E1451" s="361">
        <v>23.9</v>
      </c>
    </row>
    <row r="1452" spans="1:5">
      <c r="A1452" s="473">
        <v>1539</v>
      </c>
      <c r="B1452" s="473" t="s">
        <v>11112</v>
      </c>
      <c r="C1452" s="473" t="s">
        <v>40</v>
      </c>
      <c r="D1452" s="473" t="s">
        <v>41</v>
      </c>
      <c r="E1452" s="361">
        <v>4.3</v>
      </c>
    </row>
    <row r="1453" spans="1:5">
      <c r="A1453" s="473">
        <v>11859</v>
      </c>
      <c r="B1453" s="473" t="s">
        <v>11113</v>
      </c>
      <c r="C1453" s="473" t="s">
        <v>40</v>
      </c>
      <c r="D1453" s="473" t="s">
        <v>41</v>
      </c>
      <c r="E1453" s="361">
        <v>32.520000000000003</v>
      </c>
    </row>
    <row r="1454" spans="1:5">
      <c r="A1454" s="473">
        <v>1550</v>
      </c>
      <c r="B1454" s="473" t="s">
        <v>11114</v>
      </c>
      <c r="C1454" s="473" t="s">
        <v>40</v>
      </c>
      <c r="D1454" s="473" t="s">
        <v>41</v>
      </c>
      <c r="E1454" s="361">
        <v>4.54</v>
      </c>
    </row>
    <row r="1455" spans="1:5">
      <c r="A1455" s="473">
        <v>11854</v>
      </c>
      <c r="B1455" s="473" t="s">
        <v>11115</v>
      </c>
      <c r="C1455" s="473" t="s">
        <v>40</v>
      </c>
      <c r="D1455" s="473" t="s">
        <v>41</v>
      </c>
      <c r="E1455" s="361">
        <v>5.67</v>
      </c>
    </row>
    <row r="1456" spans="1:5">
      <c r="A1456" s="473">
        <v>11862</v>
      </c>
      <c r="B1456" s="473" t="s">
        <v>11116</v>
      </c>
      <c r="C1456" s="473" t="s">
        <v>40</v>
      </c>
      <c r="D1456" s="473" t="s">
        <v>41</v>
      </c>
      <c r="E1456" s="361">
        <v>7.95</v>
      </c>
    </row>
    <row r="1457" spans="1:5">
      <c r="A1457" s="473">
        <v>11863</v>
      </c>
      <c r="B1457" s="473" t="s">
        <v>11117</v>
      </c>
      <c r="C1457" s="473" t="s">
        <v>40</v>
      </c>
      <c r="D1457" s="473" t="s">
        <v>41</v>
      </c>
      <c r="E1457" s="361">
        <v>3.21</v>
      </c>
    </row>
    <row r="1458" spans="1:5">
      <c r="A1458" s="473">
        <v>11855</v>
      </c>
      <c r="B1458" s="473" t="s">
        <v>11118</v>
      </c>
      <c r="C1458" s="473" t="s">
        <v>40</v>
      </c>
      <c r="D1458" s="473" t="s">
        <v>41</v>
      </c>
      <c r="E1458" s="361">
        <v>11.87</v>
      </c>
    </row>
    <row r="1459" spans="1:5">
      <c r="A1459" s="473">
        <v>11864</v>
      </c>
      <c r="B1459" s="473" t="s">
        <v>11119</v>
      </c>
      <c r="C1459" s="473" t="s">
        <v>40</v>
      </c>
      <c r="D1459" s="473" t="s">
        <v>41</v>
      </c>
      <c r="E1459" s="361">
        <v>17.95</v>
      </c>
    </row>
    <row r="1460" spans="1:5">
      <c r="A1460" s="473">
        <v>2527</v>
      </c>
      <c r="B1460" s="473" t="s">
        <v>11120</v>
      </c>
      <c r="C1460" s="473" t="s">
        <v>40</v>
      </c>
      <c r="D1460" s="473" t="s">
        <v>41</v>
      </c>
      <c r="E1460" s="361">
        <v>4.88</v>
      </c>
    </row>
    <row r="1461" spans="1:5">
      <c r="A1461" s="473">
        <v>2526</v>
      </c>
      <c r="B1461" s="473" t="s">
        <v>11121</v>
      </c>
      <c r="C1461" s="473" t="s">
        <v>40</v>
      </c>
      <c r="D1461" s="473" t="s">
        <v>41</v>
      </c>
      <c r="E1461" s="361">
        <v>3.12</v>
      </c>
    </row>
    <row r="1462" spans="1:5">
      <c r="A1462" s="473">
        <v>2487</v>
      </c>
      <c r="B1462" s="473" t="s">
        <v>11122</v>
      </c>
      <c r="C1462" s="473" t="s">
        <v>40</v>
      </c>
      <c r="D1462" s="473" t="s">
        <v>41</v>
      </c>
      <c r="E1462" s="361">
        <v>1.06</v>
      </c>
    </row>
    <row r="1463" spans="1:5">
      <c r="A1463" s="473">
        <v>2483</v>
      </c>
      <c r="B1463" s="473" t="s">
        <v>11123</v>
      </c>
      <c r="C1463" s="473" t="s">
        <v>40</v>
      </c>
      <c r="D1463" s="473" t="s">
        <v>41</v>
      </c>
      <c r="E1463" s="361">
        <v>2.2200000000000002</v>
      </c>
    </row>
    <row r="1464" spans="1:5">
      <c r="A1464" s="473">
        <v>2528</v>
      </c>
      <c r="B1464" s="473" t="s">
        <v>11124</v>
      </c>
      <c r="C1464" s="473" t="s">
        <v>40</v>
      </c>
      <c r="D1464" s="473" t="s">
        <v>41</v>
      </c>
      <c r="E1464" s="361">
        <v>12.28</v>
      </c>
    </row>
    <row r="1465" spans="1:5">
      <c r="A1465" s="473">
        <v>2489</v>
      </c>
      <c r="B1465" s="473" t="s">
        <v>11125</v>
      </c>
      <c r="C1465" s="473" t="s">
        <v>40</v>
      </c>
      <c r="D1465" s="473" t="s">
        <v>41</v>
      </c>
      <c r="E1465" s="361">
        <v>5.4</v>
      </c>
    </row>
    <row r="1466" spans="1:5">
      <c r="A1466" s="473">
        <v>2488</v>
      </c>
      <c r="B1466" s="473" t="s">
        <v>11126</v>
      </c>
      <c r="C1466" s="473" t="s">
        <v>40</v>
      </c>
      <c r="D1466" s="473" t="s">
        <v>41</v>
      </c>
      <c r="E1466" s="361">
        <v>1.25</v>
      </c>
    </row>
    <row r="1467" spans="1:5">
      <c r="A1467" s="473">
        <v>2484</v>
      </c>
      <c r="B1467" s="473" t="s">
        <v>11127</v>
      </c>
      <c r="C1467" s="473" t="s">
        <v>40</v>
      </c>
      <c r="D1467" s="473" t="s">
        <v>41</v>
      </c>
      <c r="E1467" s="361">
        <v>17.829999999999998</v>
      </c>
    </row>
    <row r="1468" spans="1:5">
      <c r="A1468" s="473">
        <v>2485</v>
      </c>
      <c r="B1468" s="473" t="s">
        <v>11128</v>
      </c>
      <c r="C1468" s="473" t="s">
        <v>40</v>
      </c>
      <c r="D1468" s="473" t="s">
        <v>41</v>
      </c>
      <c r="E1468" s="361">
        <v>27.95</v>
      </c>
    </row>
    <row r="1469" spans="1:5">
      <c r="A1469" s="473">
        <v>38005</v>
      </c>
      <c r="B1469" s="473" t="s">
        <v>11129</v>
      </c>
      <c r="C1469" s="473" t="s">
        <v>40</v>
      </c>
      <c r="D1469" s="473" t="s">
        <v>41</v>
      </c>
      <c r="E1469" s="361">
        <v>9.56</v>
      </c>
    </row>
    <row r="1470" spans="1:5">
      <c r="A1470" s="473">
        <v>38006</v>
      </c>
      <c r="B1470" s="473" t="s">
        <v>11130</v>
      </c>
      <c r="C1470" s="473" t="s">
        <v>40</v>
      </c>
      <c r="D1470" s="473" t="s">
        <v>41</v>
      </c>
      <c r="E1470" s="361">
        <v>11.74</v>
      </c>
    </row>
    <row r="1471" spans="1:5">
      <c r="A1471" s="473">
        <v>38428</v>
      </c>
      <c r="B1471" s="473" t="s">
        <v>11131</v>
      </c>
      <c r="C1471" s="473" t="s">
        <v>40</v>
      </c>
      <c r="D1471" s="473" t="s">
        <v>41</v>
      </c>
      <c r="E1471" s="361">
        <v>11</v>
      </c>
    </row>
    <row r="1472" spans="1:5">
      <c r="A1472" s="473">
        <v>38007</v>
      </c>
      <c r="B1472" s="473" t="s">
        <v>11132</v>
      </c>
      <c r="C1472" s="473" t="s">
        <v>40</v>
      </c>
      <c r="D1472" s="473" t="s">
        <v>41</v>
      </c>
      <c r="E1472" s="361">
        <v>17.97</v>
      </c>
    </row>
    <row r="1473" spans="1:5">
      <c r="A1473" s="473">
        <v>38008</v>
      </c>
      <c r="B1473" s="473" t="s">
        <v>11133</v>
      </c>
      <c r="C1473" s="473" t="s">
        <v>40</v>
      </c>
      <c r="D1473" s="473" t="s">
        <v>41</v>
      </c>
      <c r="E1473" s="361">
        <v>72.38</v>
      </c>
    </row>
    <row r="1474" spans="1:5">
      <c r="A1474" s="473">
        <v>38009</v>
      </c>
      <c r="B1474" s="473" t="s">
        <v>11134</v>
      </c>
      <c r="C1474" s="473" t="s">
        <v>40</v>
      </c>
      <c r="D1474" s="473" t="s">
        <v>41</v>
      </c>
      <c r="E1474" s="361">
        <v>88.46</v>
      </c>
    </row>
    <row r="1475" spans="1:5">
      <c r="A1475" s="473">
        <v>39279</v>
      </c>
      <c r="B1475" s="473" t="s">
        <v>11135</v>
      </c>
      <c r="C1475" s="473" t="s">
        <v>40</v>
      </c>
      <c r="D1475" s="473" t="s">
        <v>47</v>
      </c>
      <c r="E1475" s="361">
        <v>10.66</v>
      </c>
    </row>
    <row r="1476" spans="1:5">
      <c r="A1476" s="473">
        <v>38845</v>
      </c>
      <c r="B1476" s="473" t="s">
        <v>11136</v>
      </c>
      <c r="C1476" s="473" t="s">
        <v>40</v>
      </c>
      <c r="D1476" s="473" t="s">
        <v>47</v>
      </c>
      <c r="E1476" s="361">
        <v>15.43</v>
      </c>
    </row>
    <row r="1477" spans="1:5">
      <c r="A1477" s="473">
        <v>39280</v>
      </c>
      <c r="B1477" s="473" t="s">
        <v>11137</v>
      </c>
      <c r="C1477" s="473" t="s">
        <v>40</v>
      </c>
      <c r="D1477" s="473" t="s">
        <v>47</v>
      </c>
      <c r="E1477" s="361">
        <v>13.82</v>
      </c>
    </row>
    <row r="1478" spans="1:5">
      <c r="A1478" s="473">
        <v>39281</v>
      </c>
      <c r="B1478" s="473" t="s">
        <v>11138</v>
      </c>
      <c r="C1478" s="473" t="s">
        <v>40</v>
      </c>
      <c r="D1478" s="473" t="s">
        <v>47</v>
      </c>
      <c r="E1478" s="361">
        <v>18.2</v>
      </c>
    </row>
    <row r="1479" spans="1:5">
      <c r="A1479" s="473">
        <v>38849</v>
      </c>
      <c r="B1479" s="473" t="s">
        <v>11139</v>
      </c>
      <c r="C1479" s="473" t="s">
        <v>40</v>
      </c>
      <c r="D1479" s="473" t="s">
        <v>47</v>
      </c>
      <c r="E1479" s="361">
        <v>15.59</v>
      </c>
    </row>
    <row r="1480" spans="1:5">
      <c r="A1480" s="473">
        <v>39282</v>
      </c>
      <c r="B1480" s="473" t="s">
        <v>11140</v>
      </c>
      <c r="C1480" s="473" t="s">
        <v>40</v>
      </c>
      <c r="D1480" s="473" t="s">
        <v>47</v>
      </c>
      <c r="E1480" s="361">
        <v>18.63</v>
      </c>
    </row>
    <row r="1481" spans="1:5">
      <c r="A1481" s="473">
        <v>38852</v>
      </c>
      <c r="B1481" s="473" t="s">
        <v>11141</v>
      </c>
      <c r="C1481" s="473" t="s">
        <v>40</v>
      </c>
      <c r="D1481" s="473" t="s">
        <v>47</v>
      </c>
      <c r="E1481" s="361">
        <v>25.35</v>
      </c>
    </row>
    <row r="1482" spans="1:5">
      <c r="A1482" s="473">
        <v>38844</v>
      </c>
      <c r="B1482" s="473" t="s">
        <v>11142</v>
      </c>
      <c r="C1482" s="473" t="s">
        <v>40</v>
      </c>
      <c r="D1482" s="473" t="s">
        <v>47</v>
      </c>
      <c r="E1482" s="361">
        <v>7.79</v>
      </c>
    </row>
    <row r="1483" spans="1:5">
      <c r="A1483" s="473">
        <v>38846</v>
      </c>
      <c r="B1483" s="473" t="s">
        <v>11143</v>
      </c>
      <c r="C1483" s="473" t="s">
        <v>40</v>
      </c>
      <c r="D1483" s="473" t="s">
        <v>47</v>
      </c>
      <c r="E1483" s="361">
        <v>8.52</v>
      </c>
    </row>
    <row r="1484" spans="1:5">
      <c r="A1484" s="473">
        <v>38847</v>
      </c>
      <c r="B1484" s="473" t="s">
        <v>11144</v>
      </c>
      <c r="C1484" s="473" t="s">
        <v>40</v>
      </c>
      <c r="D1484" s="473" t="s">
        <v>47</v>
      </c>
      <c r="E1484" s="361">
        <v>10.48</v>
      </c>
    </row>
    <row r="1485" spans="1:5">
      <c r="A1485" s="473">
        <v>38850</v>
      </c>
      <c r="B1485" s="473" t="s">
        <v>11145</v>
      </c>
      <c r="C1485" s="473" t="s">
        <v>40</v>
      </c>
      <c r="D1485" s="473" t="s">
        <v>47</v>
      </c>
      <c r="E1485" s="361">
        <v>14.57</v>
      </c>
    </row>
    <row r="1486" spans="1:5">
      <c r="A1486" s="473">
        <v>38848</v>
      </c>
      <c r="B1486" s="473" t="s">
        <v>11146</v>
      </c>
      <c r="C1486" s="473" t="s">
        <v>40</v>
      </c>
      <c r="D1486" s="473" t="s">
        <v>47</v>
      </c>
      <c r="E1486" s="361">
        <v>12.19</v>
      </c>
    </row>
    <row r="1487" spans="1:5">
      <c r="A1487" s="473">
        <v>38851</v>
      </c>
      <c r="B1487" s="473" t="s">
        <v>11147</v>
      </c>
      <c r="C1487" s="473" t="s">
        <v>40</v>
      </c>
      <c r="D1487" s="473" t="s">
        <v>47</v>
      </c>
      <c r="E1487" s="361">
        <v>22.15</v>
      </c>
    </row>
    <row r="1488" spans="1:5">
      <c r="A1488" s="473">
        <v>38860</v>
      </c>
      <c r="B1488" s="473" t="s">
        <v>11148</v>
      </c>
      <c r="C1488" s="473" t="s">
        <v>40</v>
      </c>
      <c r="D1488" s="473" t="s">
        <v>47</v>
      </c>
      <c r="E1488" s="361">
        <v>6.26</v>
      </c>
    </row>
    <row r="1489" spans="1:5">
      <c r="A1489" s="473">
        <v>38861</v>
      </c>
      <c r="B1489" s="473" t="s">
        <v>11149</v>
      </c>
      <c r="C1489" s="473" t="s">
        <v>40</v>
      </c>
      <c r="D1489" s="473" t="s">
        <v>47</v>
      </c>
      <c r="E1489" s="361">
        <v>8.42</v>
      </c>
    </row>
    <row r="1490" spans="1:5">
      <c r="A1490" s="473">
        <v>38862</v>
      </c>
      <c r="B1490" s="473" t="s">
        <v>11150</v>
      </c>
      <c r="C1490" s="473" t="s">
        <v>40</v>
      </c>
      <c r="D1490" s="473" t="s">
        <v>47</v>
      </c>
      <c r="E1490" s="361">
        <v>7.1</v>
      </c>
    </row>
    <row r="1491" spans="1:5">
      <c r="A1491" s="473">
        <v>38863</v>
      </c>
      <c r="B1491" s="473" t="s">
        <v>11151</v>
      </c>
      <c r="C1491" s="473" t="s">
        <v>40</v>
      </c>
      <c r="D1491" s="473" t="s">
        <v>47</v>
      </c>
      <c r="E1491" s="361">
        <v>8.16</v>
      </c>
    </row>
    <row r="1492" spans="1:5">
      <c r="A1492" s="473">
        <v>38865</v>
      </c>
      <c r="B1492" s="473" t="s">
        <v>11152</v>
      </c>
      <c r="C1492" s="473" t="s">
        <v>40</v>
      </c>
      <c r="D1492" s="473" t="s">
        <v>47</v>
      </c>
      <c r="E1492" s="361">
        <v>11.08</v>
      </c>
    </row>
    <row r="1493" spans="1:5">
      <c r="A1493" s="473">
        <v>38864</v>
      </c>
      <c r="B1493" s="473" t="s">
        <v>11153</v>
      </c>
      <c r="C1493" s="473" t="s">
        <v>40</v>
      </c>
      <c r="D1493" s="473" t="s">
        <v>47</v>
      </c>
      <c r="E1493" s="361">
        <v>16.93</v>
      </c>
    </row>
    <row r="1494" spans="1:5">
      <c r="A1494" s="473">
        <v>38866</v>
      </c>
      <c r="B1494" s="473" t="s">
        <v>11154</v>
      </c>
      <c r="C1494" s="473" t="s">
        <v>40</v>
      </c>
      <c r="D1494" s="473" t="s">
        <v>47</v>
      </c>
      <c r="E1494" s="361">
        <v>11.92</v>
      </c>
    </row>
    <row r="1495" spans="1:5">
      <c r="A1495" s="473">
        <v>38868</v>
      </c>
      <c r="B1495" s="473" t="s">
        <v>11155</v>
      </c>
      <c r="C1495" s="473" t="s">
        <v>40</v>
      </c>
      <c r="D1495" s="473" t="s">
        <v>47</v>
      </c>
      <c r="E1495" s="361">
        <v>19.87</v>
      </c>
    </row>
    <row r="1496" spans="1:5">
      <c r="A1496" s="473">
        <v>38853</v>
      </c>
      <c r="B1496" s="473" t="s">
        <v>11156</v>
      </c>
      <c r="C1496" s="473" t="s">
        <v>40</v>
      </c>
      <c r="D1496" s="473" t="s">
        <v>47</v>
      </c>
      <c r="E1496" s="361">
        <v>6.42</v>
      </c>
    </row>
    <row r="1497" spans="1:5">
      <c r="A1497" s="473">
        <v>38854</v>
      </c>
      <c r="B1497" s="473" t="s">
        <v>11157</v>
      </c>
      <c r="C1497" s="473" t="s">
        <v>40</v>
      </c>
      <c r="D1497" s="473" t="s">
        <v>47</v>
      </c>
      <c r="E1497" s="361">
        <v>8.7799999999999994</v>
      </c>
    </row>
    <row r="1498" spans="1:5">
      <c r="A1498" s="473">
        <v>38855</v>
      </c>
      <c r="B1498" s="473" t="s">
        <v>11158</v>
      </c>
      <c r="C1498" s="473" t="s">
        <v>40</v>
      </c>
      <c r="D1498" s="473" t="s">
        <v>47</v>
      </c>
      <c r="E1498" s="361">
        <v>6.51</v>
      </c>
    </row>
    <row r="1499" spans="1:5">
      <c r="A1499" s="473">
        <v>38856</v>
      </c>
      <c r="B1499" s="473" t="s">
        <v>11159</v>
      </c>
      <c r="C1499" s="473" t="s">
        <v>40</v>
      </c>
      <c r="D1499" s="473" t="s">
        <v>47</v>
      </c>
      <c r="E1499" s="361">
        <v>10.45</v>
      </c>
    </row>
    <row r="1500" spans="1:5">
      <c r="A1500" s="473">
        <v>38857</v>
      </c>
      <c r="B1500" s="473" t="s">
        <v>11160</v>
      </c>
      <c r="C1500" s="473" t="s">
        <v>40</v>
      </c>
      <c r="D1500" s="473" t="s">
        <v>47</v>
      </c>
      <c r="E1500" s="361">
        <v>13.83</v>
      </c>
    </row>
    <row r="1501" spans="1:5">
      <c r="A1501" s="473">
        <v>38858</v>
      </c>
      <c r="B1501" s="473" t="s">
        <v>11161</v>
      </c>
      <c r="C1501" s="473" t="s">
        <v>40</v>
      </c>
      <c r="D1501" s="473" t="s">
        <v>47</v>
      </c>
      <c r="E1501" s="361">
        <v>12.57</v>
      </c>
    </row>
    <row r="1502" spans="1:5">
      <c r="A1502" s="473">
        <v>38859</v>
      </c>
      <c r="B1502" s="473" t="s">
        <v>11162</v>
      </c>
      <c r="C1502" s="473" t="s">
        <v>40</v>
      </c>
      <c r="D1502" s="473" t="s">
        <v>47</v>
      </c>
      <c r="E1502" s="361">
        <v>20.36</v>
      </c>
    </row>
    <row r="1503" spans="1:5">
      <c r="A1503" s="473">
        <v>1607</v>
      </c>
      <c r="B1503" s="473" t="s">
        <v>11163</v>
      </c>
      <c r="C1503" s="473" t="s">
        <v>59</v>
      </c>
      <c r="D1503" s="473" t="s">
        <v>41</v>
      </c>
      <c r="E1503" s="361">
        <v>0.14000000000000001</v>
      </c>
    </row>
    <row r="1504" spans="1:5">
      <c r="A1504" s="473">
        <v>11467</v>
      </c>
      <c r="B1504" s="473" t="s">
        <v>11164</v>
      </c>
      <c r="C1504" s="473" t="s">
        <v>40</v>
      </c>
      <c r="D1504" s="473" t="s">
        <v>41</v>
      </c>
      <c r="E1504" s="361">
        <v>15.09</v>
      </c>
    </row>
    <row r="1505" spans="1:5">
      <c r="A1505" s="473">
        <v>38169</v>
      </c>
      <c r="B1505" s="473" t="s">
        <v>11165</v>
      </c>
      <c r="C1505" s="473" t="s">
        <v>59</v>
      </c>
      <c r="D1505" s="473" t="s">
        <v>41</v>
      </c>
      <c r="E1505" s="361">
        <v>60.54</v>
      </c>
    </row>
    <row r="1506" spans="1:5">
      <c r="A1506" s="473">
        <v>6142</v>
      </c>
      <c r="B1506" s="473" t="s">
        <v>11166</v>
      </c>
      <c r="C1506" s="473" t="s">
        <v>40</v>
      </c>
      <c r="D1506" s="473" t="s">
        <v>41</v>
      </c>
      <c r="E1506" s="361">
        <v>5.24</v>
      </c>
    </row>
    <row r="1507" spans="1:5">
      <c r="A1507" s="473">
        <v>11686</v>
      </c>
      <c r="B1507" s="473" t="s">
        <v>11167</v>
      </c>
      <c r="C1507" s="473" t="s">
        <v>40</v>
      </c>
      <c r="D1507" s="473" t="s">
        <v>41</v>
      </c>
      <c r="E1507" s="361">
        <v>7.27</v>
      </c>
    </row>
    <row r="1508" spans="1:5">
      <c r="A1508" s="473">
        <v>37598</v>
      </c>
      <c r="B1508" s="473" t="s">
        <v>11168</v>
      </c>
      <c r="C1508" s="473" t="s">
        <v>40</v>
      </c>
      <c r="D1508" s="473" t="s">
        <v>47</v>
      </c>
      <c r="E1508" s="361">
        <v>18.899999999999999</v>
      </c>
    </row>
    <row r="1509" spans="1:5">
      <c r="A1509" s="473">
        <v>25398</v>
      </c>
      <c r="B1509" s="473" t="s">
        <v>11169</v>
      </c>
      <c r="C1509" s="473" t="s">
        <v>40</v>
      </c>
      <c r="D1509" s="473" t="s">
        <v>47</v>
      </c>
      <c r="E1509" s="361">
        <v>2386.66</v>
      </c>
    </row>
    <row r="1510" spans="1:5">
      <c r="A1510" s="473">
        <v>25399</v>
      </c>
      <c r="B1510" s="473" t="s">
        <v>11170</v>
      </c>
      <c r="C1510" s="473" t="s">
        <v>40</v>
      </c>
      <c r="D1510" s="473" t="s">
        <v>47</v>
      </c>
      <c r="E1510" s="361">
        <v>1448.91</v>
      </c>
    </row>
    <row r="1511" spans="1:5">
      <c r="A1511" s="473">
        <v>10667</v>
      </c>
      <c r="B1511" s="473" t="s">
        <v>11171</v>
      </c>
      <c r="C1511" s="473" t="s">
        <v>40</v>
      </c>
      <c r="D1511" s="473" t="s">
        <v>47</v>
      </c>
      <c r="E1511" s="361">
        <v>10343.5</v>
      </c>
    </row>
    <row r="1512" spans="1:5">
      <c r="A1512" s="473">
        <v>1613</v>
      </c>
      <c r="B1512" s="473" t="s">
        <v>11172</v>
      </c>
      <c r="C1512" s="473" t="s">
        <v>40</v>
      </c>
      <c r="D1512" s="473" t="s">
        <v>47</v>
      </c>
      <c r="E1512" s="361">
        <v>1260.26</v>
      </c>
    </row>
    <row r="1513" spans="1:5">
      <c r="A1513" s="473">
        <v>1626</v>
      </c>
      <c r="B1513" s="473" t="s">
        <v>11173</v>
      </c>
      <c r="C1513" s="473" t="s">
        <v>40</v>
      </c>
      <c r="D1513" s="473" t="s">
        <v>47</v>
      </c>
      <c r="E1513" s="361">
        <v>1884.87</v>
      </c>
    </row>
    <row r="1514" spans="1:5">
      <c r="A1514" s="473">
        <v>1625</v>
      </c>
      <c r="B1514" s="473" t="s">
        <v>11174</v>
      </c>
      <c r="C1514" s="473" t="s">
        <v>40</v>
      </c>
      <c r="D1514" s="473" t="s">
        <v>47</v>
      </c>
      <c r="E1514" s="361">
        <v>131.65</v>
      </c>
    </row>
    <row r="1515" spans="1:5">
      <c r="A1515" s="473">
        <v>1622</v>
      </c>
      <c r="B1515" s="473" t="s">
        <v>11175</v>
      </c>
      <c r="C1515" s="473" t="s">
        <v>40</v>
      </c>
      <c r="D1515" s="473" t="s">
        <v>47</v>
      </c>
      <c r="E1515" s="361">
        <v>4253.3900000000003</v>
      </c>
    </row>
    <row r="1516" spans="1:5">
      <c r="A1516" s="473">
        <v>1620</v>
      </c>
      <c r="B1516" s="473" t="s">
        <v>11176</v>
      </c>
      <c r="C1516" s="473" t="s">
        <v>40</v>
      </c>
      <c r="D1516" s="473" t="s">
        <v>47</v>
      </c>
      <c r="E1516" s="361">
        <v>277.33</v>
      </c>
    </row>
    <row r="1517" spans="1:5">
      <c r="A1517" s="473">
        <v>1629</v>
      </c>
      <c r="B1517" s="473" t="s">
        <v>11177</v>
      </c>
      <c r="C1517" s="473" t="s">
        <v>40</v>
      </c>
      <c r="D1517" s="473" t="s">
        <v>47</v>
      </c>
      <c r="E1517" s="361">
        <v>10351.73</v>
      </c>
    </row>
    <row r="1518" spans="1:5">
      <c r="A1518" s="473">
        <v>1627</v>
      </c>
      <c r="B1518" s="473" t="s">
        <v>11178</v>
      </c>
      <c r="C1518" s="473" t="s">
        <v>40</v>
      </c>
      <c r="D1518" s="473" t="s">
        <v>47</v>
      </c>
      <c r="E1518" s="361">
        <v>530.1</v>
      </c>
    </row>
    <row r="1519" spans="1:5">
      <c r="A1519" s="473">
        <v>1623</v>
      </c>
      <c r="B1519" s="473" t="s">
        <v>11179</v>
      </c>
      <c r="C1519" s="473" t="s">
        <v>40</v>
      </c>
      <c r="D1519" s="473" t="s">
        <v>47</v>
      </c>
      <c r="E1519" s="361">
        <v>107.36</v>
      </c>
    </row>
    <row r="1520" spans="1:5">
      <c r="A1520" s="473">
        <v>1619</v>
      </c>
      <c r="B1520" s="473" t="s">
        <v>11180</v>
      </c>
      <c r="C1520" s="473" t="s">
        <v>40</v>
      </c>
      <c r="D1520" s="473" t="s">
        <v>47</v>
      </c>
      <c r="E1520" s="361">
        <v>147.69</v>
      </c>
    </row>
    <row r="1521" spans="1:5">
      <c r="A1521" s="473">
        <v>1630</v>
      </c>
      <c r="B1521" s="473" t="s">
        <v>11181</v>
      </c>
      <c r="C1521" s="473" t="s">
        <v>40</v>
      </c>
      <c r="D1521" s="473" t="s">
        <v>47</v>
      </c>
      <c r="E1521" s="361">
        <v>3251.8</v>
      </c>
    </row>
    <row r="1522" spans="1:5">
      <c r="A1522" s="473">
        <v>1616</v>
      </c>
      <c r="B1522" s="473" t="s">
        <v>11182</v>
      </c>
      <c r="C1522" s="473" t="s">
        <v>40</v>
      </c>
      <c r="D1522" s="473" t="s">
        <v>47</v>
      </c>
      <c r="E1522" s="361">
        <v>5001.33</v>
      </c>
    </row>
    <row r="1523" spans="1:5">
      <c r="A1523" s="473">
        <v>1614</v>
      </c>
      <c r="B1523" s="473" t="s">
        <v>11183</v>
      </c>
      <c r="C1523" s="473" t="s">
        <v>40</v>
      </c>
      <c r="D1523" s="473" t="s">
        <v>47</v>
      </c>
      <c r="E1523" s="361">
        <v>228.58</v>
      </c>
    </row>
    <row r="1524" spans="1:5">
      <c r="A1524" s="473">
        <v>1617</v>
      </c>
      <c r="B1524" s="473" t="s">
        <v>11184</v>
      </c>
      <c r="C1524" s="473" t="s">
        <v>40</v>
      </c>
      <c r="D1524" s="473" t="s">
        <v>47</v>
      </c>
      <c r="E1524" s="361">
        <v>5970.5</v>
      </c>
    </row>
    <row r="1525" spans="1:5">
      <c r="A1525" s="473">
        <v>1621</v>
      </c>
      <c r="B1525" s="473" t="s">
        <v>11185</v>
      </c>
      <c r="C1525" s="473" t="s">
        <v>40</v>
      </c>
      <c r="D1525" s="473" t="s">
        <v>47</v>
      </c>
      <c r="E1525" s="361">
        <v>408.8</v>
      </c>
    </row>
    <row r="1526" spans="1:5">
      <c r="A1526" s="473">
        <v>1624</v>
      </c>
      <c r="B1526" s="473" t="s">
        <v>11186</v>
      </c>
      <c r="C1526" s="473" t="s">
        <v>40</v>
      </c>
      <c r="D1526" s="473" t="s">
        <v>47</v>
      </c>
      <c r="E1526" s="361">
        <v>14675.79</v>
      </c>
    </row>
    <row r="1527" spans="1:5">
      <c r="A1527" s="473">
        <v>1615</v>
      </c>
      <c r="B1527" s="473" t="s">
        <v>11187</v>
      </c>
      <c r="C1527" s="473" t="s">
        <v>40</v>
      </c>
      <c r="D1527" s="473" t="s">
        <v>47</v>
      </c>
      <c r="E1527" s="361">
        <v>767.67</v>
      </c>
    </row>
    <row r="1528" spans="1:5">
      <c r="A1528" s="473">
        <v>1612</v>
      </c>
      <c r="B1528" s="473" t="s">
        <v>11188</v>
      </c>
      <c r="C1528" s="473" t="s">
        <v>40</v>
      </c>
      <c r="D1528" s="473" t="s">
        <v>47</v>
      </c>
      <c r="E1528" s="361">
        <v>101.11</v>
      </c>
    </row>
    <row r="1529" spans="1:5">
      <c r="A1529" s="473">
        <v>1618</v>
      </c>
      <c r="B1529" s="473" t="s">
        <v>11189</v>
      </c>
      <c r="C1529" s="473" t="s">
        <v>40</v>
      </c>
      <c r="D1529" s="473" t="s">
        <v>47</v>
      </c>
      <c r="E1529" s="361">
        <v>1054.9000000000001</v>
      </c>
    </row>
    <row r="1530" spans="1:5">
      <c r="A1530" s="473">
        <v>14211</v>
      </c>
      <c r="B1530" s="473" t="s">
        <v>11190</v>
      </c>
      <c r="C1530" s="473" t="s">
        <v>40</v>
      </c>
      <c r="D1530" s="473" t="s">
        <v>41</v>
      </c>
      <c r="E1530" s="361">
        <v>32.49</v>
      </c>
    </row>
    <row r="1531" spans="1:5">
      <c r="A1531" s="473">
        <v>34500</v>
      </c>
      <c r="B1531" s="473" t="s">
        <v>11191</v>
      </c>
      <c r="C1531" s="473" t="s">
        <v>43</v>
      </c>
      <c r="D1531" s="473" t="s">
        <v>41</v>
      </c>
      <c r="E1531" s="361">
        <v>104.32</v>
      </c>
    </row>
    <row r="1532" spans="1:5">
      <c r="A1532" s="473">
        <v>40934</v>
      </c>
      <c r="B1532" s="473" t="s">
        <v>11192</v>
      </c>
      <c r="C1532" s="473" t="s">
        <v>53</v>
      </c>
      <c r="D1532" s="473" t="s">
        <v>41</v>
      </c>
      <c r="E1532" s="361">
        <v>18589.97</v>
      </c>
    </row>
    <row r="1533" spans="1:5">
      <c r="A1533" s="473">
        <v>5328</v>
      </c>
      <c r="B1533" s="473" t="s">
        <v>11193</v>
      </c>
      <c r="C1533" s="473" t="s">
        <v>40</v>
      </c>
      <c r="D1533" s="473" t="s">
        <v>41</v>
      </c>
      <c r="E1533" s="361">
        <v>3.64</v>
      </c>
    </row>
    <row r="1534" spans="1:5">
      <c r="A1534" s="473">
        <v>38200</v>
      </c>
      <c r="B1534" s="473" t="s">
        <v>11194</v>
      </c>
      <c r="C1534" s="473" t="s">
        <v>60</v>
      </c>
      <c r="D1534" s="473" t="s">
        <v>41</v>
      </c>
      <c r="E1534" s="361">
        <v>478.04</v>
      </c>
    </row>
    <row r="1535" spans="1:5">
      <c r="A1535" s="473">
        <v>39269</v>
      </c>
      <c r="B1535" s="473" t="s">
        <v>11195</v>
      </c>
      <c r="C1535" s="473" t="s">
        <v>48</v>
      </c>
      <c r="D1535" s="473" t="s">
        <v>41</v>
      </c>
      <c r="E1535" s="361">
        <v>0.89</v>
      </c>
    </row>
    <row r="1536" spans="1:5">
      <c r="A1536" s="473">
        <v>11889</v>
      </c>
      <c r="B1536" s="473" t="s">
        <v>11196</v>
      </c>
      <c r="C1536" s="473" t="s">
        <v>48</v>
      </c>
      <c r="D1536" s="473" t="s">
        <v>41</v>
      </c>
      <c r="E1536" s="361">
        <v>1.24</v>
      </c>
    </row>
    <row r="1537" spans="1:5">
      <c r="A1537" s="473">
        <v>39270</v>
      </c>
      <c r="B1537" s="473" t="s">
        <v>11197</v>
      </c>
      <c r="C1537" s="473" t="s">
        <v>48</v>
      </c>
      <c r="D1537" s="473" t="s">
        <v>41</v>
      </c>
      <c r="E1537" s="361">
        <v>1.48</v>
      </c>
    </row>
    <row r="1538" spans="1:5">
      <c r="A1538" s="473">
        <v>11890</v>
      </c>
      <c r="B1538" s="473" t="s">
        <v>11198</v>
      </c>
      <c r="C1538" s="473" t="s">
        <v>48</v>
      </c>
      <c r="D1538" s="473" t="s">
        <v>41</v>
      </c>
      <c r="E1538" s="361">
        <v>1.93</v>
      </c>
    </row>
    <row r="1539" spans="1:5">
      <c r="A1539" s="473">
        <v>11891</v>
      </c>
      <c r="B1539" s="473" t="s">
        <v>11199</v>
      </c>
      <c r="C1539" s="473" t="s">
        <v>48</v>
      </c>
      <c r="D1539" s="473" t="s">
        <v>41</v>
      </c>
      <c r="E1539" s="361">
        <v>3.19</v>
      </c>
    </row>
    <row r="1540" spans="1:5">
      <c r="A1540" s="473">
        <v>11892</v>
      </c>
      <c r="B1540" s="473" t="s">
        <v>11200</v>
      </c>
      <c r="C1540" s="473" t="s">
        <v>48</v>
      </c>
      <c r="D1540" s="473" t="s">
        <v>41</v>
      </c>
      <c r="E1540" s="361">
        <v>4.91</v>
      </c>
    </row>
    <row r="1541" spans="1:5">
      <c r="A1541" s="473">
        <v>37601</v>
      </c>
      <c r="B1541" s="473" t="s">
        <v>11201</v>
      </c>
      <c r="C1541" s="473" t="s">
        <v>48</v>
      </c>
      <c r="D1541" s="473" t="s">
        <v>47</v>
      </c>
      <c r="E1541" s="361">
        <v>4.2</v>
      </c>
    </row>
    <row r="1542" spans="1:5">
      <c r="A1542" s="473">
        <v>1634</v>
      </c>
      <c r="B1542" s="473" t="s">
        <v>11202</v>
      </c>
      <c r="C1542" s="473" t="s">
        <v>48</v>
      </c>
      <c r="D1542" s="473" t="s">
        <v>47</v>
      </c>
      <c r="E1542" s="361">
        <v>4.33</v>
      </c>
    </row>
    <row r="1543" spans="1:5">
      <c r="A1543" s="473">
        <v>5086</v>
      </c>
      <c r="B1543" s="473" t="s">
        <v>11203</v>
      </c>
      <c r="C1543" s="473" t="s">
        <v>49</v>
      </c>
      <c r="D1543" s="473" t="s">
        <v>41</v>
      </c>
      <c r="E1543" s="361">
        <v>25.06</v>
      </c>
    </row>
    <row r="1544" spans="1:5">
      <c r="A1544" s="473">
        <v>11280</v>
      </c>
      <c r="B1544" s="473" t="s">
        <v>11204</v>
      </c>
      <c r="C1544" s="473" t="s">
        <v>40</v>
      </c>
      <c r="D1544" s="473" t="s">
        <v>41</v>
      </c>
      <c r="E1544" s="361">
        <v>8287.9500000000007</v>
      </c>
    </row>
    <row r="1545" spans="1:5">
      <c r="A1545" s="473">
        <v>40519</v>
      </c>
      <c r="B1545" s="473" t="s">
        <v>11205</v>
      </c>
      <c r="C1545" s="473" t="s">
        <v>40</v>
      </c>
      <c r="D1545" s="473" t="s">
        <v>41</v>
      </c>
      <c r="E1545" s="361">
        <v>68323.06</v>
      </c>
    </row>
    <row r="1546" spans="1:5">
      <c r="A1546" s="473">
        <v>39869</v>
      </c>
      <c r="B1546" s="473" t="s">
        <v>11206</v>
      </c>
      <c r="C1546" s="473" t="s">
        <v>40</v>
      </c>
      <c r="D1546" s="473" t="s">
        <v>47</v>
      </c>
      <c r="E1546" s="361">
        <v>7.96</v>
      </c>
    </row>
    <row r="1547" spans="1:5">
      <c r="A1547" s="473">
        <v>39870</v>
      </c>
      <c r="B1547" s="473" t="s">
        <v>11207</v>
      </c>
      <c r="C1547" s="473" t="s">
        <v>40</v>
      </c>
      <c r="D1547" s="473" t="s">
        <v>47</v>
      </c>
      <c r="E1547" s="361">
        <v>12.17</v>
      </c>
    </row>
    <row r="1548" spans="1:5">
      <c r="A1548" s="473">
        <v>39871</v>
      </c>
      <c r="B1548" s="473" t="s">
        <v>11208</v>
      </c>
      <c r="C1548" s="473" t="s">
        <v>40</v>
      </c>
      <c r="D1548" s="473" t="s">
        <v>47</v>
      </c>
      <c r="E1548" s="361">
        <v>13.64</v>
      </c>
    </row>
    <row r="1549" spans="1:5">
      <c r="A1549" s="473">
        <v>12722</v>
      </c>
      <c r="B1549" s="473" t="s">
        <v>11209</v>
      </c>
      <c r="C1549" s="473" t="s">
        <v>40</v>
      </c>
      <c r="D1549" s="473" t="s">
        <v>47</v>
      </c>
      <c r="E1549" s="361">
        <v>456.68</v>
      </c>
    </row>
    <row r="1550" spans="1:5">
      <c r="A1550" s="473">
        <v>12714</v>
      </c>
      <c r="B1550" s="473" t="s">
        <v>11210</v>
      </c>
      <c r="C1550" s="473" t="s">
        <v>40</v>
      </c>
      <c r="D1550" s="473" t="s">
        <v>47</v>
      </c>
      <c r="E1550" s="361">
        <v>2.98</v>
      </c>
    </row>
    <row r="1551" spans="1:5">
      <c r="A1551" s="473">
        <v>12715</v>
      </c>
      <c r="B1551" s="473" t="s">
        <v>11211</v>
      </c>
      <c r="C1551" s="473" t="s">
        <v>40</v>
      </c>
      <c r="D1551" s="473" t="s">
        <v>47</v>
      </c>
      <c r="E1551" s="361">
        <v>6.73</v>
      </c>
    </row>
    <row r="1552" spans="1:5">
      <c r="A1552" s="473">
        <v>12716</v>
      </c>
      <c r="B1552" s="473" t="s">
        <v>11212</v>
      </c>
      <c r="C1552" s="473" t="s">
        <v>40</v>
      </c>
      <c r="D1552" s="473" t="s">
        <v>47</v>
      </c>
      <c r="E1552" s="361">
        <v>11.56</v>
      </c>
    </row>
    <row r="1553" spans="1:5">
      <c r="A1553" s="473">
        <v>12717</v>
      </c>
      <c r="B1553" s="473" t="s">
        <v>11213</v>
      </c>
      <c r="C1553" s="473" t="s">
        <v>40</v>
      </c>
      <c r="D1553" s="473" t="s">
        <v>47</v>
      </c>
      <c r="E1553" s="361">
        <v>22.72</v>
      </c>
    </row>
    <row r="1554" spans="1:5">
      <c r="A1554" s="473">
        <v>12718</v>
      </c>
      <c r="B1554" s="473" t="s">
        <v>11214</v>
      </c>
      <c r="C1554" s="473" t="s">
        <v>40</v>
      </c>
      <c r="D1554" s="473" t="s">
        <v>47</v>
      </c>
      <c r="E1554" s="361">
        <v>34.86</v>
      </c>
    </row>
    <row r="1555" spans="1:5">
      <c r="A1555" s="473">
        <v>12719</v>
      </c>
      <c r="B1555" s="473" t="s">
        <v>11215</v>
      </c>
      <c r="C1555" s="473" t="s">
        <v>40</v>
      </c>
      <c r="D1555" s="473" t="s">
        <v>47</v>
      </c>
      <c r="E1555" s="361">
        <v>55.35</v>
      </c>
    </row>
    <row r="1556" spans="1:5">
      <c r="A1556" s="473">
        <v>12720</v>
      </c>
      <c r="B1556" s="473" t="s">
        <v>11216</v>
      </c>
      <c r="C1556" s="473" t="s">
        <v>40</v>
      </c>
      <c r="D1556" s="473" t="s">
        <v>47</v>
      </c>
      <c r="E1556" s="361">
        <v>192.73</v>
      </c>
    </row>
    <row r="1557" spans="1:5">
      <c r="A1557" s="473">
        <v>12721</v>
      </c>
      <c r="B1557" s="473" t="s">
        <v>11217</v>
      </c>
      <c r="C1557" s="473" t="s">
        <v>40</v>
      </c>
      <c r="D1557" s="473" t="s">
        <v>47</v>
      </c>
      <c r="E1557" s="361">
        <v>184.81</v>
      </c>
    </row>
    <row r="1558" spans="1:5">
      <c r="A1558" s="473">
        <v>3468</v>
      </c>
      <c r="B1558" s="473" t="s">
        <v>11218</v>
      </c>
      <c r="C1558" s="473" t="s">
        <v>40</v>
      </c>
      <c r="D1558" s="473" t="s">
        <v>41</v>
      </c>
      <c r="E1558" s="361">
        <v>23.67</v>
      </c>
    </row>
    <row r="1559" spans="1:5">
      <c r="A1559" s="473">
        <v>3465</v>
      </c>
      <c r="B1559" s="473" t="s">
        <v>11219</v>
      </c>
      <c r="C1559" s="473" t="s">
        <v>40</v>
      </c>
      <c r="D1559" s="473" t="s">
        <v>41</v>
      </c>
      <c r="E1559" s="361">
        <v>23.66</v>
      </c>
    </row>
    <row r="1560" spans="1:5">
      <c r="A1560" s="473">
        <v>12403</v>
      </c>
      <c r="B1560" s="473" t="s">
        <v>11220</v>
      </c>
      <c r="C1560" s="473" t="s">
        <v>40</v>
      </c>
      <c r="D1560" s="473" t="s">
        <v>41</v>
      </c>
      <c r="E1560" s="361">
        <v>16.86</v>
      </c>
    </row>
    <row r="1561" spans="1:5">
      <c r="A1561" s="473">
        <v>3463</v>
      </c>
      <c r="B1561" s="473" t="s">
        <v>11221</v>
      </c>
      <c r="C1561" s="473" t="s">
        <v>40</v>
      </c>
      <c r="D1561" s="473" t="s">
        <v>41</v>
      </c>
      <c r="E1561" s="361">
        <v>9.85</v>
      </c>
    </row>
    <row r="1562" spans="1:5">
      <c r="A1562" s="473">
        <v>3464</v>
      </c>
      <c r="B1562" s="473" t="s">
        <v>11222</v>
      </c>
      <c r="C1562" s="473" t="s">
        <v>40</v>
      </c>
      <c r="D1562" s="473" t="s">
        <v>41</v>
      </c>
      <c r="E1562" s="361">
        <v>9.85</v>
      </c>
    </row>
    <row r="1563" spans="1:5">
      <c r="A1563" s="473">
        <v>3466</v>
      </c>
      <c r="B1563" s="473" t="s">
        <v>11223</v>
      </c>
      <c r="C1563" s="473" t="s">
        <v>40</v>
      </c>
      <c r="D1563" s="473" t="s">
        <v>41</v>
      </c>
      <c r="E1563" s="361">
        <v>60.1</v>
      </c>
    </row>
    <row r="1564" spans="1:5">
      <c r="A1564" s="473">
        <v>3467</v>
      </c>
      <c r="B1564" s="473" t="s">
        <v>11224</v>
      </c>
      <c r="C1564" s="473" t="s">
        <v>40</v>
      </c>
      <c r="D1564" s="473" t="s">
        <v>41</v>
      </c>
      <c r="E1564" s="361">
        <v>33.94</v>
      </c>
    </row>
    <row r="1565" spans="1:5">
      <c r="A1565" s="473">
        <v>3462</v>
      </c>
      <c r="B1565" s="473" t="s">
        <v>11225</v>
      </c>
      <c r="C1565" s="473" t="s">
        <v>40</v>
      </c>
      <c r="D1565" s="473" t="s">
        <v>41</v>
      </c>
      <c r="E1565" s="361">
        <v>6.5</v>
      </c>
    </row>
    <row r="1566" spans="1:5">
      <c r="A1566" s="473">
        <v>3446</v>
      </c>
      <c r="B1566" s="473" t="s">
        <v>11226</v>
      </c>
      <c r="C1566" s="473" t="s">
        <v>40</v>
      </c>
      <c r="D1566" s="473" t="s">
        <v>41</v>
      </c>
      <c r="E1566" s="361">
        <v>20.010000000000002</v>
      </c>
    </row>
    <row r="1567" spans="1:5">
      <c r="A1567" s="473">
        <v>3445</v>
      </c>
      <c r="B1567" s="473" t="s">
        <v>11227</v>
      </c>
      <c r="C1567" s="473" t="s">
        <v>40</v>
      </c>
      <c r="D1567" s="473" t="s">
        <v>41</v>
      </c>
      <c r="E1567" s="361">
        <v>16.329999999999998</v>
      </c>
    </row>
    <row r="1568" spans="1:5">
      <c r="A1568" s="473">
        <v>3441</v>
      </c>
      <c r="B1568" s="473" t="s">
        <v>11228</v>
      </c>
      <c r="C1568" s="473" t="s">
        <v>40</v>
      </c>
      <c r="D1568" s="473" t="s">
        <v>41</v>
      </c>
      <c r="E1568" s="361">
        <v>4.6100000000000003</v>
      </c>
    </row>
    <row r="1569" spans="1:5">
      <c r="A1569" s="473">
        <v>3444</v>
      </c>
      <c r="B1569" s="473" t="s">
        <v>11229</v>
      </c>
      <c r="C1569" s="473" t="s">
        <v>40</v>
      </c>
      <c r="D1569" s="473" t="s">
        <v>41</v>
      </c>
      <c r="E1569" s="361">
        <v>10.050000000000001</v>
      </c>
    </row>
    <row r="1570" spans="1:5">
      <c r="A1570" s="473">
        <v>12402</v>
      </c>
      <c r="B1570" s="473" t="s">
        <v>11230</v>
      </c>
      <c r="C1570" s="473" t="s">
        <v>40</v>
      </c>
      <c r="D1570" s="473" t="s">
        <v>41</v>
      </c>
      <c r="E1570" s="361">
        <v>56.25</v>
      </c>
    </row>
    <row r="1571" spans="1:5">
      <c r="A1571" s="473">
        <v>3447</v>
      </c>
      <c r="B1571" s="473" t="s">
        <v>11231</v>
      </c>
      <c r="C1571" s="473" t="s">
        <v>40</v>
      </c>
      <c r="D1571" s="473" t="s">
        <v>41</v>
      </c>
      <c r="E1571" s="361">
        <v>29.1</v>
      </c>
    </row>
    <row r="1572" spans="1:5">
      <c r="A1572" s="473">
        <v>3442</v>
      </c>
      <c r="B1572" s="473" t="s">
        <v>11232</v>
      </c>
      <c r="C1572" s="473" t="s">
        <v>40</v>
      </c>
      <c r="D1572" s="473" t="s">
        <v>41</v>
      </c>
      <c r="E1572" s="361">
        <v>6.89</v>
      </c>
    </row>
    <row r="1573" spans="1:5">
      <c r="A1573" s="473">
        <v>3448</v>
      </c>
      <c r="B1573" s="473" t="s">
        <v>11233</v>
      </c>
      <c r="C1573" s="473" t="s">
        <v>40</v>
      </c>
      <c r="D1573" s="473" t="s">
        <v>41</v>
      </c>
      <c r="E1573" s="361">
        <v>82.23</v>
      </c>
    </row>
    <row r="1574" spans="1:5">
      <c r="A1574" s="473">
        <v>3449</v>
      </c>
      <c r="B1574" s="473" t="s">
        <v>11234</v>
      </c>
      <c r="C1574" s="473" t="s">
        <v>40</v>
      </c>
      <c r="D1574" s="473" t="s">
        <v>41</v>
      </c>
      <c r="E1574" s="361">
        <v>144.09</v>
      </c>
    </row>
    <row r="1575" spans="1:5">
      <c r="A1575" s="473">
        <v>37438</v>
      </c>
      <c r="B1575" s="473" t="s">
        <v>11235</v>
      </c>
      <c r="C1575" s="473" t="s">
        <v>40</v>
      </c>
      <c r="D1575" s="473" t="s">
        <v>47</v>
      </c>
      <c r="E1575" s="361">
        <v>146.93</v>
      </c>
    </row>
    <row r="1576" spans="1:5">
      <c r="A1576" s="473">
        <v>37439</v>
      </c>
      <c r="B1576" s="473" t="s">
        <v>11236</v>
      </c>
      <c r="C1576" s="473" t="s">
        <v>40</v>
      </c>
      <c r="D1576" s="473" t="s">
        <v>47</v>
      </c>
      <c r="E1576" s="361">
        <v>960.63</v>
      </c>
    </row>
    <row r="1577" spans="1:5">
      <c r="A1577" s="473">
        <v>37435</v>
      </c>
      <c r="B1577" s="473" t="s">
        <v>11237</v>
      </c>
      <c r="C1577" s="473" t="s">
        <v>40</v>
      </c>
      <c r="D1577" s="473" t="s">
        <v>47</v>
      </c>
      <c r="E1577" s="361">
        <v>17.260000000000002</v>
      </c>
    </row>
    <row r="1578" spans="1:5">
      <c r="A1578" s="473">
        <v>37436</v>
      </c>
      <c r="B1578" s="473" t="s">
        <v>11238</v>
      </c>
      <c r="C1578" s="473" t="s">
        <v>40</v>
      </c>
      <c r="D1578" s="473" t="s">
        <v>47</v>
      </c>
      <c r="E1578" s="361">
        <v>20.38</v>
      </c>
    </row>
    <row r="1579" spans="1:5">
      <c r="A1579" s="473">
        <v>37437</v>
      </c>
      <c r="B1579" s="473" t="s">
        <v>11239</v>
      </c>
      <c r="C1579" s="473" t="s">
        <v>40</v>
      </c>
      <c r="D1579" s="473" t="s">
        <v>47</v>
      </c>
      <c r="E1579" s="361">
        <v>29.47</v>
      </c>
    </row>
    <row r="1580" spans="1:5">
      <c r="A1580" s="473">
        <v>3473</v>
      </c>
      <c r="B1580" s="473" t="s">
        <v>11240</v>
      </c>
      <c r="C1580" s="473" t="s">
        <v>40</v>
      </c>
      <c r="D1580" s="473" t="s">
        <v>41</v>
      </c>
      <c r="E1580" s="361">
        <v>22.62</v>
      </c>
    </row>
    <row r="1581" spans="1:5">
      <c r="A1581" s="473">
        <v>3474</v>
      </c>
      <c r="B1581" s="473" t="s">
        <v>11241</v>
      </c>
      <c r="C1581" s="473" t="s">
        <v>40</v>
      </c>
      <c r="D1581" s="473" t="s">
        <v>41</v>
      </c>
      <c r="E1581" s="361">
        <v>18.649999999999999</v>
      </c>
    </row>
    <row r="1582" spans="1:5">
      <c r="A1582" s="473">
        <v>3450</v>
      </c>
      <c r="B1582" s="473" t="s">
        <v>11242</v>
      </c>
      <c r="C1582" s="473" t="s">
        <v>40</v>
      </c>
      <c r="D1582" s="473" t="s">
        <v>41</v>
      </c>
      <c r="E1582" s="361">
        <v>5.4</v>
      </c>
    </row>
    <row r="1583" spans="1:5">
      <c r="A1583" s="473">
        <v>3443</v>
      </c>
      <c r="B1583" s="473" t="s">
        <v>11243</v>
      </c>
      <c r="C1583" s="473" t="s">
        <v>40</v>
      </c>
      <c r="D1583" s="473" t="s">
        <v>41</v>
      </c>
      <c r="E1583" s="361">
        <v>11.6</v>
      </c>
    </row>
    <row r="1584" spans="1:5">
      <c r="A1584" s="473">
        <v>3453</v>
      </c>
      <c r="B1584" s="473" t="s">
        <v>11244</v>
      </c>
      <c r="C1584" s="473" t="s">
        <v>40</v>
      </c>
      <c r="D1584" s="473" t="s">
        <v>41</v>
      </c>
      <c r="E1584" s="361">
        <v>66.040000000000006</v>
      </c>
    </row>
    <row r="1585" spans="1:5">
      <c r="A1585" s="473">
        <v>3452</v>
      </c>
      <c r="B1585" s="473" t="s">
        <v>11245</v>
      </c>
      <c r="C1585" s="473" t="s">
        <v>40</v>
      </c>
      <c r="D1585" s="473" t="s">
        <v>41</v>
      </c>
      <c r="E1585" s="361">
        <v>32.590000000000003</v>
      </c>
    </row>
    <row r="1586" spans="1:5">
      <c r="A1586" s="473">
        <v>3451</v>
      </c>
      <c r="B1586" s="473" t="s">
        <v>11246</v>
      </c>
      <c r="C1586" s="473" t="s">
        <v>40</v>
      </c>
      <c r="D1586" s="473" t="s">
        <v>41</v>
      </c>
      <c r="E1586" s="361">
        <v>6.46</v>
      </c>
    </row>
    <row r="1587" spans="1:5">
      <c r="A1587" s="473">
        <v>3454</v>
      </c>
      <c r="B1587" s="473" t="s">
        <v>11247</v>
      </c>
      <c r="C1587" s="473" t="s">
        <v>40</v>
      </c>
      <c r="D1587" s="473" t="s">
        <v>41</v>
      </c>
      <c r="E1587" s="361">
        <v>100.44</v>
      </c>
    </row>
    <row r="1588" spans="1:5">
      <c r="A1588" s="473">
        <v>3458</v>
      </c>
      <c r="B1588" s="473" t="s">
        <v>11248</v>
      </c>
      <c r="C1588" s="473" t="s">
        <v>40</v>
      </c>
      <c r="D1588" s="473" t="s">
        <v>41</v>
      </c>
      <c r="E1588" s="361">
        <v>18.13</v>
      </c>
    </row>
    <row r="1589" spans="1:5">
      <c r="A1589" s="473">
        <v>3457</v>
      </c>
      <c r="B1589" s="473" t="s">
        <v>11249</v>
      </c>
      <c r="C1589" s="473" t="s">
        <v>40</v>
      </c>
      <c r="D1589" s="473" t="s">
        <v>41</v>
      </c>
      <c r="E1589" s="361">
        <v>13.61</v>
      </c>
    </row>
    <row r="1590" spans="1:5">
      <c r="A1590" s="473">
        <v>3455</v>
      </c>
      <c r="B1590" s="473" t="s">
        <v>11250</v>
      </c>
      <c r="C1590" s="473" t="s">
        <v>40</v>
      </c>
      <c r="D1590" s="473" t="s">
        <v>41</v>
      </c>
      <c r="E1590" s="361">
        <v>3.86</v>
      </c>
    </row>
    <row r="1591" spans="1:5">
      <c r="A1591" s="473">
        <v>3472</v>
      </c>
      <c r="B1591" s="473" t="s">
        <v>11251</v>
      </c>
      <c r="C1591" s="473" t="s">
        <v>40</v>
      </c>
      <c r="D1591" s="473" t="s">
        <v>41</v>
      </c>
      <c r="E1591" s="361">
        <v>8.68</v>
      </c>
    </row>
    <row r="1592" spans="1:5">
      <c r="A1592" s="473">
        <v>3470</v>
      </c>
      <c r="B1592" s="473" t="s">
        <v>11252</v>
      </c>
      <c r="C1592" s="473" t="s">
        <v>40</v>
      </c>
      <c r="D1592" s="473" t="s">
        <v>41</v>
      </c>
      <c r="E1592" s="361">
        <v>50.64</v>
      </c>
    </row>
    <row r="1593" spans="1:5">
      <c r="A1593" s="473">
        <v>3471</v>
      </c>
      <c r="B1593" s="473" t="s">
        <v>11253</v>
      </c>
      <c r="C1593" s="473" t="s">
        <v>40</v>
      </c>
      <c r="D1593" s="473" t="s">
        <v>41</v>
      </c>
      <c r="E1593" s="361">
        <v>27.82</v>
      </c>
    </row>
    <row r="1594" spans="1:5">
      <c r="A1594" s="473">
        <v>3456</v>
      </c>
      <c r="B1594" s="473" t="s">
        <v>11254</v>
      </c>
      <c r="C1594" s="473" t="s">
        <v>40</v>
      </c>
      <c r="D1594" s="473" t="s">
        <v>41</v>
      </c>
      <c r="E1594" s="361">
        <v>5.78</v>
      </c>
    </row>
    <row r="1595" spans="1:5">
      <c r="A1595" s="473">
        <v>3459</v>
      </c>
      <c r="B1595" s="473" t="s">
        <v>11255</v>
      </c>
      <c r="C1595" s="473" t="s">
        <v>40</v>
      </c>
      <c r="D1595" s="473" t="s">
        <v>41</v>
      </c>
      <c r="E1595" s="361">
        <v>71.42</v>
      </c>
    </row>
    <row r="1596" spans="1:5">
      <c r="A1596" s="473">
        <v>3469</v>
      </c>
      <c r="B1596" s="473" t="s">
        <v>11256</v>
      </c>
      <c r="C1596" s="473" t="s">
        <v>40</v>
      </c>
      <c r="D1596" s="473" t="s">
        <v>41</v>
      </c>
      <c r="E1596" s="361">
        <v>135.83000000000001</v>
      </c>
    </row>
    <row r="1597" spans="1:5">
      <c r="A1597" s="473">
        <v>3460</v>
      </c>
      <c r="B1597" s="473" t="s">
        <v>11257</v>
      </c>
      <c r="C1597" s="473" t="s">
        <v>40</v>
      </c>
      <c r="D1597" s="473" t="s">
        <v>41</v>
      </c>
      <c r="E1597" s="361">
        <v>198.2</v>
      </c>
    </row>
    <row r="1598" spans="1:5">
      <c r="A1598" s="473">
        <v>3461</v>
      </c>
      <c r="B1598" s="473" t="s">
        <v>11258</v>
      </c>
      <c r="C1598" s="473" t="s">
        <v>40</v>
      </c>
      <c r="D1598" s="473" t="s">
        <v>41</v>
      </c>
      <c r="E1598" s="361">
        <v>506.6</v>
      </c>
    </row>
    <row r="1599" spans="1:5">
      <c r="A1599" s="473">
        <v>37433</v>
      </c>
      <c r="B1599" s="473" t="s">
        <v>11259</v>
      </c>
      <c r="C1599" s="473" t="s">
        <v>40</v>
      </c>
      <c r="D1599" s="473" t="s">
        <v>47</v>
      </c>
      <c r="E1599" s="361">
        <v>146.93</v>
      </c>
    </row>
    <row r="1600" spans="1:5">
      <c r="A1600" s="473">
        <v>37430</v>
      </c>
      <c r="B1600" s="473" t="s">
        <v>11260</v>
      </c>
      <c r="C1600" s="473" t="s">
        <v>40</v>
      </c>
      <c r="D1600" s="473" t="s">
        <v>47</v>
      </c>
      <c r="E1600" s="361">
        <v>18.41</v>
      </c>
    </row>
    <row r="1601" spans="1:5">
      <c r="A1601" s="473">
        <v>37434</v>
      </c>
      <c r="B1601" s="473" t="s">
        <v>11261</v>
      </c>
      <c r="C1601" s="473" t="s">
        <v>40</v>
      </c>
      <c r="D1601" s="473" t="s">
        <v>47</v>
      </c>
      <c r="E1601" s="361">
        <v>1369.99</v>
      </c>
    </row>
    <row r="1602" spans="1:5">
      <c r="A1602" s="473">
        <v>37431</v>
      </c>
      <c r="B1602" s="473" t="s">
        <v>11262</v>
      </c>
      <c r="C1602" s="473" t="s">
        <v>40</v>
      </c>
      <c r="D1602" s="473" t="s">
        <v>47</v>
      </c>
      <c r="E1602" s="361">
        <v>24.98</v>
      </c>
    </row>
    <row r="1603" spans="1:5">
      <c r="A1603" s="473">
        <v>37432</v>
      </c>
      <c r="B1603" s="473" t="s">
        <v>11263</v>
      </c>
      <c r="C1603" s="473" t="s">
        <v>40</v>
      </c>
      <c r="D1603" s="473" t="s">
        <v>47</v>
      </c>
      <c r="E1603" s="361">
        <v>46.07</v>
      </c>
    </row>
    <row r="1604" spans="1:5">
      <c r="A1604" s="473">
        <v>37413</v>
      </c>
      <c r="B1604" s="473" t="s">
        <v>11264</v>
      </c>
      <c r="C1604" s="473" t="s">
        <v>40</v>
      </c>
      <c r="D1604" s="473" t="s">
        <v>47</v>
      </c>
      <c r="E1604" s="361">
        <v>2.96</v>
      </c>
    </row>
    <row r="1605" spans="1:5">
      <c r="A1605" s="473">
        <v>37414</v>
      </c>
      <c r="B1605" s="473" t="s">
        <v>11265</v>
      </c>
      <c r="C1605" s="473" t="s">
        <v>40</v>
      </c>
      <c r="D1605" s="473" t="s">
        <v>47</v>
      </c>
      <c r="E1605" s="361">
        <v>3.36</v>
      </c>
    </row>
    <row r="1606" spans="1:5">
      <c r="A1606" s="473">
        <v>37415</v>
      </c>
      <c r="B1606" s="473" t="s">
        <v>11266</v>
      </c>
      <c r="C1606" s="473" t="s">
        <v>40</v>
      </c>
      <c r="D1606" s="473" t="s">
        <v>47</v>
      </c>
      <c r="E1606" s="361">
        <v>6.11</v>
      </c>
    </row>
    <row r="1607" spans="1:5">
      <c r="A1607" s="473">
        <v>37416</v>
      </c>
      <c r="B1607" s="473" t="s">
        <v>11267</v>
      </c>
      <c r="C1607" s="473" t="s">
        <v>40</v>
      </c>
      <c r="D1607" s="473" t="s">
        <v>47</v>
      </c>
      <c r="E1607" s="361">
        <v>2.77</v>
      </c>
    </row>
    <row r="1608" spans="1:5">
      <c r="A1608" s="473">
        <v>37417</v>
      </c>
      <c r="B1608" s="473" t="s">
        <v>11268</v>
      </c>
      <c r="C1608" s="473" t="s">
        <v>40</v>
      </c>
      <c r="D1608" s="473" t="s">
        <v>47</v>
      </c>
      <c r="E1608" s="361">
        <v>3.98</v>
      </c>
    </row>
    <row r="1609" spans="1:5">
      <c r="A1609" s="473">
        <v>3112</v>
      </c>
      <c r="B1609" s="473" t="s">
        <v>11269</v>
      </c>
      <c r="C1609" s="473" t="s">
        <v>59</v>
      </c>
      <c r="D1609" s="473" t="s">
        <v>41</v>
      </c>
      <c r="E1609" s="361">
        <v>50.64</v>
      </c>
    </row>
    <row r="1610" spans="1:5">
      <c r="A1610" s="473">
        <v>3113</v>
      </c>
      <c r="B1610" s="473" t="s">
        <v>11270</v>
      </c>
      <c r="C1610" s="473" t="s">
        <v>59</v>
      </c>
      <c r="D1610" s="473" t="s">
        <v>41</v>
      </c>
      <c r="E1610" s="361">
        <v>58.34</v>
      </c>
    </row>
    <row r="1611" spans="1:5">
      <c r="A1611" s="473">
        <v>3114</v>
      </c>
      <c r="B1611" s="473" t="s">
        <v>11271</v>
      </c>
      <c r="C1611" s="473" t="s">
        <v>40</v>
      </c>
      <c r="D1611" s="473" t="s">
        <v>41</v>
      </c>
      <c r="E1611" s="361">
        <v>26.36</v>
      </c>
    </row>
    <row r="1612" spans="1:5">
      <c r="A1612" s="473">
        <v>34519</v>
      </c>
      <c r="B1612" s="473" t="s">
        <v>11272</v>
      </c>
      <c r="C1612" s="473" t="s">
        <v>40</v>
      </c>
      <c r="D1612" s="473" t="s">
        <v>47</v>
      </c>
      <c r="E1612" s="361">
        <v>71.819999999999993</v>
      </c>
    </row>
    <row r="1613" spans="1:5">
      <c r="A1613" s="473">
        <v>10510</v>
      </c>
      <c r="B1613" s="473" t="s">
        <v>11273</v>
      </c>
      <c r="C1613" s="473" t="s">
        <v>40</v>
      </c>
      <c r="D1613" s="473" t="s">
        <v>47</v>
      </c>
      <c r="E1613" s="361">
        <v>70.92</v>
      </c>
    </row>
    <row r="1614" spans="1:5">
      <c r="A1614" s="473">
        <v>1649</v>
      </c>
      <c r="B1614" s="473" t="s">
        <v>11274</v>
      </c>
      <c r="C1614" s="473" t="s">
        <v>40</v>
      </c>
      <c r="D1614" s="473" t="s">
        <v>41</v>
      </c>
      <c r="E1614" s="361">
        <v>42.77</v>
      </c>
    </row>
    <row r="1615" spans="1:5">
      <c r="A1615" s="473">
        <v>1653</v>
      </c>
      <c r="B1615" s="473" t="s">
        <v>11275</v>
      </c>
      <c r="C1615" s="473" t="s">
        <v>40</v>
      </c>
      <c r="D1615" s="473" t="s">
        <v>41</v>
      </c>
      <c r="E1615" s="361">
        <v>33.5</v>
      </c>
    </row>
    <row r="1616" spans="1:5">
      <c r="A1616" s="473">
        <v>1647</v>
      </c>
      <c r="B1616" s="473" t="s">
        <v>11276</v>
      </c>
      <c r="C1616" s="473" t="s">
        <v>40</v>
      </c>
      <c r="D1616" s="473" t="s">
        <v>41</v>
      </c>
      <c r="E1616" s="361">
        <v>11.99</v>
      </c>
    </row>
    <row r="1617" spans="1:5">
      <c r="A1617" s="473">
        <v>1648</v>
      </c>
      <c r="B1617" s="473" t="s">
        <v>11277</v>
      </c>
      <c r="C1617" s="473" t="s">
        <v>40</v>
      </c>
      <c r="D1617" s="473" t="s">
        <v>41</v>
      </c>
      <c r="E1617" s="361">
        <v>23.03</v>
      </c>
    </row>
    <row r="1618" spans="1:5">
      <c r="A1618" s="473">
        <v>1651</v>
      </c>
      <c r="B1618" s="473" t="s">
        <v>11278</v>
      </c>
      <c r="C1618" s="473" t="s">
        <v>40</v>
      </c>
      <c r="D1618" s="473" t="s">
        <v>41</v>
      </c>
      <c r="E1618" s="361">
        <v>106.85</v>
      </c>
    </row>
    <row r="1619" spans="1:5">
      <c r="A1619" s="473">
        <v>1650</v>
      </c>
      <c r="B1619" s="473" t="s">
        <v>11279</v>
      </c>
      <c r="C1619" s="473" t="s">
        <v>40</v>
      </c>
      <c r="D1619" s="473" t="s">
        <v>41</v>
      </c>
      <c r="E1619" s="361">
        <v>59.06</v>
      </c>
    </row>
    <row r="1620" spans="1:5">
      <c r="A1620" s="473">
        <v>1654</v>
      </c>
      <c r="B1620" s="473" t="s">
        <v>11280</v>
      </c>
      <c r="C1620" s="473" t="s">
        <v>40</v>
      </c>
      <c r="D1620" s="473" t="s">
        <v>41</v>
      </c>
      <c r="E1620" s="361">
        <v>16.46</v>
      </c>
    </row>
    <row r="1621" spans="1:5">
      <c r="A1621" s="473">
        <v>1652</v>
      </c>
      <c r="B1621" s="473" t="s">
        <v>11281</v>
      </c>
      <c r="C1621" s="473" t="s">
        <v>40</v>
      </c>
      <c r="D1621" s="473" t="s">
        <v>41</v>
      </c>
      <c r="E1621" s="361">
        <v>153.36000000000001</v>
      </c>
    </row>
    <row r="1622" spans="1:5">
      <c r="A1622" s="473">
        <v>1747</v>
      </c>
      <c r="B1622" s="473" t="s">
        <v>11282</v>
      </c>
      <c r="C1622" s="473" t="s">
        <v>40</v>
      </c>
      <c r="D1622" s="473" t="s">
        <v>41</v>
      </c>
      <c r="E1622" s="361">
        <v>142.81</v>
      </c>
    </row>
    <row r="1623" spans="1:5">
      <c r="A1623" s="473">
        <v>1744</v>
      </c>
      <c r="B1623" s="473" t="s">
        <v>11283</v>
      </c>
      <c r="C1623" s="473" t="s">
        <v>40</v>
      </c>
      <c r="D1623" s="473" t="s">
        <v>41</v>
      </c>
      <c r="E1623" s="361">
        <v>98.91</v>
      </c>
    </row>
    <row r="1624" spans="1:5">
      <c r="A1624" s="473">
        <v>1743</v>
      </c>
      <c r="B1624" s="473" t="s">
        <v>11284</v>
      </c>
      <c r="C1624" s="473" t="s">
        <v>40</v>
      </c>
      <c r="D1624" s="473" t="s">
        <v>41</v>
      </c>
      <c r="E1624" s="361">
        <v>129.88999999999999</v>
      </c>
    </row>
    <row r="1625" spans="1:5">
      <c r="A1625" s="473">
        <v>7241</v>
      </c>
      <c r="B1625" s="473" t="s">
        <v>11285</v>
      </c>
      <c r="C1625" s="473" t="s">
        <v>46</v>
      </c>
      <c r="D1625" s="473" t="s">
        <v>47</v>
      </c>
      <c r="E1625" s="361">
        <v>55.13</v>
      </c>
    </row>
    <row r="1626" spans="1:5">
      <c r="A1626" s="473">
        <v>39640</v>
      </c>
      <c r="B1626" s="473" t="s">
        <v>11286</v>
      </c>
      <c r="C1626" s="473" t="s">
        <v>40</v>
      </c>
      <c r="D1626" s="473" t="s">
        <v>41</v>
      </c>
      <c r="E1626" s="361">
        <v>5.87</v>
      </c>
    </row>
    <row r="1627" spans="1:5">
      <c r="A1627" s="473">
        <v>11013</v>
      </c>
      <c r="B1627" s="473" t="s">
        <v>11287</v>
      </c>
      <c r="C1627" s="473" t="s">
        <v>40</v>
      </c>
      <c r="D1627" s="473" t="s">
        <v>41</v>
      </c>
      <c r="E1627" s="361">
        <v>12.08</v>
      </c>
    </row>
    <row r="1628" spans="1:5">
      <c r="A1628" s="473">
        <v>11017</v>
      </c>
      <c r="B1628" s="473" t="s">
        <v>11288</v>
      </c>
      <c r="C1628" s="473" t="s">
        <v>40</v>
      </c>
      <c r="D1628" s="473" t="s">
        <v>41</v>
      </c>
      <c r="E1628" s="361">
        <v>5.15</v>
      </c>
    </row>
    <row r="1629" spans="1:5">
      <c r="A1629" s="473">
        <v>20236</v>
      </c>
      <c r="B1629" s="473" t="s">
        <v>11289</v>
      </c>
      <c r="C1629" s="473" t="s">
        <v>40</v>
      </c>
      <c r="D1629" s="473" t="s">
        <v>41</v>
      </c>
      <c r="E1629" s="361">
        <v>22.7</v>
      </c>
    </row>
    <row r="1630" spans="1:5">
      <c r="A1630" s="473">
        <v>7215</v>
      </c>
      <c r="B1630" s="473" t="s">
        <v>11290</v>
      </c>
      <c r="C1630" s="473" t="s">
        <v>40</v>
      </c>
      <c r="D1630" s="473" t="s">
        <v>41</v>
      </c>
      <c r="E1630" s="361">
        <v>19.440000000000001</v>
      </c>
    </row>
    <row r="1631" spans="1:5">
      <c r="A1631" s="473">
        <v>7216</v>
      </c>
      <c r="B1631" s="473" t="s">
        <v>11291</v>
      </c>
      <c r="C1631" s="473" t="s">
        <v>40</v>
      </c>
      <c r="D1631" s="473" t="s">
        <v>41</v>
      </c>
      <c r="E1631" s="361">
        <v>81.25</v>
      </c>
    </row>
    <row r="1632" spans="1:5">
      <c r="A1632" s="473">
        <v>20235</v>
      </c>
      <c r="B1632" s="473" t="s">
        <v>11292</v>
      </c>
      <c r="C1632" s="473" t="s">
        <v>40</v>
      </c>
      <c r="D1632" s="473" t="s">
        <v>41</v>
      </c>
      <c r="E1632" s="361">
        <v>41.08</v>
      </c>
    </row>
    <row r="1633" spans="1:5">
      <c r="A1633" s="473">
        <v>7181</v>
      </c>
      <c r="B1633" s="473" t="s">
        <v>11293</v>
      </c>
      <c r="C1633" s="473" t="s">
        <v>40</v>
      </c>
      <c r="D1633" s="473" t="s">
        <v>41</v>
      </c>
      <c r="E1633" s="361">
        <v>3.21</v>
      </c>
    </row>
    <row r="1634" spans="1:5">
      <c r="A1634" s="473">
        <v>40866</v>
      </c>
      <c r="B1634" s="473" t="s">
        <v>11294</v>
      </c>
      <c r="C1634" s="473" t="s">
        <v>40</v>
      </c>
      <c r="D1634" s="473" t="s">
        <v>41</v>
      </c>
      <c r="E1634" s="361">
        <v>5.97</v>
      </c>
    </row>
    <row r="1635" spans="1:5">
      <c r="A1635" s="473">
        <v>7214</v>
      </c>
      <c r="B1635" s="473" t="s">
        <v>11295</v>
      </c>
      <c r="C1635" s="473" t="s">
        <v>40</v>
      </c>
      <c r="D1635" s="473" t="s">
        <v>41</v>
      </c>
      <c r="E1635" s="361">
        <v>27.83</v>
      </c>
    </row>
    <row r="1636" spans="1:5">
      <c r="A1636" s="473">
        <v>7219</v>
      </c>
      <c r="B1636" s="473" t="s">
        <v>11296</v>
      </c>
      <c r="C1636" s="473" t="s">
        <v>40</v>
      </c>
      <c r="D1636" s="473" t="s">
        <v>41</v>
      </c>
      <c r="E1636" s="361">
        <v>28.81</v>
      </c>
    </row>
    <row r="1637" spans="1:5">
      <c r="A1637" s="473">
        <v>37972</v>
      </c>
      <c r="B1637" s="473" t="s">
        <v>11297</v>
      </c>
      <c r="C1637" s="473" t="s">
        <v>40</v>
      </c>
      <c r="D1637" s="473" t="s">
        <v>41</v>
      </c>
      <c r="E1637" s="361">
        <v>3.42</v>
      </c>
    </row>
    <row r="1638" spans="1:5">
      <c r="A1638" s="473">
        <v>37973</v>
      </c>
      <c r="B1638" s="473" t="s">
        <v>11298</v>
      </c>
      <c r="C1638" s="473" t="s">
        <v>40</v>
      </c>
      <c r="D1638" s="473" t="s">
        <v>41</v>
      </c>
      <c r="E1638" s="361">
        <v>5.48</v>
      </c>
    </row>
    <row r="1639" spans="1:5">
      <c r="A1639" s="473">
        <v>37971</v>
      </c>
      <c r="B1639" s="473" t="s">
        <v>11299</v>
      </c>
      <c r="C1639" s="473" t="s">
        <v>40</v>
      </c>
      <c r="D1639" s="473" t="s">
        <v>41</v>
      </c>
      <c r="E1639" s="361">
        <v>2.0499999999999998</v>
      </c>
    </row>
    <row r="1640" spans="1:5">
      <c r="A1640" s="473">
        <v>20094</v>
      </c>
      <c r="B1640" s="473" t="s">
        <v>11300</v>
      </c>
      <c r="C1640" s="473" t="s">
        <v>40</v>
      </c>
      <c r="D1640" s="473" t="s">
        <v>47</v>
      </c>
      <c r="E1640" s="361">
        <v>15.96</v>
      </c>
    </row>
    <row r="1641" spans="1:5">
      <c r="A1641" s="473">
        <v>20095</v>
      </c>
      <c r="B1641" s="473" t="s">
        <v>11301</v>
      </c>
      <c r="C1641" s="473" t="s">
        <v>40</v>
      </c>
      <c r="D1641" s="473" t="s">
        <v>47</v>
      </c>
      <c r="E1641" s="361">
        <v>20.329999999999998</v>
      </c>
    </row>
    <row r="1642" spans="1:5">
      <c r="A1642" s="473">
        <v>1954</v>
      </c>
      <c r="B1642" s="473" t="s">
        <v>11302</v>
      </c>
      <c r="C1642" s="473" t="s">
        <v>40</v>
      </c>
      <c r="D1642" s="473" t="s">
        <v>41</v>
      </c>
      <c r="E1642" s="361">
        <v>94.51</v>
      </c>
    </row>
    <row r="1643" spans="1:5">
      <c r="A1643" s="473">
        <v>1926</v>
      </c>
      <c r="B1643" s="473" t="s">
        <v>11303</v>
      </c>
      <c r="C1643" s="473" t="s">
        <v>40</v>
      </c>
      <c r="D1643" s="473" t="s">
        <v>41</v>
      </c>
      <c r="E1643" s="361">
        <v>1.25</v>
      </c>
    </row>
    <row r="1644" spans="1:5">
      <c r="A1644" s="473">
        <v>1927</v>
      </c>
      <c r="B1644" s="473" t="s">
        <v>11304</v>
      </c>
      <c r="C1644" s="473" t="s">
        <v>40</v>
      </c>
      <c r="D1644" s="473" t="s">
        <v>41</v>
      </c>
      <c r="E1644" s="361">
        <v>1.64</v>
      </c>
    </row>
    <row r="1645" spans="1:5">
      <c r="A1645" s="473">
        <v>1923</v>
      </c>
      <c r="B1645" s="473" t="s">
        <v>11305</v>
      </c>
      <c r="C1645" s="473" t="s">
        <v>40</v>
      </c>
      <c r="D1645" s="473" t="s">
        <v>41</v>
      </c>
      <c r="E1645" s="361">
        <v>2.69</v>
      </c>
    </row>
    <row r="1646" spans="1:5">
      <c r="A1646" s="473">
        <v>1929</v>
      </c>
      <c r="B1646" s="473" t="s">
        <v>11306</v>
      </c>
      <c r="C1646" s="473" t="s">
        <v>40</v>
      </c>
      <c r="D1646" s="473" t="s">
        <v>41</v>
      </c>
      <c r="E1646" s="361">
        <v>4.41</v>
      </c>
    </row>
    <row r="1647" spans="1:5">
      <c r="A1647" s="473">
        <v>1930</v>
      </c>
      <c r="B1647" s="473" t="s">
        <v>11307</v>
      </c>
      <c r="C1647" s="473" t="s">
        <v>40</v>
      </c>
      <c r="D1647" s="473" t="s">
        <v>41</v>
      </c>
      <c r="E1647" s="361">
        <v>8.56</v>
      </c>
    </row>
    <row r="1648" spans="1:5">
      <c r="A1648" s="473">
        <v>1924</v>
      </c>
      <c r="B1648" s="473" t="s">
        <v>11308</v>
      </c>
      <c r="C1648" s="473" t="s">
        <v>40</v>
      </c>
      <c r="D1648" s="473" t="s">
        <v>41</v>
      </c>
      <c r="E1648" s="361">
        <v>14.75</v>
      </c>
    </row>
    <row r="1649" spans="1:5">
      <c r="A1649" s="473">
        <v>1922</v>
      </c>
      <c r="B1649" s="473" t="s">
        <v>11309</v>
      </c>
      <c r="C1649" s="473" t="s">
        <v>40</v>
      </c>
      <c r="D1649" s="473" t="s">
        <v>41</v>
      </c>
      <c r="E1649" s="361">
        <v>21.91</v>
      </c>
    </row>
    <row r="1650" spans="1:5">
      <c r="A1650" s="473">
        <v>1953</v>
      </c>
      <c r="B1650" s="473" t="s">
        <v>11310</v>
      </c>
      <c r="C1650" s="473" t="s">
        <v>40</v>
      </c>
      <c r="D1650" s="473" t="s">
        <v>41</v>
      </c>
      <c r="E1650" s="361">
        <v>38.29</v>
      </c>
    </row>
    <row r="1651" spans="1:5">
      <c r="A1651" s="473">
        <v>1962</v>
      </c>
      <c r="B1651" s="473" t="s">
        <v>11311</v>
      </c>
      <c r="C1651" s="473" t="s">
        <v>40</v>
      </c>
      <c r="D1651" s="473" t="s">
        <v>41</v>
      </c>
      <c r="E1651" s="361">
        <v>125.27</v>
      </c>
    </row>
    <row r="1652" spans="1:5">
      <c r="A1652" s="473">
        <v>1955</v>
      </c>
      <c r="B1652" s="473" t="s">
        <v>11312</v>
      </c>
      <c r="C1652" s="473" t="s">
        <v>40</v>
      </c>
      <c r="D1652" s="473" t="s">
        <v>41</v>
      </c>
      <c r="E1652" s="361">
        <v>1.65</v>
      </c>
    </row>
    <row r="1653" spans="1:5">
      <c r="A1653" s="473">
        <v>1956</v>
      </c>
      <c r="B1653" s="473" t="s">
        <v>11313</v>
      </c>
      <c r="C1653" s="473" t="s">
        <v>40</v>
      </c>
      <c r="D1653" s="473" t="s">
        <v>41</v>
      </c>
      <c r="E1653" s="361">
        <v>2.13</v>
      </c>
    </row>
    <row r="1654" spans="1:5">
      <c r="A1654" s="473">
        <v>1957</v>
      </c>
      <c r="B1654" s="473" t="s">
        <v>11314</v>
      </c>
      <c r="C1654" s="473" t="s">
        <v>40</v>
      </c>
      <c r="D1654" s="473" t="s">
        <v>41</v>
      </c>
      <c r="E1654" s="361">
        <v>4.8499999999999996</v>
      </c>
    </row>
    <row r="1655" spans="1:5">
      <c r="A1655" s="473">
        <v>1958</v>
      </c>
      <c r="B1655" s="473" t="s">
        <v>11315</v>
      </c>
      <c r="C1655" s="473" t="s">
        <v>40</v>
      </c>
      <c r="D1655" s="473" t="s">
        <v>41</v>
      </c>
      <c r="E1655" s="361">
        <v>8.6199999999999992</v>
      </c>
    </row>
    <row r="1656" spans="1:5">
      <c r="A1656" s="473">
        <v>1959</v>
      </c>
      <c r="B1656" s="473" t="s">
        <v>11316</v>
      </c>
      <c r="C1656" s="473" t="s">
        <v>40</v>
      </c>
      <c r="D1656" s="473" t="s">
        <v>41</v>
      </c>
      <c r="E1656" s="361">
        <v>10.51</v>
      </c>
    </row>
    <row r="1657" spans="1:5">
      <c r="A1657" s="473">
        <v>1925</v>
      </c>
      <c r="B1657" s="473" t="s">
        <v>11317</v>
      </c>
      <c r="C1657" s="473" t="s">
        <v>40</v>
      </c>
      <c r="D1657" s="473" t="s">
        <v>41</v>
      </c>
      <c r="E1657" s="361">
        <v>25.97</v>
      </c>
    </row>
    <row r="1658" spans="1:5">
      <c r="A1658" s="473">
        <v>1960</v>
      </c>
      <c r="B1658" s="473" t="s">
        <v>11318</v>
      </c>
      <c r="C1658" s="473" t="s">
        <v>40</v>
      </c>
      <c r="D1658" s="473" t="s">
        <v>41</v>
      </c>
      <c r="E1658" s="361">
        <v>36.93</v>
      </c>
    </row>
    <row r="1659" spans="1:5">
      <c r="A1659" s="473">
        <v>1961</v>
      </c>
      <c r="B1659" s="473" t="s">
        <v>11319</v>
      </c>
      <c r="C1659" s="473" t="s">
        <v>40</v>
      </c>
      <c r="D1659" s="473" t="s">
        <v>41</v>
      </c>
      <c r="E1659" s="361">
        <v>53.07</v>
      </c>
    </row>
    <row r="1660" spans="1:5">
      <c r="A1660" s="473">
        <v>38426</v>
      </c>
      <c r="B1660" s="473" t="s">
        <v>11320</v>
      </c>
      <c r="C1660" s="473" t="s">
        <v>40</v>
      </c>
      <c r="D1660" s="473" t="s">
        <v>41</v>
      </c>
      <c r="E1660" s="361">
        <v>14.78</v>
      </c>
    </row>
    <row r="1661" spans="1:5">
      <c r="A1661" s="473">
        <v>38423</v>
      </c>
      <c r="B1661" s="473" t="s">
        <v>11321</v>
      </c>
      <c r="C1661" s="473" t="s">
        <v>40</v>
      </c>
      <c r="D1661" s="473" t="s">
        <v>41</v>
      </c>
      <c r="E1661" s="361">
        <v>33.520000000000003</v>
      </c>
    </row>
    <row r="1662" spans="1:5">
      <c r="A1662" s="473">
        <v>38421</v>
      </c>
      <c r="B1662" s="473" t="s">
        <v>11322</v>
      </c>
      <c r="C1662" s="473" t="s">
        <v>40</v>
      </c>
      <c r="D1662" s="473" t="s">
        <v>41</v>
      </c>
      <c r="E1662" s="361">
        <v>15.82</v>
      </c>
    </row>
    <row r="1663" spans="1:5">
      <c r="A1663" s="473">
        <v>38422</v>
      </c>
      <c r="B1663" s="473" t="s">
        <v>11323</v>
      </c>
      <c r="C1663" s="473" t="s">
        <v>40</v>
      </c>
      <c r="D1663" s="473" t="s">
        <v>41</v>
      </c>
      <c r="E1663" s="361">
        <v>23.13</v>
      </c>
    </row>
    <row r="1664" spans="1:5">
      <c r="A1664" s="473">
        <v>39866</v>
      </c>
      <c r="B1664" s="473" t="s">
        <v>11324</v>
      </c>
      <c r="C1664" s="473" t="s">
        <v>40</v>
      </c>
      <c r="D1664" s="473" t="s">
        <v>47</v>
      </c>
      <c r="E1664" s="361">
        <v>10.54</v>
      </c>
    </row>
    <row r="1665" spans="1:5">
      <c r="A1665" s="473">
        <v>39867</v>
      </c>
      <c r="B1665" s="473" t="s">
        <v>11325</v>
      </c>
      <c r="C1665" s="473" t="s">
        <v>40</v>
      </c>
      <c r="D1665" s="473" t="s">
        <v>47</v>
      </c>
      <c r="E1665" s="361">
        <v>23.43</v>
      </c>
    </row>
    <row r="1666" spans="1:5">
      <c r="A1666" s="473">
        <v>39868</v>
      </c>
      <c r="B1666" s="473" t="s">
        <v>11326</v>
      </c>
      <c r="C1666" s="473" t="s">
        <v>40</v>
      </c>
      <c r="D1666" s="473" t="s">
        <v>47</v>
      </c>
      <c r="E1666" s="361">
        <v>42.22</v>
      </c>
    </row>
    <row r="1667" spans="1:5">
      <c r="A1667" s="473">
        <v>37999</v>
      </c>
      <c r="B1667" s="473" t="s">
        <v>11327</v>
      </c>
      <c r="C1667" s="473" t="s">
        <v>40</v>
      </c>
      <c r="D1667" s="473" t="s">
        <v>41</v>
      </c>
      <c r="E1667" s="361">
        <v>3.28</v>
      </c>
    </row>
    <row r="1668" spans="1:5">
      <c r="A1668" s="473">
        <v>38000</v>
      </c>
      <c r="B1668" s="473" t="s">
        <v>11328</v>
      </c>
      <c r="C1668" s="473" t="s">
        <v>40</v>
      </c>
      <c r="D1668" s="473" t="s">
        <v>41</v>
      </c>
      <c r="E1668" s="361">
        <v>4.34</v>
      </c>
    </row>
    <row r="1669" spans="1:5">
      <c r="A1669" s="473">
        <v>38129</v>
      </c>
      <c r="B1669" s="473" t="s">
        <v>11329</v>
      </c>
      <c r="C1669" s="473" t="s">
        <v>40</v>
      </c>
      <c r="D1669" s="473" t="s">
        <v>41</v>
      </c>
      <c r="E1669" s="361">
        <v>2.87</v>
      </c>
    </row>
    <row r="1670" spans="1:5">
      <c r="A1670" s="473">
        <v>38025</v>
      </c>
      <c r="B1670" s="473" t="s">
        <v>11330</v>
      </c>
      <c r="C1670" s="473" t="s">
        <v>40</v>
      </c>
      <c r="D1670" s="473" t="s">
        <v>41</v>
      </c>
      <c r="E1670" s="361">
        <v>4.79</v>
      </c>
    </row>
    <row r="1671" spans="1:5">
      <c r="A1671" s="473">
        <v>38026</v>
      </c>
      <c r="B1671" s="473" t="s">
        <v>11331</v>
      </c>
      <c r="C1671" s="473" t="s">
        <v>40</v>
      </c>
      <c r="D1671" s="473" t="s">
        <v>41</v>
      </c>
      <c r="E1671" s="361">
        <v>12.84</v>
      </c>
    </row>
    <row r="1672" spans="1:5">
      <c r="A1672" s="473">
        <v>1858</v>
      </c>
      <c r="B1672" s="473" t="s">
        <v>11332</v>
      </c>
      <c r="C1672" s="473" t="s">
        <v>40</v>
      </c>
      <c r="D1672" s="473" t="s">
        <v>47</v>
      </c>
      <c r="E1672" s="361">
        <v>22.35</v>
      </c>
    </row>
    <row r="1673" spans="1:5">
      <c r="A1673" s="473">
        <v>1844</v>
      </c>
      <c r="B1673" s="473" t="s">
        <v>11333</v>
      </c>
      <c r="C1673" s="473" t="s">
        <v>40</v>
      </c>
      <c r="D1673" s="473" t="s">
        <v>47</v>
      </c>
      <c r="E1673" s="361">
        <v>82.42</v>
      </c>
    </row>
    <row r="1674" spans="1:5">
      <c r="A1674" s="473">
        <v>1863</v>
      </c>
      <c r="B1674" s="473" t="s">
        <v>11334</v>
      </c>
      <c r="C1674" s="473" t="s">
        <v>40</v>
      </c>
      <c r="D1674" s="473" t="s">
        <v>47</v>
      </c>
      <c r="E1674" s="361">
        <v>32.44</v>
      </c>
    </row>
    <row r="1675" spans="1:5">
      <c r="A1675" s="473">
        <v>1865</v>
      </c>
      <c r="B1675" s="473" t="s">
        <v>11335</v>
      </c>
      <c r="C1675" s="473" t="s">
        <v>40</v>
      </c>
      <c r="D1675" s="473" t="s">
        <v>47</v>
      </c>
      <c r="E1675" s="361">
        <v>118.35</v>
      </c>
    </row>
    <row r="1676" spans="1:5">
      <c r="A1676" s="473">
        <v>36355</v>
      </c>
      <c r="B1676" s="473" t="s">
        <v>11336</v>
      </c>
      <c r="C1676" s="473" t="s">
        <v>40</v>
      </c>
      <c r="D1676" s="473" t="s">
        <v>47</v>
      </c>
      <c r="E1676" s="361">
        <v>4.2699999999999996</v>
      </c>
    </row>
    <row r="1677" spans="1:5">
      <c r="A1677" s="473">
        <v>36356</v>
      </c>
      <c r="B1677" s="473" t="s">
        <v>11337</v>
      </c>
      <c r="C1677" s="473" t="s">
        <v>40</v>
      </c>
      <c r="D1677" s="473" t="s">
        <v>47</v>
      </c>
      <c r="E1677" s="361">
        <v>7.18</v>
      </c>
    </row>
    <row r="1678" spans="1:5">
      <c r="A1678" s="473">
        <v>1932</v>
      </c>
      <c r="B1678" s="473" t="s">
        <v>11338</v>
      </c>
      <c r="C1678" s="473" t="s">
        <v>40</v>
      </c>
      <c r="D1678" s="473" t="s">
        <v>41</v>
      </c>
      <c r="E1678" s="361">
        <v>5.71</v>
      </c>
    </row>
    <row r="1679" spans="1:5">
      <c r="A1679" s="473">
        <v>1933</v>
      </c>
      <c r="B1679" s="473" t="s">
        <v>11339</v>
      </c>
      <c r="C1679" s="473" t="s">
        <v>40</v>
      </c>
      <c r="D1679" s="473" t="s">
        <v>41</v>
      </c>
      <c r="E1679" s="361">
        <v>2.5099999999999998</v>
      </c>
    </row>
    <row r="1680" spans="1:5">
      <c r="A1680" s="473">
        <v>1951</v>
      </c>
      <c r="B1680" s="473" t="s">
        <v>11340</v>
      </c>
      <c r="C1680" s="473" t="s">
        <v>40</v>
      </c>
      <c r="D1680" s="473" t="s">
        <v>41</v>
      </c>
      <c r="E1680" s="361">
        <v>11.17</v>
      </c>
    </row>
    <row r="1681" spans="1:5">
      <c r="A1681" s="473">
        <v>1966</v>
      </c>
      <c r="B1681" s="473" t="s">
        <v>11341</v>
      </c>
      <c r="C1681" s="473" t="s">
        <v>40</v>
      </c>
      <c r="D1681" s="473" t="s">
        <v>41</v>
      </c>
      <c r="E1681" s="361">
        <v>12.85</v>
      </c>
    </row>
    <row r="1682" spans="1:5">
      <c r="A1682" s="473">
        <v>1952</v>
      </c>
      <c r="B1682" s="473" t="s">
        <v>11342</v>
      </c>
      <c r="C1682" s="473" t="s">
        <v>40</v>
      </c>
      <c r="D1682" s="473" t="s">
        <v>41</v>
      </c>
      <c r="E1682" s="361">
        <v>48.27</v>
      </c>
    </row>
    <row r="1683" spans="1:5">
      <c r="A1683" s="473">
        <v>20104</v>
      </c>
      <c r="B1683" s="473" t="s">
        <v>11343</v>
      </c>
      <c r="C1683" s="473" t="s">
        <v>40</v>
      </c>
      <c r="D1683" s="473" t="s">
        <v>41</v>
      </c>
      <c r="E1683" s="361">
        <v>356.66</v>
      </c>
    </row>
    <row r="1684" spans="1:5">
      <c r="A1684" s="473">
        <v>20105</v>
      </c>
      <c r="B1684" s="473" t="s">
        <v>11344</v>
      </c>
      <c r="C1684" s="473" t="s">
        <v>40</v>
      </c>
      <c r="D1684" s="473" t="s">
        <v>41</v>
      </c>
      <c r="E1684" s="361">
        <v>555.54</v>
      </c>
    </row>
    <row r="1685" spans="1:5">
      <c r="A1685" s="473">
        <v>1965</v>
      </c>
      <c r="B1685" s="473" t="s">
        <v>11345</v>
      </c>
      <c r="C1685" s="473" t="s">
        <v>40</v>
      </c>
      <c r="D1685" s="473" t="s">
        <v>41</v>
      </c>
      <c r="E1685" s="361">
        <v>26.06</v>
      </c>
    </row>
    <row r="1686" spans="1:5">
      <c r="A1686" s="473">
        <v>10765</v>
      </c>
      <c r="B1686" s="473" t="s">
        <v>11346</v>
      </c>
      <c r="C1686" s="473" t="s">
        <v>40</v>
      </c>
      <c r="D1686" s="473" t="s">
        <v>41</v>
      </c>
      <c r="E1686" s="361">
        <v>6.58</v>
      </c>
    </row>
    <row r="1687" spans="1:5">
      <c r="A1687" s="473">
        <v>10767</v>
      </c>
      <c r="B1687" s="473" t="s">
        <v>11347</v>
      </c>
      <c r="C1687" s="473" t="s">
        <v>40</v>
      </c>
      <c r="D1687" s="473" t="s">
        <v>41</v>
      </c>
      <c r="E1687" s="361">
        <v>21.58</v>
      </c>
    </row>
    <row r="1688" spans="1:5">
      <c r="A1688" s="473">
        <v>1970</v>
      </c>
      <c r="B1688" s="473" t="s">
        <v>11348</v>
      </c>
      <c r="C1688" s="473" t="s">
        <v>40</v>
      </c>
      <c r="D1688" s="473" t="s">
        <v>41</v>
      </c>
      <c r="E1688" s="361">
        <v>27.04</v>
      </c>
    </row>
    <row r="1689" spans="1:5">
      <c r="A1689" s="473">
        <v>1967</v>
      </c>
      <c r="B1689" s="473" t="s">
        <v>11349</v>
      </c>
      <c r="C1689" s="473" t="s">
        <v>40</v>
      </c>
      <c r="D1689" s="473" t="s">
        <v>41</v>
      </c>
      <c r="E1689" s="361">
        <v>3.01</v>
      </c>
    </row>
    <row r="1690" spans="1:5">
      <c r="A1690" s="473">
        <v>1968</v>
      </c>
      <c r="B1690" s="473" t="s">
        <v>11350</v>
      </c>
      <c r="C1690" s="473" t="s">
        <v>40</v>
      </c>
      <c r="D1690" s="473" t="s">
        <v>41</v>
      </c>
      <c r="E1690" s="361">
        <v>6.3</v>
      </c>
    </row>
    <row r="1691" spans="1:5">
      <c r="A1691" s="473">
        <v>1969</v>
      </c>
      <c r="B1691" s="473" t="s">
        <v>11351</v>
      </c>
      <c r="C1691" s="473" t="s">
        <v>40</v>
      </c>
      <c r="D1691" s="473" t="s">
        <v>41</v>
      </c>
      <c r="E1691" s="361">
        <v>18.55</v>
      </c>
    </row>
    <row r="1692" spans="1:5">
      <c r="A1692" s="473">
        <v>1839</v>
      </c>
      <c r="B1692" s="473" t="s">
        <v>11352</v>
      </c>
      <c r="C1692" s="473" t="s">
        <v>40</v>
      </c>
      <c r="D1692" s="473" t="s">
        <v>47</v>
      </c>
      <c r="E1692" s="361">
        <v>101.72</v>
      </c>
    </row>
    <row r="1693" spans="1:5">
      <c r="A1693" s="473">
        <v>1835</v>
      </c>
      <c r="B1693" s="473" t="s">
        <v>11353</v>
      </c>
      <c r="C1693" s="473" t="s">
        <v>40</v>
      </c>
      <c r="D1693" s="473" t="s">
        <v>47</v>
      </c>
      <c r="E1693" s="361">
        <v>21.62</v>
      </c>
    </row>
    <row r="1694" spans="1:5">
      <c r="A1694" s="473">
        <v>1823</v>
      </c>
      <c r="B1694" s="473" t="s">
        <v>11354</v>
      </c>
      <c r="C1694" s="473" t="s">
        <v>40</v>
      </c>
      <c r="D1694" s="473" t="s">
        <v>47</v>
      </c>
      <c r="E1694" s="361">
        <v>41.81</v>
      </c>
    </row>
    <row r="1695" spans="1:5">
      <c r="A1695" s="473">
        <v>1827</v>
      </c>
      <c r="B1695" s="473" t="s">
        <v>11355</v>
      </c>
      <c r="C1695" s="473" t="s">
        <v>40</v>
      </c>
      <c r="D1695" s="473" t="s">
        <v>47</v>
      </c>
      <c r="E1695" s="361">
        <v>100.73</v>
      </c>
    </row>
    <row r="1696" spans="1:5">
      <c r="A1696" s="473">
        <v>1831</v>
      </c>
      <c r="B1696" s="473" t="s">
        <v>11356</v>
      </c>
      <c r="C1696" s="473" t="s">
        <v>40</v>
      </c>
      <c r="D1696" s="473" t="s">
        <v>47</v>
      </c>
      <c r="E1696" s="361">
        <v>21.99</v>
      </c>
    </row>
    <row r="1697" spans="1:5">
      <c r="A1697" s="473">
        <v>1825</v>
      </c>
      <c r="B1697" s="473" t="s">
        <v>11357</v>
      </c>
      <c r="C1697" s="473" t="s">
        <v>40</v>
      </c>
      <c r="D1697" s="473" t="s">
        <v>47</v>
      </c>
      <c r="E1697" s="361">
        <v>54.27</v>
      </c>
    </row>
    <row r="1698" spans="1:5">
      <c r="A1698" s="473">
        <v>1828</v>
      </c>
      <c r="B1698" s="473" t="s">
        <v>11358</v>
      </c>
      <c r="C1698" s="473" t="s">
        <v>40</v>
      </c>
      <c r="D1698" s="473" t="s">
        <v>47</v>
      </c>
      <c r="E1698" s="361">
        <v>122.92</v>
      </c>
    </row>
    <row r="1699" spans="1:5">
      <c r="A1699" s="473">
        <v>1845</v>
      </c>
      <c r="B1699" s="473" t="s">
        <v>11359</v>
      </c>
      <c r="C1699" s="473" t="s">
        <v>40</v>
      </c>
      <c r="D1699" s="473" t="s">
        <v>47</v>
      </c>
      <c r="E1699" s="361">
        <v>27.55</v>
      </c>
    </row>
    <row r="1700" spans="1:5">
      <c r="A1700" s="473">
        <v>1824</v>
      </c>
      <c r="B1700" s="473" t="s">
        <v>11360</v>
      </c>
      <c r="C1700" s="473" t="s">
        <v>40</v>
      </c>
      <c r="D1700" s="473" t="s">
        <v>47</v>
      </c>
      <c r="E1700" s="361">
        <v>65.06</v>
      </c>
    </row>
    <row r="1701" spans="1:5">
      <c r="A1701" s="473">
        <v>1941</v>
      </c>
      <c r="B1701" s="473" t="s">
        <v>11361</v>
      </c>
      <c r="C1701" s="473" t="s">
        <v>40</v>
      </c>
      <c r="D1701" s="473" t="s">
        <v>41</v>
      </c>
      <c r="E1701" s="361">
        <v>18.510000000000002</v>
      </c>
    </row>
    <row r="1702" spans="1:5">
      <c r="A1702" s="473">
        <v>1940</v>
      </c>
      <c r="B1702" s="473" t="s">
        <v>11362</v>
      </c>
      <c r="C1702" s="473" t="s">
        <v>40</v>
      </c>
      <c r="D1702" s="473" t="s">
        <v>41</v>
      </c>
      <c r="E1702" s="361">
        <v>13.99</v>
      </c>
    </row>
    <row r="1703" spans="1:5">
      <c r="A1703" s="473">
        <v>1937</v>
      </c>
      <c r="B1703" s="473" t="s">
        <v>11363</v>
      </c>
      <c r="C1703" s="473" t="s">
        <v>40</v>
      </c>
      <c r="D1703" s="473" t="s">
        <v>41</v>
      </c>
      <c r="E1703" s="361">
        <v>2.9</v>
      </c>
    </row>
    <row r="1704" spans="1:5">
      <c r="A1704" s="473">
        <v>1939</v>
      </c>
      <c r="B1704" s="473" t="s">
        <v>11364</v>
      </c>
      <c r="C1704" s="473" t="s">
        <v>40</v>
      </c>
      <c r="D1704" s="473" t="s">
        <v>41</v>
      </c>
      <c r="E1704" s="361">
        <v>5.75</v>
      </c>
    </row>
    <row r="1705" spans="1:5">
      <c r="A1705" s="473">
        <v>1942</v>
      </c>
      <c r="B1705" s="473" t="s">
        <v>11365</v>
      </c>
      <c r="C1705" s="473" t="s">
        <v>40</v>
      </c>
      <c r="D1705" s="473" t="s">
        <v>41</v>
      </c>
      <c r="E1705" s="361">
        <v>26.42</v>
      </c>
    </row>
    <row r="1706" spans="1:5">
      <c r="A1706" s="473">
        <v>1938</v>
      </c>
      <c r="B1706" s="473" t="s">
        <v>11366</v>
      </c>
      <c r="C1706" s="473" t="s">
        <v>40</v>
      </c>
      <c r="D1706" s="473" t="s">
        <v>41</v>
      </c>
      <c r="E1706" s="361">
        <v>3.68</v>
      </c>
    </row>
    <row r="1707" spans="1:5">
      <c r="A1707" s="473">
        <v>42692</v>
      </c>
      <c r="B1707" s="473" t="s">
        <v>11367</v>
      </c>
      <c r="C1707" s="473" t="s">
        <v>40</v>
      </c>
      <c r="D1707" s="473" t="s">
        <v>47</v>
      </c>
      <c r="E1707" s="361">
        <v>262.57</v>
      </c>
    </row>
    <row r="1708" spans="1:5">
      <c r="A1708" s="473">
        <v>42693</v>
      </c>
      <c r="B1708" s="473" t="s">
        <v>11368</v>
      </c>
      <c r="C1708" s="473" t="s">
        <v>40</v>
      </c>
      <c r="D1708" s="473" t="s">
        <v>47</v>
      </c>
      <c r="E1708" s="361">
        <v>431.92</v>
      </c>
    </row>
    <row r="1709" spans="1:5">
      <c r="A1709" s="473">
        <v>42695</v>
      </c>
      <c r="B1709" s="473" t="s">
        <v>11369</v>
      </c>
      <c r="C1709" s="473" t="s">
        <v>40</v>
      </c>
      <c r="D1709" s="473" t="s">
        <v>47</v>
      </c>
      <c r="E1709" s="361">
        <v>328.41</v>
      </c>
    </row>
    <row r="1710" spans="1:5">
      <c r="A1710" s="473">
        <v>42694</v>
      </c>
      <c r="B1710" s="473" t="s">
        <v>11370</v>
      </c>
      <c r="C1710" s="473" t="s">
        <v>40</v>
      </c>
      <c r="D1710" s="473" t="s">
        <v>47</v>
      </c>
      <c r="E1710" s="361">
        <v>485.51</v>
      </c>
    </row>
    <row r="1711" spans="1:5">
      <c r="A1711" s="473">
        <v>20097</v>
      </c>
      <c r="B1711" s="473" t="s">
        <v>11371</v>
      </c>
      <c r="C1711" s="473" t="s">
        <v>40</v>
      </c>
      <c r="D1711" s="473" t="s">
        <v>41</v>
      </c>
      <c r="E1711" s="361">
        <v>25.55</v>
      </c>
    </row>
    <row r="1712" spans="1:5">
      <c r="A1712" s="473">
        <v>20098</v>
      </c>
      <c r="B1712" s="473" t="s">
        <v>11372</v>
      </c>
      <c r="C1712" s="473" t="s">
        <v>40</v>
      </c>
      <c r="D1712" s="473" t="s">
        <v>41</v>
      </c>
      <c r="E1712" s="361">
        <v>86.15</v>
      </c>
    </row>
    <row r="1713" spans="1:5">
      <c r="A1713" s="473">
        <v>20096</v>
      </c>
      <c r="B1713" s="473" t="s">
        <v>11373</v>
      </c>
      <c r="C1713" s="473" t="s">
        <v>40</v>
      </c>
      <c r="D1713" s="473" t="s">
        <v>41</v>
      </c>
      <c r="E1713" s="361">
        <v>16.72</v>
      </c>
    </row>
    <row r="1714" spans="1:5">
      <c r="A1714" s="473">
        <v>1964</v>
      </c>
      <c r="B1714" s="473" t="s">
        <v>11374</v>
      </c>
      <c r="C1714" s="473" t="s">
        <v>40</v>
      </c>
      <c r="D1714" s="473" t="s">
        <v>41</v>
      </c>
      <c r="E1714" s="361">
        <v>15.45</v>
      </c>
    </row>
    <row r="1715" spans="1:5">
      <c r="A1715" s="473">
        <v>1880</v>
      </c>
      <c r="B1715" s="473" t="s">
        <v>11375</v>
      </c>
      <c r="C1715" s="473" t="s">
        <v>40</v>
      </c>
      <c r="D1715" s="473" t="s">
        <v>41</v>
      </c>
      <c r="E1715" s="361">
        <v>2.11</v>
      </c>
    </row>
    <row r="1716" spans="1:5">
      <c r="A1716" s="473">
        <v>39274</v>
      </c>
      <c r="B1716" s="473" t="s">
        <v>11376</v>
      </c>
      <c r="C1716" s="473" t="s">
        <v>40</v>
      </c>
      <c r="D1716" s="473" t="s">
        <v>41</v>
      </c>
      <c r="E1716" s="361">
        <v>1.64</v>
      </c>
    </row>
    <row r="1717" spans="1:5">
      <c r="A1717" s="473">
        <v>2628</v>
      </c>
      <c r="B1717" s="473" t="s">
        <v>11377</v>
      </c>
      <c r="C1717" s="473" t="s">
        <v>40</v>
      </c>
      <c r="D1717" s="473" t="s">
        <v>47</v>
      </c>
      <c r="E1717" s="361">
        <v>197.89</v>
      </c>
    </row>
    <row r="1718" spans="1:5">
      <c r="A1718" s="473">
        <v>2622</v>
      </c>
      <c r="B1718" s="473" t="s">
        <v>11378</v>
      </c>
      <c r="C1718" s="473" t="s">
        <v>40</v>
      </c>
      <c r="D1718" s="473" t="s">
        <v>47</v>
      </c>
      <c r="E1718" s="361">
        <v>4.7</v>
      </c>
    </row>
    <row r="1719" spans="1:5">
      <c r="A1719" s="473">
        <v>2623</v>
      </c>
      <c r="B1719" s="473" t="s">
        <v>11379</v>
      </c>
      <c r="C1719" s="473" t="s">
        <v>40</v>
      </c>
      <c r="D1719" s="473" t="s">
        <v>47</v>
      </c>
      <c r="E1719" s="361">
        <v>5.65</v>
      </c>
    </row>
    <row r="1720" spans="1:5">
      <c r="A1720" s="473">
        <v>2624</v>
      </c>
      <c r="B1720" s="473" t="s">
        <v>11380</v>
      </c>
      <c r="C1720" s="473" t="s">
        <v>40</v>
      </c>
      <c r="D1720" s="473" t="s">
        <v>47</v>
      </c>
      <c r="E1720" s="361">
        <v>8.99</v>
      </c>
    </row>
    <row r="1721" spans="1:5">
      <c r="A1721" s="473">
        <v>2625</v>
      </c>
      <c r="B1721" s="473" t="s">
        <v>11381</v>
      </c>
      <c r="C1721" s="473" t="s">
        <v>40</v>
      </c>
      <c r="D1721" s="473" t="s">
        <v>47</v>
      </c>
      <c r="E1721" s="361">
        <v>18.989999999999998</v>
      </c>
    </row>
    <row r="1722" spans="1:5">
      <c r="A1722" s="473">
        <v>2626</v>
      </c>
      <c r="B1722" s="473" t="s">
        <v>11382</v>
      </c>
      <c r="C1722" s="473" t="s">
        <v>40</v>
      </c>
      <c r="D1722" s="473" t="s">
        <v>47</v>
      </c>
      <c r="E1722" s="361">
        <v>27.82</v>
      </c>
    </row>
    <row r="1723" spans="1:5">
      <c r="A1723" s="473">
        <v>2630</v>
      </c>
      <c r="B1723" s="473" t="s">
        <v>11383</v>
      </c>
      <c r="C1723" s="473" t="s">
        <v>40</v>
      </c>
      <c r="D1723" s="473" t="s">
        <v>47</v>
      </c>
      <c r="E1723" s="361">
        <v>42.31</v>
      </c>
    </row>
    <row r="1724" spans="1:5">
      <c r="A1724" s="473">
        <v>2627</v>
      </c>
      <c r="B1724" s="473" t="s">
        <v>11384</v>
      </c>
      <c r="C1724" s="473" t="s">
        <v>40</v>
      </c>
      <c r="D1724" s="473" t="s">
        <v>47</v>
      </c>
      <c r="E1724" s="361">
        <v>74.540000000000006</v>
      </c>
    </row>
    <row r="1725" spans="1:5">
      <c r="A1725" s="473">
        <v>2629</v>
      </c>
      <c r="B1725" s="473" t="s">
        <v>11385</v>
      </c>
      <c r="C1725" s="473" t="s">
        <v>40</v>
      </c>
      <c r="D1725" s="473" t="s">
        <v>47</v>
      </c>
      <c r="E1725" s="361">
        <v>100.82</v>
      </c>
    </row>
    <row r="1726" spans="1:5">
      <c r="A1726" s="473">
        <v>12033</v>
      </c>
      <c r="B1726" s="473" t="s">
        <v>11386</v>
      </c>
      <c r="C1726" s="473" t="s">
        <v>40</v>
      </c>
      <c r="D1726" s="473" t="s">
        <v>41</v>
      </c>
      <c r="E1726" s="361">
        <v>6.75</v>
      </c>
    </row>
    <row r="1727" spans="1:5">
      <c r="A1727" s="473">
        <v>40408</v>
      </c>
      <c r="B1727" s="473" t="s">
        <v>11387</v>
      </c>
      <c r="C1727" s="473" t="s">
        <v>40</v>
      </c>
      <c r="D1727" s="473" t="s">
        <v>41</v>
      </c>
      <c r="E1727" s="361">
        <v>4.43</v>
      </c>
    </row>
    <row r="1728" spans="1:5">
      <c r="A1728" s="473">
        <v>40409</v>
      </c>
      <c r="B1728" s="473" t="s">
        <v>11388</v>
      </c>
      <c r="C1728" s="473" t="s">
        <v>40</v>
      </c>
      <c r="D1728" s="473" t="s">
        <v>41</v>
      </c>
      <c r="E1728" s="361">
        <v>1.57</v>
      </c>
    </row>
    <row r="1729" spans="1:5">
      <c r="A1729" s="473">
        <v>39276</v>
      </c>
      <c r="B1729" s="473" t="s">
        <v>11389</v>
      </c>
      <c r="C1729" s="473" t="s">
        <v>40</v>
      </c>
      <c r="D1729" s="473" t="s">
        <v>41</v>
      </c>
      <c r="E1729" s="361">
        <v>3.99</v>
      </c>
    </row>
    <row r="1730" spans="1:5">
      <c r="A1730" s="473">
        <v>39277</v>
      </c>
      <c r="B1730" s="473" t="s">
        <v>11390</v>
      </c>
      <c r="C1730" s="473" t="s">
        <v>40</v>
      </c>
      <c r="D1730" s="473" t="s">
        <v>41</v>
      </c>
      <c r="E1730" s="361">
        <v>10.79</v>
      </c>
    </row>
    <row r="1731" spans="1:5">
      <c r="A1731" s="473">
        <v>12034</v>
      </c>
      <c r="B1731" s="473" t="s">
        <v>11391</v>
      </c>
      <c r="C1731" s="473" t="s">
        <v>40</v>
      </c>
      <c r="D1731" s="473" t="s">
        <v>41</v>
      </c>
      <c r="E1731" s="361">
        <v>3.06</v>
      </c>
    </row>
    <row r="1732" spans="1:5">
      <c r="A1732" s="473">
        <v>39879</v>
      </c>
      <c r="B1732" s="473" t="s">
        <v>11392</v>
      </c>
      <c r="C1732" s="473" t="s">
        <v>40</v>
      </c>
      <c r="D1732" s="473" t="s">
        <v>47</v>
      </c>
      <c r="E1732" s="361">
        <v>2.96</v>
      </c>
    </row>
    <row r="1733" spans="1:5">
      <c r="A1733" s="473">
        <v>39880</v>
      </c>
      <c r="B1733" s="473" t="s">
        <v>11393</v>
      </c>
      <c r="C1733" s="473" t="s">
        <v>40</v>
      </c>
      <c r="D1733" s="473" t="s">
        <v>47</v>
      </c>
      <c r="E1733" s="361">
        <v>6.56</v>
      </c>
    </row>
    <row r="1734" spans="1:5">
      <c r="A1734" s="473">
        <v>39881</v>
      </c>
      <c r="B1734" s="473" t="s">
        <v>11394</v>
      </c>
      <c r="C1734" s="473" t="s">
        <v>40</v>
      </c>
      <c r="D1734" s="473" t="s">
        <v>47</v>
      </c>
      <c r="E1734" s="361">
        <v>10.53</v>
      </c>
    </row>
    <row r="1735" spans="1:5">
      <c r="A1735" s="473">
        <v>39882</v>
      </c>
      <c r="B1735" s="473" t="s">
        <v>11395</v>
      </c>
      <c r="C1735" s="473" t="s">
        <v>40</v>
      </c>
      <c r="D1735" s="473" t="s">
        <v>47</v>
      </c>
      <c r="E1735" s="361">
        <v>27.74</v>
      </c>
    </row>
    <row r="1736" spans="1:5">
      <c r="A1736" s="473">
        <v>39883</v>
      </c>
      <c r="B1736" s="473" t="s">
        <v>11396</v>
      </c>
      <c r="C1736" s="473" t="s">
        <v>40</v>
      </c>
      <c r="D1736" s="473" t="s">
        <v>47</v>
      </c>
      <c r="E1736" s="361">
        <v>44.3</v>
      </c>
    </row>
    <row r="1737" spans="1:5">
      <c r="A1737" s="473">
        <v>39884</v>
      </c>
      <c r="B1737" s="473" t="s">
        <v>11397</v>
      </c>
      <c r="C1737" s="473" t="s">
        <v>40</v>
      </c>
      <c r="D1737" s="473" t="s">
        <v>47</v>
      </c>
      <c r="E1737" s="361">
        <v>65.8</v>
      </c>
    </row>
    <row r="1738" spans="1:5">
      <c r="A1738" s="473">
        <v>39885</v>
      </c>
      <c r="B1738" s="473" t="s">
        <v>11398</v>
      </c>
      <c r="C1738" s="473" t="s">
        <v>40</v>
      </c>
      <c r="D1738" s="473" t="s">
        <v>47</v>
      </c>
      <c r="E1738" s="361">
        <v>156.38999999999999</v>
      </c>
    </row>
    <row r="1739" spans="1:5">
      <c r="A1739" s="473">
        <v>1777</v>
      </c>
      <c r="B1739" s="473" t="s">
        <v>11399</v>
      </c>
      <c r="C1739" s="473" t="s">
        <v>40</v>
      </c>
      <c r="D1739" s="473" t="s">
        <v>41</v>
      </c>
      <c r="E1739" s="361">
        <v>46.11</v>
      </c>
    </row>
    <row r="1740" spans="1:5">
      <c r="A1740" s="473">
        <v>1819</v>
      </c>
      <c r="B1740" s="473" t="s">
        <v>11400</v>
      </c>
      <c r="C1740" s="473" t="s">
        <v>40</v>
      </c>
      <c r="D1740" s="473" t="s">
        <v>41</v>
      </c>
      <c r="E1740" s="361">
        <v>33.549999999999997</v>
      </c>
    </row>
    <row r="1741" spans="1:5">
      <c r="A1741" s="473">
        <v>1775</v>
      </c>
      <c r="B1741" s="473" t="s">
        <v>11401</v>
      </c>
      <c r="C1741" s="473" t="s">
        <v>40</v>
      </c>
      <c r="D1741" s="473" t="s">
        <v>41</v>
      </c>
      <c r="E1741" s="361">
        <v>10.029999999999999</v>
      </c>
    </row>
    <row r="1742" spans="1:5">
      <c r="A1742" s="473">
        <v>1776</v>
      </c>
      <c r="B1742" s="473" t="s">
        <v>11402</v>
      </c>
      <c r="C1742" s="473" t="s">
        <v>40</v>
      </c>
      <c r="D1742" s="473" t="s">
        <v>41</v>
      </c>
      <c r="E1742" s="361">
        <v>27.29</v>
      </c>
    </row>
    <row r="1743" spans="1:5">
      <c r="A1743" s="473">
        <v>1778</v>
      </c>
      <c r="B1743" s="473" t="s">
        <v>11403</v>
      </c>
      <c r="C1743" s="473" t="s">
        <v>40</v>
      </c>
      <c r="D1743" s="473" t="s">
        <v>41</v>
      </c>
      <c r="E1743" s="361">
        <v>111.62</v>
      </c>
    </row>
    <row r="1744" spans="1:5">
      <c r="A1744" s="473">
        <v>1818</v>
      </c>
      <c r="B1744" s="473" t="s">
        <v>11404</v>
      </c>
      <c r="C1744" s="473" t="s">
        <v>40</v>
      </c>
      <c r="D1744" s="473" t="s">
        <v>41</v>
      </c>
      <c r="E1744" s="361">
        <v>74.09</v>
      </c>
    </row>
    <row r="1745" spans="1:5">
      <c r="A1745" s="473">
        <v>1820</v>
      </c>
      <c r="B1745" s="473" t="s">
        <v>11405</v>
      </c>
      <c r="C1745" s="473" t="s">
        <v>40</v>
      </c>
      <c r="D1745" s="473" t="s">
        <v>41</v>
      </c>
      <c r="E1745" s="361">
        <v>14.49</v>
      </c>
    </row>
    <row r="1746" spans="1:5">
      <c r="A1746" s="473">
        <v>1779</v>
      </c>
      <c r="B1746" s="473" t="s">
        <v>11406</v>
      </c>
      <c r="C1746" s="473" t="s">
        <v>40</v>
      </c>
      <c r="D1746" s="473" t="s">
        <v>41</v>
      </c>
      <c r="E1746" s="361">
        <v>162.33000000000001</v>
      </c>
    </row>
    <row r="1747" spans="1:5">
      <c r="A1747" s="473">
        <v>1780</v>
      </c>
      <c r="B1747" s="473" t="s">
        <v>11407</v>
      </c>
      <c r="C1747" s="473" t="s">
        <v>40</v>
      </c>
      <c r="D1747" s="473" t="s">
        <v>41</v>
      </c>
      <c r="E1747" s="361">
        <v>334.65</v>
      </c>
    </row>
    <row r="1748" spans="1:5">
      <c r="A1748" s="473">
        <v>1783</v>
      </c>
      <c r="B1748" s="473" t="s">
        <v>11408</v>
      </c>
      <c r="C1748" s="473" t="s">
        <v>40</v>
      </c>
      <c r="D1748" s="473" t="s">
        <v>41</v>
      </c>
      <c r="E1748" s="361">
        <v>35.380000000000003</v>
      </c>
    </row>
    <row r="1749" spans="1:5">
      <c r="A1749" s="473">
        <v>1782</v>
      </c>
      <c r="B1749" s="473" t="s">
        <v>11409</v>
      </c>
      <c r="C1749" s="473" t="s">
        <v>40</v>
      </c>
      <c r="D1749" s="473" t="s">
        <v>41</v>
      </c>
      <c r="E1749" s="361">
        <v>27.97</v>
      </c>
    </row>
    <row r="1750" spans="1:5">
      <c r="A1750" s="473">
        <v>1817</v>
      </c>
      <c r="B1750" s="473" t="s">
        <v>11410</v>
      </c>
      <c r="C1750" s="473" t="s">
        <v>40</v>
      </c>
      <c r="D1750" s="473" t="s">
        <v>41</v>
      </c>
      <c r="E1750" s="361">
        <v>8.33</v>
      </c>
    </row>
    <row r="1751" spans="1:5">
      <c r="A1751" s="473">
        <v>1781</v>
      </c>
      <c r="B1751" s="473" t="s">
        <v>11411</v>
      </c>
      <c r="C1751" s="473" t="s">
        <v>40</v>
      </c>
      <c r="D1751" s="473" t="s">
        <v>41</v>
      </c>
      <c r="E1751" s="361">
        <v>18.22</v>
      </c>
    </row>
    <row r="1752" spans="1:5">
      <c r="A1752" s="473">
        <v>1784</v>
      </c>
      <c r="B1752" s="473" t="s">
        <v>11412</v>
      </c>
      <c r="C1752" s="473" t="s">
        <v>40</v>
      </c>
      <c r="D1752" s="473" t="s">
        <v>41</v>
      </c>
      <c r="E1752" s="361">
        <v>99.91</v>
      </c>
    </row>
    <row r="1753" spans="1:5">
      <c r="A1753" s="473">
        <v>1810</v>
      </c>
      <c r="B1753" s="473" t="s">
        <v>11413</v>
      </c>
      <c r="C1753" s="473" t="s">
        <v>40</v>
      </c>
      <c r="D1753" s="473" t="s">
        <v>41</v>
      </c>
      <c r="E1753" s="361">
        <v>55.42</v>
      </c>
    </row>
    <row r="1754" spans="1:5">
      <c r="A1754" s="473">
        <v>1811</v>
      </c>
      <c r="B1754" s="473" t="s">
        <v>11414</v>
      </c>
      <c r="C1754" s="473" t="s">
        <v>40</v>
      </c>
      <c r="D1754" s="473" t="s">
        <v>41</v>
      </c>
      <c r="E1754" s="361">
        <v>11.99</v>
      </c>
    </row>
    <row r="1755" spans="1:5">
      <c r="A1755" s="473">
        <v>1812</v>
      </c>
      <c r="B1755" s="473" t="s">
        <v>11415</v>
      </c>
      <c r="C1755" s="473" t="s">
        <v>40</v>
      </c>
      <c r="D1755" s="473" t="s">
        <v>41</v>
      </c>
      <c r="E1755" s="361">
        <v>139.9</v>
      </c>
    </row>
    <row r="1756" spans="1:5">
      <c r="A1756" s="473">
        <v>40386</v>
      </c>
      <c r="B1756" s="473" t="s">
        <v>11416</v>
      </c>
      <c r="C1756" s="473" t="s">
        <v>40</v>
      </c>
      <c r="D1756" s="473" t="s">
        <v>47</v>
      </c>
      <c r="E1756" s="361">
        <v>42.45</v>
      </c>
    </row>
    <row r="1757" spans="1:5">
      <c r="A1757" s="473">
        <v>40384</v>
      </c>
      <c r="B1757" s="473" t="s">
        <v>11417</v>
      </c>
      <c r="C1757" s="473" t="s">
        <v>40</v>
      </c>
      <c r="D1757" s="473" t="s">
        <v>47</v>
      </c>
      <c r="E1757" s="361">
        <v>29.06</v>
      </c>
    </row>
    <row r="1758" spans="1:5">
      <c r="A1758" s="473">
        <v>40379</v>
      </c>
      <c r="B1758" s="473" t="s">
        <v>11418</v>
      </c>
      <c r="C1758" s="473" t="s">
        <v>40</v>
      </c>
      <c r="D1758" s="473" t="s">
        <v>47</v>
      </c>
      <c r="E1758" s="361">
        <v>10.050000000000001</v>
      </c>
    </row>
    <row r="1759" spans="1:5">
      <c r="A1759" s="473">
        <v>40423</v>
      </c>
      <c r="B1759" s="473" t="s">
        <v>11419</v>
      </c>
      <c r="C1759" s="473" t="s">
        <v>40</v>
      </c>
      <c r="D1759" s="473" t="s">
        <v>47</v>
      </c>
      <c r="E1759" s="361">
        <v>19.010000000000002</v>
      </c>
    </row>
    <row r="1760" spans="1:5">
      <c r="A1760" s="473">
        <v>40389</v>
      </c>
      <c r="B1760" s="473" t="s">
        <v>11420</v>
      </c>
      <c r="C1760" s="473" t="s">
        <v>40</v>
      </c>
      <c r="D1760" s="473" t="s">
        <v>47</v>
      </c>
      <c r="E1760" s="361">
        <v>120.59</v>
      </c>
    </row>
    <row r="1761" spans="1:5">
      <c r="A1761" s="473">
        <v>40388</v>
      </c>
      <c r="B1761" s="473" t="s">
        <v>11421</v>
      </c>
      <c r="C1761" s="473" t="s">
        <v>40</v>
      </c>
      <c r="D1761" s="473" t="s">
        <v>47</v>
      </c>
      <c r="E1761" s="361">
        <v>60.36</v>
      </c>
    </row>
    <row r="1762" spans="1:5">
      <c r="A1762" s="473">
        <v>40381</v>
      </c>
      <c r="B1762" s="473" t="s">
        <v>11422</v>
      </c>
      <c r="C1762" s="473" t="s">
        <v>40</v>
      </c>
      <c r="D1762" s="473" t="s">
        <v>47</v>
      </c>
      <c r="E1762" s="361">
        <v>13.4</v>
      </c>
    </row>
    <row r="1763" spans="1:5">
      <c r="A1763" s="473">
        <v>40391</v>
      </c>
      <c r="B1763" s="473" t="s">
        <v>11423</v>
      </c>
      <c r="C1763" s="473" t="s">
        <v>40</v>
      </c>
      <c r="D1763" s="473" t="s">
        <v>47</v>
      </c>
      <c r="E1763" s="361">
        <v>313.01</v>
      </c>
    </row>
    <row r="1764" spans="1:5">
      <c r="A1764" s="473">
        <v>40414</v>
      </c>
      <c r="B1764" s="473" t="s">
        <v>11424</v>
      </c>
      <c r="C1764" s="473" t="s">
        <v>40</v>
      </c>
      <c r="D1764" s="473" t="s">
        <v>47</v>
      </c>
      <c r="E1764" s="361">
        <v>11.89</v>
      </c>
    </row>
    <row r="1765" spans="1:5">
      <c r="A1765" s="473">
        <v>40416</v>
      </c>
      <c r="B1765" s="473" t="s">
        <v>11425</v>
      </c>
      <c r="C1765" s="473" t="s">
        <v>40</v>
      </c>
      <c r="D1765" s="473" t="s">
        <v>47</v>
      </c>
      <c r="E1765" s="361">
        <v>16.43</v>
      </c>
    </row>
    <row r="1766" spans="1:5">
      <c r="A1766" s="473">
        <v>40418</v>
      </c>
      <c r="B1766" s="473" t="s">
        <v>11426</v>
      </c>
      <c r="C1766" s="473" t="s">
        <v>40</v>
      </c>
      <c r="D1766" s="473" t="s">
        <v>47</v>
      </c>
      <c r="E1766" s="361">
        <v>19.600000000000001</v>
      </c>
    </row>
    <row r="1767" spans="1:5">
      <c r="A1767" s="473">
        <v>2615</v>
      </c>
      <c r="B1767" s="473" t="s">
        <v>11427</v>
      </c>
      <c r="C1767" s="473" t="s">
        <v>40</v>
      </c>
      <c r="D1767" s="473" t="s">
        <v>47</v>
      </c>
      <c r="E1767" s="361">
        <v>131.44999999999999</v>
      </c>
    </row>
    <row r="1768" spans="1:5">
      <c r="A1768" s="473">
        <v>2635</v>
      </c>
      <c r="B1768" s="473" t="s">
        <v>11428</v>
      </c>
      <c r="C1768" s="473" t="s">
        <v>40</v>
      </c>
      <c r="D1768" s="473" t="s">
        <v>47</v>
      </c>
      <c r="E1768" s="361">
        <v>3.92</v>
      </c>
    </row>
    <row r="1769" spans="1:5">
      <c r="A1769" s="473">
        <v>2609</v>
      </c>
      <c r="B1769" s="473" t="s">
        <v>11429</v>
      </c>
      <c r="C1769" s="473" t="s">
        <v>40</v>
      </c>
      <c r="D1769" s="473" t="s">
        <v>47</v>
      </c>
      <c r="E1769" s="361">
        <v>4.41</v>
      </c>
    </row>
    <row r="1770" spans="1:5">
      <c r="A1770" s="473">
        <v>2634</v>
      </c>
      <c r="B1770" s="473" t="s">
        <v>11430</v>
      </c>
      <c r="C1770" s="473" t="s">
        <v>40</v>
      </c>
      <c r="D1770" s="473" t="s">
        <v>47</v>
      </c>
      <c r="E1770" s="361">
        <v>5.8</v>
      </c>
    </row>
    <row r="1771" spans="1:5">
      <c r="A1771" s="473">
        <v>2611</v>
      </c>
      <c r="B1771" s="473" t="s">
        <v>11431</v>
      </c>
      <c r="C1771" s="473" t="s">
        <v>40</v>
      </c>
      <c r="D1771" s="473" t="s">
        <v>47</v>
      </c>
      <c r="E1771" s="361">
        <v>16.34</v>
      </c>
    </row>
    <row r="1772" spans="1:5">
      <c r="A1772" s="473">
        <v>2612</v>
      </c>
      <c r="B1772" s="473" t="s">
        <v>11432</v>
      </c>
      <c r="C1772" s="473" t="s">
        <v>40</v>
      </c>
      <c r="D1772" s="473" t="s">
        <v>47</v>
      </c>
      <c r="E1772" s="361">
        <v>23.77</v>
      </c>
    </row>
    <row r="1773" spans="1:5">
      <c r="A1773" s="473">
        <v>2613</v>
      </c>
      <c r="B1773" s="473" t="s">
        <v>11433</v>
      </c>
      <c r="C1773" s="473" t="s">
        <v>40</v>
      </c>
      <c r="D1773" s="473" t="s">
        <v>47</v>
      </c>
      <c r="E1773" s="361">
        <v>57.38</v>
      </c>
    </row>
    <row r="1774" spans="1:5">
      <c r="A1774" s="473">
        <v>2614</v>
      </c>
      <c r="B1774" s="473" t="s">
        <v>11434</v>
      </c>
      <c r="C1774" s="473" t="s">
        <v>40</v>
      </c>
      <c r="D1774" s="473" t="s">
        <v>47</v>
      </c>
      <c r="E1774" s="361">
        <v>79.790000000000006</v>
      </c>
    </row>
    <row r="1775" spans="1:5">
      <c r="A1775" s="473">
        <v>34359</v>
      </c>
      <c r="B1775" s="473" t="s">
        <v>11435</v>
      </c>
      <c r="C1775" s="473" t="s">
        <v>40</v>
      </c>
      <c r="D1775" s="473" t="s">
        <v>47</v>
      </c>
      <c r="E1775" s="361">
        <v>6.52</v>
      </c>
    </row>
    <row r="1776" spans="1:5">
      <c r="A1776" s="473">
        <v>1789</v>
      </c>
      <c r="B1776" s="473" t="s">
        <v>11436</v>
      </c>
      <c r="C1776" s="473" t="s">
        <v>40</v>
      </c>
      <c r="D1776" s="473" t="s">
        <v>41</v>
      </c>
      <c r="E1776" s="361">
        <v>44.26</v>
      </c>
    </row>
    <row r="1777" spans="1:5">
      <c r="A1777" s="473">
        <v>1788</v>
      </c>
      <c r="B1777" s="473" t="s">
        <v>11437</v>
      </c>
      <c r="C1777" s="473" t="s">
        <v>40</v>
      </c>
      <c r="D1777" s="473" t="s">
        <v>41</v>
      </c>
      <c r="E1777" s="361">
        <v>35.47</v>
      </c>
    </row>
    <row r="1778" spans="1:5">
      <c r="A1778" s="473">
        <v>1786</v>
      </c>
      <c r="B1778" s="473" t="s">
        <v>11438</v>
      </c>
      <c r="C1778" s="473" t="s">
        <v>40</v>
      </c>
      <c r="D1778" s="473" t="s">
        <v>41</v>
      </c>
      <c r="E1778" s="361">
        <v>8.81</v>
      </c>
    </row>
    <row r="1779" spans="1:5">
      <c r="A1779" s="473">
        <v>1787</v>
      </c>
      <c r="B1779" s="473" t="s">
        <v>11439</v>
      </c>
      <c r="C1779" s="473" t="s">
        <v>40</v>
      </c>
      <c r="D1779" s="473" t="s">
        <v>41</v>
      </c>
      <c r="E1779" s="361">
        <v>21.09</v>
      </c>
    </row>
    <row r="1780" spans="1:5">
      <c r="A1780" s="473">
        <v>1791</v>
      </c>
      <c r="B1780" s="473" t="s">
        <v>11440</v>
      </c>
      <c r="C1780" s="473" t="s">
        <v>40</v>
      </c>
      <c r="D1780" s="473" t="s">
        <v>41</v>
      </c>
      <c r="E1780" s="361">
        <v>127.91</v>
      </c>
    </row>
    <row r="1781" spans="1:5">
      <c r="A1781" s="473">
        <v>1790</v>
      </c>
      <c r="B1781" s="473" t="s">
        <v>11441</v>
      </c>
      <c r="C1781" s="473" t="s">
        <v>40</v>
      </c>
      <c r="D1781" s="473" t="s">
        <v>41</v>
      </c>
      <c r="E1781" s="361">
        <v>73.7</v>
      </c>
    </row>
    <row r="1782" spans="1:5">
      <c r="A1782" s="473">
        <v>1813</v>
      </c>
      <c r="B1782" s="473" t="s">
        <v>11442</v>
      </c>
      <c r="C1782" s="473" t="s">
        <v>40</v>
      </c>
      <c r="D1782" s="473" t="s">
        <v>41</v>
      </c>
      <c r="E1782" s="361">
        <v>13.98</v>
      </c>
    </row>
    <row r="1783" spans="1:5">
      <c r="A1783" s="473">
        <v>1792</v>
      </c>
      <c r="B1783" s="473" t="s">
        <v>11443</v>
      </c>
      <c r="C1783" s="473" t="s">
        <v>40</v>
      </c>
      <c r="D1783" s="473" t="s">
        <v>41</v>
      </c>
      <c r="E1783" s="361">
        <v>172.65</v>
      </c>
    </row>
    <row r="1784" spans="1:5">
      <c r="A1784" s="473">
        <v>1793</v>
      </c>
      <c r="B1784" s="473" t="s">
        <v>11444</v>
      </c>
      <c r="C1784" s="473" t="s">
        <v>40</v>
      </c>
      <c r="D1784" s="473" t="s">
        <v>41</v>
      </c>
      <c r="E1784" s="361">
        <v>348.88</v>
      </c>
    </row>
    <row r="1785" spans="1:5">
      <c r="A1785" s="473">
        <v>1809</v>
      </c>
      <c r="B1785" s="473" t="s">
        <v>11445</v>
      </c>
      <c r="C1785" s="473" t="s">
        <v>40</v>
      </c>
      <c r="D1785" s="473" t="s">
        <v>41</v>
      </c>
      <c r="E1785" s="361">
        <v>41.49</v>
      </c>
    </row>
    <row r="1786" spans="1:5">
      <c r="A1786" s="473">
        <v>1814</v>
      </c>
      <c r="B1786" s="473" t="s">
        <v>11446</v>
      </c>
      <c r="C1786" s="473" t="s">
        <v>40</v>
      </c>
      <c r="D1786" s="473" t="s">
        <v>41</v>
      </c>
      <c r="E1786" s="361">
        <v>34.08</v>
      </c>
    </row>
    <row r="1787" spans="1:5">
      <c r="A1787" s="473">
        <v>1803</v>
      </c>
      <c r="B1787" s="473" t="s">
        <v>11447</v>
      </c>
      <c r="C1787" s="473" t="s">
        <v>40</v>
      </c>
      <c r="D1787" s="473" t="s">
        <v>41</v>
      </c>
      <c r="E1787" s="361">
        <v>8.61</v>
      </c>
    </row>
    <row r="1788" spans="1:5">
      <c r="A1788" s="473">
        <v>1805</v>
      </c>
      <c r="B1788" s="473" t="s">
        <v>11448</v>
      </c>
      <c r="C1788" s="473" t="s">
        <v>40</v>
      </c>
      <c r="D1788" s="473" t="s">
        <v>41</v>
      </c>
      <c r="E1788" s="361">
        <v>19.78</v>
      </c>
    </row>
    <row r="1789" spans="1:5">
      <c r="A1789" s="473">
        <v>1821</v>
      </c>
      <c r="B1789" s="473" t="s">
        <v>11449</v>
      </c>
      <c r="C1789" s="473" t="s">
        <v>40</v>
      </c>
      <c r="D1789" s="473" t="s">
        <v>41</v>
      </c>
      <c r="E1789" s="361">
        <v>116.86</v>
      </c>
    </row>
    <row r="1790" spans="1:5">
      <c r="A1790" s="473">
        <v>1806</v>
      </c>
      <c r="B1790" s="473" t="s">
        <v>11450</v>
      </c>
      <c r="C1790" s="473" t="s">
        <v>40</v>
      </c>
      <c r="D1790" s="473" t="s">
        <v>41</v>
      </c>
      <c r="E1790" s="361">
        <v>69.56</v>
      </c>
    </row>
    <row r="1791" spans="1:5">
      <c r="A1791" s="473">
        <v>1804</v>
      </c>
      <c r="B1791" s="473" t="s">
        <v>11451</v>
      </c>
      <c r="C1791" s="473" t="s">
        <v>40</v>
      </c>
      <c r="D1791" s="473" t="s">
        <v>41</v>
      </c>
      <c r="E1791" s="361">
        <v>12.26</v>
      </c>
    </row>
    <row r="1792" spans="1:5">
      <c r="A1792" s="473">
        <v>1807</v>
      </c>
      <c r="B1792" s="473" t="s">
        <v>11452</v>
      </c>
      <c r="C1792" s="473" t="s">
        <v>40</v>
      </c>
      <c r="D1792" s="473" t="s">
        <v>41</v>
      </c>
      <c r="E1792" s="361">
        <v>167.13</v>
      </c>
    </row>
    <row r="1793" spans="1:5">
      <c r="A1793" s="473">
        <v>1808</v>
      </c>
      <c r="B1793" s="473" t="s">
        <v>11453</v>
      </c>
      <c r="C1793" s="473" t="s">
        <v>40</v>
      </c>
      <c r="D1793" s="473" t="s">
        <v>41</v>
      </c>
      <c r="E1793" s="361">
        <v>335.07</v>
      </c>
    </row>
    <row r="1794" spans="1:5">
      <c r="A1794" s="473">
        <v>1797</v>
      </c>
      <c r="B1794" s="473" t="s">
        <v>11454</v>
      </c>
      <c r="C1794" s="473" t="s">
        <v>40</v>
      </c>
      <c r="D1794" s="473" t="s">
        <v>41</v>
      </c>
      <c r="E1794" s="361">
        <v>50.25</v>
      </c>
    </row>
    <row r="1795" spans="1:5">
      <c r="A1795" s="473">
        <v>1796</v>
      </c>
      <c r="B1795" s="473" t="s">
        <v>11455</v>
      </c>
      <c r="C1795" s="473" t="s">
        <v>40</v>
      </c>
      <c r="D1795" s="473" t="s">
        <v>41</v>
      </c>
      <c r="E1795" s="361">
        <v>38.549999999999997</v>
      </c>
    </row>
    <row r="1796" spans="1:5">
      <c r="A1796" s="473">
        <v>1794</v>
      </c>
      <c r="B1796" s="473" t="s">
        <v>11456</v>
      </c>
      <c r="C1796" s="473" t="s">
        <v>40</v>
      </c>
      <c r="D1796" s="473" t="s">
        <v>41</v>
      </c>
      <c r="E1796" s="361">
        <v>9.1999999999999993</v>
      </c>
    </row>
    <row r="1797" spans="1:5">
      <c r="A1797" s="473">
        <v>1816</v>
      </c>
      <c r="B1797" s="473" t="s">
        <v>11457</v>
      </c>
      <c r="C1797" s="473" t="s">
        <v>40</v>
      </c>
      <c r="D1797" s="473" t="s">
        <v>41</v>
      </c>
      <c r="E1797" s="361">
        <v>20.75</v>
      </c>
    </row>
    <row r="1798" spans="1:5">
      <c r="A1798" s="473">
        <v>1815</v>
      </c>
      <c r="B1798" s="473" t="s">
        <v>11458</v>
      </c>
      <c r="C1798" s="473" t="s">
        <v>40</v>
      </c>
      <c r="D1798" s="473" t="s">
        <v>41</v>
      </c>
      <c r="E1798" s="361">
        <v>159.34</v>
      </c>
    </row>
    <row r="1799" spans="1:5">
      <c r="A1799" s="473">
        <v>1798</v>
      </c>
      <c r="B1799" s="473" t="s">
        <v>11459</v>
      </c>
      <c r="C1799" s="473" t="s">
        <v>40</v>
      </c>
      <c r="D1799" s="473" t="s">
        <v>41</v>
      </c>
      <c r="E1799" s="361">
        <v>71.3</v>
      </c>
    </row>
    <row r="1800" spans="1:5">
      <c r="A1800" s="473">
        <v>1795</v>
      </c>
      <c r="B1800" s="473" t="s">
        <v>11460</v>
      </c>
      <c r="C1800" s="473" t="s">
        <v>40</v>
      </c>
      <c r="D1800" s="473" t="s">
        <v>41</v>
      </c>
      <c r="E1800" s="361">
        <v>12.75</v>
      </c>
    </row>
    <row r="1801" spans="1:5">
      <c r="A1801" s="473">
        <v>1799</v>
      </c>
      <c r="B1801" s="473" t="s">
        <v>11461</v>
      </c>
      <c r="C1801" s="473" t="s">
        <v>40</v>
      </c>
      <c r="D1801" s="473" t="s">
        <v>41</v>
      </c>
      <c r="E1801" s="361">
        <v>207.52</v>
      </c>
    </row>
    <row r="1802" spans="1:5">
      <c r="A1802" s="473">
        <v>1800</v>
      </c>
      <c r="B1802" s="473" t="s">
        <v>11462</v>
      </c>
      <c r="C1802" s="473" t="s">
        <v>40</v>
      </c>
      <c r="D1802" s="473" t="s">
        <v>41</v>
      </c>
      <c r="E1802" s="361">
        <v>396.2</v>
      </c>
    </row>
    <row r="1803" spans="1:5">
      <c r="A1803" s="473">
        <v>1802</v>
      </c>
      <c r="B1803" s="473" t="s">
        <v>11463</v>
      </c>
      <c r="C1803" s="473" t="s">
        <v>40</v>
      </c>
      <c r="D1803" s="473" t="s">
        <v>41</v>
      </c>
      <c r="E1803" s="361">
        <v>991.05</v>
      </c>
    </row>
    <row r="1804" spans="1:5">
      <c r="A1804" s="473">
        <v>40385</v>
      </c>
      <c r="B1804" s="473" t="s">
        <v>11464</v>
      </c>
      <c r="C1804" s="473" t="s">
        <v>40</v>
      </c>
      <c r="D1804" s="473" t="s">
        <v>47</v>
      </c>
      <c r="E1804" s="361">
        <v>42.45</v>
      </c>
    </row>
    <row r="1805" spans="1:5">
      <c r="A1805" s="473">
        <v>40383</v>
      </c>
      <c r="B1805" s="473" t="s">
        <v>11465</v>
      </c>
      <c r="C1805" s="473" t="s">
        <v>40</v>
      </c>
      <c r="D1805" s="473" t="s">
        <v>47</v>
      </c>
      <c r="E1805" s="361">
        <v>29.06</v>
      </c>
    </row>
    <row r="1806" spans="1:5">
      <c r="A1806" s="473">
        <v>40378</v>
      </c>
      <c r="B1806" s="473" t="s">
        <v>11466</v>
      </c>
      <c r="C1806" s="473" t="s">
        <v>40</v>
      </c>
      <c r="D1806" s="473" t="s">
        <v>47</v>
      </c>
      <c r="E1806" s="361">
        <v>10.050000000000001</v>
      </c>
    </row>
    <row r="1807" spans="1:5">
      <c r="A1807" s="473">
        <v>40382</v>
      </c>
      <c r="B1807" s="473" t="s">
        <v>11467</v>
      </c>
      <c r="C1807" s="473" t="s">
        <v>40</v>
      </c>
      <c r="D1807" s="473" t="s">
        <v>47</v>
      </c>
      <c r="E1807" s="361">
        <v>19.010000000000002</v>
      </c>
    </row>
    <row r="1808" spans="1:5">
      <c r="A1808" s="473">
        <v>40422</v>
      </c>
      <c r="B1808" s="473" t="s">
        <v>11468</v>
      </c>
      <c r="C1808" s="473" t="s">
        <v>40</v>
      </c>
      <c r="D1808" s="473" t="s">
        <v>47</v>
      </c>
      <c r="E1808" s="361">
        <v>129.55000000000001</v>
      </c>
    </row>
    <row r="1809" spans="1:5">
      <c r="A1809" s="473">
        <v>40387</v>
      </c>
      <c r="B1809" s="473" t="s">
        <v>11469</v>
      </c>
      <c r="C1809" s="473" t="s">
        <v>40</v>
      </c>
      <c r="D1809" s="473" t="s">
        <v>47</v>
      </c>
      <c r="E1809" s="361">
        <v>65.959999999999994</v>
      </c>
    </row>
    <row r="1810" spans="1:5">
      <c r="A1810" s="473">
        <v>40380</v>
      </c>
      <c r="B1810" s="473" t="s">
        <v>11470</v>
      </c>
      <c r="C1810" s="473" t="s">
        <v>40</v>
      </c>
      <c r="D1810" s="473" t="s">
        <v>47</v>
      </c>
      <c r="E1810" s="361">
        <v>13.4</v>
      </c>
    </row>
    <row r="1811" spans="1:5">
      <c r="A1811" s="473">
        <v>40390</v>
      </c>
      <c r="B1811" s="473" t="s">
        <v>11471</v>
      </c>
      <c r="C1811" s="473" t="s">
        <v>40</v>
      </c>
      <c r="D1811" s="473" t="s">
        <v>47</v>
      </c>
      <c r="E1811" s="361">
        <v>272.83999999999997</v>
      </c>
    </row>
    <row r="1812" spans="1:5">
      <c r="A1812" s="473">
        <v>40413</v>
      </c>
      <c r="B1812" s="473" t="s">
        <v>11472</v>
      </c>
      <c r="C1812" s="473" t="s">
        <v>40</v>
      </c>
      <c r="D1812" s="473" t="s">
        <v>47</v>
      </c>
      <c r="E1812" s="361">
        <v>12.91</v>
      </c>
    </row>
    <row r="1813" spans="1:5">
      <c r="A1813" s="473">
        <v>40415</v>
      </c>
      <c r="B1813" s="473" t="s">
        <v>11473</v>
      </c>
      <c r="C1813" s="473" t="s">
        <v>40</v>
      </c>
      <c r="D1813" s="473" t="s">
        <v>47</v>
      </c>
      <c r="E1813" s="361">
        <v>18.399999999999999</v>
      </c>
    </row>
    <row r="1814" spans="1:5">
      <c r="A1814" s="473">
        <v>40417</v>
      </c>
      <c r="B1814" s="473" t="s">
        <v>11474</v>
      </c>
      <c r="C1814" s="473" t="s">
        <v>40</v>
      </c>
      <c r="D1814" s="473" t="s">
        <v>47</v>
      </c>
      <c r="E1814" s="361">
        <v>21.71</v>
      </c>
    </row>
    <row r="1815" spans="1:5">
      <c r="A1815" s="473">
        <v>39271</v>
      </c>
      <c r="B1815" s="473" t="s">
        <v>11475</v>
      </c>
      <c r="C1815" s="473" t="s">
        <v>40</v>
      </c>
      <c r="D1815" s="473" t="s">
        <v>41</v>
      </c>
      <c r="E1815" s="361">
        <v>1.36</v>
      </c>
    </row>
    <row r="1816" spans="1:5">
      <c r="A1816" s="473">
        <v>39273</v>
      </c>
      <c r="B1816" s="473" t="s">
        <v>11476</v>
      </c>
      <c r="C1816" s="473" t="s">
        <v>40</v>
      </c>
      <c r="D1816" s="473" t="s">
        <v>41</v>
      </c>
      <c r="E1816" s="361">
        <v>2.31</v>
      </c>
    </row>
    <row r="1817" spans="1:5">
      <c r="A1817" s="473">
        <v>39272</v>
      </c>
      <c r="B1817" s="473" t="s">
        <v>11477</v>
      </c>
      <c r="C1817" s="473" t="s">
        <v>40</v>
      </c>
      <c r="D1817" s="473" t="s">
        <v>41</v>
      </c>
      <c r="E1817" s="361">
        <v>1.67</v>
      </c>
    </row>
    <row r="1818" spans="1:5">
      <c r="A1818" s="473">
        <v>1875</v>
      </c>
      <c r="B1818" s="473" t="s">
        <v>11478</v>
      </c>
      <c r="C1818" s="473" t="s">
        <v>40</v>
      </c>
      <c r="D1818" s="473" t="s">
        <v>41</v>
      </c>
      <c r="E1818" s="361">
        <v>3.69</v>
      </c>
    </row>
    <row r="1819" spans="1:5">
      <c r="A1819" s="473">
        <v>1874</v>
      </c>
      <c r="B1819" s="473" t="s">
        <v>11479</v>
      </c>
      <c r="C1819" s="473" t="s">
        <v>40</v>
      </c>
      <c r="D1819" s="473" t="s">
        <v>41</v>
      </c>
      <c r="E1819" s="361">
        <v>3.05</v>
      </c>
    </row>
    <row r="1820" spans="1:5">
      <c r="A1820" s="473">
        <v>1870</v>
      </c>
      <c r="B1820" s="473" t="s">
        <v>11480</v>
      </c>
      <c r="C1820" s="473" t="s">
        <v>40</v>
      </c>
      <c r="D1820" s="473" t="s">
        <v>44</v>
      </c>
      <c r="E1820" s="361">
        <v>1.76</v>
      </c>
    </row>
    <row r="1821" spans="1:5">
      <c r="A1821" s="473">
        <v>1884</v>
      </c>
      <c r="B1821" s="473" t="s">
        <v>11481</v>
      </c>
      <c r="C1821" s="473" t="s">
        <v>40</v>
      </c>
      <c r="D1821" s="473" t="s">
        <v>41</v>
      </c>
      <c r="E1821" s="361">
        <v>2.7</v>
      </c>
    </row>
    <row r="1822" spans="1:5">
      <c r="A1822" s="473">
        <v>1887</v>
      </c>
      <c r="B1822" s="473" t="s">
        <v>11482</v>
      </c>
      <c r="C1822" s="473" t="s">
        <v>40</v>
      </c>
      <c r="D1822" s="473" t="s">
        <v>41</v>
      </c>
      <c r="E1822" s="361">
        <v>15.3</v>
      </c>
    </row>
    <row r="1823" spans="1:5">
      <c r="A1823" s="473">
        <v>1876</v>
      </c>
      <c r="B1823" s="473" t="s">
        <v>11483</v>
      </c>
      <c r="C1823" s="473" t="s">
        <v>40</v>
      </c>
      <c r="D1823" s="473" t="s">
        <v>41</v>
      </c>
      <c r="E1823" s="361">
        <v>5.99</v>
      </c>
    </row>
    <row r="1824" spans="1:5">
      <c r="A1824" s="473">
        <v>1879</v>
      </c>
      <c r="B1824" s="473" t="s">
        <v>11484</v>
      </c>
      <c r="C1824" s="473" t="s">
        <v>40</v>
      </c>
      <c r="D1824" s="473" t="s">
        <v>41</v>
      </c>
      <c r="E1824" s="361">
        <v>1.78</v>
      </c>
    </row>
    <row r="1825" spans="1:5">
      <c r="A1825" s="473">
        <v>1877</v>
      </c>
      <c r="B1825" s="473" t="s">
        <v>11485</v>
      </c>
      <c r="C1825" s="473" t="s">
        <v>40</v>
      </c>
      <c r="D1825" s="473" t="s">
        <v>41</v>
      </c>
      <c r="E1825" s="361">
        <v>15.32</v>
      </c>
    </row>
    <row r="1826" spans="1:5">
      <c r="A1826" s="473">
        <v>1878</v>
      </c>
      <c r="B1826" s="473" t="s">
        <v>11486</v>
      </c>
      <c r="C1826" s="473" t="s">
        <v>40</v>
      </c>
      <c r="D1826" s="473" t="s">
        <v>41</v>
      </c>
      <c r="E1826" s="361">
        <v>30.78</v>
      </c>
    </row>
    <row r="1827" spans="1:5">
      <c r="A1827" s="473">
        <v>2621</v>
      </c>
      <c r="B1827" s="473" t="s">
        <v>11487</v>
      </c>
      <c r="C1827" s="473" t="s">
        <v>40</v>
      </c>
      <c r="D1827" s="473" t="s">
        <v>47</v>
      </c>
      <c r="E1827" s="361">
        <v>139.82</v>
      </c>
    </row>
    <row r="1828" spans="1:5">
      <c r="A1828" s="473">
        <v>2616</v>
      </c>
      <c r="B1828" s="473" t="s">
        <v>11488</v>
      </c>
      <c r="C1828" s="473" t="s">
        <v>40</v>
      </c>
      <c r="D1828" s="473" t="s">
        <v>47</v>
      </c>
      <c r="E1828" s="361">
        <v>3.95</v>
      </c>
    </row>
    <row r="1829" spans="1:5">
      <c r="A1829" s="473">
        <v>2633</v>
      </c>
      <c r="B1829" s="473" t="s">
        <v>11489</v>
      </c>
      <c r="C1829" s="473" t="s">
        <v>40</v>
      </c>
      <c r="D1829" s="473" t="s">
        <v>47</v>
      </c>
      <c r="E1829" s="361">
        <v>4.47</v>
      </c>
    </row>
    <row r="1830" spans="1:5">
      <c r="A1830" s="473">
        <v>2617</v>
      </c>
      <c r="B1830" s="473" t="s">
        <v>11490</v>
      </c>
      <c r="C1830" s="473" t="s">
        <v>40</v>
      </c>
      <c r="D1830" s="473" t="s">
        <v>47</v>
      </c>
      <c r="E1830" s="361">
        <v>6.08</v>
      </c>
    </row>
    <row r="1831" spans="1:5">
      <c r="A1831" s="473">
        <v>2618</v>
      </c>
      <c r="B1831" s="473" t="s">
        <v>11491</v>
      </c>
      <c r="C1831" s="473" t="s">
        <v>40</v>
      </c>
      <c r="D1831" s="473" t="s">
        <v>47</v>
      </c>
      <c r="E1831" s="361">
        <v>13.85</v>
      </c>
    </row>
    <row r="1832" spans="1:5">
      <c r="A1832" s="473">
        <v>2632</v>
      </c>
      <c r="B1832" s="473" t="s">
        <v>11492</v>
      </c>
      <c r="C1832" s="473" t="s">
        <v>40</v>
      </c>
      <c r="D1832" s="473" t="s">
        <v>47</v>
      </c>
      <c r="E1832" s="361">
        <v>16.89</v>
      </c>
    </row>
    <row r="1833" spans="1:5">
      <c r="A1833" s="473">
        <v>2631</v>
      </c>
      <c r="B1833" s="473" t="s">
        <v>11493</v>
      </c>
      <c r="C1833" s="473" t="s">
        <v>40</v>
      </c>
      <c r="D1833" s="473" t="s">
        <v>47</v>
      </c>
      <c r="E1833" s="361">
        <v>24.8</v>
      </c>
    </row>
    <row r="1834" spans="1:5">
      <c r="A1834" s="473">
        <v>2619</v>
      </c>
      <c r="B1834" s="473" t="s">
        <v>11494</v>
      </c>
      <c r="C1834" s="473" t="s">
        <v>40</v>
      </c>
      <c r="D1834" s="473" t="s">
        <v>47</v>
      </c>
      <c r="E1834" s="361">
        <v>62.79</v>
      </c>
    </row>
    <row r="1835" spans="1:5">
      <c r="A1835" s="473">
        <v>2620</v>
      </c>
      <c r="B1835" s="473" t="s">
        <v>11495</v>
      </c>
      <c r="C1835" s="473" t="s">
        <v>40</v>
      </c>
      <c r="D1835" s="473" t="s">
        <v>47</v>
      </c>
      <c r="E1835" s="361">
        <v>82.44</v>
      </c>
    </row>
    <row r="1836" spans="1:5">
      <c r="A1836" s="473">
        <v>25968</v>
      </c>
      <c r="B1836" s="473" t="s">
        <v>11496</v>
      </c>
      <c r="C1836" s="473" t="s">
        <v>40</v>
      </c>
      <c r="D1836" s="473" t="s">
        <v>47</v>
      </c>
      <c r="E1836" s="361">
        <v>37.57</v>
      </c>
    </row>
    <row r="1837" spans="1:5">
      <c r="A1837" s="473">
        <v>38369</v>
      </c>
      <c r="B1837" s="473" t="s">
        <v>11497</v>
      </c>
      <c r="C1837" s="473" t="s">
        <v>40</v>
      </c>
      <c r="D1837" s="473" t="s">
        <v>41</v>
      </c>
      <c r="E1837" s="361">
        <v>11.66</v>
      </c>
    </row>
    <row r="1838" spans="1:5">
      <c r="A1838" s="473">
        <v>38370</v>
      </c>
      <c r="B1838" s="473" t="s">
        <v>11498</v>
      </c>
      <c r="C1838" s="473" t="s">
        <v>40</v>
      </c>
      <c r="D1838" s="473" t="s">
        <v>41</v>
      </c>
      <c r="E1838" s="361">
        <v>11.66</v>
      </c>
    </row>
    <row r="1839" spans="1:5">
      <c r="A1839" s="473">
        <v>38372</v>
      </c>
      <c r="B1839" s="473" t="s">
        <v>11499</v>
      </c>
      <c r="C1839" s="473" t="s">
        <v>40</v>
      </c>
      <c r="D1839" s="473" t="s">
        <v>41</v>
      </c>
      <c r="E1839" s="361">
        <v>15.64</v>
      </c>
    </row>
    <row r="1840" spans="1:5">
      <c r="A1840" s="473">
        <v>2357</v>
      </c>
      <c r="B1840" s="473" t="s">
        <v>11500</v>
      </c>
      <c r="C1840" s="473" t="s">
        <v>43</v>
      </c>
      <c r="D1840" s="473" t="s">
        <v>41</v>
      </c>
      <c r="E1840" s="361">
        <v>10.07</v>
      </c>
    </row>
    <row r="1841" spans="1:5">
      <c r="A1841" s="473">
        <v>40806</v>
      </c>
      <c r="B1841" s="473" t="s">
        <v>11501</v>
      </c>
      <c r="C1841" s="473" t="s">
        <v>53</v>
      </c>
      <c r="D1841" s="473" t="s">
        <v>41</v>
      </c>
      <c r="E1841" s="361">
        <v>1065.71</v>
      </c>
    </row>
    <row r="1842" spans="1:5">
      <c r="A1842" s="473">
        <v>2355</v>
      </c>
      <c r="B1842" s="473" t="s">
        <v>11502</v>
      </c>
      <c r="C1842" s="473" t="s">
        <v>43</v>
      </c>
      <c r="D1842" s="473" t="s">
        <v>41</v>
      </c>
      <c r="E1842" s="361">
        <v>21.54</v>
      </c>
    </row>
    <row r="1843" spans="1:5">
      <c r="A1843" s="473">
        <v>40805</v>
      </c>
      <c r="B1843" s="473" t="s">
        <v>11503</v>
      </c>
      <c r="C1843" s="473" t="s">
        <v>53</v>
      </c>
      <c r="D1843" s="473" t="s">
        <v>41</v>
      </c>
      <c r="E1843" s="361">
        <v>2276.4899999999998</v>
      </c>
    </row>
    <row r="1844" spans="1:5">
      <c r="A1844" s="473">
        <v>2358</v>
      </c>
      <c r="B1844" s="473" t="s">
        <v>11504</v>
      </c>
      <c r="C1844" s="473" t="s">
        <v>43</v>
      </c>
      <c r="D1844" s="473" t="s">
        <v>41</v>
      </c>
      <c r="E1844" s="361">
        <v>19.25</v>
      </c>
    </row>
    <row r="1845" spans="1:5">
      <c r="A1845" s="473">
        <v>40807</v>
      </c>
      <c r="B1845" s="473" t="s">
        <v>11505</v>
      </c>
      <c r="C1845" s="473" t="s">
        <v>53</v>
      </c>
      <c r="D1845" s="473" t="s">
        <v>41</v>
      </c>
      <c r="E1845" s="361">
        <v>2034.76</v>
      </c>
    </row>
    <row r="1846" spans="1:5">
      <c r="A1846" s="473">
        <v>2359</v>
      </c>
      <c r="B1846" s="473" t="s">
        <v>11506</v>
      </c>
      <c r="C1846" s="473" t="s">
        <v>43</v>
      </c>
      <c r="D1846" s="473" t="s">
        <v>41</v>
      </c>
      <c r="E1846" s="361">
        <v>23.01</v>
      </c>
    </row>
    <row r="1847" spans="1:5">
      <c r="A1847" s="473">
        <v>40808</v>
      </c>
      <c r="B1847" s="473" t="s">
        <v>11507</v>
      </c>
      <c r="C1847" s="473" t="s">
        <v>53</v>
      </c>
      <c r="D1847" s="473" t="s">
        <v>41</v>
      </c>
      <c r="E1847" s="361">
        <v>2431.39</v>
      </c>
    </row>
    <row r="1848" spans="1:5">
      <c r="A1848" s="473">
        <v>39397</v>
      </c>
      <c r="B1848" s="473" t="s">
        <v>11508</v>
      </c>
      <c r="C1848" s="473" t="s">
        <v>50</v>
      </c>
      <c r="D1848" s="473" t="s">
        <v>41</v>
      </c>
      <c r="E1848" s="361">
        <v>12.92</v>
      </c>
    </row>
    <row r="1849" spans="1:5">
      <c r="A1849" s="473">
        <v>2692</v>
      </c>
      <c r="B1849" s="473" t="s">
        <v>11509</v>
      </c>
      <c r="C1849" s="473" t="s">
        <v>50</v>
      </c>
      <c r="D1849" s="473" t="s">
        <v>41</v>
      </c>
      <c r="E1849" s="361">
        <v>6.11</v>
      </c>
    </row>
    <row r="1850" spans="1:5">
      <c r="A1850" s="473">
        <v>6</v>
      </c>
      <c r="B1850" s="473" t="s">
        <v>11510</v>
      </c>
      <c r="C1850" s="473" t="s">
        <v>50</v>
      </c>
      <c r="D1850" s="473" t="s">
        <v>41</v>
      </c>
      <c r="E1850" s="361">
        <v>2.94</v>
      </c>
    </row>
    <row r="1851" spans="1:5">
      <c r="A1851" s="473">
        <v>5330</v>
      </c>
      <c r="B1851" s="473" t="s">
        <v>11511</v>
      </c>
      <c r="C1851" s="473" t="s">
        <v>50</v>
      </c>
      <c r="D1851" s="473" t="s">
        <v>41</v>
      </c>
      <c r="E1851" s="361">
        <v>30.82</v>
      </c>
    </row>
    <row r="1852" spans="1:5">
      <c r="A1852" s="473">
        <v>26017</v>
      </c>
      <c r="B1852" s="473" t="s">
        <v>11512</v>
      </c>
      <c r="C1852" s="473" t="s">
        <v>40</v>
      </c>
      <c r="D1852" s="473" t="s">
        <v>41</v>
      </c>
      <c r="E1852" s="361">
        <v>30.98</v>
      </c>
    </row>
    <row r="1853" spans="1:5">
      <c r="A1853" s="473">
        <v>25931</v>
      </c>
      <c r="B1853" s="473" t="s">
        <v>11513</v>
      </c>
      <c r="C1853" s="473" t="s">
        <v>40</v>
      </c>
      <c r="D1853" s="473" t="s">
        <v>41</v>
      </c>
      <c r="E1853" s="361">
        <v>98.47</v>
      </c>
    </row>
    <row r="1854" spans="1:5">
      <c r="A1854" s="473">
        <v>38140</v>
      </c>
      <c r="B1854" s="473" t="s">
        <v>11514</v>
      </c>
      <c r="C1854" s="473" t="s">
        <v>40</v>
      </c>
      <c r="D1854" s="473" t="s">
        <v>44</v>
      </c>
      <c r="E1854" s="361">
        <v>23.88</v>
      </c>
    </row>
    <row r="1855" spans="1:5">
      <c r="A1855" s="473">
        <v>13887</v>
      </c>
      <c r="B1855" s="473" t="s">
        <v>11515</v>
      </c>
      <c r="C1855" s="473" t="s">
        <v>40</v>
      </c>
      <c r="D1855" s="473" t="s">
        <v>41</v>
      </c>
      <c r="E1855" s="361">
        <v>565.37</v>
      </c>
    </row>
    <row r="1856" spans="1:5">
      <c r="A1856" s="473">
        <v>26018</v>
      </c>
      <c r="B1856" s="473" t="s">
        <v>11516</v>
      </c>
      <c r="C1856" s="473" t="s">
        <v>40</v>
      </c>
      <c r="D1856" s="473" t="s">
        <v>41</v>
      </c>
      <c r="E1856" s="361">
        <v>25.17</v>
      </c>
    </row>
    <row r="1857" spans="1:5">
      <c r="A1857" s="473">
        <v>26019</v>
      </c>
      <c r="B1857" s="473" t="s">
        <v>11517</v>
      </c>
      <c r="C1857" s="473" t="s">
        <v>40</v>
      </c>
      <c r="D1857" s="473" t="s">
        <v>41</v>
      </c>
      <c r="E1857" s="361">
        <v>23.76</v>
      </c>
    </row>
    <row r="1858" spans="1:5">
      <c r="A1858" s="473">
        <v>26020</v>
      </c>
      <c r="B1858" s="473" t="s">
        <v>11518</v>
      </c>
      <c r="C1858" s="473" t="s">
        <v>40</v>
      </c>
      <c r="D1858" s="473" t="s">
        <v>41</v>
      </c>
      <c r="E1858" s="361">
        <v>6.19</v>
      </c>
    </row>
    <row r="1859" spans="1:5">
      <c r="A1859" s="473">
        <v>34544</v>
      </c>
      <c r="B1859" s="473" t="s">
        <v>11519</v>
      </c>
      <c r="C1859" s="473" t="s">
        <v>40</v>
      </c>
      <c r="D1859" s="473" t="s">
        <v>41</v>
      </c>
      <c r="E1859" s="361">
        <v>1368.71</v>
      </c>
    </row>
    <row r="1860" spans="1:5">
      <c r="A1860" s="473">
        <v>34729</v>
      </c>
      <c r="B1860" s="473" t="s">
        <v>11520</v>
      </c>
      <c r="C1860" s="473" t="s">
        <v>40</v>
      </c>
      <c r="D1860" s="473" t="s">
        <v>41</v>
      </c>
      <c r="E1860" s="361">
        <v>1076.7</v>
      </c>
    </row>
    <row r="1861" spans="1:5">
      <c r="A1861" s="473">
        <v>34734</v>
      </c>
      <c r="B1861" s="473" t="s">
        <v>11521</v>
      </c>
      <c r="C1861" s="473" t="s">
        <v>40</v>
      </c>
      <c r="D1861" s="473" t="s">
        <v>41</v>
      </c>
      <c r="E1861" s="361">
        <v>1667.08</v>
      </c>
    </row>
    <row r="1862" spans="1:5">
      <c r="A1862" s="473">
        <v>34738</v>
      </c>
      <c r="B1862" s="473" t="s">
        <v>11522</v>
      </c>
      <c r="C1862" s="473" t="s">
        <v>40</v>
      </c>
      <c r="D1862" s="473" t="s">
        <v>41</v>
      </c>
      <c r="E1862" s="361">
        <v>3894.81</v>
      </c>
    </row>
    <row r="1863" spans="1:5">
      <c r="A1863" s="473">
        <v>2391</v>
      </c>
      <c r="B1863" s="473" t="s">
        <v>11523</v>
      </c>
      <c r="C1863" s="473" t="s">
        <v>40</v>
      </c>
      <c r="D1863" s="473" t="s">
        <v>41</v>
      </c>
      <c r="E1863" s="361">
        <v>316.77</v>
      </c>
    </row>
    <row r="1864" spans="1:5">
      <c r="A1864" s="473">
        <v>2374</v>
      </c>
      <c r="B1864" s="473" t="s">
        <v>11524</v>
      </c>
      <c r="C1864" s="473" t="s">
        <v>40</v>
      </c>
      <c r="D1864" s="473" t="s">
        <v>41</v>
      </c>
      <c r="E1864" s="361">
        <v>359.37</v>
      </c>
    </row>
    <row r="1865" spans="1:5">
      <c r="A1865" s="473">
        <v>2377</v>
      </c>
      <c r="B1865" s="473" t="s">
        <v>11525</v>
      </c>
      <c r="C1865" s="473" t="s">
        <v>40</v>
      </c>
      <c r="D1865" s="473" t="s">
        <v>41</v>
      </c>
      <c r="E1865" s="361">
        <v>504.34</v>
      </c>
    </row>
    <row r="1866" spans="1:5">
      <c r="A1866" s="473">
        <v>2393</v>
      </c>
      <c r="B1866" s="473" t="s">
        <v>11526</v>
      </c>
      <c r="C1866" s="473" t="s">
        <v>40</v>
      </c>
      <c r="D1866" s="473" t="s">
        <v>41</v>
      </c>
      <c r="E1866" s="361">
        <v>844.59</v>
      </c>
    </row>
    <row r="1867" spans="1:5">
      <c r="A1867" s="473">
        <v>34705</v>
      </c>
      <c r="B1867" s="473" t="s">
        <v>11527</v>
      </c>
      <c r="C1867" s="473" t="s">
        <v>40</v>
      </c>
      <c r="D1867" s="473" t="s">
        <v>41</v>
      </c>
      <c r="E1867" s="361">
        <v>738.71</v>
      </c>
    </row>
    <row r="1868" spans="1:5">
      <c r="A1868" s="473">
        <v>34707</v>
      </c>
      <c r="B1868" s="473" t="s">
        <v>11528</v>
      </c>
      <c r="C1868" s="473" t="s">
        <v>40</v>
      </c>
      <c r="D1868" s="473" t="s">
        <v>41</v>
      </c>
      <c r="E1868" s="361">
        <v>1368.85</v>
      </c>
    </row>
    <row r="1869" spans="1:5">
      <c r="A1869" s="473">
        <v>2378</v>
      </c>
      <c r="B1869" s="473" t="s">
        <v>11529</v>
      </c>
      <c r="C1869" s="473" t="s">
        <v>40</v>
      </c>
      <c r="D1869" s="473" t="s">
        <v>41</v>
      </c>
      <c r="E1869" s="361">
        <v>1160.1500000000001</v>
      </c>
    </row>
    <row r="1870" spans="1:5">
      <c r="A1870" s="473">
        <v>2379</v>
      </c>
      <c r="B1870" s="473" t="s">
        <v>11530</v>
      </c>
      <c r="C1870" s="473" t="s">
        <v>40</v>
      </c>
      <c r="D1870" s="473" t="s">
        <v>41</v>
      </c>
      <c r="E1870" s="361">
        <v>1160.1500000000001</v>
      </c>
    </row>
    <row r="1871" spans="1:5">
      <c r="A1871" s="473">
        <v>2376</v>
      </c>
      <c r="B1871" s="473" t="s">
        <v>11531</v>
      </c>
      <c r="C1871" s="473" t="s">
        <v>40</v>
      </c>
      <c r="D1871" s="473" t="s">
        <v>41</v>
      </c>
      <c r="E1871" s="361">
        <v>1910.77</v>
      </c>
    </row>
    <row r="1872" spans="1:5">
      <c r="A1872" s="473">
        <v>2394</v>
      </c>
      <c r="B1872" s="473" t="s">
        <v>11532</v>
      </c>
      <c r="C1872" s="473" t="s">
        <v>40</v>
      </c>
      <c r="D1872" s="473" t="s">
        <v>41</v>
      </c>
      <c r="E1872" s="361">
        <v>4084.88</v>
      </c>
    </row>
    <row r="1873" spans="1:5">
      <c r="A1873" s="473">
        <v>34686</v>
      </c>
      <c r="B1873" s="473" t="s">
        <v>11533</v>
      </c>
      <c r="C1873" s="473" t="s">
        <v>40</v>
      </c>
      <c r="D1873" s="473" t="s">
        <v>41</v>
      </c>
      <c r="E1873" s="361">
        <v>12.26</v>
      </c>
    </row>
    <row r="1874" spans="1:5">
      <c r="A1874" s="473">
        <v>34616</v>
      </c>
      <c r="B1874" s="473" t="s">
        <v>11534</v>
      </c>
      <c r="C1874" s="473" t="s">
        <v>40</v>
      </c>
      <c r="D1874" s="473" t="s">
        <v>41</v>
      </c>
      <c r="E1874" s="361">
        <v>47.4</v>
      </c>
    </row>
    <row r="1875" spans="1:5">
      <c r="A1875" s="473">
        <v>34623</v>
      </c>
      <c r="B1875" s="473" t="s">
        <v>11535</v>
      </c>
      <c r="C1875" s="473" t="s">
        <v>40</v>
      </c>
      <c r="D1875" s="473" t="s">
        <v>41</v>
      </c>
      <c r="E1875" s="361">
        <v>46.67</v>
      </c>
    </row>
    <row r="1876" spans="1:5">
      <c r="A1876" s="473">
        <v>34628</v>
      </c>
      <c r="B1876" s="473" t="s">
        <v>11536</v>
      </c>
      <c r="C1876" s="473" t="s">
        <v>40</v>
      </c>
      <c r="D1876" s="473" t="s">
        <v>41</v>
      </c>
      <c r="E1876" s="361">
        <v>66.849999999999994</v>
      </c>
    </row>
    <row r="1877" spans="1:5">
      <c r="A1877" s="473">
        <v>34653</v>
      </c>
      <c r="B1877" s="473" t="s">
        <v>11537</v>
      </c>
      <c r="C1877" s="473" t="s">
        <v>40</v>
      </c>
      <c r="D1877" s="473" t="s">
        <v>41</v>
      </c>
      <c r="E1877" s="361">
        <v>8.27</v>
      </c>
    </row>
    <row r="1878" spans="1:5">
      <c r="A1878" s="473">
        <v>34688</v>
      </c>
      <c r="B1878" s="473" t="s">
        <v>11538</v>
      </c>
      <c r="C1878" s="473" t="s">
        <v>40</v>
      </c>
      <c r="D1878" s="473" t="s">
        <v>41</v>
      </c>
      <c r="E1878" s="361">
        <v>14.98</v>
      </c>
    </row>
    <row r="1879" spans="1:5">
      <c r="A1879" s="473">
        <v>34709</v>
      </c>
      <c r="B1879" s="473" t="s">
        <v>11539</v>
      </c>
      <c r="C1879" s="473" t="s">
        <v>40</v>
      </c>
      <c r="D1879" s="473" t="s">
        <v>41</v>
      </c>
      <c r="E1879" s="361">
        <v>58.07</v>
      </c>
    </row>
    <row r="1880" spans="1:5">
      <c r="A1880" s="473">
        <v>34714</v>
      </c>
      <c r="B1880" s="473" t="s">
        <v>11540</v>
      </c>
      <c r="C1880" s="473" t="s">
        <v>40</v>
      </c>
      <c r="D1880" s="473" t="s">
        <v>41</v>
      </c>
      <c r="E1880" s="361">
        <v>69.36</v>
      </c>
    </row>
    <row r="1881" spans="1:5">
      <c r="A1881" s="473">
        <v>2388</v>
      </c>
      <c r="B1881" s="473" t="s">
        <v>11541</v>
      </c>
      <c r="C1881" s="473" t="s">
        <v>40</v>
      </c>
      <c r="D1881" s="473" t="s">
        <v>41</v>
      </c>
      <c r="E1881" s="361">
        <v>57.64</v>
      </c>
    </row>
    <row r="1882" spans="1:5">
      <c r="A1882" s="473">
        <v>34606</v>
      </c>
      <c r="B1882" s="473" t="s">
        <v>11542</v>
      </c>
      <c r="C1882" s="473" t="s">
        <v>40</v>
      </c>
      <c r="D1882" s="473" t="s">
        <v>41</v>
      </c>
      <c r="E1882" s="361">
        <v>88.41</v>
      </c>
    </row>
    <row r="1883" spans="1:5">
      <c r="A1883" s="473">
        <v>34689</v>
      </c>
      <c r="B1883" s="473" t="s">
        <v>11543</v>
      </c>
      <c r="C1883" s="473" t="s">
        <v>40</v>
      </c>
      <c r="D1883" s="473" t="s">
        <v>41</v>
      </c>
      <c r="E1883" s="361">
        <v>28.15</v>
      </c>
    </row>
    <row r="1884" spans="1:5">
      <c r="A1884" s="473">
        <v>2370</v>
      </c>
      <c r="B1884" s="473" t="s">
        <v>11544</v>
      </c>
      <c r="C1884" s="473" t="s">
        <v>40</v>
      </c>
      <c r="D1884" s="473" t="s">
        <v>44</v>
      </c>
      <c r="E1884" s="361">
        <v>10.71</v>
      </c>
    </row>
    <row r="1885" spans="1:5">
      <c r="A1885" s="473">
        <v>2386</v>
      </c>
      <c r="B1885" s="473" t="s">
        <v>11545</v>
      </c>
      <c r="C1885" s="473" t="s">
        <v>40</v>
      </c>
      <c r="D1885" s="473" t="s">
        <v>41</v>
      </c>
      <c r="E1885" s="361">
        <v>17.96</v>
      </c>
    </row>
    <row r="1886" spans="1:5">
      <c r="A1886" s="473">
        <v>2392</v>
      </c>
      <c r="B1886" s="473" t="s">
        <v>11546</v>
      </c>
      <c r="C1886" s="473" t="s">
        <v>40</v>
      </c>
      <c r="D1886" s="473" t="s">
        <v>41</v>
      </c>
      <c r="E1886" s="361">
        <v>71.89</v>
      </c>
    </row>
    <row r="1887" spans="1:5">
      <c r="A1887" s="473">
        <v>2373</v>
      </c>
      <c r="B1887" s="473" t="s">
        <v>11547</v>
      </c>
      <c r="C1887" s="473" t="s">
        <v>40</v>
      </c>
      <c r="D1887" s="473" t="s">
        <v>41</v>
      </c>
      <c r="E1887" s="361">
        <v>101.29</v>
      </c>
    </row>
    <row r="1888" spans="1:5">
      <c r="A1888" s="473">
        <v>39465</v>
      </c>
      <c r="B1888" s="473" t="s">
        <v>11548</v>
      </c>
      <c r="C1888" s="473" t="s">
        <v>40</v>
      </c>
      <c r="D1888" s="473" t="s">
        <v>41</v>
      </c>
      <c r="E1888" s="361">
        <v>61.88</v>
      </c>
    </row>
    <row r="1889" spans="1:5">
      <c r="A1889" s="473">
        <v>39466</v>
      </c>
      <c r="B1889" s="473" t="s">
        <v>11549</v>
      </c>
      <c r="C1889" s="473" t="s">
        <v>40</v>
      </c>
      <c r="D1889" s="473" t="s">
        <v>41</v>
      </c>
      <c r="E1889" s="361">
        <v>69.61</v>
      </c>
    </row>
    <row r="1890" spans="1:5">
      <c r="A1890" s="473">
        <v>39467</v>
      </c>
      <c r="B1890" s="473" t="s">
        <v>11550</v>
      </c>
      <c r="C1890" s="473" t="s">
        <v>40</v>
      </c>
      <c r="D1890" s="473" t="s">
        <v>41</v>
      </c>
      <c r="E1890" s="361">
        <v>89.04</v>
      </c>
    </row>
    <row r="1891" spans="1:5">
      <c r="A1891" s="473">
        <v>39468</v>
      </c>
      <c r="B1891" s="473" t="s">
        <v>11551</v>
      </c>
      <c r="C1891" s="473" t="s">
        <v>40</v>
      </c>
      <c r="D1891" s="473" t="s">
        <v>41</v>
      </c>
      <c r="E1891" s="361">
        <v>158.27000000000001</v>
      </c>
    </row>
    <row r="1892" spans="1:5">
      <c r="A1892" s="473">
        <v>39469</v>
      </c>
      <c r="B1892" s="473" t="s">
        <v>11552</v>
      </c>
      <c r="C1892" s="473" t="s">
        <v>40</v>
      </c>
      <c r="D1892" s="473" t="s">
        <v>41</v>
      </c>
      <c r="E1892" s="361">
        <v>64.47</v>
      </c>
    </row>
    <row r="1893" spans="1:5">
      <c r="A1893" s="473">
        <v>39470</v>
      </c>
      <c r="B1893" s="473" t="s">
        <v>11553</v>
      </c>
      <c r="C1893" s="473" t="s">
        <v>40</v>
      </c>
      <c r="D1893" s="473" t="s">
        <v>41</v>
      </c>
      <c r="E1893" s="361">
        <v>79.209999999999994</v>
      </c>
    </row>
    <row r="1894" spans="1:5">
      <c r="A1894" s="473">
        <v>39471</v>
      </c>
      <c r="B1894" s="473" t="s">
        <v>11554</v>
      </c>
      <c r="C1894" s="473" t="s">
        <v>40</v>
      </c>
      <c r="D1894" s="473" t="s">
        <v>41</v>
      </c>
      <c r="E1894" s="361">
        <v>95.2</v>
      </c>
    </row>
    <row r="1895" spans="1:5">
      <c r="A1895" s="473">
        <v>39472</v>
      </c>
      <c r="B1895" s="473" t="s">
        <v>11555</v>
      </c>
      <c r="C1895" s="473" t="s">
        <v>40</v>
      </c>
      <c r="D1895" s="473" t="s">
        <v>41</v>
      </c>
      <c r="E1895" s="361">
        <v>165.4</v>
      </c>
    </row>
    <row r="1896" spans="1:5">
      <c r="A1896" s="473">
        <v>39473</v>
      </c>
      <c r="B1896" s="473" t="s">
        <v>11556</v>
      </c>
      <c r="C1896" s="473" t="s">
        <v>40</v>
      </c>
      <c r="D1896" s="473" t="s">
        <v>41</v>
      </c>
      <c r="E1896" s="361">
        <v>106.85</v>
      </c>
    </row>
    <row r="1897" spans="1:5">
      <c r="A1897" s="473">
        <v>39474</v>
      </c>
      <c r="B1897" s="473" t="s">
        <v>11557</v>
      </c>
      <c r="C1897" s="473" t="s">
        <v>40</v>
      </c>
      <c r="D1897" s="473" t="s">
        <v>41</v>
      </c>
      <c r="E1897" s="361">
        <v>113.91</v>
      </c>
    </row>
    <row r="1898" spans="1:5">
      <c r="A1898" s="473">
        <v>39475</v>
      </c>
      <c r="B1898" s="473" t="s">
        <v>11558</v>
      </c>
      <c r="C1898" s="473" t="s">
        <v>40</v>
      </c>
      <c r="D1898" s="473" t="s">
        <v>41</v>
      </c>
      <c r="E1898" s="361">
        <v>129.24</v>
      </c>
    </row>
    <row r="1899" spans="1:5">
      <c r="A1899" s="473">
        <v>39476</v>
      </c>
      <c r="B1899" s="473" t="s">
        <v>11559</v>
      </c>
      <c r="C1899" s="473" t="s">
        <v>40</v>
      </c>
      <c r="D1899" s="473" t="s">
        <v>41</v>
      </c>
      <c r="E1899" s="361">
        <v>243.29</v>
      </c>
    </row>
    <row r="1900" spans="1:5">
      <c r="A1900" s="473">
        <v>39477</v>
      </c>
      <c r="B1900" s="473" t="s">
        <v>11560</v>
      </c>
      <c r="C1900" s="473" t="s">
        <v>40</v>
      </c>
      <c r="D1900" s="473" t="s">
        <v>41</v>
      </c>
      <c r="E1900" s="361">
        <v>119.2</v>
      </c>
    </row>
    <row r="1901" spans="1:5">
      <c r="A1901" s="473">
        <v>39478</v>
      </c>
      <c r="B1901" s="473" t="s">
        <v>11561</v>
      </c>
      <c r="C1901" s="473" t="s">
        <v>40</v>
      </c>
      <c r="D1901" s="473" t="s">
        <v>41</v>
      </c>
      <c r="E1901" s="361">
        <v>122.89</v>
      </c>
    </row>
    <row r="1902" spans="1:5">
      <c r="A1902" s="473">
        <v>39479</v>
      </c>
      <c r="B1902" s="473" t="s">
        <v>11562</v>
      </c>
      <c r="C1902" s="473" t="s">
        <v>40</v>
      </c>
      <c r="D1902" s="473" t="s">
        <v>41</v>
      </c>
      <c r="E1902" s="361">
        <v>144.79</v>
      </c>
    </row>
    <row r="1903" spans="1:5">
      <c r="A1903" s="473">
        <v>39480</v>
      </c>
      <c r="B1903" s="473" t="s">
        <v>11563</v>
      </c>
      <c r="C1903" s="473" t="s">
        <v>40</v>
      </c>
      <c r="D1903" s="473" t="s">
        <v>41</v>
      </c>
      <c r="E1903" s="361">
        <v>298.77999999999997</v>
      </c>
    </row>
    <row r="1904" spans="1:5">
      <c r="A1904" s="473">
        <v>39459</v>
      </c>
      <c r="B1904" s="473" t="s">
        <v>11564</v>
      </c>
      <c r="C1904" s="473" t="s">
        <v>40</v>
      </c>
      <c r="D1904" s="473" t="s">
        <v>41</v>
      </c>
      <c r="E1904" s="361">
        <v>253.59</v>
      </c>
    </row>
    <row r="1905" spans="1:5">
      <c r="A1905" s="473">
        <v>39445</v>
      </c>
      <c r="B1905" s="473" t="s">
        <v>11565</v>
      </c>
      <c r="C1905" s="473" t="s">
        <v>40</v>
      </c>
      <c r="D1905" s="473" t="s">
        <v>41</v>
      </c>
      <c r="E1905" s="361">
        <v>127.33</v>
      </c>
    </row>
    <row r="1906" spans="1:5">
      <c r="A1906" s="473">
        <v>39446</v>
      </c>
      <c r="B1906" s="473" t="s">
        <v>11566</v>
      </c>
      <c r="C1906" s="473" t="s">
        <v>40</v>
      </c>
      <c r="D1906" s="473" t="s">
        <v>41</v>
      </c>
      <c r="E1906" s="361">
        <v>129.59</v>
      </c>
    </row>
    <row r="1907" spans="1:5">
      <c r="A1907" s="473">
        <v>39447</v>
      </c>
      <c r="B1907" s="473" t="s">
        <v>11567</v>
      </c>
      <c r="C1907" s="473" t="s">
        <v>40</v>
      </c>
      <c r="D1907" s="473" t="s">
        <v>41</v>
      </c>
      <c r="E1907" s="361">
        <v>138.58000000000001</v>
      </c>
    </row>
    <row r="1908" spans="1:5">
      <c r="A1908" s="473">
        <v>39448</v>
      </c>
      <c r="B1908" s="473" t="s">
        <v>11568</v>
      </c>
      <c r="C1908" s="473" t="s">
        <v>40</v>
      </c>
      <c r="D1908" s="473" t="s">
        <v>41</v>
      </c>
      <c r="E1908" s="361">
        <v>236.31</v>
      </c>
    </row>
    <row r="1909" spans="1:5">
      <c r="A1909" s="473">
        <v>39450</v>
      </c>
      <c r="B1909" s="473" t="s">
        <v>11569</v>
      </c>
      <c r="C1909" s="473" t="s">
        <v>40</v>
      </c>
      <c r="D1909" s="473" t="s">
        <v>41</v>
      </c>
      <c r="E1909" s="361">
        <v>144.18</v>
      </c>
    </row>
    <row r="1910" spans="1:5">
      <c r="A1910" s="473">
        <v>39451</v>
      </c>
      <c r="B1910" s="473" t="s">
        <v>11570</v>
      </c>
      <c r="C1910" s="473" t="s">
        <v>40</v>
      </c>
      <c r="D1910" s="473" t="s">
        <v>41</v>
      </c>
      <c r="E1910" s="361">
        <v>157.25</v>
      </c>
    </row>
    <row r="1911" spans="1:5">
      <c r="A1911" s="473">
        <v>39452</v>
      </c>
      <c r="B1911" s="473" t="s">
        <v>11571</v>
      </c>
      <c r="C1911" s="473" t="s">
        <v>40</v>
      </c>
      <c r="D1911" s="473" t="s">
        <v>41</v>
      </c>
      <c r="E1911" s="361">
        <v>158.19</v>
      </c>
    </row>
    <row r="1912" spans="1:5">
      <c r="A1912" s="473">
        <v>39523</v>
      </c>
      <c r="B1912" s="473" t="s">
        <v>11572</v>
      </c>
      <c r="C1912" s="473" t="s">
        <v>40</v>
      </c>
      <c r="D1912" s="473" t="s">
        <v>41</v>
      </c>
      <c r="E1912" s="361">
        <v>264.73</v>
      </c>
    </row>
    <row r="1913" spans="1:5">
      <c r="A1913" s="473">
        <v>39449</v>
      </c>
      <c r="B1913" s="473" t="s">
        <v>11573</v>
      </c>
      <c r="C1913" s="473" t="s">
        <v>40</v>
      </c>
      <c r="D1913" s="473" t="s">
        <v>41</v>
      </c>
      <c r="E1913" s="361">
        <v>293.18</v>
      </c>
    </row>
    <row r="1914" spans="1:5">
      <c r="A1914" s="473">
        <v>39455</v>
      </c>
      <c r="B1914" s="473" t="s">
        <v>11574</v>
      </c>
      <c r="C1914" s="473" t="s">
        <v>40</v>
      </c>
      <c r="D1914" s="473" t="s">
        <v>41</v>
      </c>
      <c r="E1914" s="361">
        <v>145.07</v>
      </c>
    </row>
    <row r="1915" spans="1:5">
      <c r="A1915" s="473">
        <v>39456</v>
      </c>
      <c r="B1915" s="473" t="s">
        <v>11575</v>
      </c>
      <c r="C1915" s="473" t="s">
        <v>40</v>
      </c>
      <c r="D1915" s="473" t="s">
        <v>41</v>
      </c>
      <c r="E1915" s="361">
        <v>145.18</v>
      </c>
    </row>
    <row r="1916" spans="1:5">
      <c r="A1916" s="473">
        <v>39457</v>
      </c>
      <c r="B1916" s="473" t="s">
        <v>11576</v>
      </c>
      <c r="C1916" s="473" t="s">
        <v>40</v>
      </c>
      <c r="D1916" s="473" t="s">
        <v>41</v>
      </c>
      <c r="E1916" s="361">
        <v>158.27000000000001</v>
      </c>
    </row>
    <row r="1917" spans="1:5">
      <c r="A1917" s="473">
        <v>39458</v>
      </c>
      <c r="B1917" s="473" t="s">
        <v>11577</v>
      </c>
      <c r="C1917" s="473" t="s">
        <v>40</v>
      </c>
      <c r="D1917" s="473" t="s">
        <v>41</v>
      </c>
      <c r="E1917" s="361">
        <v>295.33999999999997</v>
      </c>
    </row>
    <row r="1918" spans="1:5">
      <c r="A1918" s="473">
        <v>39464</v>
      </c>
      <c r="B1918" s="473" t="s">
        <v>11578</v>
      </c>
      <c r="C1918" s="473" t="s">
        <v>40</v>
      </c>
      <c r="D1918" s="473" t="s">
        <v>41</v>
      </c>
      <c r="E1918" s="361">
        <v>474.92</v>
      </c>
    </row>
    <row r="1919" spans="1:5">
      <c r="A1919" s="473">
        <v>39460</v>
      </c>
      <c r="B1919" s="473" t="s">
        <v>11579</v>
      </c>
      <c r="C1919" s="473" t="s">
        <v>40</v>
      </c>
      <c r="D1919" s="473" t="s">
        <v>41</v>
      </c>
      <c r="E1919" s="361">
        <v>180.13</v>
      </c>
    </row>
    <row r="1920" spans="1:5">
      <c r="A1920" s="473">
        <v>39461</v>
      </c>
      <c r="B1920" s="473" t="s">
        <v>11580</v>
      </c>
      <c r="C1920" s="473" t="s">
        <v>40</v>
      </c>
      <c r="D1920" s="473" t="s">
        <v>41</v>
      </c>
      <c r="E1920" s="361">
        <v>211.07</v>
      </c>
    </row>
    <row r="1921" spans="1:5">
      <c r="A1921" s="473">
        <v>39462</v>
      </c>
      <c r="B1921" s="473" t="s">
        <v>11581</v>
      </c>
      <c r="C1921" s="473" t="s">
        <v>40</v>
      </c>
      <c r="D1921" s="473" t="s">
        <v>41</v>
      </c>
      <c r="E1921" s="361">
        <v>203.41</v>
      </c>
    </row>
    <row r="1922" spans="1:5">
      <c r="A1922" s="473">
        <v>39463</v>
      </c>
      <c r="B1922" s="473" t="s">
        <v>11582</v>
      </c>
      <c r="C1922" s="473" t="s">
        <v>40</v>
      </c>
      <c r="D1922" s="473" t="s">
        <v>41</v>
      </c>
      <c r="E1922" s="361">
        <v>471.24</v>
      </c>
    </row>
    <row r="1923" spans="1:5">
      <c r="A1923" s="473">
        <v>26039</v>
      </c>
      <c r="B1923" s="473" t="s">
        <v>11583</v>
      </c>
      <c r="C1923" s="473" t="s">
        <v>40</v>
      </c>
      <c r="D1923" s="473" t="s">
        <v>47</v>
      </c>
      <c r="E1923" s="361">
        <v>249588.52</v>
      </c>
    </row>
    <row r="1924" spans="1:5">
      <c r="A1924" s="473">
        <v>2401</v>
      </c>
      <c r="B1924" s="473" t="s">
        <v>11584</v>
      </c>
      <c r="C1924" s="473" t="s">
        <v>40</v>
      </c>
      <c r="D1924" s="473" t="s">
        <v>47</v>
      </c>
      <c r="E1924" s="361">
        <v>57408.12</v>
      </c>
    </row>
    <row r="1925" spans="1:5">
      <c r="A1925" s="473">
        <v>38870</v>
      </c>
      <c r="B1925" s="473" t="s">
        <v>11585</v>
      </c>
      <c r="C1925" s="473" t="s">
        <v>40</v>
      </c>
      <c r="D1925" s="473" t="s">
        <v>47</v>
      </c>
      <c r="E1925" s="361">
        <v>36.450000000000003</v>
      </c>
    </row>
    <row r="1926" spans="1:5">
      <c r="A1926" s="473">
        <v>38869</v>
      </c>
      <c r="B1926" s="473" t="s">
        <v>11586</v>
      </c>
      <c r="C1926" s="473" t="s">
        <v>40</v>
      </c>
      <c r="D1926" s="473" t="s">
        <v>47</v>
      </c>
      <c r="E1926" s="361">
        <v>32.15</v>
      </c>
    </row>
    <row r="1927" spans="1:5">
      <c r="A1927" s="473">
        <v>38872</v>
      </c>
      <c r="B1927" s="473" t="s">
        <v>11587</v>
      </c>
      <c r="C1927" s="473" t="s">
        <v>40</v>
      </c>
      <c r="D1927" s="473" t="s">
        <v>47</v>
      </c>
      <c r="E1927" s="361">
        <v>49.79</v>
      </c>
    </row>
    <row r="1928" spans="1:5">
      <c r="A1928" s="473">
        <v>38871</v>
      </c>
      <c r="B1928" s="473" t="s">
        <v>11588</v>
      </c>
      <c r="C1928" s="473" t="s">
        <v>40</v>
      </c>
      <c r="D1928" s="473" t="s">
        <v>47</v>
      </c>
      <c r="E1928" s="361">
        <v>40.049999999999997</v>
      </c>
    </row>
    <row r="1929" spans="1:5">
      <c r="A1929" s="473">
        <v>39283</v>
      </c>
      <c r="B1929" s="473" t="s">
        <v>11589</v>
      </c>
      <c r="C1929" s="473" t="s">
        <v>40</v>
      </c>
      <c r="D1929" s="473" t="s">
        <v>47</v>
      </c>
      <c r="E1929" s="361">
        <v>124.76</v>
      </c>
    </row>
    <row r="1930" spans="1:5">
      <c r="A1930" s="473">
        <v>39284</v>
      </c>
      <c r="B1930" s="473" t="s">
        <v>11590</v>
      </c>
      <c r="C1930" s="473" t="s">
        <v>40</v>
      </c>
      <c r="D1930" s="473" t="s">
        <v>47</v>
      </c>
      <c r="E1930" s="361">
        <v>135.19999999999999</v>
      </c>
    </row>
    <row r="1931" spans="1:5">
      <c r="A1931" s="473">
        <v>39285</v>
      </c>
      <c r="B1931" s="473" t="s">
        <v>11591</v>
      </c>
      <c r="C1931" s="473" t="s">
        <v>40</v>
      </c>
      <c r="D1931" s="473" t="s">
        <v>47</v>
      </c>
      <c r="E1931" s="361">
        <v>137.15</v>
      </c>
    </row>
    <row r="1932" spans="1:5">
      <c r="A1932" s="473">
        <v>39286</v>
      </c>
      <c r="B1932" s="473" t="s">
        <v>11592</v>
      </c>
      <c r="C1932" s="473" t="s">
        <v>40</v>
      </c>
      <c r="D1932" s="473" t="s">
        <v>47</v>
      </c>
      <c r="E1932" s="361">
        <v>134.16</v>
      </c>
    </row>
    <row r="1933" spans="1:5">
      <c r="A1933" s="473">
        <v>39287</v>
      </c>
      <c r="B1933" s="473" t="s">
        <v>11593</v>
      </c>
      <c r="C1933" s="473" t="s">
        <v>40</v>
      </c>
      <c r="D1933" s="473" t="s">
        <v>47</v>
      </c>
      <c r="E1933" s="361">
        <v>157.53</v>
      </c>
    </row>
    <row r="1934" spans="1:5">
      <c r="A1934" s="473">
        <v>39288</v>
      </c>
      <c r="B1934" s="473" t="s">
        <v>11594</v>
      </c>
      <c r="C1934" s="473" t="s">
        <v>40</v>
      </c>
      <c r="D1934" s="473" t="s">
        <v>47</v>
      </c>
      <c r="E1934" s="361">
        <v>168.12</v>
      </c>
    </row>
    <row r="1935" spans="1:5">
      <c r="A1935" s="473">
        <v>2414</v>
      </c>
      <c r="B1935" s="473" t="s">
        <v>11595</v>
      </c>
      <c r="C1935" s="473" t="s">
        <v>46</v>
      </c>
      <c r="D1935" s="473" t="s">
        <v>47</v>
      </c>
      <c r="E1935" s="361">
        <v>95.49</v>
      </c>
    </row>
    <row r="1936" spans="1:5">
      <c r="A1936" s="473">
        <v>2413</v>
      </c>
      <c r="B1936" s="473" t="s">
        <v>11596</v>
      </c>
      <c r="C1936" s="473" t="s">
        <v>46</v>
      </c>
      <c r="D1936" s="473" t="s">
        <v>47</v>
      </c>
      <c r="E1936" s="361">
        <v>91.87</v>
      </c>
    </row>
    <row r="1937" spans="1:5">
      <c r="A1937" s="473">
        <v>2405</v>
      </c>
      <c r="B1937" s="473" t="s">
        <v>11597</v>
      </c>
      <c r="C1937" s="473" t="s">
        <v>46</v>
      </c>
      <c r="D1937" s="473" t="s">
        <v>47</v>
      </c>
      <c r="E1937" s="361">
        <v>106.93</v>
      </c>
    </row>
    <row r="1938" spans="1:5">
      <c r="A1938" s="473">
        <v>13361</v>
      </c>
      <c r="B1938" s="473" t="s">
        <v>11598</v>
      </c>
      <c r="C1938" s="473" t="s">
        <v>46</v>
      </c>
      <c r="D1938" s="473" t="s">
        <v>47</v>
      </c>
      <c r="E1938" s="361">
        <v>89.45</v>
      </c>
    </row>
    <row r="1939" spans="1:5">
      <c r="A1939" s="473">
        <v>11987</v>
      </c>
      <c r="B1939" s="473" t="s">
        <v>11599</v>
      </c>
      <c r="C1939" s="473" t="s">
        <v>46</v>
      </c>
      <c r="D1939" s="473" t="s">
        <v>47</v>
      </c>
      <c r="E1939" s="361">
        <v>239.35</v>
      </c>
    </row>
    <row r="1940" spans="1:5">
      <c r="A1940" s="473">
        <v>2416</v>
      </c>
      <c r="B1940" s="473" t="s">
        <v>11600</v>
      </c>
      <c r="C1940" s="473" t="s">
        <v>46</v>
      </c>
      <c r="D1940" s="473" t="s">
        <v>47</v>
      </c>
      <c r="E1940" s="361">
        <v>105.89</v>
      </c>
    </row>
    <row r="1941" spans="1:5">
      <c r="A1941" s="473">
        <v>2412</v>
      </c>
      <c r="B1941" s="473" t="s">
        <v>11601</v>
      </c>
      <c r="C1941" s="473" t="s">
        <v>46</v>
      </c>
      <c r="D1941" s="473" t="s">
        <v>47</v>
      </c>
      <c r="E1941" s="361">
        <v>102.26</v>
      </c>
    </row>
    <row r="1942" spans="1:5">
      <c r="A1942" s="473">
        <v>2411</v>
      </c>
      <c r="B1942" s="473" t="s">
        <v>11602</v>
      </c>
      <c r="C1942" s="473" t="s">
        <v>46</v>
      </c>
      <c r="D1942" s="473" t="s">
        <v>47</v>
      </c>
      <c r="E1942" s="361">
        <v>89.45</v>
      </c>
    </row>
    <row r="1943" spans="1:5">
      <c r="A1943" s="473">
        <v>2406</v>
      </c>
      <c r="B1943" s="473" t="s">
        <v>11603</v>
      </c>
      <c r="C1943" s="473" t="s">
        <v>46</v>
      </c>
      <c r="D1943" s="473" t="s">
        <v>47</v>
      </c>
      <c r="E1943" s="361">
        <v>87.03</v>
      </c>
    </row>
    <row r="1944" spans="1:5">
      <c r="A1944" s="473">
        <v>10571</v>
      </c>
      <c r="B1944" s="473" t="s">
        <v>11604</v>
      </c>
      <c r="C1944" s="473" t="s">
        <v>46</v>
      </c>
      <c r="D1944" s="473" t="s">
        <v>47</v>
      </c>
      <c r="E1944" s="361">
        <v>212.75</v>
      </c>
    </row>
    <row r="1945" spans="1:5">
      <c r="A1945" s="473">
        <v>11985</v>
      </c>
      <c r="B1945" s="473" t="s">
        <v>11605</v>
      </c>
      <c r="C1945" s="473" t="s">
        <v>46</v>
      </c>
      <c r="D1945" s="473" t="s">
        <v>47</v>
      </c>
      <c r="E1945" s="361">
        <v>205.5</v>
      </c>
    </row>
    <row r="1946" spans="1:5">
      <c r="A1946" s="473">
        <v>2410</v>
      </c>
      <c r="B1946" s="473" t="s">
        <v>11606</v>
      </c>
      <c r="C1946" s="473" t="s">
        <v>46</v>
      </c>
      <c r="D1946" s="473" t="s">
        <v>47</v>
      </c>
      <c r="E1946" s="361">
        <v>90.66</v>
      </c>
    </row>
    <row r="1947" spans="1:5">
      <c r="A1947" s="473">
        <v>2417</v>
      </c>
      <c r="B1947" s="473" t="s">
        <v>11607</v>
      </c>
      <c r="C1947" s="473" t="s">
        <v>46</v>
      </c>
      <c r="D1947" s="473" t="s">
        <v>47</v>
      </c>
      <c r="E1947" s="361">
        <v>96.7</v>
      </c>
    </row>
    <row r="1948" spans="1:5">
      <c r="A1948" s="473">
        <v>2415</v>
      </c>
      <c r="B1948" s="473" t="s">
        <v>11608</v>
      </c>
      <c r="C1948" s="473" t="s">
        <v>46</v>
      </c>
      <c r="D1948" s="473" t="s">
        <v>47</v>
      </c>
      <c r="E1948" s="361">
        <v>77.36</v>
      </c>
    </row>
    <row r="1949" spans="1:5">
      <c r="A1949" s="473">
        <v>13360</v>
      </c>
      <c r="B1949" s="473" t="s">
        <v>11609</v>
      </c>
      <c r="C1949" s="473" t="s">
        <v>46</v>
      </c>
      <c r="D1949" s="473" t="s">
        <v>47</v>
      </c>
      <c r="E1949" s="361">
        <v>77.36</v>
      </c>
    </row>
    <row r="1950" spans="1:5">
      <c r="A1950" s="473">
        <v>11983</v>
      </c>
      <c r="B1950" s="473" t="s">
        <v>11610</v>
      </c>
      <c r="C1950" s="473" t="s">
        <v>46</v>
      </c>
      <c r="D1950" s="473" t="s">
        <v>47</v>
      </c>
      <c r="E1950" s="361">
        <v>188.58</v>
      </c>
    </row>
    <row r="1951" spans="1:5">
      <c r="A1951" s="473">
        <v>11986</v>
      </c>
      <c r="B1951" s="473" t="s">
        <v>11611</v>
      </c>
      <c r="C1951" s="473" t="s">
        <v>46</v>
      </c>
      <c r="D1951" s="473" t="s">
        <v>47</v>
      </c>
      <c r="E1951" s="361">
        <v>229.68</v>
      </c>
    </row>
    <row r="1952" spans="1:5">
      <c r="A1952" s="473">
        <v>25976</v>
      </c>
      <c r="B1952" s="473" t="s">
        <v>11612</v>
      </c>
      <c r="C1952" s="473" t="s">
        <v>46</v>
      </c>
      <c r="D1952" s="473" t="s">
        <v>41</v>
      </c>
      <c r="E1952" s="361">
        <v>552.07000000000005</v>
      </c>
    </row>
    <row r="1953" spans="1:5">
      <c r="A1953" s="473">
        <v>10629</v>
      </c>
      <c r="B1953" s="473" t="s">
        <v>11613</v>
      </c>
      <c r="C1953" s="473" t="s">
        <v>46</v>
      </c>
      <c r="D1953" s="473" t="s">
        <v>41</v>
      </c>
      <c r="E1953" s="361">
        <v>259.13</v>
      </c>
    </row>
    <row r="1954" spans="1:5">
      <c r="A1954" s="473">
        <v>10698</v>
      </c>
      <c r="B1954" s="473" t="s">
        <v>11614</v>
      </c>
      <c r="C1954" s="473" t="s">
        <v>46</v>
      </c>
      <c r="D1954" s="473" t="s">
        <v>41</v>
      </c>
      <c r="E1954" s="361">
        <v>119.56</v>
      </c>
    </row>
    <row r="1955" spans="1:5">
      <c r="A1955" s="473">
        <v>40521</v>
      </c>
      <c r="B1955" s="473" t="s">
        <v>11615</v>
      </c>
      <c r="C1955" s="473" t="s">
        <v>40</v>
      </c>
      <c r="D1955" s="473" t="s">
        <v>41</v>
      </c>
      <c r="E1955" s="361">
        <v>72411.45</v>
      </c>
    </row>
    <row r="1956" spans="1:5">
      <c r="A1956" s="473">
        <v>2432</v>
      </c>
      <c r="B1956" s="473" t="s">
        <v>11616</v>
      </c>
      <c r="C1956" s="473" t="s">
        <v>40</v>
      </c>
      <c r="D1956" s="473" t="s">
        <v>41</v>
      </c>
      <c r="E1956" s="361">
        <v>19.399999999999999</v>
      </c>
    </row>
    <row r="1957" spans="1:5">
      <c r="A1957" s="473">
        <v>2418</v>
      </c>
      <c r="B1957" s="473" t="s">
        <v>11617</v>
      </c>
      <c r="C1957" s="473" t="s">
        <v>40</v>
      </c>
      <c r="D1957" s="473" t="s">
        <v>44</v>
      </c>
      <c r="E1957" s="361">
        <v>9</v>
      </c>
    </row>
    <row r="1958" spans="1:5">
      <c r="A1958" s="473">
        <v>2433</v>
      </c>
      <c r="B1958" s="473" t="s">
        <v>11618</v>
      </c>
      <c r="C1958" s="473" t="s">
        <v>40</v>
      </c>
      <c r="D1958" s="473" t="s">
        <v>41</v>
      </c>
      <c r="E1958" s="361">
        <v>6.57</v>
      </c>
    </row>
    <row r="1959" spans="1:5">
      <c r="A1959" s="473">
        <v>2420</v>
      </c>
      <c r="B1959" s="473" t="s">
        <v>11619</v>
      </c>
      <c r="C1959" s="473" t="s">
        <v>40</v>
      </c>
      <c r="D1959" s="473" t="s">
        <v>41</v>
      </c>
      <c r="E1959" s="361">
        <v>11.29</v>
      </c>
    </row>
    <row r="1960" spans="1:5">
      <c r="A1960" s="473">
        <v>2421</v>
      </c>
      <c r="B1960" s="473" t="s">
        <v>11620</v>
      </c>
      <c r="C1960" s="473" t="s">
        <v>40</v>
      </c>
      <c r="D1960" s="473" t="s">
        <v>41</v>
      </c>
      <c r="E1960" s="361">
        <v>24.63</v>
      </c>
    </row>
    <row r="1961" spans="1:5">
      <c r="A1961" s="473">
        <v>11447</v>
      </c>
      <c r="B1961" s="473" t="s">
        <v>11621</v>
      </c>
      <c r="C1961" s="473" t="s">
        <v>40</v>
      </c>
      <c r="D1961" s="473" t="s">
        <v>41</v>
      </c>
      <c r="E1961" s="361">
        <v>22.31</v>
      </c>
    </row>
    <row r="1962" spans="1:5">
      <c r="A1962" s="473">
        <v>2429</v>
      </c>
      <c r="B1962" s="473" t="s">
        <v>11622</v>
      </c>
      <c r="C1962" s="473" t="s">
        <v>40</v>
      </c>
      <c r="D1962" s="473" t="s">
        <v>41</v>
      </c>
      <c r="E1962" s="361">
        <v>56.46</v>
      </c>
    </row>
    <row r="1963" spans="1:5">
      <c r="A1963" s="473">
        <v>11449</v>
      </c>
      <c r="B1963" s="473" t="s">
        <v>11623</v>
      </c>
      <c r="C1963" s="473" t="s">
        <v>40</v>
      </c>
      <c r="D1963" s="473" t="s">
        <v>41</v>
      </c>
      <c r="E1963" s="361">
        <v>60.82</v>
      </c>
    </row>
    <row r="1964" spans="1:5">
      <c r="A1964" s="473">
        <v>11451</v>
      </c>
      <c r="B1964" s="473" t="s">
        <v>11624</v>
      </c>
      <c r="C1964" s="473" t="s">
        <v>40</v>
      </c>
      <c r="D1964" s="473" t="s">
        <v>41</v>
      </c>
      <c r="E1964" s="361">
        <v>59.8</v>
      </c>
    </row>
    <row r="1965" spans="1:5">
      <c r="A1965" s="473">
        <v>11116</v>
      </c>
      <c r="B1965" s="473" t="s">
        <v>11625</v>
      </c>
      <c r="C1965" s="473" t="s">
        <v>40</v>
      </c>
      <c r="D1965" s="473" t="s">
        <v>47</v>
      </c>
      <c r="E1965" s="361">
        <v>444.59</v>
      </c>
    </row>
    <row r="1966" spans="1:5">
      <c r="A1966" s="473">
        <v>38411</v>
      </c>
      <c r="B1966" s="473" t="s">
        <v>11626</v>
      </c>
      <c r="C1966" s="473" t="s">
        <v>40</v>
      </c>
      <c r="D1966" s="473" t="s">
        <v>41</v>
      </c>
      <c r="E1966" s="361">
        <v>1139.42</v>
      </c>
    </row>
    <row r="1967" spans="1:5">
      <c r="A1967" s="473">
        <v>1370</v>
      </c>
      <c r="B1967" s="473" t="s">
        <v>11627</v>
      </c>
      <c r="C1967" s="473" t="s">
        <v>40</v>
      </c>
      <c r="D1967" s="473" t="s">
        <v>41</v>
      </c>
      <c r="E1967" s="361">
        <v>67.95</v>
      </c>
    </row>
    <row r="1968" spans="1:5">
      <c r="A1968" s="473">
        <v>38189</v>
      </c>
      <c r="B1968" s="473" t="s">
        <v>11628</v>
      </c>
      <c r="C1968" s="473" t="s">
        <v>40</v>
      </c>
      <c r="D1968" s="473" t="s">
        <v>41</v>
      </c>
      <c r="E1968" s="361">
        <v>165.25</v>
      </c>
    </row>
    <row r="1969" spans="1:5">
      <c r="A1969" s="473">
        <v>38190</v>
      </c>
      <c r="B1969" s="473" t="s">
        <v>11629</v>
      </c>
      <c r="C1969" s="473" t="s">
        <v>40</v>
      </c>
      <c r="D1969" s="473" t="s">
        <v>41</v>
      </c>
      <c r="E1969" s="361">
        <v>371.6</v>
      </c>
    </row>
    <row r="1970" spans="1:5">
      <c r="A1970" s="473">
        <v>36516</v>
      </c>
      <c r="B1970" s="473" t="s">
        <v>11630</v>
      </c>
      <c r="C1970" s="473" t="s">
        <v>40</v>
      </c>
      <c r="D1970" s="473" t="s">
        <v>47</v>
      </c>
      <c r="E1970" s="361">
        <v>69964.94</v>
      </c>
    </row>
    <row r="1971" spans="1:5">
      <c r="A1971" s="473">
        <v>34777</v>
      </c>
      <c r="B1971" s="473" t="s">
        <v>11631</v>
      </c>
      <c r="C1971" s="473" t="s">
        <v>40</v>
      </c>
      <c r="D1971" s="473" t="s">
        <v>41</v>
      </c>
      <c r="E1971" s="361">
        <v>1.44</v>
      </c>
    </row>
    <row r="1972" spans="1:5">
      <c r="A1972" s="473">
        <v>7273</v>
      </c>
      <c r="B1972" s="473" t="s">
        <v>11632</v>
      </c>
      <c r="C1972" s="473" t="s">
        <v>40</v>
      </c>
      <c r="D1972" s="473" t="s">
        <v>41</v>
      </c>
      <c r="E1972" s="361">
        <v>2.37</v>
      </c>
    </row>
    <row r="1973" spans="1:5">
      <c r="A1973" s="473">
        <v>7272</v>
      </c>
      <c r="B1973" s="473" t="s">
        <v>11633</v>
      </c>
      <c r="C1973" s="473" t="s">
        <v>40</v>
      </c>
      <c r="D1973" s="473" t="s">
        <v>41</v>
      </c>
      <c r="E1973" s="361">
        <v>3.31</v>
      </c>
    </row>
    <row r="1974" spans="1:5">
      <c r="A1974" s="473">
        <v>10605</v>
      </c>
      <c r="B1974" s="473" t="s">
        <v>11634</v>
      </c>
      <c r="C1974" s="473" t="s">
        <v>40</v>
      </c>
      <c r="D1974" s="473" t="s">
        <v>41</v>
      </c>
      <c r="E1974" s="361">
        <v>1.65</v>
      </c>
    </row>
    <row r="1975" spans="1:5">
      <c r="A1975" s="473">
        <v>10604</v>
      </c>
      <c r="B1975" s="473" t="s">
        <v>11635</v>
      </c>
      <c r="C1975" s="473" t="s">
        <v>40</v>
      </c>
      <c r="D1975" s="473" t="s">
        <v>41</v>
      </c>
      <c r="E1975" s="361">
        <v>3.3</v>
      </c>
    </row>
    <row r="1976" spans="1:5">
      <c r="A1976" s="473">
        <v>672</v>
      </c>
      <c r="B1976" s="473" t="s">
        <v>11636</v>
      </c>
      <c r="C1976" s="473" t="s">
        <v>40</v>
      </c>
      <c r="D1976" s="473" t="s">
        <v>41</v>
      </c>
      <c r="E1976" s="361">
        <v>3.33</v>
      </c>
    </row>
    <row r="1977" spans="1:5">
      <c r="A1977" s="473">
        <v>668</v>
      </c>
      <c r="B1977" s="473" t="s">
        <v>11637</v>
      </c>
      <c r="C1977" s="473" t="s">
        <v>40</v>
      </c>
      <c r="D1977" s="473" t="s">
        <v>41</v>
      </c>
      <c r="E1977" s="361">
        <v>5.25</v>
      </c>
    </row>
    <row r="1978" spans="1:5">
      <c r="A1978" s="473">
        <v>10578</v>
      </c>
      <c r="B1978" s="473" t="s">
        <v>11638</v>
      </c>
      <c r="C1978" s="473" t="s">
        <v>40</v>
      </c>
      <c r="D1978" s="473" t="s">
        <v>41</v>
      </c>
      <c r="E1978" s="361">
        <v>9.15</v>
      </c>
    </row>
    <row r="1979" spans="1:5">
      <c r="A1979" s="473">
        <v>666</v>
      </c>
      <c r="B1979" s="473" t="s">
        <v>11639</v>
      </c>
      <c r="C1979" s="473" t="s">
        <v>40</v>
      </c>
      <c r="D1979" s="473" t="s">
        <v>41</v>
      </c>
      <c r="E1979" s="361">
        <v>9.09</v>
      </c>
    </row>
    <row r="1980" spans="1:5">
      <c r="A1980" s="473">
        <v>665</v>
      </c>
      <c r="B1980" s="473" t="s">
        <v>11640</v>
      </c>
      <c r="C1980" s="473" t="s">
        <v>40</v>
      </c>
      <c r="D1980" s="473" t="s">
        <v>41</v>
      </c>
      <c r="E1980" s="361">
        <v>17.02</v>
      </c>
    </row>
    <row r="1981" spans="1:5">
      <c r="A1981" s="473">
        <v>10577</v>
      </c>
      <c r="B1981" s="473" t="s">
        <v>11641</v>
      </c>
      <c r="C1981" s="473" t="s">
        <v>40</v>
      </c>
      <c r="D1981" s="473" t="s">
        <v>41</v>
      </c>
      <c r="E1981" s="361">
        <v>13.33</v>
      </c>
    </row>
    <row r="1982" spans="1:5">
      <c r="A1982" s="473">
        <v>10583</v>
      </c>
      <c r="B1982" s="473" t="s">
        <v>11642</v>
      </c>
      <c r="C1982" s="473" t="s">
        <v>40</v>
      </c>
      <c r="D1982" s="473" t="s">
        <v>41</v>
      </c>
      <c r="E1982" s="361">
        <v>7.47</v>
      </c>
    </row>
    <row r="1983" spans="1:5">
      <c r="A1983" s="473">
        <v>10579</v>
      </c>
      <c r="B1983" s="473" t="s">
        <v>11643</v>
      </c>
      <c r="C1983" s="473" t="s">
        <v>40</v>
      </c>
      <c r="D1983" s="473" t="s">
        <v>41</v>
      </c>
      <c r="E1983" s="361">
        <v>12.19</v>
      </c>
    </row>
    <row r="1984" spans="1:5">
      <c r="A1984" s="473">
        <v>10582</v>
      </c>
      <c r="B1984" s="473" t="s">
        <v>11644</v>
      </c>
      <c r="C1984" s="473" t="s">
        <v>40</v>
      </c>
      <c r="D1984" s="473" t="s">
        <v>41</v>
      </c>
      <c r="E1984" s="361">
        <v>4.26</v>
      </c>
    </row>
    <row r="1985" spans="1:5">
      <c r="A1985" s="473">
        <v>2436</v>
      </c>
      <c r="B1985" s="473" t="s">
        <v>11645</v>
      </c>
      <c r="C1985" s="473" t="s">
        <v>43</v>
      </c>
      <c r="D1985" s="473" t="s">
        <v>44</v>
      </c>
      <c r="E1985" s="361">
        <v>13.54</v>
      </c>
    </row>
    <row r="1986" spans="1:5">
      <c r="A1986" s="473">
        <v>40918</v>
      </c>
      <c r="B1986" s="473" t="s">
        <v>11646</v>
      </c>
      <c r="C1986" s="473" t="s">
        <v>53</v>
      </c>
      <c r="D1986" s="473" t="s">
        <v>41</v>
      </c>
      <c r="E1986" s="361">
        <v>2413.96</v>
      </c>
    </row>
    <row r="1987" spans="1:5">
      <c r="A1987" s="473">
        <v>2439</v>
      </c>
      <c r="B1987" s="473" t="s">
        <v>11647</v>
      </c>
      <c r="C1987" s="473" t="s">
        <v>43</v>
      </c>
      <c r="D1987" s="473" t="s">
        <v>41</v>
      </c>
      <c r="E1987" s="361">
        <v>13.54</v>
      </c>
    </row>
    <row r="1988" spans="1:5">
      <c r="A1988" s="473">
        <v>40923</v>
      </c>
      <c r="B1988" s="473" t="s">
        <v>11648</v>
      </c>
      <c r="C1988" s="473" t="s">
        <v>53</v>
      </c>
      <c r="D1988" s="473" t="s">
        <v>41</v>
      </c>
      <c r="E1988" s="361">
        <v>2416.75</v>
      </c>
    </row>
    <row r="1989" spans="1:5">
      <c r="A1989" s="473">
        <v>10998</v>
      </c>
      <c r="B1989" s="473" t="s">
        <v>11649</v>
      </c>
      <c r="C1989" s="473" t="s">
        <v>49</v>
      </c>
      <c r="D1989" s="473" t="s">
        <v>41</v>
      </c>
      <c r="E1989" s="361">
        <v>18.739999999999998</v>
      </c>
    </row>
    <row r="1990" spans="1:5">
      <c r="A1990" s="473">
        <v>11002</v>
      </c>
      <c r="B1990" s="473" t="s">
        <v>11650</v>
      </c>
      <c r="C1990" s="473" t="s">
        <v>49</v>
      </c>
      <c r="D1990" s="473" t="s">
        <v>41</v>
      </c>
      <c r="E1990" s="361">
        <v>17.170000000000002</v>
      </c>
    </row>
    <row r="1991" spans="1:5">
      <c r="A1991" s="473">
        <v>10999</v>
      </c>
      <c r="B1991" s="473" t="s">
        <v>11651</v>
      </c>
      <c r="C1991" s="473" t="s">
        <v>49</v>
      </c>
      <c r="D1991" s="473" t="s">
        <v>41</v>
      </c>
      <c r="E1991" s="361">
        <v>16.489999999999998</v>
      </c>
    </row>
    <row r="1992" spans="1:5">
      <c r="A1992" s="473">
        <v>10997</v>
      </c>
      <c r="B1992" s="473" t="s">
        <v>11652</v>
      </c>
      <c r="C1992" s="473" t="s">
        <v>49</v>
      </c>
      <c r="D1992" s="473" t="s">
        <v>44</v>
      </c>
      <c r="E1992" s="361">
        <v>17.88</v>
      </c>
    </row>
    <row r="1993" spans="1:5">
      <c r="A1993" s="473">
        <v>2685</v>
      </c>
      <c r="B1993" s="473" t="s">
        <v>11653</v>
      </c>
      <c r="C1993" s="473" t="s">
        <v>48</v>
      </c>
      <c r="D1993" s="473" t="s">
        <v>41</v>
      </c>
      <c r="E1993" s="361">
        <v>4.3600000000000003</v>
      </c>
    </row>
    <row r="1994" spans="1:5">
      <c r="A1994" s="473">
        <v>2680</v>
      </c>
      <c r="B1994" s="473" t="s">
        <v>11654</v>
      </c>
      <c r="C1994" s="473" t="s">
        <v>48</v>
      </c>
      <c r="D1994" s="473" t="s">
        <v>41</v>
      </c>
      <c r="E1994" s="361">
        <v>6.38</v>
      </c>
    </row>
    <row r="1995" spans="1:5">
      <c r="A1995" s="473">
        <v>2684</v>
      </c>
      <c r="B1995" s="473" t="s">
        <v>11655</v>
      </c>
      <c r="C1995" s="473" t="s">
        <v>48</v>
      </c>
      <c r="D1995" s="473" t="s">
        <v>41</v>
      </c>
      <c r="E1995" s="361">
        <v>5.8</v>
      </c>
    </row>
    <row r="1996" spans="1:5">
      <c r="A1996" s="473">
        <v>2673</v>
      </c>
      <c r="B1996" s="473" t="s">
        <v>11656</v>
      </c>
      <c r="C1996" s="473" t="s">
        <v>48</v>
      </c>
      <c r="D1996" s="473" t="s">
        <v>44</v>
      </c>
      <c r="E1996" s="361">
        <v>2.2400000000000002</v>
      </c>
    </row>
    <row r="1997" spans="1:5">
      <c r="A1997" s="473">
        <v>2681</v>
      </c>
      <c r="B1997" s="473" t="s">
        <v>11657</v>
      </c>
      <c r="C1997" s="473" t="s">
        <v>48</v>
      </c>
      <c r="D1997" s="473" t="s">
        <v>41</v>
      </c>
      <c r="E1997" s="361">
        <v>10.42</v>
      </c>
    </row>
    <row r="1998" spans="1:5">
      <c r="A1998" s="473">
        <v>2682</v>
      </c>
      <c r="B1998" s="473" t="s">
        <v>11658</v>
      </c>
      <c r="C1998" s="473" t="s">
        <v>48</v>
      </c>
      <c r="D1998" s="473" t="s">
        <v>41</v>
      </c>
      <c r="E1998" s="361">
        <v>15.2</v>
      </c>
    </row>
    <row r="1999" spans="1:5">
      <c r="A1999" s="473">
        <v>2686</v>
      </c>
      <c r="B1999" s="473" t="s">
        <v>11659</v>
      </c>
      <c r="C1999" s="473" t="s">
        <v>48</v>
      </c>
      <c r="D1999" s="473" t="s">
        <v>41</v>
      </c>
      <c r="E1999" s="361">
        <v>19.07</v>
      </c>
    </row>
    <row r="2000" spans="1:5">
      <c r="A2000" s="473">
        <v>2674</v>
      </c>
      <c r="B2000" s="473" t="s">
        <v>11660</v>
      </c>
      <c r="C2000" s="473" t="s">
        <v>48</v>
      </c>
      <c r="D2000" s="473" t="s">
        <v>41</v>
      </c>
      <c r="E2000" s="361">
        <v>2.79</v>
      </c>
    </row>
    <row r="2001" spans="1:5">
      <c r="A2001" s="473">
        <v>2683</v>
      </c>
      <c r="B2001" s="473" t="s">
        <v>11661</v>
      </c>
      <c r="C2001" s="473" t="s">
        <v>48</v>
      </c>
      <c r="D2001" s="473" t="s">
        <v>41</v>
      </c>
      <c r="E2001" s="361">
        <v>30.05</v>
      </c>
    </row>
    <row r="2002" spans="1:5">
      <c r="A2002" s="473">
        <v>2676</v>
      </c>
      <c r="B2002" s="473" t="s">
        <v>11662</v>
      </c>
      <c r="C2002" s="473" t="s">
        <v>48</v>
      </c>
      <c r="D2002" s="473" t="s">
        <v>41</v>
      </c>
      <c r="E2002" s="361">
        <v>1.3</v>
      </c>
    </row>
    <row r="2003" spans="1:5">
      <c r="A2003" s="473">
        <v>2678</v>
      </c>
      <c r="B2003" s="473" t="s">
        <v>11663</v>
      </c>
      <c r="C2003" s="473" t="s">
        <v>48</v>
      </c>
      <c r="D2003" s="473" t="s">
        <v>41</v>
      </c>
      <c r="E2003" s="361">
        <v>1.63</v>
      </c>
    </row>
    <row r="2004" spans="1:5">
      <c r="A2004" s="473">
        <v>2679</v>
      </c>
      <c r="B2004" s="473" t="s">
        <v>11664</v>
      </c>
      <c r="C2004" s="473" t="s">
        <v>48</v>
      </c>
      <c r="D2004" s="473" t="s">
        <v>41</v>
      </c>
      <c r="E2004" s="361">
        <v>2.5099999999999998</v>
      </c>
    </row>
    <row r="2005" spans="1:5">
      <c r="A2005" s="473">
        <v>12070</v>
      </c>
      <c r="B2005" s="473" t="s">
        <v>11665</v>
      </c>
      <c r="C2005" s="473" t="s">
        <v>48</v>
      </c>
      <c r="D2005" s="473" t="s">
        <v>41</v>
      </c>
      <c r="E2005" s="361">
        <v>3.5</v>
      </c>
    </row>
    <row r="2006" spans="1:5">
      <c r="A2006" s="473">
        <v>2675</v>
      </c>
      <c r="B2006" s="473" t="s">
        <v>11666</v>
      </c>
      <c r="C2006" s="473" t="s">
        <v>48</v>
      </c>
      <c r="D2006" s="473" t="s">
        <v>41</v>
      </c>
      <c r="E2006" s="361">
        <v>4.55</v>
      </c>
    </row>
    <row r="2007" spans="1:5">
      <c r="A2007" s="473">
        <v>12067</v>
      </c>
      <c r="B2007" s="473" t="s">
        <v>11667</v>
      </c>
      <c r="C2007" s="473" t="s">
        <v>48</v>
      </c>
      <c r="D2007" s="473" t="s">
        <v>41</v>
      </c>
      <c r="E2007" s="361">
        <v>6.17</v>
      </c>
    </row>
    <row r="2008" spans="1:5">
      <c r="A2008" s="473">
        <v>40401</v>
      </c>
      <c r="B2008" s="473" t="s">
        <v>11668</v>
      </c>
      <c r="C2008" s="473" t="s">
        <v>48</v>
      </c>
      <c r="D2008" s="473" t="s">
        <v>47</v>
      </c>
      <c r="E2008" s="361">
        <v>2.15</v>
      </c>
    </row>
    <row r="2009" spans="1:5">
      <c r="A2009" s="473">
        <v>40402</v>
      </c>
      <c r="B2009" s="473" t="s">
        <v>11669</v>
      </c>
      <c r="C2009" s="473" t="s">
        <v>48</v>
      </c>
      <c r="D2009" s="473" t="s">
        <v>47</v>
      </c>
      <c r="E2009" s="361">
        <v>2.76</v>
      </c>
    </row>
    <row r="2010" spans="1:5">
      <c r="A2010" s="473">
        <v>40400</v>
      </c>
      <c r="B2010" s="473" t="s">
        <v>11670</v>
      </c>
      <c r="C2010" s="473" t="s">
        <v>48</v>
      </c>
      <c r="D2010" s="473" t="s">
        <v>47</v>
      </c>
      <c r="E2010" s="361">
        <v>1.46</v>
      </c>
    </row>
    <row r="2011" spans="1:5">
      <c r="A2011" s="473">
        <v>2504</v>
      </c>
      <c r="B2011" s="473" t="s">
        <v>11671</v>
      </c>
      <c r="C2011" s="473" t="s">
        <v>48</v>
      </c>
      <c r="D2011" s="473" t="s">
        <v>47</v>
      </c>
      <c r="E2011" s="361">
        <v>10.16</v>
      </c>
    </row>
    <row r="2012" spans="1:5">
      <c r="A2012" s="473">
        <v>2501</v>
      </c>
      <c r="B2012" s="473" t="s">
        <v>11672</v>
      </c>
      <c r="C2012" s="473" t="s">
        <v>48</v>
      </c>
      <c r="D2012" s="473" t="s">
        <v>47</v>
      </c>
      <c r="E2012" s="361">
        <v>13.33</v>
      </c>
    </row>
    <row r="2013" spans="1:5">
      <c r="A2013" s="473">
        <v>2502</v>
      </c>
      <c r="B2013" s="473" t="s">
        <v>11673</v>
      </c>
      <c r="C2013" s="473" t="s">
        <v>48</v>
      </c>
      <c r="D2013" s="473" t="s">
        <v>47</v>
      </c>
      <c r="E2013" s="361">
        <v>20.11</v>
      </c>
    </row>
    <row r="2014" spans="1:5">
      <c r="A2014" s="473">
        <v>2503</v>
      </c>
      <c r="B2014" s="473" t="s">
        <v>11674</v>
      </c>
      <c r="C2014" s="473" t="s">
        <v>48</v>
      </c>
      <c r="D2014" s="473" t="s">
        <v>47</v>
      </c>
      <c r="E2014" s="361">
        <v>25.88</v>
      </c>
    </row>
    <row r="2015" spans="1:5">
      <c r="A2015" s="473">
        <v>2500</v>
      </c>
      <c r="B2015" s="473" t="s">
        <v>11675</v>
      </c>
      <c r="C2015" s="473" t="s">
        <v>48</v>
      </c>
      <c r="D2015" s="473" t="s">
        <v>47</v>
      </c>
      <c r="E2015" s="361">
        <v>34.479999999999997</v>
      </c>
    </row>
    <row r="2016" spans="1:5">
      <c r="A2016" s="473">
        <v>2505</v>
      </c>
      <c r="B2016" s="473" t="s">
        <v>11676</v>
      </c>
      <c r="C2016" s="473" t="s">
        <v>48</v>
      </c>
      <c r="D2016" s="473" t="s">
        <v>47</v>
      </c>
      <c r="E2016" s="361">
        <v>53.73</v>
      </c>
    </row>
    <row r="2017" spans="1:5">
      <c r="A2017" s="473">
        <v>12056</v>
      </c>
      <c r="B2017" s="473" t="s">
        <v>11677</v>
      </c>
      <c r="C2017" s="473" t="s">
        <v>48</v>
      </c>
      <c r="D2017" s="473" t="s">
        <v>47</v>
      </c>
      <c r="E2017" s="361">
        <v>21.71</v>
      </c>
    </row>
    <row r="2018" spans="1:5">
      <c r="A2018" s="473">
        <v>12057</v>
      </c>
      <c r="B2018" s="473" t="s">
        <v>11678</v>
      </c>
      <c r="C2018" s="473" t="s">
        <v>48</v>
      </c>
      <c r="D2018" s="473" t="s">
        <v>47</v>
      </c>
      <c r="E2018" s="361">
        <v>18.440000000000001</v>
      </c>
    </row>
    <row r="2019" spans="1:5">
      <c r="A2019" s="473">
        <v>12059</v>
      </c>
      <c r="B2019" s="473" t="s">
        <v>11679</v>
      </c>
      <c r="C2019" s="473" t="s">
        <v>48</v>
      </c>
      <c r="D2019" s="473" t="s">
        <v>47</v>
      </c>
      <c r="E2019" s="361">
        <v>6.47</v>
      </c>
    </row>
    <row r="2020" spans="1:5">
      <c r="A2020" s="473">
        <v>12058</v>
      </c>
      <c r="B2020" s="473" t="s">
        <v>11680</v>
      </c>
      <c r="C2020" s="473" t="s">
        <v>48</v>
      </c>
      <c r="D2020" s="473" t="s">
        <v>47</v>
      </c>
      <c r="E2020" s="361">
        <v>11.49</v>
      </c>
    </row>
    <row r="2021" spans="1:5">
      <c r="A2021" s="473">
        <v>12060</v>
      </c>
      <c r="B2021" s="473" t="s">
        <v>11681</v>
      </c>
      <c r="C2021" s="473" t="s">
        <v>48</v>
      </c>
      <c r="D2021" s="473" t="s">
        <v>47</v>
      </c>
      <c r="E2021" s="361">
        <v>47.91</v>
      </c>
    </row>
    <row r="2022" spans="1:5">
      <c r="A2022" s="473">
        <v>12061</v>
      </c>
      <c r="B2022" s="473" t="s">
        <v>11682</v>
      </c>
      <c r="C2022" s="473" t="s">
        <v>48</v>
      </c>
      <c r="D2022" s="473" t="s">
        <v>47</v>
      </c>
      <c r="E2022" s="361">
        <v>29.25</v>
      </c>
    </row>
    <row r="2023" spans="1:5">
      <c r="A2023" s="473">
        <v>12062</v>
      </c>
      <c r="B2023" s="473" t="s">
        <v>11683</v>
      </c>
      <c r="C2023" s="473" t="s">
        <v>48</v>
      </c>
      <c r="D2023" s="473" t="s">
        <v>47</v>
      </c>
      <c r="E2023" s="361">
        <v>53.95</v>
      </c>
    </row>
    <row r="2024" spans="1:5">
      <c r="A2024" s="473">
        <v>21137</v>
      </c>
      <c r="B2024" s="473" t="s">
        <v>11684</v>
      </c>
      <c r="C2024" s="473" t="s">
        <v>48</v>
      </c>
      <c r="D2024" s="473" t="s">
        <v>47</v>
      </c>
      <c r="E2024" s="361">
        <v>9.3699999999999992</v>
      </c>
    </row>
    <row r="2025" spans="1:5">
      <c r="A2025" s="473">
        <v>2687</v>
      </c>
      <c r="B2025" s="473" t="s">
        <v>11685</v>
      </c>
      <c r="C2025" s="473" t="s">
        <v>48</v>
      </c>
      <c r="D2025" s="473" t="s">
        <v>41</v>
      </c>
      <c r="E2025" s="361">
        <v>1.1299999999999999</v>
      </c>
    </row>
    <row r="2026" spans="1:5">
      <c r="A2026" s="473">
        <v>2689</v>
      </c>
      <c r="B2026" s="473" t="s">
        <v>11686</v>
      </c>
      <c r="C2026" s="473" t="s">
        <v>48</v>
      </c>
      <c r="D2026" s="473" t="s">
        <v>41</v>
      </c>
      <c r="E2026" s="361">
        <v>1.35</v>
      </c>
    </row>
    <row r="2027" spans="1:5">
      <c r="A2027" s="473">
        <v>2688</v>
      </c>
      <c r="B2027" s="473" t="s">
        <v>11687</v>
      </c>
      <c r="C2027" s="473" t="s">
        <v>48</v>
      </c>
      <c r="D2027" s="473" t="s">
        <v>41</v>
      </c>
      <c r="E2027" s="361">
        <v>1.46</v>
      </c>
    </row>
    <row r="2028" spans="1:5">
      <c r="A2028" s="473">
        <v>2690</v>
      </c>
      <c r="B2028" s="473" t="s">
        <v>11688</v>
      </c>
      <c r="C2028" s="473" t="s">
        <v>48</v>
      </c>
      <c r="D2028" s="473" t="s">
        <v>41</v>
      </c>
      <c r="E2028" s="361">
        <v>2.5099999999999998</v>
      </c>
    </row>
    <row r="2029" spans="1:5">
      <c r="A2029" s="473">
        <v>39243</v>
      </c>
      <c r="B2029" s="473" t="s">
        <v>11689</v>
      </c>
      <c r="C2029" s="473" t="s">
        <v>48</v>
      </c>
      <c r="D2029" s="473" t="s">
        <v>41</v>
      </c>
      <c r="E2029" s="361">
        <v>1.65</v>
      </c>
    </row>
    <row r="2030" spans="1:5">
      <c r="A2030" s="473">
        <v>39244</v>
      </c>
      <c r="B2030" s="473" t="s">
        <v>11690</v>
      </c>
      <c r="C2030" s="473" t="s">
        <v>48</v>
      </c>
      <c r="D2030" s="473" t="s">
        <v>41</v>
      </c>
      <c r="E2030" s="361">
        <v>2.23</v>
      </c>
    </row>
    <row r="2031" spans="1:5">
      <c r="A2031" s="473">
        <v>39245</v>
      </c>
      <c r="B2031" s="473" t="s">
        <v>11691</v>
      </c>
      <c r="C2031" s="473" t="s">
        <v>48</v>
      </c>
      <c r="D2031" s="473" t="s">
        <v>41</v>
      </c>
      <c r="E2031" s="361">
        <v>4.3</v>
      </c>
    </row>
    <row r="2032" spans="1:5">
      <c r="A2032" s="473">
        <v>39254</v>
      </c>
      <c r="B2032" s="473" t="s">
        <v>11692</v>
      </c>
      <c r="C2032" s="473" t="s">
        <v>48</v>
      </c>
      <c r="D2032" s="473" t="s">
        <v>41</v>
      </c>
      <c r="E2032" s="361">
        <v>6.43</v>
      </c>
    </row>
    <row r="2033" spans="1:5">
      <c r="A2033" s="473">
        <v>39255</v>
      </c>
      <c r="B2033" s="473" t="s">
        <v>11693</v>
      </c>
      <c r="C2033" s="473" t="s">
        <v>48</v>
      </c>
      <c r="D2033" s="473" t="s">
        <v>41</v>
      </c>
      <c r="E2033" s="361">
        <v>11.9</v>
      </c>
    </row>
    <row r="2034" spans="1:5">
      <c r="A2034" s="473">
        <v>39253</v>
      </c>
      <c r="B2034" s="473" t="s">
        <v>11694</v>
      </c>
      <c r="C2034" s="473" t="s">
        <v>48</v>
      </c>
      <c r="D2034" s="473" t="s">
        <v>41</v>
      </c>
      <c r="E2034" s="361">
        <v>8.1999999999999993</v>
      </c>
    </row>
    <row r="2035" spans="1:5">
      <c r="A2035" s="473">
        <v>2446</v>
      </c>
      <c r="B2035" s="473" t="s">
        <v>11695</v>
      </c>
      <c r="C2035" s="473" t="s">
        <v>48</v>
      </c>
      <c r="D2035" s="473" t="s">
        <v>47</v>
      </c>
      <c r="E2035" s="361">
        <v>5.37</v>
      </c>
    </row>
    <row r="2036" spans="1:5">
      <c r="A2036" s="473">
        <v>2442</v>
      </c>
      <c r="B2036" s="473" t="s">
        <v>11696</v>
      </c>
      <c r="C2036" s="473" t="s">
        <v>48</v>
      </c>
      <c r="D2036" s="473" t="s">
        <v>47</v>
      </c>
      <c r="E2036" s="361">
        <v>7.52</v>
      </c>
    </row>
    <row r="2037" spans="1:5">
      <c r="A2037" s="473">
        <v>39246</v>
      </c>
      <c r="B2037" s="473" t="s">
        <v>11697</v>
      </c>
      <c r="C2037" s="473" t="s">
        <v>48</v>
      </c>
      <c r="D2037" s="473" t="s">
        <v>47</v>
      </c>
      <c r="E2037" s="361">
        <v>3.74</v>
      </c>
    </row>
    <row r="2038" spans="1:5">
      <c r="A2038" s="473">
        <v>39247</v>
      </c>
      <c r="B2038" s="473" t="s">
        <v>11698</v>
      </c>
      <c r="C2038" s="473" t="s">
        <v>48</v>
      </c>
      <c r="D2038" s="473" t="s">
        <v>47</v>
      </c>
      <c r="E2038" s="361">
        <v>3.26</v>
      </c>
    </row>
    <row r="2039" spans="1:5">
      <c r="A2039" s="473">
        <v>39248</v>
      </c>
      <c r="B2039" s="473" t="s">
        <v>11699</v>
      </c>
      <c r="C2039" s="473" t="s">
        <v>48</v>
      </c>
      <c r="D2039" s="473" t="s">
        <v>47</v>
      </c>
      <c r="E2039" s="361">
        <v>10.48</v>
      </c>
    </row>
    <row r="2040" spans="1:5">
      <c r="A2040" s="473">
        <v>2438</v>
      </c>
      <c r="B2040" s="473" t="s">
        <v>11700</v>
      </c>
      <c r="C2040" s="473" t="s">
        <v>43</v>
      </c>
      <c r="D2040" s="473" t="s">
        <v>41</v>
      </c>
      <c r="E2040" s="361">
        <v>19.97</v>
      </c>
    </row>
    <row r="2041" spans="1:5">
      <c r="A2041" s="473">
        <v>40922</v>
      </c>
      <c r="B2041" s="473" t="s">
        <v>11701</v>
      </c>
      <c r="C2041" s="473" t="s">
        <v>53</v>
      </c>
      <c r="D2041" s="473" t="s">
        <v>41</v>
      </c>
      <c r="E2041" s="361">
        <v>3560.74</v>
      </c>
    </row>
    <row r="2042" spans="1:5">
      <c r="A2042" s="473">
        <v>36486</v>
      </c>
      <c r="B2042" s="473" t="s">
        <v>11702</v>
      </c>
      <c r="C2042" s="473" t="s">
        <v>40</v>
      </c>
      <c r="D2042" s="473" t="s">
        <v>47</v>
      </c>
      <c r="E2042" s="361">
        <v>35157.769999999997</v>
      </c>
    </row>
    <row r="2043" spans="1:5">
      <c r="A2043" s="473">
        <v>37777</v>
      </c>
      <c r="B2043" s="473" t="s">
        <v>11703</v>
      </c>
      <c r="C2043" s="473" t="s">
        <v>40</v>
      </c>
      <c r="D2043" s="473" t="s">
        <v>47</v>
      </c>
      <c r="E2043" s="361">
        <v>165522.10999999999</v>
      </c>
    </row>
    <row r="2044" spans="1:5">
      <c r="A2044" s="473">
        <v>12624</v>
      </c>
      <c r="B2044" s="473" t="s">
        <v>11704</v>
      </c>
      <c r="C2044" s="473" t="s">
        <v>40</v>
      </c>
      <c r="D2044" s="473" t="s">
        <v>47</v>
      </c>
      <c r="E2044" s="361">
        <v>10.26</v>
      </c>
    </row>
    <row r="2045" spans="1:5">
      <c r="A2045" s="473">
        <v>10638</v>
      </c>
      <c r="B2045" s="473" t="s">
        <v>11705</v>
      </c>
      <c r="C2045" s="473" t="s">
        <v>40</v>
      </c>
      <c r="D2045" s="473" t="s">
        <v>47</v>
      </c>
      <c r="E2045" s="361">
        <v>324782.06</v>
      </c>
    </row>
    <row r="2046" spans="1:5">
      <c r="A2046" s="473">
        <v>10635</v>
      </c>
      <c r="B2046" s="473" t="s">
        <v>11706</v>
      </c>
      <c r="C2046" s="473" t="s">
        <v>40</v>
      </c>
      <c r="D2046" s="473" t="s">
        <v>47</v>
      </c>
      <c r="E2046" s="361">
        <v>112261.2</v>
      </c>
    </row>
    <row r="2047" spans="1:5">
      <c r="A2047" s="473">
        <v>10634</v>
      </c>
      <c r="B2047" s="473" t="s">
        <v>11707</v>
      </c>
      <c r="C2047" s="473" t="s">
        <v>40</v>
      </c>
      <c r="D2047" s="473" t="s">
        <v>47</v>
      </c>
      <c r="E2047" s="361">
        <v>96130</v>
      </c>
    </row>
    <row r="2048" spans="1:5">
      <c r="A2048" s="473">
        <v>10636</v>
      </c>
      <c r="B2048" s="473" t="s">
        <v>11708</v>
      </c>
      <c r="C2048" s="473" t="s">
        <v>40</v>
      </c>
      <c r="D2048" s="473" t="s">
        <v>47</v>
      </c>
      <c r="E2048" s="361">
        <v>211701.8</v>
      </c>
    </row>
    <row r="2049" spans="1:5">
      <c r="A2049" s="473">
        <v>10637</v>
      </c>
      <c r="B2049" s="473" t="s">
        <v>11709</v>
      </c>
      <c r="C2049" s="473" t="s">
        <v>40</v>
      </c>
      <c r="D2049" s="473" t="s">
        <v>47</v>
      </c>
      <c r="E2049" s="361">
        <v>221442.31</v>
      </c>
    </row>
    <row r="2050" spans="1:5">
      <c r="A2050" s="473">
        <v>517</v>
      </c>
      <c r="B2050" s="473" t="s">
        <v>11710</v>
      </c>
      <c r="C2050" s="473" t="s">
        <v>50</v>
      </c>
      <c r="D2050" s="473" t="s">
        <v>47</v>
      </c>
      <c r="E2050" s="361">
        <v>7.13</v>
      </c>
    </row>
    <row r="2051" spans="1:5">
      <c r="A2051" s="473">
        <v>41904</v>
      </c>
      <c r="B2051" s="473" t="s">
        <v>11711</v>
      </c>
      <c r="C2051" s="473" t="s">
        <v>57</v>
      </c>
      <c r="D2051" s="473" t="s">
        <v>47</v>
      </c>
      <c r="E2051" s="361">
        <v>2471.06</v>
      </c>
    </row>
    <row r="2052" spans="1:5">
      <c r="A2052" s="473">
        <v>41905</v>
      </c>
      <c r="B2052" s="473" t="s">
        <v>11712</v>
      </c>
      <c r="C2052" s="473" t="s">
        <v>49</v>
      </c>
      <c r="D2052" s="473" t="s">
        <v>47</v>
      </c>
      <c r="E2052" s="361">
        <v>2.27</v>
      </c>
    </row>
    <row r="2053" spans="1:5">
      <c r="A2053" s="473">
        <v>41903</v>
      </c>
      <c r="B2053" s="473" t="s">
        <v>11713</v>
      </c>
      <c r="C2053" s="473" t="s">
        <v>49</v>
      </c>
      <c r="D2053" s="473" t="s">
        <v>47</v>
      </c>
      <c r="E2053" s="361">
        <v>2.67</v>
      </c>
    </row>
    <row r="2054" spans="1:5">
      <c r="A2054" s="473">
        <v>37534</v>
      </c>
      <c r="B2054" s="473" t="s">
        <v>11714</v>
      </c>
      <c r="C2054" s="473" t="s">
        <v>49</v>
      </c>
      <c r="D2054" s="473" t="s">
        <v>47</v>
      </c>
      <c r="E2054" s="361">
        <v>16.170000000000002</v>
      </c>
    </row>
    <row r="2055" spans="1:5">
      <c r="A2055" s="473">
        <v>37535</v>
      </c>
      <c r="B2055" s="473" t="s">
        <v>11715</v>
      </c>
      <c r="C2055" s="473" t="s">
        <v>49</v>
      </c>
      <c r="D2055" s="473" t="s">
        <v>47</v>
      </c>
      <c r="E2055" s="361">
        <v>16.170000000000002</v>
      </c>
    </row>
    <row r="2056" spans="1:5">
      <c r="A2056" s="473">
        <v>37533</v>
      </c>
      <c r="B2056" s="473" t="s">
        <v>11716</v>
      </c>
      <c r="C2056" s="473" t="s">
        <v>49</v>
      </c>
      <c r="D2056" s="473" t="s">
        <v>47</v>
      </c>
      <c r="E2056" s="361">
        <v>16.170000000000002</v>
      </c>
    </row>
    <row r="2057" spans="1:5">
      <c r="A2057" s="473">
        <v>37537</v>
      </c>
      <c r="B2057" s="473" t="s">
        <v>11717</v>
      </c>
      <c r="C2057" s="473" t="s">
        <v>49</v>
      </c>
      <c r="D2057" s="473" t="s">
        <v>47</v>
      </c>
      <c r="E2057" s="361">
        <v>12.24</v>
      </c>
    </row>
    <row r="2058" spans="1:5">
      <c r="A2058" s="473">
        <v>37536</v>
      </c>
      <c r="B2058" s="473" t="s">
        <v>11718</v>
      </c>
      <c r="C2058" s="473" t="s">
        <v>49</v>
      </c>
      <c r="D2058" s="473" t="s">
        <v>47</v>
      </c>
      <c r="E2058" s="361">
        <v>12.24</v>
      </c>
    </row>
    <row r="2059" spans="1:5">
      <c r="A2059" s="473">
        <v>37532</v>
      </c>
      <c r="B2059" s="473" t="s">
        <v>11719</v>
      </c>
      <c r="C2059" s="473" t="s">
        <v>49</v>
      </c>
      <c r="D2059" s="473" t="s">
        <v>47</v>
      </c>
      <c r="E2059" s="361">
        <v>12.24</v>
      </c>
    </row>
    <row r="2060" spans="1:5">
      <c r="A2060" s="473">
        <v>2696</v>
      </c>
      <c r="B2060" s="473" t="s">
        <v>11720</v>
      </c>
      <c r="C2060" s="473" t="s">
        <v>43</v>
      </c>
      <c r="D2060" s="473" t="s">
        <v>44</v>
      </c>
      <c r="E2060" s="361">
        <v>13.54</v>
      </c>
    </row>
    <row r="2061" spans="1:5">
      <c r="A2061" s="473">
        <v>40928</v>
      </c>
      <c r="B2061" s="473" t="s">
        <v>11721</v>
      </c>
      <c r="C2061" s="473" t="s">
        <v>53</v>
      </c>
      <c r="D2061" s="473" t="s">
        <v>41</v>
      </c>
      <c r="E2061" s="361">
        <v>2413.96</v>
      </c>
    </row>
    <row r="2062" spans="1:5">
      <c r="A2062" s="473">
        <v>4083</v>
      </c>
      <c r="B2062" s="473" t="s">
        <v>11722</v>
      </c>
      <c r="C2062" s="473" t="s">
        <v>43</v>
      </c>
      <c r="D2062" s="473" t="s">
        <v>44</v>
      </c>
      <c r="E2062" s="361">
        <v>13.54</v>
      </c>
    </row>
    <row r="2063" spans="1:5">
      <c r="A2063" s="473">
        <v>40818</v>
      </c>
      <c r="B2063" s="473" t="s">
        <v>11723</v>
      </c>
      <c r="C2063" s="473" t="s">
        <v>53</v>
      </c>
      <c r="D2063" s="473" t="s">
        <v>41</v>
      </c>
      <c r="E2063" s="361">
        <v>2413.96</v>
      </c>
    </row>
    <row r="2064" spans="1:5">
      <c r="A2064" s="473">
        <v>2705</v>
      </c>
      <c r="B2064" s="473" t="s">
        <v>11724</v>
      </c>
      <c r="C2064" s="473" t="s">
        <v>61</v>
      </c>
      <c r="D2064" s="473" t="s">
        <v>41</v>
      </c>
      <c r="E2064" s="361">
        <v>0.66</v>
      </c>
    </row>
    <row r="2065" spans="1:5">
      <c r="A2065" s="473">
        <v>14250</v>
      </c>
      <c r="B2065" s="473" t="s">
        <v>11725</v>
      </c>
      <c r="C2065" s="473" t="s">
        <v>61</v>
      </c>
      <c r="D2065" s="473" t="s">
        <v>44</v>
      </c>
      <c r="E2065" s="361">
        <v>0.68</v>
      </c>
    </row>
    <row r="2066" spans="1:5">
      <c r="A2066" s="473">
        <v>11683</v>
      </c>
      <c r="B2066" s="473" t="s">
        <v>11726</v>
      </c>
      <c r="C2066" s="473" t="s">
        <v>40</v>
      </c>
      <c r="D2066" s="473" t="s">
        <v>41</v>
      </c>
      <c r="E2066" s="361">
        <v>22.77</v>
      </c>
    </row>
    <row r="2067" spans="1:5">
      <c r="A2067" s="473">
        <v>11684</v>
      </c>
      <c r="B2067" s="473" t="s">
        <v>11727</v>
      </c>
      <c r="C2067" s="473" t="s">
        <v>40</v>
      </c>
      <c r="D2067" s="473" t="s">
        <v>41</v>
      </c>
      <c r="E2067" s="361">
        <v>24.92</v>
      </c>
    </row>
    <row r="2068" spans="1:5">
      <c r="A2068" s="473">
        <v>6141</v>
      </c>
      <c r="B2068" s="473" t="s">
        <v>11728</v>
      </c>
      <c r="C2068" s="473" t="s">
        <v>40</v>
      </c>
      <c r="D2068" s="473" t="s">
        <v>41</v>
      </c>
      <c r="E2068" s="361">
        <v>3.11</v>
      </c>
    </row>
    <row r="2069" spans="1:5">
      <c r="A2069" s="473">
        <v>11681</v>
      </c>
      <c r="B2069" s="473" t="s">
        <v>11729</v>
      </c>
      <c r="C2069" s="473" t="s">
        <v>40</v>
      </c>
      <c r="D2069" s="473" t="s">
        <v>41</v>
      </c>
      <c r="E2069" s="361">
        <v>3.95</v>
      </c>
    </row>
    <row r="2070" spans="1:5">
      <c r="A2070" s="473">
        <v>2706</v>
      </c>
      <c r="B2070" s="473" t="s">
        <v>11730</v>
      </c>
      <c r="C2070" s="473" t="s">
        <v>43</v>
      </c>
      <c r="D2070" s="473" t="s">
        <v>44</v>
      </c>
      <c r="E2070" s="361">
        <v>71.17</v>
      </c>
    </row>
    <row r="2071" spans="1:5">
      <c r="A2071" s="473">
        <v>40811</v>
      </c>
      <c r="B2071" s="473" t="s">
        <v>11731</v>
      </c>
      <c r="C2071" s="473" t="s">
        <v>53</v>
      </c>
      <c r="D2071" s="473" t="s">
        <v>41</v>
      </c>
      <c r="E2071" s="361">
        <v>12681.53</v>
      </c>
    </row>
    <row r="2072" spans="1:5">
      <c r="A2072" s="473">
        <v>2707</v>
      </c>
      <c r="B2072" s="473" t="s">
        <v>11732</v>
      </c>
      <c r="C2072" s="473" t="s">
        <v>43</v>
      </c>
      <c r="D2072" s="473" t="s">
        <v>41</v>
      </c>
      <c r="E2072" s="361">
        <v>80.989999999999995</v>
      </c>
    </row>
    <row r="2073" spans="1:5">
      <c r="A2073" s="473">
        <v>40813</v>
      </c>
      <c r="B2073" s="473" t="s">
        <v>11733</v>
      </c>
      <c r="C2073" s="473" t="s">
        <v>53</v>
      </c>
      <c r="D2073" s="473" t="s">
        <v>41</v>
      </c>
      <c r="E2073" s="361">
        <v>14434.2</v>
      </c>
    </row>
    <row r="2074" spans="1:5">
      <c r="A2074" s="473">
        <v>2708</v>
      </c>
      <c r="B2074" s="473" t="s">
        <v>11734</v>
      </c>
      <c r="C2074" s="473" t="s">
        <v>43</v>
      </c>
      <c r="D2074" s="473" t="s">
        <v>41</v>
      </c>
      <c r="E2074" s="361">
        <v>110.72</v>
      </c>
    </row>
    <row r="2075" spans="1:5">
      <c r="A2075" s="473">
        <v>40814</v>
      </c>
      <c r="B2075" s="473" t="s">
        <v>11735</v>
      </c>
      <c r="C2075" s="473" t="s">
        <v>53</v>
      </c>
      <c r="D2075" s="473" t="s">
        <v>41</v>
      </c>
      <c r="E2075" s="361">
        <v>19731.150000000001</v>
      </c>
    </row>
    <row r="2076" spans="1:5">
      <c r="A2076" s="473">
        <v>34779</v>
      </c>
      <c r="B2076" s="473" t="s">
        <v>11736</v>
      </c>
      <c r="C2076" s="473" t="s">
        <v>43</v>
      </c>
      <c r="D2076" s="473" t="s">
        <v>41</v>
      </c>
      <c r="E2076" s="361">
        <v>72.2</v>
      </c>
    </row>
    <row r="2077" spans="1:5">
      <c r="A2077" s="473">
        <v>40936</v>
      </c>
      <c r="B2077" s="473" t="s">
        <v>11737</v>
      </c>
      <c r="C2077" s="473" t="s">
        <v>53</v>
      </c>
      <c r="D2077" s="473" t="s">
        <v>41</v>
      </c>
      <c r="E2077" s="361">
        <v>12866.52</v>
      </c>
    </row>
    <row r="2078" spans="1:5">
      <c r="A2078" s="473">
        <v>34780</v>
      </c>
      <c r="B2078" s="473" t="s">
        <v>11738</v>
      </c>
      <c r="C2078" s="473" t="s">
        <v>43</v>
      </c>
      <c r="D2078" s="473" t="s">
        <v>41</v>
      </c>
      <c r="E2078" s="361">
        <v>81.45</v>
      </c>
    </row>
    <row r="2079" spans="1:5">
      <c r="A2079" s="473">
        <v>40937</v>
      </c>
      <c r="B2079" s="473" t="s">
        <v>11739</v>
      </c>
      <c r="C2079" s="473" t="s">
        <v>53</v>
      </c>
      <c r="D2079" s="473" t="s">
        <v>41</v>
      </c>
      <c r="E2079" s="361">
        <v>14515.98</v>
      </c>
    </row>
    <row r="2080" spans="1:5">
      <c r="A2080" s="473">
        <v>34782</v>
      </c>
      <c r="B2080" s="473" t="s">
        <v>11740</v>
      </c>
      <c r="C2080" s="473" t="s">
        <v>43</v>
      </c>
      <c r="D2080" s="473" t="s">
        <v>41</v>
      </c>
      <c r="E2080" s="361">
        <v>111.63</v>
      </c>
    </row>
    <row r="2081" spans="1:5">
      <c r="A2081" s="473">
        <v>40938</v>
      </c>
      <c r="B2081" s="473" t="s">
        <v>11741</v>
      </c>
      <c r="C2081" s="473" t="s">
        <v>53</v>
      </c>
      <c r="D2081" s="473" t="s">
        <v>41</v>
      </c>
      <c r="E2081" s="361">
        <v>19892.78</v>
      </c>
    </row>
    <row r="2082" spans="1:5">
      <c r="A2082" s="473">
        <v>34783</v>
      </c>
      <c r="B2082" s="473" t="s">
        <v>11742</v>
      </c>
      <c r="C2082" s="473" t="s">
        <v>43</v>
      </c>
      <c r="D2082" s="473" t="s">
        <v>41</v>
      </c>
      <c r="E2082" s="361">
        <v>83.52</v>
      </c>
    </row>
    <row r="2083" spans="1:5">
      <c r="A2083" s="473">
        <v>40939</v>
      </c>
      <c r="B2083" s="473" t="s">
        <v>11743</v>
      </c>
      <c r="C2083" s="473" t="s">
        <v>53</v>
      </c>
      <c r="D2083" s="473" t="s">
        <v>41</v>
      </c>
      <c r="E2083" s="361">
        <v>14881.99</v>
      </c>
    </row>
    <row r="2084" spans="1:5">
      <c r="A2084" s="473">
        <v>34785</v>
      </c>
      <c r="B2084" s="473" t="s">
        <v>11744</v>
      </c>
      <c r="C2084" s="473" t="s">
        <v>43</v>
      </c>
      <c r="D2084" s="473" t="s">
        <v>41</v>
      </c>
      <c r="E2084" s="361">
        <v>78.849999999999994</v>
      </c>
    </row>
    <row r="2085" spans="1:5">
      <c r="A2085" s="473">
        <v>40940</v>
      </c>
      <c r="B2085" s="473" t="s">
        <v>11745</v>
      </c>
      <c r="C2085" s="473" t="s">
        <v>53</v>
      </c>
      <c r="D2085" s="473" t="s">
        <v>41</v>
      </c>
      <c r="E2085" s="361">
        <v>14052.74</v>
      </c>
    </row>
    <row r="2086" spans="1:5">
      <c r="A2086" s="473">
        <v>38403</v>
      </c>
      <c r="B2086" s="473" t="s">
        <v>11746</v>
      </c>
      <c r="C2086" s="473" t="s">
        <v>40</v>
      </c>
      <c r="D2086" s="473" t="s">
        <v>41</v>
      </c>
      <c r="E2086" s="361">
        <v>28.88</v>
      </c>
    </row>
    <row r="2087" spans="1:5">
      <c r="A2087" s="473">
        <v>43494</v>
      </c>
      <c r="B2087" s="473" t="s">
        <v>11747</v>
      </c>
      <c r="C2087" s="473" t="s">
        <v>53</v>
      </c>
      <c r="D2087" s="473" t="s">
        <v>44</v>
      </c>
      <c r="E2087" s="361">
        <v>112.27</v>
      </c>
    </row>
    <row r="2088" spans="1:5">
      <c r="A2088" s="473">
        <v>43482</v>
      </c>
      <c r="B2088" s="473" t="s">
        <v>11747</v>
      </c>
      <c r="C2088" s="473" t="s">
        <v>43</v>
      </c>
      <c r="D2088" s="473" t="s">
        <v>44</v>
      </c>
      <c r="E2088" s="361">
        <v>0.6</v>
      </c>
    </row>
    <row r="2089" spans="1:5">
      <c r="A2089" s="473">
        <v>43483</v>
      </c>
      <c r="B2089" s="473" t="s">
        <v>11748</v>
      </c>
      <c r="C2089" s="473" t="s">
        <v>43</v>
      </c>
      <c r="D2089" s="473" t="s">
        <v>44</v>
      </c>
      <c r="E2089" s="361">
        <v>1.07</v>
      </c>
    </row>
    <row r="2090" spans="1:5">
      <c r="A2090" s="473">
        <v>43495</v>
      </c>
      <c r="B2090" s="473" t="s">
        <v>11749</v>
      </c>
      <c r="C2090" s="473" t="s">
        <v>53</v>
      </c>
      <c r="D2090" s="473" t="s">
        <v>44</v>
      </c>
      <c r="E2090" s="361">
        <v>201.17</v>
      </c>
    </row>
    <row r="2091" spans="1:5">
      <c r="A2091" s="473">
        <v>43484</v>
      </c>
      <c r="B2091" s="473" t="s">
        <v>11750</v>
      </c>
      <c r="C2091" s="473" t="s">
        <v>43</v>
      </c>
      <c r="D2091" s="473" t="s">
        <v>44</v>
      </c>
      <c r="E2091" s="361">
        <v>0.94</v>
      </c>
    </row>
    <row r="2092" spans="1:5">
      <c r="A2092" s="473">
        <v>43496</v>
      </c>
      <c r="B2092" s="473" t="s">
        <v>11751</v>
      </c>
      <c r="C2092" s="473" t="s">
        <v>53</v>
      </c>
      <c r="D2092" s="473" t="s">
        <v>44</v>
      </c>
      <c r="E2092" s="361">
        <v>176.6</v>
      </c>
    </row>
    <row r="2093" spans="1:5">
      <c r="A2093" s="473">
        <v>43485</v>
      </c>
      <c r="B2093" s="473" t="s">
        <v>11752</v>
      </c>
      <c r="C2093" s="473" t="s">
        <v>43</v>
      </c>
      <c r="D2093" s="473" t="s">
        <v>44</v>
      </c>
      <c r="E2093" s="361">
        <v>0.84</v>
      </c>
    </row>
    <row r="2094" spans="1:5">
      <c r="A2094" s="473">
        <v>43497</v>
      </c>
      <c r="B2094" s="473" t="s">
        <v>11753</v>
      </c>
      <c r="C2094" s="473" t="s">
        <v>53</v>
      </c>
      <c r="D2094" s="473" t="s">
        <v>44</v>
      </c>
      <c r="E2094" s="361">
        <v>158.03</v>
      </c>
    </row>
    <row r="2095" spans="1:5">
      <c r="A2095" s="473">
        <v>43499</v>
      </c>
      <c r="B2095" s="473" t="s">
        <v>11754</v>
      </c>
      <c r="C2095" s="473" t="s">
        <v>53</v>
      </c>
      <c r="D2095" s="473" t="s">
        <v>44</v>
      </c>
      <c r="E2095" s="361">
        <v>177.3</v>
      </c>
    </row>
    <row r="2096" spans="1:5">
      <c r="A2096" s="473">
        <v>43487</v>
      </c>
      <c r="B2096" s="473" t="s">
        <v>11754</v>
      </c>
      <c r="C2096" s="473" t="s">
        <v>43</v>
      </c>
      <c r="D2096" s="473" t="s">
        <v>44</v>
      </c>
      <c r="E2096" s="361">
        <v>0.94</v>
      </c>
    </row>
    <row r="2097" spans="1:5">
      <c r="A2097" s="473">
        <v>43486</v>
      </c>
      <c r="B2097" s="473" t="s">
        <v>11755</v>
      </c>
      <c r="C2097" s="473" t="s">
        <v>43</v>
      </c>
      <c r="D2097" s="473" t="s">
        <v>44</v>
      </c>
      <c r="E2097" s="361">
        <v>0.56000000000000005</v>
      </c>
    </row>
    <row r="2098" spans="1:5">
      <c r="A2098" s="473">
        <v>43498</v>
      </c>
      <c r="B2098" s="473" t="s">
        <v>11756</v>
      </c>
      <c r="C2098" s="473" t="s">
        <v>53</v>
      </c>
      <c r="D2098" s="473" t="s">
        <v>44</v>
      </c>
      <c r="E2098" s="361">
        <v>106.47</v>
      </c>
    </row>
    <row r="2099" spans="1:5">
      <c r="A2099" s="473">
        <v>43488</v>
      </c>
      <c r="B2099" s="473" t="s">
        <v>11757</v>
      </c>
      <c r="C2099" s="473" t="s">
        <v>43</v>
      </c>
      <c r="D2099" s="473" t="s">
        <v>44</v>
      </c>
      <c r="E2099" s="361">
        <v>0.65</v>
      </c>
    </row>
    <row r="2100" spans="1:5">
      <c r="A2100" s="473">
        <v>43500</v>
      </c>
      <c r="B2100" s="473" t="s">
        <v>11758</v>
      </c>
      <c r="C2100" s="473" t="s">
        <v>53</v>
      </c>
      <c r="D2100" s="473" t="s">
        <v>44</v>
      </c>
      <c r="E2100" s="361">
        <v>123.35</v>
      </c>
    </row>
    <row r="2101" spans="1:5">
      <c r="A2101" s="473">
        <v>43489</v>
      </c>
      <c r="B2101" s="473" t="s">
        <v>11759</v>
      </c>
      <c r="C2101" s="473" t="s">
        <v>43</v>
      </c>
      <c r="D2101" s="473" t="s">
        <v>44</v>
      </c>
      <c r="E2101" s="361">
        <v>0.97</v>
      </c>
    </row>
    <row r="2102" spans="1:5">
      <c r="A2102" s="473">
        <v>43501</v>
      </c>
      <c r="B2102" s="473" t="s">
        <v>11760</v>
      </c>
      <c r="C2102" s="473" t="s">
        <v>53</v>
      </c>
      <c r="D2102" s="473" t="s">
        <v>44</v>
      </c>
      <c r="E2102" s="361">
        <v>183.18</v>
      </c>
    </row>
    <row r="2103" spans="1:5">
      <c r="A2103" s="473">
        <v>43490</v>
      </c>
      <c r="B2103" s="473" t="s">
        <v>11761</v>
      </c>
      <c r="C2103" s="473" t="s">
        <v>43</v>
      </c>
      <c r="D2103" s="473" t="s">
        <v>44</v>
      </c>
      <c r="E2103" s="361">
        <v>1.48</v>
      </c>
    </row>
    <row r="2104" spans="1:5">
      <c r="A2104" s="473">
        <v>43502</v>
      </c>
      <c r="B2104" s="473" t="s">
        <v>11762</v>
      </c>
      <c r="C2104" s="473" t="s">
        <v>53</v>
      </c>
      <c r="D2104" s="473" t="s">
        <v>44</v>
      </c>
      <c r="E2104" s="361">
        <v>279.94</v>
      </c>
    </row>
    <row r="2105" spans="1:5">
      <c r="A2105" s="473">
        <v>43491</v>
      </c>
      <c r="B2105" s="473" t="s">
        <v>11763</v>
      </c>
      <c r="C2105" s="473" t="s">
        <v>43</v>
      </c>
      <c r="D2105" s="473" t="s">
        <v>44</v>
      </c>
      <c r="E2105" s="361">
        <v>1.02</v>
      </c>
    </row>
    <row r="2106" spans="1:5">
      <c r="A2106" s="473">
        <v>43503</v>
      </c>
      <c r="B2106" s="473" t="s">
        <v>11764</v>
      </c>
      <c r="C2106" s="473" t="s">
        <v>53</v>
      </c>
      <c r="D2106" s="473" t="s">
        <v>44</v>
      </c>
      <c r="E2106" s="361">
        <v>192.92</v>
      </c>
    </row>
    <row r="2107" spans="1:5">
      <c r="A2107" s="473">
        <v>43492</v>
      </c>
      <c r="B2107" s="473" t="s">
        <v>11765</v>
      </c>
      <c r="C2107" s="473" t="s">
        <v>43</v>
      </c>
      <c r="D2107" s="473" t="s">
        <v>44</v>
      </c>
      <c r="E2107" s="361">
        <v>1.4</v>
      </c>
    </row>
    <row r="2108" spans="1:5">
      <c r="A2108" s="473">
        <v>43504</v>
      </c>
      <c r="B2108" s="473" t="s">
        <v>11766</v>
      </c>
      <c r="C2108" s="473" t="s">
        <v>53</v>
      </c>
      <c r="D2108" s="473" t="s">
        <v>44</v>
      </c>
      <c r="E2108" s="361">
        <v>264.54000000000002</v>
      </c>
    </row>
    <row r="2109" spans="1:5">
      <c r="A2109" s="473">
        <v>43493</v>
      </c>
      <c r="B2109" s="473" t="s">
        <v>11767</v>
      </c>
      <c r="C2109" s="473" t="s">
        <v>43</v>
      </c>
      <c r="D2109" s="473" t="s">
        <v>44</v>
      </c>
      <c r="E2109" s="361">
        <v>0.54</v>
      </c>
    </row>
    <row r="2110" spans="1:5">
      <c r="A2110" s="473">
        <v>43505</v>
      </c>
      <c r="B2110" s="473" t="s">
        <v>11768</v>
      </c>
      <c r="C2110" s="473" t="s">
        <v>53</v>
      </c>
      <c r="D2110" s="473" t="s">
        <v>44</v>
      </c>
      <c r="E2110" s="361">
        <v>101.06</v>
      </c>
    </row>
    <row r="2111" spans="1:5">
      <c r="A2111" s="473">
        <v>37774</v>
      </c>
      <c r="B2111" s="473" t="s">
        <v>11769</v>
      </c>
      <c r="C2111" s="473" t="s">
        <v>40</v>
      </c>
      <c r="D2111" s="473" t="s">
        <v>47</v>
      </c>
      <c r="E2111" s="361">
        <v>188694.18</v>
      </c>
    </row>
    <row r="2112" spans="1:5">
      <c r="A2112" s="473">
        <v>38630</v>
      </c>
      <c r="B2112" s="473" t="s">
        <v>11770</v>
      </c>
      <c r="C2112" s="473" t="s">
        <v>40</v>
      </c>
      <c r="D2112" s="473" t="s">
        <v>47</v>
      </c>
      <c r="E2112" s="361">
        <v>972265.62</v>
      </c>
    </row>
    <row r="2113" spans="1:5">
      <c r="A2113" s="473">
        <v>38629</v>
      </c>
      <c r="B2113" s="473" t="s">
        <v>11771</v>
      </c>
      <c r="C2113" s="473" t="s">
        <v>40</v>
      </c>
      <c r="D2113" s="473" t="s">
        <v>47</v>
      </c>
      <c r="E2113" s="361">
        <v>1447265.62</v>
      </c>
    </row>
    <row r="2114" spans="1:5">
      <c r="A2114" s="473">
        <v>38476</v>
      </c>
      <c r="B2114" s="473" t="s">
        <v>11772</v>
      </c>
      <c r="C2114" s="473" t="s">
        <v>40</v>
      </c>
      <c r="D2114" s="473" t="s">
        <v>41</v>
      </c>
      <c r="E2114" s="361">
        <v>217.05</v>
      </c>
    </row>
    <row r="2115" spans="1:5">
      <c r="A2115" s="473">
        <v>38477</v>
      </c>
      <c r="B2115" s="473" t="s">
        <v>11773</v>
      </c>
      <c r="C2115" s="473" t="s">
        <v>40</v>
      </c>
      <c r="D2115" s="473" t="s">
        <v>41</v>
      </c>
      <c r="E2115" s="361">
        <v>614.69000000000005</v>
      </c>
    </row>
    <row r="2116" spans="1:5">
      <c r="A2116" s="473">
        <v>40635</v>
      </c>
      <c r="B2116" s="473" t="s">
        <v>11774</v>
      </c>
      <c r="C2116" s="473" t="s">
        <v>40</v>
      </c>
      <c r="D2116" s="473" t="s">
        <v>47</v>
      </c>
      <c r="E2116" s="361">
        <v>477009.24</v>
      </c>
    </row>
    <row r="2117" spans="1:5">
      <c r="A2117" s="473">
        <v>36483</v>
      </c>
      <c r="B2117" s="473" t="s">
        <v>11775</v>
      </c>
      <c r="C2117" s="473" t="s">
        <v>40</v>
      </c>
      <c r="D2117" s="473" t="s">
        <v>47</v>
      </c>
      <c r="E2117" s="361">
        <v>432246.78</v>
      </c>
    </row>
    <row r="2118" spans="1:5">
      <c r="A2118" s="473">
        <v>14525</v>
      </c>
      <c r="B2118" s="473" t="s">
        <v>11776</v>
      </c>
      <c r="C2118" s="473" t="s">
        <v>40</v>
      </c>
      <c r="D2118" s="473" t="s">
        <v>47</v>
      </c>
      <c r="E2118" s="361">
        <v>452587.8</v>
      </c>
    </row>
    <row r="2119" spans="1:5">
      <c r="A2119" s="473">
        <v>36482</v>
      </c>
      <c r="B2119" s="473" t="s">
        <v>11777</v>
      </c>
      <c r="C2119" s="473" t="s">
        <v>40</v>
      </c>
      <c r="D2119" s="473" t="s">
        <v>47</v>
      </c>
      <c r="E2119" s="361">
        <v>388157.08</v>
      </c>
    </row>
    <row r="2120" spans="1:5">
      <c r="A2120" s="473">
        <v>36408</v>
      </c>
      <c r="B2120" s="473" t="s">
        <v>11778</v>
      </c>
      <c r="C2120" s="473" t="s">
        <v>40</v>
      </c>
      <c r="D2120" s="473" t="s">
        <v>47</v>
      </c>
      <c r="E2120" s="361">
        <v>463775.37</v>
      </c>
    </row>
    <row r="2121" spans="1:5">
      <c r="A2121" s="473">
        <v>2723</v>
      </c>
      <c r="B2121" s="473" t="s">
        <v>11779</v>
      </c>
      <c r="C2121" s="473" t="s">
        <v>40</v>
      </c>
      <c r="D2121" s="473" t="s">
        <v>47</v>
      </c>
      <c r="E2121" s="361">
        <v>355967.93</v>
      </c>
    </row>
    <row r="2122" spans="1:5">
      <c r="A2122" s="473">
        <v>36481</v>
      </c>
      <c r="B2122" s="473" t="s">
        <v>11780</v>
      </c>
      <c r="C2122" s="473" t="s">
        <v>40</v>
      </c>
      <c r="D2122" s="473" t="s">
        <v>47</v>
      </c>
      <c r="E2122" s="361">
        <v>424618.89</v>
      </c>
    </row>
    <row r="2123" spans="1:5">
      <c r="A2123" s="473">
        <v>10685</v>
      </c>
      <c r="B2123" s="473" t="s">
        <v>11781</v>
      </c>
      <c r="C2123" s="473" t="s">
        <v>40</v>
      </c>
      <c r="D2123" s="473" t="s">
        <v>47</v>
      </c>
      <c r="E2123" s="361">
        <v>406820.5</v>
      </c>
    </row>
    <row r="2124" spans="1:5">
      <c r="A2124" s="473">
        <v>40636</v>
      </c>
      <c r="B2124" s="473" t="s">
        <v>11782</v>
      </c>
      <c r="C2124" s="473" t="s">
        <v>40</v>
      </c>
      <c r="D2124" s="473" t="s">
        <v>47</v>
      </c>
      <c r="E2124" s="361">
        <v>459210.84</v>
      </c>
    </row>
    <row r="2125" spans="1:5">
      <c r="A2125" s="473">
        <v>4111</v>
      </c>
      <c r="B2125" s="473" t="s">
        <v>11783</v>
      </c>
      <c r="C2125" s="473" t="s">
        <v>40</v>
      </c>
      <c r="D2125" s="473" t="s">
        <v>41</v>
      </c>
      <c r="E2125" s="361">
        <v>33.43</v>
      </c>
    </row>
    <row r="2126" spans="1:5">
      <c r="A2126" s="473">
        <v>26021</v>
      </c>
      <c r="B2126" s="473" t="s">
        <v>11784</v>
      </c>
      <c r="C2126" s="473" t="s">
        <v>40</v>
      </c>
      <c r="D2126" s="473" t="s">
        <v>41</v>
      </c>
      <c r="E2126" s="361">
        <v>57.21</v>
      </c>
    </row>
    <row r="2127" spans="1:5">
      <c r="A2127" s="473">
        <v>12</v>
      </c>
      <c r="B2127" s="473" t="s">
        <v>11785</v>
      </c>
      <c r="C2127" s="473" t="s">
        <v>40</v>
      </c>
      <c r="D2127" s="473" t="s">
        <v>44</v>
      </c>
      <c r="E2127" s="361">
        <v>9.43</v>
      </c>
    </row>
    <row r="2128" spans="1:5">
      <c r="A2128" s="473">
        <v>37554</v>
      </c>
      <c r="B2128" s="473" t="s">
        <v>11786</v>
      </c>
      <c r="C2128" s="473" t="s">
        <v>40</v>
      </c>
      <c r="D2128" s="473" t="s">
        <v>41</v>
      </c>
      <c r="E2128" s="361">
        <v>140.91999999999999</v>
      </c>
    </row>
    <row r="2129" spans="1:5">
      <c r="A2129" s="473">
        <v>37555</v>
      </c>
      <c r="B2129" s="473" t="s">
        <v>11787</v>
      </c>
      <c r="C2129" s="473" t="s">
        <v>40</v>
      </c>
      <c r="D2129" s="473" t="s">
        <v>41</v>
      </c>
      <c r="E2129" s="361">
        <v>171.42</v>
      </c>
    </row>
    <row r="2130" spans="1:5">
      <c r="A2130" s="473">
        <v>10902</v>
      </c>
      <c r="B2130" s="473" t="s">
        <v>11788</v>
      </c>
      <c r="C2130" s="473" t="s">
        <v>40</v>
      </c>
      <c r="D2130" s="473" t="s">
        <v>41</v>
      </c>
      <c r="E2130" s="361">
        <v>43.01</v>
      </c>
    </row>
    <row r="2131" spans="1:5">
      <c r="A2131" s="473">
        <v>20965</v>
      </c>
      <c r="B2131" s="473" t="s">
        <v>11789</v>
      </c>
      <c r="C2131" s="473" t="s">
        <v>40</v>
      </c>
      <c r="D2131" s="473" t="s">
        <v>41</v>
      </c>
      <c r="E2131" s="361">
        <v>43.41</v>
      </c>
    </row>
    <row r="2132" spans="1:5">
      <c r="A2132" s="473">
        <v>20966</v>
      </c>
      <c r="B2132" s="473" t="s">
        <v>11790</v>
      </c>
      <c r="C2132" s="473" t="s">
        <v>40</v>
      </c>
      <c r="D2132" s="473" t="s">
        <v>41</v>
      </c>
      <c r="E2132" s="361">
        <v>46.74</v>
      </c>
    </row>
    <row r="2133" spans="1:5">
      <c r="A2133" s="473">
        <v>10903</v>
      </c>
      <c r="B2133" s="473" t="s">
        <v>11791</v>
      </c>
      <c r="C2133" s="473" t="s">
        <v>40</v>
      </c>
      <c r="D2133" s="473" t="s">
        <v>41</v>
      </c>
      <c r="E2133" s="361">
        <v>70.849999999999994</v>
      </c>
    </row>
    <row r="2134" spans="1:5">
      <c r="A2134" s="473">
        <v>20967</v>
      </c>
      <c r="B2134" s="473" t="s">
        <v>11792</v>
      </c>
      <c r="C2134" s="473" t="s">
        <v>40</v>
      </c>
      <c r="D2134" s="473" t="s">
        <v>41</v>
      </c>
      <c r="E2134" s="361">
        <v>70.849999999999994</v>
      </c>
    </row>
    <row r="2135" spans="1:5">
      <c r="A2135" s="473">
        <v>20968</v>
      </c>
      <c r="B2135" s="473" t="s">
        <v>11793</v>
      </c>
      <c r="C2135" s="473" t="s">
        <v>40</v>
      </c>
      <c r="D2135" s="473" t="s">
        <v>41</v>
      </c>
      <c r="E2135" s="361">
        <v>77.709999999999994</v>
      </c>
    </row>
    <row r="2136" spans="1:5">
      <c r="A2136" s="473">
        <v>11359</v>
      </c>
      <c r="B2136" s="473" t="s">
        <v>11794</v>
      </c>
      <c r="C2136" s="473" t="s">
        <v>40</v>
      </c>
      <c r="D2136" s="473" t="s">
        <v>44</v>
      </c>
      <c r="E2136" s="361">
        <v>599.9</v>
      </c>
    </row>
    <row r="2137" spans="1:5">
      <c r="A2137" s="473">
        <v>39017</v>
      </c>
      <c r="B2137" s="473" t="s">
        <v>11795</v>
      </c>
      <c r="C2137" s="473" t="s">
        <v>40</v>
      </c>
      <c r="D2137" s="473" t="s">
        <v>47</v>
      </c>
      <c r="E2137" s="361">
        <v>0.15</v>
      </c>
    </row>
    <row r="2138" spans="1:5">
      <c r="A2138" s="473">
        <v>39315</v>
      </c>
      <c r="B2138" s="473" t="s">
        <v>11796</v>
      </c>
      <c r="C2138" s="473" t="s">
        <v>40</v>
      </c>
      <c r="D2138" s="473" t="s">
        <v>47</v>
      </c>
      <c r="E2138" s="361">
        <v>0.25</v>
      </c>
    </row>
    <row r="2139" spans="1:5">
      <c r="A2139" s="473">
        <v>39016</v>
      </c>
      <c r="B2139" s="473" t="s">
        <v>11797</v>
      </c>
      <c r="C2139" s="473" t="s">
        <v>40</v>
      </c>
      <c r="D2139" s="473" t="s">
        <v>47</v>
      </c>
      <c r="E2139" s="361">
        <v>0.25</v>
      </c>
    </row>
    <row r="2140" spans="1:5">
      <c r="A2140" s="473">
        <v>40432</v>
      </c>
      <c r="B2140" s="473" t="s">
        <v>11798</v>
      </c>
      <c r="C2140" s="473" t="s">
        <v>40</v>
      </c>
      <c r="D2140" s="473" t="s">
        <v>47</v>
      </c>
      <c r="E2140" s="361">
        <v>1.94</v>
      </c>
    </row>
    <row r="2141" spans="1:5">
      <c r="A2141" s="473">
        <v>39481</v>
      </c>
      <c r="B2141" s="473" t="s">
        <v>11799</v>
      </c>
      <c r="C2141" s="473" t="s">
        <v>40</v>
      </c>
      <c r="D2141" s="473" t="s">
        <v>47</v>
      </c>
      <c r="E2141" s="361">
        <v>1.22</v>
      </c>
    </row>
    <row r="2142" spans="1:5">
      <c r="A2142" s="473">
        <v>40433</v>
      </c>
      <c r="B2142" s="473" t="s">
        <v>11800</v>
      </c>
      <c r="C2142" s="473" t="s">
        <v>40</v>
      </c>
      <c r="D2142" s="473" t="s">
        <v>47</v>
      </c>
      <c r="E2142" s="361">
        <v>1.07</v>
      </c>
    </row>
    <row r="2143" spans="1:5">
      <c r="A2143" s="473">
        <v>20219</v>
      </c>
      <c r="B2143" s="473" t="s">
        <v>11801</v>
      </c>
      <c r="C2143" s="473" t="s">
        <v>40</v>
      </c>
      <c r="D2143" s="473" t="s">
        <v>47</v>
      </c>
      <c r="E2143" s="361">
        <v>74000</v>
      </c>
    </row>
    <row r="2144" spans="1:5">
      <c r="A2144" s="473">
        <v>36484</v>
      </c>
      <c r="B2144" s="473" t="s">
        <v>11802</v>
      </c>
      <c r="C2144" s="473" t="s">
        <v>40</v>
      </c>
      <c r="D2144" s="473" t="s">
        <v>47</v>
      </c>
      <c r="E2144" s="361">
        <v>157088.51999999999</v>
      </c>
    </row>
    <row r="2145" spans="1:5">
      <c r="A2145" s="473">
        <v>38367</v>
      </c>
      <c r="B2145" s="473" t="s">
        <v>11803</v>
      </c>
      <c r="C2145" s="473" t="s">
        <v>40</v>
      </c>
      <c r="D2145" s="473" t="s">
        <v>41</v>
      </c>
      <c r="E2145" s="361">
        <v>11.66</v>
      </c>
    </row>
    <row r="2146" spans="1:5">
      <c r="A2146" s="473">
        <v>38368</v>
      </c>
      <c r="B2146" s="473" t="s">
        <v>11804</v>
      </c>
      <c r="C2146" s="473" t="s">
        <v>40</v>
      </c>
      <c r="D2146" s="473" t="s">
        <v>41</v>
      </c>
      <c r="E2146" s="361">
        <v>6.08</v>
      </c>
    </row>
    <row r="2147" spans="1:5">
      <c r="A2147" s="473">
        <v>38091</v>
      </c>
      <c r="B2147" s="473" t="s">
        <v>11805</v>
      </c>
      <c r="C2147" s="473" t="s">
        <v>40</v>
      </c>
      <c r="D2147" s="473" t="s">
        <v>41</v>
      </c>
      <c r="E2147" s="361">
        <v>1.98</v>
      </c>
    </row>
    <row r="2148" spans="1:5">
      <c r="A2148" s="473">
        <v>38095</v>
      </c>
      <c r="B2148" s="473" t="s">
        <v>11806</v>
      </c>
      <c r="C2148" s="473" t="s">
        <v>40</v>
      </c>
      <c r="D2148" s="473" t="s">
        <v>41</v>
      </c>
      <c r="E2148" s="361">
        <v>4.1900000000000004</v>
      </c>
    </row>
    <row r="2149" spans="1:5">
      <c r="A2149" s="473">
        <v>38092</v>
      </c>
      <c r="B2149" s="473" t="s">
        <v>11807</v>
      </c>
      <c r="C2149" s="473" t="s">
        <v>40</v>
      </c>
      <c r="D2149" s="473" t="s">
        <v>41</v>
      </c>
      <c r="E2149" s="361">
        <v>1.87</v>
      </c>
    </row>
    <row r="2150" spans="1:5">
      <c r="A2150" s="473">
        <v>38093</v>
      </c>
      <c r="B2150" s="473" t="s">
        <v>11808</v>
      </c>
      <c r="C2150" s="473" t="s">
        <v>40</v>
      </c>
      <c r="D2150" s="473" t="s">
        <v>41</v>
      </c>
      <c r="E2150" s="361">
        <v>1.94</v>
      </c>
    </row>
    <row r="2151" spans="1:5">
      <c r="A2151" s="473">
        <v>38096</v>
      </c>
      <c r="B2151" s="473" t="s">
        <v>11809</v>
      </c>
      <c r="C2151" s="473" t="s">
        <v>40</v>
      </c>
      <c r="D2151" s="473" t="s">
        <v>41</v>
      </c>
      <c r="E2151" s="361">
        <v>4.5</v>
      </c>
    </row>
    <row r="2152" spans="1:5">
      <c r="A2152" s="473">
        <v>38094</v>
      </c>
      <c r="B2152" s="473" t="s">
        <v>11810</v>
      </c>
      <c r="C2152" s="473" t="s">
        <v>40</v>
      </c>
      <c r="D2152" s="473" t="s">
        <v>41</v>
      </c>
      <c r="E2152" s="361">
        <v>2.37</v>
      </c>
    </row>
    <row r="2153" spans="1:5">
      <c r="A2153" s="473">
        <v>38097</v>
      </c>
      <c r="B2153" s="473" t="s">
        <v>11811</v>
      </c>
      <c r="C2153" s="473" t="s">
        <v>40</v>
      </c>
      <c r="D2153" s="473" t="s">
        <v>41</v>
      </c>
      <c r="E2153" s="361">
        <v>4.82</v>
      </c>
    </row>
    <row r="2154" spans="1:5">
      <c r="A2154" s="473">
        <v>38098</v>
      </c>
      <c r="B2154" s="473" t="s">
        <v>11812</v>
      </c>
      <c r="C2154" s="473" t="s">
        <v>40</v>
      </c>
      <c r="D2154" s="473" t="s">
        <v>41</v>
      </c>
      <c r="E2154" s="361">
        <v>4.82</v>
      </c>
    </row>
    <row r="2155" spans="1:5">
      <c r="A2155" s="473">
        <v>11186</v>
      </c>
      <c r="B2155" s="473" t="s">
        <v>11813</v>
      </c>
      <c r="C2155" s="473" t="s">
        <v>46</v>
      </c>
      <c r="D2155" s="473" t="s">
        <v>41</v>
      </c>
      <c r="E2155" s="361">
        <v>194.93</v>
      </c>
    </row>
    <row r="2156" spans="1:5">
      <c r="A2156" s="473">
        <v>11558</v>
      </c>
      <c r="B2156" s="473" t="s">
        <v>11814</v>
      </c>
      <c r="C2156" s="473" t="s">
        <v>42</v>
      </c>
      <c r="D2156" s="473" t="s">
        <v>41</v>
      </c>
      <c r="E2156" s="361">
        <v>10.98</v>
      </c>
    </row>
    <row r="2157" spans="1:5">
      <c r="A2157" s="473">
        <v>11557</v>
      </c>
      <c r="B2157" s="473" t="s">
        <v>11815</v>
      </c>
      <c r="C2157" s="473" t="s">
        <v>42</v>
      </c>
      <c r="D2157" s="473" t="s">
        <v>41</v>
      </c>
      <c r="E2157" s="361">
        <v>27.8</v>
      </c>
    </row>
    <row r="2158" spans="1:5">
      <c r="A2158" s="473">
        <v>2759</v>
      </c>
      <c r="B2158" s="473" t="s">
        <v>11816</v>
      </c>
      <c r="C2158" s="473" t="s">
        <v>40</v>
      </c>
      <c r="D2158" s="473" t="s">
        <v>47</v>
      </c>
      <c r="E2158" s="361">
        <v>4.8</v>
      </c>
    </row>
    <row r="2159" spans="1:5">
      <c r="A2159" s="473">
        <v>38124</v>
      </c>
      <c r="B2159" s="473" t="s">
        <v>11817</v>
      </c>
      <c r="C2159" s="473" t="s">
        <v>40</v>
      </c>
      <c r="D2159" s="473" t="s">
        <v>44</v>
      </c>
      <c r="E2159" s="361">
        <v>23.32</v>
      </c>
    </row>
    <row r="2160" spans="1:5">
      <c r="A2160" s="473">
        <v>38380</v>
      </c>
      <c r="B2160" s="473" t="s">
        <v>11818</v>
      </c>
      <c r="C2160" s="473" t="s">
        <v>40</v>
      </c>
      <c r="D2160" s="473" t="s">
        <v>41</v>
      </c>
      <c r="E2160" s="361">
        <v>18.53</v>
      </c>
    </row>
    <row r="2161" spans="1:5">
      <c r="A2161" s="473">
        <v>20059</v>
      </c>
      <c r="B2161" s="473" t="s">
        <v>11819</v>
      </c>
      <c r="C2161" s="473" t="s">
        <v>40</v>
      </c>
      <c r="D2161" s="473" t="s">
        <v>47</v>
      </c>
      <c r="E2161" s="361">
        <v>14.56</v>
      </c>
    </row>
    <row r="2162" spans="1:5">
      <c r="A2162" s="473">
        <v>42429</v>
      </c>
      <c r="B2162" s="473" t="s">
        <v>11820</v>
      </c>
      <c r="C2162" s="473" t="s">
        <v>40</v>
      </c>
      <c r="D2162" s="473" t="s">
        <v>47</v>
      </c>
      <c r="E2162" s="361">
        <v>3422.44</v>
      </c>
    </row>
    <row r="2163" spans="1:5">
      <c r="A2163" s="473">
        <v>38538</v>
      </c>
      <c r="B2163" s="473" t="s">
        <v>11821</v>
      </c>
      <c r="C2163" s="473" t="s">
        <v>48</v>
      </c>
      <c r="D2163" s="473" t="s">
        <v>47</v>
      </c>
      <c r="E2163" s="361">
        <v>40</v>
      </c>
    </row>
    <row r="2164" spans="1:5">
      <c r="A2164" s="473">
        <v>38539</v>
      </c>
      <c r="B2164" s="473" t="s">
        <v>11822</v>
      </c>
      <c r="C2164" s="473" t="s">
        <v>48</v>
      </c>
      <c r="D2164" s="473" t="s">
        <v>47</v>
      </c>
      <c r="E2164" s="361">
        <v>54.39</v>
      </c>
    </row>
    <row r="2165" spans="1:5">
      <c r="A2165" s="473">
        <v>38540</v>
      </c>
      <c r="B2165" s="473" t="s">
        <v>11823</v>
      </c>
      <c r="C2165" s="473" t="s">
        <v>48</v>
      </c>
      <c r="D2165" s="473" t="s">
        <v>47</v>
      </c>
      <c r="E2165" s="361">
        <v>139.4</v>
      </c>
    </row>
    <row r="2166" spans="1:5">
      <c r="A2166" s="473">
        <v>38384</v>
      </c>
      <c r="B2166" s="473" t="s">
        <v>11824</v>
      </c>
      <c r="C2166" s="473" t="s">
        <v>40</v>
      </c>
      <c r="D2166" s="473" t="s">
        <v>41</v>
      </c>
      <c r="E2166" s="361">
        <v>15.76</v>
      </c>
    </row>
    <row r="2167" spans="1:5">
      <c r="A2167" s="473">
        <v>13</v>
      </c>
      <c r="B2167" s="473" t="s">
        <v>11825</v>
      </c>
      <c r="C2167" s="473" t="s">
        <v>49</v>
      </c>
      <c r="D2167" s="473" t="s">
        <v>41</v>
      </c>
      <c r="E2167" s="361">
        <v>14.52</v>
      </c>
    </row>
    <row r="2168" spans="1:5">
      <c r="A2168" s="473">
        <v>2762</v>
      </c>
      <c r="B2168" s="473" t="s">
        <v>11826</v>
      </c>
      <c r="C2168" s="473" t="s">
        <v>48</v>
      </c>
      <c r="D2168" s="473" t="s">
        <v>47</v>
      </c>
      <c r="E2168" s="361">
        <v>6</v>
      </c>
    </row>
    <row r="2169" spans="1:5">
      <c r="A2169" s="473">
        <v>21142</v>
      </c>
      <c r="B2169" s="473" t="s">
        <v>11827</v>
      </c>
      <c r="C2169" s="473" t="s">
        <v>40</v>
      </c>
      <c r="D2169" s="473" t="s">
        <v>41</v>
      </c>
      <c r="E2169" s="361">
        <v>18.38</v>
      </c>
    </row>
    <row r="2170" spans="1:5">
      <c r="A2170" s="473">
        <v>12865</v>
      </c>
      <c r="B2170" s="473" t="s">
        <v>11828</v>
      </c>
      <c r="C2170" s="473" t="s">
        <v>43</v>
      </c>
      <c r="D2170" s="473" t="s">
        <v>41</v>
      </c>
      <c r="E2170" s="361">
        <v>14.21</v>
      </c>
    </row>
    <row r="2171" spans="1:5">
      <c r="A2171" s="473">
        <v>41074</v>
      </c>
      <c r="B2171" s="473" t="s">
        <v>11829</v>
      </c>
      <c r="C2171" s="473" t="s">
        <v>53</v>
      </c>
      <c r="D2171" s="473" t="s">
        <v>41</v>
      </c>
      <c r="E2171" s="361">
        <v>2532.7600000000002</v>
      </c>
    </row>
    <row r="2172" spans="1:5">
      <c r="A2172" s="473">
        <v>4223</v>
      </c>
      <c r="B2172" s="473" t="s">
        <v>11830</v>
      </c>
      <c r="C2172" s="473" t="s">
        <v>50</v>
      </c>
      <c r="D2172" s="473" t="s">
        <v>44</v>
      </c>
      <c r="E2172" s="361">
        <v>3.12</v>
      </c>
    </row>
    <row r="2173" spans="1:5">
      <c r="A2173" s="473">
        <v>37372</v>
      </c>
      <c r="B2173" s="473" t="s">
        <v>11831</v>
      </c>
      <c r="C2173" s="473" t="s">
        <v>43</v>
      </c>
      <c r="D2173" s="473" t="s">
        <v>44</v>
      </c>
      <c r="E2173" s="361">
        <v>0.34</v>
      </c>
    </row>
    <row r="2174" spans="1:5">
      <c r="A2174" s="473">
        <v>40863</v>
      </c>
      <c r="B2174" s="473" t="s">
        <v>11832</v>
      </c>
      <c r="C2174" s="473" t="s">
        <v>53</v>
      </c>
      <c r="D2174" s="473" t="s">
        <v>44</v>
      </c>
      <c r="E2174" s="361">
        <v>63.58</v>
      </c>
    </row>
    <row r="2175" spans="1:5">
      <c r="A2175" s="473">
        <v>38475</v>
      </c>
      <c r="B2175" s="473" t="s">
        <v>11833</v>
      </c>
      <c r="C2175" s="473" t="s">
        <v>40</v>
      </c>
      <c r="D2175" s="473" t="s">
        <v>41</v>
      </c>
      <c r="E2175" s="361">
        <v>27.7</v>
      </c>
    </row>
    <row r="2176" spans="1:5">
      <c r="A2176" s="473">
        <v>38474</v>
      </c>
      <c r="B2176" s="473" t="s">
        <v>11834</v>
      </c>
      <c r="C2176" s="473" t="s">
        <v>40</v>
      </c>
      <c r="D2176" s="473" t="s">
        <v>41</v>
      </c>
      <c r="E2176" s="361">
        <v>34.25</v>
      </c>
    </row>
    <row r="2177" spans="1:5">
      <c r="A2177" s="473">
        <v>10886</v>
      </c>
      <c r="B2177" s="473" t="s">
        <v>11835</v>
      </c>
      <c r="C2177" s="473" t="s">
        <v>40</v>
      </c>
      <c r="D2177" s="473" t="s">
        <v>41</v>
      </c>
      <c r="E2177" s="361">
        <v>153.12</v>
      </c>
    </row>
    <row r="2178" spans="1:5">
      <c r="A2178" s="473">
        <v>10888</v>
      </c>
      <c r="B2178" s="473" t="s">
        <v>11836</v>
      </c>
      <c r="C2178" s="473" t="s">
        <v>40</v>
      </c>
      <c r="D2178" s="473" t="s">
        <v>41</v>
      </c>
      <c r="E2178" s="361">
        <v>484.61</v>
      </c>
    </row>
    <row r="2179" spans="1:5">
      <c r="A2179" s="473">
        <v>10889</v>
      </c>
      <c r="B2179" s="473" t="s">
        <v>11837</v>
      </c>
      <c r="C2179" s="473" t="s">
        <v>40</v>
      </c>
      <c r="D2179" s="473" t="s">
        <v>41</v>
      </c>
      <c r="E2179" s="361">
        <v>525</v>
      </c>
    </row>
    <row r="2180" spans="1:5">
      <c r="A2180" s="473">
        <v>10890</v>
      </c>
      <c r="B2180" s="473" t="s">
        <v>11838</v>
      </c>
      <c r="C2180" s="473" t="s">
        <v>40</v>
      </c>
      <c r="D2180" s="473" t="s">
        <v>41</v>
      </c>
      <c r="E2180" s="361">
        <v>242.3</v>
      </c>
    </row>
    <row r="2181" spans="1:5">
      <c r="A2181" s="473">
        <v>10891</v>
      </c>
      <c r="B2181" s="473" t="s">
        <v>11839</v>
      </c>
      <c r="C2181" s="473" t="s">
        <v>40</v>
      </c>
      <c r="D2181" s="473" t="s">
        <v>41</v>
      </c>
      <c r="E2181" s="361">
        <v>148.07</v>
      </c>
    </row>
    <row r="2182" spans="1:5">
      <c r="A2182" s="473">
        <v>10892</v>
      </c>
      <c r="B2182" s="473" t="s">
        <v>11840</v>
      </c>
      <c r="C2182" s="473" t="s">
        <v>40</v>
      </c>
      <c r="D2182" s="473" t="s">
        <v>44</v>
      </c>
      <c r="E2182" s="361">
        <v>175</v>
      </c>
    </row>
    <row r="2183" spans="1:5">
      <c r="A2183" s="473">
        <v>20977</v>
      </c>
      <c r="B2183" s="473" t="s">
        <v>11841</v>
      </c>
      <c r="C2183" s="473" t="s">
        <v>40</v>
      </c>
      <c r="D2183" s="473" t="s">
        <v>41</v>
      </c>
      <c r="E2183" s="361">
        <v>208.65</v>
      </c>
    </row>
    <row r="2184" spans="1:5">
      <c r="A2184" s="473">
        <v>3073</v>
      </c>
      <c r="B2184" s="473" t="s">
        <v>11842</v>
      </c>
      <c r="C2184" s="473" t="s">
        <v>40</v>
      </c>
      <c r="D2184" s="473" t="s">
        <v>47</v>
      </c>
      <c r="E2184" s="361">
        <v>148.15</v>
      </c>
    </row>
    <row r="2185" spans="1:5">
      <c r="A2185" s="473">
        <v>3068</v>
      </c>
      <c r="B2185" s="473" t="s">
        <v>11843</v>
      </c>
      <c r="C2185" s="473" t="s">
        <v>40</v>
      </c>
      <c r="D2185" s="473" t="s">
        <v>47</v>
      </c>
      <c r="E2185" s="361">
        <v>29.62</v>
      </c>
    </row>
    <row r="2186" spans="1:5">
      <c r="A2186" s="473">
        <v>3074</v>
      </c>
      <c r="B2186" s="473" t="s">
        <v>11844</v>
      </c>
      <c r="C2186" s="473" t="s">
        <v>40</v>
      </c>
      <c r="D2186" s="473" t="s">
        <v>47</v>
      </c>
      <c r="E2186" s="361">
        <v>93.53</v>
      </c>
    </row>
    <row r="2187" spans="1:5">
      <c r="A2187" s="473">
        <v>3076</v>
      </c>
      <c r="B2187" s="473" t="s">
        <v>11845</v>
      </c>
      <c r="C2187" s="473" t="s">
        <v>40</v>
      </c>
      <c r="D2187" s="473" t="s">
        <v>47</v>
      </c>
      <c r="E2187" s="361">
        <v>121.8</v>
      </c>
    </row>
    <row r="2188" spans="1:5">
      <c r="A2188" s="473">
        <v>3072</v>
      </c>
      <c r="B2188" s="473" t="s">
        <v>11846</v>
      </c>
      <c r="C2188" s="473" t="s">
        <v>40</v>
      </c>
      <c r="D2188" s="473" t="s">
        <v>47</v>
      </c>
      <c r="E2188" s="361">
        <v>30.68</v>
      </c>
    </row>
    <row r="2189" spans="1:5">
      <c r="A2189" s="473">
        <v>3075</v>
      </c>
      <c r="B2189" s="473" t="s">
        <v>11847</v>
      </c>
      <c r="C2189" s="473" t="s">
        <v>40</v>
      </c>
      <c r="D2189" s="473" t="s">
        <v>47</v>
      </c>
      <c r="E2189" s="361">
        <v>76.97</v>
      </c>
    </row>
    <row r="2190" spans="1:5">
      <c r="A2190" s="473">
        <v>10780</v>
      </c>
      <c r="B2190" s="473" t="s">
        <v>11848</v>
      </c>
      <c r="C2190" s="473" t="s">
        <v>40</v>
      </c>
      <c r="D2190" s="473" t="s">
        <v>47</v>
      </c>
      <c r="E2190" s="361">
        <v>6.5</v>
      </c>
    </row>
    <row r="2191" spans="1:5">
      <c r="A2191" s="473">
        <v>10781</v>
      </c>
      <c r="B2191" s="473" t="s">
        <v>11849</v>
      </c>
      <c r="C2191" s="473" t="s">
        <v>40</v>
      </c>
      <c r="D2191" s="473" t="s">
        <v>47</v>
      </c>
      <c r="E2191" s="361">
        <v>10.43</v>
      </c>
    </row>
    <row r="2192" spans="1:5">
      <c r="A2192" s="473">
        <v>20106</v>
      </c>
      <c r="B2192" s="473" t="s">
        <v>11850</v>
      </c>
      <c r="C2192" s="473" t="s">
        <v>40</v>
      </c>
      <c r="D2192" s="473" t="s">
        <v>47</v>
      </c>
      <c r="E2192" s="361">
        <v>3.44</v>
      </c>
    </row>
    <row r="2193" spans="1:5">
      <c r="A2193" s="473">
        <v>20107</v>
      </c>
      <c r="B2193" s="473" t="s">
        <v>11851</v>
      </c>
      <c r="C2193" s="473" t="s">
        <v>40</v>
      </c>
      <c r="D2193" s="473" t="s">
        <v>47</v>
      </c>
      <c r="E2193" s="361">
        <v>3.94</v>
      </c>
    </row>
    <row r="2194" spans="1:5">
      <c r="A2194" s="473">
        <v>20108</v>
      </c>
      <c r="B2194" s="473" t="s">
        <v>11852</v>
      </c>
      <c r="C2194" s="473" t="s">
        <v>40</v>
      </c>
      <c r="D2194" s="473" t="s">
        <v>47</v>
      </c>
      <c r="E2194" s="361">
        <v>5.2</v>
      </c>
    </row>
    <row r="2195" spans="1:5">
      <c r="A2195" s="473">
        <v>20109</v>
      </c>
      <c r="B2195" s="473" t="s">
        <v>11853</v>
      </c>
      <c r="C2195" s="473" t="s">
        <v>40</v>
      </c>
      <c r="D2195" s="473" t="s">
        <v>47</v>
      </c>
      <c r="E2195" s="361">
        <v>6.5</v>
      </c>
    </row>
    <row r="2196" spans="1:5">
      <c r="A2196" s="473">
        <v>34795</v>
      </c>
      <c r="B2196" s="473" t="s">
        <v>11854</v>
      </c>
      <c r="C2196" s="473" t="s">
        <v>46</v>
      </c>
      <c r="D2196" s="473" t="s">
        <v>41</v>
      </c>
      <c r="E2196" s="361">
        <v>235.25</v>
      </c>
    </row>
    <row r="2197" spans="1:5">
      <c r="A2197" s="473">
        <v>34796</v>
      </c>
      <c r="B2197" s="473" t="s">
        <v>11855</v>
      </c>
      <c r="C2197" s="473" t="s">
        <v>48</v>
      </c>
      <c r="D2197" s="473" t="s">
        <v>41</v>
      </c>
      <c r="E2197" s="361">
        <v>10.32</v>
      </c>
    </row>
    <row r="2198" spans="1:5">
      <c r="A2198" s="473">
        <v>11474</v>
      </c>
      <c r="B2198" s="473" t="s">
        <v>11856</v>
      </c>
      <c r="C2198" s="473" t="s">
        <v>40</v>
      </c>
      <c r="D2198" s="473" t="s">
        <v>41</v>
      </c>
      <c r="E2198" s="361">
        <v>32.72</v>
      </c>
    </row>
    <row r="2199" spans="1:5">
      <c r="A2199" s="473">
        <v>11470</v>
      </c>
      <c r="B2199" s="473" t="s">
        <v>11857</v>
      </c>
      <c r="C2199" s="473" t="s">
        <v>40</v>
      </c>
      <c r="D2199" s="473" t="s">
        <v>41</v>
      </c>
      <c r="E2199" s="361">
        <v>21.43</v>
      </c>
    </row>
    <row r="2200" spans="1:5">
      <c r="A2200" s="473">
        <v>11480</v>
      </c>
      <c r="B2200" s="473" t="s">
        <v>11858</v>
      </c>
      <c r="C2200" s="473" t="s">
        <v>59</v>
      </c>
      <c r="D2200" s="473" t="s">
        <v>41</v>
      </c>
      <c r="E2200" s="361">
        <v>53.51</v>
      </c>
    </row>
    <row r="2201" spans="1:5">
      <c r="A2201" s="473">
        <v>38154</v>
      </c>
      <c r="B2201" s="473" t="s">
        <v>11859</v>
      </c>
      <c r="C2201" s="473" t="s">
        <v>59</v>
      </c>
      <c r="D2201" s="473" t="s">
        <v>41</v>
      </c>
      <c r="E2201" s="361">
        <v>33.5</v>
      </c>
    </row>
    <row r="2202" spans="1:5">
      <c r="A2202" s="473">
        <v>11482</v>
      </c>
      <c r="B2202" s="473" t="s">
        <v>11860</v>
      </c>
      <c r="C2202" s="473" t="s">
        <v>59</v>
      </c>
      <c r="D2202" s="473" t="s">
        <v>41</v>
      </c>
      <c r="E2202" s="361">
        <v>48.6</v>
      </c>
    </row>
    <row r="2203" spans="1:5">
      <c r="A2203" s="473">
        <v>3084</v>
      </c>
      <c r="B2203" s="473" t="s">
        <v>11861</v>
      </c>
      <c r="C2203" s="473" t="s">
        <v>59</v>
      </c>
      <c r="D2203" s="473" t="s">
        <v>41</v>
      </c>
      <c r="E2203" s="361">
        <v>62.49</v>
      </c>
    </row>
    <row r="2204" spans="1:5">
      <c r="A2204" s="473">
        <v>3103</v>
      </c>
      <c r="B2204" s="473" t="s">
        <v>11862</v>
      </c>
      <c r="C2204" s="473" t="s">
        <v>40</v>
      </c>
      <c r="D2204" s="473" t="s">
        <v>41</v>
      </c>
      <c r="E2204" s="361">
        <v>55.85</v>
      </c>
    </row>
    <row r="2205" spans="1:5">
      <c r="A2205" s="473">
        <v>11481</v>
      </c>
      <c r="B2205" s="473" t="s">
        <v>11863</v>
      </c>
      <c r="C2205" s="473" t="s">
        <v>40</v>
      </c>
      <c r="D2205" s="473" t="s">
        <v>41</v>
      </c>
      <c r="E2205" s="361">
        <v>16.850000000000001</v>
      </c>
    </row>
    <row r="2206" spans="1:5">
      <c r="A2206" s="473">
        <v>3097</v>
      </c>
      <c r="B2206" s="473" t="s">
        <v>11864</v>
      </c>
      <c r="C2206" s="473" t="s">
        <v>59</v>
      </c>
      <c r="D2206" s="473" t="s">
        <v>41</v>
      </c>
      <c r="E2206" s="361">
        <v>34.61</v>
      </c>
    </row>
    <row r="2207" spans="1:5">
      <c r="A2207" s="473">
        <v>38153</v>
      </c>
      <c r="B2207" s="473" t="s">
        <v>11865</v>
      </c>
      <c r="C2207" s="473" t="s">
        <v>59</v>
      </c>
      <c r="D2207" s="473" t="s">
        <v>41</v>
      </c>
      <c r="E2207" s="361">
        <v>31.75</v>
      </c>
    </row>
    <row r="2208" spans="1:5">
      <c r="A2208" s="473">
        <v>3099</v>
      </c>
      <c r="B2208" s="473" t="s">
        <v>11866</v>
      </c>
      <c r="C2208" s="473" t="s">
        <v>59</v>
      </c>
      <c r="D2208" s="473" t="s">
        <v>41</v>
      </c>
      <c r="E2208" s="361">
        <v>55.37</v>
      </c>
    </row>
    <row r="2209" spans="1:5">
      <c r="A2209" s="473">
        <v>3080</v>
      </c>
      <c r="B2209" s="473" t="s">
        <v>11867</v>
      </c>
      <c r="C2209" s="473" t="s">
        <v>59</v>
      </c>
      <c r="D2209" s="473" t="s">
        <v>44</v>
      </c>
      <c r="E2209" s="361">
        <v>46.26</v>
      </c>
    </row>
    <row r="2210" spans="1:5">
      <c r="A2210" s="473">
        <v>3081</v>
      </c>
      <c r="B2210" s="473" t="s">
        <v>11868</v>
      </c>
      <c r="C2210" s="473" t="s">
        <v>59</v>
      </c>
      <c r="D2210" s="473" t="s">
        <v>41</v>
      </c>
      <c r="E2210" s="361">
        <v>70.010000000000005</v>
      </c>
    </row>
    <row r="2211" spans="1:5">
      <c r="A2211" s="473">
        <v>38151</v>
      </c>
      <c r="B2211" s="473" t="s">
        <v>11869</v>
      </c>
      <c r="C2211" s="473" t="s">
        <v>59</v>
      </c>
      <c r="D2211" s="473" t="s">
        <v>41</v>
      </c>
      <c r="E2211" s="361">
        <v>43.83</v>
      </c>
    </row>
    <row r="2212" spans="1:5">
      <c r="A2212" s="473">
        <v>11479</v>
      </c>
      <c r="B2212" s="473" t="s">
        <v>11870</v>
      </c>
      <c r="C2212" s="473" t="s">
        <v>40</v>
      </c>
      <c r="D2212" s="473" t="s">
        <v>41</v>
      </c>
      <c r="E2212" s="361">
        <v>25.48</v>
      </c>
    </row>
    <row r="2213" spans="1:5">
      <c r="A2213" s="473">
        <v>38152</v>
      </c>
      <c r="B2213" s="473" t="s">
        <v>11871</v>
      </c>
      <c r="C2213" s="473" t="s">
        <v>59</v>
      </c>
      <c r="D2213" s="473" t="s">
        <v>41</v>
      </c>
      <c r="E2213" s="361">
        <v>63.43</v>
      </c>
    </row>
    <row r="2214" spans="1:5">
      <c r="A2214" s="473">
        <v>11478</v>
      </c>
      <c r="B2214" s="473" t="s">
        <v>11872</v>
      </c>
      <c r="C2214" s="473" t="s">
        <v>40</v>
      </c>
      <c r="D2214" s="473" t="s">
        <v>41</v>
      </c>
      <c r="E2214" s="361">
        <v>44.71</v>
      </c>
    </row>
    <row r="2215" spans="1:5">
      <c r="A2215" s="473">
        <v>3090</v>
      </c>
      <c r="B2215" s="473" t="s">
        <v>11873</v>
      </c>
      <c r="C2215" s="473" t="s">
        <v>59</v>
      </c>
      <c r="D2215" s="473" t="s">
        <v>41</v>
      </c>
      <c r="E2215" s="361">
        <v>37.4</v>
      </c>
    </row>
    <row r="2216" spans="1:5">
      <c r="A2216" s="473">
        <v>3093</v>
      </c>
      <c r="B2216" s="473" t="s">
        <v>11874</v>
      </c>
      <c r="C2216" s="473" t="s">
        <v>59</v>
      </c>
      <c r="D2216" s="473" t="s">
        <v>41</v>
      </c>
      <c r="E2216" s="361">
        <v>62.16</v>
      </c>
    </row>
    <row r="2217" spans="1:5">
      <c r="A2217" s="473">
        <v>11476</v>
      </c>
      <c r="B2217" s="473" t="s">
        <v>11875</v>
      </c>
      <c r="C2217" s="473" t="s">
        <v>40</v>
      </c>
      <c r="D2217" s="473" t="s">
        <v>41</v>
      </c>
      <c r="E2217" s="361">
        <v>26.79</v>
      </c>
    </row>
    <row r="2218" spans="1:5">
      <c r="A2218" s="473">
        <v>3082</v>
      </c>
      <c r="B2218" s="473" t="s">
        <v>11876</v>
      </c>
      <c r="C2218" s="473" t="s">
        <v>59</v>
      </c>
      <c r="D2218" s="473" t="s">
        <v>41</v>
      </c>
      <c r="E2218" s="361">
        <v>43.27</v>
      </c>
    </row>
    <row r="2219" spans="1:5">
      <c r="A2219" s="473">
        <v>11484</v>
      </c>
      <c r="B2219" s="473" t="s">
        <v>11877</v>
      </c>
      <c r="C2219" s="473" t="s">
        <v>40</v>
      </c>
      <c r="D2219" s="473" t="s">
        <v>41</v>
      </c>
      <c r="E2219" s="361">
        <v>30.87</v>
      </c>
    </row>
    <row r="2220" spans="1:5">
      <c r="A2220" s="473">
        <v>38155</v>
      </c>
      <c r="B2220" s="473" t="s">
        <v>11878</v>
      </c>
      <c r="C2220" s="473" t="s">
        <v>40</v>
      </c>
      <c r="D2220" s="473" t="s">
        <v>41</v>
      </c>
      <c r="E2220" s="361">
        <v>42.08</v>
      </c>
    </row>
    <row r="2221" spans="1:5">
      <c r="A2221" s="473">
        <v>11468</v>
      </c>
      <c r="B2221" s="473" t="s">
        <v>11879</v>
      </c>
      <c r="C2221" s="473" t="s">
        <v>40</v>
      </c>
      <c r="D2221" s="473" t="s">
        <v>41</v>
      </c>
      <c r="E2221" s="361">
        <v>9.44</v>
      </c>
    </row>
    <row r="2222" spans="1:5">
      <c r="A2222" s="473">
        <v>11469</v>
      </c>
      <c r="B2222" s="473" t="s">
        <v>11880</v>
      </c>
      <c r="C2222" s="473" t="s">
        <v>40</v>
      </c>
      <c r="D2222" s="473" t="s">
        <v>41</v>
      </c>
      <c r="E2222" s="361">
        <v>11.28</v>
      </c>
    </row>
    <row r="2223" spans="1:5">
      <c r="A2223" s="473">
        <v>11477</v>
      </c>
      <c r="B2223" s="473" t="s">
        <v>11881</v>
      </c>
      <c r="C2223" s="473" t="s">
        <v>59</v>
      </c>
      <c r="D2223" s="473" t="s">
        <v>41</v>
      </c>
      <c r="E2223" s="361">
        <v>51.26</v>
      </c>
    </row>
    <row r="2224" spans="1:5">
      <c r="A2224" s="473">
        <v>40311</v>
      </c>
      <c r="B2224" s="473" t="s">
        <v>11882</v>
      </c>
      <c r="C2224" s="473" t="s">
        <v>59</v>
      </c>
      <c r="D2224" s="473" t="s">
        <v>41</v>
      </c>
      <c r="E2224" s="361">
        <v>49.5</v>
      </c>
    </row>
    <row r="2225" spans="1:5">
      <c r="A2225" s="473">
        <v>38165</v>
      </c>
      <c r="B2225" s="473" t="s">
        <v>11883</v>
      </c>
      <c r="C2225" s="473" t="s">
        <v>59</v>
      </c>
      <c r="D2225" s="473" t="s">
        <v>41</v>
      </c>
      <c r="E2225" s="361">
        <v>52.83</v>
      </c>
    </row>
    <row r="2226" spans="1:5">
      <c r="A2226" s="473">
        <v>3096</v>
      </c>
      <c r="B2226" s="473" t="s">
        <v>11884</v>
      </c>
      <c r="C2226" s="473" t="s">
        <v>59</v>
      </c>
      <c r="D2226" s="473" t="s">
        <v>41</v>
      </c>
      <c r="E2226" s="361">
        <v>28.46</v>
      </c>
    </row>
    <row r="2227" spans="1:5">
      <c r="A2227" s="473">
        <v>11456</v>
      </c>
      <c r="B2227" s="473" t="s">
        <v>11885</v>
      </c>
      <c r="C2227" s="473" t="s">
        <v>40</v>
      </c>
      <c r="D2227" s="473" t="s">
        <v>41</v>
      </c>
      <c r="E2227" s="361">
        <v>11.7</v>
      </c>
    </row>
    <row r="2228" spans="1:5">
      <c r="A2228" s="473">
        <v>3119</v>
      </c>
      <c r="B2228" s="473" t="s">
        <v>11886</v>
      </c>
      <c r="C2228" s="473" t="s">
        <v>40</v>
      </c>
      <c r="D2228" s="473" t="s">
        <v>41</v>
      </c>
      <c r="E2228" s="361">
        <v>1.74</v>
      </c>
    </row>
    <row r="2229" spans="1:5">
      <c r="A2229" s="473">
        <v>3122</v>
      </c>
      <c r="B2229" s="473" t="s">
        <v>11887</v>
      </c>
      <c r="C2229" s="473" t="s">
        <v>40</v>
      </c>
      <c r="D2229" s="473" t="s">
        <v>41</v>
      </c>
      <c r="E2229" s="361">
        <v>2.44</v>
      </c>
    </row>
    <row r="2230" spans="1:5">
      <c r="A2230" s="473">
        <v>3121</v>
      </c>
      <c r="B2230" s="473" t="s">
        <v>11888</v>
      </c>
      <c r="C2230" s="473" t="s">
        <v>40</v>
      </c>
      <c r="D2230" s="473" t="s">
        <v>41</v>
      </c>
      <c r="E2230" s="361">
        <v>3.79</v>
      </c>
    </row>
    <row r="2231" spans="1:5">
      <c r="A2231" s="473">
        <v>3120</v>
      </c>
      <c r="B2231" s="473" t="s">
        <v>11889</v>
      </c>
      <c r="C2231" s="473" t="s">
        <v>40</v>
      </c>
      <c r="D2231" s="473" t="s">
        <v>41</v>
      </c>
      <c r="E2231" s="361">
        <v>5.98</v>
      </c>
    </row>
    <row r="2232" spans="1:5">
      <c r="A2232" s="473">
        <v>11455</v>
      </c>
      <c r="B2232" s="473" t="s">
        <v>11890</v>
      </c>
      <c r="C2232" s="473" t="s">
        <v>40</v>
      </c>
      <c r="D2232" s="473" t="s">
        <v>41</v>
      </c>
      <c r="E2232" s="361">
        <v>8.39</v>
      </c>
    </row>
    <row r="2233" spans="1:5">
      <c r="A2233" s="473">
        <v>3111</v>
      </c>
      <c r="B2233" s="473" t="s">
        <v>11891</v>
      </c>
      <c r="C2233" s="473" t="s">
        <v>40</v>
      </c>
      <c r="D2233" s="473" t="s">
        <v>41</v>
      </c>
      <c r="E2233" s="361">
        <v>20.079999999999998</v>
      </c>
    </row>
    <row r="2234" spans="1:5">
      <c r="A2234" s="473">
        <v>3108</v>
      </c>
      <c r="B2234" s="473" t="s">
        <v>11892</v>
      </c>
      <c r="C2234" s="473" t="s">
        <v>40</v>
      </c>
      <c r="D2234" s="473" t="s">
        <v>41</v>
      </c>
      <c r="E2234" s="361">
        <v>21.07</v>
      </c>
    </row>
    <row r="2235" spans="1:5">
      <c r="A2235" s="473">
        <v>3105</v>
      </c>
      <c r="B2235" s="473" t="s">
        <v>11893</v>
      </c>
      <c r="C2235" s="473" t="s">
        <v>40</v>
      </c>
      <c r="D2235" s="473" t="s">
        <v>41</v>
      </c>
      <c r="E2235" s="361">
        <v>32.729999999999997</v>
      </c>
    </row>
    <row r="2236" spans="1:5">
      <c r="A2236" s="473">
        <v>38178</v>
      </c>
      <c r="B2236" s="473" t="s">
        <v>11894</v>
      </c>
      <c r="C2236" s="473" t="s">
        <v>40</v>
      </c>
      <c r="D2236" s="473" t="s">
        <v>41</v>
      </c>
      <c r="E2236" s="361">
        <v>21.39</v>
      </c>
    </row>
    <row r="2237" spans="1:5">
      <c r="A2237" s="473">
        <v>11458</v>
      </c>
      <c r="B2237" s="473" t="s">
        <v>11895</v>
      </c>
      <c r="C2237" s="473" t="s">
        <v>40</v>
      </c>
      <c r="D2237" s="473" t="s">
        <v>41</v>
      </c>
      <c r="E2237" s="361">
        <v>18.739999999999998</v>
      </c>
    </row>
    <row r="2238" spans="1:5">
      <c r="A2238" s="473">
        <v>42481</v>
      </c>
      <c r="B2238" s="473" t="s">
        <v>11896</v>
      </c>
      <c r="C2238" s="473" t="s">
        <v>46</v>
      </c>
      <c r="D2238" s="473" t="s">
        <v>47</v>
      </c>
      <c r="E2238" s="361">
        <v>24.73</v>
      </c>
    </row>
    <row r="2239" spans="1:5">
      <c r="A2239" s="473">
        <v>43458</v>
      </c>
      <c r="B2239" s="473" t="s">
        <v>11897</v>
      </c>
      <c r="C2239" s="473" t="s">
        <v>43</v>
      </c>
      <c r="D2239" s="473" t="s">
        <v>44</v>
      </c>
      <c r="E2239" s="361">
        <v>0.04</v>
      </c>
    </row>
    <row r="2240" spans="1:5">
      <c r="A2240" s="473">
        <v>43470</v>
      </c>
      <c r="B2240" s="473" t="s">
        <v>11898</v>
      </c>
      <c r="C2240" s="473" t="s">
        <v>53</v>
      </c>
      <c r="D2240" s="473" t="s">
        <v>44</v>
      </c>
      <c r="E2240" s="361">
        <v>7.37</v>
      </c>
    </row>
    <row r="2241" spans="1:5">
      <c r="A2241" s="473">
        <v>43459</v>
      </c>
      <c r="B2241" s="473" t="s">
        <v>11899</v>
      </c>
      <c r="C2241" s="473" t="s">
        <v>43</v>
      </c>
      <c r="D2241" s="473" t="s">
        <v>44</v>
      </c>
      <c r="E2241" s="361">
        <v>0.34</v>
      </c>
    </row>
    <row r="2242" spans="1:5">
      <c r="A2242" s="473">
        <v>43471</v>
      </c>
      <c r="B2242" s="473" t="s">
        <v>11900</v>
      </c>
      <c r="C2242" s="473" t="s">
        <v>53</v>
      </c>
      <c r="D2242" s="473" t="s">
        <v>44</v>
      </c>
      <c r="E2242" s="361">
        <v>64.61</v>
      </c>
    </row>
    <row r="2243" spans="1:5">
      <c r="A2243" s="473">
        <v>43460</v>
      </c>
      <c r="B2243" s="473" t="s">
        <v>11901</v>
      </c>
      <c r="C2243" s="473" t="s">
        <v>43</v>
      </c>
      <c r="D2243" s="473" t="s">
        <v>44</v>
      </c>
      <c r="E2243" s="361">
        <v>0.55000000000000004</v>
      </c>
    </row>
    <row r="2244" spans="1:5">
      <c r="A2244" s="473">
        <v>43472</v>
      </c>
      <c r="B2244" s="473" t="s">
        <v>11902</v>
      </c>
      <c r="C2244" s="473" t="s">
        <v>53</v>
      </c>
      <c r="D2244" s="473" t="s">
        <v>44</v>
      </c>
      <c r="E2244" s="361">
        <v>103.26</v>
      </c>
    </row>
    <row r="2245" spans="1:5">
      <c r="A2245" s="473">
        <v>43461</v>
      </c>
      <c r="B2245" s="473" t="s">
        <v>11903</v>
      </c>
      <c r="C2245" s="473" t="s">
        <v>43</v>
      </c>
      <c r="D2245" s="473" t="s">
        <v>44</v>
      </c>
      <c r="E2245" s="361">
        <v>0.24</v>
      </c>
    </row>
    <row r="2246" spans="1:5">
      <c r="A2246" s="473">
        <v>43473</v>
      </c>
      <c r="B2246" s="473" t="s">
        <v>11904</v>
      </c>
      <c r="C2246" s="473" t="s">
        <v>53</v>
      </c>
      <c r="D2246" s="473" t="s">
        <v>44</v>
      </c>
      <c r="E2246" s="361">
        <v>45.84</v>
      </c>
    </row>
    <row r="2247" spans="1:5">
      <c r="A2247" s="473">
        <v>43475</v>
      </c>
      <c r="B2247" s="473" t="s">
        <v>11905</v>
      </c>
      <c r="C2247" s="473" t="s">
        <v>53</v>
      </c>
      <c r="D2247" s="473" t="s">
        <v>44</v>
      </c>
      <c r="E2247" s="361">
        <v>14.2</v>
      </c>
    </row>
    <row r="2248" spans="1:5">
      <c r="A2248" s="473">
        <v>43463</v>
      </c>
      <c r="B2248" s="473" t="s">
        <v>11905</v>
      </c>
      <c r="C2248" s="473" t="s">
        <v>43</v>
      </c>
      <c r="D2248" s="473" t="s">
        <v>44</v>
      </c>
      <c r="E2248" s="361">
        <v>0.08</v>
      </c>
    </row>
    <row r="2249" spans="1:5">
      <c r="A2249" s="473">
        <v>43462</v>
      </c>
      <c r="B2249" s="473" t="s">
        <v>11906</v>
      </c>
      <c r="C2249" s="473" t="s">
        <v>43</v>
      </c>
      <c r="D2249" s="473" t="s">
        <v>44</v>
      </c>
      <c r="E2249" s="361">
        <v>0.01</v>
      </c>
    </row>
    <row r="2250" spans="1:5">
      <c r="A2250" s="473">
        <v>43474</v>
      </c>
      <c r="B2250" s="473" t="s">
        <v>11907</v>
      </c>
      <c r="C2250" s="473" t="s">
        <v>53</v>
      </c>
      <c r="D2250" s="473" t="s">
        <v>44</v>
      </c>
      <c r="E2250" s="361">
        <v>1.46</v>
      </c>
    </row>
    <row r="2251" spans="1:5">
      <c r="A2251" s="473">
        <v>43464</v>
      </c>
      <c r="B2251" s="473" t="s">
        <v>11908</v>
      </c>
      <c r="C2251" s="473" t="s">
        <v>43</v>
      </c>
      <c r="D2251" s="473" t="s">
        <v>44</v>
      </c>
      <c r="E2251" s="361">
        <v>0.01</v>
      </c>
    </row>
    <row r="2252" spans="1:5">
      <c r="A2252" s="473">
        <v>43476</v>
      </c>
      <c r="B2252" s="473" t="s">
        <v>11909</v>
      </c>
      <c r="C2252" s="473" t="s">
        <v>53</v>
      </c>
      <c r="D2252" s="473" t="s">
        <v>44</v>
      </c>
      <c r="E2252" s="361">
        <v>0.01</v>
      </c>
    </row>
    <row r="2253" spans="1:5">
      <c r="A2253" s="473">
        <v>43465</v>
      </c>
      <c r="B2253" s="473" t="s">
        <v>11910</v>
      </c>
      <c r="C2253" s="473" t="s">
        <v>43</v>
      </c>
      <c r="D2253" s="473" t="s">
        <v>44</v>
      </c>
      <c r="E2253" s="361">
        <v>0.48</v>
      </c>
    </row>
    <row r="2254" spans="1:5">
      <c r="A2254" s="473">
        <v>43477</v>
      </c>
      <c r="B2254" s="473" t="s">
        <v>11911</v>
      </c>
      <c r="C2254" s="473" t="s">
        <v>53</v>
      </c>
      <c r="D2254" s="473" t="s">
        <v>44</v>
      </c>
      <c r="E2254" s="361">
        <v>91.21</v>
      </c>
    </row>
    <row r="2255" spans="1:5">
      <c r="A2255" s="473">
        <v>43466</v>
      </c>
      <c r="B2255" s="473" t="s">
        <v>11912</v>
      </c>
      <c r="C2255" s="473" t="s">
        <v>43</v>
      </c>
      <c r="D2255" s="473" t="s">
        <v>44</v>
      </c>
      <c r="E2255" s="361">
        <v>1.1599999999999999</v>
      </c>
    </row>
    <row r="2256" spans="1:5">
      <c r="A2256" s="473">
        <v>43478</v>
      </c>
      <c r="B2256" s="473" t="s">
        <v>11913</v>
      </c>
      <c r="C2256" s="473" t="s">
        <v>53</v>
      </c>
      <c r="D2256" s="473" t="s">
        <v>44</v>
      </c>
      <c r="E2256" s="361">
        <v>219.5</v>
      </c>
    </row>
    <row r="2257" spans="1:5">
      <c r="A2257" s="473">
        <v>43467</v>
      </c>
      <c r="B2257" s="473" t="s">
        <v>11914</v>
      </c>
      <c r="C2257" s="473" t="s">
        <v>43</v>
      </c>
      <c r="D2257" s="473" t="s">
        <v>44</v>
      </c>
      <c r="E2257" s="361">
        <v>0.34</v>
      </c>
    </row>
    <row r="2258" spans="1:5">
      <c r="A2258" s="473">
        <v>43479</v>
      </c>
      <c r="B2258" s="473" t="s">
        <v>11915</v>
      </c>
      <c r="C2258" s="473" t="s">
        <v>53</v>
      </c>
      <c r="D2258" s="473" t="s">
        <v>44</v>
      </c>
      <c r="E2258" s="361">
        <v>64.08</v>
      </c>
    </row>
    <row r="2259" spans="1:5">
      <c r="A2259" s="473">
        <v>43468</v>
      </c>
      <c r="B2259" s="473" t="s">
        <v>11916</v>
      </c>
      <c r="C2259" s="473" t="s">
        <v>43</v>
      </c>
      <c r="D2259" s="473" t="s">
        <v>44</v>
      </c>
      <c r="E2259" s="361">
        <v>0.82</v>
      </c>
    </row>
    <row r="2260" spans="1:5">
      <c r="A2260" s="473">
        <v>43480</v>
      </c>
      <c r="B2260" s="473" t="s">
        <v>11917</v>
      </c>
      <c r="C2260" s="473" t="s">
        <v>53</v>
      </c>
      <c r="D2260" s="473" t="s">
        <v>44</v>
      </c>
      <c r="E2260" s="361">
        <v>155.5</v>
      </c>
    </row>
    <row r="2261" spans="1:5">
      <c r="A2261" s="473">
        <v>43469</v>
      </c>
      <c r="B2261" s="473" t="s">
        <v>11918</v>
      </c>
      <c r="C2261" s="473" t="s">
        <v>43</v>
      </c>
      <c r="D2261" s="473" t="s">
        <v>44</v>
      </c>
      <c r="E2261" s="361">
        <v>0.05</v>
      </c>
    </row>
    <row r="2262" spans="1:5">
      <c r="A2262" s="473">
        <v>43481</v>
      </c>
      <c r="B2262" s="473" t="s">
        <v>11919</v>
      </c>
      <c r="C2262" s="473" t="s">
        <v>53</v>
      </c>
      <c r="D2262" s="473" t="s">
        <v>44</v>
      </c>
      <c r="E2262" s="361">
        <v>10.25</v>
      </c>
    </row>
    <row r="2263" spans="1:5">
      <c r="A2263" s="473">
        <v>11461</v>
      </c>
      <c r="B2263" s="473" t="s">
        <v>11920</v>
      </c>
      <c r="C2263" s="473" t="s">
        <v>40</v>
      </c>
      <c r="D2263" s="473" t="s">
        <v>41</v>
      </c>
      <c r="E2263" s="361">
        <v>4.75</v>
      </c>
    </row>
    <row r="2264" spans="1:5">
      <c r="A2264" s="473">
        <v>3106</v>
      </c>
      <c r="B2264" s="473" t="s">
        <v>11921</v>
      </c>
      <c r="C2264" s="473" t="s">
        <v>40</v>
      </c>
      <c r="D2264" s="473" t="s">
        <v>41</v>
      </c>
      <c r="E2264" s="361">
        <v>3.61</v>
      </c>
    </row>
    <row r="2265" spans="1:5">
      <c r="A2265" s="473">
        <v>3107</v>
      </c>
      <c r="B2265" s="473" t="s">
        <v>11922</v>
      </c>
      <c r="C2265" s="473" t="s">
        <v>40</v>
      </c>
      <c r="D2265" s="473" t="s">
        <v>41</v>
      </c>
      <c r="E2265" s="361">
        <v>3.04</v>
      </c>
    </row>
    <row r="2266" spans="1:5">
      <c r="A2266" s="473">
        <v>25951</v>
      </c>
      <c r="B2266" s="473" t="s">
        <v>11923</v>
      </c>
      <c r="C2266" s="473" t="s">
        <v>49</v>
      </c>
      <c r="D2266" s="473" t="s">
        <v>41</v>
      </c>
      <c r="E2266" s="361">
        <v>2.5299999999999998</v>
      </c>
    </row>
    <row r="2267" spans="1:5">
      <c r="A2267" s="473">
        <v>3123</v>
      </c>
      <c r="B2267" s="473" t="s">
        <v>11924</v>
      </c>
      <c r="C2267" s="473" t="s">
        <v>49</v>
      </c>
      <c r="D2267" s="473" t="s">
        <v>44</v>
      </c>
      <c r="E2267" s="361">
        <v>2.36</v>
      </c>
    </row>
    <row r="2268" spans="1:5">
      <c r="A2268" s="473">
        <v>38125</v>
      </c>
      <c r="B2268" s="473" t="s">
        <v>11925</v>
      </c>
      <c r="C2268" s="473" t="s">
        <v>49</v>
      </c>
      <c r="D2268" s="473" t="s">
        <v>41</v>
      </c>
      <c r="E2268" s="361">
        <v>0.85</v>
      </c>
    </row>
    <row r="2269" spans="1:5">
      <c r="A2269" s="473">
        <v>39014</v>
      </c>
      <c r="B2269" s="473" t="s">
        <v>11926</v>
      </c>
      <c r="C2269" s="473" t="s">
        <v>49</v>
      </c>
      <c r="D2269" s="473" t="s">
        <v>41</v>
      </c>
      <c r="E2269" s="361">
        <v>10.51</v>
      </c>
    </row>
    <row r="2270" spans="1:5">
      <c r="A2270" s="473">
        <v>11894</v>
      </c>
      <c r="B2270" s="473" t="s">
        <v>11927</v>
      </c>
      <c r="C2270" s="473" t="s">
        <v>40</v>
      </c>
      <c r="D2270" s="473" t="s">
        <v>41</v>
      </c>
      <c r="E2270" s="361">
        <v>673.99</v>
      </c>
    </row>
    <row r="2271" spans="1:5">
      <c r="A2271" s="473">
        <v>39365</v>
      </c>
      <c r="B2271" s="473" t="s">
        <v>11928</v>
      </c>
      <c r="C2271" s="473" t="s">
        <v>40</v>
      </c>
      <c r="D2271" s="473" t="s">
        <v>41</v>
      </c>
      <c r="E2271" s="361">
        <v>900.6</v>
      </c>
    </row>
    <row r="2272" spans="1:5">
      <c r="A2272" s="473">
        <v>39366</v>
      </c>
      <c r="B2272" s="473" t="s">
        <v>11929</v>
      </c>
      <c r="C2272" s="473" t="s">
        <v>40</v>
      </c>
      <c r="D2272" s="473" t="s">
        <v>41</v>
      </c>
      <c r="E2272" s="361">
        <v>2305.9299999999998</v>
      </c>
    </row>
    <row r="2273" spans="1:5">
      <c r="A2273" s="473">
        <v>39367</v>
      </c>
      <c r="B2273" s="473" t="s">
        <v>11930</v>
      </c>
      <c r="C2273" s="473" t="s">
        <v>40</v>
      </c>
      <c r="D2273" s="473" t="s">
        <v>41</v>
      </c>
      <c r="E2273" s="361">
        <v>3151.79</v>
      </c>
    </row>
    <row r="2274" spans="1:5">
      <c r="A2274" s="473">
        <v>37394</v>
      </c>
      <c r="B2274" s="473" t="s">
        <v>11931</v>
      </c>
      <c r="C2274" s="473" t="s">
        <v>62</v>
      </c>
      <c r="D2274" s="473" t="s">
        <v>47</v>
      </c>
      <c r="E2274" s="361">
        <v>27.98</v>
      </c>
    </row>
    <row r="2275" spans="1:5">
      <c r="A2275" s="473">
        <v>14146</v>
      </c>
      <c r="B2275" s="473" t="s">
        <v>11932</v>
      </c>
      <c r="C2275" s="473" t="s">
        <v>62</v>
      </c>
      <c r="D2275" s="473" t="s">
        <v>47</v>
      </c>
      <c r="E2275" s="361">
        <v>45</v>
      </c>
    </row>
    <row r="2276" spans="1:5">
      <c r="A2276" s="473">
        <v>38134</v>
      </c>
      <c r="B2276" s="473" t="s">
        <v>11933</v>
      </c>
      <c r="C2276" s="473" t="s">
        <v>49</v>
      </c>
      <c r="D2276" s="473" t="s">
        <v>41</v>
      </c>
      <c r="E2276" s="361">
        <v>46.85</v>
      </c>
    </row>
    <row r="2277" spans="1:5">
      <c r="A2277" s="473">
        <v>38132</v>
      </c>
      <c r="B2277" s="473" t="s">
        <v>11934</v>
      </c>
      <c r="C2277" s="473" t="s">
        <v>49</v>
      </c>
      <c r="D2277" s="473" t="s">
        <v>41</v>
      </c>
      <c r="E2277" s="361">
        <v>47.79</v>
      </c>
    </row>
    <row r="2278" spans="1:5">
      <c r="A2278" s="473">
        <v>38133</v>
      </c>
      <c r="B2278" s="473" t="s">
        <v>11935</v>
      </c>
      <c r="C2278" s="473" t="s">
        <v>49</v>
      </c>
      <c r="D2278" s="473" t="s">
        <v>41</v>
      </c>
      <c r="E2278" s="361">
        <v>46.22</v>
      </c>
    </row>
    <row r="2279" spans="1:5">
      <c r="A2279" s="473">
        <v>938</v>
      </c>
      <c r="B2279" s="473" t="s">
        <v>11936</v>
      </c>
      <c r="C2279" s="473" t="s">
        <v>48</v>
      </c>
      <c r="D2279" s="473" t="s">
        <v>41</v>
      </c>
      <c r="E2279" s="361">
        <v>0.95</v>
      </c>
    </row>
    <row r="2280" spans="1:5">
      <c r="A2280" s="473">
        <v>937</v>
      </c>
      <c r="B2280" s="473" t="s">
        <v>11937</v>
      </c>
      <c r="C2280" s="473" t="s">
        <v>48</v>
      </c>
      <c r="D2280" s="473" t="s">
        <v>41</v>
      </c>
      <c r="E2280" s="361">
        <v>5.91</v>
      </c>
    </row>
    <row r="2281" spans="1:5">
      <c r="A2281" s="473">
        <v>939</v>
      </c>
      <c r="B2281" s="473" t="s">
        <v>11938</v>
      </c>
      <c r="C2281" s="473" t="s">
        <v>48</v>
      </c>
      <c r="D2281" s="473" t="s">
        <v>41</v>
      </c>
      <c r="E2281" s="361">
        <v>1.53</v>
      </c>
    </row>
    <row r="2282" spans="1:5">
      <c r="A2282" s="473">
        <v>944</v>
      </c>
      <c r="B2282" s="473" t="s">
        <v>11939</v>
      </c>
      <c r="C2282" s="473" t="s">
        <v>48</v>
      </c>
      <c r="D2282" s="473" t="s">
        <v>41</v>
      </c>
      <c r="E2282" s="361">
        <v>2.61</v>
      </c>
    </row>
    <row r="2283" spans="1:5">
      <c r="A2283" s="473">
        <v>940</v>
      </c>
      <c r="B2283" s="473" t="s">
        <v>11940</v>
      </c>
      <c r="C2283" s="473" t="s">
        <v>48</v>
      </c>
      <c r="D2283" s="473" t="s">
        <v>41</v>
      </c>
      <c r="E2283" s="361">
        <v>3.61</v>
      </c>
    </row>
    <row r="2284" spans="1:5">
      <c r="A2284" s="473">
        <v>936</v>
      </c>
      <c r="B2284" s="473" t="s">
        <v>11941</v>
      </c>
      <c r="C2284" s="473" t="s">
        <v>48</v>
      </c>
      <c r="D2284" s="473" t="s">
        <v>41</v>
      </c>
      <c r="E2284" s="361">
        <v>1.22</v>
      </c>
    </row>
    <row r="2285" spans="1:5">
      <c r="A2285" s="473">
        <v>935</v>
      </c>
      <c r="B2285" s="473" t="s">
        <v>11942</v>
      </c>
      <c r="C2285" s="473" t="s">
        <v>48</v>
      </c>
      <c r="D2285" s="473" t="s">
        <v>41</v>
      </c>
      <c r="E2285" s="361">
        <v>0.93</v>
      </c>
    </row>
    <row r="2286" spans="1:5">
      <c r="A2286" s="473">
        <v>406</v>
      </c>
      <c r="B2286" s="473" t="s">
        <v>11943</v>
      </c>
      <c r="C2286" s="473" t="s">
        <v>40</v>
      </c>
      <c r="D2286" s="473" t="s">
        <v>41</v>
      </c>
      <c r="E2286" s="361">
        <v>61.71</v>
      </c>
    </row>
    <row r="2287" spans="1:5">
      <c r="A2287" s="473">
        <v>42529</v>
      </c>
      <c r="B2287" s="473" t="s">
        <v>11944</v>
      </c>
      <c r="C2287" s="473" t="s">
        <v>48</v>
      </c>
      <c r="D2287" s="473" t="s">
        <v>41</v>
      </c>
      <c r="E2287" s="361">
        <v>0.92</v>
      </c>
    </row>
    <row r="2288" spans="1:5">
      <c r="A2288" s="473">
        <v>39634</v>
      </c>
      <c r="B2288" s="473" t="s">
        <v>11945</v>
      </c>
      <c r="C2288" s="473" t="s">
        <v>48</v>
      </c>
      <c r="D2288" s="473" t="s">
        <v>41</v>
      </c>
      <c r="E2288" s="361">
        <v>7.26</v>
      </c>
    </row>
    <row r="2289" spans="1:5">
      <c r="A2289" s="473">
        <v>39701</v>
      </c>
      <c r="B2289" s="473" t="s">
        <v>11946</v>
      </c>
      <c r="C2289" s="473" t="s">
        <v>40</v>
      </c>
      <c r="D2289" s="473" t="s">
        <v>41</v>
      </c>
      <c r="E2289" s="361">
        <v>65.739999999999995</v>
      </c>
    </row>
    <row r="2290" spans="1:5">
      <c r="A2290" s="473">
        <v>12815</v>
      </c>
      <c r="B2290" s="473" t="s">
        <v>11947</v>
      </c>
      <c r="C2290" s="473" t="s">
        <v>40</v>
      </c>
      <c r="D2290" s="473" t="s">
        <v>41</v>
      </c>
      <c r="E2290" s="361">
        <v>6.94</v>
      </c>
    </row>
    <row r="2291" spans="1:5">
      <c r="A2291" s="473">
        <v>407</v>
      </c>
      <c r="B2291" s="473" t="s">
        <v>11948</v>
      </c>
      <c r="C2291" s="473" t="s">
        <v>49</v>
      </c>
      <c r="D2291" s="473" t="s">
        <v>47</v>
      </c>
      <c r="E2291" s="361">
        <v>35.200000000000003</v>
      </c>
    </row>
    <row r="2292" spans="1:5">
      <c r="A2292" s="473">
        <v>39431</v>
      </c>
      <c r="B2292" s="473" t="s">
        <v>11949</v>
      </c>
      <c r="C2292" s="473" t="s">
        <v>48</v>
      </c>
      <c r="D2292" s="473" t="s">
        <v>41</v>
      </c>
      <c r="E2292" s="361">
        <v>0.24</v>
      </c>
    </row>
    <row r="2293" spans="1:5">
      <c r="A2293" s="473">
        <v>39432</v>
      </c>
      <c r="B2293" s="473" t="s">
        <v>11950</v>
      </c>
      <c r="C2293" s="473" t="s">
        <v>48</v>
      </c>
      <c r="D2293" s="473" t="s">
        <v>41</v>
      </c>
      <c r="E2293" s="361">
        <v>3.14</v>
      </c>
    </row>
    <row r="2294" spans="1:5">
      <c r="A2294" s="473">
        <v>20111</v>
      </c>
      <c r="B2294" s="473" t="s">
        <v>11951</v>
      </c>
      <c r="C2294" s="473" t="s">
        <v>40</v>
      </c>
      <c r="D2294" s="473" t="s">
        <v>44</v>
      </c>
      <c r="E2294" s="361">
        <v>10.94</v>
      </c>
    </row>
    <row r="2295" spans="1:5">
      <c r="A2295" s="473">
        <v>21127</v>
      </c>
      <c r="B2295" s="473" t="s">
        <v>11952</v>
      </c>
      <c r="C2295" s="473" t="s">
        <v>40</v>
      </c>
      <c r="D2295" s="473" t="s">
        <v>41</v>
      </c>
      <c r="E2295" s="361">
        <v>4.13</v>
      </c>
    </row>
    <row r="2296" spans="1:5">
      <c r="A2296" s="473">
        <v>404</v>
      </c>
      <c r="B2296" s="473" t="s">
        <v>11953</v>
      </c>
      <c r="C2296" s="473" t="s">
        <v>48</v>
      </c>
      <c r="D2296" s="473" t="s">
        <v>41</v>
      </c>
      <c r="E2296" s="361">
        <v>1.49</v>
      </c>
    </row>
    <row r="2297" spans="1:5">
      <c r="A2297" s="473">
        <v>14151</v>
      </c>
      <c r="B2297" s="473" t="s">
        <v>11954</v>
      </c>
      <c r="C2297" s="473" t="s">
        <v>40</v>
      </c>
      <c r="D2297" s="473" t="s">
        <v>47</v>
      </c>
      <c r="E2297" s="361">
        <v>32.340000000000003</v>
      </c>
    </row>
    <row r="2298" spans="1:5">
      <c r="A2298" s="473">
        <v>14153</v>
      </c>
      <c r="B2298" s="473" t="s">
        <v>11955</v>
      </c>
      <c r="C2298" s="473" t="s">
        <v>40</v>
      </c>
      <c r="D2298" s="473" t="s">
        <v>47</v>
      </c>
      <c r="E2298" s="361">
        <v>36.56</v>
      </c>
    </row>
    <row r="2299" spans="1:5">
      <c r="A2299" s="473">
        <v>14152</v>
      </c>
      <c r="B2299" s="473" t="s">
        <v>11956</v>
      </c>
      <c r="C2299" s="473" t="s">
        <v>40</v>
      </c>
      <c r="D2299" s="473" t="s">
        <v>47</v>
      </c>
      <c r="E2299" s="361">
        <v>28.06</v>
      </c>
    </row>
    <row r="2300" spans="1:5">
      <c r="A2300" s="473">
        <v>14154</v>
      </c>
      <c r="B2300" s="473" t="s">
        <v>11957</v>
      </c>
      <c r="C2300" s="473" t="s">
        <v>40</v>
      </c>
      <c r="D2300" s="473" t="s">
        <v>47</v>
      </c>
      <c r="E2300" s="361">
        <v>98.24</v>
      </c>
    </row>
    <row r="2301" spans="1:5">
      <c r="A2301" s="473">
        <v>42015</v>
      </c>
      <c r="B2301" s="473" t="s">
        <v>11958</v>
      </c>
      <c r="C2301" s="473" t="s">
        <v>48</v>
      </c>
      <c r="D2301" s="473" t="s">
        <v>47</v>
      </c>
      <c r="E2301" s="361">
        <v>0.08</v>
      </c>
    </row>
    <row r="2302" spans="1:5">
      <c r="A2302" s="473">
        <v>3146</v>
      </c>
      <c r="B2302" s="473" t="s">
        <v>11959</v>
      </c>
      <c r="C2302" s="473" t="s">
        <v>40</v>
      </c>
      <c r="D2302" s="473" t="s">
        <v>44</v>
      </c>
      <c r="E2302" s="361">
        <v>3.73</v>
      </c>
    </row>
    <row r="2303" spans="1:5">
      <c r="A2303" s="473">
        <v>3143</v>
      </c>
      <c r="B2303" s="473" t="s">
        <v>11960</v>
      </c>
      <c r="C2303" s="473" t="s">
        <v>40</v>
      </c>
      <c r="D2303" s="473" t="s">
        <v>41</v>
      </c>
      <c r="E2303" s="361">
        <v>8.48</v>
      </c>
    </row>
    <row r="2304" spans="1:5">
      <c r="A2304" s="473">
        <v>3148</v>
      </c>
      <c r="B2304" s="473" t="s">
        <v>11961</v>
      </c>
      <c r="C2304" s="473" t="s">
        <v>40</v>
      </c>
      <c r="D2304" s="473" t="s">
        <v>41</v>
      </c>
      <c r="E2304" s="361">
        <v>13.75</v>
      </c>
    </row>
    <row r="2305" spans="1:5">
      <c r="A2305" s="473">
        <v>4310</v>
      </c>
      <c r="B2305" s="473" t="s">
        <v>11962</v>
      </c>
      <c r="C2305" s="473" t="s">
        <v>40</v>
      </c>
      <c r="D2305" s="473" t="s">
        <v>41</v>
      </c>
      <c r="E2305" s="361">
        <v>1.75</v>
      </c>
    </row>
    <row r="2306" spans="1:5">
      <c r="A2306" s="473">
        <v>4311</v>
      </c>
      <c r="B2306" s="473" t="s">
        <v>11963</v>
      </c>
      <c r="C2306" s="473" t="s">
        <v>40</v>
      </c>
      <c r="D2306" s="473" t="s">
        <v>41</v>
      </c>
      <c r="E2306" s="361">
        <v>1.23</v>
      </c>
    </row>
    <row r="2307" spans="1:5">
      <c r="A2307" s="473">
        <v>4312</v>
      </c>
      <c r="B2307" s="473" t="s">
        <v>11964</v>
      </c>
      <c r="C2307" s="473" t="s">
        <v>40</v>
      </c>
      <c r="D2307" s="473" t="s">
        <v>41</v>
      </c>
      <c r="E2307" s="361">
        <v>1.73</v>
      </c>
    </row>
    <row r="2308" spans="1:5">
      <c r="A2308" s="473">
        <v>11162</v>
      </c>
      <c r="B2308" s="473" t="s">
        <v>11965</v>
      </c>
      <c r="C2308" s="473" t="s">
        <v>40</v>
      </c>
      <c r="D2308" s="473" t="s">
        <v>41</v>
      </c>
      <c r="E2308" s="361">
        <v>1.57</v>
      </c>
    </row>
    <row r="2309" spans="1:5">
      <c r="A2309" s="473">
        <v>13261</v>
      </c>
      <c r="B2309" s="473" t="s">
        <v>11966</v>
      </c>
      <c r="C2309" s="473" t="s">
        <v>40</v>
      </c>
      <c r="D2309" s="473" t="s">
        <v>41</v>
      </c>
      <c r="E2309" s="361">
        <v>2.23</v>
      </c>
    </row>
    <row r="2310" spans="1:5">
      <c r="A2310" s="473">
        <v>3255</v>
      </c>
      <c r="B2310" s="473" t="s">
        <v>11967</v>
      </c>
      <c r="C2310" s="473" t="s">
        <v>40</v>
      </c>
      <c r="D2310" s="473" t="s">
        <v>41</v>
      </c>
      <c r="E2310" s="361">
        <v>5.28</v>
      </c>
    </row>
    <row r="2311" spans="1:5">
      <c r="A2311" s="473">
        <v>3254</v>
      </c>
      <c r="B2311" s="473" t="s">
        <v>11968</v>
      </c>
      <c r="C2311" s="473" t="s">
        <v>40</v>
      </c>
      <c r="D2311" s="473" t="s">
        <v>41</v>
      </c>
      <c r="E2311" s="361">
        <v>85.79</v>
      </c>
    </row>
    <row r="2312" spans="1:5">
      <c r="A2312" s="473">
        <v>3259</v>
      </c>
      <c r="B2312" s="473" t="s">
        <v>11969</v>
      </c>
      <c r="C2312" s="473" t="s">
        <v>40</v>
      </c>
      <c r="D2312" s="473" t="s">
        <v>41</v>
      </c>
      <c r="E2312" s="361">
        <v>10.31</v>
      </c>
    </row>
    <row r="2313" spans="1:5">
      <c r="A2313" s="473">
        <v>3258</v>
      </c>
      <c r="B2313" s="473" t="s">
        <v>11970</v>
      </c>
      <c r="C2313" s="473" t="s">
        <v>40</v>
      </c>
      <c r="D2313" s="473" t="s">
        <v>41</v>
      </c>
      <c r="E2313" s="361">
        <v>6.23</v>
      </c>
    </row>
    <row r="2314" spans="1:5">
      <c r="A2314" s="473">
        <v>3251</v>
      </c>
      <c r="B2314" s="473" t="s">
        <v>11971</v>
      </c>
      <c r="C2314" s="473" t="s">
        <v>40</v>
      </c>
      <c r="D2314" s="473" t="s">
        <v>41</v>
      </c>
      <c r="E2314" s="361">
        <v>3.67</v>
      </c>
    </row>
    <row r="2315" spans="1:5">
      <c r="A2315" s="473">
        <v>3256</v>
      </c>
      <c r="B2315" s="473" t="s">
        <v>11972</v>
      </c>
      <c r="C2315" s="473" t="s">
        <v>40</v>
      </c>
      <c r="D2315" s="473" t="s">
        <v>41</v>
      </c>
      <c r="E2315" s="361">
        <v>6.95</v>
      </c>
    </row>
    <row r="2316" spans="1:5">
      <c r="A2316" s="473">
        <v>3261</v>
      </c>
      <c r="B2316" s="473" t="s">
        <v>11973</v>
      </c>
      <c r="C2316" s="473" t="s">
        <v>40</v>
      </c>
      <c r="D2316" s="473" t="s">
        <v>41</v>
      </c>
      <c r="E2316" s="361">
        <v>75.87</v>
      </c>
    </row>
    <row r="2317" spans="1:5">
      <c r="A2317" s="473">
        <v>3260</v>
      </c>
      <c r="B2317" s="473" t="s">
        <v>11974</v>
      </c>
      <c r="C2317" s="473" t="s">
        <v>40</v>
      </c>
      <c r="D2317" s="473" t="s">
        <v>41</v>
      </c>
      <c r="E2317" s="361">
        <v>13.03</v>
      </c>
    </row>
    <row r="2318" spans="1:5">
      <c r="A2318" s="473">
        <v>3272</v>
      </c>
      <c r="B2318" s="473" t="s">
        <v>11975</v>
      </c>
      <c r="C2318" s="473" t="s">
        <v>40</v>
      </c>
      <c r="D2318" s="473" t="s">
        <v>41</v>
      </c>
      <c r="E2318" s="361">
        <v>29.49</v>
      </c>
    </row>
    <row r="2319" spans="1:5">
      <c r="A2319" s="473">
        <v>3265</v>
      </c>
      <c r="B2319" s="473" t="s">
        <v>11976</v>
      </c>
      <c r="C2319" s="473" t="s">
        <v>40</v>
      </c>
      <c r="D2319" s="473" t="s">
        <v>41</v>
      </c>
      <c r="E2319" s="361">
        <v>23.43</v>
      </c>
    </row>
    <row r="2320" spans="1:5">
      <c r="A2320" s="473">
        <v>3262</v>
      </c>
      <c r="B2320" s="473" t="s">
        <v>11977</v>
      </c>
      <c r="C2320" s="473" t="s">
        <v>40</v>
      </c>
      <c r="D2320" s="473" t="s">
        <v>41</v>
      </c>
      <c r="E2320" s="361">
        <v>10.25</v>
      </c>
    </row>
    <row r="2321" spans="1:5">
      <c r="A2321" s="473">
        <v>3264</v>
      </c>
      <c r="B2321" s="473" t="s">
        <v>11978</v>
      </c>
      <c r="C2321" s="473" t="s">
        <v>40</v>
      </c>
      <c r="D2321" s="473" t="s">
        <v>41</v>
      </c>
      <c r="E2321" s="361">
        <v>16.84</v>
      </c>
    </row>
    <row r="2322" spans="1:5">
      <c r="A2322" s="473">
        <v>3267</v>
      </c>
      <c r="B2322" s="473" t="s">
        <v>11979</v>
      </c>
      <c r="C2322" s="473" t="s">
        <v>40</v>
      </c>
      <c r="D2322" s="473" t="s">
        <v>41</v>
      </c>
      <c r="E2322" s="361">
        <v>55.01</v>
      </c>
    </row>
    <row r="2323" spans="1:5">
      <c r="A2323" s="473">
        <v>3266</v>
      </c>
      <c r="B2323" s="473" t="s">
        <v>11980</v>
      </c>
      <c r="C2323" s="473" t="s">
        <v>40</v>
      </c>
      <c r="D2323" s="473" t="s">
        <v>41</v>
      </c>
      <c r="E2323" s="361">
        <v>35</v>
      </c>
    </row>
    <row r="2324" spans="1:5">
      <c r="A2324" s="473">
        <v>3263</v>
      </c>
      <c r="B2324" s="473" t="s">
        <v>11981</v>
      </c>
      <c r="C2324" s="473" t="s">
        <v>40</v>
      </c>
      <c r="D2324" s="473" t="s">
        <v>41</v>
      </c>
      <c r="E2324" s="361">
        <v>14.01</v>
      </c>
    </row>
    <row r="2325" spans="1:5">
      <c r="A2325" s="473">
        <v>3268</v>
      </c>
      <c r="B2325" s="473" t="s">
        <v>11982</v>
      </c>
      <c r="C2325" s="473" t="s">
        <v>40</v>
      </c>
      <c r="D2325" s="473" t="s">
        <v>41</v>
      </c>
      <c r="E2325" s="361">
        <v>74.38</v>
      </c>
    </row>
    <row r="2326" spans="1:5">
      <c r="A2326" s="473">
        <v>3271</v>
      </c>
      <c r="B2326" s="473" t="s">
        <v>11983</v>
      </c>
      <c r="C2326" s="473" t="s">
        <v>40</v>
      </c>
      <c r="D2326" s="473" t="s">
        <v>41</v>
      </c>
      <c r="E2326" s="361">
        <v>109.97</v>
      </c>
    </row>
    <row r="2327" spans="1:5">
      <c r="A2327" s="473">
        <v>3270</v>
      </c>
      <c r="B2327" s="473" t="s">
        <v>11984</v>
      </c>
      <c r="C2327" s="473" t="s">
        <v>40</v>
      </c>
      <c r="D2327" s="473" t="s">
        <v>41</v>
      </c>
      <c r="E2327" s="361">
        <v>184.76</v>
      </c>
    </row>
    <row r="2328" spans="1:5">
      <c r="A2328" s="473">
        <v>3275</v>
      </c>
      <c r="B2328" s="473" t="s">
        <v>11985</v>
      </c>
      <c r="C2328" s="473" t="s">
        <v>46</v>
      </c>
      <c r="D2328" s="473" t="s">
        <v>41</v>
      </c>
      <c r="E2328" s="361">
        <v>58.63</v>
      </c>
    </row>
    <row r="2329" spans="1:5">
      <c r="A2329" s="473">
        <v>39512</v>
      </c>
      <c r="B2329" s="473" t="s">
        <v>11986</v>
      </c>
      <c r="C2329" s="473" t="s">
        <v>46</v>
      </c>
      <c r="D2329" s="473" t="s">
        <v>47</v>
      </c>
      <c r="E2329" s="361">
        <v>63.58</v>
      </c>
    </row>
    <row r="2330" spans="1:5">
      <c r="A2330" s="473">
        <v>39511</v>
      </c>
      <c r="B2330" s="473" t="s">
        <v>11987</v>
      </c>
      <c r="C2330" s="473" t="s">
        <v>46</v>
      </c>
      <c r="D2330" s="473" t="s">
        <v>47</v>
      </c>
      <c r="E2330" s="361">
        <v>69.36</v>
      </c>
    </row>
    <row r="2331" spans="1:5">
      <c r="A2331" s="473">
        <v>39513</v>
      </c>
      <c r="B2331" s="473" t="s">
        <v>11988</v>
      </c>
      <c r="C2331" s="473" t="s">
        <v>46</v>
      </c>
      <c r="D2331" s="473" t="s">
        <v>47</v>
      </c>
      <c r="E2331" s="361">
        <v>74.39</v>
      </c>
    </row>
    <row r="2332" spans="1:5">
      <c r="A2332" s="473">
        <v>3286</v>
      </c>
      <c r="B2332" s="473" t="s">
        <v>11989</v>
      </c>
      <c r="C2332" s="473" t="s">
        <v>46</v>
      </c>
      <c r="D2332" s="473" t="s">
        <v>41</v>
      </c>
      <c r="E2332" s="361">
        <v>58.89</v>
      </c>
    </row>
    <row r="2333" spans="1:5">
      <c r="A2333" s="473">
        <v>3287</v>
      </c>
      <c r="B2333" s="473" t="s">
        <v>11990</v>
      </c>
      <c r="C2333" s="473" t="s">
        <v>46</v>
      </c>
      <c r="D2333" s="473" t="s">
        <v>41</v>
      </c>
      <c r="E2333" s="361">
        <v>89</v>
      </c>
    </row>
    <row r="2334" spans="1:5">
      <c r="A2334" s="473">
        <v>3283</v>
      </c>
      <c r="B2334" s="473" t="s">
        <v>11991</v>
      </c>
      <c r="C2334" s="473" t="s">
        <v>46</v>
      </c>
      <c r="D2334" s="473" t="s">
        <v>41</v>
      </c>
      <c r="E2334" s="361">
        <v>18.690000000000001</v>
      </c>
    </row>
    <row r="2335" spans="1:5">
      <c r="A2335" s="473">
        <v>11587</v>
      </c>
      <c r="B2335" s="473" t="s">
        <v>11992</v>
      </c>
      <c r="C2335" s="473" t="s">
        <v>46</v>
      </c>
      <c r="D2335" s="473" t="s">
        <v>41</v>
      </c>
      <c r="E2335" s="361">
        <v>40.200000000000003</v>
      </c>
    </row>
    <row r="2336" spans="1:5">
      <c r="A2336" s="473">
        <v>36225</v>
      </c>
      <c r="B2336" s="473" t="s">
        <v>11993</v>
      </c>
      <c r="C2336" s="473" t="s">
        <v>46</v>
      </c>
      <c r="D2336" s="473" t="s">
        <v>41</v>
      </c>
      <c r="E2336" s="361">
        <v>16.329999999999998</v>
      </c>
    </row>
    <row r="2337" spans="1:5">
      <c r="A2337" s="473">
        <v>36230</v>
      </c>
      <c r="B2337" s="473" t="s">
        <v>11994</v>
      </c>
      <c r="C2337" s="473" t="s">
        <v>46</v>
      </c>
      <c r="D2337" s="473" t="s">
        <v>44</v>
      </c>
      <c r="E2337" s="361">
        <v>12</v>
      </c>
    </row>
    <row r="2338" spans="1:5">
      <c r="A2338" s="473">
        <v>36238</v>
      </c>
      <c r="B2338" s="473" t="s">
        <v>11995</v>
      </c>
      <c r="C2338" s="473" t="s">
        <v>46</v>
      </c>
      <c r="D2338" s="473" t="s">
        <v>41</v>
      </c>
      <c r="E2338" s="361">
        <v>11.72</v>
      </c>
    </row>
    <row r="2339" spans="1:5">
      <c r="A2339" s="473">
        <v>11887</v>
      </c>
      <c r="B2339" s="473" t="s">
        <v>11996</v>
      </c>
      <c r="C2339" s="473" t="s">
        <v>40</v>
      </c>
      <c r="D2339" s="473" t="s">
        <v>41</v>
      </c>
      <c r="E2339" s="361">
        <v>3175</v>
      </c>
    </row>
    <row r="2340" spans="1:5">
      <c r="A2340" s="473">
        <v>11883</v>
      </c>
      <c r="B2340" s="473" t="s">
        <v>11997</v>
      </c>
      <c r="C2340" s="473" t="s">
        <v>40</v>
      </c>
      <c r="D2340" s="473" t="s">
        <v>41</v>
      </c>
      <c r="E2340" s="361">
        <v>4667.8100000000004</v>
      </c>
    </row>
    <row r="2341" spans="1:5">
      <c r="A2341" s="473">
        <v>11884</v>
      </c>
      <c r="B2341" s="473" t="s">
        <v>11998</v>
      </c>
      <c r="C2341" s="473" t="s">
        <v>40</v>
      </c>
      <c r="D2341" s="473" t="s">
        <v>41</v>
      </c>
      <c r="E2341" s="361">
        <v>5008.1499999999996</v>
      </c>
    </row>
    <row r="2342" spans="1:5">
      <c r="A2342" s="473">
        <v>11885</v>
      </c>
      <c r="B2342" s="473" t="s">
        <v>11999</v>
      </c>
      <c r="C2342" s="473" t="s">
        <v>40</v>
      </c>
      <c r="D2342" s="473" t="s">
        <v>41</v>
      </c>
      <c r="E2342" s="361">
        <v>5585.78</v>
      </c>
    </row>
    <row r="2343" spans="1:5">
      <c r="A2343" s="473">
        <v>11886</v>
      </c>
      <c r="B2343" s="473" t="s">
        <v>12000</v>
      </c>
      <c r="C2343" s="473" t="s">
        <v>40</v>
      </c>
      <c r="D2343" s="473" t="s">
        <v>41</v>
      </c>
      <c r="E2343" s="361">
        <v>1800.28</v>
      </c>
    </row>
    <row r="2344" spans="1:5">
      <c r="A2344" s="473">
        <v>11888</v>
      </c>
      <c r="B2344" s="473" t="s">
        <v>12001</v>
      </c>
      <c r="C2344" s="473" t="s">
        <v>40</v>
      </c>
      <c r="D2344" s="473" t="s">
        <v>41</v>
      </c>
      <c r="E2344" s="361">
        <v>4227.76</v>
      </c>
    </row>
    <row r="2345" spans="1:5">
      <c r="A2345" s="473">
        <v>3277</v>
      </c>
      <c r="B2345" s="473" t="s">
        <v>12002</v>
      </c>
      <c r="C2345" s="473" t="s">
        <v>40</v>
      </c>
      <c r="D2345" s="473" t="s">
        <v>41</v>
      </c>
      <c r="E2345" s="361">
        <v>712.98</v>
      </c>
    </row>
    <row r="2346" spans="1:5">
      <c r="A2346" s="473">
        <v>3281</v>
      </c>
      <c r="B2346" s="473" t="s">
        <v>12003</v>
      </c>
      <c r="C2346" s="473" t="s">
        <v>40</v>
      </c>
      <c r="D2346" s="473" t="s">
        <v>41</v>
      </c>
      <c r="E2346" s="361">
        <v>590.42999999999995</v>
      </c>
    </row>
    <row r="2347" spans="1:5">
      <c r="A2347" s="473">
        <v>39363</v>
      </c>
      <c r="B2347" s="473" t="s">
        <v>12004</v>
      </c>
      <c r="C2347" s="473" t="s">
        <v>40</v>
      </c>
      <c r="D2347" s="473" t="s">
        <v>41</v>
      </c>
      <c r="E2347" s="361">
        <v>3668.53</v>
      </c>
    </row>
    <row r="2348" spans="1:5">
      <c r="A2348" s="473">
        <v>39361</v>
      </c>
      <c r="B2348" s="473" t="s">
        <v>12005</v>
      </c>
      <c r="C2348" s="473" t="s">
        <v>40</v>
      </c>
      <c r="D2348" s="473" t="s">
        <v>41</v>
      </c>
      <c r="E2348" s="361">
        <v>943.33</v>
      </c>
    </row>
    <row r="2349" spans="1:5">
      <c r="A2349" s="473">
        <v>39362</v>
      </c>
      <c r="B2349" s="473" t="s">
        <v>12006</v>
      </c>
      <c r="C2349" s="473" t="s">
        <v>40</v>
      </c>
      <c r="D2349" s="473" t="s">
        <v>41</v>
      </c>
      <c r="E2349" s="361">
        <v>2902.88</v>
      </c>
    </row>
    <row r="2350" spans="1:5">
      <c r="A2350" s="473">
        <v>39364</v>
      </c>
      <c r="B2350" s="473" t="s">
        <v>12007</v>
      </c>
      <c r="C2350" s="473" t="s">
        <v>40</v>
      </c>
      <c r="D2350" s="473" t="s">
        <v>41</v>
      </c>
      <c r="E2350" s="361">
        <v>8385.2099999999991</v>
      </c>
    </row>
    <row r="2351" spans="1:5">
      <c r="A2351" s="473">
        <v>14576</v>
      </c>
      <c r="B2351" s="473" t="s">
        <v>12008</v>
      </c>
      <c r="C2351" s="473" t="s">
        <v>40</v>
      </c>
      <c r="D2351" s="473" t="s">
        <v>47</v>
      </c>
      <c r="E2351" s="361">
        <v>4112472.13</v>
      </c>
    </row>
    <row r="2352" spans="1:5">
      <c r="A2352" s="473">
        <v>13877</v>
      </c>
      <c r="B2352" s="473" t="s">
        <v>12009</v>
      </c>
      <c r="C2352" s="473" t="s">
        <v>40</v>
      </c>
      <c r="D2352" s="473" t="s">
        <v>47</v>
      </c>
      <c r="E2352" s="361">
        <v>1760487.98</v>
      </c>
    </row>
    <row r="2353" spans="1:5">
      <c r="A2353" s="473">
        <v>7307</v>
      </c>
      <c r="B2353" s="473" t="s">
        <v>12010</v>
      </c>
      <c r="C2353" s="473" t="s">
        <v>50</v>
      </c>
      <c r="D2353" s="473" t="s">
        <v>41</v>
      </c>
      <c r="E2353" s="361">
        <v>25.94</v>
      </c>
    </row>
    <row r="2354" spans="1:5">
      <c r="A2354" s="473">
        <v>38122</v>
      </c>
      <c r="B2354" s="473" t="s">
        <v>12011</v>
      </c>
      <c r="C2354" s="473" t="s">
        <v>50</v>
      </c>
      <c r="D2354" s="473" t="s">
        <v>41</v>
      </c>
      <c r="E2354" s="361">
        <v>12.88</v>
      </c>
    </row>
    <row r="2355" spans="1:5">
      <c r="A2355" s="473">
        <v>6086</v>
      </c>
      <c r="B2355" s="473" t="s">
        <v>12012</v>
      </c>
      <c r="C2355" s="473" t="s">
        <v>63</v>
      </c>
      <c r="D2355" s="473" t="s">
        <v>41</v>
      </c>
      <c r="E2355" s="361">
        <v>78.08</v>
      </c>
    </row>
    <row r="2356" spans="1:5">
      <c r="A2356" s="473">
        <v>38633</v>
      </c>
      <c r="B2356" s="473" t="s">
        <v>12013</v>
      </c>
      <c r="C2356" s="473" t="s">
        <v>40</v>
      </c>
      <c r="D2356" s="473" t="s">
        <v>41</v>
      </c>
      <c r="E2356" s="361">
        <v>9.06</v>
      </c>
    </row>
    <row r="2357" spans="1:5">
      <c r="A2357" s="473">
        <v>12344</v>
      </c>
      <c r="B2357" s="473" t="s">
        <v>12014</v>
      </c>
      <c r="C2357" s="473" t="s">
        <v>40</v>
      </c>
      <c r="D2357" s="473" t="s">
        <v>41</v>
      </c>
      <c r="E2357" s="361">
        <v>2.57</v>
      </c>
    </row>
    <row r="2358" spans="1:5">
      <c r="A2358" s="473">
        <v>12343</v>
      </c>
      <c r="B2358" s="473" t="s">
        <v>12015</v>
      </c>
      <c r="C2358" s="473" t="s">
        <v>40</v>
      </c>
      <c r="D2358" s="473" t="s">
        <v>41</v>
      </c>
      <c r="E2358" s="361">
        <v>3.98</v>
      </c>
    </row>
    <row r="2359" spans="1:5">
      <c r="A2359" s="473">
        <v>3295</v>
      </c>
      <c r="B2359" s="473" t="s">
        <v>12016</v>
      </c>
      <c r="C2359" s="473" t="s">
        <v>40</v>
      </c>
      <c r="D2359" s="473" t="s">
        <v>41</v>
      </c>
      <c r="E2359" s="361">
        <v>13.91</v>
      </c>
    </row>
    <row r="2360" spans="1:5">
      <c r="A2360" s="473">
        <v>3302</v>
      </c>
      <c r="B2360" s="473" t="s">
        <v>12017</v>
      </c>
      <c r="C2360" s="473" t="s">
        <v>40</v>
      </c>
      <c r="D2360" s="473" t="s">
        <v>41</v>
      </c>
      <c r="E2360" s="361">
        <v>14.54</v>
      </c>
    </row>
    <row r="2361" spans="1:5">
      <c r="A2361" s="473">
        <v>3297</v>
      </c>
      <c r="B2361" s="473" t="s">
        <v>12018</v>
      </c>
      <c r="C2361" s="473" t="s">
        <v>40</v>
      </c>
      <c r="D2361" s="473" t="s">
        <v>41</v>
      </c>
      <c r="E2361" s="361">
        <v>15.52</v>
      </c>
    </row>
    <row r="2362" spans="1:5">
      <c r="A2362" s="473">
        <v>3294</v>
      </c>
      <c r="B2362" s="473" t="s">
        <v>12019</v>
      </c>
      <c r="C2362" s="473" t="s">
        <v>40</v>
      </c>
      <c r="D2362" s="473" t="s">
        <v>41</v>
      </c>
      <c r="E2362" s="361">
        <v>15.76</v>
      </c>
    </row>
    <row r="2363" spans="1:5">
      <c r="A2363" s="473">
        <v>3292</v>
      </c>
      <c r="B2363" s="473" t="s">
        <v>12020</v>
      </c>
      <c r="C2363" s="473" t="s">
        <v>40</v>
      </c>
      <c r="D2363" s="473" t="s">
        <v>44</v>
      </c>
      <c r="E2363" s="361">
        <v>14.81</v>
      </c>
    </row>
    <row r="2364" spans="1:5">
      <c r="A2364" s="473">
        <v>3298</v>
      </c>
      <c r="B2364" s="473" t="s">
        <v>12021</v>
      </c>
      <c r="C2364" s="473" t="s">
        <v>40</v>
      </c>
      <c r="D2364" s="473" t="s">
        <v>41</v>
      </c>
      <c r="E2364" s="361">
        <v>34.71</v>
      </c>
    </row>
    <row r="2365" spans="1:5">
      <c r="A2365" s="473">
        <v>11596</v>
      </c>
      <c r="B2365" s="473" t="s">
        <v>12022</v>
      </c>
      <c r="C2365" s="473" t="s">
        <v>40</v>
      </c>
      <c r="D2365" s="473" t="s">
        <v>47</v>
      </c>
      <c r="E2365" s="361">
        <v>427.37</v>
      </c>
    </row>
    <row r="2366" spans="1:5">
      <c r="A2366" s="473">
        <v>34802</v>
      </c>
      <c r="B2366" s="473" t="s">
        <v>12023</v>
      </c>
      <c r="C2366" s="473" t="s">
        <v>40</v>
      </c>
      <c r="D2366" s="473" t="s">
        <v>47</v>
      </c>
      <c r="E2366" s="361">
        <v>1173.69</v>
      </c>
    </row>
    <row r="2367" spans="1:5">
      <c r="A2367" s="473">
        <v>11588</v>
      </c>
      <c r="B2367" s="473" t="s">
        <v>12024</v>
      </c>
      <c r="C2367" s="473" t="s">
        <v>40</v>
      </c>
      <c r="D2367" s="473" t="s">
        <v>47</v>
      </c>
      <c r="E2367" s="361">
        <v>1266.23</v>
      </c>
    </row>
    <row r="2368" spans="1:5">
      <c r="A2368" s="473">
        <v>34383</v>
      </c>
      <c r="B2368" s="473" t="s">
        <v>12025</v>
      </c>
      <c r="C2368" s="473" t="s">
        <v>40</v>
      </c>
      <c r="D2368" s="473" t="s">
        <v>47</v>
      </c>
      <c r="E2368" s="361">
        <v>1392.94</v>
      </c>
    </row>
    <row r="2369" spans="1:5">
      <c r="A2369" s="473">
        <v>40451</v>
      </c>
      <c r="B2369" s="473" t="s">
        <v>12026</v>
      </c>
      <c r="C2369" s="473" t="s">
        <v>46</v>
      </c>
      <c r="D2369" s="473" t="s">
        <v>47</v>
      </c>
      <c r="E2369" s="361">
        <v>112.6</v>
      </c>
    </row>
    <row r="2370" spans="1:5">
      <c r="A2370" s="473">
        <v>40453</v>
      </c>
      <c r="B2370" s="473" t="s">
        <v>12027</v>
      </c>
      <c r="C2370" s="473" t="s">
        <v>46</v>
      </c>
      <c r="D2370" s="473" t="s">
        <v>47</v>
      </c>
      <c r="E2370" s="361">
        <v>121.83</v>
      </c>
    </row>
    <row r="2371" spans="1:5">
      <c r="A2371" s="473">
        <v>40452</v>
      </c>
      <c r="B2371" s="473" t="s">
        <v>12028</v>
      </c>
      <c r="C2371" s="473" t="s">
        <v>46</v>
      </c>
      <c r="D2371" s="473" t="s">
        <v>47</v>
      </c>
      <c r="E2371" s="361">
        <v>133.63</v>
      </c>
    </row>
    <row r="2372" spans="1:5">
      <c r="A2372" s="473">
        <v>11594</v>
      </c>
      <c r="B2372" s="473" t="s">
        <v>12029</v>
      </c>
      <c r="C2372" s="473" t="s">
        <v>40</v>
      </c>
      <c r="D2372" s="473" t="s">
        <v>47</v>
      </c>
      <c r="E2372" s="361">
        <v>403.58</v>
      </c>
    </row>
    <row r="2373" spans="1:5">
      <c r="A2373" s="473">
        <v>3311</v>
      </c>
      <c r="B2373" s="473" t="s">
        <v>12030</v>
      </c>
      <c r="C2373" s="473" t="s">
        <v>45</v>
      </c>
      <c r="D2373" s="473" t="s">
        <v>47</v>
      </c>
      <c r="E2373" s="361">
        <v>403.58</v>
      </c>
    </row>
    <row r="2374" spans="1:5">
      <c r="A2374" s="473">
        <v>11599</v>
      </c>
      <c r="B2374" s="473" t="s">
        <v>12031</v>
      </c>
      <c r="C2374" s="473" t="s">
        <v>40</v>
      </c>
      <c r="D2374" s="473" t="s">
        <v>47</v>
      </c>
      <c r="E2374" s="361">
        <v>536.72</v>
      </c>
    </row>
    <row r="2375" spans="1:5">
      <c r="A2375" s="473">
        <v>11593</v>
      </c>
      <c r="B2375" s="473" t="s">
        <v>12032</v>
      </c>
      <c r="C2375" s="473" t="s">
        <v>40</v>
      </c>
      <c r="D2375" s="473" t="s">
        <v>47</v>
      </c>
      <c r="E2375" s="361">
        <v>752.44</v>
      </c>
    </row>
    <row r="2376" spans="1:5">
      <c r="A2376" s="473">
        <v>3314</v>
      </c>
      <c r="B2376" s="473" t="s">
        <v>12033</v>
      </c>
      <c r="C2376" s="473" t="s">
        <v>45</v>
      </c>
      <c r="D2376" s="473" t="s">
        <v>47</v>
      </c>
      <c r="E2376" s="361">
        <v>538.15</v>
      </c>
    </row>
    <row r="2377" spans="1:5">
      <c r="A2377" s="473">
        <v>11597</v>
      </c>
      <c r="B2377" s="473" t="s">
        <v>12034</v>
      </c>
      <c r="C2377" s="473" t="s">
        <v>40</v>
      </c>
      <c r="D2377" s="473" t="s">
        <v>47</v>
      </c>
      <c r="E2377" s="361">
        <v>625.79999999999995</v>
      </c>
    </row>
    <row r="2378" spans="1:5">
      <c r="A2378" s="473">
        <v>3309</v>
      </c>
      <c r="B2378" s="473" t="s">
        <v>12035</v>
      </c>
      <c r="C2378" s="473" t="s">
        <v>45</v>
      </c>
      <c r="D2378" s="473" t="s">
        <v>47</v>
      </c>
      <c r="E2378" s="361">
        <v>427.37</v>
      </c>
    </row>
    <row r="2379" spans="1:5">
      <c r="A2379" s="473">
        <v>34612</v>
      </c>
      <c r="B2379" s="473" t="s">
        <v>12036</v>
      </c>
      <c r="C2379" s="473" t="s">
        <v>40</v>
      </c>
      <c r="D2379" s="473" t="s">
        <v>47</v>
      </c>
      <c r="E2379" s="361">
        <v>774.01</v>
      </c>
    </row>
    <row r="2380" spans="1:5">
      <c r="A2380" s="473">
        <v>34635</v>
      </c>
      <c r="B2380" s="473" t="s">
        <v>12037</v>
      </c>
      <c r="C2380" s="473" t="s">
        <v>40</v>
      </c>
      <c r="D2380" s="473" t="s">
        <v>47</v>
      </c>
      <c r="E2380" s="361">
        <v>995.34</v>
      </c>
    </row>
    <row r="2381" spans="1:5">
      <c r="A2381" s="473">
        <v>34633</v>
      </c>
      <c r="B2381" s="473" t="s">
        <v>12038</v>
      </c>
      <c r="C2381" s="473" t="s">
        <v>40</v>
      </c>
      <c r="D2381" s="473" t="s">
        <v>47</v>
      </c>
      <c r="E2381" s="361">
        <v>1097.1300000000001</v>
      </c>
    </row>
    <row r="2382" spans="1:5">
      <c r="A2382" s="473">
        <v>40440</v>
      </c>
      <c r="B2382" s="473" t="s">
        <v>12039</v>
      </c>
      <c r="C2382" s="473" t="s">
        <v>45</v>
      </c>
      <c r="D2382" s="473" t="s">
        <v>47</v>
      </c>
      <c r="E2382" s="361">
        <v>560.54</v>
      </c>
    </row>
    <row r="2383" spans="1:5">
      <c r="A2383" s="473">
        <v>40441</v>
      </c>
      <c r="B2383" s="473" t="s">
        <v>12040</v>
      </c>
      <c r="C2383" s="473" t="s">
        <v>45</v>
      </c>
      <c r="D2383" s="473" t="s">
        <v>47</v>
      </c>
      <c r="E2383" s="361">
        <v>357.87</v>
      </c>
    </row>
    <row r="2384" spans="1:5">
      <c r="A2384" s="473">
        <v>40449</v>
      </c>
      <c r="B2384" s="473" t="s">
        <v>12041</v>
      </c>
      <c r="C2384" s="473" t="s">
        <v>45</v>
      </c>
      <c r="D2384" s="473" t="s">
        <v>47</v>
      </c>
      <c r="E2384" s="361">
        <v>300.85000000000002</v>
      </c>
    </row>
    <row r="2385" spans="1:5">
      <c r="A2385" s="473">
        <v>34800</v>
      </c>
      <c r="B2385" s="473" t="s">
        <v>12042</v>
      </c>
      <c r="C2385" s="473" t="s">
        <v>45</v>
      </c>
      <c r="D2385" s="473" t="s">
        <v>47</v>
      </c>
      <c r="E2385" s="361">
        <v>376.22</v>
      </c>
    </row>
    <row r="2386" spans="1:5">
      <c r="A2386" s="473">
        <v>11592</v>
      </c>
      <c r="B2386" s="473" t="s">
        <v>12043</v>
      </c>
      <c r="C2386" s="473" t="s">
        <v>40</v>
      </c>
      <c r="D2386" s="473" t="s">
        <v>47</v>
      </c>
      <c r="E2386" s="361">
        <v>538.15</v>
      </c>
    </row>
    <row r="2387" spans="1:5">
      <c r="A2387" s="473">
        <v>40438</v>
      </c>
      <c r="B2387" s="473" t="s">
        <v>12044</v>
      </c>
      <c r="C2387" s="473" t="s">
        <v>45</v>
      </c>
      <c r="D2387" s="473" t="s">
        <v>47</v>
      </c>
      <c r="E2387" s="361">
        <v>250.64</v>
      </c>
    </row>
    <row r="2388" spans="1:5">
      <c r="A2388" s="473">
        <v>40436</v>
      </c>
      <c r="B2388" s="473" t="s">
        <v>12045</v>
      </c>
      <c r="C2388" s="473" t="s">
        <v>45</v>
      </c>
      <c r="D2388" s="473" t="s">
        <v>47</v>
      </c>
      <c r="E2388" s="361">
        <v>312.52999999999997</v>
      </c>
    </row>
    <row r="2389" spans="1:5">
      <c r="A2389" s="473">
        <v>4315</v>
      </c>
      <c r="B2389" s="473" t="s">
        <v>12046</v>
      </c>
      <c r="C2389" s="473" t="s">
        <v>40</v>
      </c>
      <c r="D2389" s="473" t="s">
        <v>41</v>
      </c>
      <c r="E2389" s="361">
        <v>1.27</v>
      </c>
    </row>
    <row r="2390" spans="1:5">
      <c r="A2390" s="473">
        <v>42482</v>
      </c>
      <c r="B2390" s="473" t="s">
        <v>12047</v>
      </c>
      <c r="C2390" s="473" t="s">
        <v>40</v>
      </c>
      <c r="D2390" s="473" t="s">
        <v>41</v>
      </c>
      <c r="E2390" s="361">
        <v>1.69</v>
      </c>
    </row>
    <row r="2391" spans="1:5">
      <c r="A2391" s="473">
        <v>402</v>
      </c>
      <c r="B2391" s="473" t="s">
        <v>12048</v>
      </c>
      <c r="C2391" s="473" t="s">
        <v>40</v>
      </c>
      <c r="D2391" s="473" t="s">
        <v>47</v>
      </c>
      <c r="E2391" s="361">
        <v>9.0399999999999991</v>
      </c>
    </row>
    <row r="2392" spans="1:5">
      <c r="A2392" s="473">
        <v>4226</v>
      </c>
      <c r="B2392" s="473" t="s">
        <v>12049</v>
      </c>
      <c r="C2392" s="473" t="s">
        <v>49</v>
      </c>
      <c r="D2392" s="473" t="s">
        <v>44</v>
      </c>
      <c r="E2392" s="361">
        <v>5.67</v>
      </c>
    </row>
    <row r="2393" spans="1:5">
      <c r="A2393" s="473">
        <v>4222</v>
      </c>
      <c r="B2393" s="473" t="s">
        <v>12050</v>
      </c>
      <c r="C2393" s="473" t="s">
        <v>50</v>
      </c>
      <c r="D2393" s="473" t="s">
        <v>44</v>
      </c>
      <c r="E2393" s="361">
        <v>4.1900000000000004</v>
      </c>
    </row>
    <row r="2394" spans="1:5">
      <c r="A2394" s="473">
        <v>34804</v>
      </c>
      <c r="B2394" s="473" t="s">
        <v>12051</v>
      </c>
      <c r="C2394" s="473" t="s">
        <v>46</v>
      </c>
      <c r="D2394" s="473" t="s">
        <v>47</v>
      </c>
      <c r="E2394" s="361">
        <v>45.43</v>
      </c>
    </row>
    <row r="2395" spans="1:5">
      <c r="A2395" s="473">
        <v>4013</v>
      </c>
      <c r="B2395" s="473" t="s">
        <v>12052</v>
      </c>
      <c r="C2395" s="473" t="s">
        <v>46</v>
      </c>
      <c r="D2395" s="473" t="s">
        <v>41</v>
      </c>
      <c r="E2395" s="361">
        <v>4.63</v>
      </c>
    </row>
    <row r="2396" spans="1:5">
      <c r="A2396" s="473">
        <v>4011</v>
      </c>
      <c r="B2396" s="473" t="s">
        <v>12053</v>
      </c>
      <c r="C2396" s="473" t="s">
        <v>46</v>
      </c>
      <c r="D2396" s="473" t="s">
        <v>41</v>
      </c>
      <c r="E2396" s="361">
        <v>5.18</v>
      </c>
    </row>
    <row r="2397" spans="1:5">
      <c r="A2397" s="473">
        <v>4021</v>
      </c>
      <c r="B2397" s="473" t="s">
        <v>12054</v>
      </c>
      <c r="C2397" s="473" t="s">
        <v>46</v>
      </c>
      <c r="D2397" s="473" t="s">
        <v>41</v>
      </c>
      <c r="E2397" s="361">
        <v>6.46</v>
      </c>
    </row>
    <row r="2398" spans="1:5">
      <c r="A2398" s="473">
        <v>4019</v>
      </c>
      <c r="B2398" s="473" t="s">
        <v>12055</v>
      </c>
      <c r="C2398" s="473" t="s">
        <v>46</v>
      </c>
      <c r="D2398" s="473" t="s">
        <v>41</v>
      </c>
      <c r="E2398" s="361">
        <v>7.75</v>
      </c>
    </row>
    <row r="2399" spans="1:5">
      <c r="A2399" s="473">
        <v>4012</v>
      </c>
      <c r="B2399" s="473" t="s">
        <v>12056</v>
      </c>
      <c r="C2399" s="473" t="s">
        <v>46</v>
      </c>
      <c r="D2399" s="473" t="s">
        <v>41</v>
      </c>
      <c r="E2399" s="361">
        <v>10.39</v>
      </c>
    </row>
    <row r="2400" spans="1:5">
      <c r="A2400" s="473">
        <v>4020</v>
      </c>
      <c r="B2400" s="473" t="s">
        <v>12057</v>
      </c>
      <c r="C2400" s="473" t="s">
        <v>46</v>
      </c>
      <c r="D2400" s="473" t="s">
        <v>41</v>
      </c>
      <c r="E2400" s="361">
        <v>13.01</v>
      </c>
    </row>
    <row r="2401" spans="1:5">
      <c r="A2401" s="473">
        <v>4018</v>
      </c>
      <c r="B2401" s="473" t="s">
        <v>12058</v>
      </c>
      <c r="C2401" s="473" t="s">
        <v>46</v>
      </c>
      <c r="D2401" s="473" t="s">
        <v>41</v>
      </c>
      <c r="E2401" s="361">
        <v>15.58</v>
      </c>
    </row>
    <row r="2402" spans="1:5">
      <c r="A2402" s="473">
        <v>36498</v>
      </c>
      <c r="B2402" s="473" t="s">
        <v>12059</v>
      </c>
      <c r="C2402" s="473" t="s">
        <v>40</v>
      </c>
      <c r="D2402" s="473" t="s">
        <v>47</v>
      </c>
      <c r="E2402" s="361">
        <v>4920.4399999999996</v>
      </c>
    </row>
    <row r="2403" spans="1:5">
      <c r="A2403" s="473">
        <v>12872</v>
      </c>
      <c r="B2403" s="473" t="s">
        <v>12060</v>
      </c>
      <c r="C2403" s="473" t="s">
        <v>43</v>
      </c>
      <c r="D2403" s="473" t="s">
        <v>41</v>
      </c>
      <c r="E2403" s="361">
        <v>13.54</v>
      </c>
    </row>
    <row r="2404" spans="1:5">
      <c r="A2404" s="473">
        <v>41075</v>
      </c>
      <c r="B2404" s="473" t="s">
        <v>12061</v>
      </c>
      <c r="C2404" s="473" t="s">
        <v>53</v>
      </c>
      <c r="D2404" s="473" t="s">
        <v>41</v>
      </c>
      <c r="E2404" s="361">
        <v>2413.96</v>
      </c>
    </row>
    <row r="2405" spans="1:5">
      <c r="A2405" s="473">
        <v>3315</v>
      </c>
      <c r="B2405" s="473" t="s">
        <v>12062</v>
      </c>
      <c r="C2405" s="473" t="s">
        <v>49</v>
      </c>
      <c r="D2405" s="473" t="s">
        <v>41</v>
      </c>
      <c r="E2405" s="361">
        <v>0.61</v>
      </c>
    </row>
    <row r="2406" spans="1:5">
      <c r="A2406" s="473">
        <v>36870</v>
      </c>
      <c r="B2406" s="473" t="s">
        <v>12063</v>
      </c>
      <c r="C2406" s="473" t="s">
        <v>49</v>
      </c>
      <c r="D2406" s="473" t="s">
        <v>41</v>
      </c>
      <c r="E2406" s="361">
        <v>0.61</v>
      </c>
    </row>
    <row r="2407" spans="1:5">
      <c r="A2407" s="473">
        <v>5092</v>
      </c>
      <c r="B2407" s="473" t="s">
        <v>12064</v>
      </c>
      <c r="C2407" s="473" t="s">
        <v>42</v>
      </c>
      <c r="D2407" s="473" t="s">
        <v>41</v>
      </c>
      <c r="E2407" s="361">
        <v>13.44</v>
      </c>
    </row>
    <row r="2408" spans="1:5">
      <c r="A2408" s="473">
        <v>11462</v>
      </c>
      <c r="B2408" s="473" t="s">
        <v>12065</v>
      </c>
      <c r="C2408" s="473" t="s">
        <v>42</v>
      </c>
      <c r="D2408" s="473" t="s">
        <v>41</v>
      </c>
      <c r="E2408" s="361">
        <v>13.74</v>
      </c>
    </row>
    <row r="2409" spans="1:5">
      <c r="A2409" s="473">
        <v>36529</v>
      </c>
      <c r="B2409" s="473" t="s">
        <v>12066</v>
      </c>
      <c r="C2409" s="473" t="s">
        <v>40</v>
      </c>
      <c r="D2409" s="473" t="s">
        <v>47</v>
      </c>
      <c r="E2409" s="361">
        <v>33269.050000000003</v>
      </c>
    </row>
    <row r="2410" spans="1:5">
      <c r="A2410" s="473">
        <v>3318</v>
      </c>
      <c r="B2410" s="473" t="s">
        <v>12067</v>
      </c>
      <c r="C2410" s="473" t="s">
        <v>40</v>
      </c>
      <c r="D2410" s="473" t="s">
        <v>47</v>
      </c>
      <c r="E2410" s="361">
        <v>26082.94</v>
      </c>
    </row>
    <row r="2411" spans="1:5">
      <c r="A2411" s="473">
        <v>38968</v>
      </c>
      <c r="B2411" s="473" t="s">
        <v>12068</v>
      </c>
      <c r="C2411" s="473" t="s">
        <v>46</v>
      </c>
      <c r="D2411" s="473" t="s">
        <v>47</v>
      </c>
      <c r="E2411" s="361">
        <v>329.48</v>
      </c>
    </row>
    <row r="2412" spans="1:5">
      <c r="A2412" s="473">
        <v>3324</v>
      </c>
      <c r="B2412" s="473" t="s">
        <v>12069</v>
      </c>
      <c r="C2412" s="473" t="s">
        <v>46</v>
      </c>
      <c r="D2412" s="473" t="s">
        <v>41</v>
      </c>
      <c r="E2412" s="361">
        <v>4.28</v>
      </c>
    </row>
    <row r="2413" spans="1:5">
      <c r="A2413" s="473">
        <v>3322</v>
      </c>
      <c r="B2413" s="473" t="s">
        <v>12070</v>
      </c>
      <c r="C2413" s="473" t="s">
        <v>46</v>
      </c>
      <c r="D2413" s="473" t="s">
        <v>44</v>
      </c>
      <c r="E2413" s="361">
        <v>6</v>
      </c>
    </row>
    <row r="2414" spans="1:5">
      <c r="A2414" s="473">
        <v>43390</v>
      </c>
      <c r="B2414" s="473" t="s">
        <v>12071</v>
      </c>
      <c r="C2414" s="473" t="s">
        <v>46</v>
      </c>
      <c r="D2414" s="473" t="s">
        <v>44</v>
      </c>
      <c r="E2414" s="361">
        <v>74.5</v>
      </c>
    </row>
    <row r="2415" spans="1:5">
      <c r="A2415" s="473">
        <v>5076</v>
      </c>
      <c r="B2415" s="473" t="s">
        <v>12072</v>
      </c>
      <c r="C2415" s="473" t="s">
        <v>49</v>
      </c>
      <c r="D2415" s="473" t="s">
        <v>41</v>
      </c>
      <c r="E2415" s="361">
        <v>10.220000000000001</v>
      </c>
    </row>
    <row r="2416" spans="1:5">
      <c r="A2416" s="473">
        <v>5077</v>
      </c>
      <c r="B2416" s="473" t="s">
        <v>12073</v>
      </c>
      <c r="C2416" s="473" t="s">
        <v>49</v>
      </c>
      <c r="D2416" s="473" t="s">
        <v>41</v>
      </c>
      <c r="E2416" s="361">
        <v>11.3</v>
      </c>
    </row>
    <row r="2417" spans="1:5">
      <c r="A2417" s="473">
        <v>11837</v>
      </c>
      <c r="B2417" s="473" t="s">
        <v>12074</v>
      </c>
      <c r="C2417" s="473" t="s">
        <v>40</v>
      </c>
      <c r="D2417" s="473" t="s">
        <v>41</v>
      </c>
      <c r="E2417" s="361">
        <v>42.35</v>
      </c>
    </row>
    <row r="2418" spans="1:5">
      <c r="A2418" s="473">
        <v>38055</v>
      </c>
      <c r="B2418" s="473" t="s">
        <v>12075</v>
      </c>
      <c r="C2418" s="473" t="s">
        <v>40</v>
      </c>
      <c r="D2418" s="473" t="s">
        <v>41</v>
      </c>
      <c r="E2418" s="361">
        <v>3.84</v>
      </c>
    </row>
    <row r="2419" spans="1:5">
      <c r="A2419" s="473">
        <v>415</v>
      </c>
      <c r="B2419" s="473" t="s">
        <v>12076</v>
      </c>
      <c r="C2419" s="473" t="s">
        <v>40</v>
      </c>
      <c r="D2419" s="473" t="s">
        <v>41</v>
      </c>
      <c r="E2419" s="361">
        <v>17.36</v>
      </c>
    </row>
    <row r="2420" spans="1:5">
      <c r="A2420" s="473">
        <v>416</v>
      </c>
      <c r="B2420" s="473" t="s">
        <v>12077</v>
      </c>
      <c r="C2420" s="473" t="s">
        <v>40</v>
      </c>
      <c r="D2420" s="473" t="s">
        <v>41</v>
      </c>
      <c r="E2420" s="361">
        <v>6.35</v>
      </c>
    </row>
    <row r="2421" spans="1:5">
      <c r="A2421" s="473">
        <v>425</v>
      </c>
      <c r="B2421" s="473" t="s">
        <v>12078</v>
      </c>
      <c r="C2421" s="473" t="s">
        <v>40</v>
      </c>
      <c r="D2421" s="473" t="s">
        <v>41</v>
      </c>
      <c r="E2421" s="361">
        <v>3.94</v>
      </c>
    </row>
    <row r="2422" spans="1:5">
      <c r="A2422" s="473">
        <v>426</v>
      </c>
      <c r="B2422" s="473" t="s">
        <v>12079</v>
      </c>
      <c r="C2422" s="473" t="s">
        <v>40</v>
      </c>
      <c r="D2422" s="473" t="s">
        <v>41</v>
      </c>
      <c r="E2422" s="361">
        <v>21.7</v>
      </c>
    </row>
    <row r="2423" spans="1:5">
      <c r="A2423" s="473">
        <v>38056</v>
      </c>
      <c r="B2423" s="473" t="s">
        <v>12080</v>
      </c>
      <c r="C2423" s="473" t="s">
        <v>40</v>
      </c>
      <c r="D2423" s="473" t="s">
        <v>41</v>
      </c>
      <c r="E2423" s="361">
        <v>21.19</v>
      </c>
    </row>
    <row r="2424" spans="1:5">
      <c r="A2424" s="473">
        <v>1564</v>
      </c>
      <c r="B2424" s="473" t="s">
        <v>12081</v>
      </c>
      <c r="C2424" s="473" t="s">
        <v>40</v>
      </c>
      <c r="D2424" s="473" t="s">
        <v>41</v>
      </c>
      <c r="E2424" s="361">
        <v>8.09</v>
      </c>
    </row>
    <row r="2425" spans="1:5">
      <c r="A2425" s="473">
        <v>11032</v>
      </c>
      <c r="B2425" s="473" t="s">
        <v>12082</v>
      </c>
      <c r="C2425" s="473" t="s">
        <v>40</v>
      </c>
      <c r="D2425" s="473" t="s">
        <v>41</v>
      </c>
      <c r="E2425" s="361">
        <v>7.18</v>
      </c>
    </row>
    <row r="2426" spans="1:5">
      <c r="A2426" s="473">
        <v>36786</v>
      </c>
      <c r="B2426" s="473" t="s">
        <v>12083</v>
      </c>
      <c r="C2426" s="473" t="s">
        <v>64</v>
      </c>
      <c r="D2426" s="473" t="s">
        <v>47</v>
      </c>
      <c r="E2426" s="361">
        <v>128.38999999999999</v>
      </c>
    </row>
    <row r="2427" spans="1:5">
      <c r="A2427" s="473">
        <v>36785</v>
      </c>
      <c r="B2427" s="473" t="s">
        <v>12084</v>
      </c>
      <c r="C2427" s="473" t="s">
        <v>64</v>
      </c>
      <c r="D2427" s="473" t="s">
        <v>47</v>
      </c>
      <c r="E2427" s="361">
        <v>111.57</v>
      </c>
    </row>
    <row r="2428" spans="1:5">
      <c r="A2428" s="473">
        <v>36782</v>
      </c>
      <c r="B2428" s="473" t="s">
        <v>12085</v>
      </c>
      <c r="C2428" s="473" t="s">
        <v>64</v>
      </c>
      <c r="D2428" s="473" t="s">
        <v>47</v>
      </c>
      <c r="E2428" s="361">
        <v>133.16999999999999</v>
      </c>
    </row>
    <row r="2429" spans="1:5">
      <c r="A2429" s="473">
        <v>25930</v>
      </c>
      <c r="B2429" s="473" t="s">
        <v>12086</v>
      </c>
      <c r="C2429" s="473" t="s">
        <v>64</v>
      </c>
      <c r="D2429" s="473" t="s">
        <v>47</v>
      </c>
      <c r="E2429" s="361">
        <v>150</v>
      </c>
    </row>
    <row r="2430" spans="1:5">
      <c r="A2430" s="473">
        <v>4824</v>
      </c>
      <c r="B2430" s="473" t="s">
        <v>12087</v>
      </c>
      <c r="C2430" s="473" t="s">
        <v>49</v>
      </c>
      <c r="D2430" s="473" t="s">
        <v>41</v>
      </c>
      <c r="E2430" s="361">
        <v>0.24</v>
      </c>
    </row>
    <row r="2431" spans="1:5">
      <c r="A2431" s="473">
        <v>11795</v>
      </c>
      <c r="B2431" s="473" t="s">
        <v>12088</v>
      </c>
      <c r="C2431" s="473" t="s">
        <v>46</v>
      </c>
      <c r="D2431" s="473" t="s">
        <v>41</v>
      </c>
      <c r="E2431" s="361">
        <v>498.11</v>
      </c>
    </row>
    <row r="2432" spans="1:5">
      <c r="A2432" s="473">
        <v>134</v>
      </c>
      <c r="B2432" s="473" t="s">
        <v>12089</v>
      </c>
      <c r="C2432" s="473" t="s">
        <v>49</v>
      </c>
      <c r="D2432" s="473" t="s">
        <v>41</v>
      </c>
      <c r="E2432" s="361">
        <v>1.57</v>
      </c>
    </row>
    <row r="2433" spans="1:5">
      <c r="A2433" s="473">
        <v>4229</v>
      </c>
      <c r="B2433" s="473" t="s">
        <v>12090</v>
      </c>
      <c r="C2433" s="473" t="s">
        <v>49</v>
      </c>
      <c r="D2433" s="473" t="s">
        <v>41</v>
      </c>
      <c r="E2433" s="361">
        <v>29.28</v>
      </c>
    </row>
    <row r="2434" spans="1:5">
      <c r="A2434" s="473">
        <v>37402</v>
      </c>
      <c r="B2434" s="473" t="s">
        <v>12091</v>
      </c>
      <c r="C2434" s="473" t="s">
        <v>40</v>
      </c>
      <c r="D2434" s="473" t="s">
        <v>47</v>
      </c>
      <c r="E2434" s="361">
        <v>41.51</v>
      </c>
    </row>
    <row r="2435" spans="1:5">
      <c r="A2435" s="473">
        <v>11244</v>
      </c>
      <c r="B2435" s="473" t="s">
        <v>12092</v>
      </c>
      <c r="C2435" s="473" t="s">
        <v>40</v>
      </c>
      <c r="D2435" s="473" t="s">
        <v>47</v>
      </c>
      <c r="E2435" s="361">
        <v>141.4</v>
      </c>
    </row>
    <row r="2436" spans="1:5">
      <c r="A2436" s="473">
        <v>11245</v>
      </c>
      <c r="B2436" s="473" t="s">
        <v>12093</v>
      </c>
      <c r="C2436" s="473" t="s">
        <v>40</v>
      </c>
      <c r="D2436" s="473" t="s">
        <v>47</v>
      </c>
      <c r="E2436" s="361">
        <v>195.58</v>
      </c>
    </row>
    <row r="2437" spans="1:5">
      <c r="A2437" s="473">
        <v>11235</v>
      </c>
      <c r="B2437" s="473" t="s">
        <v>12094</v>
      </c>
      <c r="C2437" s="473" t="s">
        <v>40</v>
      </c>
      <c r="D2437" s="473" t="s">
        <v>47</v>
      </c>
      <c r="E2437" s="361">
        <v>107.9</v>
      </c>
    </row>
    <row r="2438" spans="1:5">
      <c r="A2438" s="473">
        <v>11236</v>
      </c>
      <c r="B2438" s="473" t="s">
        <v>12095</v>
      </c>
      <c r="C2438" s="473" t="s">
        <v>40</v>
      </c>
      <c r="D2438" s="473" t="s">
        <v>47</v>
      </c>
      <c r="E2438" s="361">
        <v>137.13</v>
      </c>
    </row>
    <row r="2439" spans="1:5">
      <c r="A2439" s="473">
        <v>11731</v>
      </c>
      <c r="B2439" s="473" t="s">
        <v>12096</v>
      </c>
      <c r="C2439" s="473" t="s">
        <v>40</v>
      </c>
      <c r="D2439" s="473" t="s">
        <v>41</v>
      </c>
      <c r="E2439" s="361">
        <v>4.45</v>
      </c>
    </row>
    <row r="2440" spans="1:5">
      <c r="A2440" s="473">
        <v>11732</v>
      </c>
      <c r="B2440" s="473" t="s">
        <v>12097</v>
      </c>
      <c r="C2440" s="473" t="s">
        <v>40</v>
      </c>
      <c r="D2440" s="473" t="s">
        <v>41</v>
      </c>
      <c r="E2440" s="361">
        <v>22.64</v>
      </c>
    </row>
    <row r="2441" spans="1:5">
      <c r="A2441" s="473">
        <v>36494</v>
      </c>
      <c r="B2441" s="473" t="s">
        <v>12098</v>
      </c>
      <c r="C2441" s="473" t="s">
        <v>40</v>
      </c>
      <c r="D2441" s="473" t="s">
        <v>47</v>
      </c>
      <c r="E2441" s="361">
        <v>360718.75</v>
      </c>
    </row>
    <row r="2442" spans="1:5">
      <c r="A2442" s="473">
        <v>36493</v>
      </c>
      <c r="B2442" s="473" t="s">
        <v>12099</v>
      </c>
      <c r="C2442" s="473" t="s">
        <v>40</v>
      </c>
      <c r="D2442" s="473" t="s">
        <v>47</v>
      </c>
      <c r="E2442" s="361">
        <v>408679.69</v>
      </c>
    </row>
    <row r="2443" spans="1:5">
      <c r="A2443" s="473">
        <v>36492</v>
      </c>
      <c r="B2443" s="473" t="s">
        <v>12100</v>
      </c>
      <c r="C2443" s="473" t="s">
        <v>40</v>
      </c>
      <c r="D2443" s="473" t="s">
        <v>47</v>
      </c>
      <c r="E2443" s="361">
        <v>759171.87</v>
      </c>
    </row>
    <row r="2444" spans="1:5">
      <c r="A2444" s="473">
        <v>13333</v>
      </c>
      <c r="B2444" s="473" t="s">
        <v>12101</v>
      </c>
      <c r="C2444" s="473" t="s">
        <v>40</v>
      </c>
      <c r="D2444" s="473" t="s">
        <v>47</v>
      </c>
      <c r="E2444" s="361">
        <v>136258.26999999999</v>
      </c>
    </row>
    <row r="2445" spans="1:5">
      <c r="A2445" s="473">
        <v>13533</v>
      </c>
      <c r="B2445" s="473" t="s">
        <v>12102</v>
      </c>
      <c r="C2445" s="473" t="s">
        <v>40</v>
      </c>
      <c r="D2445" s="473" t="s">
        <v>47</v>
      </c>
      <c r="E2445" s="361">
        <v>121799.76</v>
      </c>
    </row>
    <row r="2446" spans="1:5">
      <c r="A2446" s="473">
        <v>36499</v>
      </c>
      <c r="B2446" s="473" t="s">
        <v>12103</v>
      </c>
      <c r="C2446" s="473" t="s">
        <v>40</v>
      </c>
      <c r="D2446" s="473" t="s">
        <v>47</v>
      </c>
      <c r="E2446" s="361">
        <v>2657.03</v>
      </c>
    </row>
    <row r="2447" spans="1:5">
      <c r="A2447" s="473">
        <v>39585</v>
      </c>
      <c r="B2447" s="473" t="s">
        <v>12104</v>
      </c>
      <c r="C2447" s="473" t="s">
        <v>40</v>
      </c>
      <c r="D2447" s="473" t="s">
        <v>47</v>
      </c>
      <c r="E2447" s="361">
        <v>87981.96</v>
      </c>
    </row>
    <row r="2448" spans="1:5">
      <c r="A2448" s="473">
        <v>39586</v>
      </c>
      <c r="B2448" s="473" t="s">
        <v>12105</v>
      </c>
      <c r="C2448" s="473" t="s">
        <v>40</v>
      </c>
      <c r="D2448" s="473" t="s">
        <v>47</v>
      </c>
      <c r="E2448" s="361">
        <v>103196.88</v>
      </c>
    </row>
    <row r="2449" spans="1:5">
      <c r="A2449" s="473">
        <v>39587</v>
      </c>
      <c r="B2449" s="473" t="s">
        <v>12106</v>
      </c>
      <c r="C2449" s="473" t="s">
        <v>40</v>
      </c>
      <c r="D2449" s="473" t="s">
        <v>47</v>
      </c>
      <c r="E2449" s="361">
        <v>125688.52</v>
      </c>
    </row>
    <row r="2450" spans="1:5">
      <c r="A2450" s="473">
        <v>39588</v>
      </c>
      <c r="B2450" s="473" t="s">
        <v>12107</v>
      </c>
      <c r="C2450" s="473" t="s">
        <v>40</v>
      </c>
      <c r="D2450" s="473" t="s">
        <v>47</v>
      </c>
      <c r="E2450" s="361">
        <v>145534.07</v>
      </c>
    </row>
    <row r="2451" spans="1:5">
      <c r="A2451" s="473">
        <v>39584</v>
      </c>
      <c r="B2451" s="473" t="s">
        <v>12108</v>
      </c>
      <c r="C2451" s="473" t="s">
        <v>40</v>
      </c>
      <c r="D2451" s="473" t="s">
        <v>47</v>
      </c>
      <c r="E2451" s="361">
        <v>78350.25</v>
      </c>
    </row>
    <row r="2452" spans="1:5">
      <c r="A2452" s="473">
        <v>39590</v>
      </c>
      <c r="B2452" s="473" t="s">
        <v>12109</v>
      </c>
      <c r="C2452" s="473" t="s">
        <v>40</v>
      </c>
      <c r="D2452" s="473" t="s">
        <v>47</v>
      </c>
      <c r="E2452" s="361">
        <v>76471.539999999994</v>
      </c>
    </row>
    <row r="2453" spans="1:5">
      <c r="A2453" s="473">
        <v>39592</v>
      </c>
      <c r="B2453" s="473" t="s">
        <v>12110</v>
      </c>
      <c r="C2453" s="473" t="s">
        <v>40</v>
      </c>
      <c r="D2453" s="473" t="s">
        <v>47</v>
      </c>
      <c r="E2453" s="361">
        <v>109891.45</v>
      </c>
    </row>
    <row r="2454" spans="1:5">
      <c r="A2454" s="473">
        <v>39593</v>
      </c>
      <c r="B2454" s="473" t="s">
        <v>12111</v>
      </c>
      <c r="C2454" s="473" t="s">
        <v>40</v>
      </c>
      <c r="D2454" s="473" t="s">
        <v>47</v>
      </c>
      <c r="E2454" s="361">
        <v>125688.52</v>
      </c>
    </row>
    <row r="2455" spans="1:5">
      <c r="A2455" s="473">
        <v>14254</v>
      </c>
      <c r="B2455" s="473" t="s">
        <v>12112</v>
      </c>
      <c r="C2455" s="473" t="s">
        <v>40</v>
      </c>
      <c r="D2455" s="473" t="s">
        <v>47</v>
      </c>
      <c r="E2455" s="361">
        <v>71444</v>
      </c>
    </row>
    <row r="2456" spans="1:5">
      <c r="A2456" s="473">
        <v>25987</v>
      </c>
      <c r="B2456" s="473" t="s">
        <v>12113</v>
      </c>
      <c r="C2456" s="473" t="s">
        <v>40</v>
      </c>
      <c r="D2456" s="473" t="s">
        <v>47</v>
      </c>
      <c r="E2456" s="361">
        <v>59661.440000000002</v>
      </c>
    </row>
    <row r="2457" spans="1:5">
      <c r="A2457" s="473">
        <v>25019</v>
      </c>
      <c r="B2457" s="473" t="s">
        <v>12114</v>
      </c>
      <c r="C2457" s="473" t="s">
        <v>40</v>
      </c>
      <c r="D2457" s="473" t="s">
        <v>47</v>
      </c>
      <c r="E2457" s="361">
        <v>102266.37</v>
      </c>
    </row>
    <row r="2458" spans="1:5">
      <c r="A2458" s="473">
        <v>36501</v>
      </c>
      <c r="B2458" s="473" t="s">
        <v>12115</v>
      </c>
      <c r="C2458" s="473" t="s">
        <v>40</v>
      </c>
      <c r="D2458" s="473" t="s">
        <v>47</v>
      </c>
      <c r="E2458" s="361">
        <v>91052.32</v>
      </c>
    </row>
    <row r="2459" spans="1:5">
      <c r="A2459" s="473">
        <v>25986</v>
      </c>
      <c r="B2459" s="473" t="s">
        <v>12116</v>
      </c>
      <c r="C2459" s="473" t="s">
        <v>40</v>
      </c>
      <c r="D2459" s="473" t="s">
        <v>47</v>
      </c>
      <c r="E2459" s="361">
        <v>109462.33</v>
      </c>
    </row>
    <row r="2460" spans="1:5">
      <c r="A2460" s="473">
        <v>36500</v>
      </c>
      <c r="B2460" s="473" t="s">
        <v>12117</v>
      </c>
      <c r="C2460" s="473" t="s">
        <v>40</v>
      </c>
      <c r="D2460" s="473" t="s">
        <v>47</v>
      </c>
      <c r="E2460" s="361">
        <v>64344.18</v>
      </c>
    </row>
    <row r="2461" spans="1:5">
      <c r="A2461" s="473">
        <v>20017</v>
      </c>
      <c r="B2461" s="473" t="s">
        <v>12118</v>
      </c>
      <c r="C2461" s="473" t="s">
        <v>48</v>
      </c>
      <c r="D2461" s="473" t="s">
        <v>41</v>
      </c>
      <c r="E2461" s="361">
        <v>5.39</v>
      </c>
    </row>
    <row r="2462" spans="1:5">
      <c r="A2462" s="473">
        <v>20007</v>
      </c>
      <c r="B2462" s="473" t="s">
        <v>12119</v>
      </c>
      <c r="C2462" s="473" t="s">
        <v>48</v>
      </c>
      <c r="D2462" s="473" t="s">
        <v>41</v>
      </c>
      <c r="E2462" s="361">
        <v>4.13</v>
      </c>
    </row>
    <row r="2463" spans="1:5">
      <c r="A2463" s="473">
        <v>39836</v>
      </c>
      <c r="B2463" s="473" t="s">
        <v>12120</v>
      </c>
      <c r="C2463" s="473" t="s">
        <v>55</v>
      </c>
      <c r="D2463" s="473" t="s">
        <v>41</v>
      </c>
      <c r="E2463" s="361">
        <v>154.1</v>
      </c>
    </row>
    <row r="2464" spans="1:5">
      <c r="A2464" s="473">
        <v>39830</v>
      </c>
      <c r="B2464" s="473" t="s">
        <v>12121</v>
      </c>
      <c r="C2464" s="473" t="s">
        <v>55</v>
      </c>
      <c r="D2464" s="473" t="s">
        <v>41</v>
      </c>
      <c r="E2464" s="361">
        <v>175.75</v>
      </c>
    </row>
    <row r="2465" spans="1:5">
      <c r="A2465" s="473">
        <v>39831</v>
      </c>
      <c r="B2465" s="473" t="s">
        <v>12122</v>
      </c>
      <c r="C2465" s="473" t="s">
        <v>55</v>
      </c>
      <c r="D2465" s="473" t="s">
        <v>41</v>
      </c>
      <c r="E2465" s="361">
        <v>175.37</v>
      </c>
    </row>
    <row r="2466" spans="1:5">
      <c r="A2466" s="473">
        <v>36888</v>
      </c>
      <c r="B2466" s="473" t="s">
        <v>12123</v>
      </c>
      <c r="C2466" s="473" t="s">
        <v>48</v>
      </c>
      <c r="D2466" s="473" t="s">
        <v>47</v>
      </c>
      <c r="E2466" s="361">
        <v>7.6</v>
      </c>
    </row>
    <row r="2467" spans="1:5">
      <c r="A2467" s="473">
        <v>40527</v>
      </c>
      <c r="B2467" s="473" t="s">
        <v>12124</v>
      </c>
      <c r="C2467" s="473" t="s">
        <v>40</v>
      </c>
      <c r="D2467" s="473" t="s">
        <v>47</v>
      </c>
      <c r="E2467" s="361">
        <v>2170.11</v>
      </c>
    </row>
    <row r="2468" spans="1:5">
      <c r="A2468" s="473">
        <v>36497</v>
      </c>
      <c r="B2468" s="473" t="s">
        <v>12125</v>
      </c>
      <c r="C2468" s="473" t="s">
        <v>40</v>
      </c>
      <c r="D2468" s="473" t="s">
        <v>47</v>
      </c>
      <c r="E2468" s="361">
        <v>2477.42</v>
      </c>
    </row>
    <row r="2469" spans="1:5">
      <c r="A2469" s="473">
        <v>36487</v>
      </c>
      <c r="B2469" s="473" t="s">
        <v>12126</v>
      </c>
      <c r="C2469" s="473" t="s">
        <v>40</v>
      </c>
      <c r="D2469" s="473" t="s">
        <v>47</v>
      </c>
      <c r="E2469" s="361">
        <v>4313.5600000000004</v>
      </c>
    </row>
    <row r="2470" spans="1:5">
      <c r="A2470" s="473">
        <v>25952</v>
      </c>
      <c r="B2470" s="473" t="s">
        <v>12127</v>
      </c>
      <c r="C2470" s="473" t="s">
        <v>40</v>
      </c>
      <c r="D2470" s="473" t="s">
        <v>47</v>
      </c>
      <c r="E2470" s="361">
        <v>630772.18999999994</v>
      </c>
    </row>
    <row r="2471" spans="1:5">
      <c r="A2471" s="473">
        <v>25954</v>
      </c>
      <c r="B2471" s="473" t="s">
        <v>12128</v>
      </c>
      <c r="C2471" s="473" t="s">
        <v>40</v>
      </c>
      <c r="D2471" s="473" t="s">
        <v>47</v>
      </c>
      <c r="E2471" s="361">
        <v>1213023.44</v>
      </c>
    </row>
    <row r="2472" spans="1:5">
      <c r="A2472" s="473">
        <v>25953</v>
      </c>
      <c r="B2472" s="473" t="s">
        <v>12129</v>
      </c>
      <c r="C2472" s="473" t="s">
        <v>40</v>
      </c>
      <c r="D2472" s="473" t="s">
        <v>47</v>
      </c>
      <c r="E2472" s="361">
        <v>2062139.84</v>
      </c>
    </row>
    <row r="2473" spans="1:5">
      <c r="A2473" s="473">
        <v>37776</v>
      </c>
      <c r="B2473" s="473" t="s">
        <v>12130</v>
      </c>
      <c r="C2473" s="473" t="s">
        <v>40</v>
      </c>
      <c r="D2473" s="473" t="s">
        <v>47</v>
      </c>
      <c r="E2473" s="361">
        <v>126382.81</v>
      </c>
    </row>
    <row r="2474" spans="1:5">
      <c r="A2474" s="473">
        <v>37775</v>
      </c>
      <c r="B2474" s="473" t="s">
        <v>12131</v>
      </c>
      <c r="C2474" s="473" t="s">
        <v>40</v>
      </c>
      <c r="D2474" s="473" t="s">
        <v>47</v>
      </c>
      <c r="E2474" s="361">
        <v>199062.5</v>
      </c>
    </row>
    <row r="2475" spans="1:5">
      <c r="A2475" s="473">
        <v>36491</v>
      </c>
      <c r="B2475" s="473" t="s">
        <v>12132</v>
      </c>
      <c r="C2475" s="473" t="s">
        <v>40</v>
      </c>
      <c r="D2475" s="473" t="s">
        <v>47</v>
      </c>
      <c r="E2475" s="361">
        <v>737187.5</v>
      </c>
    </row>
    <row r="2476" spans="1:5">
      <c r="A2476" s="473">
        <v>10712</v>
      </c>
      <c r="B2476" s="473" t="s">
        <v>12133</v>
      </c>
      <c r="C2476" s="473" t="s">
        <v>40</v>
      </c>
      <c r="D2476" s="473" t="s">
        <v>47</v>
      </c>
      <c r="E2476" s="361">
        <v>49765.62</v>
      </c>
    </row>
    <row r="2477" spans="1:5">
      <c r="A2477" s="473">
        <v>3363</v>
      </c>
      <c r="B2477" s="473" t="s">
        <v>12134</v>
      </c>
      <c r="C2477" s="473" t="s">
        <v>40</v>
      </c>
      <c r="D2477" s="473" t="s">
        <v>47</v>
      </c>
      <c r="E2477" s="361">
        <v>70000</v>
      </c>
    </row>
    <row r="2478" spans="1:5">
      <c r="A2478" s="473">
        <v>3365</v>
      </c>
      <c r="B2478" s="473" t="s">
        <v>12135</v>
      </c>
      <c r="C2478" s="473" t="s">
        <v>40</v>
      </c>
      <c r="D2478" s="473" t="s">
        <v>47</v>
      </c>
      <c r="E2478" s="361">
        <v>163625</v>
      </c>
    </row>
    <row r="2479" spans="1:5">
      <c r="A2479" s="473">
        <v>7569</v>
      </c>
      <c r="B2479" s="473" t="s">
        <v>12136</v>
      </c>
      <c r="C2479" s="473" t="s">
        <v>40</v>
      </c>
      <c r="D2479" s="473" t="s">
        <v>47</v>
      </c>
      <c r="E2479" s="361">
        <v>42.25</v>
      </c>
    </row>
    <row r="2480" spans="1:5">
      <c r="A2480" s="473">
        <v>34349</v>
      </c>
      <c r="B2480" s="473" t="s">
        <v>12137</v>
      </c>
      <c r="C2480" s="473" t="s">
        <v>40</v>
      </c>
      <c r="D2480" s="473" t="s">
        <v>41</v>
      </c>
      <c r="E2480" s="361">
        <v>12.47</v>
      </c>
    </row>
    <row r="2481" spans="1:5">
      <c r="A2481" s="473">
        <v>11991</v>
      </c>
      <c r="B2481" s="473" t="s">
        <v>12138</v>
      </c>
      <c r="C2481" s="473" t="s">
        <v>40</v>
      </c>
      <c r="D2481" s="473" t="s">
        <v>41</v>
      </c>
      <c r="E2481" s="361">
        <v>48.23</v>
      </c>
    </row>
    <row r="2482" spans="1:5">
      <c r="A2482" s="473">
        <v>20062</v>
      </c>
      <c r="B2482" s="473" t="s">
        <v>12139</v>
      </c>
      <c r="C2482" s="473" t="s">
        <v>40</v>
      </c>
      <c r="D2482" s="473" t="s">
        <v>47</v>
      </c>
      <c r="E2482" s="361">
        <v>12.74</v>
      </c>
    </row>
    <row r="2483" spans="1:5">
      <c r="A2483" s="473">
        <v>11029</v>
      </c>
      <c r="B2483" s="473" t="s">
        <v>12140</v>
      </c>
      <c r="C2483" s="473" t="s">
        <v>59</v>
      </c>
      <c r="D2483" s="473" t="s">
        <v>41</v>
      </c>
      <c r="E2483" s="361">
        <v>1.1000000000000001</v>
      </c>
    </row>
    <row r="2484" spans="1:5">
      <c r="A2484" s="473">
        <v>4316</v>
      </c>
      <c r="B2484" s="473" t="s">
        <v>12141</v>
      </c>
      <c r="C2484" s="473" t="s">
        <v>40</v>
      </c>
      <c r="D2484" s="473" t="s">
        <v>41</v>
      </c>
      <c r="E2484" s="361">
        <v>1.1100000000000001</v>
      </c>
    </row>
    <row r="2485" spans="1:5">
      <c r="A2485" s="473">
        <v>4313</v>
      </c>
      <c r="B2485" s="473" t="s">
        <v>12142</v>
      </c>
      <c r="C2485" s="473" t="s">
        <v>59</v>
      </c>
      <c r="D2485" s="473" t="s">
        <v>41</v>
      </c>
      <c r="E2485" s="361">
        <v>1.59</v>
      </c>
    </row>
    <row r="2486" spans="1:5">
      <c r="A2486" s="473">
        <v>4317</v>
      </c>
      <c r="B2486" s="473" t="s">
        <v>12143</v>
      </c>
      <c r="C2486" s="473" t="s">
        <v>40</v>
      </c>
      <c r="D2486" s="473" t="s">
        <v>41</v>
      </c>
      <c r="E2486" s="361">
        <v>1.81</v>
      </c>
    </row>
    <row r="2487" spans="1:5">
      <c r="A2487" s="473">
        <v>4314</v>
      </c>
      <c r="B2487" s="473" t="s">
        <v>12144</v>
      </c>
      <c r="C2487" s="473" t="s">
        <v>59</v>
      </c>
      <c r="D2487" s="473" t="s">
        <v>41</v>
      </c>
      <c r="E2487" s="361">
        <v>2.12</v>
      </c>
    </row>
    <row r="2488" spans="1:5">
      <c r="A2488" s="473">
        <v>10561</v>
      </c>
      <c r="B2488" s="473" t="s">
        <v>12145</v>
      </c>
      <c r="C2488" s="473" t="s">
        <v>49</v>
      </c>
      <c r="D2488" s="473" t="s">
        <v>41</v>
      </c>
      <c r="E2488" s="361">
        <v>0.4</v>
      </c>
    </row>
    <row r="2489" spans="1:5">
      <c r="A2489" s="473">
        <v>10921</v>
      </c>
      <c r="B2489" s="473" t="s">
        <v>12146</v>
      </c>
      <c r="C2489" s="473" t="s">
        <v>40</v>
      </c>
      <c r="D2489" s="473" t="s">
        <v>47</v>
      </c>
      <c r="E2489" s="361">
        <v>3290</v>
      </c>
    </row>
    <row r="2490" spans="1:5">
      <c r="A2490" s="473">
        <v>10922</v>
      </c>
      <c r="B2490" s="473" t="s">
        <v>12147</v>
      </c>
      <c r="C2490" s="473" t="s">
        <v>40</v>
      </c>
      <c r="D2490" s="473" t="s">
        <v>47</v>
      </c>
      <c r="E2490" s="361">
        <v>2979.99</v>
      </c>
    </row>
    <row r="2491" spans="1:5">
      <c r="A2491" s="473">
        <v>10923</v>
      </c>
      <c r="B2491" s="473" t="s">
        <v>12148</v>
      </c>
      <c r="C2491" s="473" t="s">
        <v>40</v>
      </c>
      <c r="D2491" s="473" t="s">
        <v>47</v>
      </c>
      <c r="E2491" s="361">
        <v>1761.3</v>
      </c>
    </row>
    <row r="2492" spans="1:5">
      <c r="A2492" s="473">
        <v>10924</v>
      </c>
      <c r="B2492" s="473" t="s">
        <v>12149</v>
      </c>
      <c r="C2492" s="473" t="s">
        <v>40</v>
      </c>
      <c r="D2492" s="473" t="s">
        <v>47</v>
      </c>
      <c r="E2492" s="361">
        <v>1854.99</v>
      </c>
    </row>
    <row r="2493" spans="1:5">
      <c r="A2493" s="473">
        <v>37772</v>
      </c>
      <c r="B2493" s="473" t="s">
        <v>12150</v>
      </c>
      <c r="C2493" s="473" t="s">
        <v>40</v>
      </c>
      <c r="D2493" s="473" t="s">
        <v>47</v>
      </c>
      <c r="E2493" s="361">
        <v>114526.71</v>
      </c>
    </row>
    <row r="2494" spans="1:5">
      <c r="A2494" s="473">
        <v>37771</v>
      </c>
      <c r="B2494" s="473" t="s">
        <v>12151</v>
      </c>
      <c r="C2494" s="473" t="s">
        <v>40</v>
      </c>
      <c r="D2494" s="473" t="s">
        <v>47</v>
      </c>
      <c r="E2494" s="361">
        <v>121838.18</v>
      </c>
    </row>
    <row r="2495" spans="1:5">
      <c r="A2495" s="473">
        <v>12770</v>
      </c>
      <c r="B2495" s="473" t="s">
        <v>12152</v>
      </c>
      <c r="C2495" s="473" t="s">
        <v>40</v>
      </c>
      <c r="D2495" s="473" t="s">
        <v>47</v>
      </c>
      <c r="E2495" s="361">
        <v>448.97</v>
      </c>
    </row>
    <row r="2496" spans="1:5">
      <c r="A2496" s="473">
        <v>12772</v>
      </c>
      <c r="B2496" s="473" t="s">
        <v>12153</v>
      </c>
      <c r="C2496" s="473" t="s">
        <v>40</v>
      </c>
      <c r="D2496" s="473" t="s">
        <v>47</v>
      </c>
      <c r="E2496" s="361">
        <v>746.17</v>
      </c>
    </row>
    <row r="2497" spans="1:5">
      <c r="A2497" s="473">
        <v>12768</v>
      </c>
      <c r="B2497" s="473" t="s">
        <v>12154</v>
      </c>
      <c r="C2497" s="473" t="s">
        <v>40</v>
      </c>
      <c r="D2497" s="473" t="s">
        <v>47</v>
      </c>
      <c r="E2497" s="361">
        <v>1049.7</v>
      </c>
    </row>
    <row r="2498" spans="1:5">
      <c r="A2498" s="473">
        <v>12775</v>
      </c>
      <c r="B2498" s="473" t="s">
        <v>12155</v>
      </c>
      <c r="C2498" s="473" t="s">
        <v>40</v>
      </c>
      <c r="D2498" s="473" t="s">
        <v>47</v>
      </c>
      <c r="E2498" s="361">
        <v>328.82</v>
      </c>
    </row>
    <row r="2499" spans="1:5">
      <c r="A2499" s="473">
        <v>12769</v>
      </c>
      <c r="B2499" s="473" t="s">
        <v>12156</v>
      </c>
      <c r="C2499" s="473" t="s">
        <v>40</v>
      </c>
      <c r="D2499" s="473" t="s">
        <v>47</v>
      </c>
      <c r="E2499" s="361">
        <v>86</v>
      </c>
    </row>
    <row r="2500" spans="1:5">
      <c r="A2500" s="473">
        <v>12773</v>
      </c>
      <c r="B2500" s="473" t="s">
        <v>12157</v>
      </c>
      <c r="C2500" s="473" t="s">
        <v>40</v>
      </c>
      <c r="D2500" s="473" t="s">
        <v>47</v>
      </c>
      <c r="E2500" s="361">
        <v>92.32</v>
      </c>
    </row>
    <row r="2501" spans="1:5">
      <c r="A2501" s="473">
        <v>12774</v>
      </c>
      <c r="B2501" s="473" t="s">
        <v>12158</v>
      </c>
      <c r="C2501" s="473" t="s">
        <v>40</v>
      </c>
      <c r="D2501" s="473" t="s">
        <v>47</v>
      </c>
      <c r="E2501" s="361">
        <v>113.82</v>
      </c>
    </row>
    <row r="2502" spans="1:5">
      <c r="A2502" s="473">
        <v>12776</v>
      </c>
      <c r="B2502" s="473" t="s">
        <v>12159</v>
      </c>
      <c r="C2502" s="473" t="s">
        <v>40</v>
      </c>
      <c r="D2502" s="473" t="s">
        <v>47</v>
      </c>
      <c r="E2502" s="361">
        <v>1694.7</v>
      </c>
    </row>
    <row r="2503" spans="1:5">
      <c r="A2503" s="473">
        <v>12777</v>
      </c>
      <c r="B2503" s="473" t="s">
        <v>12160</v>
      </c>
      <c r="C2503" s="473" t="s">
        <v>40</v>
      </c>
      <c r="D2503" s="473" t="s">
        <v>47</v>
      </c>
      <c r="E2503" s="361">
        <v>2213.23</v>
      </c>
    </row>
    <row r="2504" spans="1:5">
      <c r="A2504" s="473">
        <v>3391</v>
      </c>
      <c r="B2504" s="473" t="s">
        <v>12161</v>
      </c>
      <c r="C2504" s="473" t="s">
        <v>40</v>
      </c>
      <c r="D2504" s="473" t="s">
        <v>47</v>
      </c>
      <c r="E2504" s="361">
        <v>48.19</v>
      </c>
    </row>
    <row r="2505" spans="1:5">
      <c r="A2505" s="473">
        <v>3389</v>
      </c>
      <c r="B2505" s="473" t="s">
        <v>12162</v>
      </c>
      <c r="C2505" s="473" t="s">
        <v>40</v>
      </c>
      <c r="D2505" s="473" t="s">
        <v>47</v>
      </c>
      <c r="E2505" s="361">
        <v>25</v>
      </c>
    </row>
    <row r="2506" spans="1:5">
      <c r="A2506" s="473">
        <v>3390</v>
      </c>
      <c r="B2506" s="473" t="s">
        <v>12163</v>
      </c>
      <c r="C2506" s="473" t="s">
        <v>40</v>
      </c>
      <c r="D2506" s="473" t="s">
        <v>47</v>
      </c>
      <c r="E2506" s="361">
        <v>28.13</v>
      </c>
    </row>
    <row r="2507" spans="1:5">
      <c r="A2507" s="473">
        <v>12873</v>
      </c>
      <c r="B2507" s="473" t="s">
        <v>12164</v>
      </c>
      <c r="C2507" s="473" t="s">
        <v>43</v>
      </c>
      <c r="D2507" s="473" t="s">
        <v>41</v>
      </c>
      <c r="E2507" s="361">
        <v>13.54</v>
      </c>
    </row>
    <row r="2508" spans="1:5">
      <c r="A2508" s="473">
        <v>41076</v>
      </c>
      <c r="B2508" s="473" t="s">
        <v>12165</v>
      </c>
      <c r="C2508" s="473" t="s">
        <v>53</v>
      </c>
      <c r="D2508" s="473" t="s">
        <v>41</v>
      </c>
      <c r="E2508" s="361">
        <v>2413.96</v>
      </c>
    </row>
    <row r="2509" spans="1:5">
      <c r="A2509" s="473">
        <v>140</v>
      </c>
      <c r="B2509" s="473" t="s">
        <v>12166</v>
      </c>
      <c r="C2509" s="473" t="s">
        <v>49</v>
      </c>
      <c r="D2509" s="473" t="s">
        <v>41</v>
      </c>
      <c r="E2509" s="361">
        <v>15.62</v>
      </c>
    </row>
    <row r="2510" spans="1:5">
      <c r="A2510" s="473">
        <v>151</v>
      </c>
      <c r="B2510" s="473" t="s">
        <v>12167</v>
      </c>
      <c r="C2510" s="473" t="s">
        <v>50</v>
      </c>
      <c r="D2510" s="473" t="s">
        <v>41</v>
      </c>
      <c r="E2510" s="361">
        <v>19.649999999999999</v>
      </c>
    </row>
    <row r="2511" spans="1:5">
      <c r="A2511" s="473">
        <v>7340</v>
      </c>
      <c r="B2511" s="473" t="s">
        <v>12168</v>
      </c>
      <c r="C2511" s="473" t="s">
        <v>50</v>
      </c>
      <c r="D2511" s="473" t="s">
        <v>41</v>
      </c>
      <c r="E2511" s="361">
        <v>21.21</v>
      </c>
    </row>
    <row r="2512" spans="1:5">
      <c r="A2512" s="473">
        <v>2701</v>
      </c>
      <c r="B2512" s="473" t="s">
        <v>12169</v>
      </c>
      <c r="C2512" s="473" t="s">
        <v>43</v>
      </c>
      <c r="D2512" s="473" t="s">
        <v>41</v>
      </c>
      <c r="E2512" s="361">
        <v>10.42</v>
      </c>
    </row>
    <row r="2513" spans="1:5">
      <c r="A2513" s="473">
        <v>40929</v>
      </c>
      <c r="B2513" s="473" t="s">
        <v>12170</v>
      </c>
      <c r="C2513" s="473" t="s">
        <v>53</v>
      </c>
      <c r="D2513" s="473" t="s">
        <v>41</v>
      </c>
      <c r="E2513" s="361">
        <v>1860.28</v>
      </c>
    </row>
    <row r="2514" spans="1:5">
      <c r="A2514" s="473">
        <v>38114</v>
      </c>
      <c r="B2514" s="473" t="s">
        <v>12171</v>
      </c>
      <c r="C2514" s="473" t="s">
        <v>40</v>
      </c>
      <c r="D2514" s="473" t="s">
        <v>41</v>
      </c>
      <c r="E2514" s="361">
        <v>14.53</v>
      </c>
    </row>
    <row r="2515" spans="1:5">
      <c r="A2515" s="473">
        <v>38064</v>
      </c>
      <c r="B2515" s="473" t="s">
        <v>12172</v>
      </c>
      <c r="C2515" s="473" t="s">
        <v>40</v>
      </c>
      <c r="D2515" s="473" t="s">
        <v>41</v>
      </c>
      <c r="E2515" s="361">
        <v>16.25</v>
      </c>
    </row>
    <row r="2516" spans="1:5">
      <c r="A2516" s="473">
        <v>38115</v>
      </c>
      <c r="B2516" s="473" t="s">
        <v>12173</v>
      </c>
      <c r="C2516" s="473" t="s">
        <v>40</v>
      </c>
      <c r="D2516" s="473" t="s">
        <v>41</v>
      </c>
      <c r="E2516" s="361">
        <v>15.51</v>
      </c>
    </row>
    <row r="2517" spans="1:5">
      <c r="A2517" s="473">
        <v>38065</v>
      </c>
      <c r="B2517" s="473" t="s">
        <v>12174</v>
      </c>
      <c r="C2517" s="473" t="s">
        <v>40</v>
      </c>
      <c r="D2517" s="473" t="s">
        <v>41</v>
      </c>
      <c r="E2517" s="361">
        <v>23.05</v>
      </c>
    </row>
    <row r="2518" spans="1:5">
      <c r="A2518" s="473">
        <v>38078</v>
      </c>
      <c r="B2518" s="473" t="s">
        <v>12175</v>
      </c>
      <c r="C2518" s="473" t="s">
        <v>40</v>
      </c>
      <c r="D2518" s="473" t="s">
        <v>41</v>
      </c>
      <c r="E2518" s="361">
        <v>13.45</v>
      </c>
    </row>
    <row r="2519" spans="1:5">
      <c r="A2519" s="473">
        <v>38113</v>
      </c>
      <c r="B2519" s="473" t="s">
        <v>12176</v>
      </c>
      <c r="C2519" s="473" t="s">
        <v>40</v>
      </c>
      <c r="D2519" s="473" t="s">
        <v>41</v>
      </c>
      <c r="E2519" s="361">
        <v>7.3</v>
      </c>
    </row>
    <row r="2520" spans="1:5">
      <c r="A2520" s="473">
        <v>38063</v>
      </c>
      <c r="B2520" s="473" t="s">
        <v>12177</v>
      </c>
      <c r="C2520" s="473" t="s">
        <v>40</v>
      </c>
      <c r="D2520" s="473" t="s">
        <v>41</v>
      </c>
      <c r="E2520" s="361">
        <v>7.84</v>
      </c>
    </row>
    <row r="2521" spans="1:5">
      <c r="A2521" s="473">
        <v>38080</v>
      </c>
      <c r="B2521" s="473" t="s">
        <v>12178</v>
      </c>
      <c r="C2521" s="473" t="s">
        <v>40</v>
      </c>
      <c r="D2521" s="473" t="s">
        <v>41</v>
      </c>
      <c r="E2521" s="361">
        <v>23.35</v>
      </c>
    </row>
    <row r="2522" spans="1:5">
      <c r="A2522" s="473">
        <v>38069</v>
      </c>
      <c r="B2522" s="473" t="s">
        <v>12179</v>
      </c>
      <c r="C2522" s="473" t="s">
        <v>40</v>
      </c>
      <c r="D2522" s="473" t="s">
        <v>41</v>
      </c>
      <c r="E2522" s="361">
        <v>12.77</v>
      </c>
    </row>
    <row r="2523" spans="1:5">
      <c r="A2523" s="473">
        <v>38077</v>
      </c>
      <c r="B2523" s="473" t="s">
        <v>12180</v>
      </c>
      <c r="C2523" s="473" t="s">
        <v>40</v>
      </c>
      <c r="D2523" s="473" t="s">
        <v>41</v>
      </c>
      <c r="E2523" s="361">
        <v>12.48</v>
      </c>
    </row>
    <row r="2524" spans="1:5">
      <c r="A2524" s="473">
        <v>38073</v>
      </c>
      <c r="B2524" s="473" t="s">
        <v>12181</v>
      </c>
      <c r="C2524" s="473" t="s">
        <v>40</v>
      </c>
      <c r="D2524" s="473" t="s">
        <v>41</v>
      </c>
      <c r="E2524" s="361">
        <v>19.010000000000002</v>
      </c>
    </row>
    <row r="2525" spans="1:5">
      <c r="A2525" s="473">
        <v>38112</v>
      </c>
      <c r="B2525" s="473" t="s">
        <v>12182</v>
      </c>
      <c r="C2525" s="473" t="s">
        <v>40</v>
      </c>
      <c r="D2525" s="473" t="s">
        <v>41</v>
      </c>
      <c r="E2525" s="361">
        <v>5.61</v>
      </c>
    </row>
    <row r="2526" spans="1:5">
      <c r="A2526" s="473">
        <v>38062</v>
      </c>
      <c r="B2526" s="473" t="s">
        <v>12183</v>
      </c>
      <c r="C2526" s="473" t="s">
        <v>40</v>
      </c>
      <c r="D2526" s="473" t="s">
        <v>41</v>
      </c>
      <c r="E2526" s="361">
        <v>5.75</v>
      </c>
    </row>
    <row r="2527" spans="1:5">
      <c r="A2527" s="473">
        <v>12128</v>
      </c>
      <c r="B2527" s="473" t="s">
        <v>12184</v>
      </c>
      <c r="C2527" s="473" t="s">
        <v>40</v>
      </c>
      <c r="D2527" s="473" t="s">
        <v>41</v>
      </c>
      <c r="E2527" s="361">
        <v>7.69</v>
      </c>
    </row>
    <row r="2528" spans="1:5">
      <c r="A2528" s="473">
        <v>12129</v>
      </c>
      <c r="B2528" s="473" t="s">
        <v>12185</v>
      </c>
      <c r="C2528" s="473" t="s">
        <v>40</v>
      </c>
      <c r="D2528" s="473" t="s">
        <v>41</v>
      </c>
      <c r="E2528" s="361">
        <v>10.17</v>
      </c>
    </row>
    <row r="2529" spans="1:5">
      <c r="A2529" s="473">
        <v>38081</v>
      </c>
      <c r="B2529" s="473" t="s">
        <v>12186</v>
      </c>
      <c r="C2529" s="473" t="s">
        <v>40</v>
      </c>
      <c r="D2529" s="473" t="s">
        <v>41</v>
      </c>
      <c r="E2529" s="361">
        <v>19.809999999999999</v>
      </c>
    </row>
    <row r="2530" spans="1:5">
      <c r="A2530" s="473">
        <v>38070</v>
      </c>
      <c r="B2530" s="473" t="s">
        <v>12187</v>
      </c>
      <c r="C2530" s="473" t="s">
        <v>40</v>
      </c>
      <c r="D2530" s="473" t="s">
        <v>41</v>
      </c>
      <c r="E2530" s="361">
        <v>13.65</v>
      </c>
    </row>
    <row r="2531" spans="1:5">
      <c r="A2531" s="473">
        <v>38074</v>
      </c>
      <c r="B2531" s="473" t="s">
        <v>12188</v>
      </c>
      <c r="C2531" s="473" t="s">
        <v>40</v>
      </c>
      <c r="D2531" s="473" t="s">
        <v>41</v>
      </c>
      <c r="E2531" s="361">
        <v>20.75</v>
      </c>
    </row>
    <row r="2532" spans="1:5">
      <c r="A2532" s="473">
        <v>38079</v>
      </c>
      <c r="B2532" s="473" t="s">
        <v>12189</v>
      </c>
      <c r="C2532" s="473" t="s">
        <v>40</v>
      </c>
      <c r="D2532" s="473" t="s">
        <v>41</v>
      </c>
      <c r="E2532" s="361">
        <v>17.809999999999999</v>
      </c>
    </row>
    <row r="2533" spans="1:5">
      <c r="A2533" s="473">
        <v>38072</v>
      </c>
      <c r="B2533" s="473" t="s">
        <v>12190</v>
      </c>
      <c r="C2533" s="473" t="s">
        <v>40</v>
      </c>
      <c r="D2533" s="473" t="s">
        <v>41</v>
      </c>
      <c r="E2533" s="361">
        <v>17.12</v>
      </c>
    </row>
    <row r="2534" spans="1:5">
      <c r="A2534" s="473">
        <v>38068</v>
      </c>
      <c r="B2534" s="473" t="s">
        <v>12191</v>
      </c>
      <c r="C2534" s="473" t="s">
        <v>40</v>
      </c>
      <c r="D2534" s="473" t="s">
        <v>41</v>
      </c>
      <c r="E2534" s="361">
        <v>11.82</v>
      </c>
    </row>
    <row r="2535" spans="1:5">
      <c r="A2535" s="473">
        <v>38071</v>
      </c>
      <c r="B2535" s="473" t="s">
        <v>12192</v>
      </c>
      <c r="C2535" s="473" t="s">
        <v>40</v>
      </c>
      <c r="D2535" s="473" t="s">
        <v>41</v>
      </c>
      <c r="E2535" s="361">
        <v>14.13</v>
      </c>
    </row>
    <row r="2536" spans="1:5">
      <c r="A2536" s="473">
        <v>38412</v>
      </c>
      <c r="B2536" s="473" t="s">
        <v>12193</v>
      </c>
      <c r="C2536" s="473" t="s">
        <v>40</v>
      </c>
      <c r="D2536" s="473" t="s">
        <v>47</v>
      </c>
      <c r="E2536" s="361">
        <v>1094.3399999999999</v>
      </c>
    </row>
    <row r="2537" spans="1:5">
      <c r="A2537" s="473">
        <v>3405</v>
      </c>
      <c r="B2537" s="473" t="s">
        <v>12194</v>
      </c>
      <c r="C2537" s="473" t="s">
        <v>40</v>
      </c>
      <c r="D2537" s="473" t="s">
        <v>47</v>
      </c>
      <c r="E2537" s="361">
        <v>63.05</v>
      </c>
    </row>
    <row r="2538" spans="1:5">
      <c r="A2538" s="473">
        <v>3394</v>
      </c>
      <c r="B2538" s="473" t="s">
        <v>12195</v>
      </c>
      <c r="C2538" s="473" t="s">
        <v>40</v>
      </c>
      <c r="D2538" s="473" t="s">
        <v>47</v>
      </c>
      <c r="E2538" s="361">
        <v>332.83</v>
      </c>
    </row>
    <row r="2539" spans="1:5">
      <c r="A2539" s="473">
        <v>3393</v>
      </c>
      <c r="B2539" s="473" t="s">
        <v>12196</v>
      </c>
      <c r="C2539" s="473" t="s">
        <v>40</v>
      </c>
      <c r="D2539" s="473" t="s">
        <v>47</v>
      </c>
      <c r="E2539" s="361">
        <v>566.69000000000005</v>
      </c>
    </row>
    <row r="2540" spans="1:5">
      <c r="A2540" s="473">
        <v>3406</v>
      </c>
      <c r="B2540" s="473" t="s">
        <v>12197</v>
      </c>
      <c r="C2540" s="473" t="s">
        <v>40</v>
      </c>
      <c r="D2540" s="473" t="s">
        <v>47</v>
      </c>
      <c r="E2540" s="361">
        <v>19.3</v>
      </c>
    </row>
    <row r="2541" spans="1:5">
      <c r="A2541" s="473">
        <v>3395</v>
      </c>
      <c r="B2541" s="473" t="s">
        <v>12198</v>
      </c>
      <c r="C2541" s="473" t="s">
        <v>40</v>
      </c>
      <c r="D2541" s="473" t="s">
        <v>47</v>
      </c>
      <c r="E2541" s="361">
        <v>81.41</v>
      </c>
    </row>
    <row r="2542" spans="1:5">
      <c r="A2542" s="473">
        <v>3398</v>
      </c>
      <c r="B2542" s="473" t="s">
        <v>12199</v>
      </c>
      <c r="C2542" s="473" t="s">
        <v>40</v>
      </c>
      <c r="D2542" s="473" t="s">
        <v>47</v>
      </c>
      <c r="E2542" s="361">
        <v>3.87</v>
      </c>
    </row>
    <row r="2543" spans="1:5">
      <c r="A2543" s="473">
        <v>34379</v>
      </c>
      <c r="B2543" s="473" t="s">
        <v>12200</v>
      </c>
      <c r="C2543" s="473" t="s">
        <v>40</v>
      </c>
      <c r="D2543" s="473" t="s">
        <v>47</v>
      </c>
      <c r="E2543" s="361">
        <v>231.81</v>
      </c>
    </row>
    <row r="2544" spans="1:5">
      <c r="A2544" s="473">
        <v>34378</v>
      </c>
      <c r="B2544" s="473" t="s">
        <v>12201</v>
      </c>
      <c r="C2544" s="473" t="s">
        <v>40</v>
      </c>
      <c r="D2544" s="473" t="s">
        <v>47</v>
      </c>
      <c r="E2544" s="361">
        <v>186.71</v>
      </c>
    </row>
    <row r="2545" spans="1:5">
      <c r="A2545" s="473">
        <v>34377</v>
      </c>
      <c r="B2545" s="473" t="s">
        <v>12202</v>
      </c>
      <c r="C2545" s="473" t="s">
        <v>40</v>
      </c>
      <c r="D2545" s="473" t="s">
        <v>47</v>
      </c>
      <c r="E2545" s="361">
        <v>172.19</v>
      </c>
    </row>
    <row r="2546" spans="1:5">
      <c r="A2546" s="473">
        <v>581</v>
      </c>
      <c r="B2546" s="473" t="s">
        <v>12203</v>
      </c>
      <c r="C2546" s="473" t="s">
        <v>46</v>
      </c>
      <c r="D2546" s="473" t="s">
        <v>47</v>
      </c>
      <c r="E2546" s="361">
        <v>327.04000000000002</v>
      </c>
    </row>
    <row r="2547" spans="1:5">
      <c r="A2547" s="473">
        <v>40662</v>
      </c>
      <c r="B2547" s="473" t="s">
        <v>12204</v>
      </c>
      <c r="C2547" s="473" t="s">
        <v>40</v>
      </c>
      <c r="D2547" s="473" t="s">
        <v>47</v>
      </c>
      <c r="E2547" s="361">
        <v>197.28</v>
      </c>
    </row>
    <row r="2548" spans="1:5">
      <c r="A2548" s="473">
        <v>3437</v>
      </c>
      <c r="B2548" s="473" t="s">
        <v>12205</v>
      </c>
      <c r="C2548" s="473" t="s">
        <v>46</v>
      </c>
      <c r="D2548" s="473" t="s">
        <v>47</v>
      </c>
      <c r="E2548" s="361">
        <v>548.01</v>
      </c>
    </row>
    <row r="2549" spans="1:5">
      <c r="A2549" s="473">
        <v>11183</v>
      </c>
      <c r="B2549" s="473" t="s">
        <v>12206</v>
      </c>
      <c r="C2549" s="473" t="s">
        <v>40</v>
      </c>
      <c r="D2549" s="473" t="s">
        <v>47</v>
      </c>
      <c r="E2549" s="361">
        <v>342.75</v>
      </c>
    </row>
    <row r="2550" spans="1:5">
      <c r="A2550" s="473">
        <v>11190</v>
      </c>
      <c r="B2550" s="473" t="s">
        <v>12207</v>
      </c>
      <c r="C2550" s="473" t="s">
        <v>40</v>
      </c>
      <c r="D2550" s="473" t="s">
        <v>47</v>
      </c>
      <c r="E2550" s="361">
        <v>159</v>
      </c>
    </row>
    <row r="2551" spans="1:5">
      <c r="A2551" s="473">
        <v>616</v>
      </c>
      <c r="B2551" s="473" t="s">
        <v>12208</v>
      </c>
      <c r="C2551" s="473" t="s">
        <v>40</v>
      </c>
      <c r="D2551" s="473" t="s">
        <v>47</v>
      </c>
      <c r="E2551" s="361">
        <v>186.99</v>
      </c>
    </row>
    <row r="2552" spans="1:5">
      <c r="A2552" s="473">
        <v>615</v>
      </c>
      <c r="B2552" s="473" t="s">
        <v>12208</v>
      </c>
      <c r="C2552" s="473" t="s">
        <v>46</v>
      </c>
      <c r="D2552" s="473" t="s">
        <v>47</v>
      </c>
      <c r="E2552" s="361">
        <v>389.57</v>
      </c>
    </row>
    <row r="2553" spans="1:5">
      <c r="A2553" s="473">
        <v>11192</v>
      </c>
      <c r="B2553" s="473" t="s">
        <v>12209</v>
      </c>
      <c r="C2553" s="473" t="s">
        <v>40</v>
      </c>
      <c r="D2553" s="473" t="s">
        <v>47</v>
      </c>
      <c r="E2553" s="361">
        <v>292.55</v>
      </c>
    </row>
    <row r="2554" spans="1:5">
      <c r="A2554" s="473">
        <v>11231</v>
      </c>
      <c r="B2554" s="473" t="s">
        <v>12209</v>
      </c>
      <c r="C2554" s="473" t="s">
        <v>46</v>
      </c>
      <c r="D2554" s="473" t="s">
        <v>47</v>
      </c>
      <c r="E2554" s="361">
        <v>457.11</v>
      </c>
    </row>
    <row r="2555" spans="1:5">
      <c r="A2555" s="473">
        <v>3428</v>
      </c>
      <c r="B2555" s="473" t="s">
        <v>12210</v>
      </c>
      <c r="C2555" s="473" t="s">
        <v>46</v>
      </c>
      <c r="D2555" s="473" t="s">
        <v>47</v>
      </c>
      <c r="E2555" s="361">
        <v>812.89</v>
      </c>
    </row>
    <row r="2556" spans="1:5">
      <c r="A2556" s="473">
        <v>3429</v>
      </c>
      <c r="B2556" s="473" t="s">
        <v>12211</v>
      </c>
      <c r="C2556" s="473" t="s">
        <v>46</v>
      </c>
      <c r="D2556" s="473" t="s">
        <v>47</v>
      </c>
      <c r="E2556" s="361">
        <v>464.44</v>
      </c>
    </row>
    <row r="2557" spans="1:5">
      <c r="A2557" s="473">
        <v>34371</v>
      </c>
      <c r="B2557" s="473" t="s">
        <v>12212</v>
      </c>
      <c r="C2557" s="473" t="s">
        <v>40</v>
      </c>
      <c r="D2557" s="473" t="s">
        <v>47</v>
      </c>
      <c r="E2557" s="361">
        <v>630.25</v>
      </c>
    </row>
    <row r="2558" spans="1:5">
      <c r="A2558" s="473">
        <v>34370</v>
      </c>
      <c r="B2558" s="473" t="s">
        <v>12213</v>
      </c>
      <c r="C2558" s="473" t="s">
        <v>40</v>
      </c>
      <c r="D2558" s="473" t="s">
        <v>47</v>
      </c>
      <c r="E2558" s="361">
        <v>522.66999999999996</v>
      </c>
    </row>
    <row r="2559" spans="1:5">
      <c r="A2559" s="473">
        <v>34372</v>
      </c>
      <c r="B2559" s="473" t="s">
        <v>12214</v>
      </c>
      <c r="C2559" s="473" t="s">
        <v>40</v>
      </c>
      <c r="D2559" s="473" t="s">
        <v>47</v>
      </c>
      <c r="E2559" s="361">
        <v>727.11</v>
      </c>
    </row>
    <row r="2560" spans="1:5">
      <c r="A2560" s="473">
        <v>34373</v>
      </c>
      <c r="B2560" s="473" t="s">
        <v>12215</v>
      </c>
      <c r="C2560" s="473" t="s">
        <v>40</v>
      </c>
      <c r="D2560" s="473" t="s">
        <v>47</v>
      </c>
      <c r="E2560" s="361">
        <v>900.05</v>
      </c>
    </row>
    <row r="2561" spans="1:5">
      <c r="A2561" s="473">
        <v>36896</v>
      </c>
      <c r="B2561" s="473" t="s">
        <v>12216</v>
      </c>
      <c r="C2561" s="473" t="s">
        <v>40</v>
      </c>
      <c r="D2561" s="473" t="s">
        <v>47</v>
      </c>
      <c r="E2561" s="361">
        <v>299.89999999999998</v>
      </c>
    </row>
    <row r="2562" spans="1:5">
      <c r="A2562" s="473">
        <v>34367</v>
      </c>
      <c r="B2562" s="473" t="s">
        <v>12217</v>
      </c>
      <c r="C2562" s="473" t="s">
        <v>40</v>
      </c>
      <c r="D2562" s="473" t="s">
        <v>47</v>
      </c>
      <c r="E2562" s="361">
        <v>352.27</v>
      </c>
    </row>
    <row r="2563" spans="1:5">
      <c r="A2563" s="473">
        <v>36897</v>
      </c>
      <c r="B2563" s="473" t="s">
        <v>12218</v>
      </c>
      <c r="C2563" s="473" t="s">
        <v>40</v>
      </c>
      <c r="D2563" s="473" t="s">
        <v>47</v>
      </c>
      <c r="E2563" s="361">
        <v>415.41</v>
      </c>
    </row>
    <row r="2564" spans="1:5">
      <c r="A2564" s="473">
        <v>36884</v>
      </c>
      <c r="B2564" s="473" t="s">
        <v>12218</v>
      </c>
      <c r="C2564" s="473" t="s">
        <v>46</v>
      </c>
      <c r="D2564" s="473" t="s">
        <v>47</v>
      </c>
      <c r="E2564" s="361">
        <v>291.76</v>
      </c>
    </row>
    <row r="2565" spans="1:5">
      <c r="A2565" s="473">
        <v>597</v>
      </c>
      <c r="B2565" s="473" t="s">
        <v>12219</v>
      </c>
      <c r="C2565" s="473" t="s">
        <v>46</v>
      </c>
      <c r="D2565" s="473" t="s">
        <v>47</v>
      </c>
      <c r="E2565" s="361">
        <v>306.83</v>
      </c>
    </row>
    <row r="2566" spans="1:5">
      <c r="A2566" s="473">
        <v>34369</v>
      </c>
      <c r="B2566" s="473" t="s">
        <v>12220</v>
      </c>
      <c r="C2566" s="473" t="s">
        <v>40</v>
      </c>
      <c r="D2566" s="473" t="s">
        <v>47</v>
      </c>
      <c r="E2566" s="361">
        <v>492.18</v>
      </c>
    </row>
    <row r="2567" spans="1:5">
      <c r="A2567" s="473">
        <v>34362</v>
      </c>
      <c r="B2567" s="473" t="s">
        <v>12221</v>
      </c>
      <c r="C2567" s="473" t="s">
        <v>40</v>
      </c>
      <c r="D2567" s="473" t="s">
        <v>47</v>
      </c>
      <c r="E2567" s="361">
        <v>341.51</v>
      </c>
    </row>
    <row r="2568" spans="1:5">
      <c r="A2568" s="473">
        <v>34363</v>
      </c>
      <c r="B2568" s="473" t="s">
        <v>12222</v>
      </c>
      <c r="C2568" s="473" t="s">
        <v>40</v>
      </c>
      <c r="D2568" s="473" t="s">
        <v>47</v>
      </c>
      <c r="E2568" s="361">
        <v>385.99</v>
      </c>
    </row>
    <row r="2569" spans="1:5">
      <c r="A2569" s="473">
        <v>34364</v>
      </c>
      <c r="B2569" s="473" t="s">
        <v>12223</v>
      </c>
      <c r="C2569" s="473" t="s">
        <v>40</v>
      </c>
      <c r="D2569" s="473" t="s">
        <v>47</v>
      </c>
      <c r="E2569" s="361">
        <v>481.41</v>
      </c>
    </row>
    <row r="2570" spans="1:5">
      <c r="A2570" s="473">
        <v>34365</v>
      </c>
      <c r="B2570" s="473" t="s">
        <v>12224</v>
      </c>
      <c r="C2570" s="473" t="s">
        <v>40</v>
      </c>
      <c r="D2570" s="473" t="s">
        <v>47</v>
      </c>
      <c r="E2570" s="361">
        <v>542.4</v>
      </c>
    </row>
    <row r="2571" spans="1:5">
      <c r="A2571" s="473">
        <v>11199</v>
      </c>
      <c r="B2571" s="473" t="s">
        <v>12225</v>
      </c>
      <c r="C2571" s="473" t="s">
        <v>40</v>
      </c>
      <c r="D2571" s="473" t="s">
        <v>47</v>
      </c>
      <c r="E2571" s="361">
        <v>878.13</v>
      </c>
    </row>
    <row r="2572" spans="1:5">
      <c r="A2572" s="473">
        <v>34801</v>
      </c>
      <c r="B2572" s="473" t="s">
        <v>12226</v>
      </c>
      <c r="C2572" s="473" t="s">
        <v>40</v>
      </c>
      <c r="D2572" s="473" t="s">
        <v>47</v>
      </c>
      <c r="E2572" s="361">
        <v>1101.55</v>
      </c>
    </row>
    <row r="2573" spans="1:5">
      <c r="A2573" s="473">
        <v>34799</v>
      </c>
      <c r="B2573" s="473" t="s">
        <v>12227</v>
      </c>
      <c r="C2573" s="473" t="s">
        <v>40</v>
      </c>
      <c r="D2573" s="473" t="s">
        <v>47</v>
      </c>
      <c r="E2573" s="361">
        <v>1358.44</v>
      </c>
    </row>
    <row r="2574" spans="1:5">
      <c r="A2574" s="473">
        <v>622</v>
      </c>
      <c r="B2574" s="473" t="s">
        <v>12228</v>
      </c>
      <c r="C2574" s="473" t="s">
        <v>40</v>
      </c>
      <c r="D2574" s="473" t="s">
        <v>47</v>
      </c>
      <c r="E2574" s="361">
        <v>611.57000000000005</v>
      </c>
    </row>
    <row r="2575" spans="1:5">
      <c r="A2575" s="473">
        <v>34805</v>
      </c>
      <c r="B2575" s="473" t="s">
        <v>12229</v>
      </c>
      <c r="C2575" s="473" t="s">
        <v>46</v>
      </c>
      <c r="D2575" s="473" t="s">
        <v>47</v>
      </c>
      <c r="E2575" s="361">
        <v>457.72</v>
      </c>
    </row>
    <row r="2576" spans="1:5">
      <c r="A2576" s="473">
        <v>34803</v>
      </c>
      <c r="B2576" s="473" t="s">
        <v>12230</v>
      </c>
      <c r="C2576" s="473" t="s">
        <v>40</v>
      </c>
      <c r="D2576" s="473" t="s">
        <v>47</v>
      </c>
      <c r="E2576" s="361">
        <v>553.48</v>
      </c>
    </row>
    <row r="2577" spans="1:5">
      <c r="A2577" s="473">
        <v>606</v>
      </c>
      <c r="B2577" s="473" t="s">
        <v>12231</v>
      </c>
      <c r="C2577" s="473" t="s">
        <v>46</v>
      </c>
      <c r="D2577" s="473" t="s">
        <v>47</v>
      </c>
      <c r="E2577" s="361">
        <v>611.97</v>
      </c>
    </row>
    <row r="2578" spans="1:5">
      <c r="A2578" s="473">
        <v>11227</v>
      </c>
      <c r="B2578" s="473" t="s">
        <v>12232</v>
      </c>
      <c r="C2578" s="473" t="s">
        <v>40</v>
      </c>
      <c r="D2578" s="473" t="s">
        <v>47</v>
      </c>
      <c r="E2578" s="361">
        <v>648.16999999999996</v>
      </c>
    </row>
    <row r="2579" spans="1:5">
      <c r="A2579" s="473">
        <v>11193</v>
      </c>
      <c r="B2579" s="473" t="s">
        <v>12233</v>
      </c>
      <c r="C2579" s="473" t="s">
        <v>46</v>
      </c>
      <c r="D2579" s="473" t="s">
        <v>47</v>
      </c>
      <c r="E2579" s="361">
        <v>620.48</v>
      </c>
    </row>
    <row r="2580" spans="1:5">
      <c r="A2580" s="473">
        <v>11194</v>
      </c>
      <c r="B2580" s="473" t="s">
        <v>12234</v>
      </c>
      <c r="C2580" s="473" t="s">
        <v>46</v>
      </c>
      <c r="D2580" s="473" t="s">
        <v>47</v>
      </c>
      <c r="E2580" s="361">
        <v>558.66999999999996</v>
      </c>
    </row>
    <row r="2581" spans="1:5">
      <c r="A2581" s="473">
        <v>605</v>
      </c>
      <c r="B2581" s="473" t="s">
        <v>12235</v>
      </c>
      <c r="C2581" s="473" t="s">
        <v>46</v>
      </c>
      <c r="D2581" s="473" t="s">
        <v>47</v>
      </c>
      <c r="E2581" s="361">
        <v>701.63</v>
      </c>
    </row>
    <row r="2582" spans="1:5">
      <c r="A2582" s="473">
        <v>11197</v>
      </c>
      <c r="B2582" s="473" t="s">
        <v>12236</v>
      </c>
      <c r="C2582" s="473" t="s">
        <v>40</v>
      </c>
      <c r="D2582" s="473" t="s">
        <v>47</v>
      </c>
      <c r="E2582" s="361">
        <v>849.75</v>
      </c>
    </row>
    <row r="2583" spans="1:5">
      <c r="A2583" s="473">
        <v>40659</v>
      </c>
      <c r="B2583" s="473" t="s">
        <v>12237</v>
      </c>
      <c r="C2583" s="473" t="s">
        <v>46</v>
      </c>
      <c r="D2583" s="473" t="s">
        <v>47</v>
      </c>
      <c r="E2583" s="361">
        <v>775.36</v>
      </c>
    </row>
    <row r="2584" spans="1:5">
      <c r="A2584" s="473">
        <v>40660</v>
      </c>
      <c r="B2584" s="473" t="s">
        <v>12238</v>
      </c>
      <c r="C2584" s="473" t="s">
        <v>46</v>
      </c>
      <c r="D2584" s="473" t="s">
        <v>47</v>
      </c>
      <c r="E2584" s="361">
        <v>982.68</v>
      </c>
    </row>
    <row r="2585" spans="1:5">
      <c r="A2585" s="473">
        <v>40661</v>
      </c>
      <c r="B2585" s="473" t="s">
        <v>12239</v>
      </c>
      <c r="C2585" s="473" t="s">
        <v>46</v>
      </c>
      <c r="D2585" s="473" t="s">
        <v>47</v>
      </c>
      <c r="E2585" s="361">
        <v>604.17999999999995</v>
      </c>
    </row>
    <row r="2586" spans="1:5">
      <c r="A2586" s="473">
        <v>3421</v>
      </c>
      <c r="B2586" s="473" t="s">
        <v>12240</v>
      </c>
      <c r="C2586" s="473" t="s">
        <v>46</v>
      </c>
      <c r="D2586" s="473" t="s">
        <v>47</v>
      </c>
      <c r="E2586" s="361">
        <v>608.79999999999995</v>
      </c>
    </row>
    <row r="2587" spans="1:5">
      <c r="A2587" s="473">
        <v>599</v>
      </c>
      <c r="B2587" s="473" t="s">
        <v>12241</v>
      </c>
      <c r="C2587" s="473" t="s">
        <v>46</v>
      </c>
      <c r="D2587" s="473" t="s">
        <v>47</v>
      </c>
      <c r="E2587" s="361">
        <v>260.08</v>
      </c>
    </row>
    <row r="2588" spans="1:5">
      <c r="A2588" s="473">
        <v>34380</v>
      </c>
      <c r="B2588" s="473" t="s">
        <v>12242</v>
      </c>
      <c r="C2588" s="473" t="s">
        <v>40</v>
      </c>
      <c r="D2588" s="473" t="s">
        <v>47</v>
      </c>
      <c r="E2588" s="361">
        <v>134.88</v>
      </c>
    </row>
    <row r="2589" spans="1:5">
      <c r="A2589" s="473">
        <v>34381</v>
      </c>
      <c r="B2589" s="473" t="s">
        <v>12243</v>
      </c>
      <c r="C2589" s="473" t="s">
        <v>40</v>
      </c>
      <c r="D2589" s="473" t="s">
        <v>47</v>
      </c>
      <c r="E2589" s="361">
        <v>175.77</v>
      </c>
    </row>
    <row r="2590" spans="1:5">
      <c r="A2590" s="473">
        <v>601</v>
      </c>
      <c r="B2590" s="473" t="s">
        <v>12243</v>
      </c>
      <c r="C2590" s="473" t="s">
        <v>46</v>
      </c>
      <c r="D2590" s="473" t="s">
        <v>47</v>
      </c>
      <c r="E2590" s="361">
        <v>350.84</v>
      </c>
    </row>
    <row r="2591" spans="1:5">
      <c r="A2591" s="473">
        <v>3423</v>
      </c>
      <c r="B2591" s="473" t="s">
        <v>12244</v>
      </c>
      <c r="C2591" s="473" t="s">
        <v>46</v>
      </c>
      <c r="D2591" s="473" t="s">
        <v>47</v>
      </c>
      <c r="E2591" s="361">
        <v>858.56</v>
      </c>
    </row>
    <row r="2592" spans="1:5">
      <c r="A2592" s="473">
        <v>34797</v>
      </c>
      <c r="B2592" s="473" t="s">
        <v>12245</v>
      </c>
      <c r="C2592" s="473" t="s">
        <v>40</v>
      </c>
      <c r="D2592" s="473" t="s">
        <v>47</v>
      </c>
      <c r="E2592" s="361">
        <v>346.33</v>
      </c>
    </row>
    <row r="2593" spans="1:5">
      <c r="A2593" s="473">
        <v>624</v>
      </c>
      <c r="B2593" s="473" t="s">
        <v>12246</v>
      </c>
      <c r="C2593" s="473" t="s">
        <v>46</v>
      </c>
      <c r="D2593" s="473" t="s">
        <v>47</v>
      </c>
      <c r="E2593" s="361">
        <v>721.52</v>
      </c>
    </row>
    <row r="2594" spans="1:5">
      <c r="A2594" s="473">
        <v>623</v>
      </c>
      <c r="B2594" s="473" t="s">
        <v>12247</v>
      </c>
      <c r="C2594" s="473" t="s">
        <v>46</v>
      </c>
      <c r="D2594" s="473" t="s">
        <v>47</v>
      </c>
      <c r="E2594" s="361">
        <v>270.93</v>
      </c>
    </row>
    <row r="2595" spans="1:5">
      <c r="A2595" s="473">
        <v>25964</v>
      </c>
      <c r="B2595" s="473" t="s">
        <v>12248</v>
      </c>
      <c r="C2595" s="473" t="s">
        <v>43</v>
      </c>
      <c r="D2595" s="473" t="s">
        <v>41</v>
      </c>
      <c r="E2595" s="361">
        <v>13.1</v>
      </c>
    </row>
    <row r="2596" spans="1:5">
      <c r="A2596" s="473">
        <v>41077</v>
      </c>
      <c r="B2596" s="473" t="s">
        <v>12249</v>
      </c>
      <c r="C2596" s="473" t="s">
        <v>53</v>
      </c>
      <c r="D2596" s="473" t="s">
        <v>41</v>
      </c>
      <c r="E2596" s="361">
        <v>2336.46</v>
      </c>
    </row>
    <row r="2597" spans="1:5">
      <c r="A2597" s="473">
        <v>20159</v>
      </c>
      <c r="B2597" s="473" t="s">
        <v>12250</v>
      </c>
      <c r="C2597" s="473" t="s">
        <v>40</v>
      </c>
      <c r="D2597" s="473" t="s">
        <v>41</v>
      </c>
      <c r="E2597" s="361">
        <v>31.9</v>
      </c>
    </row>
    <row r="2598" spans="1:5">
      <c r="A2598" s="473">
        <v>37963</v>
      </c>
      <c r="B2598" s="473" t="s">
        <v>12251</v>
      </c>
      <c r="C2598" s="473" t="s">
        <v>40</v>
      </c>
      <c r="D2598" s="473" t="s">
        <v>41</v>
      </c>
      <c r="E2598" s="361">
        <v>1.88</v>
      </c>
    </row>
    <row r="2599" spans="1:5">
      <c r="A2599" s="473">
        <v>37964</v>
      </c>
      <c r="B2599" s="473" t="s">
        <v>12252</v>
      </c>
      <c r="C2599" s="473" t="s">
        <v>40</v>
      </c>
      <c r="D2599" s="473" t="s">
        <v>41</v>
      </c>
      <c r="E2599" s="361">
        <v>3.13</v>
      </c>
    </row>
    <row r="2600" spans="1:5">
      <c r="A2600" s="473">
        <v>37965</v>
      </c>
      <c r="B2600" s="473" t="s">
        <v>12253</v>
      </c>
      <c r="C2600" s="473" t="s">
        <v>40</v>
      </c>
      <c r="D2600" s="473" t="s">
        <v>41</v>
      </c>
      <c r="E2600" s="361">
        <v>4.54</v>
      </c>
    </row>
    <row r="2601" spans="1:5">
      <c r="A2601" s="473">
        <v>37966</v>
      </c>
      <c r="B2601" s="473" t="s">
        <v>12254</v>
      </c>
      <c r="C2601" s="473" t="s">
        <v>40</v>
      </c>
      <c r="D2601" s="473" t="s">
        <v>41</v>
      </c>
      <c r="E2601" s="361">
        <v>8.2200000000000006</v>
      </c>
    </row>
    <row r="2602" spans="1:5">
      <c r="A2602" s="473">
        <v>37967</v>
      </c>
      <c r="B2602" s="473" t="s">
        <v>12255</v>
      </c>
      <c r="C2602" s="473" t="s">
        <v>40</v>
      </c>
      <c r="D2602" s="473" t="s">
        <v>41</v>
      </c>
      <c r="E2602" s="361">
        <v>13.18</v>
      </c>
    </row>
    <row r="2603" spans="1:5">
      <c r="A2603" s="473">
        <v>37968</v>
      </c>
      <c r="B2603" s="473" t="s">
        <v>12256</v>
      </c>
      <c r="C2603" s="473" t="s">
        <v>40</v>
      </c>
      <c r="D2603" s="473" t="s">
        <v>41</v>
      </c>
      <c r="E2603" s="361">
        <v>28.92</v>
      </c>
    </row>
    <row r="2604" spans="1:5">
      <c r="A2604" s="473">
        <v>37969</v>
      </c>
      <c r="B2604" s="473" t="s">
        <v>12257</v>
      </c>
      <c r="C2604" s="473" t="s">
        <v>40</v>
      </c>
      <c r="D2604" s="473" t="s">
        <v>41</v>
      </c>
      <c r="E2604" s="361">
        <v>77.260000000000005</v>
      </c>
    </row>
    <row r="2605" spans="1:5">
      <c r="A2605" s="473">
        <v>37970</v>
      </c>
      <c r="B2605" s="473" t="s">
        <v>12258</v>
      </c>
      <c r="C2605" s="473" t="s">
        <v>40</v>
      </c>
      <c r="D2605" s="473" t="s">
        <v>41</v>
      </c>
      <c r="E2605" s="361">
        <v>90.13</v>
      </c>
    </row>
    <row r="2606" spans="1:5">
      <c r="A2606" s="473">
        <v>21118</v>
      </c>
      <c r="B2606" s="473" t="s">
        <v>12259</v>
      </c>
      <c r="C2606" s="473" t="s">
        <v>40</v>
      </c>
      <c r="D2606" s="473" t="s">
        <v>44</v>
      </c>
      <c r="E2606" s="361">
        <v>1.42</v>
      </c>
    </row>
    <row r="2607" spans="1:5">
      <c r="A2607" s="473">
        <v>37956</v>
      </c>
      <c r="B2607" s="473" t="s">
        <v>12260</v>
      </c>
      <c r="C2607" s="473" t="s">
        <v>40</v>
      </c>
      <c r="D2607" s="473" t="s">
        <v>41</v>
      </c>
      <c r="E2607" s="361">
        <v>2.25</v>
      </c>
    </row>
    <row r="2608" spans="1:5">
      <c r="A2608" s="473">
        <v>37957</v>
      </c>
      <c r="B2608" s="473" t="s">
        <v>12261</v>
      </c>
      <c r="C2608" s="473" t="s">
        <v>40</v>
      </c>
      <c r="D2608" s="473" t="s">
        <v>41</v>
      </c>
      <c r="E2608" s="361">
        <v>4.74</v>
      </c>
    </row>
    <row r="2609" spans="1:5">
      <c r="A2609" s="473">
        <v>37958</v>
      </c>
      <c r="B2609" s="473" t="s">
        <v>12262</v>
      </c>
      <c r="C2609" s="473" t="s">
        <v>40</v>
      </c>
      <c r="D2609" s="473" t="s">
        <v>41</v>
      </c>
      <c r="E2609" s="361">
        <v>8.2200000000000006</v>
      </c>
    </row>
    <row r="2610" spans="1:5">
      <c r="A2610" s="473">
        <v>37959</v>
      </c>
      <c r="B2610" s="473" t="s">
        <v>12263</v>
      </c>
      <c r="C2610" s="473" t="s">
        <v>40</v>
      </c>
      <c r="D2610" s="473" t="s">
        <v>41</v>
      </c>
      <c r="E2610" s="361">
        <v>13.18</v>
      </c>
    </row>
    <row r="2611" spans="1:5">
      <c r="A2611" s="473">
        <v>37960</v>
      </c>
      <c r="B2611" s="473" t="s">
        <v>12264</v>
      </c>
      <c r="C2611" s="473" t="s">
        <v>40</v>
      </c>
      <c r="D2611" s="473" t="s">
        <v>41</v>
      </c>
      <c r="E2611" s="361">
        <v>28.4</v>
      </c>
    </row>
    <row r="2612" spans="1:5">
      <c r="A2612" s="473">
        <v>37961</v>
      </c>
      <c r="B2612" s="473" t="s">
        <v>12265</v>
      </c>
      <c r="C2612" s="473" t="s">
        <v>40</v>
      </c>
      <c r="D2612" s="473" t="s">
        <v>41</v>
      </c>
      <c r="E2612" s="361">
        <v>75.34</v>
      </c>
    </row>
    <row r="2613" spans="1:5">
      <c r="A2613" s="473">
        <v>37962</v>
      </c>
      <c r="B2613" s="473" t="s">
        <v>12266</v>
      </c>
      <c r="C2613" s="473" t="s">
        <v>40</v>
      </c>
      <c r="D2613" s="473" t="s">
        <v>41</v>
      </c>
      <c r="E2613" s="361">
        <v>87.55</v>
      </c>
    </row>
    <row r="2614" spans="1:5">
      <c r="A2614" s="473">
        <v>3533</v>
      </c>
      <c r="B2614" s="473" t="s">
        <v>12267</v>
      </c>
      <c r="C2614" s="473" t="s">
        <v>40</v>
      </c>
      <c r="D2614" s="473" t="s">
        <v>41</v>
      </c>
      <c r="E2614" s="361">
        <v>1.58</v>
      </c>
    </row>
    <row r="2615" spans="1:5">
      <c r="A2615" s="473">
        <v>3538</v>
      </c>
      <c r="B2615" s="473" t="s">
        <v>12268</v>
      </c>
      <c r="C2615" s="473" t="s">
        <v>40</v>
      </c>
      <c r="D2615" s="473" t="s">
        <v>41</v>
      </c>
      <c r="E2615" s="361">
        <v>2.73</v>
      </c>
    </row>
    <row r="2616" spans="1:5">
      <c r="A2616" s="473">
        <v>3497</v>
      </c>
      <c r="B2616" s="473" t="s">
        <v>12269</v>
      </c>
      <c r="C2616" s="473" t="s">
        <v>40</v>
      </c>
      <c r="D2616" s="473" t="s">
        <v>41</v>
      </c>
      <c r="E2616" s="361">
        <v>10.199999999999999</v>
      </c>
    </row>
    <row r="2617" spans="1:5">
      <c r="A2617" s="473">
        <v>3498</v>
      </c>
      <c r="B2617" s="473" t="s">
        <v>12270</v>
      </c>
      <c r="C2617" s="473" t="s">
        <v>40</v>
      </c>
      <c r="D2617" s="473" t="s">
        <v>41</v>
      </c>
      <c r="E2617" s="361">
        <v>3.24</v>
      </c>
    </row>
    <row r="2618" spans="1:5">
      <c r="A2618" s="473">
        <v>3496</v>
      </c>
      <c r="B2618" s="473" t="s">
        <v>12271</v>
      </c>
      <c r="C2618" s="473" t="s">
        <v>40</v>
      </c>
      <c r="D2618" s="473" t="s">
        <v>41</v>
      </c>
      <c r="E2618" s="361">
        <v>2.61</v>
      </c>
    </row>
    <row r="2619" spans="1:5">
      <c r="A2619" s="473">
        <v>38429</v>
      </c>
      <c r="B2619" s="473" t="s">
        <v>12272</v>
      </c>
      <c r="C2619" s="473" t="s">
        <v>40</v>
      </c>
      <c r="D2619" s="473" t="s">
        <v>41</v>
      </c>
      <c r="E2619" s="361">
        <v>4.79</v>
      </c>
    </row>
    <row r="2620" spans="1:5">
      <c r="A2620" s="473">
        <v>38431</v>
      </c>
      <c r="B2620" s="473" t="s">
        <v>12273</v>
      </c>
      <c r="C2620" s="473" t="s">
        <v>40</v>
      </c>
      <c r="D2620" s="473" t="s">
        <v>41</v>
      </c>
      <c r="E2620" s="361">
        <v>7.59</v>
      </c>
    </row>
    <row r="2621" spans="1:5">
      <c r="A2621" s="473">
        <v>38430</v>
      </c>
      <c r="B2621" s="473" t="s">
        <v>12274</v>
      </c>
      <c r="C2621" s="473" t="s">
        <v>40</v>
      </c>
      <c r="D2621" s="473" t="s">
        <v>41</v>
      </c>
      <c r="E2621" s="361">
        <v>9.6999999999999993</v>
      </c>
    </row>
    <row r="2622" spans="1:5">
      <c r="A2622" s="473">
        <v>36348</v>
      </c>
      <c r="B2622" s="473" t="s">
        <v>12275</v>
      </c>
      <c r="C2622" s="473" t="s">
        <v>40</v>
      </c>
      <c r="D2622" s="473" t="s">
        <v>47</v>
      </c>
      <c r="E2622" s="361">
        <v>1.02</v>
      </c>
    </row>
    <row r="2623" spans="1:5">
      <c r="A2623" s="473">
        <v>36349</v>
      </c>
      <c r="B2623" s="473" t="s">
        <v>12276</v>
      </c>
      <c r="C2623" s="473" t="s">
        <v>40</v>
      </c>
      <c r="D2623" s="473" t="s">
        <v>47</v>
      </c>
      <c r="E2623" s="361">
        <v>1.53</v>
      </c>
    </row>
    <row r="2624" spans="1:5">
      <c r="A2624" s="473">
        <v>38433</v>
      </c>
      <c r="B2624" s="473" t="s">
        <v>12277</v>
      </c>
      <c r="C2624" s="473" t="s">
        <v>40</v>
      </c>
      <c r="D2624" s="473" t="s">
        <v>47</v>
      </c>
      <c r="E2624" s="361">
        <v>2.83</v>
      </c>
    </row>
    <row r="2625" spans="1:5">
      <c r="A2625" s="473">
        <v>38440</v>
      </c>
      <c r="B2625" s="473" t="s">
        <v>12278</v>
      </c>
      <c r="C2625" s="473" t="s">
        <v>40</v>
      </c>
      <c r="D2625" s="473" t="s">
        <v>47</v>
      </c>
      <c r="E2625" s="361">
        <v>97.69</v>
      </c>
    </row>
    <row r="2626" spans="1:5">
      <c r="A2626" s="473">
        <v>36359</v>
      </c>
      <c r="B2626" s="473" t="s">
        <v>12279</v>
      </c>
      <c r="C2626" s="473" t="s">
        <v>40</v>
      </c>
      <c r="D2626" s="473" t="s">
        <v>47</v>
      </c>
      <c r="E2626" s="361">
        <v>1.21</v>
      </c>
    </row>
    <row r="2627" spans="1:5">
      <c r="A2627" s="473">
        <v>36360</v>
      </c>
      <c r="B2627" s="473" t="s">
        <v>12280</v>
      </c>
      <c r="C2627" s="473" t="s">
        <v>40</v>
      </c>
      <c r="D2627" s="473" t="s">
        <v>47</v>
      </c>
      <c r="E2627" s="361">
        <v>1.87</v>
      </c>
    </row>
    <row r="2628" spans="1:5">
      <c r="A2628" s="473">
        <v>38434</v>
      </c>
      <c r="B2628" s="473" t="s">
        <v>12281</v>
      </c>
      <c r="C2628" s="473" t="s">
        <v>40</v>
      </c>
      <c r="D2628" s="473" t="s">
        <v>47</v>
      </c>
      <c r="E2628" s="361">
        <v>2.87</v>
      </c>
    </row>
    <row r="2629" spans="1:5">
      <c r="A2629" s="473">
        <v>38435</v>
      </c>
      <c r="B2629" s="473" t="s">
        <v>12282</v>
      </c>
      <c r="C2629" s="473" t="s">
        <v>40</v>
      </c>
      <c r="D2629" s="473" t="s">
        <v>47</v>
      </c>
      <c r="E2629" s="361">
        <v>5.44</v>
      </c>
    </row>
    <row r="2630" spans="1:5">
      <c r="A2630" s="473">
        <v>38436</v>
      </c>
      <c r="B2630" s="473" t="s">
        <v>12283</v>
      </c>
      <c r="C2630" s="473" t="s">
        <v>40</v>
      </c>
      <c r="D2630" s="473" t="s">
        <v>47</v>
      </c>
      <c r="E2630" s="361">
        <v>11.26</v>
      </c>
    </row>
    <row r="2631" spans="1:5">
      <c r="A2631" s="473">
        <v>38437</v>
      </c>
      <c r="B2631" s="473" t="s">
        <v>12284</v>
      </c>
      <c r="C2631" s="473" t="s">
        <v>40</v>
      </c>
      <c r="D2631" s="473" t="s">
        <v>47</v>
      </c>
      <c r="E2631" s="361">
        <v>16.91</v>
      </c>
    </row>
    <row r="2632" spans="1:5">
      <c r="A2632" s="473">
        <v>38438</v>
      </c>
      <c r="B2632" s="473" t="s">
        <v>12285</v>
      </c>
      <c r="C2632" s="473" t="s">
        <v>40</v>
      </c>
      <c r="D2632" s="473" t="s">
        <v>47</v>
      </c>
      <c r="E2632" s="361">
        <v>42.73</v>
      </c>
    </row>
    <row r="2633" spans="1:5">
      <c r="A2633" s="473">
        <v>38439</v>
      </c>
      <c r="B2633" s="473" t="s">
        <v>12286</v>
      </c>
      <c r="C2633" s="473" t="s">
        <v>40</v>
      </c>
      <c r="D2633" s="473" t="s">
        <v>47</v>
      </c>
      <c r="E2633" s="361">
        <v>65.14</v>
      </c>
    </row>
    <row r="2634" spans="1:5">
      <c r="A2634" s="473">
        <v>10836</v>
      </c>
      <c r="B2634" s="473" t="s">
        <v>12287</v>
      </c>
      <c r="C2634" s="473" t="s">
        <v>40</v>
      </c>
      <c r="D2634" s="473" t="s">
        <v>41</v>
      </c>
      <c r="E2634" s="361">
        <v>11.18</v>
      </c>
    </row>
    <row r="2635" spans="1:5">
      <c r="A2635" s="473">
        <v>20128</v>
      </c>
      <c r="B2635" s="473" t="s">
        <v>12288</v>
      </c>
      <c r="C2635" s="473" t="s">
        <v>40</v>
      </c>
      <c r="D2635" s="473" t="s">
        <v>41</v>
      </c>
      <c r="E2635" s="361">
        <v>32.770000000000003</v>
      </c>
    </row>
    <row r="2636" spans="1:5">
      <c r="A2636" s="473">
        <v>20131</v>
      </c>
      <c r="B2636" s="473" t="s">
        <v>12289</v>
      </c>
      <c r="C2636" s="473" t="s">
        <v>40</v>
      </c>
      <c r="D2636" s="473" t="s">
        <v>41</v>
      </c>
      <c r="E2636" s="361">
        <v>29.91</v>
      </c>
    </row>
    <row r="2637" spans="1:5">
      <c r="A2637" s="473">
        <v>3521</v>
      </c>
      <c r="B2637" s="473" t="s">
        <v>12290</v>
      </c>
      <c r="C2637" s="473" t="s">
        <v>40</v>
      </c>
      <c r="D2637" s="473" t="s">
        <v>41</v>
      </c>
      <c r="E2637" s="361">
        <v>1.37</v>
      </c>
    </row>
    <row r="2638" spans="1:5">
      <c r="A2638" s="473">
        <v>3531</v>
      </c>
      <c r="B2638" s="473" t="s">
        <v>12291</v>
      </c>
      <c r="C2638" s="473" t="s">
        <v>40</v>
      </c>
      <c r="D2638" s="473" t="s">
        <v>41</v>
      </c>
      <c r="E2638" s="361">
        <v>1.56</v>
      </c>
    </row>
    <row r="2639" spans="1:5">
      <c r="A2639" s="473">
        <v>3522</v>
      </c>
      <c r="B2639" s="473" t="s">
        <v>12292</v>
      </c>
      <c r="C2639" s="473" t="s">
        <v>40</v>
      </c>
      <c r="D2639" s="473" t="s">
        <v>41</v>
      </c>
      <c r="E2639" s="361">
        <v>2.31</v>
      </c>
    </row>
    <row r="2640" spans="1:5">
      <c r="A2640" s="473">
        <v>3527</v>
      </c>
      <c r="B2640" s="473" t="s">
        <v>12293</v>
      </c>
      <c r="C2640" s="473" t="s">
        <v>40</v>
      </c>
      <c r="D2640" s="473" t="s">
        <v>41</v>
      </c>
      <c r="E2640" s="361">
        <v>7.96</v>
      </c>
    </row>
    <row r="2641" spans="1:5">
      <c r="A2641" s="473">
        <v>10835</v>
      </c>
      <c r="B2641" s="473" t="s">
        <v>12294</v>
      </c>
      <c r="C2641" s="473" t="s">
        <v>40</v>
      </c>
      <c r="D2641" s="473" t="s">
        <v>41</v>
      </c>
      <c r="E2641" s="361">
        <v>2.34</v>
      </c>
    </row>
    <row r="2642" spans="1:5">
      <c r="A2642" s="473">
        <v>3475</v>
      </c>
      <c r="B2642" s="473" t="s">
        <v>12295</v>
      </c>
      <c r="C2642" s="473" t="s">
        <v>40</v>
      </c>
      <c r="D2642" s="473" t="s">
        <v>41</v>
      </c>
      <c r="E2642" s="361">
        <v>2.67</v>
      </c>
    </row>
    <row r="2643" spans="1:5">
      <c r="A2643" s="473">
        <v>3485</v>
      </c>
      <c r="B2643" s="473" t="s">
        <v>12296</v>
      </c>
      <c r="C2643" s="473" t="s">
        <v>40</v>
      </c>
      <c r="D2643" s="473" t="s">
        <v>41</v>
      </c>
      <c r="E2643" s="361">
        <v>8.5500000000000007</v>
      </c>
    </row>
    <row r="2644" spans="1:5">
      <c r="A2644" s="473">
        <v>3534</v>
      </c>
      <c r="B2644" s="473" t="s">
        <v>12297</v>
      </c>
      <c r="C2644" s="473" t="s">
        <v>40</v>
      </c>
      <c r="D2644" s="473" t="s">
        <v>41</v>
      </c>
      <c r="E2644" s="361">
        <v>3.38</v>
      </c>
    </row>
    <row r="2645" spans="1:5">
      <c r="A2645" s="473">
        <v>3543</v>
      </c>
      <c r="B2645" s="473" t="s">
        <v>12298</v>
      </c>
      <c r="C2645" s="473" t="s">
        <v>40</v>
      </c>
      <c r="D2645" s="473" t="s">
        <v>41</v>
      </c>
      <c r="E2645" s="361">
        <v>1.7</v>
      </c>
    </row>
    <row r="2646" spans="1:5">
      <c r="A2646" s="473">
        <v>3482</v>
      </c>
      <c r="B2646" s="473" t="s">
        <v>12299</v>
      </c>
      <c r="C2646" s="473" t="s">
        <v>40</v>
      </c>
      <c r="D2646" s="473" t="s">
        <v>41</v>
      </c>
      <c r="E2646" s="361">
        <v>4.29</v>
      </c>
    </row>
    <row r="2647" spans="1:5">
      <c r="A2647" s="473">
        <v>3505</v>
      </c>
      <c r="B2647" s="473" t="s">
        <v>12300</v>
      </c>
      <c r="C2647" s="473" t="s">
        <v>40</v>
      </c>
      <c r="D2647" s="473" t="s">
        <v>41</v>
      </c>
      <c r="E2647" s="361">
        <v>2.4300000000000002</v>
      </c>
    </row>
    <row r="2648" spans="1:5">
      <c r="A2648" s="473">
        <v>3516</v>
      </c>
      <c r="B2648" s="473" t="s">
        <v>12301</v>
      </c>
      <c r="C2648" s="473" t="s">
        <v>40</v>
      </c>
      <c r="D2648" s="473" t="s">
        <v>41</v>
      </c>
      <c r="E2648" s="361">
        <v>0.61</v>
      </c>
    </row>
    <row r="2649" spans="1:5">
      <c r="A2649" s="473">
        <v>3517</v>
      </c>
      <c r="B2649" s="473" t="s">
        <v>12302</v>
      </c>
      <c r="C2649" s="473" t="s">
        <v>40</v>
      </c>
      <c r="D2649" s="473" t="s">
        <v>41</v>
      </c>
      <c r="E2649" s="361">
        <v>2.13</v>
      </c>
    </row>
    <row r="2650" spans="1:5">
      <c r="A2650" s="473">
        <v>3515</v>
      </c>
      <c r="B2650" s="473" t="s">
        <v>12303</v>
      </c>
      <c r="C2650" s="473" t="s">
        <v>40</v>
      </c>
      <c r="D2650" s="473" t="s">
        <v>41</v>
      </c>
      <c r="E2650" s="361">
        <v>3.94</v>
      </c>
    </row>
    <row r="2651" spans="1:5">
      <c r="A2651" s="473">
        <v>20147</v>
      </c>
      <c r="B2651" s="473" t="s">
        <v>12304</v>
      </c>
      <c r="C2651" s="473" t="s">
        <v>40</v>
      </c>
      <c r="D2651" s="473" t="s">
        <v>41</v>
      </c>
      <c r="E2651" s="361">
        <v>4.25</v>
      </c>
    </row>
    <row r="2652" spans="1:5">
      <c r="A2652" s="473">
        <v>3524</v>
      </c>
      <c r="B2652" s="473" t="s">
        <v>12305</v>
      </c>
      <c r="C2652" s="473" t="s">
        <v>40</v>
      </c>
      <c r="D2652" s="473" t="s">
        <v>41</v>
      </c>
      <c r="E2652" s="361">
        <v>5.03</v>
      </c>
    </row>
    <row r="2653" spans="1:5">
      <c r="A2653" s="473">
        <v>3532</v>
      </c>
      <c r="B2653" s="473" t="s">
        <v>12306</v>
      </c>
      <c r="C2653" s="473" t="s">
        <v>40</v>
      </c>
      <c r="D2653" s="473" t="s">
        <v>41</v>
      </c>
      <c r="E2653" s="361">
        <v>9.2100000000000009</v>
      </c>
    </row>
    <row r="2654" spans="1:5">
      <c r="A2654" s="473">
        <v>3528</v>
      </c>
      <c r="B2654" s="473" t="s">
        <v>12307</v>
      </c>
      <c r="C2654" s="473" t="s">
        <v>40</v>
      </c>
      <c r="D2654" s="473" t="s">
        <v>41</v>
      </c>
      <c r="E2654" s="361">
        <v>4.82</v>
      </c>
    </row>
    <row r="2655" spans="1:5">
      <c r="A2655" s="473">
        <v>37952</v>
      </c>
      <c r="B2655" s="473" t="s">
        <v>12308</v>
      </c>
      <c r="C2655" s="473" t="s">
        <v>40</v>
      </c>
      <c r="D2655" s="473" t="s">
        <v>41</v>
      </c>
      <c r="E2655" s="361">
        <v>34.36</v>
      </c>
    </row>
    <row r="2656" spans="1:5">
      <c r="A2656" s="473">
        <v>37951</v>
      </c>
      <c r="B2656" s="473" t="s">
        <v>12309</v>
      </c>
      <c r="C2656" s="473" t="s">
        <v>40</v>
      </c>
      <c r="D2656" s="473" t="s">
        <v>41</v>
      </c>
      <c r="E2656" s="361">
        <v>1.25</v>
      </c>
    </row>
    <row r="2657" spans="1:5">
      <c r="A2657" s="473">
        <v>3518</v>
      </c>
      <c r="B2657" s="473" t="s">
        <v>12310</v>
      </c>
      <c r="C2657" s="473" t="s">
        <v>40</v>
      </c>
      <c r="D2657" s="473" t="s">
        <v>41</v>
      </c>
      <c r="E2657" s="361">
        <v>1.83</v>
      </c>
    </row>
    <row r="2658" spans="1:5">
      <c r="A2658" s="473">
        <v>3519</v>
      </c>
      <c r="B2658" s="473" t="s">
        <v>12311</v>
      </c>
      <c r="C2658" s="473" t="s">
        <v>40</v>
      </c>
      <c r="D2658" s="473" t="s">
        <v>41</v>
      </c>
      <c r="E2658" s="361">
        <v>4.33</v>
      </c>
    </row>
    <row r="2659" spans="1:5">
      <c r="A2659" s="473">
        <v>3520</v>
      </c>
      <c r="B2659" s="473" t="s">
        <v>12312</v>
      </c>
      <c r="C2659" s="473" t="s">
        <v>40</v>
      </c>
      <c r="D2659" s="473" t="s">
        <v>41</v>
      </c>
      <c r="E2659" s="361">
        <v>4.8499999999999996</v>
      </c>
    </row>
    <row r="2660" spans="1:5">
      <c r="A2660" s="473">
        <v>37950</v>
      </c>
      <c r="B2660" s="473" t="s">
        <v>12313</v>
      </c>
      <c r="C2660" s="473" t="s">
        <v>40</v>
      </c>
      <c r="D2660" s="473" t="s">
        <v>41</v>
      </c>
      <c r="E2660" s="361">
        <v>29.91</v>
      </c>
    </row>
    <row r="2661" spans="1:5">
      <c r="A2661" s="473">
        <v>37949</v>
      </c>
      <c r="B2661" s="473" t="s">
        <v>12314</v>
      </c>
      <c r="C2661" s="473" t="s">
        <v>40</v>
      </c>
      <c r="D2661" s="473" t="s">
        <v>41</v>
      </c>
      <c r="E2661" s="361">
        <v>1.0900000000000001</v>
      </c>
    </row>
    <row r="2662" spans="1:5">
      <c r="A2662" s="473">
        <v>3526</v>
      </c>
      <c r="B2662" s="473" t="s">
        <v>12315</v>
      </c>
      <c r="C2662" s="473" t="s">
        <v>40</v>
      </c>
      <c r="D2662" s="473" t="s">
        <v>41</v>
      </c>
      <c r="E2662" s="361">
        <v>1.47</v>
      </c>
    </row>
    <row r="2663" spans="1:5">
      <c r="A2663" s="473">
        <v>3509</v>
      </c>
      <c r="B2663" s="473" t="s">
        <v>12316</v>
      </c>
      <c r="C2663" s="473" t="s">
        <v>40</v>
      </c>
      <c r="D2663" s="473" t="s">
        <v>41</v>
      </c>
      <c r="E2663" s="361">
        <v>3.82</v>
      </c>
    </row>
    <row r="2664" spans="1:5">
      <c r="A2664" s="473">
        <v>3530</v>
      </c>
      <c r="B2664" s="473" t="s">
        <v>12317</v>
      </c>
      <c r="C2664" s="473" t="s">
        <v>40</v>
      </c>
      <c r="D2664" s="473" t="s">
        <v>41</v>
      </c>
      <c r="E2664" s="361">
        <v>158.63999999999999</v>
      </c>
    </row>
    <row r="2665" spans="1:5">
      <c r="A2665" s="473">
        <v>3542</v>
      </c>
      <c r="B2665" s="473" t="s">
        <v>12318</v>
      </c>
      <c r="C2665" s="473" t="s">
        <v>40</v>
      </c>
      <c r="D2665" s="473" t="s">
        <v>41</v>
      </c>
      <c r="E2665" s="361">
        <v>0.37</v>
      </c>
    </row>
    <row r="2666" spans="1:5">
      <c r="A2666" s="473">
        <v>3529</v>
      </c>
      <c r="B2666" s="473" t="s">
        <v>12319</v>
      </c>
      <c r="C2666" s="473" t="s">
        <v>40</v>
      </c>
      <c r="D2666" s="473" t="s">
        <v>41</v>
      </c>
      <c r="E2666" s="361">
        <v>0.51</v>
      </c>
    </row>
    <row r="2667" spans="1:5">
      <c r="A2667" s="473">
        <v>3536</v>
      </c>
      <c r="B2667" s="473" t="s">
        <v>12320</v>
      </c>
      <c r="C2667" s="473" t="s">
        <v>40</v>
      </c>
      <c r="D2667" s="473" t="s">
        <v>41</v>
      </c>
      <c r="E2667" s="361">
        <v>1.52</v>
      </c>
    </row>
    <row r="2668" spans="1:5">
      <c r="A2668" s="473">
        <v>3535</v>
      </c>
      <c r="B2668" s="473" t="s">
        <v>12321</v>
      </c>
      <c r="C2668" s="473" t="s">
        <v>40</v>
      </c>
      <c r="D2668" s="473" t="s">
        <v>41</v>
      </c>
      <c r="E2668" s="361">
        <v>3.6</v>
      </c>
    </row>
    <row r="2669" spans="1:5">
      <c r="A2669" s="473">
        <v>3540</v>
      </c>
      <c r="B2669" s="473" t="s">
        <v>12322</v>
      </c>
      <c r="C2669" s="473" t="s">
        <v>40</v>
      </c>
      <c r="D2669" s="473" t="s">
        <v>41</v>
      </c>
      <c r="E2669" s="361">
        <v>3.9</v>
      </c>
    </row>
    <row r="2670" spans="1:5">
      <c r="A2670" s="473">
        <v>3539</v>
      </c>
      <c r="B2670" s="473" t="s">
        <v>12323</v>
      </c>
      <c r="C2670" s="473" t="s">
        <v>40</v>
      </c>
      <c r="D2670" s="473" t="s">
        <v>41</v>
      </c>
      <c r="E2670" s="361">
        <v>16.920000000000002</v>
      </c>
    </row>
    <row r="2671" spans="1:5">
      <c r="A2671" s="473">
        <v>3513</v>
      </c>
      <c r="B2671" s="473" t="s">
        <v>12324</v>
      </c>
      <c r="C2671" s="473" t="s">
        <v>40</v>
      </c>
      <c r="D2671" s="473" t="s">
        <v>41</v>
      </c>
      <c r="E2671" s="361">
        <v>75.2</v>
      </c>
    </row>
    <row r="2672" spans="1:5">
      <c r="A2672" s="473">
        <v>3492</v>
      </c>
      <c r="B2672" s="473" t="s">
        <v>12325</v>
      </c>
      <c r="C2672" s="473" t="s">
        <v>40</v>
      </c>
      <c r="D2672" s="473" t="s">
        <v>41</v>
      </c>
      <c r="E2672" s="361">
        <v>14.47</v>
      </c>
    </row>
    <row r="2673" spans="1:5">
      <c r="A2673" s="473">
        <v>3491</v>
      </c>
      <c r="B2673" s="473" t="s">
        <v>12326</v>
      </c>
      <c r="C2673" s="473" t="s">
        <v>40</v>
      </c>
      <c r="D2673" s="473" t="s">
        <v>41</v>
      </c>
      <c r="E2673" s="361">
        <v>8.25</v>
      </c>
    </row>
    <row r="2674" spans="1:5">
      <c r="A2674" s="473">
        <v>3493</v>
      </c>
      <c r="B2674" s="473" t="s">
        <v>12327</v>
      </c>
      <c r="C2674" s="473" t="s">
        <v>40</v>
      </c>
      <c r="D2674" s="473" t="s">
        <v>41</v>
      </c>
      <c r="E2674" s="361">
        <v>19.79</v>
      </c>
    </row>
    <row r="2675" spans="1:5">
      <c r="A2675" s="473">
        <v>12628</v>
      </c>
      <c r="B2675" s="473" t="s">
        <v>12328</v>
      </c>
      <c r="C2675" s="473" t="s">
        <v>40</v>
      </c>
      <c r="D2675" s="473" t="s">
        <v>47</v>
      </c>
      <c r="E2675" s="361">
        <v>6.46</v>
      </c>
    </row>
    <row r="2676" spans="1:5">
      <c r="A2676" s="473">
        <v>12629</v>
      </c>
      <c r="B2676" s="473" t="s">
        <v>12329</v>
      </c>
      <c r="C2676" s="473" t="s">
        <v>40</v>
      </c>
      <c r="D2676" s="473" t="s">
        <v>47</v>
      </c>
      <c r="E2676" s="361">
        <v>7.01</v>
      </c>
    </row>
    <row r="2677" spans="1:5">
      <c r="A2677" s="473">
        <v>3481</v>
      </c>
      <c r="B2677" s="473" t="s">
        <v>12330</v>
      </c>
      <c r="C2677" s="473" t="s">
        <v>40</v>
      </c>
      <c r="D2677" s="473" t="s">
        <v>41</v>
      </c>
      <c r="E2677" s="361">
        <v>10.02</v>
      </c>
    </row>
    <row r="2678" spans="1:5">
      <c r="A2678" s="473">
        <v>3510</v>
      </c>
      <c r="B2678" s="473" t="s">
        <v>12331</v>
      </c>
      <c r="C2678" s="473" t="s">
        <v>40</v>
      </c>
      <c r="D2678" s="473" t="s">
        <v>41</v>
      </c>
      <c r="E2678" s="361">
        <v>9.3699999999999992</v>
      </c>
    </row>
    <row r="2679" spans="1:5">
      <c r="A2679" s="473">
        <v>3508</v>
      </c>
      <c r="B2679" s="473" t="s">
        <v>12332</v>
      </c>
      <c r="C2679" s="473" t="s">
        <v>40</v>
      </c>
      <c r="D2679" s="473" t="s">
        <v>41</v>
      </c>
      <c r="E2679" s="361">
        <v>24.49</v>
      </c>
    </row>
    <row r="2680" spans="1:5">
      <c r="A2680" s="473">
        <v>38939</v>
      </c>
      <c r="B2680" s="473" t="s">
        <v>12333</v>
      </c>
      <c r="C2680" s="473" t="s">
        <v>40</v>
      </c>
      <c r="D2680" s="473" t="s">
        <v>47</v>
      </c>
      <c r="E2680" s="361">
        <v>12.91</v>
      </c>
    </row>
    <row r="2681" spans="1:5">
      <c r="A2681" s="473">
        <v>38940</v>
      </c>
      <c r="B2681" s="473" t="s">
        <v>12334</v>
      </c>
      <c r="C2681" s="473" t="s">
        <v>40</v>
      </c>
      <c r="D2681" s="473" t="s">
        <v>47</v>
      </c>
      <c r="E2681" s="361">
        <v>19.7</v>
      </c>
    </row>
    <row r="2682" spans="1:5">
      <c r="A2682" s="473">
        <v>38941</v>
      </c>
      <c r="B2682" s="473" t="s">
        <v>12335</v>
      </c>
      <c r="C2682" s="473" t="s">
        <v>40</v>
      </c>
      <c r="D2682" s="473" t="s">
        <v>47</v>
      </c>
      <c r="E2682" s="361">
        <v>23.28</v>
      </c>
    </row>
    <row r="2683" spans="1:5">
      <c r="A2683" s="473">
        <v>38942</v>
      </c>
      <c r="B2683" s="473" t="s">
        <v>12336</v>
      </c>
      <c r="C2683" s="473" t="s">
        <v>40</v>
      </c>
      <c r="D2683" s="473" t="s">
        <v>47</v>
      </c>
      <c r="E2683" s="361">
        <v>26.07</v>
      </c>
    </row>
    <row r="2684" spans="1:5">
      <c r="A2684" s="473">
        <v>38987</v>
      </c>
      <c r="B2684" s="473" t="s">
        <v>12337</v>
      </c>
      <c r="C2684" s="473" t="s">
        <v>40</v>
      </c>
      <c r="D2684" s="473" t="s">
        <v>47</v>
      </c>
      <c r="E2684" s="361">
        <v>5.07</v>
      </c>
    </row>
    <row r="2685" spans="1:5">
      <c r="A2685" s="473">
        <v>38988</v>
      </c>
      <c r="B2685" s="473" t="s">
        <v>12338</v>
      </c>
      <c r="C2685" s="473" t="s">
        <v>40</v>
      </c>
      <c r="D2685" s="473" t="s">
        <v>47</v>
      </c>
      <c r="E2685" s="361">
        <v>11.78</v>
      </c>
    </row>
    <row r="2686" spans="1:5">
      <c r="A2686" s="473">
        <v>38989</v>
      </c>
      <c r="B2686" s="473" t="s">
        <v>12339</v>
      </c>
      <c r="C2686" s="473" t="s">
        <v>40</v>
      </c>
      <c r="D2686" s="473" t="s">
        <v>47</v>
      </c>
      <c r="E2686" s="361">
        <v>15.65</v>
      </c>
    </row>
    <row r="2687" spans="1:5">
      <c r="A2687" s="473">
        <v>38990</v>
      </c>
      <c r="B2687" s="473" t="s">
        <v>12340</v>
      </c>
      <c r="C2687" s="473" t="s">
        <v>40</v>
      </c>
      <c r="D2687" s="473" t="s">
        <v>47</v>
      </c>
      <c r="E2687" s="361">
        <v>41.25</v>
      </c>
    </row>
    <row r="2688" spans="1:5">
      <c r="A2688" s="473">
        <v>38991</v>
      </c>
      <c r="B2688" s="473" t="s">
        <v>12341</v>
      </c>
      <c r="C2688" s="473" t="s">
        <v>40</v>
      </c>
      <c r="D2688" s="473" t="s">
        <v>47</v>
      </c>
      <c r="E2688" s="361">
        <v>83.35</v>
      </c>
    </row>
    <row r="2689" spans="1:5">
      <c r="A2689" s="473">
        <v>38913</v>
      </c>
      <c r="B2689" s="473" t="s">
        <v>12342</v>
      </c>
      <c r="C2689" s="473" t="s">
        <v>40</v>
      </c>
      <c r="D2689" s="473" t="s">
        <v>47</v>
      </c>
      <c r="E2689" s="361">
        <v>11.98</v>
      </c>
    </row>
    <row r="2690" spans="1:5">
      <c r="A2690" s="473">
        <v>38914</v>
      </c>
      <c r="B2690" s="473" t="s">
        <v>12343</v>
      </c>
      <c r="C2690" s="473" t="s">
        <v>40</v>
      </c>
      <c r="D2690" s="473" t="s">
        <v>47</v>
      </c>
      <c r="E2690" s="361">
        <v>13.89</v>
      </c>
    </row>
    <row r="2691" spans="1:5">
      <c r="A2691" s="473">
        <v>38915</v>
      </c>
      <c r="B2691" s="473" t="s">
        <v>12344</v>
      </c>
      <c r="C2691" s="473" t="s">
        <v>40</v>
      </c>
      <c r="D2691" s="473" t="s">
        <v>47</v>
      </c>
      <c r="E2691" s="361">
        <v>24.12</v>
      </c>
    </row>
    <row r="2692" spans="1:5">
      <c r="A2692" s="473">
        <v>38916</v>
      </c>
      <c r="B2692" s="473" t="s">
        <v>12345</v>
      </c>
      <c r="C2692" s="473" t="s">
        <v>40</v>
      </c>
      <c r="D2692" s="473" t="s">
        <v>47</v>
      </c>
      <c r="E2692" s="361">
        <v>31.82</v>
      </c>
    </row>
    <row r="2693" spans="1:5">
      <c r="A2693" s="473">
        <v>39300</v>
      </c>
      <c r="B2693" s="473" t="s">
        <v>12346</v>
      </c>
      <c r="C2693" s="473" t="s">
        <v>40</v>
      </c>
      <c r="D2693" s="473" t="s">
        <v>47</v>
      </c>
      <c r="E2693" s="361">
        <v>10.82</v>
      </c>
    </row>
    <row r="2694" spans="1:5">
      <c r="A2694" s="473">
        <v>39301</v>
      </c>
      <c r="B2694" s="473" t="s">
        <v>12347</v>
      </c>
      <c r="C2694" s="473" t="s">
        <v>40</v>
      </c>
      <c r="D2694" s="473" t="s">
        <v>47</v>
      </c>
      <c r="E2694" s="361">
        <v>15.01</v>
      </c>
    </row>
    <row r="2695" spans="1:5">
      <c r="A2695" s="473">
        <v>39302</v>
      </c>
      <c r="B2695" s="473" t="s">
        <v>12348</v>
      </c>
      <c r="C2695" s="473" t="s">
        <v>40</v>
      </c>
      <c r="D2695" s="473" t="s">
        <v>47</v>
      </c>
      <c r="E2695" s="361">
        <v>18.86</v>
      </c>
    </row>
    <row r="2696" spans="1:5">
      <c r="A2696" s="473">
        <v>39303</v>
      </c>
      <c r="B2696" s="473" t="s">
        <v>12349</v>
      </c>
      <c r="C2696" s="473" t="s">
        <v>40</v>
      </c>
      <c r="D2696" s="473" t="s">
        <v>47</v>
      </c>
      <c r="E2696" s="361">
        <v>33.17</v>
      </c>
    </row>
    <row r="2697" spans="1:5">
      <c r="A2697" s="473">
        <v>38923</v>
      </c>
      <c r="B2697" s="473" t="s">
        <v>12350</v>
      </c>
      <c r="C2697" s="473" t="s">
        <v>40</v>
      </c>
      <c r="D2697" s="473" t="s">
        <v>47</v>
      </c>
      <c r="E2697" s="361">
        <v>10.56</v>
      </c>
    </row>
    <row r="2698" spans="1:5">
      <c r="A2698" s="473">
        <v>38925</v>
      </c>
      <c r="B2698" s="473" t="s">
        <v>12351</v>
      </c>
      <c r="C2698" s="473" t="s">
        <v>40</v>
      </c>
      <c r="D2698" s="473" t="s">
        <v>47</v>
      </c>
      <c r="E2698" s="361">
        <v>11.35</v>
      </c>
    </row>
    <row r="2699" spans="1:5">
      <c r="A2699" s="473">
        <v>38926</v>
      </c>
      <c r="B2699" s="473" t="s">
        <v>12352</v>
      </c>
      <c r="C2699" s="473" t="s">
        <v>40</v>
      </c>
      <c r="D2699" s="473" t="s">
        <v>47</v>
      </c>
      <c r="E2699" s="361">
        <v>16.21</v>
      </c>
    </row>
    <row r="2700" spans="1:5">
      <c r="A2700" s="473">
        <v>38927</v>
      </c>
      <c r="B2700" s="473" t="s">
        <v>12353</v>
      </c>
      <c r="C2700" s="473" t="s">
        <v>40</v>
      </c>
      <c r="D2700" s="473" t="s">
        <v>47</v>
      </c>
      <c r="E2700" s="361">
        <v>17.34</v>
      </c>
    </row>
    <row r="2701" spans="1:5">
      <c r="A2701" s="473">
        <v>39304</v>
      </c>
      <c r="B2701" s="473" t="s">
        <v>12354</v>
      </c>
      <c r="C2701" s="473" t="s">
        <v>40</v>
      </c>
      <c r="D2701" s="473" t="s">
        <v>47</v>
      </c>
      <c r="E2701" s="361">
        <v>13.36</v>
      </c>
    </row>
    <row r="2702" spans="1:5">
      <c r="A2702" s="473">
        <v>38924</v>
      </c>
      <c r="B2702" s="473" t="s">
        <v>12355</v>
      </c>
      <c r="C2702" s="473" t="s">
        <v>40</v>
      </c>
      <c r="D2702" s="473" t="s">
        <v>47</v>
      </c>
      <c r="E2702" s="361">
        <v>19.04</v>
      </c>
    </row>
    <row r="2703" spans="1:5">
      <c r="A2703" s="473">
        <v>39305</v>
      </c>
      <c r="B2703" s="473" t="s">
        <v>12356</v>
      </c>
      <c r="C2703" s="473" t="s">
        <v>40</v>
      </c>
      <c r="D2703" s="473" t="s">
        <v>47</v>
      </c>
      <c r="E2703" s="361">
        <v>17.489999999999998</v>
      </c>
    </row>
    <row r="2704" spans="1:5">
      <c r="A2704" s="473">
        <v>39306</v>
      </c>
      <c r="B2704" s="473" t="s">
        <v>12357</v>
      </c>
      <c r="C2704" s="473" t="s">
        <v>40</v>
      </c>
      <c r="D2704" s="473" t="s">
        <v>47</v>
      </c>
      <c r="E2704" s="361">
        <v>21.88</v>
      </c>
    </row>
    <row r="2705" spans="1:5">
      <c r="A2705" s="473">
        <v>38928</v>
      </c>
      <c r="B2705" s="473" t="s">
        <v>12358</v>
      </c>
      <c r="C2705" s="473" t="s">
        <v>40</v>
      </c>
      <c r="D2705" s="473" t="s">
        <v>47</v>
      </c>
      <c r="E2705" s="361">
        <v>19.22</v>
      </c>
    </row>
    <row r="2706" spans="1:5">
      <c r="A2706" s="473">
        <v>38929</v>
      </c>
      <c r="B2706" s="473" t="s">
        <v>12359</v>
      </c>
      <c r="C2706" s="473" t="s">
        <v>40</v>
      </c>
      <c r="D2706" s="473" t="s">
        <v>47</v>
      </c>
      <c r="E2706" s="361">
        <v>34.08</v>
      </c>
    </row>
    <row r="2707" spans="1:5">
      <c r="A2707" s="473">
        <v>39307</v>
      </c>
      <c r="B2707" s="473" t="s">
        <v>12360</v>
      </c>
      <c r="C2707" s="473" t="s">
        <v>40</v>
      </c>
      <c r="D2707" s="473" t="s">
        <v>47</v>
      </c>
      <c r="E2707" s="361">
        <v>25.19</v>
      </c>
    </row>
    <row r="2708" spans="1:5">
      <c r="A2708" s="473">
        <v>38930</v>
      </c>
      <c r="B2708" s="473" t="s">
        <v>12361</v>
      </c>
      <c r="C2708" s="473" t="s">
        <v>40</v>
      </c>
      <c r="D2708" s="473" t="s">
        <v>47</v>
      </c>
      <c r="E2708" s="361">
        <v>42.82</v>
      </c>
    </row>
    <row r="2709" spans="1:5">
      <c r="A2709" s="473">
        <v>38931</v>
      </c>
      <c r="B2709" s="473" t="s">
        <v>12362</v>
      </c>
      <c r="C2709" s="473" t="s">
        <v>40</v>
      </c>
      <c r="D2709" s="473" t="s">
        <v>47</v>
      </c>
      <c r="E2709" s="361">
        <v>10.78</v>
      </c>
    </row>
    <row r="2710" spans="1:5">
      <c r="A2710" s="473">
        <v>38932</v>
      </c>
      <c r="B2710" s="473" t="s">
        <v>12363</v>
      </c>
      <c r="C2710" s="473" t="s">
        <v>40</v>
      </c>
      <c r="D2710" s="473" t="s">
        <v>47</v>
      </c>
      <c r="E2710" s="361">
        <v>10.89</v>
      </c>
    </row>
    <row r="2711" spans="1:5">
      <c r="A2711" s="473">
        <v>38934</v>
      </c>
      <c r="B2711" s="473" t="s">
        <v>12364</v>
      </c>
      <c r="C2711" s="473" t="s">
        <v>40</v>
      </c>
      <c r="D2711" s="473" t="s">
        <v>47</v>
      </c>
      <c r="E2711" s="361">
        <v>16.09</v>
      </c>
    </row>
    <row r="2712" spans="1:5">
      <c r="A2712" s="473">
        <v>38935</v>
      </c>
      <c r="B2712" s="473" t="s">
        <v>12365</v>
      </c>
      <c r="C2712" s="473" t="s">
        <v>40</v>
      </c>
      <c r="D2712" s="473" t="s">
        <v>47</v>
      </c>
      <c r="E2712" s="361">
        <v>17.22</v>
      </c>
    </row>
    <row r="2713" spans="1:5">
      <c r="A2713" s="473">
        <v>38936</v>
      </c>
      <c r="B2713" s="473" t="s">
        <v>12366</v>
      </c>
      <c r="C2713" s="473" t="s">
        <v>40</v>
      </c>
      <c r="D2713" s="473" t="s">
        <v>47</v>
      </c>
      <c r="E2713" s="361">
        <v>18.440000000000001</v>
      </c>
    </row>
    <row r="2714" spans="1:5">
      <c r="A2714" s="473">
        <v>38937</v>
      </c>
      <c r="B2714" s="473" t="s">
        <v>12367</v>
      </c>
      <c r="C2714" s="473" t="s">
        <v>40</v>
      </c>
      <c r="D2714" s="473" t="s">
        <v>47</v>
      </c>
      <c r="E2714" s="361">
        <v>22.48</v>
      </c>
    </row>
    <row r="2715" spans="1:5">
      <c r="A2715" s="473">
        <v>38938</v>
      </c>
      <c r="B2715" s="473" t="s">
        <v>12368</v>
      </c>
      <c r="C2715" s="473" t="s">
        <v>40</v>
      </c>
      <c r="D2715" s="473" t="s">
        <v>47</v>
      </c>
      <c r="E2715" s="361">
        <v>33.42</v>
      </c>
    </row>
    <row r="2716" spans="1:5">
      <c r="A2716" s="473">
        <v>3489</v>
      </c>
      <c r="B2716" s="473" t="s">
        <v>12369</v>
      </c>
      <c r="C2716" s="473" t="s">
        <v>40</v>
      </c>
      <c r="D2716" s="473" t="s">
        <v>41</v>
      </c>
      <c r="E2716" s="361">
        <v>9.26</v>
      </c>
    </row>
    <row r="2717" spans="1:5">
      <c r="A2717" s="473">
        <v>20151</v>
      </c>
      <c r="B2717" s="473" t="s">
        <v>12370</v>
      </c>
      <c r="C2717" s="473" t="s">
        <v>40</v>
      </c>
      <c r="D2717" s="473" t="s">
        <v>41</v>
      </c>
      <c r="E2717" s="361">
        <v>13.47</v>
      </c>
    </row>
    <row r="2718" spans="1:5">
      <c r="A2718" s="473">
        <v>20152</v>
      </c>
      <c r="B2718" s="473" t="s">
        <v>12371</v>
      </c>
      <c r="C2718" s="473" t="s">
        <v>40</v>
      </c>
      <c r="D2718" s="473" t="s">
        <v>41</v>
      </c>
      <c r="E2718" s="361">
        <v>46.87</v>
      </c>
    </row>
    <row r="2719" spans="1:5">
      <c r="A2719" s="473">
        <v>20148</v>
      </c>
      <c r="B2719" s="473" t="s">
        <v>12372</v>
      </c>
      <c r="C2719" s="473" t="s">
        <v>40</v>
      </c>
      <c r="D2719" s="473" t="s">
        <v>41</v>
      </c>
      <c r="E2719" s="361">
        <v>2.68</v>
      </c>
    </row>
    <row r="2720" spans="1:5">
      <c r="A2720" s="473">
        <v>20149</v>
      </c>
      <c r="B2720" s="473" t="s">
        <v>12373</v>
      </c>
      <c r="C2720" s="473" t="s">
        <v>40</v>
      </c>
      <c r="D2720" s="473" t="s">
        <v>41</v>
      </c>
      <c r="E2720" s="361">
        <v>4.1399999999999997</v>
      </c>
    </row>
    <row r="2721" spans="1:5">
      <c r="A2721" s="473">
        <v>20150</v>
      </c>
      <c r="B2721" s="473" t="s">
        <v>12374</v>
      </c>
      <c r="C2721" s="473" t="s">
        <v>40</v>
      </c>
      <c r="D2721" s="473" t="s">
        <v>41</v>
      </c>
      <c r="E2721" s="361">
        <v>9.67</v>
      </c>
    </row>
    <row r="2722" spans="1:5">
      <c r="A2722" s="473">
        <v>20157</v>
      </c>
      <c r="B2722" s="473" t="s">
        <v>12375</v>
      </c>
      <c r="C2722" s="473" t="s">
        <v>40</v>
      </c>
      <c r="D2722" s="473" t="s">
        <v>41</v>
      </c>
      <c r="E2722" s="361">
        <v>18.170000000000002</v>
      </c>
    </row>
    <row r="2723" spans="1:5">
      <c r="A2723" s="473">
        <v>20158</v>
      </c>
      <c r="B2723" s="473" t="s">
        <v>12376</v>
      </c>
      <c r="C2723" s="473" t="s">
        <v>40</v>
      </c>
      <c r="D2723" s="473" t="s">
        <v>41</v>
      </c>
      <c r="E2723" s="361">
        <v>60.38</v>
      </c>
    </row>
    <row r="2724" spans="1:5">
      <c r="A2724" s="473">
        <v>20154</v>
      </c>
      <c r="B2724" s="473" t="s">
        <v>12377</v>
      </c>
      <c r="C2724" s="473" t="s">
        <v>40</v>
      </c>
      <c r="D2724" s="473" t="s">
        <v>41</v>
      </c>
      <c r="E2724" s="361">
        <v>3.44</v>
      </c>
    </row>
    <row r="2725" spans="1:5">
      <c r="A2725" s="473">
        <v>20155</v>
      </c>
      <c r="B2725" s="473" t="s">
        <v>12378</v>
      </c>
      <c r="C2725" s="473" t="s">
        <v>40</v>
      </c>
      <c r="D2725" s="473" t="s">
        <v>41</v>
      </c>
      <c r="E2725" s="361">
        <v>5.15</v>
      </c>
    </row>
    <row r="2726" spans="1:5">
      <c r="A2726" s="473">
        <v>20156</v>
      </c>
      <c r="B2726" s="473" t="s">
        <v>12379</v>
      </c>
      <c r="C2726" s="473" t="s">
        <v>40</v>
      </c>
      <c r="D2726" s="473" t="s">
        <v>41</v>
      </c>
      <c r="E2726" s="361">
        <v>11.6</v>
      </c>
    </row>
    <row r="2727" spans="1:5">
      <c r="A2727" s="473">
        <v>3512</v>
      </c>
      <c r="B2727" s="473" t="s">
        <v>12380</v>
      </c>
      <c r="C2727" s="473" t="s">
        <v>40</v>
      </c>
      <c r="D2727" s="473" t="s">
        <v>41</v>
      </c>
      <c r="E2727" s="361">
        <v>145.07</v>
      </c>
    </row>
    <row r="2728" spans="1:5">
      <c r="A2728" s="473">
        <v>3499</v>
      </c>
      <c r="B2728" s="473" t="s">
        <v>12381</v>
      </c>
      <c r="C2728" s="473" t="s">
        <v>40</v>
      </c>
      <c r="D2728" s="473" t="s">
        <v>41</v>
      </c>
      <c r="E2728" s="361">
        <v>0.61</v>
      </c>
    </row>
    <row r="2729" spans="1:5">
      <c r="A2729" s="473">
        <v>3500</v>
      </c>
      <c r="B2729" s="473" t="s">
        <v>12382</v>
      </c>
      <c r="C2729" s="473" t="s">
        <v>40</v>
      </c>
      <c r="D2729" s="473" t="s">
        <v>41</v>
      </c>
      <c r="E2729" s="361">
        <v>1.04</v>
      </c>
    </row>
    <row r="2730" spans="1:5">
      <c r="A2730" s="473">
        <v>3501</v>
      </c>
      <c r="B2730" s="473" t="s">
        <v>12383</v>
      </c>
      <c r="C2730" s="473" t="s">
        <v>40</v>
      </c>
      <c r="D2730" s="473" t="s">
        <v>41</v>
      </c>
      <c r="E2730" s="361">
        <v>3.01</v>
      </c>
    </row>
    <row r="2731" spans="1:5">
      <c r="A2731" s="473">
        <v>3502</v>
      </c>
      <c r="B2731" s="473" t="s">
        <v>12384</v>
      </c>
      <c r="C2731" s="473" t="s">
        <v>40</v>
      </c>
      <c r="D2731" s="473" t="s">
        <v>41</v>
      </c>
      <c r="E2731" s="361">
        <v>4.28</v>
      </c>
    </row>
    <row r="2732" spans="1:5">
      <c r="A2732" s="473">
        <v>3503</v>
      </c>
      <c r="B2732" s="473" t="s">
        <v>12385</v>
      </c>
      <c r="C2732" s="473" t="s">
        <v>40</v>
      </c>
      <c r="D2732" s="473" t="s">
        <v>41</v>
      </c>
      <c r="E2732" s="361">
        <v>5.12</v>
      </c>
    </row>
    <row r="2733" spans="1:5">
      <c r="A2733" s="473">
        <v>3477</v>
      </c>
      <c r="B2733" s="473" t="s">
        <v>12386</v>
      </c>
      <c r="C2733" s="473" t="s">
        <v>40</v>
      </c>
      <c r="D2733" s="473" t="s">
        <v>41</v>
      </c>
      <c r="E2733" s="361">
        <v>19.86</v>
      </c>
    </row>
    <row r="2734" spans="1:5">
      <c r="A2734" s="473">
        <v>3478</v>
      </c>
      <c r="B2734" s="473" t="s">
        <v>12387</v>
      </c>
      <c r="C2734" s="473" t="s">
        <v>40</v>
      </c>
      <c r="D2734" s="473" t="s">
        <v>41</v>
      </c>
      <c r="E2734" s="361">
        <v>45.63</v>
      </c>
    </row>
    <row r="2735" spans="1:5">
      <c r="A2735" s="473">
        <v>3525</v>
      </c>
      <c r="B2735" s="473" t="s">
        <v>12388</v>
      </c>
      <c r="C2735" s="473" t="s">
        <v>40</v>
      </c>
      <c r="D2735" s="473" t="s">
        <v>41</v>
      </c>
      <c r="E2735" s="361">
        <v>54.13</v>
      </c>
    </row>
    <row r="2736" spans="1:5">
      <c r="A2736" s="473">
        <v>3511</v>
      </c>
      <c r="B2736" s="473" t="s">
        <v>12389</v>
      </c>
      <c r="C2736" s="473" t="s">
        <v>40</v>
      </c>
      <c r="D2736" s="473" t="s">
        <v>41</v>
      </c>
      <c r="E2736" s="361">
        <v>63.52</v>
      </c>
    </row>
    <row r="2737" spans="1:5">
      <c r="A2737" s="473">
        <v>38917</v>
      </c>
      <c r="B2737" s="473" t="s">
        <v>12390</v>
      </c>
      <c r="C2737" s="473" t="s">
        <v>40</v>
      </c>
      <c r="D2737" s="473" t="s">
        <v>47</v>
      </c>
      <c r="E2737" s="361">
        <v>10.31</v>
      </c>
    </row>
    <row r="2738" spans="1:5">
      <c r="A2738" s="473">
        <v>38919</v>
      </c>
      <c r="B2738" s="473" t="s">
        <v>12391</v>
      </c>
      <c r="C2738" s="473" t="s">
        <v>40</v>
      </c>
      <c r="D2738" s="473" t="s">
        <v>47</v>
      </c>
      <c r="E2738" s="361">
        <v>15.34</v>
      </c>
    </row>
    <row r="2739" spans="1:5">
      <c r="A2739" s="473">
        <v>38922</v>
      </c>
      <c r="B2739" s="473" t="s">
        <v>12392</v>
      </c>
      <c r="C2739" s="473" t="s">
        <v>40</v>
      </c>
      <c r="D2739" s="473" t="s">
        <v>47</v>
      </c>
      <c r="E2739" s="361">
        <v>19.829999999999998</v>
      </c>
    </row>
    <row r="2740" spans="1:5">
      <c r="A2740" s="473">
        <v>38921</v>
      </c>
      <c r="B2740" s="473" t="s">
        <v>12393</v>
      </c>
      <c r="C2740" s="473" t="s">
        <v>40</v>
      </c>
      <c r="D2740" s="473" t="s">
        <v>47</v>
      </c>
      <c r="E2740" s="361">
        <v>24.51</v>
      </c>
    </row>
    <row r="2741" spans="1:5">
      <c r="A2741" s="473">
        <v>38918</v>
      </c>
      <c r="B2741" s="473" t="s">
        <v>12394</v>
      </c>
      <c r="C2741" s="473" t="s">
        <v>40</v>
      </c>
      <c r="D2741" s="473" t="s">
        <v>47</v>
      </c>
      <c r="E2741" s="361">
        <v>23.3</v>
      </c>
    </row>
    <row r="2742" spans="1:5">
      <c r="A2742" s="473">
        <v>38920</v>
      </c>
      <c r="B2742" s="473" t="s">
        <v>12395</v>
      </c>
      <c r="C2742" s="473" t="s">
        <v>40</v>
      </c>
      <c r="D2742" s="473" t="s">
        <v>47</v>
      </c>
      <c r="E2742" s="361">
        <v>29.12</v>
      </c>
    </row>
    <row r="2743" spans="1:5">
      <c r="A2743" s="473">
        <v>3104</v>
      </c>
      <c r="B2743" s="473" t="s">
        <v>12396</v>
      </c>
      <c r="C2743" s="473" t="s">
        <v>59</v>
      </c>
      <c r="D2743" s="473" t="s">
        <v>41</v>
      </c>
      <c r="E2743" s="361">
        <v>391.02</v>
      </c>
    </row>
    <row r="2744" spans="1:5">
      <c r="A2744" s="473">
        <v>12032</v>
      </c>
      <c r="B2744" s="473" t="s">
        <v>12397</v>
      </c>
      <c r="C2744" s="473" t="s">
        <v>55</v>
      </c>
      <c r="D2744" s="473" t="s">
        <v>41</v>
      </c>
      <c r="E2744" s="361">
        <v>41.83</v>
      </c>
    </row>
    <row r="2745" spans="1:5">
      <c r="A2745" s="473">
        <v>12030</v>
      </c>
      <c r="B2745" s="473" t="s">
        <v>12398</v>
      </c>
      <c r="C2745" s="473" t="s">
        <v>55</v>
      </c>
      <c r="D2745" s="473" t="s">
        <v>41</v>
      </c>
      <c r="E2745" s="361">
        <v>39.31</v>
      </c>
    </row>
    <row r="2746" spans="1:5">
      <c r="A2746" s="473">
        <v>10908</v>
      </c>
      <c r="B2746" s="473" t="s">
        <v>12399</v>
      </c>
      <c r="C2746" s="473" t="s">
        <v>40</v>
      </c>
      <c r="D2746" s="473" t="s">
        <v>41</v>
      </c>
      <c r="E2746" s="361">
        <v>10.17</v>
      </c>
    </row>
    <row r="2747" spans="1:5">
      <c r="A2747" s="473">
        <v>10909</v>
      </c>
      <c r="B2747" s="473" t="s">
        <v>12400</v>
      </c>
      <c r="C2747" s="473" t="s">
        <v>40</v>
      </c>
      <c r="D2747" s="473" t="s">
        <v>41</v>
      </c>
      <c r="E2747" s="361">
        <v>16.23</v>
      </c>
    </row>
    <row r="2748" spans="1:5">
      <c r="A2748" s="473">
        <v>3669</v>
      </c>
      <c r="B2748" s="473" t="s">
        <v>12401</v>
      </c>
      <c r="C2748" s="473" t="s">
        <v>40</v>
      </c>
      <c r="D2748" s="473" t="s">
        <v>41</v>
      </c>
      <c r="E2748" s="361">
        <v>6.95</v>
      </c>
    </row>
    <row r="2749" spans="1:5">
      <c r="A2749" s="473">
        <v>20138</v>
      </c>
      <c r="B2749" s="473" t="s">
        <v>12402</v>
      </c>
      <c r="C2749" s="473" t="s">
        <v>40</v>
      </c>
      <c r="D2749" s="473" t="s">
        <v>41</v>
      </c>
      <c r="E2749" s="361">
        <v>34.549999999999997</v>
      </c>
    </row>
    <row r="2750" spans="1:5">
      <c r="A2750" s="473">
        <v>20139</v>
      </c>
      <c r="B2750" s="473" t="s">
        <v>12403</v>
      </c>
      <c r="C2750" s="473" t="s">
        <v>40</v>
      </c>
      <c r="D2750" s="473" t="s">
        <v>41</v>
      </c>
      <c r="E2750" s="361">
        <v>58.04</v>
      </c>
    </row>
    <row r="2751" spans="1:5">
      <c r="A2751" s="473">
        <v>3668</v>
      </c>
      <c r="B2751" s="473" t="s">
        <v>12404</v>
      </c>
      <c r="C2751" s="473" t="s">
        <v>40</v>
      </c>
      <c r="D2751" s="473" t="s">
        <v>41</v>
      </c>
      <c r="E2751" s="361">
        <v>23.01</v>
      </c>
    </row>
    <row r="2752" spans="1:5">
      <c r="A2752" s="473">
        <v>3656</v>
      </c>
      <c r="B2752" s="473" t="s">
        <v>12405</v>
      </c>
      <c r="C2752" s="473" t="s">
        <v>40</v>
      </c>
      <c r="D2752" s="473" t="s">
        <v>41</v>
      </c>
      <c r="E2752" s="361">
        <v>11.4</v>
      </c>
    </row>
    <row r="2753" spans="1:5">
      <c r="A2753" s="473">
        <v>10911</v>
      </c>
      <c r="B2753" s="473" t="s">
        <v>12406</v>
      </c>
      <c r="C2753" s="473" t="s">
        <v>40</v>
      </c>
      <c r="D2753" s="473" t="s">
        <v>41</v>
      </c>
      <c r="E2753" s="361">
        <v>12.66</v>
      </c>
    </row>
    <row r="2754" spans="1:5">
      <c r="A2754" s="473">
        <v>3654</v>
      </c>
      <c r="B2754" s="473" t="s">
        <v>12407</v>
      </c>
      <c r="C2754" s="473" t="s">
        <v>40</v>
      </c>
      <c r="D2754" s="473" t="s">
        <v>41</v>
      </c>
      <c r="E2754" s="361">
        <v>3.22</v>
      </c>
    </row>
    <row r="2755" spans="1:5">
      <c r="A2755" s="473">
        <v>3664</v>
      </c>
      <c r="B2755" s="473" t="s">
        <v>12408</v>
      </c>
      <c r="C2755" s="473" t="s">
        <v>40</v>
      </c>
      <c r="D2755" s="473" t="s">
        <v>41</v>
      </c>
      <c r="E2755" s="361">
        <v>4</v>
      </c>
    </row>
    <row r="2756" spans="1:5">
      <c r="A2756" s="473">
        <v>3657</v>
      </c>
      <c r="B2756" s="473" t="s">
        <v>12409</v>
      </c>
      <c r="C2756" s="473" t="s">
        <v>40</v>
      </c>
      <c r="D2756" s="473" t="s">
        <v>41</v>
      </c>
      <c r="E2756" s="361">
        <v>4.3099999999999996</v>
      </c>
    </row>
    <row r="2757" spans="1:5">
      <c r="A2757" s="473">
        <v>12625</v>
      </c>
      <c r="B2757" s="473" t="s">
        <v>12410</v>
      </c>
      <c r="C2757" s="473" t="s">
        <v>40</v>
      </c>
      <c r="D2757" s="473" t="s">
        <v>47</v>
      </c>
      <c r="E2757" s="361">
        <v>8.86</v>
      </c>
    </row>
    <row r="2758" spans="1:5">
      <c r="A2758" s="473">
        <v>20136</v>
      </c>
      <c r="B2758" s="473" t="s">
        <v>12411</v>
      </c>
      <c r="C2758" s="473" t="s">
        <v>40</v>
      </c>
      <c r="D2758" s="473" t="s">
        <v>41</v>
      </c>
      <c r="E2758" s="361">
        <v>77.959999999999994</v>
      </c>
    </row>
    <row r="2759" spans="1:5">
      <c r="A2759" s="473">
        <v>20144</v>
      </c>
      <c r="B2759" s="473" t="s">
        <v>12412</v>
      </c>
      <c r="C2759" s="473" t="s">
        <v>40</v>
      </c>
      <c r="D2759" s="473" t="s">
        <v>41</v>
      </c>
      <c r="E2759" s="361">
        <v>34.24</v>
      </c>
    </row>
    <row r="2760" spans="1:5">
      <c r="A2760" s="473">
        <v>20143</v>
      </c>
      <c r="B2760" s="473" t="s">
        <v>12413</v>
      </c>
      <c r="C2760" s="473" t="s">
        <v>40</v>
      </c>
      <c r="D2760" s="473" t="s">
        <v>41</v>
      </c>
      <c r="E2760" s="361">
        <v>31.98</v>
      </c>
    </row>
    <row r="2761" spans="1:5">
      <c r="A2761" s="473">
        <v>20145</v>
      </c>
      <c r="B2761" s="473" t="s">
        <v>12414</v>
      </c>
      <c r="C2761" s="473" t="s">
        <v>40</v>
      </c>
      <c r="D2761" s="473" t="s">
        <v>41</v>
      </c>
      <c r="E2761" s="361">
        <v>90.76</v>
      </c>
    </row>
    <row r="2762" spans="1:5">
      <c r="A2762" s="473">
        <v>20146</v>
      </c>
      <c r="B2762" s="473" t="s">
        <v>12415</v>
      </c>
      <c r="C2762" s="473" t="s">
        <v>40</v>
      </c>
      <c r="D2762" s="473" t="s">
        <v>41</v>
      </c>
      <c r="E2762" s="361">
        <v>102.35</v>
      </c>
    </row>
    <row r="2763" spans="1:5">
      <c r="A2763" s="473">
        <v>20140</v>
      </c>
      <c r="B2763" s="473" t="s">
        <v>12416</v>
      </c>
      <c r="C2763" s="473" t="s">
        <v>40</v>
      </c>
      <c r="D2763" s="473" t="s">
        <v>41</v>
      </c>
      <c r="E2763" s="361">
        <v>4.07</v>
      </c>
    </row>
    <row r="2764" spans="1:5">
      <c r="A2764" s="473">
        <v>20141</v>
      </c>
      <c r="B2764" s="473" t="s">
        <v>12417</v>
      </c>
      <c r="C2764" s="473" t="s">
        <v>40</v>
      </c>
      <c r="D2764" s="473" t="s">
        <v>41</v>
      </c>
      <c r="E2764" s="361">
        <v>7.15</v>
      </c>
    </row>
    <row r="2765" spans="1:5">
      <c r="A2765" s="473">
        <v>20142</v>
      </c>
      <c r="B2765" s="473" t="s">
        <v>12418</v>
      </c>
      <c r="C2765" s="473" t="s">
        <v>40</v>
      </c>
      <c r="D2765" s="473" t="s">
        <v>41</v>
      </c>
      <c r="E2765" s="361">
        <v>21.88</v>
      </c>
    </row>
    <row r="2766" spans="1:5">
      <c r="A2766" s="473">
        <v>3659</v>
      </c>
      <c r="B2766" s="473" t="s">
        <v>12419</v>
      </c>
      <c r="C2766" s="473" t="s">
        <v>40</v>
      </c>
      <c r="D2766" s="473" t="s">
        <v>41</v>
      </c>
      <c r="E2766" s="361">
        <v>9.49</v>
      </c>
    </row>
    <row r="2767" spans="1:5">
      <c r="A2767" s="473">
        <v>3660</v>
      </c>
      <c r="B2767" s="473" t="s">
        <v>12420</v>
      </c>
      <c r="C2767" s="473" t="s">
        <v>40</v>
      </c>
      <c r="D2767" s="473" t="s">
        <v>41</v>
      </c>
      <c r="E2767" s="361">
        <v>13.68</v>
      </c>
    </row>
    <row r="2768" spans="1:5">
      <c r="A2768" s="473">
        <v>3662</v>
      </c>
      <c r="B2768" s="473" t="s">
        <v>12421</v>
      </c>
      <c r="C2768" s="473" t="s">
        <v>40</v>
      </c>
      <c r="D2768" s="473" t="s">
        <v>41</v>
      </c>
      <c r="E2768" s="361">
        <v>5.17</v>
      </c>
    </row>
    <row r="2769" spans="1:5">
      <c r="A2769" s="473">
        <v>3661</v>
      </c>
      <c r="B2769" s="473" t="s">
        <v>12422</v>
      </c>
      <c r="C2769" s="473" t="s">
        <v>40</v>
      </c>
      <c r="D2769" s="473" t="s">
        <v>41</v>
      </c>
      <c r="E2769" s="361">
        <v>7.6</v>
      </c>
    </row>
    <row r="2770" spans="1:5">
      <c r="A2770" s="473">
        <v>3658</v>
      </c>
      <c r="B2770" s="473" t="s">
        <v>12423</v>
      </c>
      <c r="C2770" s="473" t="s">
        <v>40</v>
      </c>
      <c r="D2770" s="473" t="s">
        <v>41</v>
      </c>
      <c r="E2770" s="361">
        <v>9.68</v>
      </c>
    </row>
    <row r="2771" spans="1:5">
      <c r="A2771" s="473">
        <v>3670</v>
      </c>
      <c r="B2771" s="473" t="s">
        <v>12424</v>
      </c>
      <c r="C2771" s="473" t="s">
        <v>40</v>
      </c>
      <c r="D2771" s="473" t="s">
        <v>41</v>
      </c>
      <c r="E2771" s="361">
        <v>12.63</v>
      </c>
    </row>
    <row r="2772" spans="1:5">
      <c r="A2772" s="473">
        <v>3666</v>
      </c>
      <c r="B2772" s="473" t="s">
        <v>12425</v>
      </c>
      <c r="C2772" s="473" t="s">
        <v>40</v>
      </c>
      <c r="D2772" s="473" t="s">
        <v>41</v>
      </c>
      <c r="E2772" s="361">
        <v>2.14</v>
      </c>
    </row>
    <row r="2773" spans="1:5">
      <c r="A2773" s="473">
        <v>14157</v>
      </c>
      <c r="B2773" s="473" t="s">
        <v>12426</v>
      </c>
      <c r="C2773" s="473" t="s">
        <v>40</v>
      </c>
      <c r="D2773" s="473" t="s">
        <v>47</v>
      </c>
      <c r="E2773" s="361">
        <v>0.83</v>
      </c>
    </row>
    <row r="2774" spans="1:5">
      <c r="A2774" s="473">
        <v>3653</v>
      </c>
      <c r="B2774" s="473" t="s">
        <v>12427</v>
      </c>
      <c r="C2774" s="473" t="s">
        <v>40</v>
      </c>
      <c r="D2774" s="473" t="s">
        <v>47</v>
      </c>
      <c r="E2774" s="361">
        <v>66.11</v>
      </c>
    </row>
    <row r="2775" spans="1:5">
      <c r="A2775" s="473">
        <v>3649</v>
      </c>
      <c r="B2775" s="473" t="s">
        <v>12428</v>
      </c>
      <c r="C2775" s="473" t="s">
        <v>40</v>
      </c>
      <c r="D2775" s="473" t="s">
        <v>47</v>
      </c>
      <c r="E2775" s="361">
        <v>136.94</v>
      </c>
    </row>
    <row r="2776" spans="1:5">
      <c r="A2776" s="473">
        <v>42696</v>
      </c>
      <c r="B2776" s="473" t="s">
        <v>12429</v>
      </c>
      <c r="C2776" s="473" t="s">
        <v>40</v>
      </c>
      <c r="D2776" s="473" t="s">
        <v>47</v>
      </c>
      <c r="E2776" s="361">
        <v>383.16</v>
      </c>
    </row>
    <row r="2777" spans="1:5">
      <c r="A2777" s="473">
        <v>42697</v>
      </c>
      <c r="B2777" s="473" t="s">
        <v>12430</v>
      </c>
      <c r="C2777" s="473" t="s">
        <v>40</v>
      </c>
      <c r="D2777" s="473" t="s">
        <v>47</v>
      </c>
      <c r="E2777" s="361">
        <v>577.04</v>
      </c>
    </row>
    <row r="2778" spans="1:5">
      <c r="A2778" s="473">
        <v>42698</v>
      </c>
      <c r="B2778" s="473" t="s">
        <v>12431</v>
      </c>
      <c r="C2778" s="473" t="s">
        <v>40</v>
      </c>
      <c r="D2778" s="473" t="s">
        <v>47</v>
      </c>
      <c r="E2778" s="361">
        <v>803.8</v>
      </c>
    </row>
    <row r="2779" spans="1:5">
      <c r="A2779" s="473">
        <v>39875</v>
      </c>
      <c r="B2779" s="473" t="s">
        <v>12432</v>
      </c>
      <c r="C2779" s="473" t="s">
        <v>40</v>
      </c>
      <c r="D2779" s="473" t="s">
        <v>47</v>
      </c>
      <c r="E2779" s="361">
        <v>374.86</v>
      </c>
    </row>
    <row r="2780" spans="1:5">
      <c r="A2780" s="473">
        <v>39876</v>
      </c>
      <c r="B2780" s="473" t="s">
        <v>12433</v>
      </c>
      <c r="C2780" s="473" t="s">
        <v>40</v>
      </c>
      <c r="D2780" s="473" t="s">
        <v>47</v>
      </c>
      <c r="E2780" s="361">
        <v>469.33</v>
      </c>
    </row>
    <row r="2781" spans="1:5">
      <c r="A2781" s="473">
        <v>39877</v>
      </c>
      <c r="B2781" s="473" t="s">
        <v>12434</v>
      </c>
      <c r="C2781" s="473" t="s">
        <v>40</v>
      </c>
      <c r="D2781" s="473" t="s">
        <v>47</v>
      </c>
      <c r="E2781" s="361">
        <v>650.94000000000005</v>
      </c>
    </row>
    <row r="2782" spans="1:5">
      <c r="A2782" s="473">
        <v>39878</v>
      </c>
      <c r="B2782" s="473" t="s">
        <v>12435</v>
      </c>
      <c r="C2782" s="473" t="s">
        <v>40</v>
      </c>
      <c r="D2782" s="473" t="s">
        <v>47</v>
      </c>
      <c r="E2782" s="361">
        <v>859.79</v>
      </c>
    </row>
    <row r="2783" spans="1:5">
      <c r="A2783" s="473">
        <v>39872</v>
      </c>
      <c r="B2783" s="473" t="s">
        <v>12436</v>
      </c>
      <c r="C2783" s="473" t="s">
        <v>40</v>
      </c>
      <c r="D2783" s="473" t="s">
        <v>47</v>
      </c>
      <c r="E2783" s="361">
        <v>257.07</v>
      </c>
    </row>
    <row r="2784" spans="1:5">
      <c r="A2784" s="473">
        <v>39873</v>
      </c>
      <c r="B2784" s="473" t="s">
        <v>12437</v>
      </c>
      <c r="C2784" s="473" t="s">
        <v>40</v>
      </c>
      <c r="D2784" s="473" t="s">
        <v>47</v>
      </c>
      <c r="E2784" s="361">
        <v>298.19</v>
      </c>
    </row>
    <row r="2785" spans="1:5">
      <c r="A2785" s="473">
        <v>39874</v>
      </c>
      <c r="B2785" s="473" t="s">
        <v>12438</v>
      </c>
      <c r="C2785" s="473" t="s">
        <v>40</v>
      </c>
      <c r="D2785" s="473" t="s">
        <v>47</v>
      </c>
      <c r="E2785" s="361">
        <v>327.52</v>
      </c>
    </row>
    <row r="2786" spans="1:5">
      <c r="A2786" s="473">
        <v>3674</v>
      </c>
      <c r="B2786" s="473" t="s">
        <v>12439</v>
      </c>
      <c r="C2786" s="473" t="s">
        <v>48</v>
      </c>
      <c r="D2786" s="473" t="s">
        <v>41</v>
      </c>
      <c r="E2786" s="361">
        <v>53.68</v>
      </c>
    </row>
    <row r="2787" spans="1:5">
      <c r="A2787" s="473">
        <v>3681</v>
      </c>
      <c r="B2787" s="473" t="s">
        <v>12440</v>
      </c>
      <c r="C2787" s="473" t="s">
        <v>48</v>
      </c>
      <c r="D2787" s="473" t="s">
        <v>41</v>
      </c>
      <c r="E2787" s="361">
        <v>79.86</v>
      </c>
    </row>
    <row r="2788" spans="1:5">
      <c r="A2788" s="473">
        <v>3676</v>
      </c>
      <c r="B2788" s="473" t="s">
        <v>12441</v>
      </c>
      <c r="C2788" s="473" t="s">
        <v>48</v>
      </c>
      <c r="D2788" s="473" t="s">
        <v>41</v>
      </c>
      <c r="E2788" s="361">
        <v>300.57</v>
      </c>
    </row>
    <row r="2789" spans="1:5">
      <c r="A2789" s="473">
        <v>3679</v>
      </c>
      <c r="B2789" s="473" t="s">
        <v>12442</v>
      </c>
      <c r="C2789" s="473" t="s">
        <v>48</v>
      </c>
      <c r="D2789" s="473" t="s">
        <v>41</v>
      </c>
      <c r="E2789" s="361">
        <v>248.66</v>
      </c>
    </row>
    <row r="2790" spans="1:5">
      <c r="A2790" s="473">
        <v>3672</v>
      </c>
      <c r="B2790" s="473" t="s">
        <v>12443</v>
      </c>
      <c r="C2790" s="473" t="s">
        <v>48</v>
      </c>
      <c r="D2790" s="473" t="s">
        <v>41</v>
      </c>
      <c r="E2790" s="361">
        <v>0.84</v>
      </c>
    </row>
    <row r="2791" spans="1:5">
      <c r="A2791" s="473">
        <v>3671</v>
      </c>
      <c r="B2791" s="473" t="s">
        <v>12444</v>
      </c>
      <c r="C2791" s="473" t="s">
        <v>48</v>
      </c>
      <c r="D2791" s="473" t="s">
        <v>44</v>
      </c>
      <c r="E2791" s="361">
        <v>0.8</v>
      </c>
    </row>
    <row r="2792" spans="1:5">
      <c r="A2792" s="473">
        <v>3673</v>
      </c>
      <c r="B2792" s="473" t="s">
        <v>12445</v>
      </c>
      <c r="C2792" s="473" t="s">
        <v>48</v>
      </c>
      <c r="D2792" s="473" t="s">
        <v>41</v>
      </c>
      <c r="E2792" s="361">
        <v>1.25</v>
      </c>
    </row>
    <row r="2793" spans="1:5">
      <c r="A2793" s="473">
        <v>38394</v>
      </c>
      <c r="B2793" s="473" t="s">
        <v>12446</v>
      </c>
      <c r="C2793" s="473" t="s">
        <v>40</v>
      </c>
      <c r="D2793" s="473" t="s">
        <v>41</v>
      </c>
      <c r="E2793" s="361">
        <v>248.76</v>
      </c>
    </row>
    <row r="2794" spans="1:5">
      <c r="A2794" s="473">
        <v>3729</v>
      </c>
      <c r="B2794" s="473" t="s">
        <v>12447</v>
      </c>
      <c r="C2794" s="473" t="s">
        <v>40</v>
      </c>
      <c r="D2794" s="473" t="s">
        <v>41</v>
      </c>
      <c r="E2794" s="361">
        <v>53.86</v>
      </c>
    </row>
    <row r="2795" spans="1:5">
      <c r="A2795" s="473">
        <v>39357</v>
      </c>
      <c r="B2795" s="473" t="s">
        <v>12448</v>
      </c>
      <c r="C2795" s="473" t="s">
        <v>40</v>
      </c>
      <c r="D2795" s="473" t="s">
        <v>47</v>
      </c>
      <c r="E2795" s="361">
        <v>93.71</v>
      </c>
    </row>
    <row r="2796" spans="1:5">
      <c r="A2796" s="473">
        <v>39358</v>
      </c>
      <c r="B2796" s="473" t="s">
        <v>12449</v>
      </c>
      <c r="C2796" s="473" t="s">
        <v>40</v>
      </c>
      <c r="D2796" s="473" t="s">
        <v>47</v>
      </c>
      <c r="E2796" s="361">
        <v>102.75</v>
      </c>
    </row>
    <row r="2797" spans="1:5">
      <c r="A2797" s="473">
        <v>39356</v>
      </c>
      <c r="B2797" s="473" t="s">
        <v>12450</v>
      </c>
      <c r="C2797" s="473" t="s">
        <v>40</v>
      </c>
      <c r="D2797" s="473" t="s">
        <v>47</v>
      </c>
      <c r="E2797" s="361">
        <v>175.3</v>
      </c>
    </row>
    <row r="2798" spans="1:5">
      <c r="A2798" s="473">
        <v>39355</v>
      </c>
      <c r="B2798" s="473" t="s">
        <v>12451</v>
      </c>
      <c r="C2798" s="473" t="s">
        <v>40</v>
      </c>
      <c r="D2798" s="473" t="s">
        <v>47</v>
      </c>
      <c r="E2798" s="361">
        <v>150.85</v>
      </c>
    </row>
    <row r="2799" spans="1:5">
      <c r="A2799" s="473">
        <v>39353</v>
      </c>
      <c r="B2799" s="473" t="s">
        <v>12452</v>
      </c>
      <c r="C2799" s="473" t="s">
        <v>40</v>
      </c>
      <c r="D2799" s="473" t="s">
        <v>47</v>
      </c>
      <c r="E2799" s="361">
        <v>206.87</v>
      </c>
    </row>
    <row r="2800" spans="1:5">
      <c r="A2800" s="473">
        <v>39354</v>
      </c>
      <c r="B2800" s="473" t="s">
        <v>12453</v>
      </c>
      <c r="C2800" s="473" t="s">
        <v>40</v>
      </c>
      <c r="D2800" s="473" t="s">
        <v>47</v>
      </c>
      <c r="E2800" s="361">
        <v>206.18</v>
      </c>
    </row>
    <row r="2801" spans="1:5">
      <c r="A2801" s="473">
        <v>39398</v>
      </c>
      <c r="B2801" s="473" t="s">
        <v>12454</v>
      </c>
      <c r="C2801" s="473" t="s">
        <v>40</v>
      </c>
      <c r="D2801" s="473" t="s">
        <v>41</v>
      </c>
      <c r="E2801" s="361">
        <v>62.93</v>
      </c>
    </row>
    <row r="2802" spans="1:5">
      <c r="A2802" s="473">
        <v>13343</v>
      </c>
      <c r="B2802" s="473" t="s">
        <v>12455</v>
      </c>
      <c r="C2802" s="473" t="s">
        <v>40</v>
      </c>
      <c r="D2802" s="473" t="s">
        <v>41</v>
      </c>
      <c r="E2802" s="361">
        <v>32.35</v>
      </c>
    </row>
    <row r="2803" spans="1:5">
      <c r="A2803" s="473">
        <v>12118</v>
      </c>
      <c r="B2803" s="473" t="s">
        <v>12456</v>
      </c>
      <c r="C2803" s="473" t="s">
        <v>40</v>
      </c>
      <c r="D2803" s="473" t="s">
        <v>41</v>
      </c>
      <c r="E2803" s="361">
        <v>18.46</v>
      </c>
    </row>
    <row r="2804" spans="1:5">
      <c r="A2804" s="473">
        <v>39482</v>
      </c>
      <c r="B2804" s="473" t="s">
        <v>12457</v>
      </c>
      <c r="C2804" s="473" t="s">
        <v>40</v>
      </c>
      <c r="D2804" s="473" t="s">
        <v>41</v>
      </c>
      <c r="E2804" s="361">
        <v>333.33</v>
      </c>
    </row>
    <row r="2805" spans="1:5">
      <c r="A2805" s="473">
        <v>39486</v>
      </c>
      <c r="B2805" s="473" t="s">
        <v>12458</v>
      </c>
      <c r="C2805" s="473" t="s">
        <v>40</v>
      </c>
      <c r="D2805" s="473" t="s">
        <v>41</v>
      </c>
      <c r="E2805" s="361">
        <v>293.67</v>
      </c>
    </row>
    <row r="2806" spans="1:5">
      <c r="A2806" s="473">
        <v>39483</v>
      </c>
      <c r="B2806" s="473" t="s">
        <v>12459</v>
      </c>
      <c r="C2806" s="473" t="s">
        <v>40</v>
      </c>
      <c r="D2806" s="473" t="s">
        <v>41</v>
      </c>
      <c r="E2806" s="361">
        <v>317.92</v>
      </c>
    </row>
    <row r="2807" spans="1:5">
      <c r="A2807" s="473">
        <v>39487</v>
      </c>
      <c r="B2807" s="473" t="s">
        <v>12460</v>
      </c>
      <c r="C2807" s="473" t="s">
        <v>40</v>
      </c>
      <c r="D2807" s="473" t="s">
        <v>41</v>
      </c>
      <c r="E2807" s="361">
        <v>296.7</v>
      </c>
    </row>
    <row r="2808" spans="1:5">
      <c r="A2808" s="473">
        <v>39484</v>
      </c>
      <c r="B2808" s="473" t="s">
        <v>12461</v>
      </c>
      <c r="C2808" s="473" t="s">
        <v>40</v>
      </c>
      <c r="D2808" s="473" t="s">
        <v>41</v>
      </c>
      <c r="E2808" s="361">
        <v>320.95</v>
      </c>
    </row>
    <row r="2809" spans="1:5">
      <c r="A2809" s="473">
        <v>39488</v>
      </c>
      <c r="B2809" s="473" t="s">
        <v>12462</v>
      </c>
      <c r="C2809" s="473" t="s">
        <v>40</v>
      </c>
      <c r="D2809" s="473" t="s">
        <v>41</v>
      </c>
      <c r="E2809" s="361">
        <v>299.73</v>
      </c>
    </row>
    <row r="2810" spans="1:5">
      <c r="A2810" s="473">
        <v>39485</v>
      </c>
      <c r="B2810" s="473" t="s">
        <v>12463</v>
      </c>
      <c r="C2810" s="473" t="s">
        <v>40</v>
      </c>
      <c r="D2810" s="473" t="s">
        <v>41</v>
      </c>
      <c r="E2810" s="361">
        <v>336.12</v>
      </c>
    </row>
    <row r="2811" spans="1:5">
      <c r="A2811" s="473">
        <v>39489</v>
      </c>
      <c r="B2811" s="473" t="s">
        <v>12464</v>
      </c>
      <c r="C2811" s="473" t="s">
        <v>40</v>
      </c>
      <c r="D2811" s="473" t="s">
        <v>41</v>
      </c>
      <c r="E2811" s="361">
        <v>314.89999999999998</v>
      </c>
    </row>
    <row r="2812" spans="1:5">
      <c r="A2812" s="473">
        <v>39494</v>
      </c>
      <c r="B2812" s="473" t="s">
        <v>12465</v>
      </c>
      <c r="C2812" s="473" t="s">
        <v>40</v>
      </c>
      <c r="D2812" s="473" t="s">
        <v>41</v>
      </c>
      <c r="E2812" s="361">
        <v>321.20999999999998</v>
      </c>
    </row>
    <row r="2813" spans="1:5">
      <c r="A2813" s="473">
        <v>39490</v>
      </c>
      <c r="B2813" s="473" t="s">
        <v>12466</v>
      </c>
      <c r="C2813" s="473" t="s">
        <v>40</v>
      </c>
      <c r="D2813" s="473" t="s">
        <v>41</v>
      </c>
      <c r="E2813" s="361">
        <v>364.12</v>
      </c>
    </row>
    <row r="2814" spans="1:5">
      <c r="A2814" s="473">
        <v>39495</v>
      </c>
      <c r="B2814" s="473" t="s">
        <v>12467</v>
      </c>
      <c r="C2814" s="473" t="s">
        <v>40</v>
      </c>
      <c r="D2814" s="473" t="s">
        <v>41</v>
      </c>
      <c r="E2814" s="361">
        <v>333.33</v>
      </c>
    </row>
    <row r="2815" spans="1:5">
      <c r="A2815" s="473">
        <v>39491</v>
      </c>
      <c r="B2815" s="473" t="s">
        <v>12468</v>
      </c>
      <c r="C2815" s="473" t="s">
        <v>40</v>
      </c>
      <c r="D2815" s="473" t="s">
        <v>41</v>
      </c>
      <c r="E2815" s="361">
        <v>375.75</v>
      </c>
    </row>
    <row r="2816" spans="1:5">
      <c r="A2816" s="473">
        <v>39496</v>
      </c>
      <c r="B2816" s="473" t="s">
        <v>12469</v>
      </c>
      <c r="C2816" s="473" t="s">
        <v>40</v>
      </c>
      <c r="D2816" s="473" t="s">
        <v>41</v>
      </c>
      <c r="E2816" s="361">
        <v>345.33</v>
      </c>
    </row>
    <row r="2817" spans="1:5">
      <c r="A2817" s="473">
        <v>39492</v>
      </c>
      <c r="B2817" s="473" t="s">
        <v>12470</v>
      </c>
      <c r="C2817" s="473" t="s">
        <v>40</v>
      </c>
      <c r="D2817" s="473" t="s">
        <v>41</v>
      </c>
      <c r="E2817" s="361">
        <v>378.06</v>
      </c>
    </row>
    <row r="2818" spans="1:5">
      <c r="A2818" s="473">
        <v>39497</v>
      </c>
      <c r="B2818" s="473" t="s">
        <v>12471</v>
      </c>
      <c r="C2818" s="473" t="s">
        <v>40</v>
      </c>
      <c r="D2818" s="473" t="s">
        <v>41</v>
      </c>
      <c r="E2818" s="361">
        <v>357.45</v>
      </c>
    </row>
    <row r="2819" spans="1:5">
      <c r="A2819" s="473">
        <v>39493</v>
      </c>
      <c r="B2819" s="473" t="s">
        <v>12472</v>
      </c>
      <c r="C2819" s="473" t="s">
        <v>40</v>
      </c>
      <c r="D2819" s="473" t="s">
        <v>41</v>
      </c>
      <c r="E2819" s="361">
        <v>399.99</v>
      </c>
    </row>
    <row r="2820" spans="1:5">
      <c r="A2820" s="473">
        <v>39500</v>
      </c>
      <c r="B2820" s="473" t="s">
        <v>12473</v>
      </c>
      <c r="C2820" s="473" t="s">
        <v>40</v>
      </c>
      <c r="D2820" s="473" t="s">
        <v>41</v>
      </c>
      <c r="E2820" s="361">
        <v>401.3</v>
      </c>
    </row>
    <row r="2821" spans="1:5">
      <c r="A2821" s="473">
        <v>39498</v>
      </c>
      <c r="B2821" s="473" t="s">
        <v>12474</v>
      </c>
      <c r="C2821" s="473" t="s">
        <v>40</v>
      </c>
      <c r="D2821" s="473" t="s">
        <v>41</v>
      </c>
      <c r="E2821" s="361">
        <v>446.24</v>
      </c>
    </row>
    <row r="2822" spans="1:5">
      <c r="A2822" s="473">
        <v>39501</v>
      </c>
      <c r="B2822" s="473" t="s">
        <v>12475</v>
      </c>
      <c r="C2822" s="473" t="s">
        <v>40</v>
      </c>
      <c r="D2822" s="473" t="s">
        <v>41</v>
      </c>
      <c r="E2822" s="361">
        <v>411.75</v>
      </c>
    </row>
    <row r="2823" spans="1:5">
      <c r="A2823" s="473">
        <v>39499</v>
      </c>
      <c r="B2823" s="473" t="s">
        <v>12476</v>
      </c>
      <c r="C2823" s="473" t="s">
        <v>40</v>
      </c>
      <c r="D2823" s="473" t="s">
        <v>41</v>
      </c>
      <c r="E2823" s="361">
        <v>484.09</v>
      </c>
    </row>
    <row r="2824" spans="1:5">
      <c r="A2824" s="473">
        <v>3733</v>
      </c>
      <c r="B2824" s="473" t="s">
        <v>12477</v>
      </c>
      <c r="C2824" s="473" t="s">
        <v>46</v>
      </c>
      <c r="D2824" s="473" t="s">
        <v>47</v>
      </c>
      <c r="E2824" s="361">
        <v>48.75</v>
      </c>
    </row>
    <row r="2825" spans="1:5">
      <c r="A2825" s="473">
        <v>3731</v>
      </c>
      <c r="B2825" s="473" t="s">
        <v>12478</v>
      </c>
      <c r="C2825" s="473" t="s">
        <v>46</v>
      </c>
      <c r="D2825" s="473" t="s">
        <v>47</v>
      </c>
      <c r="E2825" s="361">
        <v>45.25</v>
      </c>
    </row>
    <row r="2826" spans="1:5">
      <c r="A2826" s="473">
        <v>38137</v>
      </c>
      <c r="B2826" s="473" t="s">
        <v>12479</v>
      </c>
      <c r="C2826" s="473" t="s">
        <v>46</v>
      </c>
      <c r="D2826" s="473" t="s">
        <v>47</v>
      </c>
      <c r="E2826" s="361">
        <v>45.51</v>
      </c>
    </row>
    <row r="2827" spans="1:5">
      <c r="A2827" s="473">
        <v>38135</v>
      </c>
      <c r="B2827" s="473" t="s">
        <v>12480</v>
      </c>
      <c r="C2827" s="473" t="s">
        <v>46</v>
      </c>
      <c r="D2827" s="473" t="s">
        <v>47</v>
      </c>
      <c r="E2827" s="361">
        <v>57.7</v>
      </c>
    </row>
    <row r="2828" spans="1:5">
      <c r="A2828" s="473">
        <v>38138</v>
      </c>
      <c r="B2828" s="473" t="s">
        <v>12481</v>
      </c>
      <c r="C2828" s="473" t="s">
        <v>46</v>
      </c>
      <c r="D2828" s="473" t="s">
        <v>47</v>
      </c>
      <c r="E2828" s="361">
        <v>44.69</v>
      </c>
    </row>
    <row r="2829" spans="1:5">
      <c r="A2829" s="473">
        <v>3736</v>
      </c>
      <c r="B2829" s="473" t="s">
        <v>12482</v>
      </c>
      <c r="C2829" s="473" t="s">
        <v>46</v>
      </c>
      <c r="D2829" s="473" t="s">
        <v>44</v>
      </c>
      <c r="E2829" s="361">
        <v>27</v>
      </c>
    </row>
    <row r="2830" spans="1:5">
      <c r="A2830" s="473">
        <v>3741</v>
      </c>
      <c r="B2830" s="473" t="s">
        <v>12483</v>
      </c>
      <c r="C2830" s="473" t="s">
        <v>46</v>
      </c>
      <c r="D2830" s="473" t="s">
        <v>41</v>
      </c>
      <c r="E2830" s="361">
        <v>28.14</v>
      </c>
    </row>
    <row r="2831" spans="1:5">
      <c r="A2831" s="473">
        <v>3745</v>
      </c>
      <c r="B2831" s="473" t="s">
        <v>12484</v>
      </c>
      <c r="C2831" s="473" t="s">
        <v>46</v>
      </c>
      <c r="D2831" s="473" t="s">
        <v>41</v>
      </c>
      <c r="E2831" s="361">
        <v>30.34</v>
      </c>
    </row>
    <row r="2832" spans="1:5">
      <c r="A2832" s="473">
        <v>3743</v>
      </c>
      <c r="B2832" s="473" t="s">
        <v>12485</v>
      </c>
      <c r="C2832" s="473" t="s">
        <v>46</v>
      </c>
      <c r="D2832" s="473" t="s">
        <v>41</v>
      </c>
      <c r="E2832" s="361">
        <v>28.04</v>
      </c>
    </row>
    <row r="2833" spans="1:5">
      <c r="A2833" s="473">
        <v>3744</v>
      </c>
      <c r="B2833" s="473" t="s">
        <v>12486</v>
      </c>
      <c r="C2833" s="473" t="s">
        <v>46</v>
      </c>
      <c r="D2833" s="473" t="s">
        <v>41</v>
      </c>
      <c r="E2833" s="361">
        <v>30.87</v>
      </c>
    </row>
    <row r="2834" spans="1:5">
      <c r="A2834" s="473">
        <v>3739</v>
      </c>
      <c r="B2834" s="473" t="s">
        <v>12487</v>
      </c>
      <c r="C2834" s="473" t="s">
        <v>46</v>
      </c>
      <c r="D2834" s="473" t="s">
        <v>41</v>
      </c>
      <c r="E2834" s="361">
        <v>32.44</v>
      </c>
    </row>
    <row r="2835" spans="1:5">
      <c r="A2835" s="473">
        <v>3737</v>
      </c>
      <c r="B2835" s="473" t="s">
        <v>12488</v>
      </c>
      <c r="C2835" s="473" t="s">
        <v>46</v>
      </c>
      <c r="D2835" s="473" t="s">
        <v>41</v>
      </c>
      <c r="E2835" s="361">
        <v>34.01</v>
      </c>
    </row>
    <row r="2836" spans="1:5">
      <c r="A2836" s="473">
        <v>3738</v>
      </c>
      <c r="B2836" s="473" t="s">
        <v>12489</v>
      </c>
      <c r="C2836" s="473" t="s">
        <v>46</v>
      </c>
      <c r="D2836" s="473" t="s">
        <v>41</v>
      </c>
      <c r="E2836" s="361">
        <v>39.24</v>
      </c>
    </row>
    <row r="2837" spans="1:5">
      <c r="A2837" s="473">
        <v>3747</v>
      </c>
      <c r="B2837" s="473" t="s">
        <v>12490</v>
      </c>
      <c r="C2837" s="473" t="s">
        <v>46</v>
      </c>
      <c r="D2837" s="473" t="s">
        <v>41</v>
      </c>
      <c r="E2837" s="361">
        <v>30.87</v>
      </c>
    </row>
    <row r="2838" spans="1:5">
      <c r="A2838" s="473">
        <v>11649</v>
      </c>
      <c r="B2838" s="473" t="s">
        <v>12491</v>
      </c>
      <c r="C2838" s="473" t="s">
        <v>40</v>
      </c>
      <c r="D2838" s="473" t="s">
        <v>41</v>
      </c>
      <c r="E2838" s="361">
        <v>223.95</v>
      </c>
    </row>
    <row r="2839" spans="1:5">
      <c r="A2839" s="473">
        <v>11650</v>
      </c>
      <c r="B2839" s="473" t="s">
        <v>12492</v>
      </c>
      <c r="C2839" s="473" t="s">
        <v>40</v>
      </c>
      <c r="D2839" s="473" t="s">
        <v>41</v>
      </c>
      <c r="E2839" s="361">
        <v>381.71</v>
      </c>
    </row>
    <row r="2840" spans="1:5">
      <c r="A2840" s="473">
        <v>3742</v>
      </c>
      <c r="B2840" s="473" t="s">
        <v>12493</v>
      </c>
      <c r="C2840" s="473" t="s">
        <v>46</v>
      </c>
      <c r="D2840" s="473" t="s">
        <v>41</v>
      </c>
      <c r="E2840" s="361">
        <v>40.700000000000003</v>
      </c>
    </row>
    <row r="2841" spans="1:5">
      <c r="A2841" s="473">
        <v>3746</v>
      </c>
      <c r="B2841" s="473" t="s">
        <v>12494</v>
      </c>
      <c r="C2841" s="473" t="s">
        <v>46</v>
      </c>
      <c r="D2841" s="473" t="s">
        <v>41</v>
      </c>
      <c r="E2841" s="361">
        <v>47.53</v>
      </c>
    </row>
    <row r="2842" spans="1:5">
      <c r="A2842" s="473">
        <v>21106</v>
      </c>
      <c r="B2842" s="473" t="s">
        <v>12495</v>
      </c>
      <c r="C2842" s="473" t="s">
        <v>49</v>
      </c>
      <c r="D2842" s="473" t="s">
        <v>47</v>
      </c>
      <c r="E2842" s="361">
        <v>28.75</v>
      </c>
    </row>
    <row r="2843" spans="1:5">
      <c r="A2843" s="473">
        <v>3755</v>
      </c>
      <c r="B2843" s="473" t="s">
        <v>12496</v>
      </c>
      <c r="C2843" s="473" t="s">
        <v>40</v>
      </c>
      <c r="D2843" s="473" t="s">
        <v>47</v>
      </c>
      <c r="E2843" s="361">
        <v>17.93</v>
      </c>
    </row>
    <row r="2844" spans="1:5">
      <c r="A2844" s="473">
        <v>3750</v>
      </c>
      <c r="B2844" s="473" t="s">
        <v>12497</v>
      </c>
      <c r="C2844" s="473" t="s">
        <v>40</v>
      </c>
      <c r="D2844" s="473" t="s">
        <v>47</v>
      </c>
      <c r="E2844" s="361">
        <v>24.11</v>
      </c>
    </row>
    <row r="2845" spans="1:5">
      <c r="A2845" s="473">
        <v>3756</v>
      </c>
      <c r="B2845" s="473" t="s">
        <v>12498</v>
      </c>
      <c r="C2845" s="473" t="s">
        <v>40</v>
      </c>
      <c r="D2845" s="473" t="s">
        <v>47</v>
      </c>
      <c r="E2845" s="361">
        <v>45.05</v>
      </c>
    </row>
    <row r="2846" spans="1:5">
      <c r="A2846" s="473">
        <v>39377</v>
      </c>
      <c r="B2846" s="473" t="s">
        <v>12499</v>
      </c>
      <c r="C2846" s="473" t="s">
        <v>40</v>
      </c>
      <c r="D2846" s="473" t="s">
        <v>47</v>
      </c>
      <c r="E2846" s="361">
        <v>133.44999999999999</v>
      </c>
    </row>
    <row r="2847" spans="1:5">
      <c r="A2847" s="473">
        <v>38191</v>
      </c>
      <c r="B2847" s="473" t="s">
        <v>12500</v>
      </c>
      <c r="C2847" s="473" t="s">
        <v>40</v>
      </c>
      <c r="D2847" s="473" t="s">
        <v>47</v>
      </c>
      <c r="E2847" s="361">
        <v>9.93</v>
      </c>
    </row>
    <row r="2848" spans="1:5">
      <c r="A2848" s="473">
        <v>39381</v>
      </c>
      <c r="B2848" s="473" t="s">
        <v>12501</v>
      </c>
      <c r="C2848" s="473" t="s">
        <v>40</v>
      </c>
      <c r="D2848" s="473" t="s">
        <v>47</v>
      </c>
      <c r="E2848" s="361">
        <v>9.26</v>
      </c>
    </row>
    <row r="2849" spans="1:5">
      <c r="A2849" s="473">
        <v>38780</v>
      </c>
      <c r="B2849" s="473" t="s">
        <v>12502</v>
      </c>
      <c r="C2849" s="473" t="s">
        <v>40</v>
      </c>
      <c r="D2849" s="473" t="s">
        <v>47</v>
      </c>
      <c r="E2849" s="361">
        <v>11.34</v>
      </c>
    </row>
    <row r="2850" spans="1:5">
      <c r="A2850" s="473">
        <v>38781</v>
      </c>
      <c r="B2850" s="473" t="s">
        <v>12503</v>
      </c>
      <c r="C2850" s="473" t="s">
        <v>40</v>
      </c>
      <c r="D2850" s="473" t="s">
        <v>47</v>
      </c>
      <c r="E2850" s="361">
        <v>38.270000000000003</v>
      </c>
    </row>
    <row r="2851" spans="1:5">
      <c r="A2851" s="473">
        <v>38192</v>
      </c>
      <c r="B2851" s="473" t="s">
        <v>12504</v>
      </c>
      <c r="C2851" s="473" t="s">
        <v>40</v>
      </c>
      <c r="D2851" s="473" t="s">
        <v>47</v>
      </c>
      <c r="E2851" s="361">
        <v>69.260000000000005</v>
      </c>
    </row>
    <row r="2852" spans="1:5">
      <c r="A2852" s="473">
        <v>3753</v>
      </c>
      <c r="B2852" s="473" t="s">
        <v>12505</v>
      </c>
      <c r="C2852" s="473" t="s">
        <v>40</v>
      </c>
      <c r="D2852" s="473" t="s">
        <v>47</v>
      </c>
      <c r="E2852" s="361">
        <v>6.06</v>
      </c>
    </row>
    <row r="2853" spans="1:5">
      <c r="A2853" s="473">
        <v>38782</v>
      </c>
      <c r="B2853" s="473" t="s">
        <v>12506</v>
      </c>
      <c r="C2853" s="473" t="s">
        <v>40</v>
      </c>
      <c r="D2853" s="473" t="s">
        <v>47</v>
      </c>
      <c r="E2853" s="361">
        <v>7.89</v>
      </c>
    </row>
    <row r="2854" spans="1:5">
      <c r="A2854" s="473">
        <v>38778</v>
      </c>
      <c r="B2854" s="473" t="s">
        <v>12507</v>
      </c>
      <c r="C2854" s="473" t="s">
        <v>40</v>
      </c>
      <c r="D2854" s="473" t="s">
        <v>47</v>
      </c>
      <c r="E2854" s="361">
        <v>5.92</v>
      </c>
    </row>
    <row r="2855" spans="1:5">
      <c r="A2855" s="473">
        <v>38779</v>
      </c>
      <c r="B2855" s="473" t="s">
        <v>12508</v>
      </c>
      <c r="C2855" s="473" t="s">
        <v>40</v>
      </c>
      <c r="D2855" s="473" t="s">
        <v>47</v>
      </c>
      <c r="E2855" s="361">
        <v>6.28</v>
      </c>
    </row>
    <row r="2856" spans="1:5">
      <c r="A2856" s="473">
        <v>39388</v>
      </c>
      <c r="B2856" s="473" t="s">
        <v>12509</v>
      </c>
      <c r="C2856" s="473" t="s">
        <v>40</v>
      </c>
      <c r="D2856" s="473" t="s">
        <v>47</v>
      </c>
      <c r="E2856" s="361">
        <v>30.59</v>
      </c>
    </row>
    <row r="2857" spans="1:5">
      <c r="A2857" s="473">
        <v>39387</v>
      </c>
      <c r="B2857" s="473" t="s">
        <v>12510</v>
      </c>
      <c r="C2857" s="473" t="s">
        <v>40</v>
      </c>
      <c r="D2857" s="473" t="s">
        <v>47</v>
      </c>
      <c r="E2857" s="361">
        <v>51.61</v>
      </c>
    </row>
    <row r="2858" spans="1:5">
      <c r="A2858" s="473">
        <v>39386</v>
      </c>
      <c r="B2858" s="473" t="s">
        <v>12511</v>
      </c>
      <c r="C2858" s="473" t="s">
        <v>40</v>
      </c>
      <c r="D2858" s="473" t="s">
        <v>47</v>
      </c>
      <c r="E2858" s="361">
        <v>34.130000000000003</v>
      </c>
    </row>
    <row r="2859" spans="1:5">
      <c r="A2859" s="473">
        <v>38194</v>
      </c>
      <c r="B2859" s="473" t="s">
        <v>12512</v>
      </c>
      <c r="C2859" s="473" t="s">
        <v>40</v>
      </c>
      <c r="D2859" s="473" t="s">
        <v>47</v>
      </c>
      <c r="E2859" s="361">
        <v>29.1</v>
      </c>
    </row>
    <row r="2860" spans="1:5">
      <c r="A2860" s="473">
        <v>38193</v>
      </c>
      <c r="B2860" s="473" t="s">
        <v>12513</v>
      </c>
      <c r="C2860" s="473" t="s">
        <v>40</v>
      </c>
      <c r="D2860" s="473" t="s">
        <v>47</v>
      </c>
      <c r="E2860" s="361">
        <v>21.52</v>
      </c>
    </row>
    <row r="2861" spans="1:5">
      <c r="A2861" s="473">
        <v>12216</v>
      </c>
      <c r="B2861" s="473" t="s">
        <v>12514</v>
      </c>
      <c r="C2861" s="473" t="s">
        <v>40</v>
      </c>
      <c r="D2861" s="473" t="s">
        <v>47</v>
      </c>
      <c r="E2861" s="361">
        <v>34.630000000000003</v>
      </c>
    </row>
    <row r="2862" spans="1:5">
      <c r="A2862" s="473">
        <v>3757</v>
      </c>
      <c r="B2862" s="473" t="s">
        <v>12515</v>
      </c>
      <c r="C2862" s="473" t="s">
        <v>40</v>
      </c>
      <c r="D2862" s="473" t="s">
        <v>47</v>
      </c>
      <c r="E2862" s="361">
        <v>40.049999999999997</v>
      </c>
    </row>
    <row r="2863" spans="1:5">
      <c r="A2863" s="473">
        <v>3758</v>
      </c>
      <c r="B2863" s="473" t="s">
        <v>12516</v>
      </c>
      <c r="C2863" s="473" t="s">
        <v>40</v>
      </c>
      <c r="D2863" s="473" t="s">
        <v>47</v>
      </c>
      <c r="E2863" s="361">
        <v>46.7</v>
      </c>
    </row>
    <row r="2864" spans="1:5">
      <c r="A2864" s="473">
        <v>12214</v>
      </c>
      <c r="B2864" s="473" t="s">
        <v>12517</v>
      </c>
      <c r="C2864" s="473" t="s">
        <v>40</v>
      </c>
      <c r="D2864" s="473" t="s">
        <v>47</v>
      </c>
      <c r="E2864" s="361">
        <v>15.99</v>
      </c>
    </row>
    <row r="2865" spans="1:5">
      <c r="A2865" s="473">
        <v>3749</v>
      </c>
      <c r="B2865" s="473" t="s">
        <v>12518</v>
      </c>
      <c r="C2865" s="473" t="s">
        <v>40</v>
      </c>
      <c r="D2865" s="473" t="s">
        <v>47</v>
      </c>
      <c r="E2865" s="361">
        <v>28.5</v>
      </c>
    </row>
    <row r="2866" spans="1:5">
      <c r="A2866" s="473">
        <v>3751</v>
      </c>
      <c r="B2866" s="473" t="s">
        <v>12519</v>
      </c>
      <c r="C2866" s="473" t="s">
        <v>40</v>
      </c>
      <c r="D2866" s="473" t="s">
        <v>47</v>
      </c>
      <c r="E2866" s="361">
        <v>38.89</v>
      </c>
    </row>
    <row r="2867" spans="1:5">
      <c r="A2867" s="473">
        <v>39376</v>
      </c>
      <c r="B2867" s="473" t="s">
        <v>12520</v>
      </c>
      <c r="C2867" s="473" t="s">
        <v>40</v>
      </c>
      <c r="D2867" s="473" t="s">
        <v>47</v>
      </c>
      <c r="E2867" s="361">
        <v>32.79</v>
      </c>
    </row>
    <row r="2868" spans="1:5">
      <c r="A2868" s="473">
        <v>3752</v>
      </c>
      <c r="B2868" s="473" t="s">
        <v>12521</v>
      </c>
      <c r="C2868" s="473" t="s">
        <v>40</v>
      </c>
      <c r="D2868" s="473" t="s">
        <v>47</v>
      </c>
      <c r="E2868" s="361">
        <v>64.16</v>
      </c>
    </row>
    <row r="2869" spans="1:5">
      <c r="A2869" s="473">
        <v>746</v>
      </c>
      <c r="B2869" s="473" t="s">
        <v>12522</v>
      </c>
      <c r="C2869" s="473" t="s">
        <v>40</v>
      </c>
      <c r="D2869" s="473" t="s">
        <v>44</v>
      </c>
      <c r="E2869" s="361">
        <v>1877.19</v>
      </c>
    </row>
    <row r="2870" spans="1:5">
      <c r="A2870" s="473">
        <v>36521</v>
      </c>
      <c r="B2870" s="473" t="s">
        <v>12523</v>
      </c>
      <c r="C2870" s="473" t="s">
        <v>40</v>
      </c>
      <c r="D2870" s="473" t="s">
        <v>41</v>
      </c>
      <c r="E2870" s="361">
        <v>116.48</v>
      </c>
    </row>
    <row r="2871" spans="1:5">
      <c r="A2871" s="473">
        <v>36794</v>
      </c>
      <c r="B2871" s="473" t="s">
        <v>12524</v>
      </c>
      <c r="C2871" s="473" t="s">
        <v>40</v>
      </c>
      <c r="D2871" s="473" t="s">
        <v>41</v>
      </c>
      <c r="E2871" s="361">
        <v>118.73</v>
      </c>
    </row>
    <row r="2872" spans="1:5">
      <c r="A2872" s="473">
        <v>10426</v>
      </c>
      <c r="B2872" s="473" t="s">
        <v>12525</v>
      </c>
      <c r="C2872" s="473" t="s">
        <v>40</v>
      </c>
      <c r="D2872" s="473" t="s">
        <v>41</v>
      </c>
      <c r="E2872" s="361">
        <v>171.01</v>
      </c>
    </row>
    <row r="2873" spans="1:5">
      <c r="A2873" s="473">
        <v>10425</v>
      </c>
      <c r="B2873" s="473" t="s">
        <v>12526</v>
      </c>
      <c r="C2873" s="473" t="s">
        <v>40</v>
      </c>
      <c r="D2873" s="473" t="s">
        <v>41</v>
      </c>
      <c r="E2873" s="361">
        <v>75.41</v>
      </c>
    </row>
    <row r="2874" spans="1:5">
      <c r="A2874" s="473">
        <v>10431</v>
      </c>
      <c r="B2874" s="473" t="s">
        <v>12527</v>
      </c>
      <c r="C2874" s="473" t="s">
        <v>40</v>
      </c>
      <c r="D2874" s="473" t="s">
        <v>41</v>
      </c>
      <c r="E2874" s="361">
        <v>187.61</v>
      </c>
    </row>
    <row r="2875" spans="1:5">
      <c r="A2875" s="473">
        <v>10429</v>
      </c>
      <c r="B2875" s="473" t="s">
        <v>12528</v>
      </c>
      <c r="C2875" s="473" t="s">
        <v>40</v>
      </c>
      <c r="D2875" s="473" t="s">
        <v>41</v>
      </c>
      <c r="E2875" s="361">
        <v>89.94</v>
      </c>
    </row>
    <row r="2876" spans="1:5">
      <c r="A2876" s="473">
        <v>20269</v>
      </c>
      <c r="B2876" s="473" t="s">
        <v>12529</v>
      </c>
      <c r="C2876" s="473" t="s">
        <v>40</v>
      </c>
      <c r="D2876" s="473" t="s">
        <v>41</v>
      </c>
      <c r="E2876" s="361">
        <v>74.13</v>
      </c>
    </row>
    <row r="2877" spans="1:5">
      <c r="A2877" s="473">
        <v>20270</v>
      </c>
      <c r="B2877" s="473" t="s">
        <v>12530</v>
      </c>
      <c r="C2877" s="473" t="s">
        <v>40</v>
      </c>
      <c r="D2877" s="473" t="s">
        <v>41</v>
      </c>
      <c r="E2877" s="361">
        <v>80.72</v>
      </c>
    </row>
    <row r="2878" spans="1:5">
      <c r="A2878" s="473">
        <v>11696</v>
      </c>
      <c r="B2878" s="473" t="s">
        <v>12531</v>
      </c>
      <c r="C2878" s="473" t="s">
        <v>40</v>
      </c>
      <c r="D2878" s="473" t="s">
        <v>41</v>
      </c>
      <c r="E2878" s="361">
        <v>117.92</v>
      </c>
    </row>
    <row r="2879" spans="1:5">
      <c r="A2879" s="473">
        <v>10427</v>
      </c>
      <c r="B2879" s="473" t="s">
        <v>12532</v>
      </c>
      <c r="C2879" s="473" t="s">
        <v>40</v>
      </c>
      <c r="D2879" s="473" t="s">
        <v>41</v>
      </c>
      <c r="E2879" s="361">
        <v>211.44</v>
      </c>
    </row>
    <row r="2880" spans="1:5">
      <c r="A2880" s="473">
        <v>10428</v>
      </c>
      <c r="B2880" s="473" t="s">
        <v>12533</v>
      </c>
      <c r="C2880" s="473" t="s">
        <v>40</v>
      </c>
      <c r="D2880" s="473" t="s">
        <v>41</v>
      </c>
      <c r="E2880" s="361">
        <v>214.6</v>
      </c>
    </row>
    <row r="2881" spans="1:5">
      <c r="A2881" s="473">
        <v>2354</v>
      </c>
      <c r="B2881" s="473" t="s">
        <v>12534</v>
      </c>
      <c r="C2881" s="473" t="s">
        <v>43</v>
      </c>
      <c r="D2881" s="473" t="s">
        <v>41</v>
      </c>
      <c r="E2881" s="361">
        <v>19.47</v>
      </c>
    </row>
    <row r="2882" spans="1:5">
      <c r="A2882" s="473">
        <v>40932</v>
      </c>
      <c r="B2882" s="473" t="s">
        <v>12535</v>
      </c>
      <c r="C2882" s="473" t="s">
        <v>53</v>
      </c>
      <c r="D2882" s="473" t="s">
        <v>41</v>
      </c>
      <c r="E2882" s="361">
        <v>3472.08</v>
      </c>
    </row>
    <row r="2883" spans="1:5">
      <c r="A2883" s="473">
        <v>10853</v>
      </c>
      <c r="B2883" s="473" t="s">
        <v>12536</v>
      </c>
      <c r="C2883" s="473" t="s">
        <v>40</v>
      </c>
      <c r="D2883" s="473" t="s">
        <v>41</v>
      </c>
      <c r="E2883" s="361">
        <v>72.92</v>
      </c>
    </row>
    <row r="2884" spans="1:5">
      <c r="A2884" s="473">
        <v>5093</v>
      </c>
      <c r="B2884" s="473" t="s">
        <v>12537</v>
      </c>
      <c r="C2884" s="473" t="s">
        <v>42</v>
      </c>
      <c r="D2884" s="473" t="s">
        <v>41</v>
      </c>
      <c r="E2884" s="361">
        <v>13.29</v>
      </c>
    </row>
    <row r="2885" spans="1:5">
      <c r="A2885" s="473">
        <v>37768</v>
      </c>
      <c r="B2885" s="473" t="s">
        <v>12538</v>
      </c>
      <c r="C2885" s="473" t="s">
        <v>40</v>
      </c>
      <c r="D2885" s="473" t="s">
        <v>47</v>
      </c>
      <c r="E2885" s="361">
        <v>98500</v>
      </c>
    </row>
    <row r="2886" spans="1:5">
      <c r="A2886" s="473">
        <v>37773</v>
      </c>
      <c r="B2886" s="473" t="s">
        <v>12539</v>
      </c>
      <c r="C2886" s="473" t="s">
        <v>40</v>
      </c>
      <c r="D2886" s="473" t="s">
        <v>47</v>
      </c>
      <c r="E2886" s="361">
        <v>83643.100000000006</v>
      </c>
    </row>
    <row r="2887" spans="1:5">
      <c r="A2887" s="473">
        <v>37769</v>
      </c>
      <c r="B2887" s="473" t="s">
        <v>12540</v>
      </c>
      <c r="C2887" s="473" t="s">
        <v>40</v>
      </c>
      <c r="D2887" s="473" t="s">
        <v>47</v>
      </c>
      <c r="E2887" s="361">
        <v>140029.09</v>
      </c>
    </row>
    <row r="2888" spans="1:5">
      <c r="A2888" s="473">
        <v>37770</v>
      </c>
      <c r="B2888" s="473" t="s">
        <v>12541</v>
      </c>
      <c r="C2888" s="473" t="s">
        <v>40</v>
      </c>
      <c r="D2888" s="473" t="s">
        <v>47</v>
      </c>
      <c r="E2888" s="361">
        <v>237651.71</v>
      </c>
    </row>
    <row r="2889" spans="1:5">
      <c r="A2889" s="473">
        <v>38382</v>
      </c>
      <c r="B2889" s="473" t="s">
        <v>12542</v>
      </c>
      <c r="C2889" s="473" t="s">
        <v>40</v>
      </c>
      <c r="D2889" s="473" t="s">
        <v>41</v>
      </c>
      <c r="E2889" s="361">
        <v>9.0500000000000007</v>
      </c>
    </row>
    <row r="2890" spans="1:5">
      <c r="A2890" s="473">
        <v>6091</v>
      </c>
      <c r="B2890" s="473" t="s">
        <v>12543</v>
      </c>
      <c r="C2890" s="473" t="s">
        <v>50</v>
      </c>
      <c r="D2890" s="473" t="s">
        <v>41</v>
      </c>
      <c r="E2890" s="361">
        <v>20.68</v>
      </c>
    </row>
    <row r="2891" spans="1:5">
      <c r="A2891" s="473">
        <v>38383</v>
      </c>
      <c r="B2891" s="473" t="s">
        <v>12544</v>
      </c>
      <c r="C2891" s="473" t="s">
        <v>40</v>
      </c>
      <c r="D2891" s="473" t="s">
        <v>41</v>
      </c>
      <c r="E2891" s="361">
        <v>1.69</v>
      </c>
    </row>
    <row r="2892" spans="1:5">
      <c r="A2892" s="473">
        <v>3768</v>
      </c>
      <c r="B2892" s="473" t="s">
        <v>12545</v>
      </c>
      <c r="C2892" s="473" t="s">
        <v>40</v>
      </c>
      <c r="D2892" s="473" t="s">
        <v>41</v>
      </c>
      <c r="E2892" s="361">
        <v>2.9</v>
      </c>
    </row>
    <row r="2893" spans="1:5">
      <c r="A2893" s="473">
        <v>3767</v>
      </c>
      <c r="B2893" s="473" t="s">
        <v>12546</v>
      </c>
      <c r="C2893" s="473" t="s">
        <v>40</v>
      </c>
      <c r="D2893" s="473" t="s">
        <v>41</v>
      </c>
      <c r="E2893" s="361">
        <v>0.69</v>
      </c>
    </row>
    <row r="2894" spans="1:5">
      <c r="A2894" s="473">
        <v>13192</v>
      </c>
      <c r="B2894" s="473" t="s">
        <v>12547</v>
      </c>
      <c r="C2894" s="473" t="s">
        <v>40</v>
      </c>
      <c r="D2894" s="473" t="s">
        <v>41</v>
      </c>
      <c r="E2894" s="361">
        <v>3739.7</v>
      </c>
    </row>
    <row r="2895" spans="1:5">
      <c r="A2895" s="473">
        <v>38413</v>
      </c>
      <c r="B2895" s="473" t="s">
        <v>12548</v>
      </c>
      <c r="C2895" s="473" t="s">
        <v>40</v>
      </c>
      <c r="D2895" s="473" t="s">
        <v>41</v>
      </c>
      <c r="E2895" s="361">
        <v>618.49</v>
      </c>
    </row>
    <row r="2896" spans="1:5">
      <c r="A2896" s="473">
        <v>42440</v>
      </c>
      <c r="B2896" s="473" t="s">
        <v>12549</v>
      </c>
      <c r="C2896" s="473" t="s">
        <v>40</v>
      </c>
      <c r="D2896" s="473" t="s">
        <v>47</v>
      </c>
      <c r="E2896" s="361">
        <v>702.04</v>
      </c>
    </row>
    <row r="2897" spans="1:5">
      <c r="A2897" s="473">
        <v>20193</v>
      </c>
      <c r="B2897" s="473" t="s">
        <v>12550</v>
      </c>
      <c r="C2897" s="473" t="s">
        <v>7443</v>
      </c>
      <c r="D2897" s="473" t="s">
        <v>41</v>
      </c>
      <c r="E2897" s="361">
        <v>3.99</v>
      </c>
    </row>
    <row r="2898" spans="1:5">
      <c r="A2898" s="473">
        <v>10527</v>
      </c>
      <c r="B2898" s="473" t="s">
        <v>12551</v>
      </c>
      <c r="C2898" s="473" t="s">
        <v>7444</v>
      </c>
      <c r="D2898" s="473" t="s">
        <v>44</v>
      </c>
      <c r="E2898" s="361">
        <v>12</v>
      </c>
    </row>
    <row r="2899" spans="1:5">
      <c r="A2899" s="473">
        <v>41805</v>
      </c>
      <c r="B2899" s="473" t="s">
        <v>12552</v>
      </c>
      <c r="C2899" s="473" t="s">
        <v>53</v>
      </c>
      <c r="D2899" s="473" t="s">
        <v>44</v>
      </c>
      <c r="E2899" s="361">
        <v>600</v>
      </c>
    </row>
    <row r="2900" spans="1:5">
      <c r="A2900" s="473">
        <v>40271</v>
      </c>
      <c r="B2900" s="473" t="s">
        <v>12553</v>
      </c>
      <c r="C2900" s="473" t="s">
        <v>53</v>
      </c>
      <c r="D2900" s="473" t="s">
        <v>41</v>
      </c>
      <c r="E2900" s="361">
        <v>7.8</v>
      </c>
    </row>
    <row r="2901" spans="1:5">
      <c r="A2901" s="473">
        <v>40287</v>
      </c>
      <c r="B2901" s="473" t="s">
        <v>12554</v>
      </c>
      <c r="C2901" s="473" t="s">
        <v>53</v>
      </c>
      <c r="D2901" s="473" t="s">
        <v>41</v>
      </c>
      <c r="E2901" s="361">
        <v>3</v>
      </c>
    </row>
    <row r="2902" spans="1:5">
      <c r="A2902" s="473">
        <v>40295</v>
      </c>
      <c r="B2902" s="473" t="s">
        <v>12555</v>
      </c>
      <c r="C2902" s="473" t="s">
        <v>43</v>
      </c>
      <c r="D2902" s="473" t="s">
        <v>47</v>
      </c>
      <c r="E2902" s="361">
        <v>1.97</v>
      </c>
    </row>
    <row r="2903" spans="1:5">
      <c r="A2903" s="473">
        <v>745</v>
      </c>
      <c r="B2903" s="473" t="s">
        <v>12556</v>
      </c>
      <c r="C2903" s="473" t="s">
        <v>43</v>
      </c>
      <c r="D2903" s="473" t="s">
        <v>47</v>
      </c>
      <c r="E2903" s="361">
        <v>2.09</v>
      </c>
    </row>
    <row r="2904" spans="1:5">
      <c r="A2904" s="473">
        <v>4084</v>
      </c>
      <c r="B2904" s="473" t="s">
        <v>12557</v>
      </c>
      <c r="C2904" s="473" t="s">
        <v>43</v>
      </c>
      <c r="D2904" s="473" t="s">
        <v>41</v>
      </c>
      <c r="E2904" s="361">
        <v>3.38</v>
      </c>
    </row>
    <row r="2905" spans="1:5">
      <c r="A2905" s="473">
        <v>743</v>
      </c>
      <c r="B2905" s="473" t="s">
        <v>12558</v>
      </c>
      <c r="C2905" s="473" t="s">
        <v>43</v>
      </c>
      <c r="D2905" s="473" t="s">
        <v>44</v>
      </c>
      <c r="E2905" s="361">
        <v>3.38</v>
      </c>
    </row>
    <row r="2906" spans="1:5">
      <c r="A2906" s="473">
        <v>40293</v>
      </c>
      <c r="B2906" s="473" t="s">
        <v>12559</v>
      </c>
      <c r="C2906" s="473" t="s">
        <v>43</v>
      </c>
      <c r="D2906" s="473" t="s">
        <v>41</v>
      </c>
      <c r="E2906" s="361">
        <v>4.05</v>
      </c>
    </row>
    <row r="2907" spans="1:5">
      <c r="A2907" s="473">
        <v>40294</v>
      </c>
      <c r="B2907" s="473" t="s">
        <v>12560</v>
      </c>
      <c r="C2907" s="473" t="s">
        <v>43</v>
      </c>
      <c r="D2907" s="473" t="s">
        <v>41</v>
      </c>
      <c r="E2907" s="361">
        <v>3.38</v>
      </c>
    </row>
    <row r="2908" spans="1:5">
      <c r="A2908" s="473">
        <v>4085</v>
      </c>
      <c r="B2908" s="473" t="s">
        <v>12561</v>
      </c>
      <c r="C2908" s="473" t="s">
        <v>43</v>
      </c>
      <c r="D2908" s="473" t="s">
        <v>41</v>
      </c>
      <c r="E2908" s="361">
        <v>4.7300000000000004</v>
      </c>
    </row>
    <row r="2909" spans="1:5">
      <c r="A2909" s="473">
        <v>10775</v>
      </c>
      <c r="B2909" s="473" t="s">
        <v>12562</v>
      </c>
      <c r="C2909" s="473" t="s">
        <v>53</v>
      </c>
      <c r="D2909" s="473" t="s">
        <v>47</v>
      </c>
      <c r="E2909" s="361">
        <v>515</v>
      </c>
    </row>
    <row r="2910" spans="1:5">
      <c r="A2910" s="473">
        <v>10776</v>
      </c>
      <c r="B2910" s="473" t="s">
        <v>12563</v>
      </c>
      <c r="C2910" s="473" t="s">
        <v>53</v>
      </c>
      <c r="D2910" s="473" t="s">
        <v>47</v>
      </c>
      <c r="E2910" s="361">
        <v>402.34</v>
      </c>
    </row>
    <row r="2911" spans="1:5">
      <c r="A2911" s="473">
        <v>10779</v>
      </c>
      <c r="B2911" s="473" t="s">
        <v>12564</v>
      </c>
      <c r="C2911" s="473" t="s">
        <v>53</v>
      </c>
      <c r="D2911" s="473" t="s">
        <v>47</v>
      </c>
      <c r="E2911" s="361">
        <v>643.75</v>
      </c>
    </row>
    <row r="2912" spans="1:5">
      <c r="A2912" s="473">
        <v>10777</v>
      </c>
      <c r="B2912" s="473" t="s">
        <v>12565</v>
      </c>
      <c r="C2912" s="473" t="s">
        <v>53</v>
      </c>
      <c r="D2912" s="473" t="s">
        <v>47</v>
      </c>
      <c r="E2912" s="361">
        <v>584.73</v>
      </c>
    </row>
    <row r="2913" spans="1:5">
      <c r="A2913" s="473">
        <v>10778</v>
      </c>
      <c r="B2913" s="473" t="s">
        <v>12566</v>
      </c>
      <c r="C2913" s="473" t="s">
        <v>53</v>
      </c>
      <c r="D2913" s="473" t="s">
        <v>47</v>
      </c>
      <c r="E2913" s="361">
        <v>643.75</v>
      </c>
    </row>
    <row r="2914" spans="1:5">
      <c r="A2914" s="473">
        <v>40339</v>
      </c>
      <c r="B2914" s="473" t="s">
        <v>12567</v>
      </c>
      <c r="C2914" s="473" t="s">
        <v>53</v>
      </c>
      <c r="D2914" s="473" t="s">
        <v>41</v>
      </c>
      <c r="E2914" s="361">
        <v>3</v>
      </c>
    </row>
    <row r="2915" spans="1:5">
      <c r="A2915" s="473">
        <v>3355</v>
      </c>
      <c r="B2915" s="473" t="s">
        <v>12568</v>
      </c>
      <c r="C2915" s="473" t="s">
        <v>43</v>
      </c>
      <c r="D2915" s="473" t="s">
        <v>47</v>
      </c>
      <c r="E2915" s="361">
        <v>20.25</v>
      </c>
    </row>
    <row r="2916" spans="1:5">
      <c r="A2916" s="473">
        <v>39814</v>
      </c>
      <c r="B2916" s="473" t="s">
        <v>12569</v>
      </c>
      <c r="C2916" s="473" t="s">
        <v>43</v>
      </c>
      <c r="D2916" s="473" t="s">
        <v>47</v>
      </c>
      <c r="E2916" s="361">
        <v>37.96</v>
      </c>
    </row>
    <row r="2917" spans="1:5">
      <c r="A2917" s="473">
        <v>10749</v>
      </c>
      <c r="B2917" s="473" t="s">
        <v>12570</v>
      </c>
      <c r="C2917" s="473" t="s">
        <v>53</v>
      </c>
      <c r="D2917" s="473" t="s">
        <v>41</v>
      </c>
      <c r="E2917" s="361">
        <v>5.49</v>
      </c>
    </row>
    <row r="2918" spans="1:5">
      <c r="A2918" s="473">
        <v>40290</v>
      </c>
      <c r="B2918" s="473" t="s">
        <v>12571</v>
      </c>
      <c r="C2918" s="473" t="s">
        <v>53</v>
      </c>
      <c r="D2918" s="473" t="s">
        <v>41</v>
      </c>
      <c r="E2918" s="361">
        <v>7.92</v>
      </c>
    </row>
    <row r="2919" spans="1:5">
      <c r="A2919" s="473">
        <v>3346</v>
      </c>
      <c r="B2919" s="473" t="s">
        <v>12572</v>
      </c>
      <c r="C2919" s="473" t="s">
        <v>43</v>
      </c>
      <c r="D2919" s="473" t="s">
        <v>47</v>
      </c>
      <c r="E2919" s="361">
        <v>13.5</v>
      </c>
    </row>
    <row r="2920" spans="1:5">
      <c r="A2920" s="473">
        <v>3348</v>
      </c>
      <c r="B2920" s="473" t="s">
        <v>12573</v>
      </c>
      <c r="C2920" s="473" t="s">
        <v>43</v>
      </c>
      <c r="D2920" s="473" t="s">
        <v>47</v>
      </c>
      <c r="E2920" s="361">
        <v>16.149999999999999</v>
      </c>
    </row>
    <row r="2921" spans="1:5">
      <c r="A2921" s="473">
        <v>3345</v>
      </c>
      <c r="B2921" s="473" t="s">
        <v>12574</v>
      </c>
      <c r="C2921" s="473" t="s">
        <v>43</v>
      </c>
      <c r="D2921" s="473" t="s">
        <v>47</v>
      </c>
      <c r="E2921" s="361">
        <v>10.43</v>
      </c>
    </row>
    <row r="2922" spans="1:5">
      <c r="A2922" s="473">
        <v>39833</v>
      </c>
      <c r="B2922" s="473" t="s">
        <v>12575</v>
      </c>
      <c r="C2922" s="473" t="s">
        <v>43</v>
      </c>
      <c r="D2922" s="473" t="s">
        <v>47</v>
      </c>
      <c r="E2922" s="361">
        <v>22.12</v>
      </c>
    </row>
    <row r="2923" spans="1:5">
      <c r="A2923" s="473">
        <v>39834</v>
      </c>
      <c r="B2923" s="473" t="s">
        <v>12576</v>
      </c>
      <c r="C2923" s="473" t="s">
        <v>43</v>
      </c>
      <c r="D2923" s="473" t="s">
        <v>47</v>
      </c>
      <c r="E2923" s="361">
        <v>37.96</v>
      </c>
    </row>
    <row r="2924" spans="1:5">
      <c r="A2924" s="473">
        <v>39835</v>
      </c>
      <c r="B2924" s="473" t="s">
        <v>12577</v>
      </c>
      <c r="C2924" s="473" t="s">
        <v>43</v>
      </c>
      <c r="D2924" s="473" t="s">
        <v>47</v>
      </c>
      <c r="E2924" s="361">
        <v>46.28</v>
      </c>
    </row>
    <row r="2925" spans="1:5">
      <c r="A2925" s="473">
        <v>7252</v>
      </c>
      <c r="B2925" s="473" t="s">
        <v>12578</v>
      </c>
      <c r="C2925" s="473" t="s">
        <v>43</v>
      </c>
      <c r="D2925" s="473" t="s">
        <v>47</v>
      </c>
      <c r="E2925" s="361">
        <v>2.14</v>
      </c>
    </row>
    <row r="2926" spans="1:5">
      <c r="A2926" s="473">
        <v>4778</v>
      </c>
      <c r="B2926" s="473" t="s">
        <v>12579</v>
      </c>
      <c r="C2926" s="473" t="s">
        <v>43</v>
      </c>
      <c r="D2926" s="473" t="s">
        <v>47</v>
      </c>
      <c r="E2926" s="361">
        <v>2.7</v>
      </c>
    </row>
    <row r="2927" spans="1:5">
      <c r="A2927" s="473">
        <v>4780</v>
      </c>
      <c r="B2927" s="473" t="s">
        <v>12580</v>
      </c>
      <c r="C2927" s="473" t="s">
        <v>43</v>
      </c>
      <c r="D2927" s="473" t="s">
        <v>47</v>
      </c>
      <c r="E2927" s="361">
        <v>2.92</v>
      </c>
    </row>
    <row r="2928" spans="1:5">
      <c r="A2928" s="473">
        <v>10809</v>
      </c>
      <c r="B2928" s="473" t="s">
        <v>12581</v>
      </c>
      <c r="C2928" s="473" t="s">
        <v>43</v>
      </c>
      <c r="D2928" s="473" t="s">
        <v>41</v>
      </c>
      <c r="E2928" s="361">
        <v>1.71</v>
      </c>
    </row>
    <row r="2929" spans="1:5">
      <c r="A2929" s="473">
        <v>10811</v>
      </c>
      <c r="B2929" s="473" t="s">
        <v>12582</v>
      </c>
      <c r="C2929" s="473" t="s">
        <v>43</v>
      </c>
      <c r="D2929" s="473" t="s">
        <v>44</v>
      </c>
      <c r="E2929" s="361">
        <v>1.46</v>
      </c>
    </row>
    <row r="2930" spans="1:5">
      <c r="A2930" s="473">
        <v>7247</v>
      </c>
      <c r="B2930" s="473" t="s">
        <v>12583</v>
      </c>
      <c r="C2930" s="473" t="s">
        <v>43</v>
      </c>
      <c r="D2930" s="473" t="s">
        <v>47</v>
      </c>
      <c r="E2930" s="361">
        <v>2.14</v>
      </c>
    </row>
    <row r="2931" spans="1:5">
      <c r="A2931" s="473">
        <v>40291</v>
      </c>
      <c r="B2931" s="473" t="s">
        <v>12584</v>
      </c>
      <c r="C2931" s="473" t="s">
        <v>53</v>
      </c>
      <c r="D2931" s="473" t="s">
        <v>41</v>
      </c>
      <c r="E2931" s="361">
        <v>418.61</v>
      </c>
    </row>
    <row r="2932" spans="1:5">
      <c r="A2932" s="473">
        <v>40275</v>
      </c>
      <c r="B2932" s="473" t="s">
        <v>12585</v>
      </c>
      <c r="C2932" s="473" t="s">
        <v>53</v>
      </c>
      <c r="D2932" s="473" t="s">
        <v>41</v>
      </c>
      <c r="E2932" s="361">
        <v>12</v>
      </c>
    </row>
    <row r="2933" spans="1:5">
      <c r="A2933" s="473">
        <v>3777</v>
      </c>
      <c r="B2933" s="473" t="s">
        <v>12586</v>
      </c>
      <c r="C2933" s="473" t="s">
        <v>46</v>
      </c>
      <c r="D2933" s="473" t="s">
        <v>44</v>
      </c>
      <c r="E2933" s="361">
        <v>1</v>
      </c>
    </row>
    <row r="2934" spans="1:5">
      <c r="A2934" s="473">
        <v>43067</v>
      </c>
      <c r="B2934" s="473" t="s">
        <v>12587</v>
      </c>
      <c r="C2934" s="473" t="s">
        <v>46</v>
      </c>
      <c r="D2934" s="473" t="s">
        <v>41</v>
      </c>
      <c r="E2934" s="361">
        <v>1.03</v>
      </c>
    </row>
    <row r="2935" spans="1:5">
      <c r="A2935" s="473">
        <v>3779</v>
      </c>
      <c r="B2935" s="473" t="s">
        <v>12588</v>
      </c>
      <c r="C2935" s="473" t="s">
        <v>48</v>
      </c>
      <c r="D2935" s="473" t="s">
        <v>41</v>
      </c>
      <c r="E2935" s="361">
        <v>8.33</v>
      </c>
    </row>
    <row r="2936" spans="1:5">
      <c r="A2936" s="473">
        <v>3798</v>
      </c>
      <c r="B2936" s="473" t="s">
        <v>12589</v>
      </c>
      <c r="C2936" s="473" t="s">
        <v>40</v>
      </c>
      <c r="D2936" s="473" t="s">
        <v>47</v>
      </c>
      <c r="E2936" s="361">
        <v>40.619999999999997</v>
      </c>
    </row>
    <row r="2937" spans="1:5">
      <c r="A2937" s="473">
        <v>38769</v>
      </c>
      <c r="B2937" s="473" t="s">
        <v>12590</v>
      </c>
      <c r="C2937" s="473" t="s">
        <v>40</v>
      </c>
      <c r="D2937" s="473" t="s">
        <v>47</v>
      </c>
      <c r="E2937" s="361">
        <v>31.72</v>
      </c>
    </row>
    <row r="2938" spans="1:5">
      <c r="A2938" s="473">
        <v>39510</v>
      </c>
      <c r="B2938" s="473" t="s">
        <v>12591</v>
      </c>
      <c r="C2938" s="473" t="s">
        <v>40</v>
      </c>
      <c r="D2938" s="473" t="s">
        <v>47</v>
      </c>
      <c r="E2938" s="361">
        <v>128.37</v>
      </c>
    </row>
    <row r="2939" spans="1:5">
      <c r="A2939" s="473">
        <v>38776</v>
      </c>
      <c r="B2939" s="473" t="s">
        <v>12592</v>
      </c>
      <c r="C2939" s="473" t="s">
        <v>40</v>
      </c>
      <c r="D2939" s="473" t="s">
        <v>47</v>
      </c>
      <c r="E2939" s="361">
        <v>136.24</v>
      </c>
    </row>
    <row r="2940" spans="1:5">
      <c r="A2940" s="473">
        <v>38774</v>
      </c>
      <c r="B2940" s="473" t="s">
        <v>12593</v>
      </c>
      <c r="C2940" s="473" t="s">
        <v>40</v>
      </c>
      <c r="D2940" s="473" t="s">
        <v>47</v>
      </c>
      <c r="E2940" s="361">
        <v>32.15</v>
      </c>
    </row>
    <row r="2941" spans="1:5">
      <c r="A2941" s="473">
        <v>42977</v>
      </c>
      <c r="B2941" s="473" t="s">
        <v>12594</v>
      </c>
      <c r="C2941" s="473" t="s">
        <v>40</v>
      </c>
      <c r="D2941" s="473" t="s">
        <v>47</v>
      </c>
      <c r="E2941" s="361">
        <v>941.99</v>
      </c>
    </row>
    <row r="2942" spans="1:5">
      <c r="A2942" s="473">
        <v>38889</v>
      </c>
      <c r="B2942" s="473" t="s">
        <v>12595</v>
      </c>
      <c r="C2942" s="473" t="s">
        <v>40</v>
      </c>
      <c r="D2942" s="473" t="s">
        <v>47</v>
      </c>
      <c r="E2942" s="361">
        <v>24.31</v>
      </c>
    </row>
    <row r="2943" spans="1:5">
      <c r="A2943" s="473">
        <v>38784</v>
      </c>
      <c r="B2943" s="473" t="s">
        <v>12596</v>
      </c>
      <c r="C2943" s="473" t="s">
        <v>40</v>
      </c>
      <c r="D2943" s="473" t="s">
        <v>47</v>
      </c>
      <c r="E2943" s="361">
        <v>32.520000000000003</v>
      </c>
    </row>
    <row r="2944" spans="1:5">
      <c r="A2944" s="473">
        <v>3788</v>
      </c>
      <c r="B2944" s="473" t="s">
        <v>12597</v>
      </c>
      <c r="C2944" s="473" t="s">
        <v>40</v>
      </c>
      <c r="D2944" s="473" t="s">
        <v>47</v>
      </c>
      <c r="E2944" s="361">
        <v>33.89</v>
      </c>
    </row>
    <row r="2945" spans="1:5">
      <c r="A2945" s="473">
        <v>12230</v>
      </c>
      <c r="B2945" s="473" t="s">
        <v>12598</v>
      </c>
      <c r="C2945" s="473" t="s">
        <v>40</v>
      </c>
      <c r="D2945" s="473" t="s">
        <v>47</v>
      </c>
      <c r="E2945" s="361">
        <v>8.7200000000000006</v>
      </c>
    </row>
    <row r="2946" spans="1:5">
      <c r="A2946" s="473">
        <v>3780</v>
      </c>
      <c r="B2946" s="473" t="s">
        <v>12599</v>
      </c>
      <c r="C2946" s="473" t="s">
        <v>40</v>
      </c>
      <c r="D2946" s="473" t="s">
        <v>47</v>
      </c>
      <c r="E2946" s="361">
        <v>50.01</v>
      </c>
    </row>
    <row r="2947" spans="1:5">
      <c r="A2947" s="473">
        <v>12231</v>
      </c>
      <c r="B2947" s="473" t="s">
        <v>12600</v>
      </c>
      <c r="C2947" s="473" t="s">
        <v>40</v>
      </c>
      <c r="D2947" s="473" t="s">
        <v>47</v>
      </c>
      <c r="E2947" s="361">
        <v>14.5</v>
      </c>
    </row>
    <row r="2948" spans="1:5">
      <c r="A2948" s="473">
        <v>3811</v>
      </c>
      <c r="B2948" s="473" t="s">
        <v>12601</v>
      </c>
      <c r="C2948" s="473" t="s">
        <v>40</v>
      </c>
      <c r="D2948" s="473" t="s">
        <v>47</v>
      </c>
      <c r="E2948" s="361">
        <v>46.97</v>
      </c>
    </row>
    <row r="2949" spans="1:5">
      <c r="A2949" s="473">
        <v>12232</v>
      </c>
      <c r="B2949" s="473" t="s">
        <v>12602</v>
      </c>
      <c r="C2949" s="473" t="s">
        <v>40</v>
      </c>
      <c r="D2949" s="473" t="s">
        <v>47</v>
      </c>
      <c r="E2949" s="361">
        <v>15.19</v>
      </c>
    </row>
    <row r="2950" spans="1:5">
      <c r="A2950" s="473">
        <v>3799</v>
      </c>
      <c r="B2950" s="473" t="s">
        <v>12603</v>
      </c>
      <c r="C2950" s="473" t="s">
        <v>40</v>
      </c>
      <c r="D2950" s="473" t="s">
        <v>47</v>
      </c>
      <c r="E2950" s="361">
        <v>66.430000000000007</v>
      </c>
    </row>
    <row r="2951" spans="1:5">
      <c r="A2951" s="473">
        <v>12239</v>
      </c>
      <c r="B2951" s="473" t="s">
        <v>12604</v>
      </c>
      <c r="C2951" s="473" t="s">
        <v>40</v>
      </c>
      <c r="D2951" s="473" t="s">
        <v>47</v>
      </c>
      <c r="E2951" s="361">
        <v>19.88</v>
      </c>
    </row>
    <row r="2952" spans="1:5">
      <c r="A2952" s="473">
        <v>38773</v>
      </c>
      <c r="B2952" s="473" t="s">
        <v>12605</v>
      </c>
      <c r="C2952" s="473" t="s">
        <v>40</v>
      </c>
      <c r="D2952" s="473" t="s">
        <v>47</v>
      </c>
      <c r="E2952" s="361">
        <v>3.19</v>
      </c>
    </row>
    <row r="2953" spans="1:5">
      <c r="A2953" s="473">
        <v>12271</v>
      </c>
      <c r="B2953" s="473" t="s">
        <v>12606</v>
      </c>
      <c r="C2953" s="473" t="s">
        <v>40</v>
      </c>
      <c r="D2953" s="473" t="s">
        <v>47</v>
      </c>
      <c r="E2953" s="361">
        <v>177.87</v>
      </c>
    </row>
    <row r="2954" spans="1:5">
      <c r="A2954" s="473">
        <v>12245</v>
      </c>
      <c r="B2954" s="473" t="s">
        <v>12607</v>
      </c>
      <c r="C2954" s="473" t="s">
        <v>40</v>
      </c>
      <c r="D2954" s="473" t="s">
        <v>47</v>
      </c>
      <c r="E2954" s="361">
        <v>77.150000000000006</v>
      </c>
    </row>
    <row r="2955" spans="1:5">
      <c r="A2955" s="473">
        <v>38785</v>
      </c>
      <c r="B2955" s="473" t="s">
        <v>12608</v>
      </c>
      <c r="C2955" s="473" t="s">
        <v>40</v>
      </c>
      <c r="D2955" s="473" t="s">
        <v>47</v>
      </c>
      <c r="E2955" s="361">
        <v>84.21</v>
      </c>
    </row>
    <row r="2956" spans="1:5">
      <c r="A2956" s="473">
        <v>38786</v>
      </c>
      <c r="B2956" s="473" t="s">
        <v>12609</v>
      </c>
      <c r="C2956" s="473" t="s">
        <v>40</v>
      </c>
      <c r="D2956" s="473" t="s">
        <v>47</v>
      </c>
      <c r="E2956" s="361">
        <v>103.73</v>
      </c>
    </row>
    <row r="2957" spans="1:5">
      <c r="A2957" s="473">
        <v>39385</v>
      </c>
      <c r="B2957" s="473" t="s">
        <v>12610</v>
      </c>
      <c r="C2957" s="473" t="s">
        <v>40</v>
      </c>
      <c r="D2957" s="473" t="s">
        <v>47</v>
      </c>
      <c r="E2957" s="361">
        <v>78.459999999999994</v>
      </c>
    </row>
    <row r="2958" spans="1:5">
      <c r="A2958" s="473">
        <v>39389</v>
      </c>
      <c r="B2958" s="473" t="s">
        <v>12611</v>
      </c>
      <c r="C2958" s="473" t="s">
        <v>40</v>
      </c>
      <c r="D2958" s="473" t="s">
        <v>47</v>
      </c>
      <c r="E2958" s="361">
        <v>65.08</v>
      </c>
    </row>
    <row r="2959" spans="1:5">
      <c r="A2959" s="473">
        <v>39390</v>
      </c>
      <c r="B2959" s="473" t="s">
        <v>12612</v>
      </c>
      <c r="C2959" s="473" t="s">
        <v>40</v>
      </c>
      <c r="D2959" s="473" t="s">
        <v>47</v>
      </c>
      <c r="E2959" s="361">
        <v>126.06</v>
      </c>
    </row>
    <row r="2960" spans="1:5">
      <c r="A2960" s="473">
        <v>39391</v>
      </c>
      <c r="B2960" s="473" t="s">
        <v>12613</v>
      </c>
      <c r="C2960" s="473" t="s">
        <v>40</v>
      </c>
      <c r="D2960" s="473" t="s">
        <v>47</v>
      </c>
      <c r="E2960" s="361">
        <v>233.29</v>
      </c>
    </row>
    <row r="2961" spans="1:5">
      <c r="A2961" s="473">
        <v>3803</v>
      </c>
      <c r="B2961" s="473" t="s">
        <v>12614</v>
      </c>
      <c r="C2961" s="473" t="s">
        <v>40</v>
      </c>
      <c r="D2961" s="473" t="s">
        <v>47</v>
      </c>
      <c r="E2961" s="361">
        <v>30.07</v>
      </c>
    </row>
    <row r="2962" spans="1:5">
      <c r="A2962" s="473">
        <v>38770</v>
      </c>
      <c r="B2962" s="473" t="s">
        <v>12615</v>
      </c>
      <c r="C2962" s="473" t="s">
        <v>40</v>
      </c>
      <c r="D2962" s="473" t="s">
        <v>47</v>
      </c>
      <c r="E2962" s="361">
        <v>34.82</v>
      </c>
    </row>
    <row r="2963" spans="1:5">
      <c r="A2963" s="473">
        <v>12267</v>
      </c>
      <c r="B2963" s="473" t="s">
        <v>12616</v>
      </c>
      <c r="C2963" s="473" t="s">
        <v>40</v>
      </c>
      <c r="D2963" s="473" t="s">
        <v>47</v>
      </c>
      <c r="E2963" s="361">
        <v>102.06</v>
      </c>
    </row>
    <row r="2964" spans="1:5">
      <c r="A2964" s="473">
        <v>43068</v>
      </c>
      <c r="B2964" s="473" t="s">
        <v>12617</v>
      </c>
      <c r="C2964" s="473" t="s">
        <v>40</v>
      </c>
      <c r="D2964" s="473" t="s">
        <v>47</v>
      </c>
      <c r="E2964" s="361">
        <v>65.33</v>
      </c>
    </row>
    <row r="2965" spans="1:5">
      <c r="A2965" s="473">
        <v>12266</v>
      </c>
      <c r="B2965" s="473" t="s">
        <v>12618</v>
      </c>
      <c r="C2965" s="473" t="s">
        <v>40</v>
      </c>
      <c r="D2965" s="473" t="s">
        <v>47</v>
      </c>
      <c r="E2965" s="361">
        <v>52.23</v>
      </c>
    </row>
    <row r="2966" spans="1:5">
      <c r="A2966" s="473">
        <v>39378</v>
      </c>
      <c r="B2966" s="473" t="s">
        <v>12619</v>
      </c>
      <c r="C2966" s="473" t="s">
        <v>40</v>
      </c>
      <c r="D2966" s="473" t="s">
        <v>47</v>
      </c>
      <c r="E2966" s="361">
        <v>37.03</v>
      </c>
    </row>
    <row r="2967" spans="1:5">
      <c r="A2967" s="473">
        <v>38775</v>
      </c>
      <c r="B2967" s="473" t="s">
        <v>12620</v>
      </c>
      <c r="C2967" s="473" t="s">
        <v>40</v>
      </c>
      <c r="D2967" s="473" t="s">
        <v>47</v>
      </c>
      <c r="E2967" s="361">
        <v>39.26</v>
      </c>
    </row>
    <row r="2968" spans="1:5">
      <c r="A2968" s="473">
        <v>21119</v>
      </c>
      <c r="B2968" s="473" t="s">
        <v>12621</v>
      </c>
      <c r="C2968" s="473" t="s">
        <v>40</v>
      </c>
      <c r="D2968" s="473" t="s">
        <v>41</v>
      </c>
      <c r="E2968" s="361">
        <v>0.84</v>
      </c>
    </row>
    <row r="2969" spans="1:5">
      <c r="A2969" s="473">
        <v>37974</v>
      </c>
      <c r="B2969" s="473" t="s">
        <v>12622</v>
      </c>
      <c r="C2969" s="473" t="s">
        <v>40</v>
      </c>
      <c r="D2969" s="473" t="s">
        <v>41</v>
      </c>
      <c r="E2969" s="361">
        <v>1.25</v>
      </c>
    </row>
    <row r="2970" spans="1:5">
      <c r="A2970" s="473">
        <v>37975</v>
      </c>
      <c r="B2970" s="473" t="s">
        <v>12623</v>
      </c>
      <c r="C2970" s="473" t="s">
        <v>40</v>
      </c>
      <c r="D2970" s="473" t="s">
        <v>41</v>
      </c>
      <c r="E2970" s="361">
        <v>2.54</v>
      </c>
    </row>
    <row r="2971" spans="1:5">
      <c r="A2971" s="473">
        <v>37976</v>
      </c>
      <c r="B2971" s="473" t="s">
        <v>12624</v>
      </c>
      <c r="C2971" s="473" t="s">
        <v>40</v>
      </c>
      <c r="D2971" s="473" t="s">
        <v>41</v>
      </c>
      <c r="E2971" s="361">
        <v>5.21</v>
      </c>
    </row>
    <row r="2972" spans="1:5">
      <c r="A2972" s="473">
        <v>37977</v>
      </c>
      <c r="B2972" s="473" t="s">
        <v>12625</v>
      </c>
      <c r="C2972" s="473" t="s">
        <v>40</v>
      </c>
      <c r="D2972" s="473" t="s">
        <v>41</v>
      </c>
      <c r="E2972" s="361">
        <v>7.17</v>
      </c>
    </row>
    <row r="2973" spans="1:5">
      <c r="A2973" s="473">
        <v>37978</v>
      </c>
      <c r="B2973" s="473" t="s">
        <v>12626</v>
      </c>
      <c r="C2973" s="473" t="s">
        <v>40</v>
      </c>
      <c r="D2973" s="473" t="s">
        <v>41</v>
      </c>
      <c r="E2973" s="361">
        <v>14.54</v>
      </c>
    </row>
    <row r="2974" spans="1:5">
      <c r="A2974" s="473">
        <v>37979</v>
      </c>
      <c r="B2974" s="473" t="s">
        <v>12627</v>
      </c>
      <c r="C2974" s="473" t="s">
        <v>40</v>
      </c>
      <c r="D2974" s="473" t="s">
        <v>41</v>
      </c>
      <c r="E2974" s="361">
        <v>62.48</v>
      </c>
    </row>
    <row r="2975" spans="1:5">
      <c r="A2975" s="473">
        <v>37980</v>
      </c>
      <c r="B2975" s="473" t="s">
        <v>12628</v>
      </c>
      <c r="C2975" s="473" t="s">
        <v>40</v>
      </c>
      <c r="D2975" s="473" t="s">
        <v>41</v>
      </c>
      <c r="E2975" s="361">
        <v>70.209999999999994</v>
      </c>
    </row>
    <row r="2976" spans="1:5">
      <c r="A2976" s="473">
        <v>36147</v>
      </c>
      <c r="B2976" s="473" t="s">
        <v>12629</v>
      </c>
      <c r="C2976" s="473" t="s">
        <v>42</v>
      </c>
      <c r="D2976" s="473" t="s">
        <v>41</v>
      </c>
      <c r="E2976" s="361">
        <v>289.81</v>
      </c>
    </row>
    <row r="2977" spans="1:5">
      <c r="A2977" s="473">
        <v>12731</v>
      </c>
      <c r="B2977" s="473" t="s">
        <v>12630</v>
      </c>
      <c r="C2977" s="473" t="s">
        <v>40</v>
      </c>
      <c r="D2977" s="473" t="s">
        <v>47</v>
      </c>
      <c r="E2977" s="361">
        <v>213.93</v>
      </c>
    </row>
    <row r="2978" spans="1:5">
      <c r="A2978" s="473">
        <v>12723</v>
      </c>
      <c r="B2978" s="473" t="s">
        <v>12631</v>
      </c>
      <c r="C2978" s="473" t="s">
        <v>40</v>
      </c>
      <c r="D2978" s="473" t="s">
        <v>47</v>
      </c>
      <c r="E2978" s="361">
        <v>1.65</v>
      </c>
    </row>
    <row r="2979" spans="1:5">
      <c r="A2979" s="473">
        <v>12724</v>
      </c>
      <c r="B2979" s="473" t="s">
        <v>12632</v>
      </c>
      <c r="C2979" s="473" t="s">
        <v>40</v>
      </c>
      <c r="D2979" s="473" t="s">
        <v>47</v>
      </c>
      <c r="E2979" s="361">
        <v>3.18</v>
      </c>
    </row>
    <row r="2980" spans="1:5">
      <c r="A2980" s="473">
        <v>12725</v>
      </c>
      <c r="B2980" s="473" t="s">
        <v>12633</v>
      </c>
      <c r="C2980" s="473" t="s">
        <v>40</v>
      </c>
      <c r="D2980" s="473" t="s">
        <v>47</v>
      </c>
      <c r="E2980" s="361">
        <v>6.39</v>
      </c>
    </row>
    <row r="2981" spans="1:5">
      <c r="A2981" s="473">
        <v>12726</v>
      </c>
      <c r="B2981" s="473" t="s">
        <v>12634</v>
      </c>
      <c r="C2981" s="473" t="s">
        <v>40</v>
      </c>
      <c r="D2981" s="473" t="s">
        <v>47</v>
      </c>
      <c r="E2981" s="361">
        <v>14.11</v>
      </c>
    </row>
    <row r="2982" spans="1:5">
      <c r="A2982" s="473">
        <v>12727</v>
      </c>
      <c r="B2982" s="473" t="s">
        <v>12635</v>
      </c>
      <c r="C2982" s="473" t="s">
        <v>40</v>
      </c>
      <c r="D2982" s="473" t="s">
        <v>47</v>
      </c>
      <c r="E2982" s="361">
        <v>17.899999999999999</v>
      </c>
    </row>
    <row r="2983" spans="1:5">
      <c r="A2983" s="473">
        <v>12728</v>
      </c>
      <c r="B2983" s="473" t="s">
        <v>12636</v>
      </c>
      <c r="C2983" s="473" t="s">
        <v>40</v>
      </c>
      <c r="D2983" s="473" t="s">
        <v>47</v>
      </c>
      <c r="E2983" s="361">
        <v>29.23</v>
      </c>
    </row>
    <row r="2984" spans="1:5">
      <c r="A2984" s="473">
        <v>12729</v>
      </c>
      <c r="B2984" s="473" t="s">
        <v>12637</v>
      </c>
      <c r="C2984" s="473" t="s">
        <v>40</v>
      </c>
      <c r="D2984" s="473" t="s">
        <v>47</v>
      </c>
      <c r="E2984" s="361">
        <v>95.82</v>
      </c>
    </row>
    <row r="2985" spans="1:5">
      <c r="A2985" s="473">
        <v>12730</v>
      </c>
      <c r="B2985" s="473" t="s">
        <v>12638</v>
      </c>
      <c r="C2985" s="473" t="s">
        <v>40</v>
      </c>
      <c r="D2985" s="473" t="s">
        <v>47</v>
      </c>
      <c r="E2985" s="361">
        <v>146.71</v>
      </c>
    </row>
    <row r="2986" spans="1:5">
      <c r="A2986" s="473">
        <v>3840</v>
      </c>
      <c r="B2986" s="473" t="s">
        <v>12639</v>
      </c>
      <c r="C2986" s="473" t="s">
        <v>40</v>
      </c>
      <c r="D2986" s="473" t="s">
        <v>47</v>
      </c>
      <c r="E2986" s="361">
        <v>38.950000000000003</v>
      </c>
    </row>
    <row r="2987" spans="1:5">
      <c r="A2987" s="473">
        <v>3838</v>
      </c>
      <c r="B2987" s="473" t="s">
        <v>12640</v>
      </c>
      <c r="C2987" s="473" t="s">
        <v>40</v>
      </c>
      <c r="D2987" s="473" t="s">
        <v>47</v>
      </c>
      <c r="E2987" s="361">
        <v>85.96</v>
      </c>
    </row>
    <row r="2988" spans="1:5">
      <c r="A2988" s="473">
        <v>3844</v>
      </c>
      <c r="B2988" s="473" t="s">
        <v>12641</v>
      </c>
      <c r="C2988" s="473" t="s">
        <v>40</v>
      </c>
      <c r="D2988" s="473" t="s">
        <v>47</v>
      </c>
      <c r="E2988" s="361">
        <v>153.32</v>
      </c>
    </row>
    <row r="2989" spans="1:5">
      <c r="A2989" s="473">
        <v>3839</v>
      </c>
      <c r="B2989" s="473" t="s">
        <v>12642</v>
      </c>
      <c r="C2989" s="473" t="s">
        <v>40</v>
      </c>
      <c r="D2989" s="473" t="s">
        <v>47</v>
      </c>
      <c r="E2989" s="361">
        <v>279.27</v>
      </c>
    </row>
    <row r="2990" spans="1:5">
      <c r="A2990" s="473">
        <v>3843</v>
      </c>
      <c r="B2990" s="473" t="s">
        <v>12643</v>
      </c>
      <c r="C2990" s="473" t="s">
        <v>40</v>
      </c>
      <c r="D2990" s="473" t="s">
        <v>47</v>
      </c>
      <c r="E2990" s="361">
        <v>383.31</v>
      </c>
    </row>
    <row r="2991" spans="1:5">
      <c r="A2991" s="473">
        <v>3900</v>
      </c>
      <c r="B2991" s="473" t="s">
        <v>12644</v>
      </c>
      <c r="C2991" s="473" t="s">
        <v>40</v>
      </c>
      <c r="D2991" s="473" t="s">
        <v>41</v>
      </c>
      <c r="E2991" s="361">
        <v>29.06</v>
      </c>
    </row>
    <row r="2992" spans="1:5">
      <c r="A2992" s="473">
        <v>3846</v>
      </c>
      <c r="B2992" s="473" t="s">
        <v>12645</v>
      </c>
      <c r="C2992" s="473" t="s">
        <v>40</v>
      </c>
      <c r="D2992" s="473" t="s">
        <v>41</v>
      </c>
      <c r="E2992" s="361">
        <v>9.16</v>
      </c>
    </row>
    <row r="2993" spans="1:5">
      <c r="A2993" s="473">
        <v>3886</v>
      </c>
      <c r="B2993" s="473" t="s">
        <v>12646</v>
      </c>
      <c r="C2993" s="473" t="s">
        <v>40</v>
      </c>
      <c r="D2993" s="473" t="s">
        <v>41</v>
      </c>
      <c r="E2993" s="361">
        <v>9.64</v>
      </c>
    </row>
    <row r="2994" spans="1:5">
      <c r="A2994" s="473">
        <v>3854</v>
      </c>
      <c r="B2994" s="473" t="s">
        <v>12647</v>
      </c>
      <c r="C2994" s="473" t="s">
        <v>40</v>
      </c>
      <c r="D2994" s="473" t="s">
        <v>41</v>
      </c>
      <c r="E2994" s="361">
        <v>5.36</v>
      </c>
    </row>
    <row r="2995" spans="1:5">
      <c r="A2995" s="473">
        <v>3873</v>
      </c>
      <c r="B2995" s="473" t="s">
        <v>12648</v>
      </c>
      <c r="C2995" s="473" t="s">
        <v>40</v>
      </c>
      <c r="D2995" s="473" t="s">
        <v>41</v>
      </c>
      <c r="E2995" s="361">
        <v>7.09</v>
      </c>
    </row>
    <row r="2996" spans="1:5">
      <c r="A2996" s="473">
        <v>38021</v>
      </c>
      <c r="B2996" s="473" t="s">
        <v>12649</v>
      </c>
      <c r="C2996" s="473" t="s">
        <v>40</v>
      </c>
      <c r="D2996" s="473" t="s">
        <v>41</v>
      </c>
      <c r="E2996" s="361">
        <v>16.97</v>
      </c>
    </row>
    <row r="2997" spans="1:5">
      <c r="A2997" s="473">
        <v>3847</v>
      </c>
      <c r="B2997" s="473" t="s">
        <v>12650</v>
      </c>
      <c r="C2997" s="473" t="s">
        <v>40</v>
      </c>
      <c r="D2997" s="473" t="s">
        <v>41</v>
      </c>
      <c r="E2997" s="361">
        <v>19.260000000000002</v>
      </c>
    </row>
    <row r="2998" spans="1:5">
      <c r="A2998" s="473">
        <v>38022</v>
      </c>
      <c r="B2998" s="473" t="s">
        <v>12651</v>
      </c>
      <c r="C2998" s="473" t="s">
        <v>40</v>
      </c>
      <c r="D2998" s="473" t="s">
        <v>41</v>
      </c>
      <c r="E2998" s="361">
        <v>30.08</v>
      </c>
    </row>
    <row r="2999" spans="1:5">
      <c r="A2999" s="473">
        <v>3833</v>
      </c>
      <c r="B2999" s="473" t="s">
        <v>12652</v>
      </c>
      <c r="C2999" s="473" t="s">
        <v>40</v>
      </c>
      <c r="D2999" s="473" t="s">
        <v>47</v>
      </c>
      <c r="E2999" s="361">
        <v>13.87</v>
      </c>
    </row>
    <row r="3000" spans="1:5">
      <c r="A3000" s="473">
        <v>3835</v>
      </c>
      <c r="B3000" s="473" t="s">
        <v>12653</v>
      </c>
      <c r="C3000" s="473" t="s">
        <v>40</v>
      </c>
      <c r="D3000" s="473" t="s">
        <v>47</v>
      </c>
      <c r="E3000" s="361">
        <v>45.17</v>
      </c>
    </row>
    <row r="3001" spans="1:5">
      <c r="A3001" s="473">
        <v>3836</v>
      </c>
      <c r="B3001" s="473" t="s">
        <v>12654</v>
      </c>
      <c r="C3001" s="473" t="s">
        <v>40</v>
      </c>
      <c r="D3001" s="473" t="s">
        <v>47</v>
      </c>
      <c r="E3001" s="361">
        <v>97.22</v>
      </c>
    </row>
    <row r="3002" spans="1:5">
      <c r="A3002" s="473">
        <v>3830</v>
      </c>
      <c r="B3002" s="473" t="s">
        <v>12655</v>
      </c>
      <c r="C3002" s="473" t="s">
        <v>40</v>
      </c>
      <c r="D3002" s="473" t="s">
        <v>47</v>
      </c>
      <c r="E3002" s="361">
        <v>158.97</v>
      </c>
    </row>
    <row r="3003" spans="1:5">
      <c r="A3003" s="473">
        <v>3831</v>
      </c>
      <c r="B3003" s="473" t="s">
        <v>12656</v>
      </c>
      <c r="C3003" s="473" t="s">
        <v>40</v>
      </c>
      <c r="D3003" s="473" t="s">
        <v>47</v>
      </c>
      <c r="E3003" s="361">
        <v>265.74</v>
      </c>
    </row>
    <row r="3004" spans="1:5">
      <c r="A3004" s="473">
        <v>37981</v>
      </c>
      <c r="B3004" s="473" t="s">
        <v>12657</v>
      </c>
      <c r="C3004" s="473" t="s">
        <v>40</v>
      </c>
      <c r="D3004" s="473" t="s">
        <v>41</v>
      </c>
      <c r="E3004" s="361">
        <v>2.86</v>
      </c>
    </row>
    <row r="3005" spans="1:5">
      <c r="A3005" s="473">
        <v>37982</v>
      </c>
      <c r="B3005" s="473" t="s">
        <v>12658</v>
      </c>
      <c r="C3005" s="473" t="s">
        <v>40</v>
      </c>
      <c r="D3005" s="473" t="s">
        <v>41</v>
      </c>
      <c r="E3005" s="361">
        <v>4.34</v>
      </c>
    </row>
    <row r="3006" spans="1:5">
      <c r="A3006" s="473">
        <v>37983</v>
      </c>
      <c r="B3006" s="473" t="s">
        <v>12659</v>
      </c>
      <c r="C3006" s="473" t="s">
        <v>40</v>
      </c>
      <c r="D3006" s="473" t="s">
        <v>41</v>
      </c>
      <c r="E3006" s="361">
        <v>6.08</v>
      </c>
    </row>
    <row r="3007" spans="1:5">
      <c r="A3007" s="473">
        <v>37984</v>
      </c>
      <c r="B3007" s="473" t="s">
        <v>12660</v>
      </c>
      <c r="C3007" s="473" t="s">
        <v>40</v>
      </c>
      <c r="D3007" s="473" t="s">
        <v>41</v>
      </c>
      <c r="E3007" s="361">
        <v>10.51</v>
      </c>
    </row>
    <row r="3008" spans="1:5">
      <c r="A3008" s="473">
        <v>37985</v>
      </c>
      <c r="B3008" s="473" t="s">
        <v>12661</v>
      </c>
      <c r="C3008" s="473" t="s">
        <v>40</v>
      </c>
      <c r="D3008" s="473" t="s">
        <v>41</v>
      </c>
      <c r="E3008" s="361">
        <v>14.72</v>
      </c>
    </row>
    <row r="3009" spans="1:5">
      <c r="A3009" s="473">
        <v>3826</v>
      </c>
      <c r="B3009" s="473" t="s">
        <v>12662</v>
      </c>
      <c r="C3009" s="473" t="s">
        <v>40</v>
      </c>
      <c r="D3009" s="473" t="s">
        <v>47</v>
      </c>
      <c r="E3009" s="361">
        <v>38.64</v>
      </c>
    </row>
    <row r="3010" spans="1:5">
      <c r="A3010" s="473">
        <v>3825</v>
      </c>
      <c r="B3010" s="473" t="s">
        <v>12663</v>
      </c>
      <c r="C3010" s="473" t="s">
        <v>40</v>
      </c>
      <c r="D3010" s="473" t="s">
        <v>47</v>
      </c>
      <c r="E3010" s="361">
        <v>11.11</v>
      </c>
    </row>
    <row r="3011" spans="1:5">
      <c r="A3011" s="473">
        <v>3827</v>
      </c>
      <c r="B3011" s="473" t="s">
        <v>12664</v>
      </c>
      <c r="C3011" s="473" t="s">
        <v>40</v>
      </c>
      <c r="D3011" s="473" t="s">
        <v>47</v>
      </c>
      <c r="E3011" s="361">
        <v>24.28</v>
      </c>
    </row>
    <row r="3012" spans="1:5">
      <c r="A3012" s="473">
        <v>20165</v>
      </c>
      <c r="B3012" s="473" t="s">
        <v>12665</v>
      </c>
      <c r="C3012" s="473" t="s">
        <v>40</v>
      </c>
      <c r="D3012" s="473" t="s">
        <v>41</v>
      </c>
      <c r="E3012" s="361">
        <v>15.06</v>
      </c>
    </row>
    <row r="3013" spans="1:5">
      <c r="A3013" s="473">
        <v>20166</v>
      </c>
      <c r="B3013" s="473" t="s">
        <v>12666</v>
      </c>
      <c r="C3013" s="473" t="s">
        <v>40</v>
      </c>
      <c r="D3013" s="473" t="s">
        <v>41</v>
      </c>
      <c r="E3013" s="361">
        <v>48.66</v>
      </c>
    </row>
    <row r="3014" spans="1:5">
      <c r="A3014" s="473">
        <v>20164</v>
      </c>
      <c r="B3014" s="473" t="s">
        <v>12667</v>
      </c>
      <c r="C3014" s="473" t="s">
        <v>40</v>
      </c>
      <c r="D3014" s="473" t="s">
        <v>41</v>
      </c>
      <c r="E3014" s="361">
        <v>7.95</v>
      </c>
    </row>
    <row r="3015" spans="1:5">
      <c r="A3015" s="473">
        <v>3893</v>
      </c>
      <c r="B3015" s="473" t="s">
        <v>12668</v>
      </c>
      <c r="C3015" s="473" t="s">
        <v>40</v>
      </c>
      <c r="D3015" s="473" t="s">
        <v>41</v>
      </c>
      <c r="E3015" s="361">
        <v>9.8699999999999992</v>
      </c>
    </row>
    <row r="3016" spans="1:5">
      <c r="A3016" s="473">
        <v>3848</v>
      </c>
      <c r="B3016" s="473" t="s">
        <v>12669</v>
      </c>
      <c r="C3016" s="473" t="s">
        <v>40</v>
      </c>
      <c r="D3016" s="473" t="s">
        <v>41</v>
      </c>
      <c r="E3016" s="361">
        <v>5.99</v>
      </c>
    </row>
    <row r="3017" spans="1:5">
      <c r="A3017" s="473">
        <v>3895</v>
      </c>
      <c r="B3017" s="473" t="s">
        <v>12670</v>
      </c>
      <c r="C3017" s="473" t="s">
        <v>40</v>
      </c>
      <c r="D3017" s="473" t="s">
        <v>41</v>
      </c>
      <c r="E3017" s="361">
        <v>6.52</v>
      </c>
    </row>
    <row r="3018" spans="1:5">
      <c r="A3018" s="473">
        <v>12404</v>
      </c>
      <c r="B3018" s="473" t="s">
        <v>12671</v>
      </c>
      <c r="C3018" s="473" t="s">
        <v>40</v>
      </c>
      <c r="D3018" s="473" t="s">
        <v>41</v>
      </c>
      <c r="E3018" s="361">
        <v>6.21</v>
      </c>
    </row>
    <row r="3019" spans="1:5">
      <c r="A3019" s="473">
        <v>3939</v>
      </c>
      <c r="B3019" s="473" t="s">
        <v>12672</v>
      </c>
      <c r="C3019" s="473" t="s">
        <v>40</v>
      </c>
      <c r="D3019" s="473" t="s">
        <v>41</v>
      </c>
      <c r="E3019" s="361">
        <v>12.79</v>
      </c>
    </row>
    <row r="3020" spans="1:5">
      <c r="A3020" s="473">
        <v>3911</v>
      </c>
      <c r="B3020" s="473" t="s">
        <v>12673</v>
      </c>
      <c r="C3020" s="473" t="s">
        <v>40</v>
      </c>
      <c r="D3020" s="473" t="s">
        <v>41</v>
      </c>
      <c r="E3020" s="361">
        <v>10.45</v>
      </c>
    </row>
    <row r="3021" spans="1:5">
      <c r="A3021" s="473">
        <v>3908</v>
      </c>
      <c r="B3021" s="473" t="s">
        <v>12674</v>
      </c>
      <c r="C3021" s="473" t="s">
        <v>40</v>
      </c>
      <c r="D3021" s="473" t="s">
        <v>41</v>
      </c>
      <c r="E3021" s="361">
        <v>3.38</v>
      </c>
    </row>
    <row r="3022" spans="1:5">
      <c r="A3022" s="473">
        <v>3910</v>
      </c>
      <c r="B3022" s="473" t="s">
        <v>12675</v>
      </c>
      <c r="C3022" s="473" t="s">
        <v>40</v>
      </c>
      <c r="D3022" s="473" t="s">
        <v>41</v>
      </c>
      <c r="E3022" s="361">
        <v>7.47</v>
      </c>
    </row>
    <row r="3023" spans="1:5">
      <c r="A3023" s="473">
        <v>3913</v>
      </c>
      <c r="B3023" s="473" t="s">
        <v>12676</v>
      </c>
      <c r="C3023" s="473" t="s">
        <v>40</v>
      </c>
      <c r="D3023" s="473" t="s">
        <v>41</v>
      </c>
      <c r="E3023" s="361">
        <v>35.729999999999997</v>
      </c>
    </row>
    <row r="3024" spans="1:5">
      <c r="A3024" s="473">
        <v>3912</v>
      </c>
      <c r="B3024" s="473" t="s">
        <v>12677</v>
      </c>
      <c r="C3024" s="473" t="s">
        <v>40</v>
      </c>
      <c r="D3024" s="473" t="s">
        <v>41</v>
      </c>
      <c r="E3024" s="361">
        <v>19.59</v>
      </c>
    </row>
    <row r="3025" spans="1:5">
      <c r="A3025" s="473">
        <v>3909</v>
      </c>
      <c r="B3025" s="473" t="s">
        <v>12678</v>
      </c>
      <c r="C3025" s="473" t="s">
        <v>40</v>
      </c>
      <c r="D3025" s="473" t="s">
        <v>41</v>
      </c>
      <c r="E3025" s="361">
        <v>4.59</v>
      </c>
    </row>
    <row r="3026" spans="1:5">
      <c r="A3026" s="473">
        <v>3914</v>
      </c>
      <c r="B3026" s="473" t="s">
        <v>12679</v>
      </c>
      <c r="C3026" s="473" t="s">
        <v>40</v>
      </c>
      <c r="D3026" s="473" t="s">
        <v>41</v>
      </c>
      <c r="E3026" s="361">
        <v>53.9</v>
      </c>
    </row>
    <row r="3027" spans="1:5">
      <c r="A3027" s="473">
        <v>3915</v>
      </c>
      <c r="B3027" s="473" t="s">
        <v>12680</v>
      </c>
      <c r="C3027" s="473" t="s">
        <v>40</v>
      </c>
      <c r="D3027" s="473" t="s">
        <v>41</v>
      </c>
      <c r="E3027" s="361">
        <v>85.01</v>
      </c>
    </row>
    <row r="3028" spans="1:5">
      <c r="A3028" s="473">
        <v>3916</v>
      </c>
      <c r="B3028" s="473" t="s">
        <v>12681</v>
      </c>
      <c r="C3028" s="473" t="s">
        <v>40</v>
      </c>
      <c r="D3028" s="473" t="s">
        <v>41</v>
      </c>
      <c r="E3028" s="361">
        <v>154.87</v>
      </c>
    </row>
    <row r="3029" spans="1:5">
      <c r="A3029" s="473">
        <v>3917</v>
      </c>
      <c r="B3029" s="473" t="s">
        <v>12682</v>
      </c>
      <c r="C3029" s="473" t="s">
        <v>40</v>
      </c>
      <c r="D3029" s="473" t="s">
        <v>41</v>
      </c>
      <c r="E3029" s="361">
        <v>255.44</v>
      </c>
    </row>
    <row r="3030" spans="1:5">
      <c r="A3030" s="473">
        <v>1904</v>
      </c>
      <c r="B3030" s="473" t="s">
        <v>12683</v>
      </c>
      <c r="C3030" s="473" t="s">
        <v>40</v>
      </c>
      <c r="D3030" s="473" t="s">
        <v>41</v>
      </c>
      <c r="E3030" s="361">
        <v>0.61</v>
      </c>
    </row>
    <row r="3031" spans="1:5">
      <c r="A3031" s="473">
        <v>1899</v>
      </c>
      <c r="B3031" s="473" t="s">
        <v>12684</v>
      </c>
      <c r="C3031" s="473" t="s">
        <v>40</v>
      </c>
      <c r="D3031" s="473" t="s">
        <v>41</v>
      </c>
      <c r="E3031" s="361">
        <v>0.69</v>
      </c>
    </row>
    <row r="3032" spans="1:5">
      <c r="A3032" s="473">
        <v>1900</v>
      </c>
      <c r="B3032" s="473" t="s">
        <v>12685</v>
      </c>
      <c r="C3032" s="473" t="s">
        <v>40</v>
      </c>
      <c r="D3032" s="473" t="s">
        <v>41</v>
      </c>
      <c r="E3032" s="361">
        <v>1.1200000000000001</v>
      </c>
    </row>
    <row r="3033" spans="1:5">
      <c r="A3033" s="473">
        <v>12407</v>
      </c>
      <c r="B3033" s="473" t="s">
        <v>12686</v>
      </c>
      <c r="C3033" s="473" t="s">
        <v>40</v>
      </c>
      <c r="D3033" s="473" t="s">
        <v>41</v>
      </c>
      <c r="E3033" s="361">
        <v>19.34</v>
      </c>
    </row>
    <row r="3034" spans="1:5">
      <c r="A3034" s="473">
        <v>12408</v>
      </c>
      <c r="B3034" s="473" t="s">
        <v>12687</v>
      </c>
      <c r="C3034" s="473" t="s">
        <v>40</v>
      </c>
      <c r="D3034" s="473" t="s">
        <v>41</v>
      </c>
      <c r="E3034" s="361">
        <v>10.91</v>
      </c>
    </row>
    <row r="3035" spans="1:5">
      <c r="A3035" s="473">
        <v>12409</v>
      </c>
      <c r="B3035" s="473" t="s">
        <v>12688</v>
      </c>
      <c r="C3035" s="473" t="s">
        <v>40</v>
      </c>
      <c r="D3035" s="473" t="s">
        <v>41</v>
      </c>
      <c r="E3035" s="361">
        <v>10.91</v>
      </c>
    </row>
    <row r="3036" spans="1:5">
      <c r="A3036" s="473">
        <v>12410</v>
      </c>
      <c r="B3036" s="473" t="s">
        <v>12689</v>
      </c>
      <c r="C3036" s="473" t="s">
        <v>40</v>
      </c>
      <c r="D3036" s="473" t="s">
        <v>41</v>
      </c>
      <c r="E3036" s="361">
        <v>7.52</v>
      </c>
    </row>
    <row r="3037" spans="1:5">
      <c r="A3037" s="473">
        <v>3936</v>
      </c>
      <c r="B3037" s="473" t="s">
        <v>12690</v>
      </c>
      <c r="C3037" s="473" t="s">
        <v>40</v>
      </c>
      <c r="D3037" s="473" t="s">
        <v>41</v>
      </c>
      <c r="E3037" s="361">
        <v>13.58</v>
      </c>
    </row>
    <row r="3038" spans="1:5">
      <c r="A3038" s="473">
        <v>3922</v>
      </c>
      <c r="B3038" s="473" t="s">
        <v>12691</v>
      </c>
      <c r="C3038" s="473" t="s">
        <v>40</v>
      </c>
      <c r="D3038" s="473" t="s">
        <v>41</v>
      </c>
      <c r="E3038" s="361">
        <v>12.49</v>
      </c>
    </row>
    <row r="3039" spans="1:5">
      <c r="A3039" s="473">
        <v>3924</v>
      </c>
      <c r="B3039" s="473" t="s">
        <v>12692</v>
      </c>
      <c r="C3039" s="473" t="s">
        <v>40</v>
      </c>
      <c r="D3039" s="473" t="s">
        <v>41</v>
      </c>
      <c r="E3039" s="361">
        <v>13.58</v>
      </c>
    </row>
    <row r="3040" spans="1:5">
      <c r="A3040" s="473">
        <v>3923</v>
      </c>
      <c r="B3040" s="473" t="s">
        <v>12693</v>
      </c>
      <c r="C3040" s="473" t="s">
        <v>40</v>
      </c>
      <c r="D3040" s="473" t="s">
        <v>41</v>
      </c>
      <c r="E3040" s="361">
        <v>13.58</v>
      </c>
    </row>
    <row r="3041" spans="1:5">
      <c r="A3041" s="473">
        <v>3937</v>
      </c>
      <c r="B3041" s="473" t="s">
        <v>12694</v>
      </c>
      <c r="C3041" s="473" t="s">
        <v>40</v>
      </c>
      <c r="D3041" s="473" t="s">
        <v>41</v>
      </c>
      <c r="E3041" s="361">
        <v>11.21</v>
      </c>
    </row>
    <row r="3042" spans="1:5">
      <c r="A3042" s="473">
        <v>3921</v>
      </c>
      <c r="B3042" s="473" t="s">
        <v>12695</v>
      </c>
      <c r="C3042" s="473" t="s">
        <v>40</v>
      </c>
      <c r="D3042" s="473" t="s">
        <v>41</v>
      </c>
      <c r="E3042" s="361">
        <v>11.21</v>
      </c>
    </row>
    <row r="3043" spans="1:5">
      <c r="A3043" s="473">
        <v>3920</v>
      </c>
      <c r="B3043" s="473" t="s">
        <v>12696</v>
      </c>
      <c r="C3043" s="473" t="s">
        <v>40</v>
      </c>
      <c r="D3043" s="473" t="s">
        <v>41</v>
      </c>
      <c r="E3043" s="361">
        <v>11.21</v>
      </c>
    </row>
    <row r="3044" spans="1:5">
      <c r="A3044" s="473">
        <v>3938</v>
      </c>
      <c r="B3044" s="473" t="s">
        <v>12697</v>
      </c>
      <c r="C3044" s="473" t="s">
        <v>40</v>
      </c>
      <c r="D3044" s="473" t="s">
        <v>41</v>
      </c>
      <c r="E3044" s="361">
        <v>7.39</v>
      </c>
    </row>
    <row r="3045" spans="1:5">
      <c r="A3045" s="473">
        <v>3919</v>
      </c>
      <c r="B3045" s="473" t="s">
        <v>12698</v>
      </c>
      <c r="C3045" s="473" t="s">
        <v>40</v>
      </c>
      <c r="D3045" s="473" t="s">
        <v>41</v>
      </c>
      <c r="E3045" s="361">
        <v>7.53</v>
      </c>
    </row>
    <row r="3046" spans="1:5">
      <c r="A3046" s="473">
        <v>3927</v>
      </c>
      <c r="B3046" s="473" t="s">
        <v>12699</v>
      </c>
      <c r="C3046" s="473" t="s">
        <v>40</v>
      </c>
      <c r="D3046" s="473" t="s">
        <v>41</v>
      </c>
      <c r="E3046" s="361">
        <v>38.15</v>
      </c>
    </row>
    <row r="3047" spans="1:5">
      <c r="A3047" s="473">
        <v>3928</v>
      </c>
      <c r="B3047" s="473" t="s">
        <v>12700</v>
      </c>
      <c r="C3047" s="473" t="s">
        <v>40</v>
      </c>
      <c r="D3047" s="473" t="s">
        <v>41</v>
      </c>
      <c r="E3047" s="361">
        <v>38.15</v>
      </c>
    </row>
    <row r="3048" spans="1:5">
      <c r="A3048" s="473">
        <v>3926</v>
      </c>
      <c r="B3048" s="473" t="s">
        <v>12701</v>
      </c>
      <c r="C3048" s="473" t="s">
        <v>40</v>
      </c>
      <c r="D3048" s="473" t="s">
        <v>41</v>
      </c>
      <c r="E3048" s="361">
        <v>21.75</v>
      </c>
    </row>
    <row r="3049" spans="1:5">
      <c r="A3049" s="473">
        <v>3935</v>
      </c>
      <c r="B3049" s="473" t="s">
        <v>12702</v>
      </c>
      <c r="C3049" s="473" t="s">
        <v>40</v>
      </c>
      <c r="D3049" s="473" t="s">
        <v>41</v>
      </c>
      <c r="E3049" s="361">
        <v>21.75</v>
      </c>
    </row>
    <row r="3050" spans="1:5">
      <c r="A3050" s="473">
        <v>3925</v>
      </c>
      <c r="B3050" s="473" t="s">
        <v>12703</v>
      </c>
      <c r="C3050" s="473" t="s">
        <v>40</v>
      </c>
      <c r="D3050" s="473" t="s">
        <v>41</v>
      </c>
      <c r="E3050" s="361">
        <v>21.75</v>
      </c>
    </row>
    <row r="3051" spans="1:5">
      <c r="A3051" s="473">
        <v>12406</v>
      </c>
      <c r="B3051" s="473" t="s">
        <v>12704</v>
      </c>
      <c r="C3051" s="473" t="s">
        <v>40</v>
      </c>
      <c r="D3051" s="473" t="s">
        <v>41</v>
      </c>
      <c r="E3051" s="361">
        <v>5.34</v>
      </c>
    </row>
    <row r="3052" spans="1:5">
      <c r="A3052" s="473">
        <v>3929</v>
      </c>
      <c r="B3052" s="473" t="s">
        <v>12705</v>
      </c>
      <c r="C3052" s="473" t="s">
        <v>40</v>
      </c>
      <c r="D3052" s="473" t="s">
        <v>41</v>
      </c>
      <c r="E3052" s="361">
        <v>58.13</v>
      </c>
    </row>
    <row r="3053" spans="1:5">
      <c r="A3053" s="473">
        <v>3931</v>
      </c>
      <c r="B3053" s="473" t="s">
        <v>12706</v>
      </c>
      <c r="C3053" s="473" t="s">
        <v>40</v>
      </c>
      <c r="D3053" s="473" t="s">
        <v>41</v>
      </c>
      <c r="E3053" s="361">
        <v>58.13</v>
      </c>
    </row>
    <row r="3054" spans="1:5">
      <c r="A3054" s="473">
        <v>3930</v>
      </c>
      <c r="B3054" s="473" t="s">
        <v>12707</v>
      </c>
      <c r="C3054" s="473" t="s">
        <v>40</v>
      </c>
      <c r="D3054" s="473" t="s">
        <v>41</v>
      </c>
      <c r="E3054" s="361">
        <v>58.13</v>
      </c>
    </row>
    <row r="3055" spans="1:5">
      <c r="A3055" s="473">
        <v>3932</v>
      </c>
      <c r="B3055" s="473" t="s">
        <v>12708</v>
      </c>
      <c r="C3055" s="473" t="s">
        <v>40</v>
      </c>
      <c r="D3055" s="473" t="s">
        <v>41</v>
      </c>
      <c r="E3055" s="361">
        <v>100.38</v>
      </c>
    </row>
    <row r="3056" spans="1:5">
      <c r="A3056" s="473">
        <v>3933</v>
      </c>
      <c r="B3056" s="473" t="s">
        <v>12709</v>
      </c>
      <c r="C3056" s="473" t="s">
        <v>40</v>
      </c>
      <c r="D3056" s="473" t="s">
        <v>41</v>
      </c>
      <c r="E3056" s="361">
        <v>100.38</v>
      </c>
    </row>
    <row r="3057" spans="1:5">
      <c r="A3057" s="473">
        <v>3934</v>
      </c>
      <c r="B3057" s="473" t="s">
        <v>12710</v>
      </c>
      <c r="C3057" s="473" t="s">
        <v>40</v>
      </c>
      <c r="D3057" s="473" t="s">
        <v>41</v>
      </c>
      <c r="E3057" s="361">
        <v>100.38</v>
      </c>
    </row>
    <row r="3058" spans="1:5">
      <c r="A3058" s="473">
        <v>40355</v>
      </c>
      <c r="B3058" s="473" t="s">
        <v>12711</v>
      </c>
      <c r="C3058" s="473" t="s">
        <v>40</v>
      </c>
      <c r="D3058" s="473" t="s">
        <v>47</v>
      </c>
      <c r="E3058" s="361">
        <v>6.02</v>
      </c>
    </row>
    <row r="3059" spans="1:5">
      <c r="A3059" s="473">
        <v>40364</v>
      </c>
      <c r="B3059" s="473" t="s">
        <v>12712</v>
      </c>
      <c r="C3059" s="473" t="s">
        <v>40</v>
      </c>
      <c r="D3059" s="473" t="s">
        <v>47</v>
      </c>
      <c r="E3059" s="361">
        <v>28.2</v>
      </c>
    </row>
    <row r="3060" spans="1:5">
      <c r="A3060" s="473">
        <v>40361</v>
      </c>
      <c r="B3060" s="473" t="s">
        <v>12713</v>
      </c>
      <c r="C3060" s="473" t="s">
        <v>40</v>
      </c>
      <c r="D3060" s="473" t="s">
        <v>47</v>
      </c>
      <c r="E3060" s="361">
        <v>22.05</v>
      </c>
    </row>
    <row r="3061" spans="1:5">
      <c r="A3061" s="473">
        <v>40358</v>
      </c>
      <c r="B3061" s="473" t="s">
        <v>12714</v>
      </c>
      <c r="C3061" s="473" t="s">
        <v>40</v>
      </c>
      <c r="D3061" s="473" t="s">
        <v>47</v>
      </c>
      <c r="E3061" s="361">
        <v>8.4</v>
      </c>
    </row>
    <row r="3062" spans="1:5">
      <c r="A3062" s="473">
        <v>40370</v>
      </c>
      <c r="B3062" s="473" t="s">
        <v>12715</v>
      </c>
      <c r="C3062" s="473" t="s">
        <v>40</v>
      </c>
      <c r="D3062" s="473" t="s">
        <v>47</v>
      </c>
      <c r="E3062" s="361">
        <v>89.47</v>
      </c>
    </row>
    <row r="3063" spans="1:5">
      <c r="A3063" s="473">
        <v>40367</v>
      </c>
      <c r="B3063" s="473" t="s">
        <v>12716</v>
      </c>
      <c r="C3063" s="473" t="s">
        <v>40</v>
      </c>
      <c r="D3063" s="473" t="s">
        <v>47</v>
      </c>
      <c r="E3063" s="361">
        <v>44.47</v>
      </c>
    </row>
    <row r="3064" spans="1:5">
      <c r="A3064" s="473">
        <v>40373</v>
      </c>
      <c r="B3064" s="473" t="s">
        <v>12717</v>
      </c>
      <c r="C3064" s="473" t="s">
        <v>40</v>
      </c>
      <c r="D3064" s="473" t="s">
        <v>47</v>
      </c>
      <c r="E3064" s="361">
        <v>120.99</v>
      </c>
    </row>
    <row r="3065" spans="1:5">
      <c r="A3065" s="473">
        <v>38947</v>
      </c>
      <c r="B3065" s="473" t="s">
        <v>12718</v>
      </c>
      <c r="C3065" s="473" t="s">
        <v>40</v>
      </c>
      <c r="D3065" s="473" t="s">
        <v>47</v>
      </c>
      <c r="E3065" s="361">
        <v>6.07</v>
      </c>
    </row>
    <row r="3066" spans="1:5">
      <c r="A3066" s="473">
        <v>38948</v>
      </c>
      <c r="B3066" s="473" t="s">
        <v>12719</v>
      </c>
      <c r="C3066" s="473" t="s">
        <v>40</v>
      </c>
      <c r="D3066" s="473" t="s">
        <v>47</v>
      </c>
      <c r="E3066" s="361">
        <v>9.68</v>
      </c>
    </row>
    <row r="3067" spans="1:5">
      <c r="A3067" s="473">
        <v>38949</v>
      </c>
      <c r="B3067" s="473" t="s">
        <v>12720</v>
      </c>
      <c r="C3067" s="473" t="s">
        <v>40</v>
      </c>
      <c r="D3067" s="473" t="s">
        <v>47</v>
      </c>
      <c r="E3067" s="361">
        <v>10.74</v>
      </c>
    </row>
    <row r="3068" spans="1:5">
      <c r="A3068" s="473">
        <v>38951</v>
      </c>
      <c r="B3068" s="473" t="s">
        <v>12721</v>
      </c>
      <c r="C3068" s="473" t="s">
        <v>40</v>
      </c>
      <c r="D3068" s="473" t="s">
        <v>47</v>
      </c>
      <c r="E3068" s="361">
        <v>16.989999999999998</v>
      </c>
    </row>
    <row r="3069" spans="1:5">
      <c r="A3069" s="473">
        <v>39312</v>
      </c>
      <c r="B3069" s="473" t="s">
        <v>12722</v>
      </c>
      <c r="C3069" s="473" t="s">
        <v>40</v>
      </c>
      <c r="D3069" s="473" t="s">
        <v>47</v>
      </c>
      <c r="E3069" s="361">
        <v>13.18</v>
      </c>
    </row>
    <row r="3070" spans="1:5">
      <c r="A3070" s="473">
        <v>39313</v>
      </c>
      <c r="B3070" s="473" t="s">
        <v>12723</v>
      </c>
      <c r="C3070" s="473" t="s">
        <v>40</v>
      </c>
      <c r="D3070" s="473" t="s">
        <v>47</v>
      </c>
      <c r="E3070" s="361">
        <v>17.2</v>
      </c>
    </row>
    <row r="3071" spans="1:5">
      <c r="A3071" s="473">
        <v>38950</v>
      </c>
      <c r="B3071" s="473" t="s">
        <v>12724</v>
      </c>
      <c r="C3071" s="473" t="s">
        <v>40</v>
      </c>
      <c r="D3071" s="473" t="s">
        <v>47</v>
      </c>
      <c r="E3071" s="361">
        <v>25.88</v>
      </c>
    </row>
    <row r="3072" spans="1:5">
      <c r="A3072" s="473">
        <v>39314</v>
      </c>
      <c r="B3072" s="473" t="s">
        <v>12725</v>
      </c>
      <c r="C3072" s="473" t="s">
        <v>40</v>
      </c>
      <c r="D3072" s="473" t="s">
        <v>47</v>
      </c>
      <c r="E3072" s="361">
        <v>27.31</v>
      </c>
    </row>
    <row r="3073" spans="1:5">
      <c r="A3073" s="473">
        <v>3907</v>
      </c>
      <c r="B3073" s="473" t="s">
        <v>12726</v>
      </c>
      <c r="C3073" s="473" t="s">
        <v>40</v>
      </c>
      <c r="D3073" s="473" t="s">
        <v>41</v>
      </c>
      <c r="E3073" s="361">
        <v>3.01</v>
      </c>
    </row>
    <row r="3074" spans="1:5">
      <c r="A3074" s="473">
        <v>3889</v>
      </c>
      <c r="B3074" s="473" t="s">
        <v>12727</v>
      </c>
      <c r="C3074" s="473" t="s">
        <v>40</v>
      </c>
      <c r="D3074" s="473" t="s">
        <v>41</v>
      </c>
      <c r="E3074" s="361">
        <v>2.2999999999999998</v>
      </c>
    </row>
    <row r="3075" spans="1:5">
      <c r="A3075" s="473">
        <v>3868</v>
      </c>
      <c r="B3075" s="473" t="s">
        <v>12728</v>
      </c>
      <c r="C3075" s="473" t="s">
        <v>40</v>
      </c>
      <c r="D3075" s="473" t="s">
        <v>41</v>
      </c>
      <c r="E3075" s="361">
        <v>0.89</v>
      </c>
    </row>
    <row r="3076" spans="1:5">
      <c r="A3076" s="473">
        <v>3869</v>
      </c>
      <c r="B3076" s="473" t="s">
        <v>12729</v>
      </c>
      <c r="C3076" s="473" t="s">
        <v>40</v>
      </c>
      <c r="D3076" s="473" t="s">
        <v>41</v>
      </c>
      <c r="E3076" s="361">
        <v>2.5499999999999998</v>
      </c>
    </row>
    <row r="3077" spans="1:5">
      <c r="A3077" s="473">
        <v>3872</v>
      </c>
      <c r="B3077" s="473" t="s">
        <v>12730</v>
      </c>
      <c r="C3077" s="473" t="s">
        <v>40</v>
      </c>
      <c r="D3077" s="473" t="s">
        <v>41</v>
      </c>
      <c r="E3077" s="361">
        <v>3.1</v>
      </c>
    </row>
    <row r="3078" spans="1:5">
      <c r="A3078" s="473">
        <v>3850</v>
      </c>
      <c r="B3078" s="473" t="s">
        <v>12731</v>
      </c>
      <c r="C3078" s="473" t="s">
        <v>40</v>
      </c>
      <c r="D3078" s="473" t="s">
        <v>41</v>
      </c>
      <c r="E3078" s="361">
        <v>8</v>
      </c>
    </row>
    <row r="3079" spans="1:5">
      <c r="A3079" s="473">
        <v>38023</v>
      </c>
      <c r="B3079" s="473" t="s">
        <v>12732</v>
      </c>
      <c r="C3079" s="473" t="s">
        <v>40</v>
      </c>
      <c r="D3079" s="473" t="s">
        <v>41</v>
      </c>
      <c r="E3079" s="361">
        <v>3.37</v>
      </c>
    </row>
    <row r="3080" spans="1:5">
      <c r="A3080" s="473">
        <v>37986</v>
      </c>
      <c r="B3080" s="473" t="s">
        <v>12733</v>
      </c>
      <c r="C3080" s="473" t="s">
        <v>40</v>
      </c>
      <c r="D3080" s="473" t="s">
        <v>41</v>
      </c>
      <c r="E3080" s="361">
        <v>0.98</v>
      </c>
    </row>
    <row r="3081" spans="1:5">
      <c r="A3081" s="473">
        <v>37987</v>
      </c>
      <c r="B3081" s="473" t="s">
        <v>12734</v>
      </c>
      <c r="C3081" s="473" t="s">
        <v>40</v>
      </c>
      <c r="D3081" s="473" t="s">
        <v>41</v>
      </c>
      <c r="E3081" s="361">
        <v>73.48</v>
      </c>
    </row>
    <row r="3082" spans="1:5">
      <c r="A3082" s="473">
        <v>37988</v>
      </c>
      <c r="B3082" s="473" t="s">
        <v>12735</v>
      </c>
      <c r="C3082" s="473" t="s">
        <v>40</v>
      </c>
      <c r="D3082" s="473" t="s">
        <v>41</v>
      </c>
      <c r="E3082" s="361">
        <v>119.85</v>
      </c>
    </row>
    <row r="3083" spans="1:5">
      <c r="A3083" s="473">
        <v>21120</v>
      </c>
      <c r="B3083" s="473" t="s">
        <v>12736</v>
      </c>
      <c r="C3083" s="473" t="s">
        <v>40</v>
      </c>
      <c r="D3083" s="473" t="s">
        <v>41</v>
      </c>
      <c r="E3083" s="361">
        <v>5.97</v>
      </c>
    </row>
    <row r="3084" spans="1:5">
      <c r="A3084" s="473">
        <v>39318</v>
      </c>
      <c r="B3084" s="473" t="s">
        <v>12737</v>
      </c>
      <c r="C3084" s="473" t="s">
        <v>40</v>
      </c>
      <c r="D3084" s="473" t="s">
        <v>41</v>
      </c>
      <c r="E3084" s="361">
        <v>4.92</v>
      </c>
    </row>
    <row r="3085" spans="1:5">
      <c r="A3085" s="473">
        <v>20162</v>
      </c>
      <c r="B3085" s="473" t="s">
        <v>12738</v>
      </c>
      <c r="C3085" s="473" t="s">
        <v>40</v>
      </c>
      <c r="D3085" s="473" t="s">
        <v>41</v>
      </c>
      <c r="E3085" s="361">
        <v>10.46</v>
      </c>
    </row>
    <row r="3086" spans="1:5">
      <c r="A3086" s="473">
        <v>40366</v>
      </c>
      <c r="B3086" s="473" t="s">
        <v>12739</v>
      </c>
      <c r="C3086" s="473" t="s">
        <v>40</v>
      </c>
      <c r="D3086" s="473" t="s">
        <v>47</v>
      </c>
      <c r="E3086" s="361">
        <v>21.99</v>
      </c>
    </row>
    <row r="3087" spans="1:5">
      <c r="A3087" s="473">
        <v>40363</v>
      </c>
      <c r="B3087" s="473" t="s">
        <v>12740</v>
      </c>
      <c r="C3087" s="473" t="s">
        <v>40</v>
      </c>
      <c r="D3087" s="473" t="s">
        <v>47</v>
      </c>
      <c r="E3087" s="361">
        <v>17.2</v>
      </c>
    </row>
    <row r="3088" spans="1:5">
      <c r="A3088" s="473">
        <v>40354</v>
      </c>
      <c r="B3088" s="473" t="s">
        <v>12741</v>
      </c>
      <c r="C3088" s="473" t="s">
        <v>40</v>
      </c>
      <c r="D3088" s="473" t="s">
        <v>47</v>
      </c>
      <c r="E3088" s="361">
        <v>7.49</v>
      </c>
    </row>
    <row r="3089" spans="1:5">
      <c r="A3089" s="473">
        <v>40360</v>
      </c>
      <c r="B3089" s="473" t="s">
        <v>12742</v>
      </c>
      <c r="C3089" s="473" t="s">
        <v>40</v>
      </c>
      <c r="D3089" s="473" t="s">
        <v>47</v>
      </c>
      <c r="E3089" s="361">
        <v>11.28</v>
      </c>
    </row>
    <row r="3090" spans="1:5">
      <c r="A3090" s="473">
        <v>40372</v>
      </c>
      <c r="B3090" s="473" t="s">
        <v>12743</v>
      </c>
      <c r="C3090" s="473" t="s">
        <v>40</v>
      </c>
      <c r="D3090" s="473" t="s">
        <v>47</v>
      </c>
      <c r="E3090" s="361">
        <v>69.650000000000006</v>
      </c>
    </row>
    <row r="3091" spans="1:5">
      <c r="A3091" s="473">
        <v>40369</v>
      </c>
      <c r="B3091" s="473" t="s">
        <v>12744</v>
      </c>
      <c r="C3091" s="473" t="s">
        <v>40</v>
      </c>
      <c r="D3091" s="473" t="s">
        <v>47</v>
      </c>
      <c r="E3091" s="361">
        <v>34.659999999999997</v>
      </c>
    </row>
    <row r="3092" spans="1:5">
      <c r="A3092" s="473">
        <v>40357</v>
      </c>
      <c r="B3092" s="473" t="s">
        <v>12745</v>
      </c>
      <c r="C3092" s="473" t="s">
        <v>40</v>
      </c>
      <c r="D3092" s="473" t="s">
        <v>47</v>
      </c>
      <c r="E3092" s="361">
        <v>8.4</v>
      </c>
    </row>
    <row r="3093" spans="1:5">
      <c r="A3093" s="473">
        <v>40375</v>
      </c>
      <c r="B3093" s="473" t="s">
        <v>12746</v>
      </c>
      <c r="C3093" s="473" t="s">
        <v>40</v>
      </c>
      <c r="D3093" s="473" t="s">
        <v>47</v>
      </c>
      <c r="E3093" s="361">
        <v>94.29</v>
      </c>
    </row>
    <row r="3094" spans="1:5">
      <c r="A3094" s="473">
        <v>1893</v>
      </c>
      <c r="B3094" s="473" t="s">
        <v>12747</v>
      </c>
      <c r="C3094" s="473" t="s">
        <v>40</v>
      </c>
      <c r="D3094" s="473" t="s">
        <v>41</v>
      </c>
      <c r="E3094" s="361">
        <v>2.2999999999999998</v>
      </c>
    </row>
    <row r="3095" spans="1:5">
      <c r="A3095" s="473">
        <v>1902</v>
      </c>
      <c r="B3095" s="473" t="s">
        <v>12748</v>
      </c>
      <c r="C3095" s="473" t="s">
        <v>40</v>
      </c>
      <c r="D3095" s="473" t="s">
        <v>41</v>
      </c>
      <c r="E3095" s="361">
        <v>1.67</v>
      </c>
    </row>
    <row r="3096" spans="1:5">
      <c r="A3096" s="473">
        <v>1901</v>
      </c>
      <c r="B3096" s="473" t="s">
        <v>12749</v>
      </c>
      <c r="C3096" s="473" t="s">
        <v>40</v>
      </c>
      <c r="D3096" s="473" t="s">
        <v>41</v>
      </c>
      <c r="E3096" s="361">
        <v>0.52</v>
      </c>
    </row>
    <row r="3097" spans="1:5">
      <c r="A3097" s="473">
        <v>1892</v>
      </c>
      <c r="B3097" s="473" t="s">
        <v>12750</v>
      </c>
      <c r="C3097" s="473" t="s">
        <v>40</v>
      </c>
      <c r="D3097" s="473" t="s">
        <v>41</v>
      </c>
      <c r="E3097" s="361">
        <v>1.08</v>
      </c>
    </row>
    <row r="3098" spans="1:5">
      <c r="A3098" s="473">
        <v>1907</v>
      </c>
      <c r="B3098" s="473" t="s">
        <v>12751</v>
      </c>
      <c r="C3098" s="473" t="s">
        <v>40</v>
      </c>
      <c r="D3098" s="473" t="s">
        <v>41</v>
      </c>
      <c r="E3098" s="361">
        <v>7.41</v>
      </c>
    </row>
    <row r="3099" spans="1:5">
      <c r="A3099" s="473">
        <v>1894</v>
      </c>
      <c r="B3099" s="473" t="s">
        <v>12752</v>
      </c>
      <c r="C3099" s="473" t="s">
        <v>40</v>
      </c>
      <c r="D3099" s="473" t="s">
        <v>41</v>
      </c>
      <c r="E3099" s="361">
        <v>3.33</v>
      </c>
    </row>
    <row r="3100" spans="1:5">
      <c r="A3100" s="473">
        <v>1891</v>
      </c>
      <c r="B3100" s="473" t="s">
        <v>12753</v>
      </c>
      <c r="C3100" s="473" t="s">
        <v>40</v>
      </c>
      <c r="D3100" s="473" t="s">
        <v>41</v>
      </c>
      <c r="E3100" s="361">
        <v>0.77</v>
      </c>
    </row>
    <row r="3101" spans="1:5">
      <c r="A3101" s="473">
        <v>1896</v>
      </c>
      <c r="B3101" s="473" t="s">
        <v>12754</v>
      </c>
      <c r="C3101" s="473" t="s">
        <v>40</v>
      </c>
      <c r="D3101" s="473" t="s">
        <v>41</v>
      </c>
      <c r="E3101" s="361">
        <v>9.9499999999999993</v>
      </c>
    </row>
    <row r="3102" spans="1:5">
      <c r="A3102" s="473">
        <v>1895</v>
      </c>
      <c r="B3102" s="473" t="s">
        <v>12755</v>
      </c>
      <c r="C3102" s="473" t="s">
        <v>40</v>
      </c>
      <c r="D3102" s="473" t="s">
        <v>41</v>
      </c>
      <c r="E3102" s="361">
        <v>17.489999999999998</v>
      </c>
    </row>
    <row r="3103" spans="1:5">
      <c r="A3103" s="473">
        <v>2641</v>
      </c>
      <c r="B3103" s="473" t="s">
        <v>12756</v>
      </c>
      <c r="C3103" s="473" t="s">
        <v>40</v>
      </c>
      <c r="D3103" s="473" t="s">
        <v>47</v>
      </c>
      <c r="E3103" s="361">
        <v>24.62</v>
      </c>
    </row>
    <row r="3104" spans="1:5">
      <c r="A3104" s="473">
        <v>2636</v>
      </c>
      <c r="B3104" s="473" t="s">
        <v>12757</v>
      </c>
      <c r="C3104" s="473" t="s">
        <v>40</v>
      </c>
      <c r="D3104" s="473" t="s">
        <v>47</v>
      </c>
      <c r="E3104" s="361">
        <v>1.58</v>
      </c>
    </row>
    <row r="3105" spans="1:5">
      <c r="A3105" s="473">
        <v>2637</v>
      </c>
      <c r="B3105" s="473" t="s">
        <v>12758</v>
      </c>
      <c r="C3105" s="473" t="s">
        <v>40</v>
      </c>
      <c r="D3105" s="473" t="s">
        <v>47</v>
      </c>
      <c r="E3105" s="361">
        <v>1.68</v>
      </c>
    </row>
    <row r="3106" spans="1:5">
      <c r="A3106" s="473">
        <v>2638</v>
      </c>
      <c r="B3106" s="473" t="s">
        <v>12759</v>
      </c>
      <c r="C3106" s="473" t="s">
        <v>40</v>
      </c>
      <c r="D3106" s="473" t="s">
        <v>47</v>
      </c>
      <c r="E3106" s="361">
        <v>1.96</v>
      </c>
    </row>
    <row r="3107" spans="1:5">
      <c r="A3107" s="473">
        <v>2639</v>
      </c>
      <c r="B3107" s="473" t="s">
        <v>12760</v>
      </c>
      <c r="C3107" s="473" t="s">
        <v>40</v>
      </c>
      <c r="D3107" s="473" t="s">
        <v>47</v>
      </c>
      <c r="E3107" s="361">
        <v>3.48</v>
      </c>
    </row>
    <row r="3108" spans="1:5">
      <c r="A3108" s="473">
        <v>2644</v>
      </c>
      <c r="B3108" s="473" t="s">
        <v>12761</v>
      </c>
      <c r="C3108" s="473" t="s">
        <v>40</v>
      </c>
      <c r="D3108" s="473" t="s">
        <v>47</v>
      </c>
      <c r="E3108" s="361">
        <v>5.03</v>
      </c>
    </row>
    <row r="3109" spans="1:5">
      <c r="A3109" s="473">
        <v>2643</v>
      </c>
      <c r="B3109" s="473" t="s">
        <v>12762</v>
      </c>
      <c r="C3109" s="473" t="s">
        <v>40</v>
      </c>
      <c r="D3109" s="473" t="s">
        <v>47</v>
      </c>
      <c r="E3109" s="361">
        <v>7.02</v>
      </c>
    </row>
    <row r="3110" spans="1:5">
      <c r="A3110" s="473">
        <v>2640</v>
      </c>
      <c r="B3110" s="473" t="s">
        <v>12763</v>
      </c>
      <c r="C3110" s="473" t="s">
        <v>40</v>
      </c>
      <c r="D3110" s="473" t="s">
        <v>47</v>
      </c>
      <c r="E3110" s="361">
        <v>10.24</v>
      </c>
    </row>
    <row r="3111" spans="1:5">
      <c r="A3111" s="473">
        <v>2642</v>
      </c>
      <c r="B3111" s="473" t="s">
        <v>12764</v>
      </c>
      <c r="C3111" s="473" t="s">
        <v>40</v>
      </c>
      <c r="D3111" s="473" t="s">
        <v>47</v>
      </c>
      <c r="E3111" s="361">
        <v>15.6</v>
      </c>
    </row>
    <row r="3112" spans="1:5">
      <c r="A3112" s="473">
        <v>38943</v>
      </c>
      <c r="B3112" s="473" t="s">
        <v>12765</v>
      </c>
      <c r="C3112" s="473" t="s">
        <v>40</v>
      </c>
      <c r="D3112" s="473" t="s">
        <v>47</v>
      </c>
      <c r="E3112" s="361">
        <v>4.4800000000000004</v>
      </c>
    </row>
    <row r="3113" spans="1:5">
      <c r="A3113" s="473">
        <v>38944</v>
      </c>
      <c r="B3113" s="473" t="s">
        <v>12766</v>
      </c>
      <c r="C3113" s="473" t="s">
        <v>40</v>
      </c>
      <c r="D3113" s="473" t="s">
        <v>47</v>
      </c>
      <c r="E3113" s="361">
        <v>6.92</v>
      </c>
    </row>
    <row r="3114" spans="1:5">
      <c r="A3114" s="473">
        <v>38945</v>
      </c>
      <c r="B3114" s="473" t="s">
        <v>12767</v>
      </c>
      <c r="C3114" s="473" t="s">
        <v>40</v>
      </c>
      <c r="D3114" s="473" t="s">
        <v>47</v>
      </c>
      <c r="E3114" s="361">
        <v>14.04</v>
      </c>
    </row>
    <row r="3115" spans="1:5">
      <c r="A3115" s="473">
        <v>38946</v>
      </c>
      <c r="B3115" s="473" t="s">
        <v>12768</v>
      </c>
      <c r="C3115" s="473" t="s">
        <v>40</v>
      </c>
      <c r="D3115" s="473" t="s">
        <v>47</v>
      </c>
      <c r="E3115" s="361">
        <v>20.94</v>
      </c>
    </row>
    <row r="3116" spans="1:5">
      <c r="A3116" s="473">
        <v>39308</v>
      </c>
      <c r="B3116" s="473" t="s">
        <v>12769</v>
      </c>
      <c r="C3116" s="473" t="s">
        <v>40</v>
      </c>
      <c r="D3116" s="473" t="s">
        <v>47</v>
      </c>
      <c r="E3116" s="361">
        <v>9.1300000000000008</v>
      </c>
    </row>
    <row r="3117" spans="1:5">
      <c r="A3117" s="473">
        <v>39309</v>
      </c>
      <c r="B3117" s="473" t="s">
        <v>12770</v>
      </c>
      <c r="C3117" s="473" t="s">
        <v>40</v>
      </c>
      <c r="D3117" s="473" t="s">
        <v>47</v>
      </c>
      <c r="E3117" s="361">
        <v>13.2</v>
      </c>
    </row>
    <row r="3118" spans="1:5">
      <c r="A3118" s="473">
        <v>39310</v>
      </c>
      <c r="B3118" s="473" t="s">
        <v>12771</v>
      </c>
      <c r="C3118" s="473" t="s">
        <v>40</v>
      </c>
      <c r="D3118" s="473" t="s">
        <v>47</v>
      </c>
      <c r="E3118" s="361">
        <v>20.010000000000002</v>
      </c>
    </row>
    <row r="3119" spans="1:5">
      <c r="A3119" s="473">
        <v>39311</v>
      </c>
      <c r="B3119" s="473" t="s">
        <v>12772</v>
      </c>
      <c r="C3119" s="473" t="s">
        <v>40</v>
      </c>
      <c r="D3119" s="473" t="s">
        <v>47</v>
      </c>
      <c r="E3119" s="361">
        <v>30.08</v>
      </c>
    </row>
    <row r="3120" spans="1:5">
      <c r="A3120" s="473">
        <v>39855</v>
      </c>
      <c r="B3120" s="473" t="s">
        <v>12773</v>
      </c>
      <c r="C3120" s="473" t="s">
        <v>40</v>
      </c>
      <c r="D3120" s="473" t="s">
        <v>47</v>
      </c>
      <c r="E3120" s="361">
        <v>1.67</v>
      </c>
    </row>
    <row r="3121" spans="1:5">
      <c r="A3121" s="473">
        <v>39856</v>
      </c>
      <c r="B3121" s="473" t="s">
        <v>12774</v>
      </c>
      <c r="C3121" s="473" t="s">
        <v>40</v>
      </c>
      <c r="D3121" s="473" t="s">
        <v>47</v>
      </c>
      <c r="E3121" s="361">
        <v>3.95</v>
      </c>
    </row>
    <row r="3122" spans="1:5">
      <c r="A3122" s="473">
        <v>39857</v>
      </c>
      <c r="B3122" s="473" t="s">
        <v>12775</v>
      </c>
      <c r="C3122" s="473" t="s">
        <v>40</v>
      </c>
      <c r="D3122" s="473" t="s">
        <v>47</v>
      </c>
      <c r="E3122" s="361">
        <v>6.39</v>
      </c>
    </row>
    <row r="3123" spans="1:5">
      <c r="A3123" s="473">
        <v>39858</v>
      </c>
      <c r="B3123" s="473" t="s">
        <v>12776</v>
      </c>
      <c r="C3123" s="473" t="s">
        <v>40</v>
      </c>
      <c r="D3123" s="473" t="s">
        <v>47</v>
      </c>
      <c r="E3123" s="361">
        <v>14.19</v>
      </c>
    </row>
    <row r="3124" spans="1:5">
      <c r="A3124" s="473">
        <v>39859</v>
      </c>
      <c r="B3124" s="473" t="s">
        <v>12777</v>
      </c>
      <c r="C3124" s="473" t="s">
        <v>40</v>
      </c>
      <c r="D3124" s="473" t="s">
        <v>47</v>
      </c>
      <c r="E3124" s="361">
        <v>21.87</v>
      </c>
    </row>
    <row r="3125" spans="1:5">
      <c r="A3125" s="473">
        <v>39860</v>
      </c>
      <c r="B3125" s="473" t="s">
        <v>12778</v>
      </c>
      <c r="C3125" s="473" t="s">
        <v>40</v>
      </c>
      <c r="D3125" s="473" t="s">
        <v>47</v>
      </c>
      <c r="E3125" s="361">
        <v>33.56</v>
      </c>
    </row>
    <row r="3126" spans="1:5">
      <c r="A3126" s="473">
        <v>39861</v>
      </c>
      <c r="B3126" s="473" t="s">
        <v>12779</v>
      </c>
      <c r="C3126" s="473" t="s">
        <v>40</v>
      </c>
      <c r="D3126" s="473" t="s">
        <v>47</v>
      </c>
      <c r="E3126" s="361">
        <v>95.82</v>
      </c>
    </row>
    <row r="3127" spans="1:5">
      <c r="A3127" s="473">
        <v>38447</v>
      </c>
      <c r="B3127" s="473" t="s">
        <v>12780</v>
      </c>
      <c r="C3127" s="473" t="s">
        <v>40</v>
      </c>
      <c r="D3127" s="473" t="s">
        <v>47</v>
      </c>
      <c r="E3127" s="361">
        <v>70.31</v>
      </c>
    </row>
    <row r="3128" spans="1:5">
      <c r="A3128" s="473">
        <v>36320</v>
      </c>
      <c r="B3128" s="473" t="s">
        <v>12781</v>
      </c>
      <c r="C3128" s="473" t="s">
        <v>40</v>
      </c>
      <c r="D3128" s="473" t="s">
        <v>47</v>
      </c>
      <c r="E3128" s="361">
        <v>1.02</v>
      </c>
    </row>
    <row r="3129" spans="1:5">
      <c r="A3129" s="473">
        <v>36324</v>
      </c>
      <c r="B3129" s="473" t="s">
        <v>12782</v>
      </c>
      <c r="C3129" s="473" t="s">
        <v>40</v>
      </c>
      <c r="D3129" s="473" t="s">
        <v>47</v>
      </c>
      <c r="E3129" s="361">
        <v>1.54</v>
      </c>
    </row>
    <row r="3130" spans="1:5">
      <c r="A3130" s="473">
        <v>38441</v>
      </c>
      <c r="B3130" s="473" t="s">
        <v>12783</v>
      </c>
      <c r="C3130" s="473" t="s">
        <v>40</v>
      </c>
      <c r="D3130" s="473" t="s">
        <v>47</v>
      </c>
      <c r="E3130" s="361">
        <v>2.02</v>
      </c>
    </row>
    <row r="3131" spans="1:5">
      <c r="A3131" s="473">
        <v>38442</v>
      </c>
      <c r="B3131" s="473" t="s">
        <v>12784</v>
      </c>
      <c r="C3131" s="473" t="s">
        <v>40</v>
      </c>
      <c r="D3131" s="473" t="s">
        <v>47</v>
      </c>
      <c r="E3131" s="361">
        <v>5.15</v>
      </c>
    </row>
    <row r="3132" spans="1:5">
      <c r="A3132" s="473">
        <v>38443</v>
      </c>
      <c r="B3132" s="473" t="s">
        <v>12785</v>
      </c>
      <c r="C3132" s="473" t="s">
        <v>40</v>
      </c>
      <c r="D3132" s="473" t="s">
        <v>47</v>
      </c>
      <c r="E3132" s="361">
        <v>7.79</v>
      </c>
    </row>
    <row r="3133" spans="1:5">
      <c r="A3133" s="473">
        <v>38444</v>
      </c>
      <c r="B3133" s="473" t="s">
        <v>12786</v>
      </c>
      <c r="C3133" s="473" t="s">
        <v>40</v>
      </c>
      <c r="D3133" s="473" t="s">
        <v>47</v>
      </c>
      <c r="E3133" s="361">
        <v>11.59</v>
      </c>
    </row>
    <row r="3134" spans="1:5">
      <c r="A3134" s="473">
        <v>38445</v>
      </c>
      <c r="B3134" s="473" t="s">
        <v>12787</v>
      </c>
      <c r="C3134" s="473" t="s">
        <v>40</v>
      </c>
      <c r="D3134" s="473" t="s">
        <v>47</v>
      </c>
      <c r="E3134" s="361">
        <v>27.23</v>
      </c>
    </row>
    <row r="3135" spans="1:5">
      <c r="A3135" s="473">
        <v>38446</v>
      </c>
      <c r="B3135" s="473" t="s">
        <v>12788</v>
      </c>
      <c r="C3135" s="473" t="s">
        <v>40</v>
      </c>
      <c r="D3135" s="473" t="s">
        <v>47</v>
      </c>
      <c r="E3135" s="361">
        <v>43.94</v>
      </c>
    </row>
    <row r="3136" spans="1:5">
      <c r="A3136" s="473">
        <v>3867</v>
      </c>
      <c r="B3136" s="473" t="s">
        <v>12789</v>
      </c>
      <c r="C3136" s="473" t="s">
        <v>40</v>
      </c>
      <c r="D3136" s="473" t="s">
        <v>41</v>
      </c>
      <c r="E3136" s="361">
        <v>53.74</v>
      </c>
    </row>
    <row r="3137" spans="1:5">
      <c r="A3137" s="473">
        <v>3861</v>
      </c>
      <c r="B3137" s="473" t="s">
        <v>12790</v>
      </c>
      <c r="C3137" s="473" t="s">
        <v>40</v>
      </c>
      <c r="D3137" s="473" t="s">
        <v>41</v>
      </c>
      <c r="E3137" s="361">
        <v>0.44</v>
      </c>
    </row>
    <row r="3138" spans="1:5">
      <c r="A3138" s="473">
        <v>3904</v>
      </c>
      <c r="B3138" s="473" t="s">
        <v>12791</v>
      </c>
      <c r="C3138" s="473" t="s">
        <v>40</v>
      </c>
      <c r="D3138" s="473" t="s">
        <v>41</v>
      </c>
      <c r="E3138" s="361">
        <v>0.54</v>
      </c>
    </row>
    <row r="3139" spans="1:5">
      <c r="A3139" s="473">
        <v>3903</v>
      </c>
      <c r="B3139" s="473" t="s">
        <v>12792</v>
      </c>
      <c r="C3139" s="473" t="s">
        <v>40</v>
      </c>
      <c r="D3139" s="473" t="s">
        <v>41</v>
      </c>
      <c r="E3139" s="361">
        <v>1.33</v>
      </c>
    </row>
    <row r="3140" spans="1:5">
      <c r="A3140" s="473">
        <v>3862</v>
      </c>
      <c r="B3140" s="473" t="s">
        <v>12793</v>
      </c>
      <c r="C3140" s="473" t="s">
        <v>40</v>
      </c>
      <c r="D3140" s="473" t="s">
        <v>41</v>
      </c>
      <c r="E3140" s="361">
        <v>2.72</v>
      </c>
    </row>
    <row r="3141" spans="1:5">
      <c r="A3141" s="473">
        <v>3863</v>
      </c>
      <c r="B3141" s="473" t="s">
        <v>12794</v>
      </c>
      <c r="C3141" s="473" t="s">
        <v>40</v>
      </c>
      <c r="D3141" s="473" t="s">
        <v>41</v>
      </c>
      <c r="E3141" s="361">
        <v>3.19</v>
      </c>
    </row>
    <row r="3142" spans="1:5">
      <c r="A3142" s="473">
        <v>3864</v>
      </c>
      <c r="B3142" s="473" t="s">
        <v>12795</v>
      </c>
      <c r="C3142" s="473" t="s">
        <v>40</v>
      </c>
      <c r="D3142" s="473" t="s">
        <v>41</v>
      </c>
      <c r="E3142" s="361">
        <v>8.32</v>
      </c>
    </row>
    <row r="3143" spans="1:5">
      <c r="A3143" s="473">
        <v>3865</v>
      </c>
      <c r="B3143" s="473" t="s">
        <v>12796</v>
      </c>
      <c r="C3143" s="473" t="s">
        <v>40</v>
      </c>
      <c r="D3143" s="473" t="s">
        <v>41</v>
      </c>
      <c r="E3143" s="361">
        <v>14.47</v>
      </c>
    </row>
    <row r="3144" spans="1:5">
      <c r="A3144" s="473">
        <v>3866</v>
      </c>
      <c r="B3144" s="473" t="s">
        <v>12797</v>
      </c>
      <c r="C3144" s="473" t="s">
        <v>40</v>
      </c>
      <c r="D3144" s="473" t="s">
        <v>41</v>
      </c>
      <c r="E3144" s="361">
        <v>33.130000000000003</v>
      </c>
    </row>
    <row r="3145" spans="1:5">
      <c r="A3145" s="473">
        <v>3902</v>
      </c>
      <c r="B3145" s="473" t="s">
        <v>12798</v>
      </c>
      <c r="C3145" s="473" t="s">
        <v>40</v>
      </c>
      <c r="D3145" s="473" t="s">
        <v>41</v>
      </c>
      <c r="E3145" s="361">
        <v>16.11</v>
      </c>
    </row>
    <row r="3146" spans="1:5">
      <c r="A3146" s="473">
        <v>3878</v>
      </c>
      <c r="B3146" s="473" t="s">
        <v>12799</v>
      </c>
      <c r="C3146" s="473" t="s">
        <v>40</v>
      </c>
      <c r="D3146" s="473" t="s">
        <v>41</v>
      </c>
      <c r="E3146" s="361">
        <v>5.09</v>
      </c>
    </row>
    <row r="3147" spans="1:5">
      <c r="A3147" s="473">
        <v>3877</v>
      </c>
      <c r="B3147" s="473" t="s">
        <v>12800</v>
      </c>
      <c r="C3147" s="473" t="s">
        <v>40</v>
      </c>
      <c r="D3147" s="473" t="s">
        <v>41</v>
      </c>
      <c r="E3147" s="361">
        <v>4.6500000000000004</v>
      </c>
    </row>
    <row r="3148" spans="1:5">
      <c r="A3148" s="473">
        <v>3879</v>
      </c>
      <c r="B3148" s="473" t="s">
        <v>12801</v>
      </c>
      <c r="C3148" s="473" t="s">
        <v>40</v>
      </c>
      <c r="D3148" s="473" t="s">
        <v>41</v>
      </c>
      <c r="E3148" s="361">
        <v>10.27</v>
      </c>
    </row>
    <row r="3149" spans="1:5">
      <c r="A3149" s="473">
        <v>3880</v>
      </c>
      <c r="B3149" s="473" t="s">
        <v>12802</v>
      </c>
      <c r="C3149" s="473" t="s">
        <v>40</v>
      </c>
      <c r="D3149" s="473" t="s">
        <v>41</v>
      </c>
      <c r="E3149" s="361">
        <v>23.17</v>
      </c>
    </row>
    <row r="3150" spans="1:5">
      <c r="A3150" s="473">
        <v>12892</v>
      </c>
      <c r="B3150" s="473" t="s">
        <v>12803</v>
      </c>
      <c r="C3150" s="473" t="s">
        <v>42</v>
      </c>
      <c r="D3150" s="473" t="s">
        <v>41</v>
      </c>
      <c r="E3150" s="361">
        <v>10.08</v>
      </c>
    </row>
    <row r="3151" spans="1:5">
      <c r="A3151" s="473">
        <v>3883</v>
      </c>
      <c r="B3151" s="473" t="s">
        <v>12804</v>
      </c>
      <c r="C3151" s="473" t="s">
        <v>40</v>
      </c>
      <c r="D3151" s="473" t="s">
        <v>41</v>
      </c>
      <c r="E3151" s="361">
        <v>1.07</v>
      </c>
    </row>
    <row r="3152" spans="1:5">
      <c r="A3152" s="473">
        <v>3876</v>
      </c>
      <c r="B3152" s="473" t="s">
        <v>12805</v>
      </c>
      <c r="C3152" s="473" t="s">
        <v>40</v>
      </c>
      <c r="D3152" s="473" t="s">
        <v>41</v>
      </c>
      <c r="E3152" s="361">
        <v>2.68</v>
      </c>
    </row>
    <row r="3153" spans="1:5">
      <c r="A3153" s="473">
        <v>3884</v>
      </c>
      <c r="B3153" s="473" t="s">
        <v>12806</v>
      </c>
      <c r="C3153" s="473" t="s">
        <v>40</v>
      </c>
      <c r="D3153" s="473" t="s">
        <v>41</v>
      </c>
      <c r="E3153" s="361">
        <v>1.6</v>
      </c>
    </row>
    <row r="3154" spans="1:5">
      <c r="A3154" s="473">
        <v>3837</v>
      </c>
      <c r="B3154" s="473" t="s">
        <v>12807</v>
      </c>
      <c r="C3154" s="473" t="s">
        <v>40</v>
      </c>
      <c r="D3154" s="473" t="s">
        <v>47</v>
      </c>
      <c r="E3154" s="361">
        <v>33.549999999999997</v>
      </c>
    </row>
    <row r="3155" spans="1:5">
      <c r="A3155" s="473">
        <v>3845</v>
      </c>
      <c r="B3155" s="473" t="s">
        <v>12808</v>
      </c>
      <c r="C3155" s="473" t="s">
        <v>40</v>
      </c>
      <c r="D3155" s="473" t="s">
        <v>47</v>
      </c>
      <c r="E3155" s="361">
        <v>12.25</v>
      </c>
    </row>
    <row r="3156" spans="1:5">
      <c r="A3156" s="473">
        <v>11045</v>
      </c>
      <c r="B3156" s="473" t="s">
        <v>12809</v>
      </c>
      <c r="C3156" s="473" t="s">
        <v>40</v>
      </c>
      <c r="D3156" s="473" t="s">
        <v>47</v>
      </c>
      <c r="E3156" s="361">
        <v>23.64</v>
      </c>
    </row>
    <row r="3157" spans="1:5">
      <c r="A3157" s="473">
        <v>20170</v>
      </c>
      <c r="B3157" s="473" t="s">
        <v>12810</v>
      </c>
      <c r="C3157" s="473" t="s">
        <v>40</v>
      </c>
      <c r="D3157" s="473" t="s">
        <v>41</v>
      </c>
      <c r="E3157" s="361">
        <v>8.4700000000000006</v>
      </c>
    </row>
    <row r="3158" spans="1:5">
      <c r="A3158" s="473">
        <v>20171</v>
      </c>
      <c r="B3158" s="473" t="s">
        <v>12811</v>
      </c>
      <c r="C3158" s="473" t="s">
        <v>40</v>
      </c>
      <c r="D3158" s="473" t="s">
        <v>41</v>
      </c>
      <c r="E3158" s="361">
        <v>25.18</v>
      </c>
    </row>
    <row r="3159" spans="1:5">
      <c r="A3159" s="473">
        <v>20167</v>
      </c>
      <c r="B3159" s="473" t="s">
        <v>12812</v>
      </c>
      <c r="C3159" s="473" t="s">
        <v>40</v>
      </c>
      <c r="D3159" s="473" t="s">
        <v>41</v>
      </c>
      <c r="E3159" s="361">
        <v>3.15</v>
      </c>
    </row>
    <row r="3160" spans="1:5">
      <c r="A3160" s="473">
        <v>20168</v>
      </c>
      <c r="B3160" s="473" t="s">
        <v>12813</v>
      </c>
      <c r="C3160" s="473" t="s">
        <v>40</v>
      </c>
      <c r="D3160" s="473" t="s">
        <v>41</v>
      </c>
      <c r="E3160" s="361">
        <v>4.93</v>
      </c>
    </row>
    <row r="3161" spans="1:5">
      <c r="A3161" s="473">
        <v>20169</v>
      </c>
      <c r="B3161" s="473" t="s">
        <v>12814</v>
      </c>
      <c r="C3161" s="473" t="s">
        <v>40</v>
      </c>
      <c r="D3161" s="473" t="s">
        <v>41</v>
      </c>
      <c r="E3161" s="361">
        <v>6.99</v>
      </c>
    </row>
    <row r="3162" spans="1:5">
      <c r="A3162" s="473">
        <v>3899</v>
      </c>
      <c r="B3162" s="473" t="s">
        <v>12815</v>
      </c>
      <c r="C3162" s="473" t="s">
        <v>40</v>
      </c>
      <c r="D3162" s="473" t="s">
        <v>41</v>
      </c>
      <c r="E3162" s="361">
        <v>3.7</v>
      </c>
    </row>
    <row r="3163" spans="1:5">
      <c r="A3163" s="473">
        <v>38676</v>
      </c>
      <c r="B3163" s="473" t="s">
        <v>12816</v>
      </c>
      <c r="C3163" s="473" t="s">
        <v>40</v>
      </c>
      <c r="D3163" s="473" t="s">
        <v>41</v>
      </c>
      <c r="E3163" s="361">
        <v>17.91</v>
      </c>
    </row>
    <row r="3164" spans="1:5">
      <c r="A3164" s="473">
        <v>3897</v>
      </c>
      <c r="B3164" s="473" t="s">
        <v>12817</v>
      </c>
      <c r="C3164" s="473" t="s">
        <v>40</v>
      </c>
      <c r="D3164" s="473" t="s">
        <v>41</v>
      </c>
      <c r="E3164" s="361">
        <v>0.78</v>
      </c>
    </row>
    <row r="3165" spans="1:5">
      <c r="A3165" s="473">
        <v>3875</v>
      </c>
      <c r="B3165" s="473" t="s">
        <v>12818</v>
      </c>
      <c r="C3165" s="473" t="s">
        <v>40</v>
      </c>
      <c r="D3165" s="473" t="s">
        <v>41</v>
      </c>
      <c r="E3165" s="361">
        <v>1.68</v>
      </c>
    </row>
    <row r="3166" spans="1:5">
      <c r="A3166" s="473">
        <v>3898</v>
      </c>
      <c r="B3166" s="473" t="s">
        <v>12819</v>
      </c>
      <c r="C3166" s="473" t="s">
        <v>40</v>
      </c>
      <c r="D3166" s="473" t="s">
        <v>41</v>
      </c>
      <c r="E3166" s="361">
        <v>3.19</v>
      </c>
    </row>
    <row r="3167" spans="1:5">
      <c r="A3167" s="473">
        <v>3855</v>
      </c>
      <c r="B3167" s="473" t="s">
        <v>12820</v>
      </c>
      <c r="C3167" s="473" t="s">
        <v>40</v>
      </c>
      <c r="D3167" s="473" t="s">
        <v>41</v>
      </c>
      <c r="E3167" s="361">
        <v>3.55</v>
      </c>
    </row>
    <row r="3168" spans="1:5">
      <c r="A3168" s="473">
        <v>3874</v>
      </c>
      <c r="B3168" s="473" t="s">
        <v>12821</v>
      </c>
      <c r="C3168" s="473" t="s">
        <v>40</v>
      </c>
      <c r="D3168" s="473" t="s">
        <v>41</v>
      </c>
      <c r="E3168" s="361">
        <v>3.77</v>
      </c>
    </row>
    <row r="3169" spans="1:5">
      <c r="A3169" s="473">
        <v>3870</v>
      </c>
      <c r="B3169" s="473" t="s">
        <v>12822</v>
      </c>
      <c r="C3169" s="473" t="s">
        <v>40</v>
      </c>
      <c r="D3169" s="473" t="s">
        <v>41</v>
      </c>
      <c r="E3169" s="361">
        <v>4.6900000000000004</v>
      </c>
    </row>
    <row r="3170" spans="1:5">
      <c r="A3170" s="473">
        <v>38678</v>
      </c>
      <c r="B3170" s="473" t="s">
        <v>12823</v>
      </c>
      <c r="C3170" s="473" t="s">
        <v>40</v>
      </c>
      <c r="D3170" s="473" t="s">
        <v>41</v>
      </c>
      <c r="E3170" s="361">
        <v>12.76</v>
      </c>
    </row>
    <row r="3171" spans="1:5">
      <c r="A3171" s="473">
        <v>3859</v>
      </c>
      <c r="B3171" s="473" t="s">
        <v>12824</v>
      </c>
      <c r="C3171" s="473" t="s">
        <v>40</v>
      </c>
      <c r="D3171" s="473" t="s">
        <v>41</v>
      </c>
      <c r="E3171" s="361">
        <v>0.94</v>
      </c>
    </row>
    <row r="3172" spans="1:5">
      <c r="A3172" s="473">
        <v>3856</v>
      </c>
      <c r="B3172" s="473" t="s">
        <v>12825</v>
      </c>
      <c r="C3172" s="473" t="s">
        <v>40</v>
      </c>
      <c r="D3172" s="473" t="s">
        <v>41</v>
      </c>
      <c r="E3172" s="361">
        <v>1.2</v>
      </c>
    </row>
    <row r="3173" spans="1:5">
      <c r="A3173" s="473">
        <v>3906</v>
      </c>
      <c r="B3173" s="473" t="s">
        <v>12826</v>
      </c>
      <c r="C3173" s="473" t="s">
        <v>40</v>
      </c>
      <c r="D3173" s="473" t="s">
        <v>41</v>
      </c>
      <c r="E3173" s="361">
        <v>1.1299999999999999</v>
      </c>
    </row>
    <row r="3174" spans="1:5">
      <c r="A3174" s="473">
        <v>3860</v>
      </c>
      <c r="B3174" s="473" t="s">
        <v>12827</v>
      </c>
      <c r="C3174" s="473" t="s">
        <v>40</v>
      </c>
      <c r="D3174" s="473" t="s">
        <v>41</v>
      </c>
      <c r="E3174" s="361">
        <v>3.71</v>
      </c>
    </row>
    <row r="3175" spans="1:5">
      <c r="A3175" s="473">
        <v>3905</v>
      </c>
      <c r="B3175" s="473" t="s">
        <v>12828</v>
      </c>
      <c r="C3175" s="473" t="s">
        <v>40</v>
      </c>
      <c r="D3175" s="473" t="s">
        <v>41</v>
      </c>
      <c r="E3175" s="361">
        <v>8.2100000000000009</v>
      </c>
    </row>
    <row r="3176" spans="1:5">
      <c r="A3176" s="473">
        <v>3871</v>
      </c>
      <c r="B3176" s="473" t="s">
        <v>12829</v>
      </c>
      <c r="C3176" s="473" t="s">
        <v>40</v>
      </c>
      <c r="D3176" s="473" t="s">
        <v>41</v>
      </c>
      <c r="E3176" s="361">
        <v>17.04</v>
      </c>
    </row>
    <row r="3177" spans="1:5">
      <c r="A3177" s="473">
        <v>37429</v>
      </c>
      <c r="B3177" s="473" t="s">
        <v>12830</v>
      </c>
      <c r="C3177" s="473" t="s">
        <v>40</v>
      </c>
      <c r="D3177" s="473" t="s">
        <v>47</v>
      </c>
      <c r="E3177" s="361">
        <v>1686.73</v>
      </c>
    </row>
    <row r="3178" spans="1:5">
      <c r="A3178" s="473">
        <v>37426</v>
      </c>
      <c r="B3178" s="473" t="s">
        <v>12831</v>
      </c>
      <c r="C3178" s="473" t="s">
        <v>40</v>
      </c>
      <c r="D3178" s="473" t="s">
        <v>47</v>
      </c>
      <c r="E3178" s="361">
        <v>16.22</v>
      </c>
    </row>
    <row r="3179" spans="1:5">
      <c r="A3179" s="473">
        <v>37427</v>
      </c>
      <c r="B3179" s="473" t="s">
        <v>12832</v>
      </c>
      <c r="C3179" s="473" t="s">
        <v>40</v>
      </c>
      <c r="D3179" s="473" t="s">
        <v>47</v>
      </c>
      <c r="E3179" s="361">
        <v>38.700000000000003</v>
      </c>
    </row>
    <row r="3180" spans="1:5">
      <c r="A3180" s="473">
        <v>37424</v>
      </c>
      <c r="B3180" s="473" t="s">
        <v>12833</v>
      </c>
      <c r="C3180" s="473" t="s">
        <v>40</v>
      </c>
      <c r="D3180" s="473" t="s">
        <v>47</v>
      </c>
      <c r="E3180" s="361">
        <v>7.45</v>
      </c>
    </row>
    <row r="3181" spans="1:5">
      <c r="A3181" s="473">
        <v>37428</v>
      </c>
      <c r="B3181" s="473" t="s">
        <v>12834</v>
      </c>
      <c r="C3181" s="473" t="s">
        <v>40</v>
      </c>
      <c r="D3181" s="473" t="s">
        <v>47</v>
      </c>
      <c r="E3181" s="361">
        <v>133.38</v>
      </c>
    </row>
    <row r="3182" spans="1:5">
      <c r="A3182" s="473">
        <v>37425</v>
      </c>
      <c r="B3182" s="473" t="s">
        <v>12835</v>
      </c>
      <c r="C3182" s="473" t="s">
        <v>40</v>
      </c>
      <c r="D3182" s="473" t="s">
        <v>47</v>
      </c>
      <c r="E3182" s="361">
        <v>8.0299999999999994</v>
      </c>
    </row>
    <row r="3183" spans="1:5">
      <c r="A3183" s="473">
        <v>11519</v>
      </c>
      <c r="B3183" s="473" t="s">
        <v>12836</v>
      </c>
      <c r="C3183" s="473" t="s">
        <v>42</v>
      </c>
      <c r="D3183" s="473" t="s">
        <v>41</v>
      </c>
      <c r="E3183" s="361">
        <v>29.33</v>
      </c>
    </row>
    <row r="3184" spans="1:5">
      <c r="A3184" s="473">
        <v>11520</v>
      </c>
      <c r="B3184" s="473" t="s">
        <v>12837</v>
      </c>
      <c r="C3184" s="473" t="s">
        <v>42</v>
      </c>
      <c r="D3184" s="473" t="s">
        <v>41</v>
      </c>
      <c r="E3184" s="361">
        <v>11.63</v>
      </c>
    </row>
    <row r="3185" spans="1:5">
      <c r="A3185" s="473">
        <v>11518</v>
      </c>
      <c r="B3185" s="473" t="s">
        <v>12838</v>
      </c>
      <c r="C3185" s="473" t="s">
        <v>42</v>
      </c>
      <c r="D3185" s="473" t="s">
        <v>41</v>
      </c>
      <c r="E3185" s="361">
        <v>33.840000000000003</v>
      </c>
    </row>
    <row r="3186" spans="1:5">
      <c r="A3186" s="473">
        <v>38473</v>
      </c>
      <c r="B3186" s="473" t="s">
        <v>12839</v>
      </c>
      <c r="C3186" s="473" t="s">
        <v>40</v>
      </c>
      <c r="D3186" s="473" t="s">
        <v>41</v>
      </c>
      <c r="E3186" s="361">
        <v>115.28</v>
      </c>
    </row>
    <row r="3187" spans="1:5">
      <c r="A3187" s="473">
        <v>4244</v>
      </c>
      <c r="B3187" s="473" t="s">
        <v>12840</v>
      </c>
      <c r="C3187" s="473" t="s">
        <v>43</v>
      </c>
      <c r="D3187" s="473" t="s">
        <v>41</v>
      </c>
      <c r="E3187" s="361">
        <v>13.06</v>
      </c>
    </row>
    <row r="3188" spans="1:5">
      <c r="A3188" s="473">
        <v>40977</v>
      </c>
      <c r="B3188" s="473" t="s">
        <v>12841</v>
      </c>
      <c r="C3188" s="473" t="s">
        <v>53</v>
      </c>
      <c r="D3188" s="473" t="s">
        <v>41</v>
      </c>
      <c r="E3188" s="361">
        <v>2330.54</v>
      </c>
    </row>
    <row r="3189" spans="1:5">
      <c r="A3189" s="473">
        <v>2742</v>
      </c>
      <c r="B3189" s="473" t="s">
        <v>12842</v>
      </c>
      <c r="C3189" s="473" t="s">
        <v>48</v>
      </c>
      <c r="D3189" s="473" t="s">
        <v>41</v>
      </c>
      <c r="E3189" s="361">
        <v>1.68</v>
      </c>
    </row>
    <row r="3190" spans="1:5">
      <c r="A3190" s="473">
        <v>2748</v>
      </c>
      <c r="B3190" s="473" t="s">
        <v>12843</v>
      </c>
      <c r="C3190" s="473" t="s">
        <v>48</v>
      </c>
      <c r="D3190" s="473" t="s">
        <v>41</v>
      </c>
      <c r="E3190" s="361">
        <v>4.93</v>
      </c>
    </row>
    <row r="3191" spans="1:5">
      <c r="A3191" s="473">
        <v>2736</v>
      </c>
      <c r="B3191" s="473" t="s">
        <v>12844</v>
      </c>
      <c r="C3191" s="473" t="s">
        <v>48</v>
      </c>
      <c r="D3191" s="473" t="s">
        <v>41</v>
      </c>
      <c r="E3191" s="361">
        <v>6.89</v>
      </c>
    </row>
    <row r="3192" spans="1:5">
      <c r="A3192" s="473">
        <v>2745</v>
      </c>
      <c r="B3192" s="473" t="s">
        <v>12845</v>
      </c>
      <c r="C3192" s="473" t="s">
        <v>48</v>
      </c>
      <c r="D3192" s="473" t="s">
        <v>44</v>
      </c>
      <c r="E3192" s="361">
        <v>1.39</v>
      </c>
    </row>
    <row r="3193" spans="1:5">
      <c r="A3193" s="473">
        <v>2751</v>
      </c>
      <c r="B3193" s="473" t="s">
        <v>12846</v>
      </c>
      <c r="C3193" s="473" t="s">
        <v>48</v>
      </c>
      <c r="D3193" s="473" t="s">
        <v>41</v>
      </c>
      <c r="E3193" s="361">
        <v>1.78</v>
      </c>
    </row>
    <row r="3194" spans="1:5">
      <c r="A3194" s="473">
        <v>14439</v>
      </c>
      <c r="B3194" s="473" t="s">
        <v>12847</v>
      </c>
      <c r="C3194" s="473" t="s">
        <v>48</v>
      </c>
      <c r="D3194" s="473" t="s">
        <v>41</v>
      </c>
      <c r="E3194" s="361">
        <v>1.57</v>
      </c>
    </row>
    <row r="3195" spans="1:5">
      <c r="A3195" s="473">
        <v>2731</v>
      </c>
      <c r="B3195" s="473" t="s">
        <v>12848</v>
      </c>
      <c r="C3195" s="473" t="s">
        <v>48</v>
      </c>
      <c r="D3195" s="473" t="s">
        <v>47</v>
      </c>
      <c r="E3195" s="361">
        <v>54.28</v>
      </c>
    </row>
    <row r="3196" spans="1:5">
      <c r="A3196" s="473">
        <v>21138</v>
      </c>
      <c r="B3196" s="473" t="s">
        <v>12849</v>
      </c>
      <c r="C3196" s="473" t="s">
        <v>48</v>
      </c>
      <c r="D3196" s="473" t="s">
        <v>47</v>
      </c>
      <c r="E3196" s="361">
        <v>5.89</v>
      </c>
    </row>
    <row r="3197" spans="1:5">
      <c r="A3197" s="473">
        <v>2747</v>
      </c>
      <c r="B3197" s="473" t="s">
        <v>12850</v>
      </c>
      <c r="C3197" s="473" t="s">
        <v>48</v>
      </c>
      <c r="D3197" s="473" t="s">
        <v>47</v>
      </c>
      <c r="E3197" s="361">
        <v>14.55</v>
      </c>
    </row>
    <row r="3198" spans="1:5">
      <c r="A3198" s="473">
        <v>4115</v>
      </c>
      <c r="B3198" s="473" t="s">
        <v>12851</v>
      </c>
      <c r="C3198" s="473" t="s">
        <v>48</v>
      </c>
      <c r="D3198" s="473" t="s">
        <v>47</v>
      </c>
      <c r="E3198" s="361">
        <v>11.4</v>
      </c>
    </row>
    <row r="3199" spans="1:5">
      <c r="A3199" s="473">
        <v>2729</v>
      </c>
      <c r="B3199" s="473" t="s">
        <v>12852</v>
      </c>
      <c r="C3199" s="473" t="s">
        <v>40</v>
      </c>
      <c r="D3199" s="473" t="s">
        <v>47</v>
      </c>
      <c r="E3199" s="361">
        <v>13.72</v>
      </c>
    </row>
    <row r="3200" spans="1:5">
      <c r="A3200" s="473">
        <v>4119</v>
      </c>
      <c r="B3200" s="473" t="s">
        <v>12853</v>
      </c>
      <c r="C3200" s="473" t="s">
        <v>48</v>
      </c>
      <c r="D3200" s="473" t="s">
        <v>47</v>
      </c>
      <c r="E3200" s="361">
        <v>22.93</v>
      </c>
    </row>
    <row r="3201" spans="1:5">
      <c r="A3201" s="473">
        <v>2794</v>
      </c>
      <c r="B3201" s="473" t="s">
        <v>12854</v>
      </c>
      <c r="C3201" s="473" t="s">
        <v>48</v>
      </c>
      <c r="D3201" s="473" t="s">
        <v>47</v>
      </c>
      <c r="E3201" s="361">
        <v>56.61</v>
      </c>
    </row>
    <row r="3202" spans="1:5">
      <c r="A3202" s="473">
        <v>2788</v>
      </c>
      <c r="B3202" s="473" t="s">
        <v>12855</v>
      </c>
      <c r="C3202" s="473" t="s">
        <v>48</v>
      </c>
      <c r="D3202" s="473" t="s">
        <v>47</v>
      </c>
      <c r="E3202" s="361">
        <v>114.45</v>
      </c>
    </row>
    <row r="3203" spans="1:5">
      <c r="A3203" s="473">
        <v>4006</v>
      </c>
      <c r="B3203" s="473" t="s">
        <v>12856</v>
      </c>
      <c r="C3203" s="473" t="s">
        <v>45</v>
      </c>
      <c r="D3203" s="473" t="s">
        <v>41</v>
      </c>
      <c r="E3203" s="361">
        <v>1088.81</v>
      </c>
    </row>
    <row r="3204" spans="1:5">
      <c r="A3204" s="473">
        <v>36151</v>
      </c>
      <c r="B3204" s="473" t="s">
        <v>12857</v>
      </c>
      <c r="C3204" s="473" t="s">
        <v>40</v>
      </c>
      <c r="D3204" s="473" t="s">
        <v>41</v>
      </c>
      <c r="E3204" s="361">
        <v>22.4</v>
      </c>
    </row>
    <row r="3205" spans="1:5">
      <c r="A3205" s="473">
        <v>37457</v>
      </c>
      <c r="B3205" s="473" t="s">
        <v>12858</v>
      </c>
      <c r="C3205" s="473" t="s">
        <v>48</v>
      </c>
      <c r="D3205" s="473" t="s">
        <v>47</v>
      </c>
      <c r="E3205" s="361">
        <v>1.76</v>
      </c>
    </row>
    <row r="3206" spans="1:5">
      <c r="A3206" s="473">
        <v>37456</v>
      </c>
      <c r="B3206" s="473" t="s">
        <v>12859</v>
      </c>
      <c r="C3206" s="473" t="s">
        <v>48</v>
      </c>
      <c r="D3206" s="473" t="s">
        <v>47</v>
      </c>
      <c r="E3206" s="361">
        <v>0.93</v>
      </c>
    </row>
    <row r="3207" spans="1:5">
      <c r="A3207" s="473">
        <v>37461</v>
      </c>
      <c r="B3207" s="473" t="s">
        <v>12860</v>
      </c>
      <c r="C3207" s="473" t="s">
        <v>48</v>
      </c>
      <c r="D3207" s="473" t="s">
        <v>47</v>
      </c>
      <c r="E3207" s="361">
        <v>6.54</v>
      </c>
    </row>
    <row r="3208" spans="1:5">
      <c r="A3208" s="473">
        <v>37460</v>
      </c>
      <c r="B3208" s="473" t="s">
        <v>12861</v>
      </c>
      <c r="C3208" s="473" t="s">
        <v>48</v>
      </c>
      <c r="D3208" s="473" t="s">
        <v>47</v>
      </c>
      <c r="E3208" s="361">
        <v>8.94</v>
      </c>
    </row>
    <row r="3209" spans="1:5">
      <c r="A3209" s="473">
        <v>37458</v>
      </c>
      <c r="B3209" s="473" t="s">
        <v>12862</v>
      </c>
      <c r="C3209" s="473" t="s">
        <v>48</v>
      </c>
      <c r="D3209" s="473" t="s">
        <v>47</v>
      </c>
      <c r="E3209" s="361">
        <v>2.62</v>
      </c>
    </row>
    <row r="3210" spans="1:5">
      <c r="A3210" s="473">
        <v>37454</v>
      </c>
      <c r="B3210" s="473" t="s">
        <v>12863</v>
      </c>
      <c r="C3210" s="473" t="s">
        <v>48</v>
      </c>
      <c r="D3210" s="473" t="s">
        <v>47</v>
      </c>
      <c r="E3210" s="361">
        <v>0.68</v>
      </c>
    </row>
    <row r="3211" spans="1:5">
      <c r="A3211" s="473">
        <v>37455</v>
      </c>
      <c r="B3211" s="473" t="s">
        <v>12864</v>
      </c>
      <c r="C3211" s="473" t="s">
        <v>48</v>
      </c>
      <c r="D3211" s="473" t="s">
        <v>47</v>
      </c>
      <c r="E3211" s="361">
        <v>1.1499999999999999</v>
      </c>
    </row>
    <row r="3212" spans="1:5">
      <c r="A3212" s="473">
        <v>37459</v>
      </c>
      <c r="B3212" s="473" t="s">
        <v>12865</v>
      </c>
      <c r="C3212" s="473" t="s">
        <v>48</v>
      </c>
      <c r="D3212" s="473" t="s">
        <v>47</v>
      </c>
      <c r="E3212" s="361">
        <v>3.68</v>
      </c>
    </row>
    <row r="3213" spans="1:5">
      <c r="A3213" s="473">
        <v>21029</v>
      </c>
      <c r="B3213" s="473" t="s">
        <v>12866</v>
      </c>
      <c r="C3213" s="473" t="s">
        <v>40</v>
      </c>
      <c r="D3213" s="473" t="s">
        <v>44</v>
      </c>
      <c r="E3213" s="361">
        <v>236.19</v>
      </c>
    </row>
    <row r="3214" spans="1:5">
      <c r="A3214" s="473">
        <v>21030</v>
      </c>
      <c r="B3214" s="473" t="s">
        <v>12867</v>
      </c>
      <c r="C3214" s="473" t="s">
        <v>40</v>
      </c>
      <c r="D3214" s="473" t="s">
        <v>41</v>
      </c>
      <c r="E3214" s="361">
        <v>291.14</v>
      </c>
    </row>
    <row r="3215" spans="1:5">
      <c r="A3215" s="473">
        <v>21031</v>
      </c>
      <c r="B3215" s="473" t="s">
        <v>12868</v>
      </c>
      <c r="C3215" s="473" t="s">
        <v>40</v>
      </c>
      <c r="D3215" s="473" t="s">
        <v>41</v>
      </c>
      <c r="E3215" s="361">
        <v>362.46</v>
      </c>
    </row>
    <row r="3216" spans="1:5">
      <c r="A3216" s="473">
        <v>21032</v>
      </c>
      <c r="B3216" s="473" t="s">
        <v>12869</v>
      </c>
      <c r="C3216" s="473" t="s">
        <v>40</v>
      </c>
      <c r="D3216" s="473" t="s">
        <v>41</v>
      </c>
      <c r="E3216" s="361">
        <v>387.02</v>
      </c>
    </row>
    <row r="3217" spans="1:5">
      <c r="A3217" s="473">
        <v>37527</v>
      </c>
      <c r="B3217" s="473" t="s">
        <v>12870</v>
      </c>
      <c r="C3217" s="473" t="s">
        <v>40</v>
      </c>
      <c r="D3217" s="473" t="s">
        <v>41</v>
      </c>
      <c r="E3217" s="361">
        <v>349.6</v>
      </c>
    </row>
    <row r="3218" spans="1:5">
      <c r="A3218" s="473">
        <v>37528</v>
      </c>
      <c r="B3218" s="473" t="s">
        <v>12871</v>
      </c>
      <c r="C3218" s="473" t="s">
        <v>40</v>
      </c>
      <c r="D3218" s="473" t="s">
        <v>41</v>
      </c>
      <c r="E3218" s="361">
        <v>416.84</v>
      </c>
    </row>
    <row r="3219" spans="1:5">
      <c r="A3219" s="473">
        <v>37529</v>
      </c>
      <c r="B3219" s="473" t="s">
        <v>12872</v>
      </c>
      <c r="C3219" s="473" t="s">
        <v>40</v>
      </c>
      <c r="D3219" s="473" t="s">
        <v>41</v>
      </c>
      <c r="E3219" s="361">
        <v>420.93</v>
      </c>
    </row>
    <row r="3220" spans="1:5">
      <c r="A3220" s="473">
        <v>37530</v>
      </c>
      <c r="B3220" s="473" t="s">
        <v>12873</v>
      </c>
      <c r="C3220" s="473" t="s">
        <v>40</v>
      </c>
      <c r="D3220" s="473" t="s">
        <v>41</v>
      </c>
      <c r="E3220" s="361">
        <v>549.54999999999995</v>
      </c>
    </row>
    <row r="3221" spans="1:5">
      <c r="A3221" s="473">
        <v>21034</v>
      </c>
      <c r="B3221" s="473" t="s">
        <v>12874</v>
      </c>
      <c r="C3221" s="473" t="s">
        <v>40</v>
      </c>
      <c r="D3221" s="473" t="s">
        <v>41</v>
      </c>
      <c r="E3221" s="361">
        <v>468.87</v>
      </c>
    </row>
    <row r="3222" spans="1:5">
      <c r="A3222" s="473">
        <v>37531</v>
      </c>
      <c r="B3222" s="473" t="s">
        <v>12875</v>
      </c>
      <c r="C3222" s="473" t="s">
        <v>40</v>
      </c>
      <c r="D3222" s="473" t="s">
        <v>41</v>
      </c>
      <c r="E3222" s="361">
        <v>590.47</v>
      </c>
    </row>
    <row r="3223" spans="1:5">
      <c r="A3223" s="473">
        <v>21036</v>
      </c>
      <c r="B3223" s="473" t="s">
        <v>12876</v>
      </c>
      <c r="C3223" s="473" t="s">
        <v>40</v>
      </c>
      <c r="D3223" s="473" t="s">
        <v>41</v>
      </c>
      <c r="E3223" s="361">
        <v>717.92</v>
      </c>
    </row>
    <row r="3224" spans="1:5">
      <c r="A3224" s="473">
        <v>21037</v>
      </c>
      <c r="B3224" s="473" t="s">
        <v>12877</v>
      </c>
      <c r="C3224" s="473" t="s">
        <v>40</v>
      </c>
      <c r="D3224" s="473" t="s">
        <v>41</v>
      </c>
      <c r="E3224" s="361">
        <v>818.48</v>
      </c>
    </row>
    <row r="3225" spans="1:5">
      <c r="A3225" s="473">
        <v>20185</v>
      </c>
      <c r="B3225" s="473" t="s">
        <v>12878</v>
      </c>
      <c r="C3225" s="473" t="s">
        <v>48</v>
      </c>
      <c r="D3225" s="473" t="s">
        <v>47</v>
      </c>
      <c r="E3225" s="361">
        <v>10.64</v>
      </c>
    </row>
    <row r="3226" spans="1:5">
      <c r="A3226" s="473">
        <v>20260</v>
      </c>
      <c r="B3226" s="473" t="s">
        <v>12879</v>
      </c>
      <c r="C3226" s="473" t="s">
        <v>40</v>
      </c>
      <c r="D3226" s="473" t="s">
        <v>47</v>
      </c>
      <c r="E3226" s="361">
        <v>8.5500000000000007</v>
      </c>
    </row>
    <row r="3227" spans="1:5">
      <c r="A3227" s="473">
        <v>37523</v>
      </c>
      <c r="B3227" s="473" t="s">
        <v>12880</v>
      </c>
      <c r="C3227" s="473" t="s">
        <v>40</v>
      </c>
      <c r="D3227" s="473" t="s">
        <v>47</v>
      </c>
      <c r="E3227" s="361">
        <v>480611.84000000003</v>
      </c>
    </row>
    <row r="3228" spans="1:5">
      <c r="A3228" s="473">
        <v>37515</v>
      </c>
      <c r="B3228" s="473" t="s">
        <v>12881</v>
      </c>
      <c r="C3228" s="473" t="s">
        <v>40</v>
      </c>
      <c r="D3228" s="473" t="s">
        <v>47</v>
      </c>
      <c r="E3228" s="361">
        <v>427288.5</v>
      </c>
    </row>
    <row r="3229" spans="1:5">
      <c r="A3229" s="473">
        <v>12899</v>
      </c>
      <c r="B3229" s="473" t="s">
        <v>12882</v>
      </c>
      <c r="C3229" s="473" t="s">
        <v>40</v>
      </c>
      <c r="D3229" s="473" t="s">
        <v>47</v>
      </c>
      <c r="E3229" s="361">
        <v>100.35</v>
      </c>
    </row>
    <row r="3230" spans="1:5">
      <c r="A3230" s="473">
        <v>12898</v>
      </c>
      <c r="B3230" s="473" t="s">
        <v>12883</v>
      </c>
      <c r="C3230" s="473" t="s">
        <v>40</v>
      </c>
      <c r="D3230" s="473" t="s">
        <v>47</v>
      </c>
      <c r="E3230" s="361">
        <v>159.18</v>
      </c>
    </row>
    <row r="3231" spans="1:5">
      <c r="A3231" s="473">
        <v>42528</v>
      </c>
      <c r="B3231" s="473" t="s">
        <v>12884</v>
      </c>
      <c r="C3231" s="473" t="s">
        <v>46</v>
      </c>
      <c r="D3231" s="473" t="s">
        <v>41</v>
      </c>
      <c r="E3231" s="361">
        <v>6.24</v>
      </c>
    </row>
    <row r="3232" spans="1:5">
      <c r="A3232" s="473">
        <v>39696</v>
      </c>
      <c r="B3232" s="473" t="s">
        <v>12885</v>
      </c>
      <c r="C3232" s="473" t="s">
        <v>46</v>
      </c>
      <c r="D3232" s="473" t="s">
        <v>44</v>
      </c>
      <c r="E3232" s="361">
        <v>4.3899999999999997</v>
      </c>
    </row>
    <row r="3233" spans="1:5">
      <c r="A3233" s="473">
        <v>39700</v>
      </c>
      <c r="B3233" s="473" t="s">
        <v>12886</v>
      </c>
      <c r="C3233" s="473" t="s">
        <v>46</v>
      </c>
      <c r="D3233" s="473" t="s">
        <v>41</v>
      </c>
      <c r="E3233" s="361">
        <v>17.809999999999999</v>
      </c>
    </row>
    <row r="3234" spans="1:5">
      <c r="A3234" s="473">
        <v>11621</v>
      </c>
      <c r="B3234" s="473" t="s">
        <v>12887</v>
      </c>
      <c r="C3234" s="473" t="s">
        <v>46</v>
      </c>
      <c r="D3234" s="473" t="s">
        <v>41</v>
      </c>
      <c r="E3234" s="361">
        <v>35.44</v>
      </c>
    </row>
    <row r="3235" spans="1:5">
      <c r="A3235" s="473">
        <v>4014</v>
      </c>
      <c r="B3235" s="473" t="s">
        <v>12888</v>
      </c>
      <c r="C3235" s="473" t="s">
        <v>46</v>
      </c>
      <c r="D3235" s="473" t="s">
        <v>41</v>
      </c>
      <c r="E3235" s="361">
        <v>36.67</v>
      </c>
    </row>
    <row r="3236" spans="1:5">
      <c r="A3236" s="473">
        <v>4015</v>
      </c>
      <c r="B3236" s="473" t="s">
        <v>12889</v>
      </c>
      <c r="C3236" s="473" t="s">
        <v>46</v>
      </c>
      <c r="D3236" s="473" t="s">
        <v>41</v>
      </c>
      <c r="E3236" s="361">
        <v>45.03</v>
      </c>
    </row>
    <row r="3237" spans="1:5">
      <c r="A3237" s="473">
        <v>4017</v>
      </c>
      <c r="B3237" s="473" t="s">
        <v>12890</v>
      </c>
      <c r="C3237" s="473" t="s">
        <v>46</v>
      </c>
      <c r="D3237" s="473" t="s">
        <v>41</v>
      </c>
      <c r="E3237" s="361">
        <v>65.52</v>
      </c>
    </row>
    <row r="3238" spans="1:5">
      <c r="A3238" s="473">
        <v>4016</v>
      </c>
      <c r="B3238" s="473" t="s">
        <v>12891</v>
      </c>
      <c r="C3238" s="473" t="s">
        <v>46</v>
      </c>
      <c r="D3238" s="473" t="s">
        <v>44</v>
      </c>
      <c r="E3238" s="361">
        <v>25.88</v>
      </c>
    </row>
    <row r="3239" spans="1:5">
      <c r="A3239" s="473">
        <v>39699</v>
      </c>
      <c r="B3239" s="473" t="s">
        <v>12892</v>
      </c>
      <c r="C3239" s="473" t="s">
        <v>46</v>
      </c>
      <c r="D3239" s="473" t="s">
        <v>41</v>
      </c>
      <c r="E3239" s="361">
        <v>11.19</v>
      </c>
    </row>
    <row r="3240" spans="1:5">
      <c r="A3240" s="473">
        <v>38544</v>
      </c>
      <c r="B3240" s="473" t="s">
        <v>12893</v>
      </c>
      <c r="C3240" s="473" t="s">
        <v>46</v>
      </c>
      <c r="D3240" s="473" t="s">
        <v>41</v>
      </c>
      <c r="E3240" s="361">
        <v>6.64</v>
      </c>
    </row>
    <row r="3241" spans="1:5">
      <c r="A3241" s="473">
        <v>38545</v>
      </c>
      <c r="B3241" s="473" t="s">
        <v>12894</v>
      </c>
      <c r="C3241" s="473" t="s">
        <v>46</v>
      </c>
      <c r="D3241" s="473" t="s">
        <v>41</v>
      </c>
      <c r="E3241" s="361">
        <v>4.26</v>
      </c>
    </row>
    <row r="3242" spans="1:5">
      <c r="A3242" s="473">
        <v>42527</v>
      </c>
      <c r="B3242" s="473" t="s">
        <v>12895</v>
      </c>
      <c r="C3242" s="473" t="s">
        <v>46</v>
      </c>
      <c r="D3242" s="473" t="s">
        <v>41</v>
      </c>
      <c r="E3242" s="361">
        <v>16.489999999999998</v>
      </c>
    </row>
    <row r="3243" spans="1:5">
      <c r="A3243" s="473">
        <v>39323</v>
      </c>
      <c r="B3243" s="473" t="s">
        <v>12896</v>
      </c>
      <c r="C3243" s="473" t="s">
        <v>46</v>
      </c>
      <c r="D3243" s="473" t="s">
        <v>41</v>
      </c>
      <c r="E3243" s="361">
        <v>16.28</v>
      </c>
    </row>
    <row r="3244" spans="1:5">
      <c r="A3244" s="473">
        <v>626</v>
      </c>
      <c r="B3244" s="473" t="s">
        <v>12897</v>
      </c>
      <c r="C3244" s="473" t="s">
        <v>49</v>
      </c>
      <c r="D3244" s="473" t="s">
        <v>44</v>
      </c>
      <c r="E3244" s="361">
        <v>14.03</v>
      </c>
    </row>
    <row r="3245" spans="1:5">
      <c r="A3245" s="473">
        <v>25860</v>
      </c>
      <c r="B3245" s="473" t="s">
        <v>12898</v>
      </c>
      <c r="C3245" s="473" t="s">
        <v>46</v>
      </c>
      <c r="D3245" s="473" t="s">
        <v>47</v>
      </c>
      <c r="E3245" s="361">
        <v>8.51</v>
      </c>
    </row>
    <row r="3246" spans="1:5">
      <c r="A3246" s="473">
        <v>25861</v>
      </c>
      <c r="B3246" s="473" t="s">
        <v>12899</v>
      </c>
      <c r="C3246" s="473" t="s">
        <v>46</v>
      </c>
      <c r="D3246" s="473" t="s">
        <v>47</v>
      </c>
      <c r="E3246" s="361">
        <v>12.84</v>
      </c>
    </row>
    <row r="3247" spans="1:5">
      <c r="A3247" s="473">
        <v>25862</v>
      </c>
      <c r="B3247" s="473" t="s">
        <v>12900</v>
      </c>
      <c r="C3247" s="473" t="s">
        <v>46</v>
      </c>
      <c r="D3247" s="473" t="s">
        <v>47</v>
      </c>
      <c r="E3247" s="361">
        <v>13.63</v>
      </c>
    </row>
    <row r="3248" spans="1:5">
      <c r="A3248" s="473">
        <v>25863</v>
      </c>
      <c r="B3248" s="473" t="s">
        <v>12901</v>
      </c>
      <c r="C3248" s="473" t="s">
        <v>46</v>
      </c>
      <c r="D3248" s="473" t="s">
        <v>47</v>
      </c>
      <c r="E3248" s="361">
        <v>17.04</v>
      </c>
    </row>
    <row r="3249" spans="1:5">
      <c r="A3249" s="473">
        <v>25864</v>
      </c>
      <c r="B3249" s="473" t="s">
        <v>12902</v>
      </c>
      <c r="C3249" s="473" t="s">
        <v>46</v>
      </c>
      <c r="D3249" s="473" t="s">
        <v>47</v>
      </c>
      <c r="E3249" s="361">
        <v>25.56</v>
      </c>
    </row>
    <row r="3250" spans="1:5">
      <c r="A3250" s="473">
        <v>25865</v>
      </c>
      <c r="B3250" s="473" t="s">
        <v>12903</v>
      </c>
      <c r="C3250" s="473" t="s">
        <v>46</v>
      </c>
      <c r="D3250" s="473" t="s">
        <v>47</v>
      </c>
      <c r="E3250" s="361">
        <v>34.229999999999997</v>
      </c>
    </row>
    <row r="3251" spans="1:5">
      <c r="A3251" s="473">
        <v>25866</v>
      </c>
      <c r="B3251" s="473" t="s">
        <v>12904</v>
      </c>
      <c r="C3251" s="473" t="s">
        <v>46</v>
      </c>
      <c r="D3251" s="473" t="s">
        <v>47</v>
      </c>
      <c r="E3251" s="361">
        <v>42.51</v>
      </c>
    </row>
    <row r="3252" spans="1:5">
      <c r="A3252" s="473">
        <v>25868</v>
      </c>
      <c r="B3252" s="473" t="s">
        <v>12905</v>
      </c>
      <c r="C3252" s="473" t="s">
        <v>46</v>
      </c>
      <c r="D3252" s="473" t="s">
        <v>47</v>
      </c>
      <c r="E3252" s="361">
        <v>9.49</v>
      </c>
    </row>
    <row r="3253" spans="1:5">
      <c r="A3253" s="473">
        <v>25869</v>
      </c>
      <c r="B3253" s="473" t="s">
        <v>12906</v>
      </c>
      <c r="C3253" s="473" t="s">
        <v>46</v>
      </c>
      <c r="D3253" s="473" t="s">
        <v>47</v>
      </c>
      <c r="E3253" s="361">
        <v>13.39</v>
      </c>
    </row>
    <row r="3254" spans="1:5">
      <c r="A3254" s="473">
        <v>25870</v>
      </c>
      <c r="B3254" s="473" t="s">
        <v>12907</v>
      </c>
      <c r="C3254" s="473" t="s">
        <v>46</v>
      </c>
      <c r="D3254" s="473" t="s">
        <v>47</v>
      </c>
      <c r="E3254" s="361">
        <v>15.18</v>
      </c>
    </row>
    <row r="3255" spans="1:5">
      <c r="A3255" s="473">
        <v>25871</v>
      </c>
      <c r="B3255" s="473" t="s">
        <v>12908</v>
      </c>
      <c r="C3255" s="473" t="s">
        <v>46</v>
      </c>
      <c r="D3255" s="473" t="s">
        <v>47</v>
      </c>
      <c r="E3255" s="361">
        <v>18.64</v>
      </c>
    </row>
    <row r="3256" spans="1:5">
      <c r="A3256" s="473">
        <v>25867</v>
      </c>
      <c r="B3256" s="473" t="s">
        <v>12909</v>
      </c>
      <c r="C3256" s="473" t="s">
        <v>46</v>
      </c>
      <c r="D3256" s="473" t="s">
        <v>47</v>
      </c>
      <c r="E3256" s="361">
        <v>27.6</v>
      </c>
    </row>
    <row r="3257" spans="1:5">
      <c r="A3257" s="473">
        <v>25872</v>
      </c>
      <c r="B3257" s="473" t="s">
        <v>12910</v>
      </c>
      <c r="C3257" s="473" t="s">
        <v>46</v>
      </c>
      <c r="D3257" s="473" t="s">
        <v>47</v>
      </c>
      <c r="E3257" s="361">
        <v>37.29</v>
      </c>
    </row>
    <row r="3258" spans="1:5">
      <c r="A3258" s="473">
        <v>25873</v>
      </c>
      <c r="B3258" s="473" t="s">
        <v>12911</v>
      </c>
      <c r="C3258" s="473" t="s">
        <v>46</v>
      </c>
      <c r="D3258" s="473" t="s">
        <v>47</v>
      </c>
      <c r="E3258" s="361">
        <v>46.52</v>
      </c>
    </row>
    <row r="3259" spans="1:5">
      <c r="A3259" s="473">
        <v>40637</v>
      </c>
      <c r="B3259" s="473" t="s">
        <v>12912</v>
      </c>
      <c r="C3259" s="473" t="s">
        <v>40</v>
      </c>
      <c r="D3259" s="473" t="s">
        <v>47</v>
      </c>
      <c r="E3259" s="361">
        <v>505925.24</v>
      </c>
    </row>
    <row r="3260" spans="1:5">
      <c r="A3260" s="473">
        <v>13836</v>
      </c>
      <c r="B3260" s="473" t="s">
        <v>12913</v>
      </c>
      <c r="C3260" s="473" t="s">
        <v>40</v>
      </c>
      <c r="D3260" s="473" t="s">
        <v>47</v>
      </c>
      <c r="E3260" s="361">
        <v>78291.97</v>
      </c>
    </row>
    <row r="3261" spans="1:5">
      <c r="A3261" s="473">
        <v>14534</v>
      </c>
      <c r="B3261" s="473" t="s">
        <v>12914</v>
      </c>
      <c r="C3261" s="473" t="s">
        <v>40</v>
      </c>
      <c r="D3261" s="473" t="s">
        <v>47</v>
      </c>
      <c r="E3261" s="361">
        <v>32775.089999999997</v>
      </c>
    </row>
    <row r="3262" spans="1:5">
      <c r="A3262" s="473">
        <v>14619</v>
      </c>
      <c r="B3262" s="473" t="s">
        <v>12915</v>
      </c>
      <c r="C3262" s="473" t="s">
        <v>40</v>
      </c>
      <c r="D3262" s="473" t="s">
        <v>41</v>
      </c>
      <c r="E3262" s="361">
        <v>10571.1</v>
      </c>
    </row>
    <row r="3263" spans="1:5">
      <c r="A3263" s="473">
        <v>14535</v>
      </c>
      <c r="B3263" s="473" t="s">
        <v>12916</v>
      </c>
      <c r="C3263" s="473" t="s">
        <v>40</v>
      </c>
      <c r="D3263" s="473" t="s">
        <v>47</v>
      </c>
      <c r="E3263" s="361">
        <v>325295.92</v>
      </c>
    </row>
    <row r="3264" spans="1:5">
      <c r="A3264" s="473">
        <v>39813</v>
      </c>
      <c r="B3264" s="473" t="s">
        <v>12917</v>
      </c>
      <c r="C3264" s="473" t="s">
        <v>40</v>
      </c>
      <c r="D3264" s="473" t="s">
        <v>47</v>
      </c>
      <c r="E3264" s="361">
        <v>17291.87</v>
      </c>
    </row>
    <row r="3265" spans="1:5">
      <c r="A3265" s="473">
        <v>40403</v>
      </c>
      <c r="B3265" s="473" t="s">
        <v>12918</v>
      </c>
      <c r="C3265" s="473" t="s">
        <v>40</v>
      </c>
      <c r="D3265" s="473" t="s">
        <v>47</v>
      </c>
      <c r="E3265" s="361">
        <v>531.12</v>
      </c>
    </row>
    <row r="3266" spans="1:5">
      <c r="A3266" s="473">
        <v>12868</v>
      </c>
      <c r="B3266" s="473" t="s">
        <v>12919</v>
      </c>
      <c r="C3266" s="473" t="s">
        <v>43</v>
      </c>
      <c r="D3266" s="473" t="s">
        <v>41</v>
      </c>
      <c r="E3266" s="361">
        <v>13.84</v>
      </c>
    </row>
    <row r="3267" spans="1:5">
      <c r="A3267" s="473">
        <v>40916</v>
      </c>
      <c r="B3267" s="473" t="s">
        <v>12920</v>
      </c>
      <c r="C3267" s="473" t="s">
        <v>53</v>
      </c>
      <c r="D3267" s="473" t="s">
        <v>41</v>
      </c>
      <c r="E3267" s="361">
        <v>2467.4</v>
      </c>
    </row>
    <row r="3268" spans="1:5">
      <c r="A3268" s="473">
        <v>4755</v>
      </c>
      <c r="B3268" s="473" t="s">
        <v>12921</v>
      </c>
      <c r="C3268" s="473" t="s">
        <v>43</v>
      </c>
      <c r="D3268" s="473" t="s">
        <v>41</v>
      </c>
      <c r="E3268" s="361">
        <v>10.55</v>
      </c>
    </row>
    <row r="3269" spans="1:5">
      <c r="A3269" s="473">
        <v>41067</v>
      </c>
      <c r="B3269" s="473" t="s">
        <v>12922</v>
      </c>
      <c r="C3269" s="473" t="s">
        <v>53</v>
      </c>
      <c r="D3269" s="473" t="s">
        <v>41</v>
      </c>
      <c r="E3269" s="361">
        <v>1882.18</v>
      </c>
    </row>
    <row r="3270" spans="1:5">
      <c r="A3270" s="473">
        <v>38463</v>
      </c>
      <c r="B3270" s="473" t="s">
        <v>12923</v>
      </c>
      <c r="C3270" s="473" t="s">
        <v>40</v>
      </c>
      <c r="D3270" s="473" t="s">
        <v>41</v>
      </c>
      <c r="E3270" s="361">
        <v>28</v>
      </c>
    </row>
    <row r="3271" spans="1:5">
      <c r="A3271" s="473">
        <v>40703</v>
      </c>
      <c r="B3271" s="473" t="s">
        <v>12924</v>
      </c>
      <c r="C3271" s="473" t="s">
        <v>40</v>
      </c>
      <c r="D3271" s="473" t="s">
        <v>47</v>
      </c>
      <c r="E3271" s="361">
        <v>5833</v>
      </c>
    </row>
    <row r="3272" spans="1:5">
      <c r="A3272" s="473">
        <v>14531</v>
      </c>
      <c r="B3272" s="473" t="s">
        <v>12925</v>
      </c>
      <c r="C3272" s="473" t="s">
        <v>40</v>
      </c>
      <c r="D3272" s="473" t="s">
        <v>47</v>
      </c>
      <c r="E3272" s="361">
        <v>10874.91</v>
      </c>
    </row>
    <row r="3273" spans="1:5">
      <c r="A3273" s="473">
        <v>36533</v>
      </c>
      <c r="B3273" s="473" t="s">
        <v>12926</v>
      </c>
      <c r="C3273" s="473" t="s">
        <v>40</v>
      </c>
      <c r="D3273" s="473" t="s">
        <v>47</v>
      </c>
      <c r="E3273" s="361">
        <v>12514.24</v>
      </c>
    </row>
    <row r="3274" spans="1:5">
      <c r="A3274" s="473">
        <v>11616</v>
      </c>
      <c r="B3274" s="473" t="s">
        <v>12927</v>
      </c>
      <c r="C3274" s="473" t="s">
        <v>40</v>
      </c>
      <c r="D3274" s="473" t="s">
        <v>47</v>
      </c>
      <c r="E3274" s="361">
        <v>11819.51</v>
      </c>
    </row>
    <row r="3275" spans="1:5">
      <c r="A3275" s="473">
        <v>41898</v>
      </c>
      <c r="B3275" s="473" t="s">
        <v>12928</v>
      </c>
      <c r="C3275" s="473" t="s">
        <v>40</v>
      </c>
      <c r="D3275" s="473" t="s">
        <v>47</v>
      </c>
      <c r="E3275" s="361">
        <v>13298.56</v>
      </c>
    </row>
    <row r="3276" spans="1:5">
      <c r="A3276" s="473">
        <v>13447</v>
      </c>
      <c r="B3276" s="473" t="s">
        <v>12929</v>
      </c>
      <c r="C3276" s="473" t="s">
        <v>40</v>
      </c>
      <c r="D3276" s="473" t="s">
        <v>47</v>
      </c>
      <c r="E3276" s="361">
        <v>24470.26</v>
      </c>
    </row>
    <row r="3277" spans="1:5">
      <c r="A3277" s="473">
        <v>14529</v>
      </c>
      <c r="B3277" s="473" t="s">
        <v>12930</v>
      </c>
      <c r="C3277" s="473" t="s">
        <v>40</v>
      </c>
      <c r="D3277" s="473" t="s">
        <v>47</v>
      </c>
      <c r="E3277" s="361">
        <v>13685.6</v>
      </c>
    </row>
    <row r="3278" spans="1:5">
      <c r="A3278" s="473">
        <v>10747</v>
      </c>
      <c r="B3278" s="473" t="s">
        <v>12931</v>
      </c>
      <c r="C3278" s="473" t="s">
        <v>40</v>
      </c>
      <c r="D3278" s="473" t="s">
        <v>47</v>
      </c>
      <c r="E3278" s="361">
        <v>13427.66</v>
      </c>
    </row>
    <row r="3279" spans="1:5">
      <c r="A3279" s="473">
        <v>36141</v>
      </c>
      <c r="B3279" s="473" t="s">
        <v>12932</v>
      </c>
      <c r="C3279" s="473" t="s">
        <v>40</v>
      </c>
      <c r="D3279" s="473" t="s">
        <v>41</v>
      </c>
      <c r="E3279" s="361">
        <v>30.24</v>
      </c>
    </row>
    <row r="3280" spans="1:5">
      <c r="A3280" s="473">
        <v>4053</v>
      </c>
      <c r="B3280" s="473" t="s">
        <v>12933</v>
      </c>
      <c r="C3280" s="473" t="s">
        <v>63</v>
      </c>
      <c r="D3280" s="473" t="s">
        <v>41</v>
      </c>
      <c r="E3280" s="361">
        <v>60.19</v>
      </c>
    </row>
    <row r="3281" spans="1:5">
      <c r="A3281" s="473">
        <v>4052</v>
      </c>
      <c r="B3281" s="473" t="s">
        <v>12934</v>
      </c>
      <c r="C3281" s="473" t="s">
        <v>51</v>
      </c>
      <c r="D3281" s="473" t="s">
        <v>41</v>
      </c>
      <c r="E3281" s="361">
        <v>122.75</v>
      </c>
    </row>
    <row r="3282" spans="1:5">
      <c r="A3282" s="473">
        <v>4056</v>
      </c>
      <c r="B3282" s="473" t="s">
        <v>12935</v>
      </c>
      <c r="C3282" s="473" t="s">
        <v>63</v>
      </c>
      <c r="D3282" s="473" t="s">
        <v>41</v>
      </c>
      <c r="E3282" s="361">
        <v>31.65</v>
      </c>
    </row>
    <row r="3283" spans="1:5">
      <c r="A3283" s="473">
        <v>4051</v>
      </c>
      <c r="B3283" s="473" t="s">
        <v>12936</v>
      </c>
      <c r="C3283" s="473" t="s">
        <v>51</v>
      </c>
      <c r="D3283" s="473" t="s">
        <v>41</v>
      </c>
      <c r="E3283" s="361">
        <v>79</v>
      </c>
    </row>
    <row r="3284" spans="1:5">
      <c r="A3284" s="473">
        <v>4048</v>
      </c>
      <c r="B3284" s="473" t="s">
        <v>12936</v>
      </c>
      <c r="C3284" s="473" t="s">
        <v>50</v>
      </c>
      <c r="D3284" s="473" t="s">
        <v>41</v>
      </c>
      <c r="E3284" s="361">
        <v>4.38</v>
      </c>
    </row>
    <row r="3285" spans="1:5">
      <c r="A3285" s="473">
        <v>4047</v>
      </c>
      <c r="B3285" s="473" t="s">
        <v>12936</v>
      </c>
      <c r="C3285" s="473" t="s">
        <v>63</v>
      </c>
      <c r="D3285" s="473" t="s">
        <v>44</v>
      </c>
      <c r="E3285" s="361">
        <v>15.8</v>
      </c>
    </row>
    <row r="3286" spans="1:5">
      <c r="A3286" s="473">
        <v>39434</v>
      </c>
      <c r="B3286" s="473" t="s">
        <v>12937</v>
      </c>
      <c r="C3286" s="473" t="s">
        <v>49</v>
      </c>
      <c r="D3286" s="473" t="s">
        <v>41</v>
      </c>
      <c r="E3286" s="361">
        <v>4.22</v>
      </c>
    </row>
    <row r="3287" spans="1:5">
      <c r="A3287" s="473">
        <v>39433</v>
      </c>
      <c r="B3287" s="473" t="s">
        <v>12938</v>
      </c>
      <c r="C3287" s="473" t="s">
        <v>49</v>
      </c>
      <c r="D3287" s="473" t="s">
        <v>41</v>
      </c>
      <c r="E3287" s="361">
        <v>3.03</v>
      </c>
    </row>
    <row r="3288" spans="1:5">
      <c r="A3288" s="473">
        <v>4049</v>
      </c>
      <c r="B3288" s="473" t="s">
        <v>12939</v>
      </c>
      <c r="C3288" s="473" t="s">
        <v>50</v>
      </c>
      <c r="D3288" s="473" t="s">
        <v>41</v>
      </c>
      <c r="E3288" s="361">
        <v>49.49</v>
      </c>
    </row>
    <row r="3289" spans="1:5">
      <c r="A3289" s="473">
        <v>38120</v>
      </c>
      <c r="B3289" s="473" t="s">
        <v>12940</v>
      </c>
      <c r="C3289" s="473" t="s">
        <v>49</v>
      </c>
      <c r="D3289" s="473" t="s">
        <v>41</v>
      </c>
      <c r="E3289" s="361">
        <v>99.84</v>
      </c>
    </row>
    <row r="3290" spans="1:5">
      <c r="A3290" s="473">
        <v>38877</v>
      </c>
      <c r="B3290" s="473" t="s">
        <v>12941</v>
      </c>
      <c r="C3290" s="473" t="s">
        <v>49</v>
      </c>
      <c r="D3290" s="473" t="s">
        <v>41</v>
      </c>
      <c r="E3290" s="361">
        <v>6.43</v>
      </c>
    </row>
    <row r="3291" spans="1:5">
      <c r="A3291" s="473">
        <v>34546</v>
      </c>
      <c r="B3291" s="473" t="s">
        <v>12942</v>
      </c>
      <c r="C3291" s="473" t="s">
        <v>49</v>
      </c>
      <c r="D3291" s="473" t="s">
        <v>41</v>
      </c>
      <c r="E3291" s="361">
        <v>6.48</v>
      </c>
    </row>
    <row r="3292" spans="1:5">
      <c r="A3292" s="473">
        <v>10498</v>
      </c>
      <c r="B3292" s="473" t="s">
        <v>12943</v>
      </c>
      <c r="C3292" s="473" t="s">
        <v>49</v>
      </c>
      <c r="D3292" s="473" t="s">
        <v>41</v>
      </c>
      <c r="E3292" s="361">
        <v>4.32</v>
      </c>
    </row>
    <row r="3293" spans="1:5">
      <c r="A3293" s="473">
        <v>4823</v>
      </c>
      <c r="B3293" s="473" t="s">
        <v>12944</v>
      </c>
      <c r="C3293" s="473" t="s">
        <v>49</v>
      </c>
      <c r="D3293" s="473" t="s">
        <v>41</v>
      </c>
      <c r="E3293" s="361">
        <v>29.78</v>
      </c>
    </row>
    <row r="3294" spans="1:5">
      <c r="A3294" s="473">
        <v>12357</v>
      </c>
      <c r="B3294" s="473" t="s">
        <v>12945</v>
      </c>
      <c r="C3294" s="473" t="s">
        <v>40</v>
      </c>
      <c r="D3294" s="473" t="s">
        <v>41</v>
      </c>
      <c r="E3294" s="361">
        <v>142.46</v>
      </c>
    </row>
    <row r="3295" spans="1:5">
      <c r="A3295" s="473">
        <v>12358</v>
      </c>
      <c r="B3295" s="473" t="s">
        <v>12946</v>
      </c>
      <c r="C3295" s="473" t="s">
        <v>40</v>
      </c>
      <c r="D3295" s="473" t="s">
        <v>41</v>
      </c>
      <c r="E3295" s="361">
        <v>160.24</v>
      </c>
    </row>
    <row r="3296" spans="1:5">
      <c r="A3296" s="473">
        <v>11079</v>
      </c>
      <c r="B3296" s="473" t="s">
        <v>12947</v>
      </c>
      <c r="C3296" s="473" t="s">
        <v>45</v>
      </c>
      <c r="D3296" s="473" t="s">
        <v>41</v>
      </c>
      <c r="E3296" s="361">
        <v>1018.91</v>
      </c>
    </row>
    <row r="3297" spans="1:5">
      <c r="A3297" s="473">
        <v>11082</v>
      </c>
      <c r="B3297" s="473" t="s">
        <v>12948</v>
      </c>
      <c r="C3297" s="473" t="s">
        <v>45</v>
      </c>
      <c r="D3297" s="473" t="s">
        <v>41</v>
      </c>
      <c r="E3297" s="361">
        <v>1039.54</v>
      </c>
    </row>
    <row r="3298" spans="1:5">
      <c r="A3298" s="473">
        <v>4058</v>
      </c>
      <c r="B3298" s="473" t="s">
        <v>12949</v>
      </c>
      <c r="C3298" s="473" t="s">
        <v>43</v>
      </c>
      <c r="D3298" s="473" t="s">
        <v>41</v>
      </c>
      <c r="E3298" s="361">
        <v>15.33</v>
      </c>
    </row>
    <row r="3299" spans="1:5">
      <c r="A3299" s="473">
        <v>40974</v>
      </c>
      <c r="B3299" s="473" t="s">
        <v>12950</v>
      </c>
      <c r="C3299" s="473" t="s">
        <v>53</v>
      </c>
      <c r="D3299" s="473" t="s">
        <v>41</v>
      </c>
      <c r="E3299" s="361">
        <v>2735.74</v>
      </c>
    </row>
    <row r="3300" spans="1:5">
      <c r="A3300" s="473">
        <v>34794</v>
      </c>
      <c r="B3300" s="473" t="s">
        <v>12951</v>
      </c>
      <c r="C3300" s="473" t="s">
        <v>43</v>
      </c>
      <c r="D3300" s="473" t="s">
        <v>41</v>
      </c>
      <c r="E3300" s="361">
        <v>15.74</v>
      </c>
    </row>
    <row r="3301" spans="1:5">
      <c r="A3301" s="473">
        <v>40925</v>
      </c>
      <c r="B3301" s="473" t="s">
        <v>12952</v>
      </c>
      <c r="C3301" s="473" t="s">
        <v>53</v>
      </c>
      <c r="D3301" s="473" t="s">
        <v>41</v>
      </c>
      <c r="E3301" s="361">
        <v>2805.5</v>
      </c>
    </row>
    <row r="3302" spans="1:5">
      <c r="A3302" s="473">
        <v>13741</v>
      </c>
      <c r="B3302" s="473" t="s">
        <v>12953</v>
      </c>
      <c r="C3302" s="473" t="s">
        <v>40</v>
      </c>
      <c r="D3302" s="473" t="s">
        <v>41</v>
      </c>
      <c r="E3302" s="361">
        <v>1995.9</v>
      </c>
    </row>
    <row r="3303" spans="1:5">
      <c r="A3303" s="473">
        <v>3288</v>
      </c>
      <c r="B3303" s="473" t="s">
        <v>12954</v>
      </c>
      <c r="C3303" s="473" t="s">
        <v>48</v>
      </c>
      <c r="D3303" s="473" t="s">
        <v>44</v>
      </c>
      <c r="E3303" s="361">
        <v>4.45</v>
      </c>
    </row>
    <row r="3304" spans="1:5">
      <c r="A3304" s="473">
        <v>13587</v>
      </c>
      <c r="B3304" s="473" t="s">
        <v>12955</v>
      </c>
      <c r="C3304" s="473" t="s">
        <v>48</v>
      </c>
      <c r="D3304" s="473" t="s">
        <v>41</v>
      </c>
      <c r="E3304" s="361">
        <v>2.68</v>
      </c>
    </row>
    <row r="3305" spans="1:5">
      <c r="A3305" s="473">
        <v>38598</v>
      </c>
      <c r="B3305" s="473" t="s">
        <v>12956</v>
      </c>
      <c r="C3305" s="473" t="s">
        <v>40</v>
      </c>
      <c r="D3305" s="473" t="s">
        <v>41</v>
      </c>
      <c r="E3305" s="361">
        <v>1.87</v>
      </c>
    </row>
    <row r="3306" spans="1:5">
      <c r="A3306" s="473">
        <v>38595</v>
      </c>
      <c r="B3306" s="473" t="s">
        <v>12957</v>
      </c>
      <c r="C3306" s="473" t="s">
        <v>40</v>
      </c>
      <c r="D3306" s="473" t="s">
        <v>41</v>
      </c>
      <c r="E3306" s="361">
        <v>1.29</v>
      </c>
    </row>
    <row r="3307" spans="1:5">
      <c r="A3307" s="473">
        <v>38592</v>
      </c>
      <c r="B3307" s="473" t="s">
        <v>12958</v>
      </c>
      <c r="C3307" s="473" t="s">
        <v>40</v>
      </c>
      <c r="D3307" s="473" t="s">
        <v>41</v>
      </c>
      <c r="E3307" s="361">
        <v>1.69</v>
      </c>
    </row>
    <row r="3308" spans="1:5">
      <c r="A3308" s="473">
        <v>38588</v>
      </c>
      <c r="B3308" s="473" t="s">
        <v>12959</v>
      </c>
      <c r="C3308" s="473" t="s">
        <v>40</v>
      </c>
      <c r="D3308" s="473" t="s">
        <v>41</v>
      </c>
      <c r="E3308" s="361">
        <v>1.07</v>
      </c>
    </row>
    <row r="3309" spans="1:5">
      <c r="A3309" s="473">
        <v>38593</v>
      </c>
      <c r="B3309" s="473" t="s">
        <v>12960</v>
      </c>
      <c r="C3309" s="473" t="s">
        <v>40</v>
      </c>
      <c r="D3309" s="473" t="s">
        <v>41</v>
      </c>
      <c r="E3309" s="361">
        <v>1.82</v>
      </c>
    </row>
    <row r="3310" spans="1:5">
      <c r="A3310" s="473">
        <v>38589</v>
      </c>
      <c r="B3310" s="473" t="s">
        <v>12961</v>
      </c>
      <c r="C3310" s="473" t="s">
        <v>40</v>
      </c>
      <c r="D3310" s="473" t="s">
        <v>41</v>
      </c>
      <c r="E3310" s="361">
        <v>1.3</v>
      </c>
    </row>
    <row r="3311" spans="1:5">
      <c r="A3311" s="473">
        <v>38594</v>
      </c>
      <c r="B3311" s="473" t="s">
        <v>12962</v>
      </c>
      <c r="C3311" s="473" t="s">
        <v>40</v>
      </c>
      <c r="D3311" s="473" t="s">
        <v>41</v>
      </c>
      <c r="E3311" s="361">
        <v>2.7</v>
      </c>
    </row>
    <row r="3312" spans="1:5">
      <c r="A3312" s="473">
        <v>34787</v>
      </c>
      <c r="B3312" s="473" t="s">
        <v>12963</v>
      </c>
      <c r="C3312" s="473" t="s">
        <v>40</v>
      </c>
      <c r="D3312" s="473" t="s">
        <v>41</v>
      </c>
      <c r="E3312" s="361">
        <v>0.83</v>
      </c>
    </row>
    <row r="3313" spans="1:5">
      <c r="A3313" s="473">
        <v>34788</v>
      </c>
      <c r="B3313" s="473" t="s">
        <v>12964</v>
      </c>
      <c r="C3313" s="473" t="s">
        <v>40</v>
      </c>
      <c r="D3313" s="473" t="s">
        <v>41</v>
      </c>
      <c r="E3313" s="361">
        <v>0.84</v>
      </c>
    </row>
    <row r="3314" spans="1:5">
      <c r="A3314" s="473">
        <v>34784</v>
      </c>
      <c r="B3314" s="473" t="s">
        <v>12965</v>
      </c>
      <c r="C3314" s="473" t="s">
        <v>40</v>
      </c>
      <c r="D3314" s="473" t="s">
        <v>41</v>
      </c>
      <c r="E3314" s="361">
        <v>0.92</v>
      </c>
    </row>
    <row r="3315" spans="1:5">
      <c r="A3315" s="473">
        <v>34781</v>
      </c>
      <c r="B3315" s="473" t="s">
        <v>12966</v>
      </c>
      <c r="C3315" s="473" t="s">
        <v>40</v>
      </c>
      <c r="D3315" s="473" t="s">
        <v>41</v>
      </c>
      <c r="E3315" s="361">
        <v>1.04</v>
      </c>
    </row>
    <row r="3316" spans="1:5">
      <c r="A3316" s="473">
        <v>34773</v>
      </c>
      <c r="B3316" s="473" t="s">
        <v>12967</v>
      </c>
      <c r="C3316" s="473" t="s">
        <v>40</v>
      </c>
      <c r="D3316" s="473" t="s">
        <v>41</v>
      </c>
      <c r="E3316" s="361">
        <v>1.35</v>
      </c>
    </row>
    <row r="3317" spans="1:5">
      <c r="A3317" s="473">
        <v>34769</v>
      </c>
      <c r="B3317" s="473" t="s">
        <v>12968</v>
      </c>
      <c r="C3317" s="473" t="s">
        <v>40</v>
      </c>
      <c r="D3317" s="473" t="s">
        <v>41</v>
      </c>
      <c r="E3317" s="361">
        <v>1.56</v>
      </c>
    </row>
    <row r="3318" spans="1:5">
      <c r="A3318" s="473">
        <v>34763</v>
      </c>
      <c r="B3318" s="473" t="s">
        <v>12969</v>
      </c>
      <c r="C3318" s="473" t="s">
        <v>40</v>
      </c>
      <c r="D3318" s="473" t="s">
        <v>41</v>
      </c>
      <c r="E3318" s="361">
        <v>0.9</v>
      </c>
    </row>
    <row r="3319" spans="1:5">
      <c r="A3319" s="473">
        <v>34774</v>
      </c>
      <c r="B3319" s="473" t="s">
        <v>12970</v>
      </c>
      <c r="C3319" s="473" t="s">
        <v>40</v>
      </c>
      <c r="D3319" s="473" t="s">
        <v>41</v>
      </c>
      <c r="E3319" s="361">
        <v>1.21</v>
      </c>
    </row>
    <row r="3320" spans="1:5">
      <c r="A3320" s="473">
        <v>34771</v>
      </c>
      <c r="B3320" s="473" t="s">
        <v>12971</v>
      </c>
      <c r="C3320" s="473" t="s">
        <v>40</v>
      </c>
      <c r="D3320" s="473" t="s">
        <v>41</v>
      </c>
      <c r="E3320" s="361">
        <v>1.38</v>
      </c>
    </row>
    <row r="3321" spans="1:5">
      <c r="A3321" s="473">
        <v>34764</v>
      </c>
      <c r="B3321" s="473" t="s">
        <v>12972</v>
      </c>
      <c r="C3321" s="473" t="s">
        <v>40</v>
      </c>
      <c r="D3321" s="473" t="s">
        <v>41</v>
      </c>
      <c r="E3321" s="361">
        <v>0.84</v>
      </c>
    </row>
    <row r="3322" spans="1:5">
      <c r="A3322" s="473">
        <v>4062</v>
      </c>
      <c r="B3322" s="473" t="s">
        <v>12973</v>
      </c>
      <c r="C3322" s="473" t="s">
        <v>40</v>
      </c>
      <c r="D3322" s="473" t="s">
        <v>41</v>
      </c>
      <c r="E3322" s="361">
        <v>14.25</v>
      </c>
    </row>
    <row r="3323" spans="1:5">
      <c r="A3323" s="473">
        <v>4059</v>
      </c>
      <c r="B3323" s="473" t="s">
        <v>12974</v>
      </c>
      <c r="C3323" s="473" t="s">
        <v>48</v>
      </c>
      <c r="D3323" s="473" t="s">
        <v>44</v>
      </c>
      <c r="E3323" s="361">
        <v>17.28</v>
      </c>
    </row>
    <row r="3324" spans="1:5">
      <c r="A3324" s="473">
        <v>4061</v>
      </c>
      <c r="B3324" s="473" t="s">
        <v>12975</v>
      </c>
      <c r="C3324" s="473" t="s">
        <v>40</v>
      </c>
      <c r="D3324" s="473" t="s">
        <v>41</v>
      </c>
      <c r="E3324" s="361">
        <v>13.82</v>
      </c>
    </row>
    <row r="3325" spans="1:5">
      <c r="A3325" s="473">
        <v>10608</v>
      </c>
      <c r="B3325" s="473" t="s">
        <v>12976</v>
      </c>
      <c r="C3325" s="473" t="s">
        <v>40</v>
      </c>
      <c r="D3325" s="473" t="s">
        <v>47</v>
      </c>
      <c r="E3325" s="361">
        <v>11200</v>
      </c>
    </row>
    <row r="3326" spans="1:5">
      <c r="A3326" s="473">
        <v>4069</v>
      </c>
      <c r="B3326" s="473" t="s">
        <v>12977</v>
      </c>
      <c r="C3326" s="473" t="s">
        <v>43</v>
      </c>
      <c r="D3326" s="473" t="s">
        <v>41</v>
      </c>
      <c r="E3326" s="361">
        <v>20.56</v>
      </c>
    </row>
    <row r="3327" spans="1:5">
      <c r="A3327" s="473">
        <v>40819</v>
      </c>
      <c r="B3327" s="473" t="s">
        <v>12978</v>
      </c>
      <c r="C3327" s="473" t="s">
        <v>53</v>
      </c>
      <c r="D3327" s="473" t="s">
        <v>41</v>
      </c>
      <c r="E3327" s="361">
        <v>3663.77</v>
      </c>
    </row>
    <row r="3328" spans="1:5">
      <c r="A3328" s="473">
        <v>34361</v>
      </c>
      <c r="B3328" s="473" t="s">
        <v>12979</v>
      </c>
      <c r="C3328" s="473" t="s">
        <v>49</v>
      </c>
      <c r="D3328" s="473" t="s">
        <v>41</v>
      </c>
      <c r="E3328" s="361">
        <v>1.83</v>
      </c>
    </row>
    <row r="3329" spans="1:5">
      <c r="A3329" s="473">
        <v>36512</v>
      </c>
      <c r="B3329" s="473" t="s">
        <v>12980</v>
      </c>
      <c r="C3329" s="473" t="s">
        <v>40</v>
      </c>
      <c r="D3329" s="473" t="s">
        <v>47</v>
      </c>
      <c r="E3329" s="361">
        <v>10339.94</v>
      </c>
    </row>
    <row r="3330" spans="1:5">
      <c r="A3330" s="473">
        <v>25972</v>
      </c>
      <c r="B3330" s="473" t="s">
        <v>12981</v>
      </c>
      <c r="C3330" s="473" t="s">
        <v>49</v>
      </c>
      <c r="D3330" s="473" t="s">
        <v>41</v>
      </c>
      <c r="E3330" s="361">
        <v>5.66</v>
      </c>
    </row>
    <row r="3331" spans="1:5">
      <c r="A3331" s="473">
        <v>25973</v>
      </c>
      <c r="B3331" s="473" t="s">
        <v>12982</v>
      </c>
      <c r="C3331" s="473" t="s">
        <v>49</v>
      </c>
      <c r="D3331" s="473" t="s">
        <v>41</v>
      </c>
      <c r="E3331" s="361">
        <v>5.66</v>
      </c>
    </row>
    <row r="3332" spans="1:5">
      <c r="A3332" s="473">
        <v>11697</v>
      </c>
      <c r="B3332" s="473" t="s">
        <v>12983</v>
      </c>
      <c r="C3332" s="473" t="s">
        <v>40</v>
      </c>
      <c r="D3332" s="473" t="s">
        <v>41</v>
      </c>
      <c r="E3332" s="361">
        <v>498.94</v>
      </c>
    </row>
    <row r="3333" spans="1:5">
      <c r="A3333" s="473">
        <v>11698</v>
      </c>
      <c r="B3333" s="473" t="s">
        <v>12984</v>
      </c>
      <c r="C3333" s="473" t="s">
        <v>40</v>
      </c>
      <c r="D3333" s="473" t="s">
        <v>41</v>
      </c>
      <c r="E3333" s="361">
        <v>595.20000000000005</v>
      </c>
    </row>
    <row r="3334" spans="1:5">
      <c r="A3334" s="473">
        <v>11699</v>
      </c>
      <c r="B3334" s="473" t="s">
        <v>12985</v>
      </c>
      <c r="C3334" s="473" t="s">
        <v>40</v>
      </c>
      <c r="D3334" s="473" t="s">
        <v>41</v>
      </c>
      <c r="E3334" s="361">
        <v>657.84</v>
      </c>
    </row>
    <row r="3335" spans="1:5">
      <c r="A3335" s="473">
        <v>10432</v>
      </c>
      <c r="B3335" s="473" t="s">
        <v>12986</v>
      </c>
      <c r="C3335" s="473" t="s">
        <v>40</v>
      </c>
      <c r="D3335" s="473" t="s">
        <v>41</v>
      </c>
      <c r="E3335" s="361">
        <v>262.70999999999998</v>
      </c>
    </row>
    <row r="3336" spans="1:5">
      <c r="A3336" s="473">
        <v>10430</v>
      </c>
      <c r="B3336" s="473" t="s">
        <v>12987</v>
      </c>
      <c r="C3336" s="473" t="s">
        <v>40</v>
      </c>
      <c r="D3336" s="473" t="s">
        <v>41</v>
      </c>
      <c r="E3336" s="361">
        <v>282.93</v>
      </c>
    </row>
    <row r="3337" spans="1:5">
      <c r="A3337" s="473">
        <v>37514</v>
      </c>
      <c r="B3337" s="473" t="s">
        <v>12988</v>
      </c>
      <c r="C3337" s="473" t="s">
        <v>40</v>
      </c>
      <c r="D3337" s="473" t="s">
        <v>47</v>
      </c>
      <c r="E3337" s="361">
        <v>158877.5</v>
      </c>
    </row>
    <row r="3338" spans="1:5">
      <c r="A3338" s="473">
        <v>37519</v>
      </c>
      <c r="B3338" s="473" t="s">
        <v>12989</v>
      </c>
      <c r="C3338" s="473" t="s">
        <v>40</v>
      </c>
      <c r="D3338" s="473" t="s">
        <v>47</v>
      </c>
      <c r="E3338" s="361">
        <v>245194.59</v>
      </c>
    </row>
    <row r="3339" spans="1:5">
      <c r="A3339" s="473">
        <v>37520</v>
      </c>
      <c r="B3339" s="473" t="s">
        <v>12990</v>
      </c>
      <c r="C3339" s="473" t="s">
        <v>40</v>
      </c>
      <c r="D3339" s="473" t="s">
        <v>47</v>
      </c>
      <c r="E3339" s="361">
        <v>241175.01</v>
      </c>
    </row>
    <row r="3340" spans="1:5">
      <c r="A3340" s="473">
        <v>37521</v>
      </c>
      <c r="B3340" s="473" t="s">
        <v>12991</v>
      </c>
      <c r="C3340" s="473" t="s">
        <v>40</v>
      </c>
      <c r="D3340" s="473" t="s">
        <v>47</v>
      </c>
      <c r="E3340" s="361">
        <v>294233.51</v>
      </c>
    </row>
    <row r="3341" spans="1:5">
      <c r="A3341" s="473">
        <v>37522</v>
      </c>
      <c r="B3341" s="473" t="s">
        <v>12992</v>
      </c>
      <c r="C3341" s="473" t="s">
        <v>40</v>
      </c>
      <c r="D3341" s="473" t="s">
        <v>47</v>
      </c>
      <c r="E3341" s="361">
        <v>303085.76</v>
      </c>
    </row>
    <row r="3342" spans="1:5">
      <c r="A3342" s="473">
        <v>21109</v>
      </c>
      <c r="B3342" s="473" t="s">
        <v>12993</v>
      </c>
      <c r="C3342" s="473" t="s">
        <v>40</v>
      </c>
      <c r="D3342" s="473" t="s">
        <v>47</v>
      </c>
      <c r="E3342" s="361">
        <v>64.98</v>
      </c>
    </row>
    <row r="3343" spans="1:5">
      <c r="A3343" s="473">
        <v>36800</v>
      </c>
      <c r="B3343" s="473" t="s">
        <v>12994</v>
      </c>
      <c r="C3343" s="473" t="s">
        <v>40</v>
      </c>
      <c r="D3343" s="473" t="s">
        <v>41</v>
      </c>
      <c r="E3343" s="361">
        <v>74</v>
      </c>
    </row>
    <row r="3344" spans="1:5">
      <c r="A3344" s="473">
        <v>11769</v>
      </c>
      <c r="B3344" s="473" t="s">
        <v>12995</v>
      </c>
      <c r="C3344" s="473" t="s">
        <v>40</v>
      </c>
      <c r="D3344" s="473" t="s">
        <v>41</v>
      </c>
      <c r="E3344" s="361">
        <v>181.36</v>
      </c>
    </row>
    <row r="3345" spans="1:5">
      <c r="A3345" s="473">
        <v>36793</v>
      </c>
      <c r="B3345" s="473" t="s">
        <v>12996</v>
      </c>
      <c r="C3345" s="473" t="s">
        <v>40</v>
      </c>
      <c r="D3345" s="473" t="s">
        <v>41</v>
      </c>
      <c r="E3345" s="361">
        <v>293.64</v>
      </c>
    </row>
    <row r="3346" spans="1:5">
      <c r="A3346" s="473">
        <v>37546</v>
      </c>
      <c r="B3346" s="473" t="s">
        <v>12997</v>
      </c>
      <c r="C3346" s="473" t="s">
        <v>40</v>
      </c>
      <c r="D3346" s="473" t="s">
        <v>41</v>
      </c>
      <c r="E3346" s="361">
        <v>8618.43</v>
      </c>
    </row>
    <row r="3347" spans="1:5">
      <c r="A3347" s="473">
        <v>37544</v>
      </c>
      <c r="B3347" s="473" t="s">
        <v>12998</v>
      </c>
      <c r="C3347" s="473" t="s">
        <v>40</v>
      </c>
      <c r="D3347" s="473" t="s">
        <v>41</v>
      </c>
      <c r="E3347" s="361">
        <v>9115.44</v>
      </c>
    </row>
    <row r="3348" spans="1:5">
      <c r="A3348" s="473">
        <v>37545</v>
      </c>
      <c r="B3348" s="473" t="s">
        <v>12999</v>
      </c>
      <c r="C3348" s="473" t="s">
        <v>40</v>
      </c>
      <c r="D3348" s="473" t="s">
        <v>41</v>
      </c>
      <c r="E3348" s="361">
        <v>10846.15</v>
      </c>
    </row>
    <row r="3349" spans="1:5">
      <c r="A3349" s="473">
        <v>11771</v>
      </c>
      <c r="B3349" s="473" t="s">
        <v>13000</v>
      </c>
      <c r="C3349" s="473" t="s">
        <v>40</v>
      </c>
      <c r="D3349" s="473" t="s">
        <v>41</v>
      </c>
      <c r="E3349" s="361">
        <v>224.96</v>
      </c>
    </row>
    <row r="3350" spans="1:5">
      <c r="A3350" s="473">
        <v>39919</v>
      </c>
      <c r="B3350" s="473" t="s">
        <v>13001</v>
      </c>
      <c r="C3350" s="473" t="s">
        <v>40</v>
      </c>
      <c r="D3350" s="473" t="s">
        <v>41</v>
      </c>
      <c r="E3350" s="361">
        <v>43140.02</v>
      </c>
    </row>
    <row r="3351" spans="1:5">
      <c r="A3351" s="473">
        <v>38385</v>
      </c>
      <c r="B3351" s="473" t="s">
        <v>13002</v>
      </c>
      <c r="C3351" s="473" t="s">
        <v>40</v>
      </c>
      <c r="D3351" s="473" t="s">
        <v>41</v>
      </c>
      <c r="E3351" s="361">
        <v>37.1</v>
      </c>
    </row>
    <row r="3352" spans="1:5">
      <c r="A3352" s="473">
        <v>37587</v>
      </c>
      <c r="B3352" s="473" t="s">
        <v>13003</v>
      </c>
      <c r="C3352" s="473" t="s">
        <v>40</v>
      </c>
      <c r="D3352" s="473" t="s">
        <v>41</v>
      </c>
      <c r="E3352" s="361">
        <v>204.61</v>
      </c>
    </row>
    <row r="3353" spans="1:5">
      <c r="A3353" s="473">
        <v>11571</v>
      </c>
      <c r="B3353" s="473" t="s">
        <v>13004</v>
      </c>
      <c r="C3353" s="473" t="s">
        <v>40</v>
      </c>
      <c r="D3353" s="473" t="s">
        <v>41</v>
      </c>
      <c r="E3353" s="361">
        <v>179.15</v>
      </c>
    </row>
    <row r="3354" spans="1:5">
      <c r="A3354" s="473">
        <v>11561</v>
      </c>
      <c r="B3354" s="473" t="s">
        <v>13005</v>
      </c>
      <c r="C3354" s="473" t="s">
        <v>40</v>
      </c>
      <c r="D3354" s="473" t="s">
        <v>41</v>
      </c>
      <c r="E3354" s="361">
        <v>138.55000000000001</v>
      </c>
    </row>
    <row r="3355" spans="1:5">
      <c r="A3355" s="473">
        <v>11560</v>
      </c>
      <c r="B3355" s="473" t="s">
        <v>13006</v>
      </c>
      <c r="C3355" s="473" t="s">
        <v>40</v>
      </c>
      <c r="D3355" s="473" t="s">
        <v>41</v>
      </c>
      <c r="E3355" s="361">
        <v>117.93</v>
      </c>
    </row>
    <row r="3356" spans="1:5">
      <c r="A3356" s="473">
        <v>11499</v>
      </c>
      <c r="B3356" s="473" t="s">
        <v>13007</v>
      </c>
      <c r="C3356" s="473" t="s">
        <v>40</v>
      </c>
      <c r="D3356" s="473" t="s">
        <v>41</v>
      </c>
      <c r="E3356" s="361">
        <v>1166.8599999999999</v>
      </c>
    </row>
    <row r="3357" spans="1:5">
      <c r="A3357" s="473">
        <v>34761</v>
      </c>
      <c r="B3357" s="473" t="s">
        <v>13008</v>
      </c>
      <c r="C3357" s="473" t="s">
        <v>43</v>
      </c>
      <c r="D3357" s="473" t="s">
        <v>41</v>
      </c>
      <c r="E3357" s="361">
        <v>12.8</v>
      </c>
    </row>
    <row r="3358" spans="1:5">
      <c r="A3358" s="473">
        <v>40924</v>
      </c>
      <c r="B3358" s="473" t="s">
        <v>13009</v>
      </c>
      <c r="C3358" s="473" t="s">
        <v>53</v>
      </c>
      <c r="D3358" s="473" t="s">
        <v>41</v>
      </c>
      <c r="E3358" s="361">
        <v>2282.59</v>
      </c>
    </row>
    <row r="3359" spans="1:5">
      <c r="A3359" s="473">
        <v>25957</v>
      </c>
      <c r="B3359" s="473" t="s">
        <v>13010</v>
      </c>
      <c r="C3359" s="473" t="s">
        <v>43</v>
      </c>
      <c r="D3359" s="473" t="s">
        <v>41</v>
      </c>
      <c r="E3359" s="361">
        <v>9.9600000000000009</v>
      </c>
    </row>
    <row r="3360" spans="1:5">
      <c r="A3360" s="473">
        <v>40983</v>
      </c>
      <c r="B3360" s="473" t="s">
        <v>13011</v>
      </c>
      <c r="C3360" s="473" t="s">
        <v>53</v>
      </c>
      <c r="D3360" s="473" t="s">
        <v>41</v>
      </c>
      <c r="E3360" s="361">
        <v>1776.12</v>
      </c>
    </row>
    <row r="3361" spans="1:5">
      <c r="A3361" s="473">
        <v>2437</v>
      </c>
      <c r="B3361" s="473" t="s">
        <v>13012</v>
      </c>
      <c r="C3361" s="473" t="s">
        <v>43</v>
      </c>
      <c r="D3361" s="473" t="s">
        <v>41</v>
      </c>
      <c r="E3361" s="361">
        <v>14.26</v>
      </c>
    </row>
    <row r="3362" spans="1:5">
      <c r="A3362" s="473">
        <v>40921</v>
      </c>
      <c r="B3362" s="473" t="s">
        <v>13013</v>
      </c>
      <c r="C3362" s="473" t="s">
        <v>53</v>
      </c>
      <c r="D3362" s="473" t="s">
        <v>41</v>
      </c>
      <c r="E3362" s="361">
        <v>2544.34</v>
      </c>
    </row>
    <row r="3363" spans="1:5">
      <c r="A3363" s="473">
        <v>40534</v>
      </c>
      <c r="B3363" s="473" t="s">
        <v>13014</v>
      </c>
      <c r="C3363" s="473" t="s">
        <v>40</v>
      </c>
      <c r="D3363" s="473" t="s">
        <v>47</v>
      </c>
      <c r="E3363" s="361">
        <v>218.8</v>
      </c>
    </row>
    <row r="3364" spans="1:5">
      <c r="A3364" s="473">
        <v>14252</v>
      </c>
      <c r="B3364" s="473" t="s">
        <v>13015</v>
      </c>
      <c r="C3364" s="473" t="s">
        <v>40</v>
      </c>
      <c r="D3364" s="473" t="s">
        <v>41</v>
      </c>
      <c r="E3364" s="361">
        <v>1886.1</v>
      </c>
    </row>
    <row r="3365" spans="1:5">
      <c r="A3365" s="473">
        <v>730</v>
      </c>
      <c r="B3365" s="473" t="s">
        <v>13016</v>
      </c>
      <c r="C3365" s="473" t="s">
        <v>40</v>
      </c>
      <c r="D3365" s="473" t="s">
        <v>41</v>
      </c>
      <c r="E3365" s="361">
        <v>5039.32</v>
      </c>
    </row>
    <row r="3366" spans="1:5">
      <c r="A3366" s="473">
        <v>723</v>
      </c>
      <c r="B3366" s="473" t="s">
        <v>13017</v>
      </c>
      <c r="C3366" s="473" t="s">
        <v>40</v>
      </c>
      <c r="D3366" s="473" t="s">
        <v>41</v>
      </c>
      <c r="E3366" s="361">
        <v>2504.7199999999998</v>
      </c>
    </row>
    <row r="3367" spans="1:5">
      <c r="A3367" s="473">
        <v>36502</v>
      </c>
      <c r="B3367" s="473" t="s">
        <v>13018</v>
      </c>
      <c r="C3367" s="473" t="s">
        <v>40</v>
      </c>
      <c r="D3367" s="473" t="s">
        <v>41</v>
      </c>
      <c r="E3367" s="361">
        <v>2354.13</v>
      </c>
    </row>
    <row r="3368" spans="1:5">
      <c r="A3368" s="473">
        <v>36503</v>
      </c>
      <c r="B3368" s="473" t="s">
        <v>13019</v>
      </c>
      <c r="C3368" s="473" t="s">
        <v>40</v>
      </c>
      <c r="D3368" s="473" t="s">
        <v>41</v>
      </c>
      <c r="E3368" s="361">
        <v>2902.93</v>
      </c>
    </row>
    <row r="3369" spans="1:5">
      <c r="A3369" s="473">
        <v>4090</v>
      </c>
      <c r="B3369" s="473" t="s">
        <v>13020</v>
      </c>
      <c r="C3369" s="473" t="s">
        <v>40</v>
      </c>
      <c r="D3369" s="473" t="s">
        <v>47</v>
      </c>
      <c r="E3369" s="361">
        <v>545000</v>
      </c>
    </row>
    <row r="3370" spans="1:5">
      <c r="A3370" s="473">
        <v>13227</v>
      </c>
      <c r="B3370" s="473" t="s">
        <v>13021</v>
      </c>
      <c r="C3370" s="473" t="s">
        <v>40</v>
      </c>
      <c r="D3370" s="473" t="s">
        <v>47</v>
      </c>
      <c r="E3370" s="361">
        <v>677230.46</v>
      </c>
    </row>
    <row r="3371" spans="1:5">
      <c r="A3371" s="473">
        <v>10597</v>
      </c>
      <c r="B3371" s="473" t="s">
        <v>13022</v>
      </c>
      <c r="C3371" s="473" t="s">
        <v>40</v>
      </c>
      <c r="D3371" s="473" t="s">
        <v>47</v>
      </c>
      <c r="E3371" s="361">
        <v>712872.42</v>
      </c>
    </row>
    <row r="3372" spans="1:5">
      <c r="A3372" s="473">
        <v>39628</v>
      </c>
      <c r="B3372" s="473" t="s">
        <v>13023</v>
      </c>
      <c r="C3372" s="473" t="s">
        <v>40</v>
      </c>
      <c r="D3372" s="473" t="s">
        <v>47</v>
      </c>
      <c r="E3372" s="361">
        <v>2511.16</v>
      </c>
    </row>
    <row r="3373" spans="1:5">
      <c r="A3373" s="473">
        <v>39404</v>
      </c>
      <c r="B3373" s="473" t="s">
        <v>13024</v>
      </c>
      <c r="C3373" s="473" t="s">
        <v>40</v>
      </c>
      <c r="D3373" s="473" t="s">
        <v>47</v>
      </c>
      <c r="E3373" s="361">
        <v>1245.2</v>
      </c>
    </row>
    <row r="3374" spans="1:5">
      <c r="A3374" s="473">
        <v>39402</v>
      </c>
      <c r="B3374" s="473" t="s">
        <v>13025</v>
      </c>
      <c r="C3374" s="473" t="s">
        <v>40</v>
      </c>
      <c r="D3374" s="473" t="s">
        <v>47</v>
      </c>
      <c r="E3374" s="361">
        <v>1025.81</v>
      </c>
    </row>
    <row r="3375" spans="1:5">
      <c r="A3375" s="473">
        <v>39403</v>
      </c>
      <c r="B3375" s="473" t="s">
        <v>13026</v>
      </c>
      <c r="C3375" s="473" t="s">
        <v>40</v>
      </c>
      <c r="D3375" s="473" t="s">
        <v>47</v>
      </c>
      <c r="E3375" s="361">
        <v>1003.5</v>
      </c>
    </row>
    <row r="3376" spans="1:5">
      <c r="A3376" s="473">
        <v>4093</v>
      </c>
      <c r="B3376" s="473" t="s">
        <v>13027</v>
      </c>
      <c r="C3376" s="473" t="s">
        <v>43</v>
      </c>
      <c r="D3376" s="473" t="s">
        <v>41</v>
      </c>
      <c r="E3376" s="361">
        <v>11.13</v>
      </c>
    </row>
    <row r="3377" spans="1:5">
      <c r="A3377" s="473">
        <v>10512</v>
      </c>
      <c r="B3377" s="473" t="s">
        <v>13028</v>
      </c>
      <c r="C3377" s="473" t="s">
        <v>53</v>
      </c>
      <c r="D3377" s="473" t="s">
        <v>41</v>
      </c>
      <c r="E3377" s="361">
        <v>2413.96</v>
      </c>
    </row>
    <row r="3378" spans="1:5">
      <c r="A3378" s="473">
        <v>20020</v>
      </c>
      <c r="B3378" s="473" t="s">
        <v>13029</v>
      </c>
      <c r="C3378" s="473" t="s">
        <v>43</v>
      </c>
      <c r="D3378" s="473" t="s">
        <v>41</v>
      </c>
      <c r="E3378" s="361">
        <v>10.5</v>
      </c>
    </row>
    <row r="3379" spans="1:5">
      <c r="A3379" s="473">
        <v>41038</v>
      </c>
      <c r="B3379" s="473" t="s">
        <v>13030</v>
      </c>
      <c r="C3379" s="473" t="s">
        <v>53</v>
      </c>
      <c r="D3379" s="473" t="s">
        <v>41</v>
      </c>
      <c r="E3379" s="361">
        <v>2276.9699999999998</v>
      </c>
    </row>
    <row r="3380" spans="1:5">
      <c r="A3380" s="473">
        <v>4094</v>
      </c>
      <c r="B3380" s="473" t="s">
        <v>13031</v>
      </c>
      <c r="C3380" s="473" t="s">
        <v>43</v>
      </c>
      <c r="D3380" s="473" t="s">
        <v>41</v>
      </c>
      <c r="E3380" s="361">
        <v>14.87</v>
      </c>
    </row>
    <row r="3381" spans="1:5">
      <c r="A3381" s="473">
        <v>40988</v>
      </c>
      <c r="B3381" s="473" t="s">
        <v>13032</v>
      </c>
      <c r="C3381" s="473" t="s">
        <v>53</v>
      </c>
      <c r="D3381" s="473" t="s">
        <v>41</v>
      </c>
      <c r="E3381" s="361">
        <v>3223.69</v>
      </c>
    </row>
    <row r="3382" spans="1:5">
      <c r="A3382" s="473">
        <v>4095</v>
      </c>
      <c r="B3382" s="473" t="s">
        <v>13033</v>
      </c>
      <c r="C3382" s="473" t="s">
        <v>43</v>
      </c>
      <c r="D3382" s="473" t="s">
        <v>41</v>
      </c>
      <c r="E3382" s="361">
        <v>10.28</v>
      </c>
    </row>
    <row r="3383" spans="1:5">
      <c r="A3383" s="473">
        <v>40990</v>
      </c>
      <c r="B3383" s="473" t="s">
        <v>13034</v>
      </c>
      <c r="C3383" s="473" t="s">
        <v>53</v>
      </c>
      <c r="D3383" s="473" t="s">
        <v>41</v>
      </c>
      <c r="E3383" s="361">
        <v>2264.2800000000002</v>
      </c>
    </row>
    <row r="3384" spans="1:5">
      <c r="A3384" s="473">
        <v>4097</v>
      </c>
      <c r="B3384" s="473" t="s">
        <v>13035</v>
      </c>
      <c r="C3384" s="473" t="s">
        <v>43</v>
      </c>
      <c r="D3384" s="473" t="s">
        <v>41</v>
      </c>
      <c r="E3384" s="361">
        <v>10.199999999999999</v>
      </c>
    </row>
    <row r="3385" spans="1:5">
      <c r="A3385" s="473">
        <v>40994</v>
      </c>
      <c r="B3385" s="473" t="s">
        <v>13036</v>
      </c>
      <c r="C3385" s="473" t="s">
        <v>53</v>
      </c>
      <c r="D3385" s="473" t="s">
        <v>41</v>
      </c>
      <c r="E3385" s="361">
        <v>2250.84</v>
      </c>
    </row>
    <row r="3386" spans="1:5">
      <c r="A3386" s="473">
        <v>4096</v>
      </c>
      <c r="B3386" s="473" t="s">
        <v>13037</v>
      </c>
      <c r="C3386" s="473" t="s">
        <v>43</v>
      </c>
      <c r="D3386" s="473" t="s">
        <v>41</v>
      </c>
      <c r="E3386" s="361">
        <v>10.28</v>
      </c>
    </row>
    <row r="3387" spans="1:5">
      <c r="A3387" s="473">
        <v>40992</v>
      </c>
      <c r="B3387" s="473" t="s">
        <v>13038</v>
      </c>
      <c r="C3387" s="473" t="s">
        <v>53</v>
      </c>
      <c r="D3387" s="473" t="s">
        <v>41</v>
      </c>
      <c r="E3387" s="361">
        <v>2264.2800000000002</v>
      </c>
    </row>
    <row r="3388" spans="1:5">
      <c r="A3388" s="473">
        <v>13955</v>
      </c>
      <c r="B3388" s="473" t="s">
        <v>13039</v>
      </c>
      <c r="C3388" s="473" t="s">
        <v>40</v>
      </c>
      <c r="D3388" s="473" t="s">
        <v>41</v>
      </c>
      <c r="E3388" s="361">
        <v>2029.97</v>
      </c>
    </row>
    <row r="3389" spans="1:5">
      <c r="A3389" s="473">
        <v>4114</v>
      </c>
      <c r="B3389" s="473" t="s">
        <v>13040</v>
      </c>
      <c r="C3389" s="473" t="s">
        <v>40</v>
      </c>
      <c r="D3389" s="473" t="s">
        <v>41</v>
      </c>
      <c r="E3389" s="361">
        <v>42.18</v>
      </c>
    </row>
    <row r="3390" spans="1:5">
      <c r="A3390" s="473">
        <v>36797</v>
      </c>
      <c r="B3390" s="473" t="s">
        <v>13041</v>
      </c>
      <c r="C3390" s="473" t="s">
        <v>40</v>
      </c>
      <c r="D3390" s="473" t="s">
        <v>41</v>
      </c>
      <c r="E3390" s="361">
        <v>36.880000000000003</v>
      </c>
    </row>
    <row r="3391" spans="1:5">
      <c r="A3391" s="473">
        <v>4107</v>
      </c>
      <c r="B3391" s="473" t="s">
        <v>13042</v>
      </c>
      <c r="C3391" s="473" t="s">
        <v>40</v>
      </c>
      <c r="D3391" s="473" t="s">
        <v>41</v>
      </c>
      <c r="E3391" s="361">
        <v>35.51</v>
      </c>
    </row>
    <row r="3392" spans="1:5">
      <c r="A3392" s="473">
        <v>36799</v>
      </c>
      <c r="B3392" s="473" t="s">
        <v>13043</v>
      </c>
      <c r="C3392" s="473" t="s">
        <v>40</v>
      </c>
      <c r="D3392" s="473" t="s">
        <v>41</v>
      </c>
      <c r="E3392" s="361">
        <v>33.909999999999997</v>
      </c>
    </row>
    <row r="3393" spans="1:5">
      <c r="A3393" s="473">
        <v>4108</v>
      </c>
      <c r="B3393" s="473" t="s">
        <v>13044</v>
      </c>
      <c r="C3393" s="473" t="s">
        <v>40</v>
      </c>
      <c r="D3393" s="473" t="s">
        <v>41</v>
      </c>
      <c r="E3393" s="361">
        <v>28.55</v>
      </c>
    </row>
    <row r="3394" spans="1:5">
      <c r="A3394" s="473">
        <v>4102</v>
      </c>
      <c r="B3394" s="473" t="s">
        <v>13045</v>
      </c>
      <c r="C3394" s="473" t="s">
        <v>40</v>
      </c>
      <c r="D3394" s="473" t="s">
        <v>44</v>
      </c>
      <c r="E3394" s="361">
        <v>42.48</v>
      </c>
    </row>
    <row r="3395" spans="1:5">
      <c r="A3395" s="473">
        <v>10826</v>
      </c>
      <c r="B3395" s="473" t="s">
        <v>13046</v>
      </c>
      <c r="C3395" s="473" t="s">
        <v>40</v>
      </c>
      <c r="D3395" s="473" t="s">
        <v>41</v>
      </c>
      <c r="E3395" s="361">
        <v>47.98</v>
      </c>
    </row>
    <row r="3396" spans="1:5">
      <c r="A3396" s="473">
        <v>365</v>
      </c>
      <c r="B3396" s="473" t="s">
        <v>13047</v>
      </c>
      <c r="C3396" s="473" t="s">
        <v>40</v>
      </c>
      <c r="D3396" s="473" t="s">
        <v>41</v>
      </c>
      <c r="E3396" s="361">
        <v>29.75</v>
      </c>
    </row>
    <row r="3397" spans="1:5">
      <c r="A3397" s="473">
        <v>38639</v>
      </c>
      <c r="B3397" s="473" t="s">
        <v>13048</v>
      </c>
      <c r="C3397" s="473" t="s">
        <v>40</v>
      </c>
      <c r="D3397" s="473" t="s">
        <v>41</v>
      </c>
      <c r="E3397" s="361">
        <v>115.17</v>
      </c>
    </row>
    <row r="3398" spans="1:5">
      <c r="A3398" s="473">
        <v>38640</v>
      </c>
      <c r="B3398" s="473" t="s">
        <v>13049</v>
      </c>
      <c r="C3398" s="473" t="s">
        <v>40</v>
      </c>
      <c r="D3398" s="473" t="s">
        <v>41</v>
      </c>
      <c r="E3398" s="361">
        <v>1.72</v>
      </c>
    </row>
    <row r="3399" spans="1:5">
      <c r="A3399" s="473">
        <v>358</v>
      </c>
      <c r="B3399" s="473" t="s">
        <v>13050</v>
      </c>
      <c r="C3399" s="473" t="s">
        <v>40</v>
      </c>
      <c r="D3399" s="473" t="s">
        <v>41</v>
      </c>
      <c r="E3399" s="361">
        <v>35.51</v>
      </c>
    </row>
    <row r="3400" spans="1:5">
      <c r="A3400" s="473">
        <v>359</v>
      </c>
      <c r="B3400" s="473" t="s">
        <v>13051</v>
      </c>
      <c r="C3400" s="473" t="s">
        <v>40</v>
      </c>
      <c r="D3400" s="473" t="s">
        <v>41</v>
      </c>
      <c r="E3400" s="361">
        <v>72.94</v>
      </c>
    </row>
    <row r="3401" spans="1:5">
      <c r="A3401" s="473">
        <v>38641</v>
      </c>
      <c r="B3401" s="473" t="s">
        <v>13052</v>
      </c>
      <c r="C3401" s="473" t="s">
        <v>40</v>
      </c>
      <c r="D3401" s="473" t="s">
        <v>41</v>
      </c>
      <c r="E3401" s="361">
        <v>71.98</v>
      </c>
    </row>
    <row r="3402" spans="1:5">
      <c r="A3402" s="473">
        <v>360</v>
      </c>
      <c r="B3402" s="473" t="s">
        <v>13053</v>
      </c>
      <c r="C3402" s="473" t="s">
        <v>40</v>
      </c>
      <c r="D3402" s="473" t="s">
        <v>44</v>
      </c>
      <c r="E3402" s="361">
        <v>1.67</v>
      </c>
    </row>
    <row r="3403" spans="1:5">
      <c r="A3403" s="473">
        <v>4127</v>
      </c>
      <c r="B3403" s="473" t="s">
        <v>13054</v>
      </c>
      <c r="C3403" s="473" t="s">
        <v>40</v>
      </c>
      <c r="D3403" s="473" t="s">
        <v>47</v>
      </c>
      <c r="E3403" s="361">
        <v>210.82</v>
      </c>
    </row>
    <row r="3404" spans="1:5">
      <c r="A3404" s="473">
        <v>4154</v>
      </c>
      <c r="B3404" s="473" t="s">
        <v>13055</v>
      </c>
      <c r="C3404" s="473" t="s">
        <v>40</v>
      </c>
      <c r="D3404" s="473" t="s">
        <v>47</v>
      </c>
      <c r="E3404" s="361">
        <v>257.57</v>
      </c>
    </row>
    <row r="3405" spans="1:5">
      <c r="A3405" s="473">
        <v>4168</v>
      </c>
      <c r="B3405" s="473" t="s">
        <v>13056</v>
      </c>
      <c r="C3405" s="473" t="s">
        <v>40</v>
      </c>
      <c r="D3405" s="473" t="s">
        <v>47</v>
      </c>
      <c r="E3405" s="361">
        <v>272.02</v>
      </c>
    </row>
    <row r="3406" spans="1:5">
      <c r="A3406" s="473">
        <v>4161</v>
      </c>
      <c r="B3406" s="473" t="s">
        <v>13057</v>
      </c>
      <c r="C3406" s="473" t="s">
        <v>40</v>
      </c>
      <c r="D3406" s="473" t="s">
        <v>47</v>
      </c>
      <c r="E3406" s="361">
        <v>261.82</v>
      </c>
    </row>
    <row r="3407" spans="1:5">
      <c r="A3407" s="473">
        <v>42430</v>
      </c>
      <c r="B3407" s="473" t="s">
        <v>13058</v>
      </c>
      <c r="C3407" s="473" t="s">
        <v>40</v>
      </c>
      <c r="D3407" s="473" t="s">
        <v>47</v>
      </c>
      <c r="E3407" s="361">
        <v>3654.84</v>
      </c>
    </row>
    <row r="3408" spans="1:5">
      <c r="A3408" s="473">
        <v>4214</v>
      </c>
      <c r="B3408" s="473" t="s">
        <v>13059</v>
      </c>
      <c r="C3408" s="473" t="s">
        <v>40</v>
      </c>
      <c r="D3408" s="473" t="s">
        <v>41</v>
      </c>
      <c r="E3408" s="361">
        <v>6.37</v>
      </c>
    </row>
    <row r="3409" spans="1:5">
      <c r="A3409" s="473">
        <v>4215</v>
      </c>
      <c r="B3409" s="473" t="s">
        <v>13060</v>
      </c>
      <c r="C3409" s="473" t="s">
        <v>40</v>
      </c>
      <c r="D3409" s="473" t="s">
        <v>41</v>
      </c>
      <c r="E3409" s="361">
        <v>4.1900000000000004</v>
      </c>
    </row>
    <row r="3410" spans="1:5">
      <c r="A3410" s="473">
        <v>4210</v>
      </c>
      <c r="B3410" s="473" t="s">
        <v>13061</v>
      </c>
      <c r="C3410" s="473" t="s">
        <v>40</v>
      </c>
      <c r="D3410" s="473" t="s">
        <v>41</v>
      </c>
      <c r="E3410" s="361">
        <v>0.7</v>
      </c>
    </row>
    <row r="3411" spans="1:5">
      <c r="A3411" s="473">
        <v>4212</v>
      </c>
      <c r="B3411" s="473" t="s">
        <v>13062</v>
      </c>
      <c r="C3411" s="473" t="s">
        <v>40</v>
      </c>
      <c r="D3411" s="473" t="s">
        <v>41</v>
      </c>
      <c r="E3411" s="361">
        <v>2.02</v>
      </c>
    </row>
    <row r="3412" spans="1:5">
      <c r="A3412" s="473">
        <v>4213</v>
      </c>
      <c r="B3412" s="473" t="s">
        <v>13063</v>
      </c>
      <c r="C3412" s="473" t="s">
        <v>40</v>
      </c>
      <c r="D3412" s="473" t="s">
        <v>41</v>
      </c>
      <c r="E3412" s="361">
        <v>9.0500000000000007</v>
      </c>
    </row>
    <row r="3413" spans="1:5">
      <c r="A3413" s="473">
        <v>4211</v>
      </c>
      <c r="B3413" s="473" t="s">
        <v>13064</v>
      </c>
      <c r="C3413" s="473" t="s">
        <v>40</v>
      </c>
      <c r="D3413" s="473" t="s">
        <v>41</v>
      </c>
      <c r="E3413" s="361">
        <v>1.01</v>
      </c>
    </row>
    <row r="3414" spans="1:5">
      <c r="A3414" s="473">
        <v>4209</v>
      </c>
      <c r="B3414" s="473" t="s">
        <v>13065</v>
      </c>
      <c r="C3414" s="473" t="s">
        <v>40</v>
      </c>
      <c r="D3414" s="473" t="s">
        <v>41</v>
      </c>
      <c r="E3414" s="361">
        <v>12.6</v>
      </c>
    </row>
    <row r="3415" spans="1:5">
      <c r="A3415" s="473">
        <v>4180</v>
      </c>
      <c r="B3415" s="473" t="s">
        <v>13066</v>
      </c>
      <c r="C3415" s="473" t="s">
        <v>40</v>
      </c>
      <c r="D3415" s="473" t="s">
        <v>41</v>
      </c>
      <c r="E3415" s="361">
        <v>9.49</v>
      </c>
    </row>
    <row r="3416" spans="1:5">
      <c r="A3416" s="473">
        <v>4177</v>
      </c>
      <c r="B3416" s="473" t="s">
        <v>13067</v>
      </c>
      <c r="C3416" s="473" t="s">
        <v>40</v>
      </c>
      <c r="D3416" s="473" t="s">
        <v>41</v>
      </c>
      <c r="E3416" s="361">
        <v>3.15</v>
      </c>
    </row>
    <row r="3417" spans="1:5">
      <c r="A3417" s="473">
        <v>4179</v>
      </c>
      <c r="B3417" s="473" t="s">
        <v>13068</v>
      </c>
      <c r="C3417" s="473" t="s">
        <v>40</v>
      </c>
      <c r="D3417" s="473" t="s">
        <v>41</v>
      </c>
      <c r="E3417" s="361">
        <v>6.44</v>
      </c>
    </row>
    <row r="3418" spans="1:5">
      <c r="A3418" s="473">
        <v>4208</v>
      </c>
      <c r="B3418" s="473" t="s">
        <v>13069</v>
      </c>
      <c r="C3418" s="473" t="s">
        <v>40</v>
      </c>
      <c r="D3418" s="473" t="s">
        <v>41</v>
      </c>
      <c r="E3418" s="361">
        <v>30</v>
      </c>
    </row>
    <row r="3419" spans="1:5">
      <c r="A3419" s="473">
        <v>4181</v>
      </c>
      <c r="B3419" s="473" t="s">
        <v>13070</v>
      </c>
      <c r="C3419" s="473" t="s">
        <v>40</v>
      </c>
      <c r="D3419" s="473" t="s">
        <v>41</v>
      </c>
      <c r="E3419" s="361">
        <v>19.600000000000001</v>
      </c>
    </row>
    <row r="3420" spans="1:5">
      <c r="A3420" s="473">
        <v>4178</v>
      </c>
      <c r="B3420" s="473" t="s">
        <v>13071</v>
      </c>
      <c r="C3420" s="473" t="s">
        <v>40</v>
      </c>
      <c r="D3420" s="473" t="s">
        <v>41</v>
      </c>
      <c r="E3420" s="361">
        <v>4.3600000000000003</v>
      </c>
    </row>
    <row r="3421" spans="1:5">
      <c r="A3421" s="473">
        <v>4182</v>
      </c>
      <c r="B3421" s="473" t="s">
        <v>13072</v>
      </c>
      <c r="C3421" s="473" t="s">
        <v>40</v>
      </c>
      <c r="D3421" s="473" t="s">
        <v>41</v>
      </c>
      <c r="E3421" s="361">
        <v>48.8</v>
      </c>
    </row>
    <row r="3422" spans="1:5">
      <c r="A3422" s="473">
        <v>4183</v>
      </c>
      <c r="B3422" s="473" t="s">
        <v>13073</v>
      </c>
      <c r="C3422" s="473" t="s">
        <v>40</v>
      </c>
      <c r="D3422" s="473" t="s">
        <v>41</v>
      </c>
      <c r="E3422" s="361">
        <v>78.569999999999993</v>
      </c>
    </row>
    <row r="3423" spans="1:5">
      <c r="A3423" s="473">
        <v>4184</v>
      </c>
      <c r="B3423" s="473" t="s">
        <v>13074</v>
      </c>
      <c r="C3423" s="473" t="s">
        <v>40</v>
      </c>
      <c r="D3423" s="473" t="s">
        <v>41</v>
      </c>
      <c r="E3423" s="361">
        <v>173.45</v>
      </c>
    </row>
    <row r="3424" spans="1:5">
      <c r="A3424" s="473">
        <v>4185</v>
      </c>
      <c r="B3424" s="473" t="s">
        <v>13075</v>
      </c>
      <c r="C3424" s="473" t="s">
        <v>40</v>
      </c>
      <c r="D3424" s="473" t="s">
        <v>41</v>
      </c>
      <c r="E3424" s="361">
        <v>288.19</v>
      </c>
    </row>
    <row r="3425" spans="1:5">
      <c r="A3425" s="473">
        <v>4205</v>
      </c>
      <c r="B3425" s="473" t="s">
        <v>13076</v>
      </c>
      <c r="C3425" s="473" t="s">
        <v>40</v>
      </c>
      <c r="D3425" s="473" t="s">
        <v>41</v>
      </c>
      <c r="E3425" s="361">
        <v>16.64</v>
      </c>
    </row>
    <row r="3426" spans="1:5">
      <c r="A3426" s="473">
        <v>4192</v>
      </c>
      <c r="B3426" s="473" t="s">
        <v>13077</v>
      </c>
      <c r="C3426" s="473" t="s">
        <v>40</v>
      </c>
      <c r="D3426" s="473" t="s">
        <v>41</v>
      </c>
      <c r="E3426" s="361">
        <v>16.64</v>
      </c>
    </row>
    <row r="3427" spans="1:5">
      <c r="A3427" s="473">
        <v>4191</v>
      </c>
      <c r="B3427" s="473" t="s">
        <v>13078</v>
      </c>
      <c r="C3427" s="473" t="s">
        <v>40</v>
      </c>
      <c r="D3427" s="473" t="s">
        <v>41</v>
      </c>
      <c r="E3427" s="361">
        <v>16.64</v>
      </c>
    </row>
    <row r="3428" spans="1:5">
      <c r="A3428" s="473">
        <v>4207</v>
      </c>
      <c r="B3428" s="473" t="s">
        <v>13079</v>
      </c>
      <c r="C3428" s="473" t="s">
        <v>40</v>
      </c>
      <c r="D3428" s="473" t="s">
        <v>41</v>
      </c>
      <c r="E3428" s="361">
        <v>13.39</v>
      </c>
    </row>
    <row r="3429" spans="1:5">
      <c r="A3429" s="473">
        <v>4206</v>
      </c>
      <c r="B3429" s="473" t="s">
        <v>13080</v>
      </c>
      <c r="C3429" s="473" t="s">
        <v>40</v>
      </c>
      <c r="D3429" s="473" t="s">
        <v>41</v>
      </c>
      <c r="E3429" s="361">
        <v>13</v>
      </c>
    </row>
    <row r="3430" spans="1:5">
      <c r="A3430" s="473">
        <v>4190</v>
      </c>
      <c r="B3430" s="473" t="s">
        <v>13081</v>
      </c>
      <c r="C3430" s="473" t="s">
        <v>40</v>
      </c>
      <c r="D3430" s="473" t="s">
        <v>41</v>
      </c>
      <c r="E3430" s="361">
        <v>13</v>
      </c>
    </row>
    <row r="3431" spans="1:5">
      <c r="A3431" s="473">
        <v>4186</v>
      </c>
      <c r="B3431" s="473" t="s">
        <v>13082</v>
      </c>
      <c r="C3431" s="473" t="s">
        <v>40</v>
      </c>
      <c r="D3431" s="473" t="s">
        <v>41</v>
      </c>
      <c r="E3431" s="361">
        <v>3.84</v>
      </c>
    </row>
    <row r="3432" spans="1:5">
      <c r="A3432" s="473">
        <v>4188</v>
      </c>
      <c r="B3432" s="473" t="s">
        <v>13083</v>
      </c>
      <c r="C3432" s="473" t="s">
        <v>40</v>
      </c>
      <c r="D3432" s="473" t="s">
        <v>41</v>
      </c>
      <c r="E3432" s="361">
        <v>7.85</v>
      </c>
    </row>
    <row r="3433" spans="1:5">
      <c r="A3433" s="473">
        <v>4189</v>
      </c>
      <c r="B3433" s="473" t="s">
        <v>13084</v>
      </c>
      <c r="C3433" s="473" t="s">
        <v>40</v>
      </c>
      <c r="D3433" s="473" t="s">
        <v>41</v>
      </c>
      <c r="E3433" s="361">
        <v>7.85</v>
      </c>
    </row>
    <row r="3434" spans="1:5">
      <c r="A3434" s="473">
        <v>4197</v>
      </c>
      <c r="B3434" s="473" t="s">
        <v>13085</v>
      </c>
      <c r="C3434" s="473" t="s">
        <v>40</v>
      </c>
      <c r="D3434" s="473" t="s">
        <v>41</v>
      </c>
      <c r="E3434" s="361">
        <v>41.55</v>
      </c>
    </row>
    <row r="3435" spans="1:5">
      <c r="A3435" s="473">
        <v>4194</v>
      </c>
      <c r="B3435" s="473" t="s">
        <v>13086</v>
      </c>
      <c r="C3435" s="473" t="s">
        <v>40</v>
      </c>
      <c r="D3435" s="473" t="s">
        <v>41</v>
      </c>
      <c r="E3435" s="361">
        <v>25.11</v>
      </c>
    </row>
    <row r="3436" spans="1:5">
      <c r="A3436" s="473">
        <v>4193</v>
      </c>
      <c r="B3436" s="473" t="s">
        <v>13087</v>
      </c>
      <c r="C3436" s="473" t="s">
        <v>40</v>
      </c>
      <c r="D3436" s="473" t="s">
        <v>41</v>
      </c>
      <c r="E3436" s="361">
        <v>25.11</v>
      </c>
    </row>
    <row r="3437" spans="1:5">
      <c r="A3437" s="473">
        <v>4204</v>
      </c>
      <c r="B3437" s="473" t="s">
        <v>13088</v>
      </c>
      <c r="C3437" s="473" t="s">
        <v>40</v>
      </c>
      <c r="D3437" s="473" t="s">
        <v>41</v>
      </c>
      <c r="E3437" s="361">
        <v>25.11</v>
      </c>
    </row>
    <row r="3438" spans="1:5">
      <c r="A3438" s="473">
        <v>4187</v>
      </c>
      <c r="B3438" s="473" t="s">
        <v>13089</v>
      </c>
      <c r="C3438" s="473" t="s">
        <v>40</v>
      </c>
      <c r="D3438" s="473" t="s">
        <v>41</v>
      </c>
      <c r="E3438" s="361">
        <v>5</v>
      </c>
    </row>
    <row r="3439" spans="1:5">
      <c r="A3439" s="473">
        <v>4202</v>
      </c>
      <c r="B3439" s="473" t="s">
        <v>13090</v>
      </c>
      <c r="C3439" s="473" t="s">
        <v>40</v>
      </c>
      <c r="D3439" s="473" t="s">
        <v>41</v>
      </c>
      <c r="E3439" s="361">
        <v>75.89</v>
      </c>
    </row>
    <row r="3440" spans="1:5">
      <c r="A3440" s="473">
        <v>4203</v>
      </c>
      <c r="B3440" s="473" t="s">
        <v>13091</v>
      </c>
      <c r="C3440" s="473" t="s">
        <v>40</v>
      </c>
      <c r="D3440" s="473" t="s">
        <v>41</v>
      </c>
      <c r="E3440" s="361">
        <v>67.03</v>
      </c>
    </row>
    <row r="3441" spans="1:5">
      <c r="A3441" s="473">
        <v>40368</v>
      </c>
      <c r="B3441" s="473" t="s">
        <v>13092</v>
      </c>
      <c r="C3441" s="473" t="s">
        <v>40</v>
      </c>
      <c r="D3441" s="473" t="s">
        <v>47</v>
      </c>
      <c r="E3441" s="361">
        <v>26.94</v>
      </c>
    </row>
    <row r="3442" spans="1:5">
      <c r="A3442" s="473">
        <v>40365</v>
      </c>
      <c r="B3442" s="473" t="s">
        <v>13093</v>
      </c>
      <c r="C3442" s="473" t="s">
        <v>40</v>
      </c>
      <c r="D3442" s="473" t="s">
        <v>47</v>
      </c>
      <c r="E3442" s="361">
        <v>18.18</v>
      </c>
    </row>
    <row r="3443" spans="1:5">
      <c r="A3443" s="473">
        <v>40356</v>
      </c>
      <c r="B3443" s="473" t="s">
        <v>13094</v>
      </c>
      <c r="C3443" s="473" t="s">
        <v>40</v>
      </c>
      <c r="D3443" s="473" t="s">
        <v>47</v>
      </c>
      <c r="E3443" s="361">
        <v>6.21</v>
      </c>
    </row>
    <row r="3444" spans="1:5">
      <c r="A3444" s="473">
        <v>40362</v>
      </c>
      <c r="B3444" s="473" t="s">
        <v>13095</v>
      </c>
      <c r="C3444" s="473" t="s">
        <v>40</v>
      </c>
      <c r="D3444" s="473" t="s">
        <v>47</v>
      </c>
      <c r="E3444" s="361">
        <v>12.04</v>
      </c>
    </row>
    <row r="3445" spans="1:5">
      <c r="A3445" s="473">
        <v>40374</v>
      </c>
      <c r="B3445" s="473" t="s">
        <v>13096</v>
      </c>
      <c r="C3445" s="473" t="s">
        <v>40</v>
      </c>
      <c r="D3445" s="473" t="s">
        <v>47</v>
      </c>
      <c r="E3445" s="361">
        <v>70.430000000000007</v>
      </c>
    </row>
    <row r="3446" spans="1:5">
      <c r="A3446" s="473">
        <v>40371</v>
      </c>
      <c r="B3446" s="473" t="s">
        <v>13097</v>
      </c>
      <c r="C3446" s="473" t="s">
        <v>40</v>
      </c>
      <c r="D3446" s="473" t="s">
        <v>47</v>
      </c>
      <c r="E3446" s="361">
        <v>44.33</v>
      </c>
    </row>
    <row r="3447" spans="1:5">
      <c r="A3447" s="473">
        <v>40359</v>
      </c>
      <c r="B3447" s="473" t="s">
        <v>13098</v>
      </c>
      <c r="C3447" s="473" t="s">
        <v>40</v>
      </c>
      <c r="D3447" s="473" t="s">
        <v>47</v>
      </c>
      <c r="E3447" s="361">
        <v>8.02</v>
      </c>
    </row>
    <row r="3448" spans="1:5">
      <c r="A3448" s="473">
        <v>7595</v>
      </c>
      <c r="B3448" s="473" t="s">
        <v>13099</v>
      </c>
      <c r="C3448" s="473" t="s">
        <v>43</v>
      </c>
      <c r="D3448" s="473" t="s">
        <v>41</v>
      </c>
      <c r="E3448" s="361">
        <v>6.95</v>
      </c>
    </row>
    <row r="3449" spans="1:5">
      <c r="A3449" s="473">
        <v>41094</v>
      </c>
      <c r="B3449" s="473" t="s">
        <v>13100</v>
      </c>
      <c r="C3449" s="473" t="s">
        <v>53</v>
      </c>
      <c r="D3449" s="473" t="s">
        <v>41</v>
      </c>
      <c r="E3449" s="361">
        <v>1302.2</v>
      </c>
    </row>
    <row r="3450" spans="1:5">
      <c r="A3450" s="473">
        <v>38175</v>
      </c>
      <c r="B3450" s="473" t="s">
        <v>13101</v>
      </c>
      <c r="C3450" s="473" t="s">
        <v>40</v>
      </c>
      <c r="D3450" s="473" t="s">
        <v>41</v>
      </c>
      <c r="E3450" s="361">
        <v>2.39</v>
      </c>
    </row>
    <row r="3451" spans="1:5">
      <c r="A3451" s="473">
        <v>38176</v>
      </c>
      <c r="B3451" s="473" t="s">
        <v>13102</v>
      </c>
      <c r="C3451" s="473" t="s">
        <v>40</v>
      </c>
      <c r="D3451" s="473" t="s">
        <v>41</v>
      </c>
      <c r="E3451" s="361">
        <v>6.48</v>
      </c>
    </row>
    <row r="3452" spans="1:5">
      <c r="A3452" s="473">
        <v>36152</v>
      </c>
      <c r="B3452" s="473" t="s">
        <v>13103</v>
      </c>
      <c r="C3452" s="473" t="s">
        <v>40</v>
      </c>
      <c r="D3452" s="473" t="s">
        <v>41</v>
      </c>
      <c r="E3452" s="361">
        <v>4.3600000000000003</v>
      </c>
    </row>
    <row r="3453" spans="1:5">
      <c r="A3453" s="473">
        <v>11138</v>
      </c>
      <c r="B3453" s="473" t="s">
        <v>13104</v>
      </c>
      <c r="C3453" s="473" t="s">
        <v>50</v>
      </c>
      <c r="D3453" s="473" t="s">
        <v>41</v>
      </c>
      <c r="E3453" s="361">
        <v>2.37</v>
      </c>
    </row>
    <row r="3454" spans="1:5">
      <c r="A3454" s="473">
        <v>5333</v>
      </c>
      <c r="B3454" s="473" t="s">
        <v>13105</v>
      </c>
      <c r="C3454" s="473" t="s">
        <v>50</v>
      </c>
      <c r="D3454" s="473" t="s">
        <v>41</v>
      </c>
      <c r="E3454" s="361">
        <v>15.83</v>
      </c>
    </row>
    <row r="3455" spans="1:5">
      <c r="A3455" s="473">
        <v>4221</v>
      </c>
      <c r="B3455" s="473" t="s">
        <v>13106</v>
      </c>
      <c r="C3455" s="473" t="s">
        <v>50</v>
      </c>
      <c r="D3455" s="473" t="s">
        <v>44</v>
      </c>
      <c r="E3455" s="361">
        <v>3.68</v>
      </c>
    </row>
    <row r="3456" spans="1:5">
      <c r="A3456" s="473">
        <v>4227</v>
      </c>
      <c r="B3456" s="473" t="s">
        <v>13107</v>
      </c>
      <c r="C3456" s="473" t="s">
        <v>50</v>
      </c>
      <c r="D3456" s="473" t="s">
        <v>44</v>
      </c>
      <c r="E3456" s="361">
        <v>19.95</v>
      </c>
    </row>
    <row r="3457" spans="1:5">
      <c r="A3457" s="473">
        <v>38170</v>
      </c>
      <c r="B3457" s="473" t="s">
        <v>13108</v>
      </c>
      <c r="C3457" s="473" t="s">
        <v>40</v>
      </c>
      <c r="D3457" s="473" t="s">
        <v>41</v>
      </c>
      <c r="E3457" s="361">
        <v>10.91</v>
      </c>
    </row>
    <row r="3458" spans="1:5">
      <c r="A3458" s="473">
        <v>4252</v>
      </c>
      <c r="B3458" s="473" t="s">
        <v>13109</v>
      </c>
      <c r="C3458" s="473" t="s">
        <v>43</v>
      </c>
      <c r="D3458" s="473" t="s">
        <v>41</v>
      </c>
      <c r="E3458" s="361">
        <v>11.57</v>
      </c>
    </row>
    <row r="3459" spans="1:5">
      <c r="A3459" s="473">
        <v>40980</v>
      </c>
      <c r="B3459" s="473" t="s">
        <v>13110</v>
      </c>
      <c r="C3459" s="473" t="s">
        <v>53</v>
      </c>
      <c r="D3459" s="473" t="s">
        <v>41</v>
      </c>
      <c r="E3459" s="361">
        <v>2062.4</v>
      </c>
    </row>
    <row r="3460" spans="1:5">
      <c r="A3460" s="473">
        <v>4243</v>
      </c>
      <c r="B3460" s="473" t="s">
        <v>13111</v>
      </c>
      <c r="C3460" s="473" t="s">
        <v>43</v>
      </c>
      <c r="D3460" s="473" t="s">
        <v>41</v>
      </c>
      <c r="E3460" s="361">
        <v>10.039999999999999</v>
      </c>
    </row>
    <row r="3461" spans="1:5">
      <c r="A3461" s="473">
        <v>41031</v>
      </c>
      <c r="B3461" s="473" t="s">
        <v>13112</v>
      </c>
      <c r="C3461" s="473" t="s">
        <v>53</v>
      </c>
      <c r="D3461" s="473" t="s">
        <v>41</v>
      </c>
      <c r="E3461" s="361">
        <v>1790.42</v>
      </c>
    </row>
    <row r="3462" spans="1:5">
      <c r="A3462" s="473">
        <v>40986</v>
      </c>
      <c r="B3462" s="473" t="s">
        <v>13113</v>
      </c>
      <c r="C3462" s="473" t="s">
        <v>53</v>
      </c>
      <c r="D3462" s="473" t="s">
        <v>41</v>
      </c>
      <c r="E3462" s="361">
        <v>1727.83</v>
      </c>
    </row>
    <row r="3463" spans="1:5">
      <c r="A3463" s="473">
        <v>37666</v>
      </c>
      <c r="B3463" s="473" t="s">
        <v>13114</v>
      </c>
      <c r="C3463" s="473" t="s">
        <v>43</v>
      </c>
      <c r="D3463" s="473" t="s">
        <v>41</v>
      </c>
      <c r="E3463" s="361">
        <v>9.69</v>
      </c>
    </row>
    <row r="3464" spans="1:5">
      <c r="A3464" s="473">
        <v>4250</v>
      </c>
      <c r="B3464" s="473" t="s">
        <v>13115</v>
      </c>
      <c r="C3464" s="473" t="s">
        <v>43</v>
      </c>
      <c r="D3464" s="473" t="s">
        <v>41</v>
      </c>
      <c r="E3464" s="361">
        <v>10.29</v>
      </c>
    </row>
    <row r="3465" spans="1:5">
      <c r="A3465" s="473">
        <v>40978</v>
      </c>
      <c r="B3465" s="473" t="s">
        <v>13116</v>
      </c>
      <c r="C3465" s="473" t="s">
        <v>53</v>
      </c>
      <c r="D3465" s="473" t="s">
        <v>41</v>
      </c>
      <c r="E3465" s="361">
        <v>1836.87</v>
      </c>
    </row>
    <row r="3466" spans="1:5">
      <c r="A3466" s="473">
        <v>25960</v>
      </c>
      <c r="B3466" s="473" t="s">
        <v>13117</v>
      </c>
      <c r="C3466" s="473" t="s">
        <v>43</v>
      </c>
      <c r="D3466" s="473" t="s">
        <v>41</v>
      </c>
      <c r="E3466" s="361">
        <v>12.36</v>
      </c>
    </row>
    <row r="3467" spans="1:5">
      <c r="A3467" s="473">
        <v>41043</v>
      </c>
      <c r="B3467" s="473" t="s">
        <v>13118</v>
      </c>
      <c r="C3467" s="473" t="s">
        <v>53</v>
      </c>
      <c r="D3467" s="473" t="s">
        <v>41</v>
      </c>
      <c r="E3467" s="361">
        <v>2203.61</v>
      </c>
    </row>
    <row r="3468" spans="1:5">
      <c r="A3468" s="473">
        <v>4234</v>
      </c>
      <c r="B3468" s="473" t="s">
        <v>13119</v>
      </c>
      <c r="C3468" s="473" t="s">
        <v>43</v>
      </c>
      <c r="D3468" s="473" t="s">
        <v>44</v>
      </c>
      <c r="E3468" s="361">
        <v>13.54</v>
      </c>
    </row>
    <row r="3469" spans="1:5">
      <c r="A3469" s="473">
        <v>40987</v>
      </c>
      <c r="B3469" s="473" t="s">
        <v>13120</v>
      </c>
      <c r="C3469" s="473" t="s">
        <v>53</v>
      </c>
      <c r="D3469" s="473" t="s">
        <v>41</v>
      </c>
      <c r="E3469" s="361">
        <v>2413.96</v>
      </c>
    </row>
    <row r="3470" spans="1:5">
      <c r="A3470" s="473">
        <v>4253</v>
      </c>
      <c r="B3470" s="473" t="s">
        <v>13121</v>
      </c>
      <c r="C3470" s="473" t="s">
        <v>43</v>
      </c>
      <c r="D3470" s="473" t="s">
        <v>41</v>
      </c>
      <c r="E3470" s="361">
        <v>10.28</v>
      </c>
    </row>
    <row r="3471" spans="1:5">
      <c r="A3471" s="473">
        <v>40981</v>
      </c>
      <c r="B3471" s="473" t="s">
        <v>13122</v>
      </c>
      <c r="C3471" s="473" t="s">
        <v>53</v>
      </c>
      <c r="D3471" s="473" t="s">
        <v>41</v>
      </c>
      <c r="E3471" s="361">
        <v>1832.19</v>
      </c>
    </row>
    <row r="3472" spans="1:5">
      <c r="A3472" s="473">
        <v>4254</v>
      </c>
      <c r="B3472" s="473" t="s">
        <v>13123</v>
      </c>
      <c r="C3472" s="473" t="s">
        <v>43</v>
      </c>
      <c r="D3472" s="473" t="s">
        <v>41</v>
      </c>
      <c r="E3472" s="361">
        <v>10.28</v>
      </c>
    </row>
    <row r="3473" spans="1:5">
      <c r="A3473" s="473">
        <v>41036</v>
      </c>
      <c r="B3473" s="473" t="s">
        <v>13124</v>
      </c>
      <c r="C3473" s="473" t="s">
        <v>53</v>
      </c>
      <c r="D3473" s="473" t="s">
        <v>41</v>
      </c>
      <c r="E3473" s="361">
        <v>1832.19</v>
      </c>
    </row>
    <row r="3474" spans="1:5">
      <c r="A3474" s="473">
        <v>4251</v>
      </c>
      <c r="B3474" s="473" t="s">
        <v>13125</v>
      </c>
      <c r="C3474" s="473" t="s">
        <v>43</v>
      </c>
      <c r="D3474" s="473" t="s">
        <v>41</v>
      </c>
      <c r="E3474" s="361">
        <v>14.65</v>
      </c>
    </row>
    <row r="3475" spans="1:5">
      <c r="A3475" s="473">
        <v>40979</v>
      </c>
      <c r="B3475" s="473" t="s">
        <v>13126</v>
      </c>
      <c r="C3475" s="473" t="s">
        <v>53</v>
      </c>
      <c r="D3475" s="473" t="s">
        <v>41</v>
      </c>
      <c r="E3475" s="361">
        <v>2614.19</v>
      </c>
    </row>
    <row r="3476" spans="1:5">
      <c r="A3476" s="473">
        <v>4230</v>
      </c>
      <c r="B3476" s="473" t="s">
        <v>13127</v>
      </c>
      <c r="C3476" s="473" t="s">
        <v>43</v>
      </c>
      <c r="D3476" s="473" t="s">
        <v>41</v>
      </c>
      <c r="E3476" s="361">
        <v>10.29</v>
      </c>
    </row>
    <row r="3477" spans="1:5">
      <c r="A3477" s="473">
        <v>40998</v>
      </c>
      <c r="B3477" s="473" t="s">
        <v>13128</v>
      </c>
      <c r="C3477" s="473" t="s">
        <v>53</v>
      </c>
      <c r="D3477" s="473" t="s">
        <v>41</v>
      </c>
      <c r="E3477" s="361">
        <v>1835.81</v>
      </c>
    </row>
    <row r="3478" spans="1:5">
      <c r="A3478" s="473">
        <v>4257</v>
      </c>
      <c r="B3478" s="473" t="s">
        <v>13129</v>
      </c>
      <c r="C3478" s="473" t="s">
        <v>43</v>
      </c>
      <c r="D3478" s="473" t="s">
        <v>41</v>
      </c>
      <c r="E3478" s="361">
        <v>10.57</v>
      </c>
    </row>
    <row r="3479" spans="1:5">
      <c r="A3479" s="473">
        <v>40982</v>
      </c>
      <c r="B3479" s="473" t="s">
        <v>13130</v>
      </c>
      <c r="C3479" s="473" t="s">
        <v>53</v>
      </c>
      <c r="D3479" s="473" t="s">
        <v>41</v>
      </c>
      <c r="E3479" s="361">
        <v>1885.86</v>
      </c>
    </row>
    <row r="3480" spans="1:5">
      <c r="A3480" s="473">
        <v>4240</v>
      </c>
      <c r="B3480" s="473" t="s">
        <v>13131</v>
      </c>
      <c r="C3480" s="473" t="s">
        <v>43</v>
      </c>
      <c r="D3480" s="473" t="s">
        <v>41</v>
      </c>
      <c r="E3480" s="361">
        <v>12.56</v>
      </c>
    </row>
    <row r="3481" spans="1:5">
      <c r="A3481" s="473">
        <v>41026</v>
      </c>
      <c r="B3481" s="473" t="s">
        <v>13132</v>
      </c>
      <c r="C3481" s="473" t="s">
        <v>53</v>
      </c>
      <c r="D3481" s="473" t="s">
        <v>41</v>
      </c>
      <c r="E3481" s="361">
        <v>2241.16</v>
      </c>
    </row>
    <row r="3482" spans="1:5">
      <c r="A3482" s="473">
        <v>4239</v>
      </c>
      <c r="B3482" s="473" t="s">
        <v>13133</v>
      </c>
      <c r="C3482" s="473" t="s">
        <v>43</v>
      </c>
      <c r="D3482" s="473" t="s">
        <v>41</v>
      </c>
      <c r="E3482" s="361">
        <v>15.43</v>
      </c>
    </row>
    <row r="3483" spans="1:5">
      <c r="A3483" s="473">
        <v>41024</v>
      </c>
      <c r="B3483" s="473" t="s">
        <v>13134</v>
      </c>
      <c r="C3483" s="473" t="s">
        <v>53</v>
      </c>
      <c r="D3483" s="473" t="s">
        <v>41</v>
      </c>
      <c r="E3483" s="361">
        <v>2749.5</v>
      </c>
    </row>
    <row r="3484" spans="1:5">
      <c r="A3484" s="473">
        <v>4248</v>
      </c>
      <c r="B3484" s="473" t="s">
        <v>13135</v>
      </c>
      <c r="C3484" s="473" t="s">
        <v>43</v>
      </c>
      <c r="D3484" s="473" t="s">
        <v>41</v>
      </c>
      <c r="E3484" s="361">
        <v>11.75</v>
      </c>
    </row>
    <row r="3485" spans="1:5">
      <c r="A3485" s="473">
        <v>41033</v>
      </c>
      <c r="B3485" s="473" t="s">
        <v>13136</v>
      </c>
      <c r="C3485" s="473" t="s">
        <v>53</v>
      </c>
      <c r="D3485" s="473" t="s">
        <v>41</v>
      </c>
      <c r="E3485" s="361">
        <v>2096.0100000000002</v>
      </c>
    </row>
    <row r="3486" spans="1:5">
      <c r="A3486" s="473">
        <v>25959</v>
      </c>
      <c r="B3486" s="473" t="s">
        <v>13137</v>
      </c>
      <c r="C3486" s="473" t="s">
        <v>43</v>
      </c>
      <c r="D3486" s="473" t="s">
        <v>41</v>
      </c>
      <c r="E3486" s="361">
        <v>12.97</v>
      </c>
    </row>
    <row r="3487" spans="1:5">
      <c r="A3487" s="473">
        <v>41040</v>
      </c>
      <c r="B3487" s="473" t="s">
        <v>13138</v>
      </c>
      <c r="C3487" s="473" t="s">
        <v>53</v>
      </c>
      <c r="D3487" s="473" t="s">
        <v>41</v>
      </c>
      <c r="E3487" s="361">
        <v>2313.79</v>
      </c>
    </row>
    <row r="3488" spans="1:5">
      <c r="A3488" s="473">
        <v>4238</v>
      </c>
      <c r="B3488" s="473" t="s">
        <v>13139</v>
      </c>
      <c r="C3488" s="473" t="s">
        <v>43</v>
      </c>
      <c r="D3488" s="473" t="s">
        <v>41</v>
      </c>
      <c r="E3488" s="361">
        <v>10.35</v>
      </c>
    </row>
    <row r="3489" spans="1:5">
      <c r="A3489" s="473">
        <v>41012</v>
      </c>
      <c r="B3489" s="473" t="s">
        <v>13140</v>
      </c>
      <c r="C3489" s="473" t="s">
        <v>53</v>
      </c>
      <c r="D3489" s="473" t="s">
        <v>41</v>
      </c>
      <c r="E3489" s="361">
        <v>1848.12</v>
      </c>
    </row>
    <row r="3490" spans="1:5">
      <c r="A3490" s="473">
        <v>4237</v>
      </c>
      <c r="B3490" s="473" t="s">
        <v>13141</v>
      </c>
      <c r="C3490" s="473" t="s">
        <v>43</v>
      </c>
      <c r="D3490" s="473" t="s">
        <v>41</v>
      </c>
      <c r="E3490" s="361">
        <v>10.28</v>
      </c>
    </row>
    <row r="3491" spans="1:5">
      <c r="A3491" s="473">
        <v>41002</v>
      </c>
      <c r="B3491" s="473" t="s">
        <v>13142</v>
      </c>
      <c r="C3491" s="473" t="s">
        <v>53</v>
      </c>
      <c r="D3491" s="473" t="s">
        <v>41</v>
      </c>
      <c r="E3491" s="361">
        <v>1832.19</v>
      </c>
    </row>
    <row r="3492" spans="1:5">
      <c r="A3492" s="473">
        <v>4233</v>
      </c>
      <c r="B3492" s="473" t="s">
        <v>13143</v>
      </c>
      <c r="C3492" s="473" t="s">
        <v>43</v>
      </c>
      <c r="D3492" s="473" t="s">
        <v>41</v>
      </c>
      <c r="E3492" s="361">
        <v>11.14</v>
      </c>
    </row>
    <row r="3493" spans="1:5">
      <c r="A3493" s="473">
        <v>41001</v>
      </c>
      <c r="B3493" s="473" t="s">
        <v>13144</v>
      </c>
      <c r="C3493" s="473" t="s">
        <v>53</v>
      </c>
      <c r="D3493" s="473" t="s">
        <v>41</v>
      </c>
      <c r="E3493" s="361">
        <v>1987</v>
      </c>
    </row>
    <row r="3494" spans="1:5">
      <c r="A3494" s="473">
        <v>2</v>
      </c>
      <c r="B3494" s="473" t="s">
        <v>13145</v>
      </c>
      <c r="C3494" s="473" t="s">
        <v>45</v>
      </c>
      <c r="D3494" s="473" t="s">
        <v>41</v>
      </c>
      <c r="E3494" s="361">
        <v>8.76</v>
      </c>
    </row>
    <row r="3495" spans="1:5">
      <c r="A3495" s="473">
        <v>36517</v>
      </c>
      <c r="B3495" s="473" t="s">
        <v>13146</v>
      </c>
      <c r="C3495" s="473" t="s">
        <v>40</v>
      </c>
      <c r="D3495" s="473" t="s">
        <v>47</v>
      </c>
      <c r="E3495" s="361">
        <v>325565.65999999997</v>
      </c>
    </row>
    <row r="3496" spans="1:5">
      <c r="A3496" s="473">
        <v>4262</v>
      </c>
      <c r="B3496" s="473" t="s">
        <v>13147</v>
      </c>
      <c r="C3496" s="473" t="s">
        <v>40</v>
      </c>
      <c r="D3496" s="473" t="s">
        <v>47</v>
      </c>
      <c r="E3496" s="361">
        <v>366628</v>
      </c>
    </row>
    <row r="3497" spans="1:5">
      <c r="A3497" s="473">
        <v>4263</v>
      </c>
      <c r="B3497" s="473" t="s">
        <v>13148</v>
      </c>
      <c r="C3497" s="473" t="s">
        <v>40</v>
      </c>
      <c r="D3497" s="473" t="s">
        <v>47</v>
      </c>
      <c r="E3497" s="361">
        <v>508390.8</v>
      </c>
    </row>
    <row r="3498" spans="1:5">
      <c r="A3498" s="473">
        <v>36518</v>
      </c>
      <c r="B3498" s="473" t="s">
        <v>13149</v>
      </c>
      <c r="C3498" s="473" t="s">
        <v>40</v>
      </c>
      <c r="D3498" s="473" t="s">
        <v>47</v>
      </c>
      <c r="E3498" s="361">
        <v>578783.37</v>
      </c>
    </row>
    <row r="3499" spans="1:5">
      <c r="A3499" s="473">
        <v>14221</v>
      </c>
      <c r="B3499" s="473" t="s">
        <v>13150</v>
      </c>
      <c r="C3499" s="473" t="s">
        <v>40</v>
      </c>
      <c r="D3499" s="473" t="s">
        <v>47</v>
      </c>
      <c r="E3499" s="361">
        <v>337786.58</v>
      </c>
    </row>
    <row r="3500" spans="1:5">
      <c r="A3500" s="473">
        <v>38402</v>
      </c>
      <c r="B3500" s="473" t="s">
        <v>13151</v>
      </c>
      <c r="C3500" s="473" t="s">
        <v>40</v>
      </c>
      <c r="D3500" s="473" t="s">
        <v>41</v>
      </c>
      <c r="E3500" s="361">
        <v>9.1300000000000008</v>
      </c>
    </row>
    <row r="3501" spans="1:5">
      <c r="A3501" s="473">
        <v>3412</v>
      </c>
      <c r="B3501" s="473" t="s">
        <v>13152</v>
      </c>
      <c r="C3501" s="473" t="s">
        <v>46</v>
      </c>
      <c r="D3501" s="473" t="s">
        <v>47</v>
      </c>
      <c r="E3501" s="361">
        <v>16.07</v>
      </c>
    </row>
    <row r="3502" spans="1:5">
      <c r="A3502" s="473">
        <v>3413</v>
      </c>
      <c r="B3502" s="473" t="s">
        <v>13153</v>
      </c>
      <c r="C3502" s="473" t="s">
        <v>46</v>
      </c>
      <c r="D3502" s="473" t="s">
        <v>47</v>
      </c>
      <c r="E3502" s="361">
        <v>36.19</v>
      </c>
    </row>
    <row r="3503" spans="1:5">
      <c r="A3503" s="473">
        <v>39744</v>
      </c>
      <c r="B3503" s="473" t="s">
        <v>13154</v>
      </c>
      <c r="C3503" s="473" t="s">
        <v>46</v>
      </c>
      <c r="D3503" s="473" t="s">
        <v>47</v>
      </c>
      <c r="E3503" s="361">
        <v>28.1</v>
      </c>
    </row>
    <row r="3504" spans="1:5">
      <c r="A3504" s="473">
        <v>39745</v>
      </c>
      <c r="B3504" s="473" t="s">
        <v>13155</v>
      </c>
      <c r="C3504" s="473" t="s">
        <v>46</v>
      </c>
      <c r="D3504" s="473" t="s">
        <v>47</v>
      </c>
      <c r="E3504" s="361">
        <v>59.3</v>
      </c>
    </row>
    <row r="3505" spans="1:5">
      <c r="A3505" s="473">
        <v>39637</v>
      </c>
      <c r="B3505" s="473" t="s">
        <v>13156</v>
      </c>
      <c r="C3505" s="473" t="s">
        <v>46</v>
      </c>
      <c r="D3505" s="473" t="s">
        <v>41</v>
      </c>
      <c r="E3505" s="361">
        <v>65.599999999999994</v>
      </c>
    </row>
    <row r="3506" spans="1:5">
      <c r="A3506" s="473">
        <v>39638</v>
      </c>
      <c r="B3506" s="473" t="s">
        <v>13157</v>
      </c>
      <c r="C3506" s="473" t="s">
        <v>46</v>
      </c>
      <c r="D3506" s="473" t="s">
        <v>41</v>
      </c>
      <c r="E3506" s="361">
        <v>122.17</v>
      </c>
    </row>
    <row r="3507" spans="1:5">
      <c r="A3507" s="473">
        <v>39639</v>
      </c>
      <c r="B3507" s="473" t="s">
        <v>13158</v>
      </c>
      <c r="C3507" s="473" t="s">
        <v>46</v>
      </c>
      <c r="D3507" s="473" t="s">
        <v>41</v>
      </c>
      <c r="E3507" s="361">
        <v>161.06</v>
      </c>
    </row>
    <row r="3508" spans="1:5">
      <c r="A3508" s="473">
        <v>39517</v>
      </c>
      <c r="B3508" s="473" t="s">
        <v>13159</v>
      </c>
      <c r="C3508" s="473" t="s">
        <v>46</v>
      </c>
      <c r="D3508" s="473" t="s">
        <v>47</v>
      </c>
      <c r="E3508" s="361">
        <v>144.38</v>
      </c>
    </row>
    <row r="3509" spans="1:5">
      <c r="A3509" s="473">
        <v>39518</v>
      </c>
      <c r="B3509" s="473" t="s">
        <v>13160</v>
      </c>
      <c r="C3509" s="473" t="s">
        <v>46</v>
      </c>
      <c r="D3509" s="473" t="s">
        <v>47</v>
      </c>
      <c r="E3509" s="361">
        <v>170.77</v>
      </c>
    </row>
    <row r="3510" spans="1:5">
      <c r="A3510" s="473">
        <v>38366</v>
      </c>
      <c r="B3510" s="473" t="s">
        <v>13161</v>
      </c>
      <c r="C3510" s="473" t="s">
        <v>46</v>
      </c>
      <c r="D3510" s="473" t="s">
        <v>41</v>
      </c>
      <c r="E3510" s="361">
        <v>3.76</v>
      </c>
    </row>
    <row r="3511" spans="1:5">
      <c r="A3511" s="473">
        <v>11703</v>
      </c>
      <c r="B3511" s="473" t="s">
        <v>13162</v>
      </c>
      <c r="C3511" s="473" t="s">
        <v>40</v>
      </c>
      <c r="D3511" s="473" t="s">
        <v>41</v>
      </c>
      <c r="E3511" s="361">
        <v>24.48</v>
      </c>
    </row>
    <row r="3512" spans="1:5">
      <c r="A3512" s="473">
        <v>37400</v>
      </c>
      <c r="B3512" s="473" t="s">
        <v>13163</v>
      </c>
      <c r="C3512" s="473" t="s">
        <v>40</v>
      </c>
      <c r="D3512" s="473" t="s">
        <v>47</v>
      </c>
      <c r="E3512" s="361">
        <v>47.26</v>
      </c>
    </row>
    <row r="3513" spans="1:5">
      <c r="A3513" s="473">
        <v>25400</v>
      </c>
      <c r="B3513" s="473" t="s">
        <v>13164</v>
      </c>
      <c r="C3513" s="473" t="s">
        <v>40</v>
      </c>
      <c r="D3513" s="473" t="s">
        <v>41</v>
      </c>
      <c r="E3513" s="361">
        <v>1669.62</v>
      </c>
    </row>
    <row r="3514" spans="1:5">
      <c r="A3514" s="473">
        <v>4272</v>
      </c>
      <c r="B3514" s="473" t="s">
        <v>13165</v>
      </c>
      <c r="C3514" s="473" t="s">
        <v>40</v>
      </c>
      <c r="D3514" s="473" t="s">
        <v>41</v>
      </c>
      <c r="E3514" s="361">
        <v>81.790000000000006</v>
      </c>
    </row>
    <row r="3515" spans="1:5">
      <c r="A3515" s="473">
        <v>4276</v>
      </c>
      <c r="B3515" s="473" t="s">
        <v>13166</v>
      </c>
      <c r="C3515" s="473" t="s">
        <v>40</v>
      </c>
      <c r="D3515" s="473" t="s">
        <v>41</v>
      </c>
      <c r="E3515" s="361">
        <v>241.4</v>
      </c>
    </row>
    <row r="3516" spans="1:5">
      <c r="A3516" s="473">
        <v>4273</v>
      </c>
      <c r="B3516" s="473" t="s">
        <v>13167</v>
      </c>
      <c r="C3516" s="473" t="s">
        <v>40</v>
      </c>
      <c r="D3516" s="473" t="s">
        <v>41</v>
      </c>
      <c r="E3516" s="361">
        <v>401.02</v>
      </c>
    </row>
    <row r="3517" spans="1:5">
      <c r="A3517" s="473">
        <v>4274</v>
      </c>
      <c r="B3517" s="473" t="s">
        <v>13168</v>
      </c>
      <c r="C3517" s="473" t="s">
        <v>40</v>
      </c>
      <c r="D3517" s="473" t="s">
        <v>44</v>
      </c>
      <c r="E3517" s="361">
        <v>92.99</v>
      </c>
    </row>
    <row r="3518" spans="1:5">
      <c r="A3518" s="473">
        <v>39438</v>
      </c>
      <c r="B3518" s="473" t="s">
        <v>13169</v>
      </c>
      <c r="C3518" s="473" t="s">
        <v>40</v>
      </c>
      <c r="D3518" s="473" t="s">
        <v>41</v>
      </c>
      <c r="E3518" s="361">
        <v>0.19</v>
      </c>
    </row>
    <row r="3519" spans="1:5">
      <c r="A3519" s="473">
        <v>11963</v>
      </c>
      <c r="B3519" s="473" t="s">
        <v>13170</v>
      </c>
      <c r="C3519" s="473" t="s">
        <v>40</v>
      </c>
      <c r="D3519" s="473" t="s">
        <v>41</v>
      </c>
      <c r="E3519" s="361">
        <v>6.86</v>
      </c>
    </row>
    <row r="3520" spans="1:5">
      <c r="A3520" s="473">
        <v>11964</v>
      </c>
      <c r="B3520" s="473" t="s">
        <v>13171</v>
      </c>
      <c r="C3520" s="473" t="s">
        <v>40</v>
      </c>
      <c r="D3520" s="473" t="s">
        <v>41</v>
      </c>
      <c r="E3520" s="361">
        <v>1.73</v>
      </c>
    </row>
    <row r="3521" spans="1:5">
      <c r="A3521" s="473">
        <v>4379</v>
      </c>
      <c r="B3521" s="473" t="s">
        <v>13172</v>
      </c>
      <c r="C3521" s="473" t="s">
        <v>40</v>
      </c>
      <c r="D3521" s="473" t="s">
        <v>41</v>
      </c>
      <c r="E3521" s="361">
        <v>0.03</v>
      </c>
    </row>
    <row r="3522" spans="1:5">
      <c r="A3522" s="473">
        <v>4377</v>
      </c>
      <c r="B3522" s="473" t="s">
        <v>13173</v>
      </c>
      <c r="C3522" s="473" t="s">
        <v>40</v>
      </c>
      <c r="D3522" s="473" t="s">
        <v>41</v>
      </c>
      <c r="E3522" s="361">
        <v>0.13</v>
      </c>
    </row>
    <row r="3523" spans="1:5">
      <c r="A3523" s="473">
        <v>4356</v>
      </c>
      <c r="B3523" s="473" t="s">
        <v>13174</v>
      </c>
      <c r="C3523" s="473" t="s">
        <v>40</v>
      </c>
      <c r="D3523" s="473" t="s">
        <v>41</v>
      </c>
      <c r="E3523" s="361">
        <v>0.19</v>
      </c>
    </row>
    <row r="3524" spans="1:5">
      <c r="A3524" s="473">
        <v>13246</v>
      </c>
      <c r="B3524" s="473" t="s">
        <v>13175</v>
      </c>
      <c r="C3524" s="473" t="s">
        <v>40</v>
      </c>
      <c r="D3524" s="473" t="s">
        <v>41</v>
      </c>
      <c r="E3524" s="361">
        <v>0.32</v>
      </c>
    </row>
    <row r="3525" spans="1:5">
      <c r="A3525" s="473">
        <v>4346</v>
      </c>
      <c r="B3525" s="473" t="s">
        <v>13176</v>
      </c>
      <c r="C3525" s="473" t="s">
        <v>40</v>
      </c>
      <c r="D3525" s="473" t="s">
        <v>41</v>
      </c>
      <c r="E3525" s="361">
        <v>7.35</v>
      </c>
    </row>
    <row r="3526" spans="1:5">
      <c r="A3526" s="473">
        <v>11955</v>
      </c>
      <c r="B3526" s="473" t="s">
        <v>13177</v>
      </c>
      <c r="C3526" s="473" t="s">
        <v>40</v>
      </c>
      <c r="D3526" s="473" t="s">
        <v>41</v>
      </c>
      <c r="E3526" s="361">
        <v>3.22</v>
      </c>
    </row>
    <row r="3527" spans="1:5">
      <c r="A3527" s="473">
        <v>11960</v>
      </c>
      <c r="B3527" s="473" t="s">
        <v>13178</v>
      </c>
      <c r="C3527" s="473" t="s">
        <v>40</v>
      </c>
      <c r="D3527" s="473" t="s">
        <v>41</v>
      </c>
      <c r="E3527" s="361">
        <v>0.1</v>
      </c>
    </row>
    <row r="3528" spans="1:5">
      <c r="A3528" s="473">
        <v>4333</v>
      </c>
      <c r="B3528" s="473" t="s">
        <v>13179</v>
      </c>
      <c r="C3528" s="473" t="s">
        <v>40</v>
      </c>
      <c r="D3528" s="473" t="s">
        <v>41</v>
      </c>
      <c r="E3528" s="361">
        <v>0.19</v>
      </c>
    </row>
    <row r="3529" spans="1:5">
      <c r="A3529" s="473">
        <v>4358</v>
      </c>
      <c r="B3529" s="473" t="s">
        <v>13180</v>
      </c>
      <c r="C3529" s="473" t="s">
        <v>40</v>
      </c>
      <c r="D3529" s="473" t="s">
        <v>41</v>
      </c>
      <c r="E3529" s="361">
        <v>1.47</v>
      </c>
    </row>
    <row r="3530" spans="1:5">
      <c r="A3530" s="473">
        <v>39435</v>
      </c>
      <c r="B3530" s="473" t="s">
        <v>13181</v>
      </c>
      <c r="C3530" s="473" t="s">
        <v>40</v>
      </c>
      <c r="D3530" s="473" t="s">
        <v>41</v>
      </c>
      <c r="E3530" s="361">
        <v>7.0000000000000007E-2</v>
      </c>
    </row>
    <row r="3531" spans="1:5">
      <c r="A3531" s="473">
        <v>39436</v>
      </c>
      <c r="B3531" s="473" t="s">
        <v>13182</v>
      </c>
      <c r="C3531" s="473" t="s">
        <v>40</v>
      </c>
      <c r="D3531" s="473" t="s">
        <v>41</v>
      </c>
      <c r="E3531" s="361">
        <v>0.12</v>
      </c>
    </row>
    <row r="3532" spans="1:5">
      <c r="A3532" s="473">
        <v>39437</v>
      </c>
      <c r="B3532" s="473" t="s">
        <v>13183</v>
      </c>
      <c r="C3532" s="473" t="s">
        <v>40</v>
      </c>
      <c r="D3532" s="473" t="s">
        <v>41</v>
      </c>
      <c r="E3532" s="361">
        <v>0.16</v>
      </c>
    </row>
    <row r="3533" spans="1:5">
      <c r="A3533" s="473">
        <v>39439</v>
      </c>
      <c r="B3533" s="473" t="s">
        <v>13184</v>
      </c>
      <c r="C3533" s="473" t="s">
        <v>40</v>
      </c>
      <c r="D3533" s="473" t="s">
        <v>41</v>
      </c>
      <c r="E3533" s="361">
        <v>0.11</v>
      </c>
    </row>
    <row r="3534" spans="1:5">
      <c r="A3534" s="473">
        <v>39440</v>
      </c>
      <c r="B3534" s="473" t="s">
        <v>13185</v>
      </c>
      <c r="C3534" s="473" t="s">
        <v>40</v>
      </c>
      <c r="D3534" s="473" t="s">
        <v>41</v>
      </c>
      <c r="E3534" s="361">
        <v>0.14000000000000001</v>
      </c>
    </row>
    <row r="3535" spans="1:5">
      <c r="A3535" s="473">
        <v>39441</v>
      </c>
      <c r="B3535" s="473" t="s">
        <v>13186</v>
      </c>
      <c r="C3535" s="473" t="s">
        <v>40</v>
      </c>
      <c r="D3535" s="473" t="s">
        <v>41</v>
      </c>
      <c r="E3535" s="361">
        <v>0.18</v>
      </c>
    </row>
    <row r="3536" spans="1:5">
      <c r="A3536" s="473">
        <v>39442</v>
      </c>
      <c r="B3536" s="473" t="s">
        <v>13187</v>
      </c>
      <c r="C3536" s="473" t="s">
        <v>40</v>
      </c>
      <c r="D3536" s="473" t="s">
        <v>41</v>
      </c>
      <c r="E3536" s="361">
        <v>0.13</v>
      </c>
    </row>
    <row r="3537" spans="1:5">
      <c r="A3537" s="473">
        <v>39443</v>
      </c>
      <c r="B3537" s="473" t="s">
        <v>13188</v>
      </c>
      <c r="C3537" s="473" t="s">
        <v>40</v>
      </c>
      <c r="D3537" s="473" t="s">
        <v>41</v>
      </c>
      <c r="E3537" s="361">
        <v>0.17</v>
      </c>
    </row>
    <row r="3538" spans="1:5">
      <c r="A3538" s="473">
        <v>4329</v>
      </c>
      <c r="B3538" s="473" t="s">
        <v>13189</v>
      </c>
      <c r="C3538" s="473" t="s">
        <v>40</v>
      </c>
      <c r="D3538" s="473" t="s">
        <v>44</v>
      </c>
      <c r="E3538" s="361">
        <v>1.57</v>
      </c>
    </row>
    <row r="3539" spans="1:5">
      <c r="A3539" s="473">
        <v>4383</v>
      </c>
      <c r="B3539" s="473" t="s">
        <v>13190</v>
      </c>
      <c r="C3539" s="473" t="s">
        <v>40</v>
      </c>
      <c r="D3539" s="473" t="s">
        <v>41</v>
      </c>
      <c r="E3539" s="361">
        <v>14.19</v>
      </c>
    </row>
    <row r="3540" spans="1:5">
      <c r="A3540" s="473">
        <v>4344</v>
      </c>
      <c r="B3540" s="473" t="s">
        <v>13191</v>
      </c>
      <c r="C3540" s="473" t="s">
        <v>40</v>
      </c>
      <c r="D3540" s="473" t="s">
        <v>41</v>
      </c>
      <c r="E3540" s="361">
        <v>14.88</v>
      </c>
    </row>
    <row r="3541" spans="1:5">
      <c r="A3541" s="473">
        <v>436</v>
      </c>
      <c r="B3541" s="473" t="s">
        <v>13192</v>
      </c>
      <c r="C3541" s="473" t="s">
        <v>40</v>
      </c>
      <c r="D3541" s="473" t="s">
        <v>47</v>
      </c>
      <c r="E3541" s="361">
        <v>6.16</v>
      </c>
    </row>
    <row r="3542" spans="1:5">
      <c r="A3542" s="473">
        <v>442</v>
      </c>
      <c r="B3542" s="473" t="s">
        <v>13193</v>
      </c>
      <c r="C3542" s="473" t="s">
        <v>40</v>
      </c>
      <c r="D3542" s="473" t="s">
        <v>47</v>
      </c>
      <c r="E3542" s="361">
        <v>3.64</v>
      </c>
    </row>
    <row r="3543" spans="1:5">
      <c r="A3543" s="473">
        <v>11953</v>
      </c>
      <c r="B3543" s="473" t="s">
        <v>13194</v>
      </c>
      <c r="C3543" s="473" t="s">
        <v>40</v>
      </c>
      <c r="D3543" s="473" t="s">
        <v>41</v>
      </c>
      <c r="E3543" s="361">
        <v>2.36</v>
      </c>
    </row>
    <row r="3544" spans="1:5">
      <c r="A3544" s="473">
        <v>4335</v>
      </c>
      <c r="B3544" s="473" t="s">
        <v>13195</v>
      </c>
      <c r="C3544" s="473" t="s">
        <v>40</v>
      </c>
      <c r="D3544" s="473" t="s">
        <v>41</v>
      </c>
      <c r="E3544" s="361">
        <v>9.99</v>
      </c>
    </row>
    <row r="3545" spans="1:5">
      <c r="A3545" s="473">
        <v>4334</v>
      </c>
      <c r="B3545" s="473" t="s">
        <v>13196</v>
      </c>
      <c r="C3545" s="473" t="s">
        <v>40</v>
      </c>
      <c r="D3545" s="473" t="s">
        <v>41</v>
      </c>
      <c r="E3545" s="361">
        <v>13.7</v>
      </c>
    </row>
    <row r="3546" spans="1:5">
      <c r="A3546" s="473">
        <v>4343</v>
      </c>
      <c r="B3546" s="473" t="s">
        <v>13197</v>
      </c>
      <c r="C3546" s="473" t="s">
        <v>40</v>
      </c>
      <c r="D3546" s="473" t="s">
        <v>41</v>
      </c>
      <c r="E3546" s="361">
        <v>3.37</v>
      </c>
    </row>
    <row r="3547" spans="1:5">
      <c r="A3547" s="473">
        <v>430</v>
      </c>
      <c r="B3547" s="473" t="s">
        <v>13198</v>
      </c>
      <c r="C3547" s="473" t="s">
        <v>40</v>
      </c>
      <c r="D3547" s="473" t="s">
        <v>47</v>
      </c>
      <c r="E3547" s="361">
        <v>5.51</v>
      </c>
    </row>
    <row r="3548" spans="1:5">
      <c r="A3548" s="473">
        <v>441</v>
      </c>
      <c r="B3548" s="473" t="s">
        <v>13199</v>
      </c>
      <c r="C3548" s="473" t="s">
        <v>40</v>
      </c>
      <c r="D3548" s="473" t="s">
        <v>47</v>
      </c>
      <c r="E3548" s="361">
        <v>6.07</v>
      </c>
    </row>
    <row r="3549" spans="1:5">
      <c r="A3549" s="473">
        <v>431</v>
      </c>
      <c r="B3549" s="473" t="s">
        <v>13200</v>
      </c>
      <c r="C3549" s="473" t="s">
        <v>40</v>
      </c>
      <c r="D3549" s="473" t="s">
        <v>47</v>
      </c>
      <c r="E3549" s="361">
        <v>7.33</v>
      </c>
    </row>
    <row r="3550" spans="1:5">
      <c r="A3550" s="473">
        <v>432</v>
      </c>
      <c r="B3550" s="473" t="s">
        <v>13201</v>
      </c>
      <c r="C3550" s="473" t="s">
        <v>40</v>
      </c>
      <c r="D3550" s="473" t="s">
        <v>47</v>
      </c>
      <c r="E3550" s="361">
        <v>8.08</v>
      </c>
    </row>
    <row r="3551" spans="1:5">
      <c r="A3551" s="473">
        <v>429</v>
      </c>
      <c r="B3551" s="473" t="s">
        <v>13202</v>
      </c>
      <c r="C3551" s="473" t="s">
        <v>40</v>
      </c>
      <c r="D3551" s="473" t="s">
        <v>47</v>
      </c>
      <c r="E3551" s="361">
        <v>10.9</v>
      </c>
    </row>
    <row r="3552" spans="1:5">
      <c r="A3552" s="473">
        <v>439</v>
      </c>
      <c r="B3552" s="473" t="s">
        <v>13203</v>
      </c>
      <c r="C3552" s="473" t="s">
        <v>40</v>
      </c>
      <c r="D3552" s="473" t="s">
        <v>47</v>
      </c>
      <c r="E3552" s="361">
        <v>9.2899999999999991</v>
      </c>
    </row>
    <row r="3553" spans="1:5">
      <c r="A3553" s="473">
        <v>433</v>
      </c>
      <c r="B3553" s="473" t="s">
        <v>13204</v>
      </c>
      <c r="C3553" s="473" t="s">
        <v>40</v>
      </c>
      <c r="D3553" s="473" t="s">
        <v>47</v>
      </c>
      <c r="E3553" s="361">
        <v>10.84</v>
      </c>
    </row>
    <row r="3554" spans="1:5">
      <c r="A3554" s="473">
        <v>437</v>
      </c>
      <c r="B3554" s="473" t="s">
        <v>13205</v>
      </c>
      <c r="C3554" s="473" t="s">
        <v>40</v>
      </c>
      <c r="D3554" s="473" t="s">
        <v>47</v>
      </c>
      <c r="E3554" s="361">
        <v>14.41</v>
      </c>
    </row>
    <row r="3555" spans="1:5">
      <c r="A3555" s="473">
        <v>11790</v>
      </c>
      <c r="B3555" s="473" t="s">
        <v>13206</v>
      </c>
      <c r="C3555" s="473" t="s">
        <v>40</v>
      </c>
      <c r="D3555" s="473" t="s">
        <v>47</v>
      </c>
      <c r="E3555" s="361">
        <v>16.34</v>
      </c>
    </row>
    <row r="3556" spans="1:5">
      <c r="A3556" s="473">
        <v>428</v>
      </c>
      <c r="B3556" s="473" t="s">
        <v>13207</v>
      </c>
      <c r="C3556" s="473" t="s">
        <v>40</v>
      </c>
      <c r="D3556" s="473" t="s">
        <v>47</v>
      </c>
      <c r="E3556" s="361">
        <v>17.77</v>
      </c>
    </row>
    <row r="3557" spans="1:5">
      <c r="A3557" s="473">
        <v>4384</v>
      </c>
      <c r="B3557" s="473" t="s">
        <v>13208</v>
      </c>
      <c r="C3557" s="473" t="s">
        <v>40</v>
      </c>
      <c r="D3557" s="473" t="s">
        <v>41</v>
      </c>
      <c r="E3557" s="361">
        <v>16.309999999999999</v>
      </c>
    </row>
    <row r="3558" spans="1:5">
      <c r="A3558" s="473">
        <v>4351</v>
      </c>
      <c r="B3558" s="473" t="s">
        <v>13209</v>
      </c>
      <c r="C3558" s="473" t="s">
        <v>40</v>
      </c>
      <c r="D3558" s="473" t="s">
        <v>41</v>
      </c>
      <c r="E3558" s="361">
        <v>12.09</v>
      </c>
    </row>
    <row r="3559" spans="1:5">
      <c r="A3559" s="473">
        <v>11054</v>
      </c>
      <c r="B3559" s="473" t="s">
        <v>13210</v>
      </c>
      <c r="C3559" s="473" t="s">
        <v>40</v>
      </c>
      <c r="D3559" s="473" t="s">
        <v>41</v>
      </c>
      <c r="E3559" s="361">
        <v>0.02</v>
      </c>
    </row>
    <row r="3560" spans="1:5">
      <c r="A3560" s="473">
        <v>11055</v>
      </c>
      <c r="B3560" s="473" t="s">
        <v>13211</v>
      </c>
      <c r="C3560" s="473" t="s">
        <v>40</v>
      </c>
      <c r="D3560" s="473" t="s">
        <v>41</v>
      </c>
      <c r="E3560" s="361">
        <v>0.04</v>
      </c>
    </row>
    <row r="3561" spans="1:5">
      <c r="A3561" s="473">
        <v>11056</v>
      </c>
      <c r="B3561" s="473" t="s">
        <v>13212</v>
      </c>
      <c r="C3561" s="473" t="s">
        <v>40</v>
      </c>
      <c r="D3561" s="473" t="s">
        <v>41</v>
      </c>
      <c r="E3561" s="361">
        <v>0.04</v>
      </c>
    </row>
    <row r="3562" spans="1:5">
      <c r="A3562" s="473">
        <v>11057</v>
      </c>
      <c r="B3562" s="473" t="s">
        <v>13213</v>
      </c>
      <c r="C3562" s="473" t="s">
        <v>40</v>
      </c>
      <c r="D3562" s="473" t="s">
        <v>41</v>
      </c>
      <c r="E3562" s="361">
        <v>0.09</v>
      </c>
    </row>
    <row r="3563" spans="1:5">
      <c r="A3563" s="473">
        <v>11059</v>
      </c>
      <c r="B3563" s="473" t="s">
        <v>13214</v>
      </c>
      <c r="C3563" s="473" t="s">
        <v>40</v>
      </c>
      <c r="D3563" s="473" t="s">
        <v>41</v>
      </c>
      <c r="E3563" s="361">
        <v>0.19</v>
      </c>
    </row>
    <row r="3564" spans="1:5">
      <c r="A3564" s="473">
        <v>11058</v>
      </c>
      <c r="B3564" s="473" t="s">
        <v>13215</v>
      </c>
      <c r="C3564" s="473" t="s">
        <v>40</v>
      </c>
      <c r="D3564" s="473" t="s">
        <v>41</v>
      </c>
      <c r="E3564" s="361">
        <v>0.24</v>
      </c>
    </row>
    <row r="3565" spans="1:5">
      <c r="A3565" s="473">
        <v>4380</v>
      </c>
      <c r="B3565" s="473" t="s">
        <v>13216</v>
      </c>
      <c r="C3565" s="473" t="s">
        <v>40</v>
      </c>
      <c r="D3565" s="473" t="s">
        <v>41</v>
      </c>
      <c r="E3565" s="361">
        <v>0.82</v>
      </c>
    </row>
    <row r="3566" spans="1:5">
      <c r="A3566" s="473">
        <v>4299</v>
      </c>
      <c r="B3566" s="473" t="s">
        <v>13217</v>
      </c>
      <c r="C3566" s="473" t="s">
        <v>40</v>
      </c>
      <c r="D3566" s="473" t="s">
        <v>44</v>
      </c>
      <c r="E3566" s="361">
        <v>0.78</v>
      </c>
    </row>
    <row r="3567" spans="1:5">
      <c r="A3567" s="473">
        <v>4304</v>
      </c>
      <c r="B3567" s="473" t="s">
        <v>13218</v>
      </c>
      <c r="C3567" s="473" t="s">
        <v>40</v>
      </c>
      <c r="D3567" s="473" t="s">
        <v>41</v>
      </c>
      <c r="E3567" s="361">
        <v>1.06</v>
      </c>
    </row>
    <row r="3568" spans="1:5">
      <c r="A3568" s="473">
        <v>4305</v>
      </c>
      <c r="B3568" s="473" t="s">
        <v>13219</v>
      </c>
      <c r="C3568" s="473" t="s">
        <v>40</v>
      </c>
      <c r="D3568" s="473" t="s">
        <v>41</v>
      </c>
      <c r="E3568" s="361">
        <v>1.23</v>
      </c>
    </row>
    <row r="3569" spans="1:5">
      <c r="A3569" s="473">
        <v>4306</v>
      </c>
      <c r="B3569" s="473" t="s">
        <v>13220</v>
      </c>
      <c r="C3569" s="473" t="s">
        <v>40</v>
      </c>
      <c r="D3569" s="473" t="s">
        <v>41</v>
      </c>
      <c r="E3569" s="361">
        <v>1.43</v>
      </c>
    </row>
    <row r="3570" spans="1:5">
      <c r="A3570" s="473">
        <v>4308</v>
      </c>
      <c r="B3570" s="473" t="s">
        <v>13221</v>
      </c>
      <c r="C3570" s="473" t="s">
        <v>40</v>
      </c>
      <c r="D3570" s="473" t="s">
        <v>41</v>
      </c>
      <c r="E3570" s="361">
        <v>2.97</v>
      </c>
    </row>
    <row r="3571" spans="1:5">
      <c r="A3571" s="473">
        <v>4302</v>
      </c>
      <c r="B3571" s="473" t="s">
        <v>13222</v>
      </c>
      <c r="C3571" s="473" t="s">
        <v>40</v>
      </c>
      <c r="D3571" s="473" t="s">
        <v>41</v>
      </c>
      <c r="E3571" s="361">
        <v>2.2200000000000002</v>
      </c>
    </row>
    <row r="3572" spans="1:5">
      <c r="A3572" s="473">
        <v>4300</v>
      </c>
      <c r="B3572" s="473" t="s">
        <v>13223</v>
      </c>
      <c r="C3572" s="473" t="s">
        <v>40</v>
      </c>
      <c r="D3572" s="473" t="s">
        <v>41</v>
      </c>
      <c r="E3572" s="361">
        <v>0.53</v>
      </c>
    </row>
    <row r="3573" spans="1:5">
      <c r="A3573" s="473">
        <v>4301</v>
      </c>
      <c r="B3573" s="473" t="s">
        <v>13224</v>
      </c>
      <c r="C3573" s="473" t="s">
        <v>40</v>
      </c>
      <c r="D3573" s="473" t="s">
        <v>41</v>
      </c>
      <c r="E3573" s="361">
        <v>0.64</v>
      </c>
    </row>
    <row r="3574" spans="1:5">
      <c r="A3574" s="473">
        <v>4320</v>
      </c>
      <c r="B3574" s="473" t="s">
        <v>13225</v>
      </c>
      <c r="C3574" s="473" t="s">
        <v>40</v>
      </c>
      <c r="D3574" s="473" t="s">
        <v>41</v>
      </c>
      <c r="E3574" s="361">
        <v>1.96</v>
      </c>
    </row>
    <row r="3575" spans="1:5">
      <c r="A3575" s="473">
        <v>4318</v>
      </c>
      <c r="B3575" s="473" t="s">
        <v>13226</v>
      </c>
      <c r="C3575" s="473" t="s">
        <v>40</v>
      </c>
      <c r="D3575" s="473" t="s">
        <v>41</v>
      </c>
      <c r="E3575" s="361">
        <v>0.95</v>
      </c>
    </row>
    <row r="3576" spans="1:5">
      <c r="A3576" s="473">
        <v>40547</v>
      </c>
      <c r="B3576" s="473" t="s">
        <v>13227</v>
      </c>
      <c r="C3576" s="473" t="s">
        <v>62</v>
      </c>
      <c r="D3576" s="473" t="s">
        <v>41</v>
      </c>
      <c r="E3576" s="361">
        <v>19.82</v>
      </c>
    </row>
    <row r="3577" spans="1:5">
      <c r="A3577" s="473">
        <v>11962</v>
      </c>
      <c r="B3577" s="473" t="s">
        <v>13228</v>
      </c>
      <c r="C3577" s="473" t="s">
        <v>40</v>
      </c>
      <c r="D3577" s="473" t="s">
        <v>41</v>
      </c>
      <c r="E3577" s="361">
        <v>0.16</v>
      </c>
    </row>
    <row r="3578" spans="1:5">
      <c r="A3578" s="473">
        <v>4332</v>
      </c>
      <c r="B3578" s="473" t="s">
        <v>13229</v>
      </c>
      <c r="C3578" s="473" t="s">
        <v>40</v>
      </c>
      <c r="D3578" s="473" t="s">
        <v>41</v>
      </c>
      <c r="E3578" s="361">
        <v>0.79</v>
      </c>
    </row>
    <row r="3579" spans="1:5">
      <c r="A3579" s="473">
        <v>4331</v>
      </c>
      <c r="B3579" s="473" t="s">
        <v>13230</v>
      </c>
      <c r="C3579" s="473" t="s">
        <v>40</v>
      </c>
      <c r="D3579" s="473" t="s">
        <v>41</v>
      </c>
      <c r="E3579" s="361">
        <v>2.97</v>
      </c>
    </row>
    <row r="3580" spans="1:5">
      <c r="A3580" s="473">
        <v>4336</v>
      </c>
      <c r="B3580" s="473" t="s">
        <v>13231</v>
      </c>
      <c r="C3580" s="473" t="s">
        <v>40</v>
      </c>
      <c r="D3580" s="473" t="s">
        <v>41</v>
      </c>
      <c r="E3580" s="361">
        <v>3.8</v>
      </c>
    </row>
    <row r="3581" spans="1:5">
      <c r="A3581" s="473">
        <v>13294</v>
      </c>
      <c r="B3581" s="473" t="s">
        <v>13232</v>
      </c>
      <c r="C3581" s="473" t="s">
        <v>40</v>
      </c>
      <c r="D3581" s="473" t="s">
        <v>41</v>
      </c>
      <c r="E3581" s="361">
        <v>1.0900000000000001</v>
      </c>
    </row>
    <row r="3582" spans="1:5">
      <c r="A3582" s="473">
        <v>11948</v>
      </c>
      <c r="B3582" s="473" t="s">
        <v>13233</v>
      </c>
      <c r="C3582" s="473" t="s">
        <v>40</v>
      </c>
      <c r="D3582" s="473" t="s">
        <v>41</v>
      </c>
      <c r="E3582" s="361">
        <v>0.49</v>
      </c>
    </row>
    <row r="3583" spans="1:5">
      <c r="A3583" s="473">
        <v>4382</v>
      </c>
      <c r="B3583" s="473" t="s">
        <v>13234</v>
      </c>
      <c r="C3583" s="473" t="s">
        <v>40</v>
      </c>
      <c r="D3583" s="473" t="s">
        <v>41</v>
      </c>
      <c r="E3583" s="361">
        <v>0.81</v>
      </c>
    </row>
    <row r="3584" spans="1:5">
      <c r="A3584" s="473">
        <v>4354</v>
      </c>
      <c r="B3584" s="473" t="s">
        <v>13235</v>
      </c>
      <c r="C3584" s="473" t="s">
        <v>40</v>
      </c>
      <c r="D3584" s="473" t="s">
        <v>41</v>
      </c>
      <c r="E3584" s="361">
        <v>34.130000000000003</v>
      </c>
    </row>
    <row r="3585" spans="1:5">
      <c r="A3585" s="473">
        <v>40839</v>
      </c>
      <c r="B3585" s="473" t="s">
        <v>13236</v>
      </c>
      <c r="C3585" s="473" t="s">
        <v>62</v>
      </c>
      <c r="D3585" s="473" t="s">
        <v>41</v>
      </c>
      <c r="E3585" s="361">
        <v>82.12</v>
      </c>
    </row>
    <row r="3586" spans="1:5">
      <c r="A3586" s="473">
        <v>40552</v>
      </c>
      <c r="B3586" s="473" t="s">
        <v>13237</v>
      </c>
      <c r="C3586" s="473" t="s">
        <v>62</v>
      </c>
      <c r="D3586" s="473" t="s">
        <v>41</v>
      </c>
      <c r="E3586" s="361">
        <v>33.979999999999997</v>
      </c>
    </row>
    <row r="3587" spans="1:5">
      <c r="A3587" s="473">
        <v>40549</v>
      </c>
      <c r="B3587" s="473" t="s">
        <v>13238</v>
      </c>
      <c r="C3587" s="473" t="s">
        <v>62</v>
      </c>
      <c r="D3587" s="473" t="s">
        <v>41</v>
      </c>
      <c r="E3587" s="361">
        <v>134.51</v>
      </c>
    </row>
    <row r="3588" spans="1:5">
      <c r="A3588" s="473">
        <v>4385</v>
      </c>
      <c r="B3588" s="473" t="s">
        <v>13239</v>
      </c>
      <c r="C3588" s="473" t="s">
        <v>56</v>
      </c>
      <c r="D3588" s="473" t="s">
        <v>47</v>
      </c>
      <c r="E3588" s="361">
        <v>1142.8599999999999</v>
      </c>
    </row>
    <row r="3589" spans="1:5">
      <c r="A3589" s="473">
        <v>38397</v>
      </c>
      <c r="B3589" s="473" t="s">
        <v>13240</v>
      </c>
      <c r="C3589" s="473" t="s">
        <v>49</v>
      </c>
      <c r="D3589" s="473" t="s">
        <v>41</v>
      </c>
      <c r="E3589" s="361">
        <v>4.24</v>
      </c>
    </row>
    <row r="3590" spans="1:5">
      <c r="A3590" s="473">
        <v>20078</v>
      </c>
      <c r="B3590" s="473" t="s">
        <v>13241</v>
      </c>
      <c r="C3590" s="473" t="s">
        <v>40</v>
      </c>
      <c r="D3590" s="473" t="s">
        <v>41</v>
      </c>
      <c r="E3590" s="361">
        <v>20.440000000000001</v>
      </c>
    </row>
    <row r="3591" spans="1:5">
      <c r="A3591" s="473">
        <v>20079</v>
      </c>
      <c r="B3591" s="473" t="s">
        <v>13242</v>
      </c>
      <c r="C3591" s="473" t="s">
        <v>40</v>
      </c>
      <c r="D3591" s="473" t="s">
        <v>41</v>
      </c>
      <c r="E3591" s="361">
        <v>127.48</v>
      </c>
    </row>
    <row r="3592" spans="1:5">
      <c r="A3592" s="473">
        <v>39897</v>
      </c>
      <c r="B3592" s="473" t="s">
        <v>13243</v>
      </c>
      <c r="C3592" s="473" t="s">
        <v>40</v>
      </c>
      <c r="D3592" s="473" t="s">
        <v>47</v>
      </c>
      <c r="E3592" s="361">
        <v>30.76</v>
      </c>
    </row>
    <row r="3593" spans="1:5">
      <c r="A3593" s="473">
        <v>118</v>
      </c>
      <c r="B3593" s="473" t="s">
        <v>13244</v>
      </c>
      <c r="C3593" s="473" t="s">
        <v>40</v>
      </c>
      <c r="D3593" s="473" t="s">
        <v>41</v>
      </c>
      <c r="E3593" s="361">
        <v>77.27</v>
      </c>
    </row>
    <row r="3594" spans="1:5">
      <c r="A3594" s="473">
        <v>4396</v>
      </c>
      <c r="B3594" s="473" t="s">
        <v>13245</v>
      </c>
      <c r="C3594" s="473" t="s">
        <v>46</v>
      </c>
      <c r="D3594" s="473" t="s">
        <v>44</v>
      </c>
      <c r="E3594" s="361">
        <v>140.85</v>
      </c>
    </row>
    <row r="3595" spans="1:5">
      <c r="A3595" s="473">
        <v>36881</v>
      </c>
      <c r="B3595" s="473" t="s">
        <v>13246</v>
      </c>
      <c r="C3595" s="473" t="s">
        <v>46</v>
      </c>
      <c r="D3595" s="473" t="s">
        <v>41</v>
      </c>
      <c r="E3595" s="361">
        <v>125.86</v>
      </c>
    </row>
    <row r="3596" spans="1:5">
      <c r="A3596" s="473">
        <v>36882</v>
      </c>
      <c r="B3596" s="473" t="s">
        <v>13247</v>
      </c>
      <c r="C3596" s="473" t="s">
        <v>46</v>
      </c>
      <c r="D3596" s="473" t="s">
        <v>41</v>
      </c>
      <c r="E3596" s="361">
        <v>146.84</v>
      </c>
    </row>
    <row r="3597" spans="1:5">
      <c r="A3597" s="473">
        <v>4397</v>
      </c>
      <c r="B3597" s="473" t="s">
        <v>13248</v>
      </c>
      <c r="C3597" s="473" t="s">
        <v>46</v>
      </c>
      <c r="D3597" s="473" t="s">
        <v>41</v>
      </c>
      <c r="E3597" s="361">
        <v>228.4</v>
      </c>
    </row>
    <row r="3598" spans="1:5">
      <c r="A3598" s="473">
        <v>34754</v>
      </c>
      <c r="B3598" s="473" t="s">
        <v>13249</v>
      </c>
      <c r="C3598" s="473" t="s">
        <v>46</v>
      </c>
      <c r="D3598" s="473" t="s">
        <v>41</v>
      </c>
      <c r="E3598" s="361">
        <v>422.93</v>
      </c>
    </row>
    <row r="3599" spans="1:5">
      <c r="A3599" s="473">
        <v>25962</v>
      </c>
      <c r="B3599" s="473" t="s">
        <v>13250</v>
      </c>
      <c r="C3599" s="473" t="s">
        <v>46</v>
      </c>
      <c r="D3599" s="473" t="s">
        <v>41</v>
      </c>
      <c r="E3599" s="361">
        <v>267.86</v>
      </c>
    </row>
    <row r="3600" spans="1:5">
      <c r="A3600" s="473">
        <v>34752</v>
      </c>
      <c r="B3600" s="473" t="s">
        <v>13251</v>
      </c>
      <c r="C3600" s="473" t="s">
        <v>46</v>
      </c>
      <c r="D3600" s="473" t="s">
        <v>41</v>
      </c>
      <c r="E3600" s="361">
        <v>471.7</v>
      </c>
    </row>
    <row r="3601" spans="1:5">
      <c r="A3601" s="473">
        <v>4751</v>
      </c>
      <c r="B3601" s="473" t="s">
        <v>13252</v>
      </c>
      <c r="C3601" s="473" t="s">
        <v>43</v>
      </c>
      <c r="D3601" s="473" t="s">
        <v>41</v>
      </c>
      <c r="E3601" s="361">
        <v>14.78</v>
      </c>
    </row>
    <row r="3602" spans="1:5">
      <c r="A3602" s="473">
        <v>41066</v>
      </c>
      <c r="B3602" s="473" t="s">
        <v>13253</v>
      </c>
      <c r="C3602" s="473" t="s">
        <v>53</v>
      </c>
      <c r="D3602" s="473" t="s">
        <v>41</v>
      </c>
      <c r="E3602" s="361">
        <v>2635.83</v>
      </c>
    </row>
    <row r="3603" spans="1:5">
      <c r="A3603" s="473">
        <v>39604</v>
      </c>
      <c r="B3603" s="473" t="s">
        <v>13254</v>
      </c>
      <c r="C3603" s="473" t="s">
        <v>40</v>
      </c>
      <c r="D3603" s="473" t="s">
        <v>47</v>
      </c>
      <c r="E3603" s="361">
        <v>8.67</v>
      </c>
    </row>
    <row r="3604" spans="1:5">
      <c r="A3604" s="473">
        <v>39605</v>
      </c>
      <c r="B3604" s="473" t="s">
        <v>13255</v>
      </c>
      <c r="C3604" s="473" t="s">
        <v>40</v>
      </c>
      <c r="D3604" s="473" t="s">
        <v>47</v>
      </c>
      <c r="E3604" s="361">
        <v>12.03</v>
      </c>
    </row>
    <row r="3605" spans="1:5">
      <c r="A3605" s="473">
        <v>39606</v>
      </c>
      <c r="B3605" s="473" t="s">
        <v>13256</v>
      </c>
      <c r="C3605" s="473" t="s">
        <v>40</v>
      </c>
      <c r="D3605" s="473" t="s">
        <v>47</v>
      </c>
      <c r="E3605" s="361">
        <v>15.28</v>
      </c>
    </row>
    <row r="3606" spans="1:5">
      <c r="A3606" s="473">
        <v>39607</v>
      </c>
      <c r="B3606" s="473" t="s">
        <v>13257</v>
      </c>
      <c r="C3606" s="473" t="s">
        <v>40</v>
      </c>
      <c r="D3606" s="473" t="s">
        <v>47</v>
      </c>
      <c r="E3606" s="361">
        <v>17.53</v>
      </c>
    </row>
    <row r="3607" spans="1:5">
      <c r="A3607" s="473">
        <v>39594</v>
      </c>
      <c r="B3607" s="473" t="s">
        <v>13258</v>
      </c>
      <c r="C3607" s="473" t="s">
        <v>40</v>
      </c>
      <c r="D3607" s="473" t="s">
        <v>47</v>
      </c>
      <c r="E3607" s="361">
        <v>166</v>
      </c>
    </row>
    <row r="3608" spans="1:5">
      <c r="A3608" s="473">
        <v>39596</v>
      </c>
      <c r="B3608" s="473" t="s">
        <v>13259</v>
      </c>
      <c r="C3608" s="473" t="s">
        <v>40</v>
      </c>
      <c r="D3608" s="473" t="s">
        <v>47</v>
      </c>
      <c r="E3608" s="361">
        <v>289.33</v>
      </c>
    </row>
    <row r="3609" spans="1:5">
      <c r="A3609" s="473">
        <v>39595</v>
      </c>
      <c r="B3609" s="473" t="s">
        <v>13260</v>
      </c>
      <c r="C3609" s="473" t="s">
        <v>40</v>
      </c>
      <c r="D3609" s="473" t="s">
        <v>47</v>
      </c>
      <c r="E3609" s="361">
        <v>242.87</v>
      </c>
    </row>
    <row r="3610" spans="1:5">
      <c r="A3610" s="473">
        <v>39597</v>
      </c>
      <c r="B3610" s="473" t="s">
        <v>13261</v>
      </c>
      <c r="C3610" s="473" t="s">
        <v>40</v>
      </c>
      <c r="D3610" s="473" t="s">
        <v>47</v>
      </c>
      <c r="E3610" s="361">
        <v>390.17</v>
      </c>
    </row>
    <row r="3611" spans="1:5">
      <c r="A3611" s="473">
        <v>20209</v>
      </c>
      <c r="B3611" s="473" t="s">
        <v>13262</v>
      </c>
      <c r="C3611" s="473" t="s">
        <v>48</v>
      </c>
      <c r="D3611" s="473" t="s">
        <v>41</v>
      </c>
      <c r="E3611" s="361">
        <v>16.36</v>
      </c>
    </row>
    <row r="3612" spans="1:5">
      <c r="A3612" s="473">
        <v>4433</v>
      </c>
      <c r="B3612" s="473" t="s">
        <v>13263</v>
      </c>
      <c r="C3612" s="473" t="s">
        <v>48</v>
      </c>
      <c r="D3612" s="473" t="s">
        <v>41</v>
      </c>
      <c r="E3612" s="361">
        <v>11.91</v>
      </c>
    </row>
    <row r="3613" spans="1:5">
      <c r="A3613" s="473">
        <v>10731</v>
      </c>
      <c r="B3613" s="473" t="s">
        <v>13264</v>
      </c>
      <c r="C3613" s="473" t="s">
        <v>46</v>
      </c>
      <c r="D3613" s="473" t="s">
        <v>44</v>
      </c>
      <c r="E3613" s="361">
        <v>26.58</v>
      </c>
    </row>
    <row r="3614" spans="1:5">
      <c r="A3614" s="473">
        <v>4704</v>
      </c>
      <c r="B3614" s="473" t="s">
        <v>13265</v>
      </c>
      <c r="C3614" s="473" t="s">
        <v>46</v>
      </c>
      <c r="D3614" s="473" t="s">
        <v>41</v>
      </c>
      <c r="E3614" s="361">
        <v>23.98</v>
      </c>
    </row>
    <row r="3615" spans="1:5">
      <c r="A3615" s="473">
        <v>10730</v>
      </c>
      <c r="B3615" s="473" t="s">
        <v>13266</v>
      </c>
      <c r="C3615" s="473" t="s">
        <v>46</v>
      </c>
      <c r="D3615" s="473" t="s">
        <v>41</v>
      </c>
      <c r="E3615" s="361">
        <v>25.7</v>
      </c>
    </row>
    <row r="3616" spans="1:5">
      <c r="A3616" s="473">
        <v>4729</v>
      </c>
      <c r="B3616" s="473" t="s">
        <v>13267</v>
      </c>
      <c r="C3616" s="473" t="s">
        <v>45</v>
      </c>
      <c r="D3616" s="473" t="s">
        <v>41</v>
      </c>
      <c r="E3616" s="361">
        <v>95.37</v>
      </c>
    </row>
    <row r="3617" spans="1:5">
      <c r="A3617" s="473">
        <v>4720</v>
      </c>
      <c r="B3617" s="473" t="s">
        <v>13268</v>
      </c>
      <c r="C3617" s="473" t="s">
        <v>45</v>
      </c>
      <c r="D3617" s="473" t="s">
        <v>41</v>
      </c>
      <c r="E3617" s="361">
        <v>104.28</v>
      </c>
    </row>
    <row r="3618" spans="1:5">
      <c r="A3618" s="473">
        <v>4721</v>
      </c>
      <c r="B3618" s="473" t="s">
        <v>13269</v>
      </c>
      <c r="C3618" s="473" t="s">
        <v>45</v>
      </c>
      <c r="D3618" s="473" t="s">
        <v>41</v>
      </c>
      <c r="E3618" s="361">
        <v>81.67</v>
      </c>
    </row>
    <row r="3619" spans="1:5">
      <c r="A3619" s="473">
        <v>4718</v>
      </c>
      <c r="B3619" s="473" t="s">
        <v>13270</v>
      </c>
      <c r="C3619" s="473" t="s">
        <v>45</v>
      </c>
      <c r="D3619" s="473" t="s">
        <v>44</v>
      </c>
      <c r="E3619" s="361">
        <v>81.67</v>
      </c>
    </row>
    <row r="3620" spans="1:5">
      <c r="A3620" s="473">
        <v>4722</v>
      </c>
      <c r="B3620" s="473" t="s">
        <v>13271</v>
      </c>
      <c r="C3620" s="473" t="s">
        <v>45</v>
      </c>
      <c r="D3620" s="473" t="s">
        <v>41</v>
      </c>
      <c r="E3620" s="361">
        <v>81.67</v>
      </c>
    </row>
    <row r="3621" spans="1:5">
      <c r="A3621" s="473">
        <v>4723</v>
      </c>
      <c r="B3621" s="473" t="s">
        <v>13272</v>
      </c>
      <c r="C3621" s="473" t="s">
        <v>45</v>
      </c>
      <c r="D3621" s="473" t="s">
        <v>41</v>
      </c>
      <c r="E3621" s="361">
        <v>89.1</v>
      </c>
    </row>
    <row r="3622" spans="1:5">
      <c r="A3622" s="473">
        <v>4727</v>
      </c>
      <c r="B3622" s="473" t="s">
        <v>13273</v>
      </c>
      <c r="C3622" s="473" t="s">
        <v>45</v>
      </c>
      <c r="D3622" s="473" t="s">
        <v>41</v>
      </c>
      <c r="E3622" s="361">
        <v>91.57</v>
      </c>
    </row>
    <row r="3623" spans="1:5">
      <c r="A3623" s="473">
        <v>4748</v>
      </c>
      <c r="B3623" s="473" t="s">
        <v>13274</v>
      </c>
      <c r="C3623" s="473" t="s">
        <v>45</v>
      </c>
      <c r="D3623" s="473" t="s">
        <v>41</v>
      </c>
      <c r="E3623" s="361">
        <v>88.36</v>
      </c>
    </row>
    <row r="3624" spans="1:5">
      <c r="A3624" s="473">
        <v>4730</v>
      </c>
      <c r="B3624" s="473" t="s">
        <v>13275</v>
      </c>
      <c r="C3624" s="473" t="s">
        <v>45</v>
      </c>
      <c r="D3624" s="473" t="s">
        <v>41</v>
      </c>
      <c r="E3624" s="361">
        <v>85.39</v>
      </c>
    </row>
    <row r="3625" spans="1:5">
      <c r="A3625" s="473">
        <v>13186</v>
      </c>
      <c r="B3625" s="473" t="s">
        <v>13276</v>
      </c>
      <c r="C3625" s="473" t="s">
        <v>45</v>
      </c>
      <c r="D3625" s="473" t="s">
        <v>47</v>
      </c>
      <c r="E3625" s="361">
        <v>67.97</v>
      </c>
    </row>
    <row r="3626" spans="1:5">
      <c r="A3626" s="473">
        <v>10737</v>
      </c>
      <c r="B3626" s="473" t="s">
        <v>13277</v>
      </c>
      <c r="C3626" s="473" t="s">
        <v>46</v>
      </c>
      <c r="D3626" s="473" t="s">
        <v>41</v>
      </c>
      <c r="E3626" s="361">
        <v>83.53</v>
      </c>
    </row>
    <row r="3627" spans="1:5">
      <c r="A3627" s="473">
        <v>10734</v>
      </c>
      <c r="B3627" s="473" t="s">
        <v>13278</v>
      </c>
      <c r="C3627" s="473" t="s">
        <v>46</v>
      </c>
      <c r="D3627" s="473" t="s">
        <v>41</v>
      </c>
      <c r="E3627" s="361">
        <v>49.69</v>
      </c>
    </row>
    <row r="3628" spans="1:5">
      <c r="A3628" s="473">
        <v>4708</v>
      </c>
      <c r="B3628" s="473" t="s">
        <v>13279</v>
      </c>
      <c r="C3628" s="473" t="s">
        <v>46</v>
      </c>
      <c r="D3628" s="473" t="s">
        <v>41</v>
      </c>
      <c r="E3628" s="361">
        <v>96.38</v>
      </c>
    </row>
    <row r="3629" spans="1:5">
      <c r="A3629" s="473">
        <v>4712</v>
      </c>
      <c r="B3629" s="473" t="s">
        <v>13280</v>
      </c>
      <c r="C3629" s="473" t="s">
        <v>46</v>
      </c>
      <c r="D3629" s="473" t="s">
        <v>41</v>
      </c>
      <c r="E3629" s="361">
        <v>47.12</v>
      </c>
    </row>
    <row r="3630" spans="1:5">
      <c r="A3630" s="473">
        <v>4710</v>
      </c>
      <c r="B3630" s="473" t="s">
        <v>13281</v>
      </c>
      <c r="C3630" s="473" t="s">
        <v>46</v>
      </c>
      <c r="D3630" s="473" t="s">
        <v>41</v>
      </c>
      <c r="E3630" s="361">
        <v>151.1</v>
      </c>
    </row>
    <row r="3631" spans="1:5">
      <c r="A3631" s="473">
        <v>4746</v>
      </c>
      <c r="B3631" s="473" t="s">
        <v>13282</v>
      </c>
      <c r="C3631" s="473" t="s">
        <v>45</v>
      </c>
      <c r="D3631" s="473" t="s">
        <v>41</v>
      </c>
      <c r="E3631" s="361">
        <v>79.2</v>
      </c>
    </row>
    <row r="3632" spans="1:5">
      <c r="A3632" s="473">
        <v>4750</v>
      </c>
      <c r="B3632" s="473" t="s">
        <v>13283</v>
      </c>
      <c r="C3632" s="473" t="s">
        <v>43</v>
      </c>
      <c r="D3632" s="473" t="s">
        <v>44</v>
      </c>
      <c r="E3632" s="361">
        <v>13.54</v>
      </c>
    </row>
    <row r="3633" spans="1:5">
      <c r="A3633" s="473">
        <v>41065</v>
      </c>
      <c r="B3633" s="473" t="s">
        <v>13284</v>
      </c>
      <c r="C3633" s="473" t="s">
        <v>53</v>
      </c>
      <c r="D3633" s="473" t="s">
        <v>41</v>
      </c>
      <c r="E3633" s="361">
        <v>2413.96</v>
      </c>
    </row>
    <row r="3634" spans="1:5">
      <c r="A3634" s="473">
        <v>34747</v>
      </c>
      <c r="B3634" s="473" t="s">
        <v>13285</v>
      </c>
      <c r="C3634" s="473" t="s">
        <v>48</v>
      </c>
      <c r="D3634" s="473" t="s">
        <v>41</v>
      </c>
      <c r="E3634" s="361">
        <v>40.14</v>
      </c>
    </row>
    <row r="3635" spans="1:5">
      <c r="A3635" s="473">
        <v>4826</v>
      </c>
      <c r="B3635" s="473" t="s">
        <v>13286</v>
      </c>
      <c r="C3635" s="473" t="s">
        <v>48</v>
      </c>
      <c r="D3635" s="473" t="s">
        <v>41</v>
      </c>
      <c r="E3635" s="361">
        <v>43.16</v>
      </c>
    </row>
    <row r="3636" spans="1:5">
      <c r="A3636" s="473">
        <v>41975</v>
      </c>
      <c r="B3636" s="473" t="s">
        <v>13287</v>
      </c>
      <c r="C3636" s="473" t="s">
        <v>46</v>
      </c>
      <c r="D3636" s="473" t="s">
        <v>41</v>
      </c>
      <c r="E3636" s="361">
        <v>54.34</v>
      </c>
    </row>
    <row r="3637" spans="1:5">
      <c r="A3637" s="473">
        <v>4825</v>
      </c>
      <c r="B3637" s="473" t="s">
        <v>13288</v>
      </c>
      <c r="C3637" s="473" t="s">
        <v>48</v>
      </c>
      <c r="D3637" s="473" t="s">
        <v>41</v>
      </c>
      <c r="E3637" s="361">
        <v>59.75</v>
      </c>
    </row>
    <row r="3638" spans="1:5">
      <c r="A3638" s="473">
        <v>34744</v>
      </c>
      <c r="B3638" s="473" t="s">
        <v>13289</v>
      </c>
      <c r="C3638" s="473" t="s">
        <v>46</v>
      </c>
      <c r="D3638" s="473" t="s">
        <v>41</v>
      </c>
      <c r="E3638" s="361">
        <v>24.64</v>
      </c>
    </row>
    <row r="3639" spans="1:5">
      <c r="A3639" s="473">
        <v>39430</v>
      </c>
      <c r="B3639" s="473" t="s">
        <v>13290</v>
      </c>
      <c r="C3639" s="473" t="s">
        <v>40</v>
      </c>
      <c r="D3639" s="473" t="s">
        <v>41</v>
      </c>
      <c r="E3639" s="361">
        <v>1.1200000000000001</v>
      </c>
    </row>
    <row r="3640" spans="1:5">
      <c r="A3640" s="473">
        <v>39573</v>
      </c>
      <c r="B3640" s="473" t="s">
        <v>13291</v>
      </c>
      <c r="C3640" s="473" t="s">
        <v>40</v>
      </c>
      <c r="D3640" s="473" t="s">
        <v>41</v>
      </c>
      <c r="E3640" s="361">
        <v>1.1000000000000001</v>
      </c>
    </row>
    <row r="3641" spans="1:5">
      <c r="A3641" s="473">
        <v>38410</v>
      </c>
      <c r="B3641" s="473" t="s">
        <v>13292</v>
      </c>
      <c r="C3641" s="473" t="s">
        <v>40</v>
      </c>
      <c r="D3641" s="473" t="s">
        <v>41</v>
      </c>
      <c r="E3641" s="361">
        <v>10092.06</v>
      </c>
    </row>
    <row r="3642" spans="1:5">
      <c r="A3642" s="473">
        <v>4765</v>
      </c>
      <c r="B3642" s="473" t="s">
        <v>13293</v>
      </c>
      <c r="C3642" s="473" t="s">
        <v>48</v>
      </c>
      <c r="D3642" s="473" t="s">
        <v>47</v>
      </c>
      <c r="E3642" s="361">
        <v>76.67</v>
      </c>
    </row>
    <row r="3643" spans="1:5">
      <c r="A3643" s="473">
        <v>4767</v>
      </c>
      <c r="B3643" s="473" t="s">
        <v>13294</v>
      </c>
      <c r="C3643" s="473" t="s">
        <v>48</v>
      </c>
      <c r="D3643" s="473" t="s">
        <v>47</v>
      </c>
      <c r="E3643" s="361">
        <v>132.11000000000001</v>
      </c>
    </row>
    <row r="3644" spans="1:5">
      <c r="A3644" s="473">
        <v>4766</v>
      </c>
      <c r="B3644" s="473" t="s">
        <v>13294</v>
      </c>
      <c r="C3644" s="473" t="s">
        <v>49</v>
      </c>
      <c r="D3644" s="473" t="s">
        <v>47</v>
      </c>
      <c r="E3644" s="361">
        <v>6.11</v>
      </c>
    </row>
    <row r="3645" spans="1:5">
      <c r="A3645" s="473">
        <v>10963</v>
      </c>
      <c r="B3645" s="473" t="s">
        <v>13295</v>
      </c>
      <c r="C3645" s="473" t="s">
        <v>48</v>
      </c>
      <c r="D3645" s="473" t="s">
        <v>47</v>
      </c>
      <c r="E3645" s="361">
        <v>209.37</v>
      </c>
    </row>
    <row r="3646" spans="1:5">
      <c r="A3646" s="473">
        <v>10962</v>
      </c>
      <c r="B3646" s="473" t="s">
        <v>13296</v>
      </c>
      <c r="C3646" s="473" t="s">
        <v>49</v>
      </c>
      <c r="D3646" s="473" t="s">
        <v>47</v>
      </c>
      <c r="E3646" s="361">
        <v>6.5</v>
      </c>
    </row>
    <row r="3647" spans="1:5">
      <c r="A3647" s="473">
        <v>34742</v>
      </c>
      <c r="B3647" s="473" t="s">
        <v>13297</v>
      </c>
      <c r="C3647" s="473" t="s">
        <v>49</v>
      </c>
      <c r="D3647" s="473" t="s">
        <v>47</v>
      </c>
      <c r="E3647" s="361">
        <v>6.09</v>
      </c>
    </row>
    <row r="3648" spans="1:5">
      <c r="A3648" s="473">
        <v>4773</v>
      </c>
      <c r="B3648" s="473" t="s">
        <v>13298</v>
      </c>
      <c r="C3648" s="473" t="s">
        <v>48</v>
      </c>
      <c r="D3648" s="473" t="s">
        <v>47</v>
      </c>
      <c r="E3648" s="361">
        <v>264.29000000000002</v>
      </c>
    </row>
    <row r="3649" spans="1:5">
      <c r="A3649" s="473">
        <v>34740</v>
      </c>
      <c r="B3649" s="473" t="s">
        <v>13299</v>
      </c>
      <c r="C3649" s="473" t="s">
        <v>49</v>
      </c>
      <c r="D3649" s="473" t="s">
        <v>47</v>
      </c>
      <c r="E3649" s="361">
        <v>6.09</v>
      </c>
    </row>
    <row r="3650" spans="1:5">
      <c r="A3650" s="473">
        <v>4774</v>
      </c>
      <c r="B3650" s="473" t="s">
        <v>13300</v>
      </c>
      <c r="C3650" s="473" t="s">
        <v>49</v>
      </c>
      <c r="D3650" s="473" t="s">
        <v>47</v>
      </c>
      <c r="E3650" s="361">
        <v>6.11</v>
      </c>
    </row>
    <row r="3651" spans="1:5">
      <c r="A3651" s="473">
        <v>4776</v>
      </c>
      <c r="B3651" s="473" t="s">
        <v>13300</v>
      </c>
      <c r="C3651" s="473" t="s">
        <v>48</v>
      </c>
      <c r="D3651" s="473" t="s">
        <v>47</v>
      </c>
      <c r="E3651" s="361">
        <v>409.75</v>
      </c>
    </row>
    <row r="3652" spans="1:5">
      <c r="A3652" s="473">
        <v>40313</v>
      </c>
      <c r="B3652" s="473" t="s">
        <v>13301</v>
      </c>
      <c r="C3652" s="473" t="s">
        <v>49</v>
      </c>
      <c r="D3652" s="473" t="s">
        <v>47</v>
      </c>
      <c r="E3652" s="361">
        <v>6.09</v>
      </c>
    </row>
    <row r="3653" spans="1:5">
      <c r="A3653" s="473">
        <v>13340</v>
      </c>
      <c r="B3653" s="473" t="s">
        <v>13302</v>
      </c>
      <c r="C3653" s="473" t="s">
        <v>48</v>
      </c>
      <c r="D3653" s="473" t="s">
        <v>47</v>
      </c>
      <c r="E3653" s="361">
        <v>25.83</v>
      </c>
    </row>
    <row r="3654" spans="1:5">
      <c r="A3654" s="473">
        <v>10965</v>
      </c>
      <c r="B3654" s="473" t="s">
        <v>13303</v>
      </c>
      <c r="C3654" s="473" t="s">
        <v>48</v>
      </c>
      <c r="D3654" s="473" t="s">
        <v>47</v>
      </c>
      <c r="E3654" s="361">
        <v>55.11</v>
      </c>
    </row>
    <row r="3655" spans="1:5">
      <c r="A3655" s="473">
        <v>10966</v>
      </c>
      <c r="B3655" s="473" t="s">
        <v>13304</v>
      </c>
      <c r="C3655" s="473" t="s">
        <v>49</v>
      </c>
      <c r="D3655" s="473" t="s">
        <v>47</v>
      </c>
      <c r="E3655" s="361">
        <v>6.16</v>
      </c>
    </row>
    <row r="3656" spans="1:5">
      <c r="A3656" s="473">
        <v>40537</v>
      </c>
      <c r="B3656" s="473" t="s">
        <v>13305</v>
      </c>
      <c r="C3656" s="473" t="s">
        <v>49</v>
      </c>
      <c r="D3656" s="473" t="s">
        <v>47</v>
      </c>
      <c r="E3656" s="361">
        <v>6.73</v>
      </c>
    </row>
    <row r="3657" spans="1:5">
      <c r="A3657" s="473">
        <v>40536</v>
      </c>
      <c r="B3657" s="473" t="s">
        <v>13306</v>
      </c>
      <c r="C3657" s="473" t="s">
        <v>49</v>
      </c>
      <c r="D3657" s="473" t="s">
        <v>47</v>
      </c>
      <c r="E3657" s="361">
        <v>6.73</v>
      </c>
    </row>
    <row r="3658" spans="1:5">
      <c r="A3658" s="473">
        <v>40535</v>
      </c>
      <c r="B3658" s="473" t="s">
        <v>13307</v>
      </c>
      <c r="C3658" s="473" t="s">
        <v>49</v>
      </c>
      <c r="D3658" s="473" t="s">
        <v>47</v>
      </c>
      <c r="E3658" s="361">
        <v>6.73</v>
      </c>
    </row>
    <row r="3659" spans="1:5">
      <c r="A3659" s="473">
        <v>39427</v>
      </c>
      <c r="B3659" s="473" t="s">
        <v>13308</v>
      </c>
      <c r="C3659" s="473" t="s">
        <v>48</v>
      </c>
      <c r="D3659" s="473" t="s">
        <v>41</v>
      </c>
      <c r="E3659" s="361">
        <v>2.98</v>
      </c>
    </row>
    <row r="3660" spans="1:5">
      <c r="A3660" s="473">
        <v>39424</v>
      </c>
      <c r="B3660" s="473" t="s">
        <v>13309</v>
      </c>
      <c r="C3660" s="473" t="s">
        <v>48</v>
      </c>
      <c r="D3660" s="473" t="s">
        <v>41</v>
      </c>
      <c r="E3660" s="361">
        <v>1.77</v>
      </c>
    </row>
    <row r="3661" spans="1:5">
      <c r="A3661" s="473">
        <v>39425</v>
      </c>
      <c r="B3661" s="473" t="s">
        <v>13310</v>
      </c>
      <c r="C3661" s="473" t="s">
        <v>48</v>
      </c>
      <c r="D3661" s="473" t="s">
        <v>41</v>
      </c>
      <c r="E3661" s="361">
        <v>1.75</v>
      </c>
    </row>
    <row r="3662" spans="1:5">
      <c r="A3662" s="473">
        <v>40664</v>
      </c>
      <c r="B3662" s="473" t="s">
        <v>13311</v>
      </c>
      <c r="C3662" s="473" t="s">
        <v>49</v>
      </c>
      <c r="D3662" s="473" t="s">
        <v>47</v>
      </c>
      <c r="E3662" s="361">
        <v>5.77</v>
      </c>
    </row>
    <row r="3663" spans="1:5">
      <c r="A3663" s="473">
        <v>34360</v>
      </c>
      <c r="B3663" s="473" t="s">
        <v>13312</v>
      </c>
      <c r="C3663" s="473" t="s">
        <v>49</v>
      </c>
      <c r="D3663" s="473" t="s">
        <v>47</v>
      </c>
      <c r="E3663" s="361">
        <v>25.66</v>
      </c>
    </row>
    <row r="3664" spans="1:5">
      <c r="A3664" s="473">
        <v>20259</v>
      </c>
      <c r="B3664" s="473" t="s">
        <v>13313</v>
      </c>
      <c r="C3664" s="473" t="s">
        <v>48</v>
      </c>
      <c r="D3664" s="473" t="s">
        <v>41</v>
      </c>
      <c r="E3664" s="361">
        <v>8</v>
      </c>
    </row>
    <row r="3665" spans="1:5">
      <c r="A3665" s="473">
        <v>14077</v>
      </c>
      <c r="B3665" s="473" t="s">
        <v>13314</v>
      </c>
      <c r="C3665" s="473" t="s">
        <v>48</v>
      </c>
      <c r="D3665" s="473" t="s">
        <v>41</v>
      </c>
      <c r="E3665" s="361">
        <v>122.44</v>
      </c>
    </row>
    <row r="3666" spans="1:5">
      <c r="A3666" s="473">
        <v>3678</v>
      </c>
      <c r="B3666" s="473" t="s">
        <v>13315</v>
      </c>
      <c r="C3666" s="473" t="s">
        <v>48</v>
      </c>
      <c r="D3666" s="473" t="s">
        <v>41</v>
      </c>
      <c r="E3666" s="361">
        <v>55.34</v>
      </c>
    </row>
    <row r="3667" spans="1:5">
      <c r="A3667" s="473">
        <v>39418</v>
      </c>
      <c r="B3667" s="473" t="s">
        <v>13316</v>
      </c>
      <c r="C3667" s="473" t="s">
        <v>48</v>
      </c>
      <c r="D3667" s="473" t="s">
        <v>41</v>
      </c>
      <c r="E3667" s="361">
        <v>3.32</v>
      </c>
    </row>
    <row r="3668" spans="1:5">
      <c r="A3668" s="473">
        <v>39419</v>
      </c>
      <c r="B3668" s="473" t="s">
        <v>13317</v>
      </c>
      <c r="C3668" s="473" t="s">
        <v>48</v>
      </c>
      <c r="D3668" s="473" t="s">
        <v>41</v>
      </c>
      <c r="E3668" s="361">
        <v>4.05</v>
      </c>
    </row>
    <row r="3669" spans="1:5">
      <c r="A3669" s="473">
        <v>39420</v>
      </c>
      <c r="B3669" s="473" t="s">
        <v>13318</v>
      </c>
      <c r="C3669" s="473" t="s">
        <v>48</v>
      </c>
      <c r="D3669" s="473" t="s">
        <v>41</v>
      </c>
      <c r="E3669" s="361">
        <v>4.47</v>
      </c>
    </row>
    <row r="3670" spans="1:5">
      <c r="A3670" s="473">
        <v>39571</v>
      </c>
      <c r="B3670" s="473" t="s">
        <v>13319</v>
      </c>
      <c r="C3670" s="473" t="s">
        <v>48</v>
      </c>
      <c r="D3670" s="473" t="s">
        <v>41</v>
      </c>
      <c r="E3670" s="361">
        <v>2.7</v>
      </c>
    </row>
    <row r="3671" spans="1:5">
      <c r="A3671" s="473">
        <v>39421</v>
      </c>
      <c r="B3671" s="473" t="s">
        <v>13320</v>
      </c>
      <c r="C3671" s="473" t="s">
        <v>48</v>
      </c>
      <c r="D3671" s="473" t="s">
        <v>41</v>
      </c>
      <c r="E3671" s="361">
        <v>3.94</v>
      </c>
    </row>
    <row r="3672" spans="1:5">
      <c r="A3672" s="473">
        <v>39422</v>
      </c>
      <c r="B3672" s="473" t="s">
        <v>13321</v>
      </c>
      <c r="C3672" s="473" t="s">
        <v>48</v>
      </c>
      <c r="D3672" s="473" t="s">
        <v>44</v>
      </c>
      <c r="E3672" s="361">
        <v>4.5999999999999996</v>
      </c>
    </row>
    <row r="3673" spans="1:5">
      <c r="A3673" s="473">
        <v>39423</v>
      </c>
      <c r="B3673" s="473" t="s">
        <v>13322</v>
      </c>
      <c r="C3673" s="473" t="s">
        <v>48</v>
      </c>
      <c r="D3673" s="473" t="s">
        <v>41</v>
      </c>
      <c r="E3673" s="361">
        <v>5.34</v>
      </c>
    </row>
    <row r="3674" spans="1:5">
      <c r="A3674" s="473">
        <v>39426</v>
      </c>
      <c r="B3674" s="473" t="s">
        <v>13323</v>
      </c>
      <c r="C3674" s="473" t="s">
        <v>48</v>
      </c>
      <c r="D3674" s="473" t="s">
        <v>41</v>
      </c>
      <c r="E3674" s="361">
        <v>12</v>
      </c>
    </row>
    <row r="3675" spans="1:5">
      <c r="A3675" s="473">
        <v>39429</v>
      </c>
      <c r="B3675" s="473" t="s">
        <v>13324</v>
      </c>
      <c r="C3675" s="473" t="s">
        <v>48</v>
      </c>
      <c r="D3675" s="473" t="s">
        <v>41</v>
      </c>
      <c r="E3675" s="361">
        <v>3.78</v>
      </c>
    </row>
    <row r="3676" spans="1:5">
      <c r="A3676" s="473">
        <v>39428</v>
      </c>
      <c r="B3676" s="473" t="s">
        <v>13325</v>
      </c>
      <c r="C3676" s="473" t="s">
        <v>48</v>
      </c>
      <c r="D3676" s="473" t="s">
        <v>41</v>
      </c>
      <c r="E3676" s="361">
        <v>2.89</v>
      </c>
    </row>
    <row r="3677" spans="1:5">
      <c r="A3677" s="473">
        <v>39572</v>
      </c>
      <c r="B3677" s="473" t="s">
        <v>13326</v>
      </c>
      <c r="C3677" s="473" t="s">
        <v>48</v>
      </c>
      <c r="D3677" s="473" t="s">
        <v>41</v>
      </c>
      <c r="E3677" s="361">
        <v>2.5</v>
      </c>
    </row>
    <row r="3678" spans="1:5">
      <c r="A3678" s="473">
        <v>39570</v>
      </c>
      <c r="B3678" s="473" t="s">
        <v>13327</v>
      </c>
      <c r="C3678" s="473" t="s">
        <v>48</v>
      </c>
      <c r="D3678" s="473" t="s">
        <v>41</v>
      </c>
      <c r="E3678" s="361">
        <v>2.65</v>
      </c>
    </row>
    <row r="3679" spans="1:5">
      <c r="A3679" s="473">
        <v>39569</v>
      </c>
      <c r="B3679" s="473" t="s">
        <v>13328</v>
      </c>
      <c r="C3679" s="473" t="s">
        <v>48</v>
      </c>
      <c r="D3679" s="473" t="s">
        <v>41</v>
      </c>
      <c r="E3679" s="361">
        <v>2.62</v>
      </c>
    </row>
    <row r="3680" spans="1:5">
      <c r="A3680" s="473">
        <v>11552</v>
      </c>
      <c r="B3680" s="473" t="s">
        <v>13329</v>
      </c>
      <c r="C3680" s="473" t="s">
        <v>48</v>
      </c>
      <c r="D3680" s="473" t="s">
        <v>41</v>
      </c>
      <c r="E3680" s="361">
        <v>8.24</v>
      </c>
    </row>
    <row r="3681" spans="1:5">
      <c r="A3681" s="473">
        <v>40598</v>
      </c>
      <c r="B3681" s="473" t="s">
        <v>13330</v>
      </c>
      <c r="C3681" s="473" t="s">
        <v>49</v>
      </c>
      <c r="D3681" s="473" t="s">
        <v>47</v>
      </c>
      <c r="E3681" s="361">
        <v>6.73</v>
      </c>
    </row>
    <row r="3682" spans="1:5">
      <c r="A3682" s="473">
        <v>39029</v>
      </c>
      <c r="B3682" s="473" t="s">
        <v>13331</v>
      </c>
      <c r="C3682" s="473" t="s">
        <v>48</v>
      </c>
      <c r="D3682" s="473" t="s">
        <v>41</v>
      </c>
      <c r="E3682" s="361">
        <v>8.4700000000000006</v>
      </c>
    </row>
    <row r="3683" spans="1:5">
      <c r="A3683" s="473">
        <v>39028</v>
      </c>
      <c r="B3683" s="473" t="s">
        <v>13332</v>
      </c>
      <c r="C3683" s="473" t="s">
        <v>48</v>
      </c>
      <c r="D3683" s="473" t="s">
        <v>41</v>
      </c>
      <c r="E3683" s="361">
        <v>4.93</v>
      </c>
    </row>
    <row r="3684" spans="1:5">
      <c r="A3684" s="473">
        <v>39328</v>
      </c>
      <c r="B3684" s="473" t="s">
        <v>13333</v>
      </c>
      <c r="C3684" s="473" t="s">
        <v>48</v>
      </c>
      <c r="D3684" s="473" t="s">
        <v>41</v>
      </c>
      <c r="E3684" s="361">
        <v>2.71</v>
      </c>
    </row>
    <row r="3685" spans="1:5">
      <c r="A3685" s="473">
        <v>38541</v>
      </c>
      <c r="B3685" s="473" t="s">
        <v>13334</v>
      </c>
      <c r="C3685" s="473" t="s">
        <v>40</v>
      </c>
      <c r="D3685" s="473" t="s">
        <v>47</v>
      </c>
      <c r="E3685" s="361">
        <v>1996632.17</v>
      </c>
    </row>
    <row r="3686" spans="1:5">
      <c r="A3686" s="473">
        <v>38542</v>
      </c>
      <c r="B3686" s="473" t="s">
        <v>13335</v>
      </c>
      <c r="C3686" s="473" t="s">
        <v>40</v>
      </c>
      <c r="D3686" s="473" t="s">
        <v>47</v>
      </c>
      <c r="E3686" s="361">
        <v>3104682.74</v>
      </c>
    </row>
    <row r="3687" spans="1:5">
      <c r="A3687" s="473">
        <v>38543</v>
      </c>
      <c r="B3687" s="473" t="s">
        <v>13336</v>
      </c>
      <c r="C3687" s="473" t="s">
        <v>40</v>
      </c>
      <c r="D3687" s="473" t="s">
        <v>47</v>
      </c>
      <c r="E3687" s="361">
        <v>760112</v>
      </c>
    </row>
    <row r="3688" spans="1:5">
      <c r="A3688" s="473">
        <v>40406</v>
      </c>
      <c r="B3688" s="473" t="s">
        <v>13337</v>
      </c>
      <c r="C3688" s="473" t="s">
        <v>40</v>
      </c>
      <c r="D3688" s="473" t="s">
        <v>47</v>
      </c>
      <c r="E3688" s="361">
        <v>39280.78</v>
      </c>
    </row>
    <row r="3689" spans="1:5">
      <c r="A3689" s="473">
        <v>40789</v>
      </c>
      <c r="B3689" s="473" t="s">
        <v>13338</v>
      </c>
      <c r="C3689" s="473" t="s">
        <v>40</v>
      </c>
      <c r="D3689" s="473" t="s">
        <v>47</v>
      </c>
      <c r="E3689" s="361">
        <v>5660.76</v>
      </c>
    </row>
    <row r="3690" spans="1:5">
      <c r="A3690" s="473">
        <v>40791</v>
      </c>
      <c r="B3690" s="473" t="s">
        <v>13339</v>
      </c>
      <c r="C3690" s="473" t="s">
        <v>40</v>
      </c>
      <c r="D3690" s="473" t="s">
        <v>47</v>
      </c>
      <c r="E3690" s="361">
        <v>17720.650000000001</v>
      </c>
    </row>
    <row r="3691" spans="1:5">
      <c r="A3691" s="473">
        <v>11651</v>
      </c>
      <c r="B3691" s="473" t="s">
        <v>13340</v>
      </c>
      <c r="C3691" s="473" t="s">
        <v>40</v>
      </c>
      <c r="D3691" s="473" t="s">
        <v>47</v>
      </c>
      <c r="E3691" s="361">
        <v>9691.67</v>
      </c>
    </row>
    <row r="3692" spans="1:5">
      <c r="A3692" s="473">
        <v>42002</v>
      </c>
      <c r="B3692" s="473" t="s">
        <v>13341</v>
      </c>
      <c r="C3692" s="473" t="s">
        <v>40</v>
      </c>
      <c r="D3692" s="473" t="s">
        <v>47</v>
      </c>
      <c r="E3692" s="361">
        <v>651017.18999999994</v>
      </c>
    </row>
    <row r="3693" spans="1:5">
      <c r="A3693" s="473">
        <v>40435</v>
      </c>
      <c r="B3693" s="473" t="s">
        <v>13342</v>
      </c>
      <c r="C3693" s="473" t="s">
        <v>40</v>
      </c>
      <c r="D3693" s="473" t="s">
        <v>47</v>
      </c>
      <c r="E3693" s="361">
        <v>416991.01</v>
      </c>
    </row>
    <row r="3694" spans="1:5">
      <c r="A3694" s="473">
        <v>39012</v>
      </c>
      <c r="B3694" s="473" t="s">
        <v>13343</v>
      </c>
      <c r="C3694" s="473" t="s">
        <v>40</v>
      </c>
      <c r="D3694" s="473" t="s">
        <v>47</v>
      </c>
      <c r="E3694" s="361">
        <v>435072.47</v>
      </c>
    </row>
    <row r="3695" spans="1:5">
      <c r="A3695" s="473">
        <v>13617</v>
      </c>
      <c r="B3695" s="473" t="s">
        <v>13344</v>
      </c>
      <c r="C3695" s="473" t="s">
        <v>40</v>
      </c>
      <c r="D3695" s="473" t="s">
        <v>41</v>
      </c>
      <c r="E3695" s="361">
        <v>46203.68</v>
      </c>
    </row>
    <row r="3696" spans="1:5">
      <c r="A3696" s="473">
        <v>5327</v>
      </c>
      <c r="B3696" s="473" t="s">
        <v>13345</v>
      </c>
      <c r="C3696" s="473" t="s">
        <v>49</v>
      </c>
      <c r="D3696" s="473" t="s">
        <v>41</v>
      </c>
      <c r="E3696" s="361">
        <v>25.12</v>
      </c>
    </row>
    <row r="3697" spans="1:5">
      <c r="A3697" s="473">
        <v>35274</v>
      </c>
      <c r="B3697" s="473" t="s">
        <v>13346</v>
      </c>
      <c r="C3697" s="473" t="s">
        <v>48</v>
      </c>
      <c r="D3697" s="473" t="s">
        <v>41</v>
      </c>
      <c r="E3697" s="361">
        <v>36.619999999999997</v>
      </c>
    </row>
    <row r="3698" spans="1:5">
      <c r="A3698" s="473">
        <v>35275</v>
      </c>
      <c r="B3698" s="473" t="s">
        <v>13347</v>
      </c>
      <c r="C3698" s="473" t="s">
        <v>48</v>
      </c>
      <c r="D3698" s="473" t="s">
        <v>41</v>
      </c>
      <c r="E3698" s="361">
        <v>78.2</v>
      </c>
    </row>
    <row r="3699" spans="1:5">
      <c r="A3699" s="473">
        <v>35276</v>
      </c>
      <c r="B3699" s="473" t="s">
        <v>13348</v>
      </c>
      <c r="C3699" s="473" t="s">
        <v>48</v>
      </c>
      <c r="D3699" s="473" t="s">
        <v>41</v>
      </c>
      <c r="E3699" s="361">
        <v>127.86</v>
      </c>
    </row>
    <row r="3700" spans="1:5">
      <c r="A3700" s="473">
        <v>38386</v>
      </c>
      <c r="B3700" s="473" t="s">
        <v>13349</v>
      </c>
      <c r="C3700" s="473" t="s">
        <v>40</v>
      </c>
      <c r="D3700" s="473" t="s">
        <v>41</v>
      </c>
      <c r="E3700" s="361">
        <v>3.98</v>
      </c>
    </row>
    <row r="3701" spans="1:5">
      <c r="A3701" s="473">
        <v>11091</v>
      </c>
      <c r="B3701" s="473" t="s">
        <v>13350</v>
      </c>
      <c r="C3701" s="473" t="s">
        <v>40</v>
      </c>
      <c r="D3701" s="473" t="s">
        <v>41</v>
      </c>
      <c r="E3701" s="361">
        <v>0.95</v>
      </c>
    </row>
    <row r="3702" spans="1:5">
      <c r="A3702" s="473">
        <v>37586</v>
      </c>
      <c r="B3702" s="473" t="s">
        <v>13351</v>
      </c>
      <c r="C3702" s="473" t="s">
        <v>62</v>
      </c>
      <c r="D3702" s="473" t="s">
        <v>47</v>
      </c>
      <c r="E3702" s="361">
        <v>30.9</v>
      </c>
    </row>
    <row r="3703" spans="1:5">
      <c r="A3703" s="473">
        <v>37395</v>
      </c>
      <c r="B3703" s="473" t="s">
        <v>13352</v>
      </c>
      <c r="C3703" s="473" t="s">
        <v>62</v>
      </c>
      <c r="D3703" s="473" t="s">
        <v>47</v>
      </c>
      <c r="E3703" s="361">
        <v>26.57</v>
      </c>
    </row>
    <row r="3704" spans="1:5">
      <c r="A3704" s="473">
        <v>14147</v>
      </c>
      <c r="B3704" s="473" t="s">
        <v>13353</v>
      </c>
      <c r="C3704" s="473" t="s">
        <v>62</v>
      </c>
      <c r="D3704" s="473" t="s">
        <v>47</v>
      </c>
      <c r="E3704" s="361">
        <v>35.25</v>
      </c>
    </row>
    <row r="3705" spans="1:5">
      <c r="A3705" s="473">
        <v>37396</v>
      </c>
      <c r="B3705" s="473" t="s">
        <v>13354</v>
      </c>
      <c r="C3705" s="473" t="s">
        <v>62</v>
      </c>
      <c r="D3705" s="473" t="s">
        <v>47</v>
      </c>
      <c r="E3705" s="361">
        <v>21.74</v>
      </c>
    </row>
    <row r="3706" spans="1:5">
      <c r="A3706" s="473">
        <v>37397</v>
      </c>
      <c r="B3706" s="473" t="s">
        <v>13355</v>
      </c>
      <c r="C3706" s="473" t="s">
        <v>62</v>
      </c>
      <c r="D3706" s="473" t="s">
        <v>47</v>
      </c>
      <c r="E3706" s="361">
        <v>22.78</v>
      </c>
    </row>
    <row r="3707" spans="1:5">
      <c r="A3707" s="473">
        <v>11559</v>
      </c>
      <c r="B3707" s="473" t="s">
        <v>13356</v>
      </c>
      <c r="C3707" s="473" t="s">
        <v>40</v>
      </c>
      <c r="D3707" s="473" t="s">
        <v>41</v>
      </c>
      <c r="E3707" s="361">
        <v>3.79</v>
      </c>
    </row>
    <row r="3708" spans="1:5">
      <c r="A3708" s="473">
        <v>444</v>
      </c>
      <c r="B3708" s="473" t="s">
        <v>13357</v>
      </c>
      <c r="C3708" s="473" t="s">
        <v>40</v>
      </c>
      <c r="D3708" s="473" t="s">
        <v>47</v>
      </c>
      <c r="E3708" s="361">
        <v>17.920000000000002</v>
      </c>
    </row>
    <row r="3709" spans="1:5">
      <c r="A3709" s="473">
        <v>445</v>
      </c>
      <c r="B3709" s="473" t="s">
        <v>13358</v>
      </c>
      <c r="C3709" s="473" t="s">
        <v>40</v>
      </c>
      <c r="D3709" s="473" t="s">
        <v>47</v>
      </c>
      <c r="E3709" s="361">
        <v>24.52</v>
      </c>
    </row>
    <row r="3710" spans="1:5">
      <c r="A3710" s="473">
        <v>4783</v>
      </c>
      <c r="B3710" s="473" t="s">
        <v>13359</v>
      </c>
      <c r="C3710" s="473" t="s">
        <v>43</v>
      </c>
      <c r="D3710" s="473" t="s">
        <v>44</v>
      </c>
      <c r="E3710" s="361">
        <v>13.54</v>
      </c>
    </row>
    <row r="3711" spans="1:5">
      <c r="A3711" s="473">
        <v>41079</v>
      </c>
      <c r="B3711" s="473" t="s">
        <v>13360</v>
      </c>
      <c r="C3711" s="473" t="s">
        <v>53</v>
      </c>
      <c r="D3711" s="473" t="s">
        <v>41</v>
      </c>
      <c r="E3711" s="361">
        <v>2413.96</v>
      </c>
    </row>
    <row r="3712" spans="1:5">
      <c r="A3712" s="473">
        <v>12874</v>
      </c>
      <c r="B3712" s="473" t="s">
        <v>13361</v>
      </c>
      <c r="C3712" s="473" t="s">
        <v>43</v>
      </c>
      <c r="D3712" s="473" t="s">
        <v>41</v>
      </c>
      <c r="E3712" s="361">
        <v>14.61</v>
      </c>
    </row>
    <row r="3713" spans="1:5">
      <c r="A3713" s="473">
        <v>41082</v>
      </c>
      <c r="B3713" s="473" t="s">
        <v>13362</v>
      </c>
      <c r="C3713" s="473" t="s">
        <v>53</v>
      </c>
      <c r="D3713" s="473" t="s">
        <v>41</v>
      </c>
      <c r="E3713" s="361">
        <v>2605.31</v>
      </c>
    </row>
    <row r="3714" spans="1:5">
      <c r="A3714" s="473">
        <v>4785</v>
      </c>
      <c r="B3714" s="473" t="s">
        <v>13363</v>
      </c>
      <c r="C3714" s="473" t="s">
        <v>43</v>
      </c>
      <c r="D3714" s="473" t="s">
        <v>41</v>
      </c>
      <c r="E3714" s="361">
        <v>14.56</v>
      </c>
    </row>
    <row r="3715" spans="1:5">
      <c r="A3715" s="473">
        <v>41081</v>
      </c>
      <c r="B3715" s="473" t="s">
        <v>13364</v>
      </c>
      <c r="C3715" s="473" t="s">
        <v>53</v>
      </c>
      <c r="D3715" s="473" t="s">
        <v>41</v>
      </c>
      <c r="E3715" s="361">
        <v>2596.46</v>
      </c>
    </row>
    <row r="3716" spans="1:5">
      <c r="A3716" s="473">
        <v>4801</v>
      </c>
      <c r="B3716" s="473" t="s">
        <v>13365</v>
      </c>
      <c r="C3716" s="473" t="s">
        <v>46</v>
      </c>
      <c r="D3716" s="473" t="s">
        <v>41</v>
      </c>
      <c r="E3716" s="361">
        <v>53.36</v>
      </c>
    </row>
    <row r="3717" spans="1:5">
      <c r="A3717" s="473">
        <v>4794</v>
      </c>
      <c r="B3717" s="473" t="s">
        <v>13366</v>
      </c>
      <c r="C3717" s="473" t="s">
        <v>46</v>
      </c>
      <c r="D3717" s="473" t="s">
        <v>41</v>
      </c>
      <c r="E3717" s="361">
        <v>243.05</v>
      </c>
    </row>
    <row r="3718" spans="1:5">
      <c r="A3718" s="473">
        <v>4796</v>
      </c>
      <c r="B3718" s="473" t="s">
        <v>13367</v>
      </c>
      <c r="C3718" s="473" t="s">
        <v>46</v>
      </c>
      <c r="D3718" s="473" t="s">
        <v>41</v>
      </c>
      <c r="E3718" s="361">
        <v>147.62</v>
      </c>
    </row>
    <row r="3719" spans="1:5">
      <c r="A3719" s="473">
        <v>4800</v>
      </c>
      <c r="B3719" s="473" t="s">
        <v>13368</v>
      </c>
      <c r="C3719" s="473" t="s">
        <v>46</v>
      </c>
      <c r="D3719" s="473" t="s">
        <v>41</v>
      </c>
      <c r="E3719" s="361">
        <v>40.590000000000003</v>
      </c>
    </row>
    <row r="3720" spans="1:5">
      <c r="A3720" s="473">
        <v>4795</v>
      </c>
      <c r="B3720" s="473" t="s">
        <v>13369</v>
      </c>
      <c r="C3720" s="473" t="s">
        <v>46</v>
      </c>
      <c r="D3720" s="473" t="s">
        <v>41</v>
      </c>
      <c r="E3720" s="361">
        <v>236.6</v>
      </c>
    </row>
    <row r="3721" spans="1:5">
      <c r="A3721" s="473">
        <v>39694</v>
      </c>
      <c r="B3721" s="473" t="s">
        <v>13370</v>
      </c>
      <c r="C3721" s="473" t="s">
        <v>46</v>
      </c>
      <c r="D3721" s="473" t="s">
        <v>41</v>
      </c>
      <c r="E3721" s="361">
        <v>188.48</v>
      </c>
    </row>
    <row r="3722" spans="1:5">
      <c r="A3722" s="473">
        <v>1292</v>
      </c>
      <c r="B3722" s="473" t="s">
        <v>13371</v>
      </c>
      <c r="C3722" s="473" t="s">
        <v>46</v>
      </c>
      <c r="D3722" s="473" t="s">
        <v>41</v>
      </c>
      <c r="E3722" s="361">
        <v>34.450000000000003</v>
      </c>
    </row>
    <row r="3723" spans="1:5">
      <c r="A3723" s="473">
        <v>1287</v>
      </c>
      <c r="B3723" s="473" t="s">
        <v>13372</v>
      </c>
      <c r="C3723" s="473" t="s">
        <v>46</v>
      </c>
      <c r="D3723" s="473" t="s">
        <v>44</v>
      </c>
      <c r="E3723" s="361">
        <v>16.899999999999999</v>
      </c>
    </row>
    <row r="3724" spans="1:5">
      <c r="A3724" s="473">
        <v>1297</v>
      </c>
      <c r="B3724" s="473" t="s">
        <v>13373</v>
      </c>
      <c r="C3724" s="473" t="s">
        <v>46</v>
      </c>
      <c r="D3724" s="473" t="s">
        <v>41</v>
      </c>
      <c r="E3724" s="361">
        <v>14.01</v>
      </c>
    </row>
    <row r="3725" spans="1:5">
      <c r="A3725" s="473">
        <v>4786</v>
      </c>
      <c r="B3725" s="473" t="s">
        <v>13374</v>
      </c>
      <c r="C3725" s="473" t="s">
        <v>46</v>
      </c>
      <c r="D3725" s="473" t="s">
        <v>44</v>
      </c>
      <c r="E3725" s="361">
        <v>62.5</v>
      </c>
    </row>
    <row r="3726" spans="1:5">
      <c r="A3726" s="473">
        <v>10840</v>
      </c>
      <c r="B3726" s="473" t="s">
        <v>13375</v>
      </c>
      <c r="C3726" s="473" t="s">
        <v>46</v>
      </c>
      <c r="D3726" s="473" t="s">
        <v>44</v>
      </c>
      <c r="E3726" s="361">
        <v>330</v>
      </c>
    </row>
    <row r="3727" spans="1:5">
      <c r="A3727" s="473">
        <v>10841</v>
      </c>
      <c r="B3727" s="473" t="s">
        <v>13376</v>
      </c>
      <c r="C3727" s="473" t="s">
        <v>46</v>
      </c>
      <c r="D3727" s="473" t="s">
        <v>41</v>
      </c>
      <c r="E3727" s="361">
        <v>249.05</v>
      </c>
    </row>
    <row r="3728" spans="1:5">
      <c r="A3728" s="473">
        <v>25980</v>
      </c>
      <c r="B3728" s="473" t="s">
        <v>13377</v>
      </c>
      <c r="C3728" s="473" t="s">
        <v>46</v>
      </c>
      <c r="D3728" s="473" t="s">
        <v>41</v>
      </c>
      <c r="E3728" s="361">
        <v>318.23</v>
      </c>
    </row>
    <row r="3729" spans="1:5">
      <c r="A3729" s="473">
        <v>10842</v>
      </c>
      <c r="B3729" s="473" t="s">
        <v>13378</v>
      </c>
      <c r="C3729" s="473" t="s">
        <v>46</v>
      </c>
      <c r="D3729" s="473" t="s">
        <v>41</v>
      </c>
      <c r="E3729" s="361">
        <v>359.74</v>
      </c>
    </row>
    <row r="3730" spans="1:5">
      <c r="A3730" s="473">
        <v>21108</v>
      </c>
      <c r="B3730" s="473" t="s">
        <v>13379</v>
      </c>
      <c r="C3730" s="473" t="s">
        <v>46</v>
      </c>
      <c r="D3730" s="473" t="s">
        <v>41</v>
      </c>
      <c r="E3730" s="361">
        <v>45.91</v>
      </c>
    </row>
    <row r="3731" spans="1:5">
      <c r="A3731" s="473">
        <v>38180</v>
      </c>
      <c r="B3731" s="473" t="s">
        <v>13380</v>
      </c>
      <c r="C3731" s="473" t="s">
        <v>46</v>
      </c>
      <c r="D3731" s="473" t="s">
        <v>41</v>
      </c>
      <c r="E3731" s="361">
        <v>118.86</v>
      </c>
    </row>
    <row r="3732" spans="1:5">
      <c r="A3732" s="473">
        <v>40648</v>
      </c>
      <c r="B3732" s="473" t="s">
        <v>13381</v>
      </c>
      <c r="C3732" s="473" t="s">
        <v>46</v>
      </c>
      <c r="D3732" s="473" t="s">
        <v>41</v>
      </c>
      <c r="E3732" s="361">
        <v>120</v>
      </c>
    </row>
    <row r="3733" spans="1:5">
      <c r="A3733" s="473">
        <v>40649</v>
      </c>
      <c r="B3733" s="473" t="s">
        <v>13382</v>
      </c>
      <c r="C3733" s="473" t="s">
        <v>46</v>
      </c>
      <c r="D3733" s="473" t="s">
        <v>41</v>
      </c>
      <c r="E3733" s="361">
        <v>69.900000000000006</v>
      </c>
    </row>
    <row r="3734" spans="1:5">
      <c r="A3734" s="473">
        <v>40650</v>
      </c>
      <c r="B3734" s="473" t="s">
        <v>13383</v>
      </c>
      <c r="C3734" s="473" t="s">
        <v>46</v>
      </c>
      <c r="D3734" s="473" t="s">
        <v>41</v>
      </c>
      <c r="E3734" s="361">
        <v>90</v>
      </c>
    </row>
    <row r="3735" spans="1:5">
      <c r="A3735" s="473">
        <v>40651</v>
      </c>
      <c r="B3735" s="473" t="s">
        <v>13384</v>
      </c>
      <c r="C3735" s="473" t="s">
        <v>46</v>
      </c>
      <c r="D3735" s="473" t="s">
        <v>41</v>
      </c>
      <c r="E3735" s="361">
        <v>166</v>
      </c>
    </row>
    <row r="3736" spans="1:5">
      <c r="A3736" s="473">
        <v>40652</v>
      </c>
      <c r="B3736" s="473" t="s">
        <v>13385</v>
      </c>
      <c r="C3736" s="473" t="s">
        <v>46</v>
      </c>
      <c r="D3736" s="473" t="s">
        <v>41</v>
      </c>
      <c r="E3736" s="361">
        <v>89</v>
      </c>
    </row>
    <row r="3737" spans="1:5">
      <c r="A3737" s="473">
        <v>40647</v>
      </c>
      <c r="B3737" s="473" t="s">
        <v>13386</v>
      </c>
      <c r="C3737" s="473" t="s">
        <v>46</v>
      </c>
      <c r="D3737" s="473" t="s">
        <v>41</v>
      </c>
      <c r="E3737" s="361">
        <v>98</v>
      </c>
    </row>
    <row r="3738" spans="1:5">
      <c r="A3738" s="473">
        <v>40653</v>
      </c>
      <c r="B3738" s="473" t="s">
        <v>13387</v>
      </c>
      <c r="C3738" s="473" t="s">
        <v>46</v>
      </c>
      <c r="D3738" s="473" t="s">
        <v>41</v>
      </c>
      <c r="E3738" s="361">
        <v>75</v>
      </c>
    </row>
    <row r="3739" spans="1:5">
      <c r="A3739" s="473">
        <v>36178</v>
      </c>
      <c r="B3739" s="473" t="s">
        <v>13388</v>
      </c>
      <c r="C3739" s="473" t="s">
        <v>40</v>
      </c>
      <c r="D3739" s="473" t="s">
        <v>41</v>
      </c>
      <c r="E3739" s="361">
        <v>7.42</v>
      </c>
    </row>
    <row r="3740" spans="1:5">
      <c r="A3740" s="473">
        <v>38195</v>
      </c>
      <c r="B3740" s="473" t="s">
        <v>13389</v>
      </c>
      <c r="C3740" s="473" t="s">
        <v>46</v>
      </c>
      <c r="D3740" s="473" t="s">
        <v>41</v>
      </c>
      <c r="E3740" s="361">
        <v>54.23</v>
      </c>
    </row>
    <row r="3741" spans="1:5">
      <c r="A3741" s="473">
        <v>38181</v>
      </c>
      <c r="B3741" s="473" t="s">
        <v>13390</v>
      </c>
      <c r="C3741" s="473" t="s">
        <v>46</v>
      </c>
      <c r="D3741" s="473" t="s">
        <v>41</v>
      </c>
      <c r="E3741" s="361">
        <v>162.25</v>
      </c>
    </row>
    <row r="3742" spans="1:5">
      <c r="A3742" s="473">
        <v>38182</v>
      </c>
      <c r="B3742" s="473" t="s">
        <v>13391</v>
      </c>
      <c r="C3742" s="473" t="s">
        <v>46</v>
      </c>
      <c r="D3742" s="473" t="s">
        <v>41</v>
      </c>
      <c r="E3742" s="361">
        <v>154.55000000000001</v>
      </c>
    </row>
    <row r="3743" spans="1:5">
      <c r="A3743" s="473">
        <v>38186</v>
      </c>
      <c r="B3743" s="473" t="s">
        <v>13392</v>
      </c>
      <c r="C3743" s="473" t="s">
        <v>46</v>
      </c>
      <c r="D3743" s="473" t="s">
        <v>41</v>
      </c>
      <c r="E3743" s="361">
        <v>401.75</v>
      </c>
    </row>
    <row r="3744" spans="1:5">
      <c r="A3744" s="473">
        <v>38185</v>
      </c>
      <c r="B3744" s="473" t="s">
        <v>13393</v>
      </c>
      <c r="C3744" s="473" t="s">
        <v>46</v>
      </c>
      <c r="D3744" s="473" t="s">
        <v>41</v>
      </c>
      <c r="E3744" s="361">
        <v>357.69</v>
      </c>
    </row>
    <row r="3745" spans="1:5">
      <c r="A3745" s="473">
        <v>40654</v>
      </c>
      <c r="B3745" s="473" t="s">
        <v>13394</v>
      </c>
      <c r="C3745" s="473" t="s">
        <v>46</v>
      </c>
      <c r="D3745" s="473" t="s">
        <v>41</v>
      </c>
      <c r="E3745" s="361">
        <v>116.5</v>
      </c>
    </row>
    <row r="3746" spans="1:5">
      <c r="A3746" s="473">
        <v>25981</v>
      </c>
      <c r="B3746" s="473" t="s">
        <v>13395</v>
      </c>
      <c r="C3746" s="473" t="s">
        <v>46</v>
      </c>
      <c r="D3746" s="473" t="s">
        <v>41</v>
      </c>
      <c r="E3746" s="361">
        <v>262.89</v>
      </c>
    </row>
    <row r="3747" spans="1:5">
      <c r="A3747" s="473">
        <v>4822</v>
      </c>
      <c r="B3747" s="473" t="s">
        <v>13396</v>
      </c>
      <c r="C3747" s="473" t="s">
        <v>46</v>
      </c>
      <c r="D3747" s="473" t="s">
        <v>41</v>
      </c>
      <c r="E3747" s="361">
        <v>165.39</v>
      </c>
    </row>
    <row r="3748" spans="1:5">
      <c r="A3748" s="473">
        <v>4818</v>
      </c>
      <c r="B3748" s="473" t="s">
        <v>13397</v>
      </c>
      <c r="C3748" s="473" t="s">
        <v>46</v>
      </c>
      <c r="D3748" s="473" t="s">
        <v>44</v>
      </c>
      <c r="E3748" s="361">
        <v>170</v>
      </c>
    </row>
    <row r="3749" spans="1:5">
      <c r="A3749" s="473">
        <v>39567</v>
      </c>
      <c r="B3749" s="473" t="s">
        <v>13398</v>
      </c>
      <c r="C3749" s="473" t="s">
        <v>46</v>
      </c>
      <c r="D3749" s="473" t="s">
        <v>41</v>
      </c>
      <c r="E3749" s="361">
        <v>50.27</v>
      </c>
    </row>
    <row r="3750" spans="1:5">
      <c r="A3750" s="473">
        <v>39566</v>
      </c>
      <c r="B3750" s="473" t="s">
        <v>13399</v>
      </c>
      <c r="C3750" s="473" t="s">
        <v>46</v>
      </c>
      <c r="D3750" s="473" t="s">
        <v>41</v>
      </c>
      <c r="E3750" s="361">
        <v>58.06</v>
      </c>
    </row>
    <row r="3751" spans="1:5">
      <c r="A3751" s="473">
        <v>11062</v>
      </c>
      <c r="B3751" s="473" t="s">
        <v>13400</v>
      </c>
      <c r="C3751" s="473" t="s">
        <v>46</v>
      </c>
      <c r="D3751" s="473" t="s">
        <v>41</v>
      </c>
      <c r="E3751" s="361">
        <v>46.91</v>
      </c>
    </row>
    <row r="3752" spans="1:5">
      <c r="A3752" s="473">
        <v>11063</v>
      </c>
      <c r="B3752" s="473" t="s">
        <v>13401</v>
      </c>
      <c r="C3752" s="473" t="s">
        <v>46</v>
      </c>
      <c r="D3752" s="473" t="s">
        <v>41</v>
      </c>
      <c r="E3752" s="361">
        <v>45.42</v>
      </c>
    </row>
    <row r="3753" spans="1:5">
      <c r="A3753" s="473">
        <v>13521</v>
      </c>
      <c r="B3753" s="473" t="s">
        <v>13402</v>
      </c>
      <c r="C3753" s="473" t="s">
        <v>40</v>
      </c>
      <c r="D3753" s="473" t="s">
        <v>41</v>
      </c>
      <c r="E3753" s="361">
        <v>87.45</v>
      </c>
    </row>
    <row r="3754" spans="1:5">
      <c r="A3754" s="473">
        <v>10851</v>
      </c>
      <c r="B3754" s="473" t="s">
        <v>13403</v>
      </c>
      <c r="C3754" s="473" t="s">
        <v>40</v>
      </c>
      <c r="D3754" s="473" t="s">
        <v>47</v>
      </c>
      <c r="E3754" s="361">
        <v>43.79</v>
      </c>
    </row>
    <row r="3755" spans="1:5">
      <c r="A3755" s="473">
        <v>39515</v>
      </c>
      <c r="B3755" s="473" t="s">
        <v>13404</v>
      </c>
      <c r="C3755" s="473" t="s">
        <v>40</v>
      </c>
      <c r="D3755" s="473" t="s">
        <v>47</v>
      </c>
      <c r="E3755" s="361">
        <v>29.45</v>
      </c>
    </row>
    <row r="3756" spans="1:5">
      <c r="A3756" s="473">
        <v>39516</v>
      </c>
      <c r="B3756" s="473" t="s">
        <v>13405</v>
      </c>
      <c r="C3756" s="473" t="s">
        <v>40</v>
      </c>
      <c r="D3756" s="473" t="s">
        <v>47</v>
      </c>
      <c r="E3756" s="361">
        <v>24.83</v>
      </c>
    </row>
    <row r="3757" spans="1:5">
      <c r="A3757" s="473">
        <v>39514</v>
      </c>
      <c r="B3757" s="473" t="s">
        <v>13406</v>
      </c>
      <c r="C3757" s="473" t="s">
        <v>40</v>
      </c>
      <c r="D3757" s="473" t="s">
        <v>47</v>
      </c>
      <c r="E3757" s="361">
        <v>15.45</v>
      </c>
    </row>
    <row r="3758" spans="1:5">
      <c r="A3758" s="473">
        <v>4812</v>
      </c>
      <c r="B3758" s="473" t="s">
        <v>13407</v>
      </c>
      <c r="C3758" s="473" t="s">
        <v>46</v>
      </c>
      <c r="D3758" s="473" t="s">
        <v>44</v>
      </c>
      <c r="E3758" s="361">
        <v>13.89</v>
      </c>
    </row>
    <row r="3759" spans="1:5">
      <c r="A3759" s="473">
        <v>10849</v>
      </c>
      <c r="B3759" s="473" t="s">
        <v>13408</v>
      </c>
      <c r="C3759" s="473" t="s">
        <v>40</v>
      </c>
      <c r="D3759" s="473" t="s">
        <v>41</v>
      </c>
      <c r="E3759" s="361">
        <v>1272.01</v>
      </c>
    </row>
    <row r="3760" spans="1:5">
      <c r="A3760" s="473">
        <v>10848</v>
      </c>
      <c r="B3760" s="473" t="s">
        <v>13409</v>
      </c>
      <c r="C3760" s="473" t="s">
        <v>40</v>
      </c>
      <c r="D3760" s="473" t="s">
        <v>41</v>
      </c>
      <c r="E3760" s="361">
        <v>798.98</v>
      </c>
    </row>
    <row r="3761" spans="1:5">
      <c r="A3761" s="473">
        <v>4813</v>
      </c>
      <c r="B3761" s="473" t="s">
        <v>13410</v>
      </c>
      <c r="C3761" s="473" t="s">
        <v>46</v>
      </c>
      <c r="D3761" s="473" t="s">
        <v>44</v>
      </c>
      <c r="E3761" s="361">
        <v>265</v>
      </c>
    </row>
    <row r="3762" spans="1:5">
      <c r="A3762" s="473">
        <v>37560</v>
      </c>
      <c r="B3762" s="473" t="s">
        <v>13411</v>
      </c>
      <c r="C3762" s="473" t="s">
        <v>40</v>
      </c>
      <c r="D3762" s="473" t="s">
        <v>41</v>
      </c>
      <c r="E3762" s="361">
        <v>49.21</v>
      </c>
    </row>
    <row r="3763" spans="1:5">
      <c r="A3763" s="473">
        <v>37557</v>
      </c>
      <c r="B3763" s="473" t="s">
        <v>13412</v>
      </c>
      <c r="C3763" s="473" t="s">
        <v>40</v>
      </c>
      <c r="D3763" s="473" t="s">
        <v>41</v>
      </c>
      <c r="E3763" s="361">
        <v>14.94</v>
      </c>
    </row>
    <row r="3764" spans="1:5">
      <c r="A3764" s="473">
        <v>37556</v>
      </c>
      <c r="B3764" s="473" t="s">
        <v>13413</v>
      </c>
      <c r="C3764" s="473" t="s">
        <v>40</v>
      </c>
      <c r="D3764" s="473" t="s">
        <v>41</v>
      </c>
      <c r="E3764" s="361">
        <v>28.91</v>
      </c>
    </row>
    <row r="3765" spans="1:5">
      <c r="A3765" s="473">
        <v>37559</v>
      </c>
      <c r="B3765" s="473" t="s">
        <v>13414</v>
      </c>
      <c r="C3765" s="473" t="s">
        <v>40</v>
      </c>
      <c r="D3765" s="473" t="s">
        <v>41</v>
      </c>
      <c r="E3765" s="361">
        <v>35.47</v>
      </c>
    </row>
    <row r="3766" spans="1:5">
      <c r="A3766" s="473">
        <v>37539</v>
      </c>
      <c r="B3766" s="473" t="s">
        <v>13415</v>
      </c>
      <c r="C3766" s="473" t="s">
        <v>40</v>
      </c>
      <c r="D3766" s="473" t="s">
        <v>44</v>
      </c>
      <c r="E3766" s="361">
        <v>25</v>
      </c>
    </row>
    <row r="3767" spans="1:5">
      <c r="A3767" s="473">
        <v>37558</v>
      </c>
      <c r="B3767" s="473" t="s">
        <v>13416</v>
      </c>
      <c r="C3767" s="473" t="s">
        <v>40</v>
      </c>
      <c r="D3767" s="473" t="s">
        <v>41</v>
      </c>
      <c r="E3767" s="361">
        <v>46.61</v>
      </c>
    </row>
    <row r="3768" spans="1:5">
      <c r="A3768" s="473">
        <v>34723</v>
      </c>
      <c r="B3768" s="473" t="s">
        <v>13417</v>
      </c>
      <c r="C3768" s="473" t="s">
        <v>46</v>
      </c>
      <c r="D3768" s="473" t="s">
        <v>41</v>
      </c>
      <c r="E3768" s="361">
        <v>612.15</v>
      </c>
    </row>
    <row r="3769" spans="1:5">
      <c r="A3769" s="473">
        <v>34721</v>
      </c>
      <c r="B3769" s="473" t="s">
        <v>13418</v>
      </c>
      <c r="C3769" s="473" t="s">
        <v>46</v>
      </c>
      <c r="D3769" s="473" t="s">
        <v>41</v>
      </c>
      <c r="E3769" s="361">
        <v>763.2</v>
      </c>
    </row>
    <row r="3770" spans="1:5">
      <c r="A3770" s="473">
        <v>4309</v>
      </c>
      <c r="B3770" s="473" t="s">
        <v>13419</v>
      </c>
      <c r="C3770" s="473" t="s">
        <v>40</v>
      </c>
      <c r="D3770" s="473" t="s">
        <v>41</v>
      </c>
      <c r="E3770" s="361">
        <v>4.2699999999999996</v>
      </c>
    </row>
    <row r="3771" spans="1:5">
      <c r="A3771" s="473">
        <v>4307</v>
      </c>
      <c r="B3771" s="473" t="s">
        <v>13420</v>
      </c>
      <c r="C3771" s="473" t="s">
        <v>40</v>
      </c>
      <c r="D3771" s="473" t="s">
        <v>41</v>
      </c>
      <c r="E3771" s="361">
        <v>7.3</v>
      </c>
    </row>
    <row r="3772" spans="1:5">
      <c r="A3772" s="473">
        <v>10850</v>
      </c>
      <c r="B3772" s="473" t="s">
        <v>13421</v>
      </c>
      <c r="C3772" s="473" t="s">
        <v>40</v>
      </c>
      <c r="D3772" s="473" t="s">
        <v>41</v>
      </c>
      <c r="E3772" s="361">
        <v>39.75</v>
      </c>
    </row>
    <row r="3773" spans="1:5">
      <c r="A3773" s="473">
        <v>42438</v>
      </c>
      <c r="B3773" s="473" t="s">
        <v>13422</v>
      </c>
      <c r="C3773" s="473" t="s">
        <v>40</v>
      </c>
      <c r="D3773" s="473" t="s">
        <v>47</v>
      </c>
      <c r="E3773" s="361">
        <v>1187.6099999999999</v>
      </c>
    </row>
    <row r="3774" spans="1:5">
      <c r="A3774" s="473">
        <v>4792</v>
      </c>
      <c r="B3774" s="473" t="s">
        <v>13423</v>
      </c>
      <c r="C3774" s="473" t="s">
        <v>46</v>
      </c>
      <c r="D3774" s="473" t="s">
        <v>41</v>
      </c>
      <c r="E3774" s="361">
        <v>114.09</v>
      </c>
    </row>
    <row r="3775" spans="1:5">
      <c r="A3775" s="473">
        <v>4790</v>
      </c>
      <c r="B3775" s="473" t="s">
        <v>13424</v>
      </c>
      <c r="C3775" s="473" t="s">
        <v>46</v>
      </c>
      <c r="D3775" s="473" t="s">
        <v>44</v>
      </c>
      <c r="E3775" s="361">
        <v>68.599999999999994</v>
      </c>
    </row>
    <row r="3776" spans="1:5">
      <c r="A3776" s="473">
        <v>40671</v>
      </c>
      <c r="B3776" s="473" t="s">
        <v>13425</v>
      </c>
      <c r="C3776" s="473" t="s">
        <v>46</v>
      </c>
      <c r="D3776" s="473" t="s">
        <v>41</v>
      </c>
      <c r="E3776" s="361">
        <v>42.31</v>
      </c>
    </row>
    <row r="3777" spans="1:5">
      <c r="A3777" s="473">
        <v>7552</v>
      </c>
      <c r="B3777" s="473" t="s">
        <v>13426</v>
      </c>
      <c r="C3777" s="473" t="s">
        <v>40</v>
      </c>
      <c r="D3777" s="473" t="s">
        <v>47</v>
      </c>
      <c r="E3777" s="361">
        <v>22.9</v>
      </c>
    </row>
    <row r="3778" spans="1:5">
      <c r="A3778" s="473">
        <v>4893</v>
      </c>
      <c r="B3778" s="473" t="s">
        <v>13427</v>
      </c>
      <c r="C3778" s="473" t="s">
        <v>40</v>
      </c>
      <c r="D3778" s="473" t="s">
        <v>41</v>
      </c>
      <c r="E3778" s="361">
        <v>7.86</v>
      </c>
    </row>
    <row r="3779" spans="1:5">
      <c r="A3779" s="473">
        <v>4894</v>
      </c>
      <c r="B3779" s="473" t="s">
        <v>13428</v>
      </c>
      <c r="C3779" s="473" t="s">
        <v>40</v>
      </c>
      <c r="D3779" s="473" t="s">
        <v>41</v>
      </c>
      <c r="E3779" s="361">
        <v>6.74</v>
      </c>
    </row>
    <row r="3780" spans="1:5">
      <c r="A3780" s="473">
        <v>4888</v>
      </c>
      <c r="B3780" s="473" t="s">
        <v>13429</v>
      </c>
      <c r="C3780" s="473" t="s">
        <v>40</v>
      </c>
      <c r="D3780" s="473" t="s">
        <v>41</v>
      </c>
      <c r="E3780" s="361">
        <v>2.29</v>
      </c>
    </row>
    <row r="3781" spans="1:5">
      <c r="A3781" s="473">
        <v>4890</v>
      </c>
      <c r="B3781" s="473" t="s">
        <v>13430</v>
      </c>
      <c r="C3781" s="473" t="s">
        <v>40</v>
      </c>
      <c r="D3781" s="473" t="s">
        <v>41</v>
      </c>
      <c r="E3781" s="361">
        <v>4.3099999999999996</v>
      </c>
    </row>
    <row r="3782" spans="1:5">
      <c r="A3782" s="473">
        <v>12411</v>
      </c>
      <c r="B3782" s="473" t="s">
        <v>13431</v>
      </c>
      <c r="C3782" s="473" t="s">
        <v>40</v>
      </c>
      <c r="D3782" s="473" t="s">
        <v>41</v>
      </c>
      <c r="E3782" s="361">
        <v>23.25</v>
      </c>
    </row>
    <row r="3783" spans="1:5">
      <c r="A3783" s="473">
        <v>4891</v>
      </c>
      <c r="B3783" s="473" t="s">
        <v>13432</v>
      </c>
      <c r="C3783" s="473" t="s">
        <v>40</v>
      </c>
      <c r="D3783" s="473" t="s">
        <v>41</v>
      </c>
      <c r="E3783" s="361">
        <v>11.62</v>
      </c>
    </row>
    <row r="3784" spans="1:5">
      <c r="A3784" s="473">
        <v>4889</v>
      </c>
      <c r="B3784" s="473" t="s">
        <v>13433</v>
      </c>
      <c r="C3784" s="473" t="s">
        <v>40</v>
      </c>
      <c r="D3784" s="473" t="s">
        <v>41</v>
      </c>
      <c r="E3784" s="361">
        <v>3.1</v>
      </c>
    </row>
    <row r="3785" spans="1:5">
      <c r="A3785" s="473">
        <v>4892</v>
      </c>
      <c r="B3785" s="473" t="s">
        <v>13434</v>
      </c>
      <c r="C3785" s="473" t="s">
        <v>40</v>
      </c>
      <c r="D3785" s="473" t="s">
        <v>41</v>
      </c>
      <c r="E3785" s="361">
        <v>32.549999999999997</v>
      </c>
    </row>
    <row r="3786" spans="1:5">
      <c r="A3786" s="473">
        <v>12412</v>
      </c>
      <c r="B3786" s="473" t="s">
        <v>13435</v>
      </c>
      <c r="C3786" s="473" t="s">
        <v>40</v>
      </c>
      <c r="D3786" s="473" t="s">
        <v>41</v>
      </c>
      <c r="E3786" s="361">
        <v>60.5</v>
      </c>
    </row>
    <row r="3787" spans="1:5">
      <c r="A3787" s="473">
        <v>11073</v>
      </c>
      <c r="B3787" s="473" t="s">
        <v>13436</v>
      </c>
      <c r="C3787" s="473" t="s">
        <v>40</v>
      </c>
      <c r="D3787" s="473" t="s">
        <v>41</v>
      </c>
      <c r="E3787" s="361">
        <v>3.18</v>
      </c>
    </row>
    <row r="3788" spans="1:5">
      <c r="A3788" s="473">
        <v>11071</v>
      </c>
      <c r="B3788" s="473" t="s">
        <v>13437</v>
      </c>
      <c r="C3788" s="473" t="s">
        <v>40</v>
      </c>
      <c r="D3788" s="473" t="s">
        <v>41</v>
      </c>
      <c r="E3788" s="361">
        <v>5.16</v>
      </c>
    </row>
    <row r="3789" spans="1:5">
      <c r="A3789" s="473">
        <v>11072</v>
      </c>
      <c r="B3789" s="473" t="s">
        <v>13438</v>
      </c>
      <c r="C3789" s="473" t="s">
        <v>40</v>
      </c>
      <c r="D3789" s="473" t="s">
        <v>41</v>
      </c>
      <c r="E3789" s="361">
        <v>1.8</v>
      </c>
    </row>
    <row r="3790" spans="1:5">
      <c r="A3790" s="473">
        <v>4895</v>
      </c>
      <c r="B3790" s="473" t="s">
        <v>13439</v>
      </c>
      <c r="C3790" s="473" t="s">
        <v>40</v>
      </c>
      <c r="D3790" s="473" t="s">
        <v>41</v>
      </c>
      <c r="E3790" s="361">
        <v>0.38</v>
      </c>
    </row>
    <row r="3791" spans="1:5">
      <c r="A3791" s="473">
        <v>4907</v>
      </c>
      <c r="B3791" s="473" t="s">
        <v>13440</v>
      </c>
      <c r="C3791" s="473" t="s">
        <v>40</v>
      </c>
      <c r="D3791" s="473" t="s">
        <v>47</v>
      </c>
      <c r="E3791" s="361">
        <v>19.34</v>
      </c>
    </row>
    <row r="3792" spans="1:5">
      <c r="A3792" s="473">
        <v>4902</v>
      </c>
      <c r="B3792" s="473" t="s">
        <v>13441</v>
      </c>
      <c r="C3792" s="473" t="s">
        <v>40</v>
      </c>
      <c r="D3792" s="473" t="s">
        <v>47</v>
      </c>
      <c r="E3792" s="361">
        <v>43.77</v>
      </c>
    </row>
    <row r="3793" spans="1:5">
      <c r="A3793" s="473">
        <v>4908</v>
      </c>
      <c r="B3793" s="473" t="s">
        <v>13442</v>
      </c>
      <c r="C3793" s="473" t="s">
        <v>40</v>
      </c>
      <c r="D3793" s="473" t="s">
        <v>47</v>
      </c>
      <c r="E3793" s="361">
        <v>88.89</v>
      </c>
    </row>
    <row r="3794" spans="1:5">
      <c r="A3794" s="473">
        <v>4909</v>
      </c>
      <c r="B3794" s="473" t="s">
        <v>13443</v>
      </c>
      <c r="C3794" s="473" t="s">
        <v>40</v>
      </c>
      <c r="D3794" s="473" t="s">
        <v>47</v>
      </c>
      <c r="E3794" s="361">
        <v>171.67</v>
      </c>
    </row>
    <row r="3795" spans="1:5">
      <c r="A3795" s="473">
        <v>4903</v>
      </c>
      <c r="B3795" s="473" t="s">
        <v>13444</v>
      </c>
      <c r="C3795" s="473" t="s">
        <v>40</v>
      </c>
      <c r="D3795" s="473" t="s">
        <v>47</v>
      </c>
      <c r="E3795" s="361">
        <v>504.77</v>
      </c>
    </row>
    <row r="3796" spans="1:5">
      <c r="A3796" s="473">
        <v>4897</v>
      </c>
      <c r="B3796" s="473" t="s">
        <v>13445</v>
      </c>
      <c r="C3796" s="473" t="s">
        <v>40</v>
      </c>
      <c r="D3796" s="473" t="s">
        <v>41</v>
      </c>
      <c r="E3796" s="361">
        <v>1.6</v>
      </c>
    </row>
    <row r="3797" spans="1:5">
      <c r="A3797" s="473">
        <v>4896</v>
      </c>
      <c r="B3797" s="473" t="s">
        <v>13446</v>
      </c>
      <c r="C3797" s="473" t="s">
        <v>40</v>
      </c>
      <c r="D3797" s="473" t="s">
        <v>41</v>
      </c>
      <c r="E3797" s="361">
        <v>0.56999999999999995</v>
      </c>
    </row>
    <row r="3798" spans="1:5">
      <c r="A3798" s="473">
        <v>4900</v>
      </c>
      <c r="B3798" s="473" t="s">
        <v>13447</v>
      </c>
      <c r="C3798" s="473" t="s">
        <v>40</v>
      </c>
      <c r="D3798" s="473" t="s">
        <v>41</v>
      </c>
      <c r="E3798" s="361">
        <v>4.78</v>
      </c>
    </row>
    <row r="3799" spans="1:5">
      <c r="A3799" s="473">
        <v>4898</v>
      </c>
      <c r="B3799" s="473" t="s">
        <v>13448</v>
      </c>
      <c r="C3799" s="473" t="s">
        <v>40</v>
      </c>
      <c r="D3799" s="473" t="s">
        <v>41</v>
      </c>
      <c r="E3799" s="361">
        <v>1.79</v>
      </c>
    </row>
    <row r="3800" spans="1:5">
      <c r="A3800" s="473">
        <v>4899</v>
      </c>
      <c r="B3800" s="473" t="s">
        <v>13449</v>
      </c>
      <c r="C3800" s="473" t="s">
        <v>40</v>
      </c>
      <c r="D3800" s="473" t="s">
        <v>41</v>
      </c>
      <c r="E3800" s="361">
        <v>6.56</v>
      </c>
    </row>
    <row r="3801" spans="1:5">
      <c r="A3801" s="473">
        <v>11096</v>
      </c>
      <c r="B3801" s="473" t="s">
        <v>13450</v>
      </c>
      <c r="C3801" s="473" t="s">
        <v>49</v>
      </c>
      <c r="D3801" s="473" t="s">
        <v>41</v>
      </c>
      <c r="E3801" s="361">
        <v>0.42</v>
      </c>
    </row>
    <row r="3802" spans="1:5">
      <c r="A3802" s="473">
        <v>4741</v>
      </c>
      <c r="B3802" s="473" t="s">
        <v>13451</v>
      </c>
      <c r="C3802" s="473" t="s">
        <v>45</v>
      </c>
      <c r="D3802" s="473" t="s">
        <v>41</v>
      </c>
      <c r="E3802" s="361">
        <v>77.959999999999994</v>
      </c>
    </row>
    <row r="3803" spans="1:5">
      <c r="A3803" s="473">
        <v>4752</v>
      </c>
      <c r="B3803" s="473" t="s">
        <v>13452</v>
      </c>
      <c r="C3803" s="473" t="s">
        <v>43</v>
      </c>
      <c r="D3803" s="473" t="s">
        <v>41</v>
      </c>
      <c r="E3803" s="361">
        <v>9.0399999999999991</v>
      </c>
    </row>
    <row r="3804" spans="1:5">
      <c r="A3804" s="473">
        <v>41091</v>
      </c>
      <c r="B3804" s="473" t="s">
        <v>13453</v>
      </c>
      <c r="C3804" s="473" t="s">
        <v>53</v>
      </c>
      <c r="D3804" s="473" t="s">
        <v>41</v>
      </c>
      <c r="E3804" s="361">
        <v>1613.37</v>
      </c>
    </row>
    <row r="3805" spans="1:5">
      <c r="A3805" s="473">
        <v>13954</v>
      </c>
      <c r="B3805" s="473" t="s">
        <v>13454</v>
      </c>
      <c r="C3805" s="473" t="s">
        <v>40</v>
      </c>
      <c r="D3805" s="473" t="s">
        <v>47</v>
      </c>
      <c r="E3805" s="361">
        <v>6346.57</v>
      </c>
    </row>
    <row r="3806" spans="1:5">
      <c r="A3806" s="473">
        <v>3411</v>
      </c>
      <c r="B3806" s="473" t="s">
        <v>13455</v>
      </c>
      <c r="C3806" s="473" t="s">
        <v>49</v>
      </c>
      <c r="D3806" s="473" t="s">
        <v>47</v>
      </c>
      <c r="E3806" s="361">
        <v>45.12</v>
      </c>
    </row>
    <row r="3807" spans="1:5">
      <c r="A3807" s="473">
        <v>39995</v>
      </c>
      <c r="B3807" s="473" t="s">
        <v>13456</v>
      </c>
      <c r="C3807" s="473" t="s">
        <v>45</v>
      </c>
      <c r="D3807" s="473" t="s">
        <v>47</v>
      </c>
      <c r="E3807" s="361">
        <v>347.14</v>
      </c>
    </row>
    <row r="3808" spans="1:5">
      <c r="A3808" s="473">
        <v>11615</v>
      </c>
      <c r="B3808" s="473" t="s">
        <v>13457</v>
      </c>
      <c r="C3808" s="473" t="s">
        <v>46</v>
      </c>
      <c r="D3808" s="473" t="s">
        <v>47</v>
      </c>
      <c r="E3808" s="361">
        <v>2.94</v>
      </c>
    </row>
    <row r="3809" spans="1:5">
      <c r="A3809" s="473">
        <v>3408</v>
      </c>
      <c r="B3809" s="473" t="s">
        <v>13458</v>
      </c>
      <c r="C3809" s="473" t="s">
        <v>46</v>
      </c>
      <c r="D3809" s="473" t="s">
        <v>47</v>
      </c>
      <c r="E3809" s="361">
        <v>7.82</v>
      </c>
    </row>
    <row r="3810" spans="1:5">
      <c r="A3810" s="473">
        <v>3409</v>
      </c>
      <c r="B3810" s="473" t="s">
        <v>13459</v>
      </c>
      <c r="C3810" s="473" t="s">
        <v>46</v>
      </c>
      <c r="D3810" s="473" t="s">
        <v>47</v>
      </c>
      <c r="E3810" s="361">
        <v>19.55</v>
      </c>
    </row>
    <row r="3811" spans="1:5">
      <c r="A3811" s="473">
        <v>11427</v>
      </c>
      <c r="B3811" s="473" t="s">
        <v>13460</v>
      </c>
      <c r="C3811" s="473" t="s">
        <v>49</v>
      </c>
      <c r="D3811" s="473" t="s">
        <v>47</v>
      </c>
      <c r="E3811" s="361">
        <v>81.59</v>
      </c>
    </row>
    <row r="3812" spans="1:5">
      <c r="A3812" s="473">
        <v>4491</v>
      </c>
      <c r="B3812" s="473" t="s">
        <v>13461</v>
      </c>
      <c r="C3812" s="473" t="s">
        <v>48</v>
      </c>
      <c r="D3812" s="473" t="s">
        <v>41</v>
      </c>
      <c r="E3812" s="361">
        <v>3.61</v>
      </c>
    </row>
    <row r="3813" spans="1:5">
      <c r="A3813" s="473">
        <v>26022</v>
      </c>
      <c r="B3813" s="473" t="s">
        <v>13462</v>
      </c>
      <c r="C3813" s="473" t="s">
        <v>40</v>
      </c>
      <c r="D3813" s="473" t="s">
        <v>41</v>
      </c>
      <c r="E3813" s="361">
        <v>158.88999999999999</v>
      </c>
    </row>
    <row r="3814" spans="1:5">
      <c r="A3814" s="473">
        <v>421</v>
      </c>
      <c r="B3814" s="473" t="s">
        <v>13463</v>
      </c>
      <c r="C3814" s="473" t="s">
        <v>40</v>
      </c>
      <c r="D3814" s="473" t="s">
        <v>47</v>
      </c>
      <c r="E3814" s="361">
        <v>10.73</v>
      </c>
    </row>
    <row r="3815" spans="1:5">
      <c r="A3815" s="473">
        <v>12362</v>
      </c>
      <c r="B3815" s="473" t="s">
        <v>13464</v>
      </c>
      <c r="C3815" s="473" t="s">
        <v>40</v>
      </c>
      <c r="D3815" s="473" t="s">
        <v>47</v>
      </c>
      <c r="E3815" s="361">
        <v>9.73</v>
      </c>
    </row>
    <row r="3816" spans="1:5">
      <c r="A3816" s="473">
        <v>14148</v>
      </c>
      <c r="B3816" s="473" t="s">
        <v>13465</v>
      </c>
      <c r="C3816" s="473" t="s">
        <v>40</v>
      </c>
      <c r="D3816" s="473" t="s">
        <v>47</v>
      </c>
      <c r="E3816" s="361">
        <v>0.6</v>
      </c>
    </row>
    <row r="3817" spans="1:5">
      <c r="A3817" s="473">
        <v>4341</v>
      </c>
      <c r="B3817" s="473" t="s">
        <v>13466</v>
      </c>
      <c r="C3817" s="473" t="s">
        <v>40</v>
      </c>
      <c r="D3817" s="473" t="s">
        <v>41</v>
      </c>
      <c r="E3817" s="361">
        <v>0.73</v>
      </c>
    </row>
    <row r="3818" spans="1:5">
      <c r="A3818" s="473">
        <v>4337</v>
      </c>
      <c r="B3818" s="473" t="s">
        <v>13467</v>
      </c>
      <c r="C3818" s="473" t="s">
        <v>40</v>
      </c>
      <c r="D3818" s="473" t="s">
        <v>41</v>
      </c>
      <c r="E3818" s="361">
        <v>1.85</v>
      </c>
    </row>
    <row r="3819" spans="1:5">
      <c r="A3819" s="473">
        <v>4339</v>
      </c>
      <c r="B3819" s="473" t="s">
        <v>13468</v>
      </c>
      <c r="C3819" s="473" t="s">
        <v>40</v>
      </c>
      <c r="D3819" s="473" t="s">
        <v>41</v>
      </c>
      <c r="E3819" s="361">
        <v>0.39</v>
      </c>
    </row>
    <row r="3820" spans="1:5">
      <c r="A3820" s="473">
        <v>39997</v>
      </c>
      <c r="B3820" s="473" t="s">
        <v>13469</v>
      </c>
      <c r="C3820" s="473" t="s">
        <v>40</v>
      </c>
      <c r="D3820" s="473" t="s">
        <v>41</v>
      </c>
      <c r="E3820" s="361">
        <v>0.22</v>
      </c>
    </row>
    <row r="3821" spans="1:5">
      <c r="A3821" s="473">
        <v>11971</v>
      </c>
      <c r="B3821" s="473" t="s">
        <v>13470</v>
      </c>
      <c r="C3821" s="473" t="s">
        <v>40</v>
      </c>
      <c r="D3821" s="473" t="s">
        <v>41</v>
      </c>
      <c r="E3821" s="361">
        <v>3.07</v>
      </c>
    </row>
    <row r="3822" spans="1:5">
      <c r="A3822" s="473">
        <v>4342</v>
      </c>
      <c r="B3822" s="473" t="s">
        <v>13471</v>
      </c>
      <c r="C3822" s="473" t="s">
        <v>40</v>
      </c>
      <c r="D3822" s="473" t="s">
        <v>41</v>
      </c>
      <c r="E3822" s="361">
        <v>0.16</v>
      </c>
    </row>
    <row r="3823" spans="1:5">
      <c r="A3823" s="473">
        <v>4330</v>
      </c>
      <c r="B3823" s="473" t="s">
        <v>13472</v>
      </c>
      <c r="C3823" s="473" t="s">
        <v>40</v>
      </c>
      <c r="D3823" s="473" t="s">
        <v>41</v>
      </c>
      <c r="E3823" s="361">
        <v>0.1</v>
      </c>
    </row>
    <row r="3824" spans="1:5">
      <c r="A3824" s="473">
        <v>4340</v>
      </c>
      <c r="B3824" s="473" t="s">
        <v>13473</v>
      </c>
      <c r="C3824" s="473" t="s">
        <v>40</v>
      </c>
      <c r="D3824" s="473" t="s">
        <v>41</v>
      </c>
      <c r="E3824" s="361">
        <v>0.86</v>
      </c>
    </row>
    <row r="3825" spans="1:5">
      <c r="A3825" s="473">
        <v>5088</v>
      </c>
      <c r="B3825" s="473" t="s">
        <v>13474</v>
      </c>
      <c r="C3825" s="473" t="s">
        <v>40</v>
      </c>
      <c r="D3825" s="473" t="s">
        <v>41</v>
      </c>
      <c r="E3825" s="361">
        <v>2.42</v>
      </c>
    </row>
    <row r="3826" spans="1:5">
      <c r="A3826" s="473">
        <v>11154</v>
      </c>
      <c r="B3826" s="473" t="s">
        <v>13475</v>
      </c>
      <c r="C3826" s="473" t="s">
        <v>40</v>
      </c>
      <c r="D3826" s="473" t="s">
        <v>47</v>
      </c>
      <c r="E3826" s="361">
        <v>789.19</v>
      </c>
    </row>
    <row r="3827" spans="1:5">
      <c r="A3827" s="473">
        <v>39021</v>
      </c>
      <c r="B3827" s="473" t="s">
        <v>13476</v>
      </c>
      <c r="C3827" s="473" t="s">
        <v>40</v>
      </c>
      <c r="D3827" s="473" t="s">
        <v>47</v>
      </c>
      <c r="E3827" s="361">
        <v>354.97</v>
      </c>
    </row>
    <row r="3828" spans="1:5">
      <c r="A3828" s="473">
        <v>39022</v>
      </c>
      <c r="B3828" s="473" t="s">
        <v>13477</v>
      </c>
      <c r="C3828" s="473" t="s">
        <v>40</v>
      </c>
      <c r="D3828" s="473" t="s">
        <v>47</v>
      </c>
      <c r="E3828" s="361">
        <v>439</v>
      </c>
    </row>
    <row r="3829" spans="1:5">
      <c r="A3829" s="473">
        <v>39024</v>
      </c>
      <c r="B3829" s="473" t="s">
        <v>13478</v>
      </c>
      <c r="C3829" s="473" t="s">
        <v>40</v>
      </c>
      <c r="D3829" s="473" t="s">
        <v>47</v>
      </c>
      <c r="E3829" s="361">
        <v>567.92999999999995</v>
      </c>
    </row>
    <row r="3830" spans="1:5">
      <c r="A3830" s="473">
        <v>4914</v>
      </c>
      <c r="B3830" s="473" t="s">
        <v>13479</v>
      </c>
      <c r="C3830" s="473" t="s">
        <v>46</v>
      </c>
      <c r="D3830" s="473" t="s">
        <v>47</v>
      </c>
      <c r="E3830" s="361">
        <v>460.49</v>
      </c>
    </row>
    <row r="3831" spans="1:5">
      <c r="A3831" s="473">
        <v>4917</v>
      </c>
      <c r="B3831" s="473" t="s">
        <v>13480</v>
      </c>
      <c r="C3831" s="473" t="s">
        <v>46</v>
      </c>
      <c r="D3831" s="473" t="s">
        <v>47</v>
      </c>
      <c r="E3831" s="361">
        <v>318.02</v>
      </c>
    </row>
    <row r="3832" spans="1:5">
      <c r="A3832" s="473">
        <v>39025</v>
      </c>
      <c r="B3832" s="473" t="s">
        <v>13481</v>
      </c>
      <c r="C3832" s="473" t="s">
        <v>40</v>
      </c>
      <c r="D3832" s="473" t="s">
        <v>47</v>
      </c>
      <c r="E3832" s="361">
        <v>582.35</v>
      </c>
    </row>
    <row r="3833" spans="1:5">
      <c r="A3833" s="473">
        <v>4930</v>
      </c>
      <c r="B3833" s="473" t="s">
        <v>13482</v>
      </c>
      <c r="C3833" s="473" t="s">
        <v>46</v>
      </c>
      <c r="D3833" s="473" t="s">
        <v>47</v>
      </c>
      <c r="E3833" s="361">
        <v>381.5</v>
      </c>
    </row>
    <row r="3834" spans="1:5">
      <c r="A3834" s="473">
        <v>4922</v>
      </c>
      <c r="B3834" s="473" t="s">
        <v>13483</v>
      </c>
      <c r="C3834" s="473" t="s">
        <v>46</v>
      </c>
      <c r="D3834" s="473" t="s">
        <v>47</v>
      </c>
      <c r="E3834" s="361">
        <v>294.99</v>
      </c>
    </row>
    <row r="3835" spans="1:5">
      <c r="A3835" s="473">
        <v>4911</v>
      </c>
      <c r="B3835" s="473" t="s">
        <v>13484</v>
      </c>
      <c r="C3835" s="473" t="s">
        <v>46</v>
      </c>
      <c r="D3835" s="473" t="s">
        <v>47</v>
      </c>
      <c r="E3835" s="361">
        <v>140.34</v>
      </c>
    </row>
    <row r="3836" spans="1:5">
      <c r="A3836" s="473">
        <v>37518</v>
      </c>
      <c r="B3836" s="473" t="s">
        <v>13485</v>
      </c>
      <c r="C3836" s="473" t="s">
        <v>46</v>
      </c>
      <c r="D3836" s="473" t="s">
        <v>47</v>
      </c>
      <c r="E3836" s="361">
        <v>179.15</v>
      </c>
    </row>
    <row r="3837" spans="1:5">
      <c r="A3837" s="473">
        <v>4910</v>
      </c>
      <c r="B3837" s="473" t="s">
        <v>13486</v>
      </c>
      <c r="C3837" s="473" t="s">
        <v>46</v>
      </c>
      <c r="D3837" s="473" t="s">
        <v>47</v>
      </c>
      <c r="E3837" s="361">
        <v>140.34</v>
      </c>
    </row>
    <row r="3838" spans="1:5">
      <c r="A3838" s="473">
        <v>4943</v>
      </c>
      <c r="B3838" s="473" t="s">
        <v>13487</v>
      </c>
      <c r="C3838" s="473" t="s">
        <v>46</v>
      </c>
      <c r="D3838" s="473" t="s">
        <v>47</v>
      </c>
      <c r="E3838" s="361">
        <v>222.75</v>
      </c>
    </row>
    <row r="3839" spans="1:5">
      <c r="A3839" s="473">
        <v>5002</v>
      </c>
      <c r="B3839" s="473" t="s">
        <v>13488</v>
      </c>
      <c r="C3839" s="473" t="s">
        <v>46</v>
      </c>
      <c r="D3839" s="473" t="s">
        <v>47</v>
      </c>
      <c r="E3839" s="361">
        <v>277.89999999999998</v>
      </c>
    </row>
    <row r="3840" spans="1:5">
      <c r="A3840" s="473">
        <v>4977</v>
      </c>
      <c r="B3840" s="473" t="s">
        <v>13489</v>
      </c>
      <c r="C3840" s="473" t="s">
        <v>46</v>
      </c>
      <c r="D3840" s="473" t="s">
        <v>47</v>
      </c>
      <c r="E3840" s="361">
        <v>187.59</v>
      </c>
    </row>
    <row r="3841" spans="1:5">
      <c r="A3841" s="473">
        <v>5028</v>
      </c>
      <c r="B3841" s="473" t="s">
        <v>13490</v>
      </c>
      <c r="C3841" s="473" t="s">
        <v>46</v>
      </c>
      <c r="D3841" s="473" t="s">
        <v>47</v>
      </c>
      <c r="E3841" s="361">
        <v>459.02</v>
      </c>
    </row>
    <row r="3842" spans="1:5">
      <c r="A3842" s="473">
        <v>4998</v>
      </c>
      <c r="B3842" s="473" t="s">
        <v>13491</v>
      </c>
      <c r="C3842" s="473" t="s">
        <v>46</v>
      </c>
      <c r="D3842" s="473" t="s">
        <v>47</v>
      </c>
      <c r="E3842" s="361">
        <v>381.23</v>
      </c>
    </row>
    <row r="3843" spans="1:5">
      <c r="A3843" s="473">
        <v>4969</v>
      </c>
      <c r="B3843" s="473" t="s">
        <v>13492</v>
      </c>
      <c r="C3843" s="473" t="s">
        <v>46</v>
      </c>
      <c r="D3843" s="473" t="s">
        <v>47</v>
      </c>
      <c r="E3843" s="361">
        <v>265.32</v>
      </c>
    </row>
    <row r="3844" spans="1:5">
      <c r="A3844" s="473">
        <v>11364</v>
      </c>
      <c r="B3844" s="473" t="s">
        <v>13493</v>
      </c>
      <c r="C3844" s="473" t="s">
        <v>40</v>
      </c>
      <c r="D3844" s="473" t="s">
        <v>41</v>
      </c>
      <c r="E3844" s="361">
        <v>90.39</v>
      </c>
    </row>
    <row r="3845" spans="1:5">
      <c r="A3845" s="473">
        <v>11365</v>
      </c>
      <c r="B3845" s="473" t="s">
        <v>13494</v>
      </c>
      <c r="C3845" s="473" t="s">
        <v>40</v>
      </c>
      <c r="D3845" s="473" t="s">
        <v>41</v>
      </c>
      <c r="E3845" s="361">
        <v>97.35</v>
      </c>
    </row>
    <row r="3846" spans="1:5">
      <c r="A3846" s="473">
        <v>11366</v>
      </c>
      <c r="B3846" s="473" t="s">
        <v>13495</v>
      </c>
      <c r="C3846" s="473" t="s">
        <v>40</v>
      </c>
      <c r="D3846" s="473" t="s">
        <v>41</v>
      </c>
      <c r="E3846" s="361">
        <v>103.03</v>
      </c>
    </row>
    <row r="3847" spans="1:5">
      <c r="A3847" s="473">
        <v>11367</v>
      </c>
      <c r="B3847" s="473" t="s">
        <v>13496</v>
      </c>
      <c r="C3847" s="473" t="s">
        <v>46</v>
      </c>
      <c r="D3847" s="473" t="s">
        <v>41</v>
      </c>
      <c r="E3847" s="361">
        <v>79.36</v>
      </c>
    </row>
    <row r="3848" spans="1:5">
      <c r="A3848" s="473">
        <v>4989</v>
      </c>
      <c r="B3848" s="473" t="s">
        <v>13497</v>
      </c>
      <c r="C3848" s="473" t="s">
        <v>40</v>
      </c>
      <c r="D3848" s="473" t="s">
        <v>41</v>
      </c>
      <c r="E3848" s="361">
        <v>205.93</v>
      </c>
    </row>
    <row r="3849" spans="1:5">
      <c r="A3849" s="473">
        <v>4982</v>
      </c>
      <c r="B3849" s="473" t="s">
        <v>13498</v>
      </c>
      <c r="C3849" s="473" t="s">
        <v>40</v>
      </c>
      <c r="D3849" s="473" t="s">
        <v>41</v>
      </c>
      <c r="E3849" s="361">
        <v>178.78</v>
      </c>
    </row>
    <row r="3850" spans="1:5">
      <c r="A3850" s="473">
        <v>20322</v>
      </c>
      <c r="B3850" s="473" t="s">
        <v>13499</v>
      </c>
      <c r="C3850" s="473" t="s">
        <v>40</v>
      </c>
      <c r="D3850" s="473" t="s">
        <v>41</v>
      </c>
      <c r="E3850" s="361">
        <v>157.57</v>
      </c>
    </row>
    <row r="3851" spans="1:5">
      <c r="A3851" s="473">
        <v>10553</v>
      </c>
      <c r="B3851" s="473" t="s">
        <v>13500</v>
      </c>
      <c r="C3851" s="473" t="s">
        <v>40</v>
      </c>
      <c r="D3851" s="473" t="s">
        <v>41</v>
      </c>
      <c r="E3851" s="361">
        <v>168</v>
      </c>
    </row>
    <row r="3852" spans="1:5">
      <c r="A3852" s="473">
        <v>5020</v>
      </c>
      <c r="B3852" s="473" t="s">
        <v>13501</v>
      </c>
      <c r="C3852" s="473" t="s">
        <v>40</v>
      </c>
      <c r="D3852" s="473" t="s">
        <v>41</v>
      </c>
      <c r="E3852" s="361">
        <v>174.18</v>
      </c>
    </row>
    <row r="3853" spans="1:5">
      <c r="A3853" s="473">
        <v>4962</v>
      </c>
      <c r="B3853" s="473" t="s">
        <v>13502</v>
      </c>
      <c r="C3853" s="473" t="s">
        <v>40</v>
      </c>
      <c r="D3853" s="473" t="s">
        <v>41</v>
      </c>
      <c r="E3853" s="361">
        <v>169.69</v>
      </c>
    </row>
    <row r="3854" spans="1:5">
      <c r="A3854" s="473">
        <v>4981</v>
      </c>
      <c r="B3854" s="473" t="s">
        <v>13503</v>
      </c>
      <c r="C3854" s="473" t="s">
        <v>40</v>
      </c>
      <c r="D3854" s="473" t="s">
        <v>44</v>
      </c>
      <c r="E3854" s="361">
        <v>120</v>
      </c>
    </row>
    <row r="3855" spans="1:5">
      <c r="A3855" s="473">
        <v>10554</v>
      </c>
      <c r="B3855" s="473" t="s">
        <v>13504</v>
      </c>
      <c r="C3855" s="473" t="s">
        <v>40</v>
      </c>
      <c r="D3855" s="473" t="s">
        <v>41</v>
      </c>
      <c r="E3855" s="361">
        <v>187.75</v>
      </c>
    </row>
    <row r="3856" spans="1:5">
      <c r="A3856" s="473">
        <v>4964</v>
      </c>
      <c r="B3856" s="473" t="s">
        <v>13505</v>
      </c>
      <c r="C3856" s="473" t="s">
        <v>40</v>
      </c>
      <c r="D3856" s="473" t="s">
        <v>41</v>
      </c>
      <c r="E3856" s="361">
        <v>206.06</v>
      </c>
    </row>
    <row r="3857" spans="1:5">
      <c r="A3857" s="473">
        <v>4992</v>
      </c>
      <c r="B3857" s="473" t="s">
        <v>13506</v>
      </c>
      <c r="C3857" s="473" t="s">
        <v>40</v>
      </c>
      <c r="D3857" s="473" t="s">
        <v>41</v>
      </c>
      <c r="E3857" s="361">
        <v>204.36</v>
      </c>
    </row>
    <row r="3858" spans="1:5">
      <c r="A3858" s="473">
        <v>10555</v>
      </c>
      <c r="B3858" s="473" t="s">
        <v>13507</v>
      </c>
      <c r="C3858" s="473" t="s">
        <v>40</v>
      </c>
      <c r="D3858" s="473" t="s">
        <v>41</v>
      </c>
      <c r="E3858" s="361">
        <v>181.21</v>
      </c>
    </row>
    <row r="3859" spans="1:5">
      <c r="A3859" s="473">
        <v>4987</v>
      </c>
      <c r="B3859" s="473" t="s">
        <v>13508</v>
      </c>
      <c r="C3859" s="473" t="s">
        <v>40</v>
      </c>
      <c r="D3859" s="473" t="s">
        <v>41</v>
      </c>
      <c r="E3859" s="361">
        <v>187.75</v>
      </c>
    </row>
    <row r="3860" spans="1:5">
      <c r="A3860" s="473">
        <v>10556</v>
      </c>
      <c r="B3860" s="473" t="s">
        <v>13509</v>
      </c>
      <c r="C3860" s="473" t="s">
        <v>40</v>
      </c>
      <c r="D3860" s="473" t="s">
        <v>41</v>
      </c>
      <c r="E3860" s="361">
        <v>192.51</v>
      </c>
    </row>
    <row r="3861" spans="1:5">
      <c r="A3861" s="473">
        <v>4958</v>
      </c>
      <c r="B3861" s="473" t="s">
        <v>13510</v>
      </c>
      <c r="C3861" s="473" t="s">
        <v>46</v>
      </c>
      <c r="D3861" s="473" t="s">
        <v>41</v>
      </c>
      <c r="E3861" s="361">
        <v>110.02</v>
      </c>
    </row>
    <row r="3862" spans="1:5">
      <c r="A3862" s="473">
        <v>39502</v>
      </c>
      <c r="B3862" s="473" t="s">
        <v>13511</v>
      </c>
      <c r="C3862" s="473" t="s">
        <v>40</v>
      </c>
      <c r="D3862" s="473" t="s">
        <v>41</v>
      </c>
      <c r="E3862" s="361">
        <v>266.66000000000003</v>
      </c>
    </row>
    <row r="3863" spans="1:5">
      <c r="A3863" s="473">
        <v>39504</v>
      </c>
      <c r="B3863" s="473" t="s">
        <v>13512</v>
      </c>
      <c r="C3863" s="473" t="s">
        <v>40</v>
      </c>
      <c r="D3863" s="473" t="s">
        <v>41</v>
      </c>
      <c r="E3863" s="361">
        <v>189.09</v>
      </c>
    </row>
    <row r="3864" spans="1:5">
      <c r="A3864" s="473">
        <v>39503</v>
      </c>
      <c r="B3864" s="473" t="s">
        <v>13513</v>
      </c>
      <c r="C3864" s="473" t="s">
        <v>40</v>
      </c>
      <c r="D3864" s="473" t="s">
        <v>41</v>
      </c>
      <c r="E3864" s="361">
        <v>289.69</v>
      </c>
    </row>
    <row r="3865" spans="1:5">
      <c r="A3865" s="473">
        <v>39505</v>
      </c>
      <c r="B3865" s="473" t="s">
        <v>13514</v>
      </c>
      <c r="C3865" s="473" t="s">
        <v>40</v>
      </c>
      <c r="D3865" s="473" t="s">
        <v>41</v>
      </c>
      <c r="E3865" s="361">
        <v>206.06</v>
      </c>
    </row>
    <row r="3866" spans="1:5">
      <c r="A3866" s="473">
        <v>25969</v>
      </c>
      <c r="B3866" s="473" t="s">
        <v>13515</v>
      </c>
      <c r="C3866" s="473" t="s">
        <v>40</v>
      </c>
      <c r="D3866" s="473" t="s">
        <v>47</v>
      </c>
      <c r="E3866" s="361">
        <v>353.78</v>
      </c>
    </row>
    <row r="3867" spans="1:5">
      <c r="A3867" s="473">
        <v>4944</v>
      </c>
      <c r="B3867" s="473" t="s">
        <v>13516</v>
      </c>
      <c r="C3867" s="473" t="s">
        <v>46</v>
      </c>
      <c r="D3867" s="473" t="s">
        <v>47</v>
      </c>
      <c r="E3867" s="361">
        <v>273.17</v>
      </c>
    </row>
    <row r="3868" spans="1:5">
      <c r="A3868" s="473">
        <v>21102</v>
      </c>
      <c r="B3868" s="473" t="s">
        <v>13517</v>
      </c>
      <c r="C3868" s="473" t="s">
        <v>40</v>
      </c>
      <c r="D3868" s="473" t="s">
        <v>41</v>
      </c>
      <c r="E3868" s="361">
        <v>29.13</v>
      </c>
    </row>
    <row r="3869" spans="1:5">
      <c r="A3869" s="473">
        <v>21101</v>
      </c>
      <c r="B3869" s="473" t="s">
        <v>13518</v>
      </c>
      <c r="C3869" s="473" t="s">
        <v>40</v>
      </c>
      <c r="D3869" s="473" t="s">
        <v>41</v>
      </c>
      <c r="E3869" s="361">
        <v>18.7</v>
      </c>
    </row>
    <row r="3870" spans="1:5">
      <c r="A3870" s="473">
        <v>34713</v>
      </c>
      <c r="B3870" s="473" t="s">
        <v>13519</v>
      </c>
      <c r="C3870" s="473" t="s">
        <v>46</v>
      </c>
      <c r="D3870" s="473" t="s">
        <v>41</v>
      </c>
      <c r="E3870" s="361">
        <v>142.19</v>
      </c>
    </row>
    <row r="3871" spans="1:5">
      <c r="A3871" s="473">
        <v>4947</v>
      </c>
      <c r="B3871" s="473" t="s">
        <v>13520</v>
      </c>
      <c r="C3871" s="473" t="s">
        <v>46</v>
      </c>
      <c r="D3871" s="473" t="s">
        <v>47</v>
      </c>
      <c r="E3871" s="361">
        <v>490.25</v>
      </c>
    </row>
    <row r="3872" spans="1:5">
      <c r="A3872" s="473">
        <v>37563</v>
      </c>
      <c r="B3872" s="473" t="s">
        <v>13521</v>
      </c>
      <c r="C3872" s="473" t="s">
        <v>46</v>
      </c>
      <c r="D3872" s="473" t="s">
        <v>47</v>
      </c>
      <c r="E3872" s="361">
        <v>376.43</v>
      </c>
    </row>
    <row r="3873" spans="1:5">
      <c r="A3873" s="473">
        <v>4948</v>
      </c>
      <c r="B3873" s="473" t="s">
        <v>13522</v>
      </c>
      <c r="C3873" s="473" t="s">
        <v>46</v>
      </c>
      <c r="D3873" s="473" t="s">
        <v>47</v>
      </c>
      <c r="E3873" s="361">
        <v>341.63</v>
      </c>
    </row>
    <row r="3874" spans="1:5">
      <c r="A3874" s="473">
        <v>37561</v>
      </c>
      <c r="B3874" s="473" t="s">
        <v>13523</v>
      </c>
      <c r="C3874" s="473" t="s">
        <v>46</v>
      </c>
      <c r="D3874" s="473" t="s">
        <v>47</v>
      </c>
      <c r="E3874" s="361">
        <v>702.71</v>
      </c>
    </row>
    <row r="3875" spans="1:5">
      <c r="A3875" s="473">
        <v>37562</v>
      </c>
      <c r="B3875" s="473" t="s">
        <v>13524</v>
      </c>
      <c r="C3875" s="473" t="s">
        <v>46</v>
      </c>
      <c r="D3875" s="473" t="s">
        <v>47</v>
      </c>
      <c r="E3875" s="361">
        <v>450.71</v>
      </c>
    </row>
    <row r="3876" spans="1:5">
      <c r="A3876" s="473">
        <v>37585</v>
      </c>
      <c r="B3876" s="473" t="s">
        <v>13525</v>
      </c>
      <c r="C3876" s="473" t="s">
        <v>40</v>
      </c>
      <c r="D3876" s="473" t="s">
        <v>47</v>
      </c>
      <c r="E3876" s="361">
        <v>158.56</v>
      </c>
    </row>
    <row r="3877" spans="1:5">
      <c r="A3877" s="473">
        <v>14164</v>
      </c>
      <c r="B3877" s="473" t="s">
        <v>13526</v>
      </c>
      <c r="C3877" s="473" t="s">
        <v>40</v>
      </c>
      <c r="D3877" s="473" t="s">
        <v>47</v>
      </c>
      <c r="E3877" s="361">
        <v>1077.3</v>
      </c>
    </row>
    <row r="3878" spans="1:5">
      <c r="A3878" s="473">
        <v>14163</v>
      </c>
      <c r="B3878" s="473" t="s">
        <v>13527</v>
      </c>
      <c r="C3878" s="473" t="s">
        <v>40</v>
      </c>
      <c r="D3878" s="473" t="s">
        <v>47</v>
      </c>
      <c r="E3878" s="361">
        <v>1224.42</v>
      </c>
    </row>
    <row r="3879" spans="1:5">
      <c r="A3879" s="473">
        <v>5051</v>
      </c>
      <c r="B3879" s="473" t="s">
        <v>13528</v>
      </c>
      <c r="C3879" s="473" t="s">
        <v>40</v>
      </c>
      <c r="D3879" s="473" t="s">
        <v>47</v>
      </c>
      <c r="E3879" s="361">
        <v>1041.3499999999999</v>
      </c>
    </row>
    <row r="3880" spans="1:5">
      <c r="A3880" s="473">
        <v>14162</v>
      </c>
      <c r="B3880" s="473" t="s">
        <v>13529</v>
      </c>
      <c r="C3880" s="473" t="s">
        <v>40</v>
      </c>
      <c r="D3880" s="473" t="s">
        <v>47</v>
      </c>
      <c r="E3880" s="361">
        <v>1039.8399999999999</v>
      </c>
    </row>
    <row r="3881" spans="1:5">
      <c r="A3881" s="473">
        <v>5052</v>
      </c>
      <c r="B3881" s="473" t="s">
        <v>13530</v>
      </c>
      <c r="C3881" s="473" t="s">
        <v>40</v>
      </c>
      <c r="D3881" s="473" t="s">
        <v>47</v>
      </c>
      <c r="E3881" s="361">
        <v>775.87</v>
      </c>
    </row>
    <row r="3882" spans="1:5">
      <c r="A3882" s="473">
        <v>14166</v>
      </c>
      <c r="B3882" s="473" t="s">
        <v>13531</v>
      </c>
      <c r="C3882" s="473" t="s">
        <v>40</v>
      </c>
      <c r="D3882" s="473" t="s">
        <v>47</v>
      </c>
      <c r="E3882" s="361">
        <v>785.72</v>
      </c>
    </row>
    <row r="3883" spans="1:5">
      <c r="A3883" s="473">
        <v>14165</v>
      </c>
      <c r="B3883" s="473" t="s">
        <v>13532</v>
      </c>
      <c r="C3883" s="473" t="s">
        <v>40</v>
      </c>
      <c r="D3883" s="473" t="s">
        <v>47</v>
      </c>
      <c r="E3883" s="361">
        <v>1088.5</v>
      </c>
    </row>
    <row r="3884" spans="1:5">
      <c r="A3884" s="473">
        <v>5050</v>
      </c>
      <c r="B3884" s="473" t="s">
        <v>13533</v>
      </c>
      <c r="C3884" s="473" t="s">
        <v>40</v>
      </c>
      <c r="D3884" s="473" t="s">
        <v>47</v>
      </c>
      <c r="E3884" s="361">
        <v>267.89999999999998</v>
      </c>
    </row>
    <row r="3885" spans="1:5">
      <c r="A3885" s="473">
        <v>12378</v>
      </c>
      <c r="B3885" s="473" t="s">
        <v>13534</v>
      </c>
      <c r="C3885" s="473" t="s">
        <v>40</v>
      </c>
      <c r="D3885" s="473" t="s">
        <v>47</v>
      </c>
      <c r="E3885" s="361">
        <v>636.79999999999995</v>
      </c>
    </row>
    <row r="3886" spans="1:5">
      <c r="A3886" s="473">
        <v>12366</v>
      </c>
      <c r="B3886" s="473" t="s">
        <v>13535</v>
      </c>
      <c r="C3886" s="473" t="s">
        <v>40</v>
      </c>
      <c r="D3886" s="473" t="s">
        <v>47</v>
      </c>
      <c r="E3886" s="361">
        <v>540.11</v>
      </c>
    </row>
    <row r="3887" spans="1:5">
      <c r="A3887" s="473">
        <v>5045</v>
      </c>
      <c r="B3887" s="473" t="s">
        <v>13536</v>
      </c>
      <c r="C3887" s="473" t="s">
        <v>40</v>
      </c>
      <c r="D3887" s="473" t="s">
        <v>47</v>
      </c>
      <c r="E3887" s="361">
        <v>752.13</v>
      </c>
    </row>
    <row r="3888" spans="1:5">
      <c r="A3888" s="473">
        <v>5044</v>
      </c>
      <c r="B3888" s="473" t="s">
        <v>13537</v>
      </c>
      <c r="C3888" s="473" t="s">
        <v>40</v>
      </c>
      <c r="D3888" s="473" t="s">
        <v>47</v>
      </c>
      <c r="E3888" s="361">
        <v>530.64</v>
      </c>
    </row>
    <row r="3889" spans="1:5">
      <c r="A3889" s="473">
        <v>5055</v>
      </c>
      <c r="B3889" s="473" t="s">
        <v>13538</v>
      </c>
      <c r="C3889" s="473" t="s">
        <v>40</v>
      </c>
      <c r="D3889" s="473" t="s">
        <v>47</v>
      </c>
      <c r="E3889" s="361">
        <v>754.43</v>
      </c>
    </row>
    <row r="3890" spans="1:5">
      <c r="A3890" s="473">
        <v>5053</v>
      </c>
      <c r="B3890" s="473" t="s">
        <v>13539</v>
      </c>
      <c r="C3890" s="473" t="s">
        <v>40</v>
      </c>
      <c r="D3890" s="473" t="s">
        <v>47</v>
      </c>
      <c r="E3890" s="361">
        <v>587.19000000000005</v>
      </c>
    </row>
    <row r="3891" spans="1:5">
      <c r="A3891" s="473">
        <v>5035</v>
      </c>
      <c r="B3891" s="473" t="s">
        <v>13540</v>
      </c>
      <c r="C3891" s="473" t="s">
        <v>40</v>
      </c>
      <c r="D3891" s="473" t="s">
        <v>47</v>
      </c>
      <c r="E3891" s="361">
        <v>960.05</v>
      </c>
    </row>
    <row r="3892" spans="1:5">
      <c r="A3892" s="473">
        <v>5036</v>
      </c>
      <c r="B3892" s="473" t="s">
        <v>13541</v>
      </c>
      <c r="C3892" s="473" t="s">
        <v>40</v>
      </c>
      <c r="D3892" s="473" t="s">
        <v>47</v>
      </c>
      <c r="E3892" s="361">
        <v>1602.64</v>
      </c>
    </row>
    <row r="3893" spans="1:5">
      <c r="A3893" s="473">
        <v>5059</v>
      </c>
      <c r="B3893" s="473" t="s">
        <v>13542</v>
      </c>
      <c r="C3893" s="473" t="s">
        <v>40</v>
      </c>
      <c r="D3893" s="473" t="s">
        <v>47</v>
      </c>
      <c r="E3893" s="361">
        <v>750.85</v>
      </c>
    </row>
    <row r="3894" spans="1:5">
      <c r="A3894" s="473">
        <v>5034</v>
      </c>
      <c r="B3894" s="473" t="s">
        <v>13543</v>
      </c>
      <c r="C3894" s="473" t="s">
        <v>40</v>
      </c>
      <c r="D3894" s="473" t="s">
        <v>47</v>
      </c>
      <c r="E3894" s="361">
        <v>1036.0999999999999</v>
      </c>
    </row>
    <row r="3895" spans="1:5">
      <c r="A3895" s="473">
        <v>5056</v>
      </c>
      <c r="B3895" s="473" t="s">
        <v>13544</v>
      </c>
      <c r="C3895" s="473" t="s">
        <v>40</v>
      </c>
      <c r="D3895" s="473" t="s">
        <v>47</v>
      </c>
      <c r="E3895" s="361">
        <v>805.07</v>
      </c>
    </row>
    <row r="3896" spans="1:5">
      <c r="A3896" s="473">
        <v>5057</v>
      </c>
      <c r="B3896" s="473" t="s">
        <v>13545</v>
      </c>
      <c r="C3896" s="473" t="s">
        <v>40</v>
      </c>
      <c r="D3896" s="473" t="s">
        <v>47</v>
      </c>
      <c r="E3896" s="361">
        <v>645.66</v>
      </c>
    </row>
    <row r="3897" spans="1:5">
      <c r="A3897" s="473">
        <v>5033</v>
      </c>
      <c r="B3897" s="473" t="s">
        <v>13546</v>
      </c>
      <c r="C3897" s="473" t="s">
        <v>40</v>
      </c>
      <c r="D3897" s="473" t="s">
        <v>47</v>
      </c>
      <c r="E3897" s="361">
        <v>536</v>
      </c>
    </row>
    <row r="3898" spans="1:5">
      <c r="A3898" s="473">
        <v>5038</v>
      </c>
      <c r="B3898" s="473" t="s">
        <v>13547</v>
      </c>
      <c r="C3898" s="473" t="s">
        <v>40</v>
      </c>
      <c r="D3898" s="473" t="s">
        <v>47</v>
      </c>
      <c r="E3898" s="361">
        <v>436.84</v>
      </c>
    </row>
    <row r="3899" spans="1:5">
      <c r="A3899" s="473">
        <v>12372</v>
      </c>
      <c r="B3899" s="473" t="s">
        <v>13548</v>
      </c>
      <c r="C3899" s="473" t="s">
        <v>40</v>
      </c>
      <c r="D3899" s="473" t="s">
        <v>47</v>
      </c>
      <c r="E3899" s="361">
        <v>575.66</v>
      </c>
    </row>
    <row r="3900" spans="1:5">
      <c r="A3900" s="473">
        <v>13339</v>
      </c>
      <c r="B3900" s="473" t="s">
        <v>13549</v>
      </c>
      <c r="C3900" s="473" t="s">
        <v>40</v>
      </c>
      <c r="D3900" s="473" t="s">
        <v>47</v>
      </c>
      <c r="E3900" s="361">
        <v>855.78</v>
      </c>
    </row>
    <row r="3901" spans="1:5">
      <c r="A3901" s="473">
        <v>12373</v>
      </c>
      <c r="B3901" s="473" t="s">
        <v>13550</v>
      </c>
      <c r="C3901" s="473" t="s">
        <v>40</v>
      </c>
      <c r="D3901" s="473" t="s">
        <v>47</v>
      </c>
      <c r="E3901" s="361">
        <v>896.19</v>
      </c>
    </row>
    <row r="3902" spans="1:5">
      <c r="A3902" s="473">
        <v>12388</v>
      </c>
      <c r="B3902" s="473" t="s">
        <v>13551</v>
      </c>
      <c r="C3902" s="473" t="s">
        <v>40</v>
      </c>
      <c r="D3902" s="473" t="s">
        <v>47</v>
      </c>
      <c r="E3902" s="361">
        <v>158.58000000000001</v>
      </c>
    </row>
    <row r="3903" spans="1:5">
      <c r="A3903" s="473">
        <v>34695</v>
      </c>
      <c r="B3903" s="473" t="s">
        <v>13552</v>
      </c>
      <c r="C3903" s="473" t="s">
        <v>40</v>
      </c>
      <c r="D3903" s="473" t="s">
        <v>47</v>
      </c>
      <c r="E3903" s="361">
        <v>616.4</v>
      </c>
    </row>
    <row r="3904" spans="1:5">
      <c r="A3904" s="473">
        <v>34692</v>
      </c>
      <c r="B3904" s="473" t="s">
        <v>13553</v>
      </c>
      <c r="C3904" s="473" t="s">
        <v>40</v>
      </c>
      <c r="D3904" s="473" t="s">
        <v>47</v>
      </c>
      <c r="E3904" s="361">
        <v>1479.36</v>
      </c>
    </row>
    <row r="3905" spans="1:5">
      <c r="A3905" s="473">
        <v>26028</v>
      </c>
      <c r="B3905" s="473" t="s">
        <v>13554</v>
      </c>
      <c r="C3905" s="473" t="s">
        <v>57</v>
      </c>
      <c r="D3905" s="473" t="s">
        <v>41</v>
      </c>
      <c r="E3905" s="361">
        <v>269.93</v>
      </c>
    </row>
    <row r="3906" spans="1:5">
      <c r="A3906" s="473">
        <v>11844</v>
      </c>
      <c r="B3906" s="473" t="s">
        <v>13555</v>
      </c>
      <c r="C3906" s="473" t="s">
        <v>48</v>
      </c>
      <c r="D3906" s="473" t="s">
        <v>41</v>
      </c>
      <c r="E3906" s="361">
        <v>49.71</v>
      </c>
    </row>
    <row r="3907" spans="1:5">
      <c r="A3907" s="473">
        <v>4465</v>
      </c>
      <c r="B3907" s="473" t="s">
        <v>13556</v>
      </c>
      <c r="C3907" s="473" t="s">
        <v>48</v>
      </c>
      <c r="D3907" s="473" t="s">
        <v>41</v>
      </c>
      <c r="E3907" s="361">
        <v>47.64</v>
      </c>
    </row>
    <row r="3908" spans="1:5">
      <c r="A3908" s="473">
        <v>35273</v>
      </c>
      <c r="B3908" s="473" t="s">
        <v>13557</v>
      </c>
      <c r="C3908" s="473" t="s">
        <v>48</v>
      </c>
      <c r="D3908" s="473" t="s">
        <v>41</v>
      </c>
      <c r="E3908" s="361">
        <v>52.64</v>
      </c>
    </row>
    <row r="3909" spans="1:5">
      <c r="A3909" s="473">
        <v>4470</v>
      </c>
      <c r="B3909" s="473" t="s">
        <v>13558</v>
      </c>
      <c r="C3909" s="473" t="s">
        <v>48</v>
      </c>
      <c r="D3909" s="473" t="s">
        <v>41</v>
      </c>
      <c r="E3909" s="361">
        <v>78.66</v>
      </c>
    </row>
    <row r="3910" spans="1:5">
      <c r="A3910" s="473">
        <v>20204</v>
      </c>
      <c r="B3910" s="473" t="s">
        <v>13559</v>
      </c>
      <c r="C3910" s="473" t="s">
        <v>48</v>
      </c>
      <c r="D3910" s="473" t="s">
        <v>41</v>
      </c>
      <c r="E3910" s="361">
        <v>70.2</v>
      </c>
    </row>
    <row r="3911" spans="1:5">
      <c r="A3911" s="473">
        <v>20208</v>
      </c>
      <c r="B3911" s="473" t="s">
        <v>13560</v>
      </c>
      <c r="C3911" s="473" t="s">
        <v>48</v>
      </c>
      <c r="D3911" s="473" t="s">
        <v>41</v>
      </c>
      <c r="E3911" s="361">
        <v>82.42</v>
      </c>
    </row>
    <row r="3912" spans="1:5">
      <c r="A3912" s="473">
        <v>4437</v>
      </c>
      <c r="B3912" s="473" t="s">
        <v>13561</v>
      </c>
      <c r="C3912" s="473" t="s">
        <v>48</v>
      </c>
      <c r="D3912" s="473" t="s">
        <v>41</v>
      </c>
      <c r="E3912" s="361">
        <v>56.96</v>
      </c>
    </row>
    <row r="3913" spans="1:5">
      <c r="A3913" s="473">
        <v>14580</v>
      </c>
      <c r="B3913" s="473" t="s">
        <v>13562</v>
      </c>
      <c r="C3913" s="473" t="s">
        <v>48</v>
      </c>
      <c r="D3913" s="473" t="s">
        <v>41</v>
      </c>
      <c r="E3913" s="361">
        <v>62.04</v>
      </c>
    </row>
    <row r="3914" spans="1:5">
      <c r="A3914" s="473">
        <v>40304</v>
      </c>
      <c r="B3914" s="473" t="s">
        <v>13563</v>
      </c>
      <c r="C3914" s="473" t="s">
        <v>49</v>
      </c>
      <c r="D3914" s="473" t="s">
        <v>41</v>
      </c>
      <c r="E3914" s="361">
        <v>12.49</v>
      </c>
    </row>
    <row r="3915" spans="1:5">
      <c r="A3915" s="473">
        <v>5065</v>
      </c>
      <c r="B3915" s="473" t="s">
        <v>13564</v>
      </c>
      <c r="C3915" s="473" t="s">
        <v>49</v>
      </c>
      <c r="D3915" s="473" t="s">
        <v>41</v>
      </c>
      <c r="E3915" s="361">
        <v>19.25</v>
      </c>
    </row>
    <row r="3916" spans="1:5">
      <c r="A3916" s="473">
        <v>5072</v>
      </c>
      <c r="B3916" s="473" t="s">
        <v>13565</v>
      </c>
      <c r="C3916" s="473" t="s">
        <v>49</v>
      </c>
      <c r="D3916" s="473" t="s">
        <v>41</v>
      </c>
      <c r="E3916" s="361">
        <v>17.809999999999999</v>
      </c>
    </row>
    <row r="3917" spans="1:5">
      <c r="A3917" s="473">
        <v>5066</v>
      </c>
      <c r="B3917" s="473" t="s">
        <v>13566</v>
      </c>
      <c r="C3917" s="473" t="s">
        <v>49</v>
      </c>
      <c r="D3917" s="473" t="s">
        <v>41</v>
      </c>
      <c r="E3917" s="361">
        <v>13.33</v>
      </c>
    </row>
    <row r="3918" spans="1:5">
      <c r="A3918" s="473">
        <v>5063</v>
      </c>
      <c r="B3918" s="473" t="s">
        <v>13567</v>
      </c>
      <c r="C3918" s="473" t="s">
        <v>49</v>
      </c>
      <c r="D3918" s="473" t="s">
        <v>41</v>
      </c>
      <c r="E3918" s="361">
        <v>12.07</v>
      </c>
    </row>
    <row r="3919" spans="1:5">
      <c r="A3919" s="473">
        <v>20247</v>
      </c>
      <c r="B3919" s="473" t="s">
        <v>13568</v>
      </c>
      <c r="C3919" s="473" t="s">
        <v>49</v>
      </c>
      <c r="D3919" s="473" t="s">
        <v>41</v>
      </c>
      <c r="E3919" s="361">
        <v>11.2</v>
      </c>
    </row>
    <row r="3920" spans="1:5">
      <c r="A3920" s="473">
        <v>5074</v>
      </c>
      <c r="B3920" s="473" t="s">
        <v>13569</v>
      </c>
      <c r="C3920" s="473" t="s">
        <v>49</v>
      </c>
      <c r="D3920" s="473" t="s">
        <v>41</v>
      </c>
      <c r="E3920" s="361">
        <v>11.34</v>
      </c>
    </row>
    <row r="3921" spans="1:5">
      <c r="A3921" s="473">
        <v>5067</v>
      </c>
      <c r="B3921" s="473" t="s">
        <v>13570</v>
      </c>
      <c r="C3921" s="473" t="s">
        <v>49</v>
      </c>
      <c r="D3921" s="473" t="s">
        <v>41</v>
      </c>
      <c r="E3921" s="361">
        <v>10.78</v>
      </c>
    </row>
    <row r="3922" spans="1:5">
      <c r="A3922" s="473">
        <v>5078</v>
      </c>
      <c r="B3922" s="473" t="s">
        <v>13571</v>
      </c>
      <c r="C3922" s="473" t="s">
        <v>49</v>
      </c>
      <c r="D3922" s="473" t="s">
        <v>41</v>
      </c>
      <c r="E3922" s="361">
        <v>10.66</v>
      </c>
    </row>
    <row r="3923" spans="1:5">
      <c r="A3923" s="473">
        <v>5068</v>
      </c>
      <c r="B3923" s="473" t="s">
        <v>13572</v>
      </c>
      <c r="C3923" s="473" t="s">
        <v>49</v>
      </c>
      <c r="D3923" s="473" t="s">
        <v>41</v>
      </c>
      <c r="E3923" s="361">
        <v>10.119999999999999</v>
      </c>
    </row>
    <row r="3924" spans="1:5">
      <c r="A3924" s="473">
        <v>5073</v>
      </c>
      <c r="B3924" s="473" t="s">
        <v>13573</v>
      </c>
      <c r="C3924" s="473" t="s">
        <v>49</v>
      </c>
      <c r="D3924" s="473" t="s">
        <v>41</v>
      </c>
      <c r="E3924" s="361">
        <v>10.31</v>
      </c>
    </row>
    <row r="3925" spans="1:5">
      <c r="A3925" s="473">
        <v>5069</v>
      </c>
      <c r="B3925" s="473" t="s">
        <v>13574</v>
      </c>
      <c r="C3925" s="473" t="s">
        <v>49</v>
      </c>
      <c r="D3925" s="473" t="s">
        <v>41</v>
      </c>
      <c r="E3925" s="361">
        <v>10.31</v>
      </c>
    </row>
    <row r="3926" spans="1:5">
      <c r="A3926" s="473">
        <v>5070</v>
      </c>
      <c r="B3926" s="473" t="s">
        <v>13575</v>
      </c>
      <c r="C3926" s="473" t="s">
        <v>49</v>
      </c>
      <c r="D3926" s="473" t="s">
        <v>41</v>
      </c>
      <c r="E3926" s="361">
        <v>10.43</v>
      </c>
    </row>
    <row r="3927" spans="1:5">
      <c r="A3927" s="473">
        <v>5071</v>
      </c>
      <c r="B3927" s="473" t="s">
        <v>13576</v>
      </c>
      <c r="C3927" s="473" t="s">
        <v>49</v>
      </c>
      <c r="D3927" s="473" t="s">
        <v>41</v>
      </c>
      <c r="E3927" s="361">
        <v>10.119999999999999</v>
      </c>
    </row>
    <row r="3928" spans="1:5">
      <c r="A3928" s="473">
        <v>5061</v>
      </c>
      <c r="B3928" s="473" t="s">
        <v>13577</v>
      </c>
      <c r="C3928" s="473" t="s">
        <v>49</v>
      </c>
      <c r="D3928" s="473" t="s">
        <v>44</v>
      </c>
      <c r="E3928" s="361">
        <v>9.9499999999999993</v>
      </c>
    </row>
    <row r="3929" spans="1:5">
      <c r="A3929" s="473">
        <v>5075</v>
      </c>
      <c r="B3929" s="473" t="s">
        <v>13578</v>
      </c>
      <c r="C3929" s="473" t="s">
        <v>49</v>
      </c>
      <c r="D3929" s="473" t="s">
        <v>41</v>
      </c>
      <c r="E3929" s="361">
        <v>10.119999999999999</v>
      </c>
    </row>
    <row r="3930" spans="1:5">
      <c r="A3930" s="473">
        <v>39027</v>
      </c>
      <c r="B3930" s="473" t="s">
        <v>13579</v>
      </c>
      <c r="C3930" s="473" t="s">
        <v>49</v>
      </c>
      <c r="D3930" s="473" t="s">
        <v>41</v>
      </c>
      <c r="E3930" s="361">
        <v>10.11</v>
      </c>
    </row>
    <row r="3931" spans="1:5">
      <c r="A3931" s="473">
        <v>5062</v>
      </c>
      <c r="B3931" s="473" t="s">
        <v>13580</v>
      </c>
      <c r="C3931" s="473" t="s">
        <v>49</v>
      </c>
      <c r="D3931" s="473" t="s">
        <v>41</v>
      </c>
      <c r="E3931" s="361">
        <v>10.25</v>
      </c>
    </row>
    <row r="3932" spans="1:5">
      <c r="A3932" s="473">
        <v>40568</v>
      </c>
      <c r="B3932" s="473" t="s">
        <v>13581</v>
      </c>
      <c r="C3932" s="473" t="s">
        <v>49</v>
      </c>
      <c r="D3932" s="473" t="s">
        <v>41</v>
      </c>
      <c r="E3932" s="361">
        <v>10.19</v>
      </c>
    </row>
    <row r="3933" spans="1:5">
      <c r="A3933" s="473">
        <v>39026</v>
      </c>
      <c r="B3933" s="473" t="s">
        <v>13582</v>
      </c>
      <c r="C3933" s="473" t="s">
        <v>49</v>
      </c>
      <c r="D3933" s="473" t="s">
        <v>41</v>
      </c>
      <c r="E3933" s="361">
        <v>11.38</v>
      </c>
    </row>
    <row r="3934" spans="1:5">
      <c r="A3934" s="473">
        <v>11572</v>
      </c>
      <c r="B3934" s="473" t="s">
        <v>13583</v>
      </c>
      <c r="C3934" s="473" t="s">
        <v>40</v>
      </c>
      <c r="D3934" s="473" t="s">
        <v>41</v>
      </c>
      <c r="E3934" s="361">
        <v>15.2</v>
      </c>
    </row>
    <row r="3935" spans="1:5">
      <c r="A3935" s="473">
        <v>42431</v>
      </c>
      <c r="B3935" s="473" t="s">
        <v>13584</v>
      </c>
      <c r="C3935" s="473" t="s">
        <v>40</v>
      </c>
      <c r="D3935" s="473" t="s">
        <v>47</v>
      </c>
      <c r="E3935" s="361">
        <v>2248.1799999999998</v>
      </c>
    </row>
    <row r="3936" spans="1:5">
      <c r="A3936" s="473">
        <v>11149</v>
      </c>
      <c r="B3936" s="473" t="s">
        <v>33</v>
      </c>
      <c r="C3936" s="473" t="s">
        <v>63</v>
      </c>
      <c r="D3936" s="473" t="s">
        <v>41</v>
      </c>
      <c r="E3936" s="361">
        <v>147.41</v>
      </c>
    </row>
    <row r="3937" spans="1:5">
      <c r="A3937" s="473">
        <v>511</v>
      </c>
      <c r="B3937" s="473" t="s">
        <v>13585</v>
      </c>
      <c r="C3937" s="473" t="s">
        <v>50</v>
      </c>
      <c r="D3937" s="473" t="s">
        <v>47</v>
      </c>
      <c r="E3937" s="361">
        <v>13.63</v>
      </c>
    </row>
    <row r="3938" spans="1:5">
      <c r="A3938" s="473">
        <v>11174</v>
      </c>
      <c r="B3938" s="473" t="s">
        <v>13586</v>
      </c>
      <c r="C3938" s="473" t="s">
        <v>51</v>
      </c>
      <c r="D3938" s="473" t="s">
        <v>41</v>
      </c>
      <c r="E3938" s="361">
        <v>418.54</v>
      </c>
    </row>
    <row r="3939" spans="1:5">
      <c r="A3939" s="473">
        <v>37540</v>
      </c>
      <c r="B3939" s="473" t="s">
        <v>13587</v>
      </c>
      <c r="C3939" s="473" t="s">
        <v>40</v>
      </c>
      <c r="D3939" s="473" t="s">
        <v>41</v>
      </c>
      <c r="E3939" s="361">
        <v>56076.67</v>
      </c>
    </row>
    <row r="3940" spans="1:5">
      <c r="A3940" s="473">
        <v>37548</v>
      </c>
      <c r="B3940" s="473" t="s">
        <v>13588</v>
      </c>
      <c r="C3940" s="473" t="s">
        <v>40</v>
      </c>
      <c r="D3940" s="473" t="s">
        <v>41</v>
      </c>
      <c r="E3940" s="361">
        <v>74329.34</v>
      </c>
    </row>
    <row r="3941" spans="1:5">
      <c r="A3941" s="473">
        <v>39828</v>
      </c>
      <c r="B3941" s="473" t="s">
        <v>13589</v>
      </c>
      <c r="C3941" s="473" t="s">
        <v>40</v>
      </c>
      <c r="D3941" s="473" t="s">
        <v>41</v>
      </c>
      <c r="E3941" s="361">
        <v>445.9</v>
      </c>
    </row>
    <row r="3942" spans="1:5">
      <c r="A3942" s="473">
        <v>12273</v>
      </c>
      <c r="B3942" s="473" t="s">
        <v>13590</v>
      </c>
      <c r="C3942" s="473" t="s">
        <v>40</v>
      </c>
      <c r="D3942" s="473" t="s">
        <v>47</v>
      </c>
      <c r="E3942" s="361">
        <v>52.48</v>
      </c>
    </row>
    <row r="3943" spans="1:5">
      <c r="A3943" s="473">
        <v>38392</v>
      </c>
      <c r="B3943" s="473" t="s">
        <v>13591</v>
      </c>
      <c r="C3943" s="473" t="s">
        <v>40</v>
      </c>
      <c r="D3943" s="473" t="s">
        <v>41</v>
      </c>
      <c r="E3943" s="361">
        <v>43.91</v>
      </c>
    </row>
    <row r="3944" spans="1:5">
      <c r="A3944" s="473">
        <v>11735</v>
      </c>
      <c r="B3944" s="473" t="s">
        <v>13592</v>
      </c>
      <c r="C3944" s="473" t="s">
        <v>40</v>
      </c>
      <c r="D3944" s="473" t="s">
        <v>41</v>
      </c>
      <c r="E3944" s="361">
        <v>4.08</v>
      </c>
    </row>
    <row r="3945" spans="1:5">
      <c r="A3945" s="473">
        <v>11733</v>
      </c>
      <c r="B3945" s="473" t="s">
        <v>13593</v>
      </c>
      <c r="C3945" s="473" t="s">
        <v>40</v>
      </c>
      <c r="D3945" s="473" t="s">
        <v>41</v>
      </c>
      <c r="E3945" s="361">
        <v>1.99</v>
      </c>
    </row>
    <row r="3946" spans="1:5">
      <c r="A3946" s="473">
        <v>11734</v>
      </c>
      <c r="B3946" s="473" t="s">
        <v>13594</v>
      </c>
      <c r="C3946" s="473" t="s">
        <v>40</v>
      </c>
      <c r="D3946" s="473" t="s">
        <v>41</v>
      </c>
      <c r="E3946" s="361">
        <v>3.08</v>
      </c>
    </row>
    <row r="3947" spans="1:5">
      <c r="A3947" s="473">
        <v>11737</v>
      </c>
      <c r="B3947" s="473" t="s">
        <v>13595</v>
      </c>
      <c r="C3947" s="473" t="s">
        <v>40</v>
      </c>
      <c r="D3947" s="473" t="s">
        <v>41</v>
      </c>
      <c r="E3947" s="361">
        <v>5.44</v>
      </c>
    </row>
    <row r="3948" spans="1:5">
      <c r="A3948" s="473">
        <v>11738</v>
      </c>
      <c r="B3948" s="473" t="s">
        <v>13596</v>
      </c>
      <c r="C3948" s="473" t="s">
        <v>40</v>
      </c>
      <c r="D3948" s="473" t="s">
        <v>41</v>
      </c>
      <c r="E3948" s="361">
        <v>8.85</v>
      </c>
    </row>
    <row r="3949" spans="1:5">
      <c r="A3949" s="473">
        <v>36143</v>
      </c>
      <c r="B3949" s="473" t="s">
        <v>13597</v>
      </c>
      <c r="C3949" s="473" t="s">
        <v>40</v>
      </c>
      <c r="D3949" s="473" t="s">
        <v>41</v>
      </c>
      <c r="E3949" s="361">
        <v>22.96</v>
      </c>
    </row>
    <row r="3950" spans="1:5">
      <c r="A3950" s="473">
        <v>36142</v>
      </c>
      <c r="B3950" s="473" t="s">
        <v>13598</v>
      </c>
      <c r="C3950" s="473" t="s">
        <v>40</v>
      </c>
      <c r="D3950" s="473" t="s">
        <v>41</v>
      </c>
      <c r="E3950" s="361">
        <v>1.68</v>
      </c>
    </row>
    <row r="3951" spans="1:5">
      <c r="A3951" s="473">
        <v>36146</v>
      </c>
      <c r="B3951" s="473" t="s">
        <v>13599</v>
      </c>
      <c r="C3951" s="473" t="s">
        <v>40</v>
      </c>
      <c r="D3951" s="473" t="s">
        <v>41</v>
      </c>
      <c r="E3951" s="361">
        <v>190.4</v>
      </c>
    </row>
    <row r="3952" spans="1:5">
      <c r="A3952" s="473">
        <v>39015</v>
      </c>
      <c r="B3952" s="473" t="s">
        <v>13600</v>
      </c>
      <c r="C3952" s="473" t="s">
        <v>40</v>
      </c>
      <c r="D3952" s="473" t="s">
        <v>47</v>
      </c>
      <c r="E3952" s="361">
        <v>0.68</v>
      </c>
    </row>
    <row r="3953" spans="1:5">
      <c r="A3953" s="473">
        <v>38377</v>
      </c>
      <c r="B3953" s="473" t="s">
        <v>13601</v>
      </c>
      <c r="C3953" s="473" t="s">
        <v>40</v>
      </c>
      <c r="D3953" s="473" t="s">
        <v>41</v>
      </c>
      <c r="E3953" s="361">
        <v>23.43</v>
      </c>
    </row>
    <row r="3954" spans="1:5">
      <c r="A3954" s="473">
        <v>38376</v>
      </c>
      <c r="B3954" s="473" t="s">
        <v>13602</v>
      </c>
      <c r="C3954" s="473" t="s">
        <v>40</v>
      </c>
      <c r="D3954" s="473" t="s">
        <v>41</v>
      </c>
      <c r="E3954" s="361">
        <v>26.72</v>
      </c>
    </row>
    <row r="3955" spans="1:5">
      <c r="A3955" s="473">
        <v>38116</v>
      </c>
      <c r="B3955" s="473" t="s">
        <v>13603</v>
      </c>
      <c r="C3955" s="473" t="s">
        <v>40</v>
      </c>
      <c r="D3955" s="473" t="s">
        <v>41</v>
      </c>
      <c r="E3955" s="361">
        <v>4.7</v>
      </c>
    </row>
    <row r="3956" spans="1:5">
      <c r="A3956" s="473">
        <v>38066</v>
      </c>
      <c r="B3956" s="473" t="s">
        <v>13604</v>
      </c>
      <c r="C3956" s="473" t="s">
        <v>40</v>
      </c>
      <c r="D3956" s="473" t="s">
        <v>41</v>
      </c>
      <c r="E3956" s="361">
        <v>7.75</v>
      </c>
    </row>
    <row r="3957" spans="1:5">
      <c r="A3957" s="473">
        <v>38117</v>
      </c>
      <c r="B3957" s="473" t="s">
        <v>13605</v>
      </c>
      <c r="C3957" s="473" t="s">
        <v>40</v>
      </c>
      <c r="D3957" s="473" t="s">
        <v>41</v>
      </c>
      <c r="E3957" s="361">
        <v>8</v>
      </c>
    </row>
    <row r="3958" spans="1:5">
      <c r="A3958" s="473">
        <v>38067</v>
      </c>
      <c r="B3958" s="473" t="s">
        <v>13606</v>
      </c>
      <c r="C3958" s="473" t="s">
        <v>40</v>
      </c>
      <c r="D3958" s="473" t="s">
        <v>41</v>
      </c>
      <c r="E3958" s="361">
        <v>10.92</v>
      </c>
    </row>
    <row r="3959" spans="1:5">
      <c r="A3959" s="473">
        <v>41757</v>
      </c>
      <c r="B3959" s="473" t="s">
        <v>13607</v>
      </c>
      <c r="C3959" s="473" t="s">
        <v>40</v>
      </c>
      <c r="D3959" s="473" t="s">
        <v>41</v>
      </c>
      <c r="E3959" s="361">
        <v>3064.01</v>
      </c>
    </row>
    <row r="3960" spans="1:5">
      <c r="A3960" s="473">
        <v>5080</v>
      </c>
      <c r="B3960" s="473" t="s">
        <v>13608</v>
      </c>
      <c r="C3960" s="473" t="s">
        <v>40</v>
      </c>
      <c r="D3960" s="473" t="s">
        <v>41</v>
      </c>
      <c r="E3960" s="361">
        <v>10.78</v>
      </c>
    </row>
    <row r="3961" spans="1:5">
      <c r="A3961" s="473">
        <v>11522</v>
      </c>
      <c r="B3961" s="473" t="s">
        <v>13609</v>
      </c>
      <c r="C3961" s="473" t="s">
        <v>40</v>
      </c>
      <c r="D3961" s="473" t="s">
        <v>41</v>
      </c>
      <c r="E3961" s="361">
        <v>13.47</v>
      </c>
    </row>
    <row r="3962" spans="1:5">
      <c r="A3962" s="473">
        <v>11523</v>
      </c>
      <c r="B3962" s="473" t="s">
        <v>13610</v>
      </c>
      <c r="C3962" s="473" t="s">
        <v>40</v>
      </c>
      <c r="D3962" s="473" t="s">
        <v>41</v>
      </c>
      <c r="E3962" s="361">
        <v>12.61</v>
      </c>
    </row>
    <row r="3963" spans="1:5">
      <c r="A3963" s="473">
        <v>11524</v>
      </c>
      <c r="B3963" s="473" t="s">
        <v>13611</v>
      </c>
      <c r="C3963" s="473" t="s">
        <v>40</v>
      </c>
      <c r="D3963" s="473" t="s">
        <v>41</v>
      </c>
      <c r="E3963" s="361">
        <v>25.96</v>
      </c>
    </row>
    <row r="3964" spans="1:5">
      <c r="A3964" s="473">
        <v>38168</v>
      </c>
      <c r="B3964" s="473" t="s">
        <v>13612</v>
      </c>
      <c r="C3964" s="473" t="s">
        <v>40</v>
      </c>
      <c r="D3964" s="473" t="s">
        <v>41</v>
      </c>
      <c r="E3964" s="361">
        <v>125.31</v>
      </c>
    </row>
    <row r="3965" spans="1:5">
      <c r="A3965" s="473">
        <v>13393</v>
      </c>
      <c r="B3965" s="473" t="s">
        <v>13613</v>
      </c>
      <c r="C3965" s="473" t="s">
        <v>40</v>
      </c>
      <c r="D3965" s="473" t="s">
        <v>41</v>
      </c>
      <c r="E3965" s="361">
        <v>321.83</v>
      </c>
    </row>
    <row r="3966" spans="1:5">
      <c r="A3966" s="473">
        <v>13395</v>
      </c>
      <c r="B3966" s="473" t="s">
        <v>13614</v>
      </c>
      <c r="C3966" s="473" t="s">
        <v>40</v>
      </c>
      <c r="D3966" s="473" t="s">
        <v>41</v>
      </c>
      <c r="E3966" s="361">
        <v>385.91</v>
      </c>
    </row>
    <row r="3967" spans="1:5">
      <c r="A3967" s="473">
        <v>12039</v>
      </c>
      <c r="B3967" s="473" t="s">
        <v>13615</v>
      </c>
      <c r="C3967" s="473" t="s">
        <v>40</v>
      </c>
      <c r="D3967" s="473" t="s">
        <v>41</v>
      </c>
      <c r="E3967" s="361">
        <v>516.39</v>
      </c>
    </row>
    <row r="3968" spans="1:5">
      <c r="A3968" s="473">
        <v>13396</v>
      </c>
      <c r="B3968" s="473" t="s">
        <v>13616</v>
      </c>
      <c r="C3968" s="473" t="s">
        <v>40</v>
      </c>
      <c r="D3968" s="473" t="s">
        <v>41</v>
      </c>
      <c r="E3968" s="361">
        <v>825.94</v>
      </c>
    </row>
    <row r="3969" spans="1:5">
      <c r="A3969" s="473">
        <v>13397</v>
      </c>
      <c r="B3969" s="473" t="s">
        <v>13617</v>
      </c>
      <c r="C3969" s="473" t="s">
        <v>40</v>
      </c>
      <c r="D3969" s="473" t="s">
        <v>41</v>
      </c>
      <c r="E3969" s="361">
        <v>834.8</v>
      </c>
    </row>
    <row r="3970" spans="1:5">
      <c r="A3970" s="473">
        <v>12041</v>
      </c>
      <c r="B3970" s="473" t="s">
        <v>13618</v>
      </c>
      <c r="C3970" s="473" t="s">
        <v>40</v>
      </c>
      <c r="D3970" s="473" t="s">
        <v>41</v>
      </c>
      <c r="E3970" s="361">
        <v>1129.74</v>
      </c>
    </row>
    <row r="3971" spans="1:5">
      <c r="A3971" s="473">
        <v>12043</v>
      </c>
      <c r="B3971" s="473" t="s">
        <v>13619</v>
      </c>
      <c r="C3971" s="473" t="s">
        <v>40</v>
      </c>
      <c r="D3971" s="473" t="s">
        <v>41</v>
      </c>
      <c r="E3971" s="361">
        <v>1302.69</v>
      </c>
    </row>
    <row r="3972" spans="1:5">
      <c r="A3972" s="473">
        <v>39762</v>
      </c>
      <c r="B3972" s="473" t="s">
        <v>13620</v>
      </c>
      <c r="C3972" s="473" t="s">
        <v>40</v>
      </c>
      <c r="D3972" s="473" t="s">
        <v>41</v>
      </c>
      <c r="E3972" s="361">
        <v>880.11</v>
      </c>
    </row>
    <row r="3973" spans="1:5">
      <c r="A3973" s="473">
        <v>12042</v>
      </c>
      <c r="B3973" s="473" t="s">
        <v>13621</v>
      </c>
      <c r="C3973" s="473" t="s">
        <v>40</v>
      </c>
      <c r="D3973" s="473" t="s">
        <v>41</v>
      </c>
      <c r="E3973" s="361">
        <v>880.33</v>
      </c>
    </row>
    <row r="3974" spans="1:5">
      <c r="A3974" s="473">
        <v>39763</v>
      </c>
      <c r="B3974" s="473" t="s">
        <v>13622</v>
      </c>
      <c r="C3974" s="473" t="s">
        <v>40</v>
      </c>
      <c r="D3974" s="473" t="s">
        <v>41</v>
      </c>
      <c r="E3974" s="361">
        <v>1328.26</v>
      </c>
    </row>
    <row r="3975" spans="1:5">
      <c r="A3975" s="473">
        <v>39756</v>
      </c>
      <c r="B3975" s="473" t="s">
        <v>13623</v>
      </c>
      <c r="C3975" s="473" t="s">
        <v>40</v>
      </c>
      <c r="D3975" s="473" t="s">
        <v>41</v>
      </c>
      <c r="E3975" s="361">
        <v>402.7</v>
      </c>
    </row>
    <row r="3976" spans="1:5">
      <c r="A3976" s="473">
        <v>12038</v>
      </c>
      <c r="B3976" s="473" t="s">
        <v>13624</v>
      </c>
      <c r="C3976" s="473" t="s">
        <v>40</v>
      </c>
      <c r="D3976" s="473" t="s">
        <v>41</v>
      </c>
      <c r="E3976" s="361">
        <v>449.58</v>
      </c>
    </row>
    <row r="3977" spans="1:5">
      <c r="A3977" s="473">
        <v>12040</v>
      </c>
      <c r="B3977" s="473" t="s">
        <v>13625</v>
      </c>
      <c r="C3977" s="473" t="s">
        <v>40</v>
      </c>
      <c r="D3977" s="473" t="s">
        <v>41</v>
      </c>
      <c r="E3977" s="361">
        <v>574.44000000000005</v>
      </c>
    </row>
    <row r="3978" spans="1:5">
      <c r="A3978" s="473">
        <v>39757</v>
      </c>
      <c r="B3978" s="473" t="s">
        <v>13626</v>
      </c>
      <c r="C3978" s="473" t="s">
        <v>40</v>
      </c>
      <c r="D3978" s="473" t="s">
        <v>41</v>
      </c>
      <c r="E3978" s="361">
        <v>614.24</v>
      </c>
    </row>
    <row r="3979" spans="1:5">
      <c r="A3979" s="473">
        <v>39758</v>
      </c>
      <c r="B3979" s="473" t="s">
        <v>13627</v>
      </c>
      <c r="C3979" s="473" t="s">
        <v>40</v>
      </c>
      <c r="D3979" s="473" t="s">
        <v>41</v>
      </c>
      <c r="E3979" s="361">
        <v>797.32</v>
      </c>
    </row>
    <row r="3980" spans="1:5">
      <c r="A3980" s="473">
        <v>39759</v>
      </c>
      <c r="B3980" s="473" t="s">
        <v>13628</v>
      </c>
      <c r="C3980" s="473" t="s">
        <v>40</v>
      </c>
      <c r="D3980" s="473" t="s">
        <v>41</v>
      </c>
      <c r="E3980" s="361">
        <v>1089.3699999999999</v>
      </c>
    </row>
    <row r="3981" spans="1:5">
      <c r="A3981" s="473">
        <v>39760</v>
      </c>
      <c r="B3981" s="473" t="s">
        <v>13629</v>
      </c>
      <c r="C3981" s="473" t="s">
        <v>40</v>
      </c>
      <c r="D3981" s="473" t="s">
        <v>41</v>
      </c>
      <c r="E3981" s="361">
        <v>1094.3699999999999</v>
      </c>
    </row>
    <row r="3982" spans="1:5">
      <c r="A3982" s="473">
        <v>39761</v>
      </c>
      <c r="B3982" s="473" t="s">
        <v>13630</v>
      </c>
      <c r="C3982" s="473" t="s">
        <v>40</v>
      </c>
      <c r="D3982" s="473" t="s">
        <v>41</v>
      </c>
      <c r="E3982" s="361">
        <v>1400.63</v>
      </c>
    </row>
    <row r="3983" spans="1:5">
      <c r="A3983" s="473">
        <v>39765</v>
      </c>
      <c r="B3983" s="473" t="s">
        <v>13631</v>
      </c>
      <c r="C3983" s="473" t="s">
        <v>40</v>
      </c>
      <c r="D3983" s="473" t="s">
        <v>41</v>
      </c>
      <c r="E3983" s="361">
        <v>62.19</v>
      </c>
    </row>
    <row r="3984" spans="1:5">
      <c r="A3984" s="473">
        <v>13399</v>
      </c>
      <c r="B3984" s="473" t="s">
        <v>13632</v>
      </c>
      <c r="C3984" s="473" t="s">
        <v>40</v>
      </c>
      <c r="D3984" s="473" t="s">
        <v>41</v>
      </c>
      <c r="E3984" s="361">
        <v>35.369999999999997</v>
      </c>
    </row>
    <row r="3985" spans="1:5">
      <c r="A3985" s="473">
        <v>39764</v>
      </c>
      <c r="B3985" s="473" t="s">
        <v>13633</v>
      </c>
      <c r="C3985" s="473" t="s">
        <v>40</v>
      </c>
      <c r="D3985" s="473" t="s">
        <v>41</v>
      </c>
      <c r="E3985" s="361">
        <v>48.64</v>
      </c>
    </row>
    <row r="3986" spans="1:5">
      <c r="A3986" s="473">
        <v>39805</v>
      </c>
      <c r="B3986" s="473" t="s">
        <v>13634</v>
      </c>
      <c r="C3986" s="473" t="s">
        <v>40</v>
      </c>
      <c r="D3986" s="473" t="s">
        <v>41</v>
      </c>
      <c r="E3986" s="361">
        <v>102.13</v>
      </c>
    </row>
    <row r="3987" spans="1:5">
      <c r="A3987" s="473">
        <v>39806</v>
      </c>
      <c r="B3987" s="473" t="s">
        <v>13635</v>
      </c>
      <c r="C3987" s="473" t="s">
        <v>40</v>
      </c>
      <c r="D3987" s="473" t="s">
        <v>41</v>
      </c>
      <c r="E3987" s="361">
        <v>192.86</v>
      </c>
    </row>
    <row r="3988" spans="1:5">
      <c r="A3988" s="473">
        <v>39807</v>
      </c>
      <c r="B3988" s="473" t="s">
        <v>13636</v>
      </c>
      <c r="C3988" s="473" t="s">
        <v>40</v>
      </c>
      <c r="D3988" s="473" t="s">
        <v>41</v>
      </c>
      <c r="E3988" s="361">
        <v>271.89</v>
      </c>
    </row>
    <row r="3989" spans="1:5">
      <c r="A3989" s="473">
        <v>39804</v>
      </c>
      <c r="B3989" s="473" t="s">
        <v>13637</v>
      </c>
      <c r="C3989" s="473" t="s">
        <v>40</v>
      </c>
      <c r="D3989" s="473" t="s">
        <v>41</v>
      </c>
      <c r="E3989" s="361">
        <v>57.35</v>
      </c>
    </row>
    <row r="3990" spans="1:5">
      <c r="A3990" s="473">
        <v>39796</v>
      </c>
      <c r="B3990" s="473" t="s">
        <v>13638</v>
      </c>
      <c r="C3990" s="473" t="s">
        <v>40</v>
      </c>
      <c r="D3990" s="473" t="s">
        <v>41</v>
      </c>
      <c r="E3990" s="361">
        <v>58.44</v>
      </c>
    </row>
    <row r="3991" spans="1:5">
      <c r="A3991" s="473">
        <v>39797</v>
      </c>
      <c r="B3991" s="473" t="s">
        <v>13639</v>
      </c>
      <c r="C3991" s="473" t="s">
        <v>40</v>
      </c>
      <c r="D3991" s="473" t="s">
        <v>44</v>
      </c>
      <c r="E3991" s="361">
        <v>77.599999999999994</v>
      </c>
    </row>
    <row r="3992" spans="1:5">
      <c r="A3992" s="473">
        <v>39798</v>
      </c>
      <c r="B3992" s="473" t="s">
        <v>13640</v>
      </c>
      <c r="C3992" s="473" t="s">
        <v>40</v>
      </c>
      <c r="D3992" s="473" t="s">
        <v>41</v>
      </c>
      <c r="E3992" s="361">
        <v>129.37</v>
      </c>
    </row>
    <row r="3993" spans="1:5">
      <c r="A3993" s="473">
        <v>39794</v>
      </c>
      <c r="B3993" s="473" t="s">
        <v>13641</v>
      </c>
      <c r="C3993" s="473" t="s">
        <v>40</v>
      </c>
      <c r="D3993" s="473" t="s">
        <v>41</v>
      </c>
      <c r="E3993" s="361">
        <v>18.39</v>
      </c>
    </row>
    <row r="3994" spans="1:5">
      <c r="A3994" s="473">
        <v>39795</v>
      </c>
      <c r="B3994" s="473" t="s">
        <v>13642</v>
      </c>
      <c r="C3994" s="473" t="s">
        <v>40</v>
      </c>
      <c r="D3994" s="473" t="s">
        <v>41</v>
      </c>
      <c r="E3994" s="361">
        <v>25.75</v>
      </c>
    </row>
    <row r="3995" spans="1:5">
      <c r="A3995" s="473">
        <v>39801</v>
      </c>
      <c r="B3995" s="473" t="s">
        <v>13643</v>
      </c>
      <c r="C3995" s="473" t="s">
        <v>40</v>
      </c>
      <c r="D3995" s="473" t="s">
        <v>41</v>
      </c>
      <c r="E3995" s="361">
        <v>65.88</v>
      </c>
    </row>
    <row r="3996" spans="1:5">
      <c r="A3996" s="473">
        <v>39802</v>
      </c>
      <c r="B3996" s="473" t="s">
        <v>13644</v>
      </c>
      <c r="C3996" s="473" t="s">
        <v>40</v>
      </c>
      <c r="D3996" s="473" t="s">
        <v>41</v>
      </c>
      <c r="E3996" s="361">
        <v>109.41</v>
      </c>
    </row>
    <row r="3997" spans="1:5">
      <c r="A3997" s="473">
        <v>39803</v>
      </c>
      <c r="B3997" s="473" t="s">
        <v>13645</v>
      </c>
      <c r="C3997" s="473" t="s">
        <v>40</v>
      </c>
      <c r="D3997" s="473" t="s">
        <v>41</v>
      </c>
      <c r="E3997" s="361">
        <v>151.61000000000001</v>
      </c>
    </row>
    <row r="3998" spans="1:5">
      <c r="A3998" s="473">
        <v>39799</v>
      </c>
      <c r="B3998" s="473" t="s">
        <v>13646</v>
      </c>
      <c r="C3998" s="473" t="s">
        <v>40</v>
      </c>
      <c r="D3998" s="473" t="s">
        <v>41</v>
      </c>
      <c r="E3998" s="361">
        <v>24.91</v>
      </c>
    </row>
    <row r="3999" spans="1:5">
      <c r="A3999" s="473">
        <v>39800</v>
      </c>
      <c r="B3999" s="473" t="s">
        <v>13647</v>
      </c>
      <c r="C3999" s="473" t="s">
        <v>40</v>
      </c>
      <c r="D3999" s="473" t="s">
        <v>41</v>
      </c>
      <c r="E3999" s="361">
        <v>41.91</v>
      </c>
    </row>
    <row r="4000" spans="1:5">
      <c r="A4000" s="473">
        <v>4224</v>
      </c>
      <c r="B4000" s="473" t="s">
        <v>13648</v>
      </c>
      <c r="C4000" s="473" t="s">
        <v>50</v>
      </c>
      <c r="D4000" s="473" t="s">
        <v>41</v>
      </c>
      <c r="E4000" s="361">
        <v>10.96</v>
      </c>
    </row>
    <row r="4001" spans="1:5">
      <c r="A4001" s="473">
        <v>21059</v>
      </c>
      <c r="B4001" s="473" t="s">
        <v>13649</v>
      </c>
      <c r="C4001" s="473" t="s">
        <v>40</v>
      </c>
      <c r="D4001" s="473" t="s">
        <v>47</v>
      </c>
      <c r="E4001" s="361">
        <v>31.02</v>
      </c>
    </row>
    <row r="4002" spans="1:5">
      <c r="A4002" s="473">
        <v>11234</v>
      </c>
      <c r="B4002" s="473" t="s">
        <v>13650</v>
      </c>
      <c r="C4002" s="473" t="s">
        <v>40</v>
      </c>
      <c r="D4002" s="473" t="s">
        <v>47</v>
      </c>
      <c r="E4002" s="361">
        <v>46.75</v>
      </c>
    </row>
    <row r="4003" spans="1:5">
      <c r="A4003" s="473">
        <v>21060</v>
      </c>
      <c r="B4003" s="473" t="s">
        <v>13651</v>
      </c>
      <c r="C4003" s="473" t="s">
        <v>40</v>
      </c>
      <c r="D4003" s="473" t="s">
        <v>47</v>
      </c>
      <c r="E4003" s="361">
        <v>57.55</v>
      </c>
    </row>
    <row r="4004" spans="1:5">
      <c r="A4004" s="473">
        <v>21061</v>
      </c>
      <c r="B4004" s="473" t="s">
        <v>13652</v>
      </c>
      <c r="C4004" s="473" t="s">
        <v>40</v>
      </c>
      <c r="D4004" s="473" t="s">
        <v>47</v>
      </c>
      <c r="E4004" s="361">
        <v>71.930000000000007</v>
      </c>
    </row>
    <row r="4005" spans="1:5">
      <c r="A4005" s="473">
        <v>21062</v>
      </c>
      <c r="B4005" s="473" t="s">
        <v>13653</v>
      </c>
      <c r="C4005" s="473" t="s">
        <v>40</v>
      </c>
      <c r="D4005" s="473" t="s">
        <v>47</v>
      </c>
      <c r="E4005" s="361">
        <v>113.3</v>
      </c>
    </row>
    <row r="4006" spans="1:5">
      <c r="A4006" s="473">
        <v>11708</v>
      </c>
      <c r="B4006" s="473" t="s">
        <v>13654</v>
      </c>
      <c r="C4006" s="473" t="s">
        <v>40</v>
      </c>
      <c r="D4006" s="473" t="s">
        <v>47</v>
      </c>
      <c r="E4006" s="361">
        <v>12.36</v>
      </c>
    </row>
    <row r="4007" spans="1:5">
      <c r="A4007" s="473">
        <v>11709</v>
      </c>
      <c r="B4007" s="473" t="s">
        <v>13655</v>
      </c>
      <c r="C4007" s="473" t="s">
        <v>40</v>
      </c>
      <c r="D4007" s="473" t="s">
        <v>47</v>
      </c>
      <c r="E4007" s="361">
        <v>29.04</v>
      </c>
    </row>
    <row r="4008" spans="1:5">
      <c r="A4008" s="473">
        <v>11710</v>
      </c>
      <c r="B4008" s="473" t="s">
        <v>13656</v>
      </c>
      <c r="C4008" s="473" t="s">
        <v>40</v>
      </c>
      <c r="D4008" s="473" t="s">
        <v>47</v>
      </c>
      <c r="E4008" s="361">
        <v>66.760000000000005</v>
      </c>
    </row>
    <row r="4009" spans="1:5">
      <c r="A4009" s="473">
        <v>11707</v>
      </c>
      <c r="B4009" s="473" t="s">
        <v>13657</v>
      </c>
      <c r="C4009" s="473" t="s">
        <v>40</v>
      </c>
      <c r="D4009" s="473" t="s">
        <v>47</v>
      </c>
      <c r="E4009" s="361">
        <v>9.26</v>
      </c>
    </row>
    <row r="4010" spans="1:5">
      <c r="A4010" s="473">
        <v>11739</v>
      </c>
      <c r="B4010" s="473" t="s">
        <v>13658</v>
      </c>
      <c r="C4010" s="473" t="s">
        <v>40</v>
      </c>
      <c r="D4010" s="473" t="s">
        <v>41</v>
      </c>
      <c r="E4010" s="361">
        <v>5.93</v>
      </c>
    </row>
    <row r="4011" spans="1:5">
      <c r="A4011" s="473">
        <v>11711</v>
      </c>
      <c r="B4011" s="473" t="s">
        <v>13659</v>
      </c>
      <c r="C4011" s="473" t="s">
        <v>40</v>
      </c>
      <c r="D4011" s="473" t="s">
        <v>41</v>
      </c>
      <c r="E4011" s="361">
        <v>8.69</v>
      </c>
    </row>
    <row r="4012" spans="1:5">
      <c r="A4012" s="473">
        <v>5102</v>
      </c>
      <c r="B4012" s="473" t="s">
        <v>13660</v>
      </c>
      <c r="C4012" s="473" t="s">
        <v>40</v>
      </c>
      <c r="D4012" s="473" t="s">
        <v>41</v>
      </c>
      <c r="E4012" s="361">
        <v>8.4</v>
      </c>
    </row>
    <row r="4013" spans="1:5">
      <c r="A4013" s="473">
        <v>11741</v>
      </c>
      <c r="B4013" s="473" t="s">
        <v>13661</v>
      </c>
      <c r="C4013" s="473" t="s">
        <v>40</v>
      </c>
      <c r="D4013" s="473" t="s">
        <v>41</v>
      </c>
      <c r="E4013" s="361">
        <v>6.12</v>
      </c>
    </row>
    <row r="4014" spans="1:5">
      <c r="A4014" s="473">
        <v>11743</v>
      </c>
      <c r="B4014" s="473" t="s">
        <v>13662</v>
      </c>
      <c r="C4014" s="473" t="s">
        <v>40</v>
      </c>
      <c r="D4014" s="473" t="s">
        <v>41</v>
      </c>
      <c r="E4014" s="361">
        <v>5.56</v>
      </c>
    </row>
    <row r="4015" spans="1:5">
      <c r="A4015" s="473">
        <v>11745</v>
      </c>
      <c r="B4015" s="473" t="s">
        <v>13663</v>
      </c>
      <c r="C4015" s="473" t="s">
        <v>40</v>
      </c>
      <c r="D4015" s="473" t="s">
        <v>41</v>
      </c>
      <c r="E4015" s="361">
        <v>7.89</v>
      </c>
    </row>
    <row r="4016" spans="1:5">
      <c r="A4016" s="473">
        <v>25961</v>
      </c>
      <c r="B4016" s="473" t="s">
        <v>13664</v>
      </c>
      <c r="C4016" s="473" t="s">
        <v>43</v>
      </c>
      <c r="D4016" s="473" t="s">
        <v>41</v>
      </c>
      <c r="E4016" s="361">
        <v>8.76</v>
      </c>
    </row>
    <row r="4017" spans="1:5">
      <c r="A4017" s="473">
        <v>40985</v>
      </c>
      <c r="B4017" s="473" t="s">
        <v>13665</v>
      </c>
      <c r="C4017" s="473" t="s">
        <v>53</v>
      </c>
      <c r="D4017" s="473" t="s">
        <v>41</v>
      </c>
      <c r="E4017" s="361">
        <v>1565.05</v>
      </c>
    </row>
    <row r="4018" spans="1:5">
      <c r="A4018" s="473">
        <v>1088</v>
      </c>
      <c r="B4018" s="473" t="s">
        <v>13666</v>
      </c>
      <c r="C4018" s="473" t="s">
        <v>40</v>
      </c>
      <c r="D4018" s="473" t="s">
        <v>47</v>
      </c>
      <c r="E4018" s="361">
        <v>13.94</v>
      </c>
    </row>
    <row r="4019" spans="1:5">
      <c r="A4019" s="473">
        <v>1087</v>
      </c>
      <c r="B4019" s="473" t="s">
        <v>13667</v>
      </c>
      <c r="C4019" s="473" t="s">
        <v>40</v>
      </c>
      <c r="D4019" s="473" t="s">
        <v>47</v>
      </c>
      <c r="E4019" s="361">
        <v>17.41</v>
      </c>
    </row>
    <row r="4020" spans="1:5">
      <c r="A4020" s="473">
        <v>38777</v>
      </c>
      <c r="B4020" s="473" t="s">
        <v>13668</v>
      </c>
      <c r="C4020" s="473" t="s">
        <v>40</v>
      </c>
      <c r="D4020" s="473" t="s">
        <v>47</v>
      </c>
      <c r="E4020" s="361">
        <v>34.69</v>
      </c>
    </row>
    <row r="4021" spans="1:5">
      <c r="A4021" s="473">
        <v>1086</v>
      </c>
      <c r="B4021" s="473" t="s">
        <v>13669</v>
      </c>
      <c r="C4021" s="473" t="s">
        <v>40</v>
      </c>
      <c r="D4021" s="473" t="s">
        <v>47</v>
      </c>
      <c r="E4021" s="361">
        <v>18.3</v>
      </c>
    </row>
    <row r="4022" spans="1:5">
      <c r="A4022" s="473">
        <v>1079</v>
      </c>
      <c r="B4022" s="473" t="s">
        <v>13670</v>
      </c>
      <c r="C4022" s="473" t="s">
        <v>40</v>
      </c>
      <c r="D4022" s="473" t="s">
        <v>47</v>
      </c>
      <c r="E4022" s="361">
        <v>18.920000000000002</v>
      </c>
    </row>
    <row r="4023" spans="1:5">
      <c r="A4023" s="473">
        <v>39374</v>
      </c>
      <c r="B4023" s="473" t="s">
        <v>13671</v>
      </c>
      <c r="C4023" s="473" t="s">
        <v>40</v>
      </c>
      <c r="D4023" s="473" t="s">
        <v>44</v>
      </c>
      <c r="E4023" s="361">
        <v>137.29</v>
      </c>
    </row>
    <row r="4024" spans="1:5">
      <c r="A4024" s="473">
        <v>1082</v>
      </c>
      <c r="B4024" s="473" t="s">
        <v>13672</v>
      </c>
      <c r="C4024" s="473" t="s">
        <v>40</v>
      </c>
      <c r="D4024" s="473" t="s">
        <v>47</v>
      </c>
      <c r="E4024" s="361">
        <v>118.97</v>
      </c>
    </row>
    <row r="4025" spans="1:5">
      <c r="A4025" s="473">
        <v>12316</v>
      </c>
      <c r="B4025" s="473" t="s">
        <v>13673</v>
      </c>
      <c r="C4025" s="473" t="s">
        <v>40</v>
      </c>
      <c r="D4025" s="473" t="s">
        <v>47</v>
      </c>
      <c r="E4025" s="361">
        <v>54.52</v>
      </c>
    </row>
    <row r="4026" spans="1:5">
      <c r="A4026" s="473">
        <v>12317</v>
      </c>
      <c r="B4026" s="473" t="s">
        <v>13674</v>
      </c>
      <c r="C4026" s="473" t="s">
        <v>40</v>
      </c>
      <c r="D4026" s="473" t="s">
        <v>47</v>
      </c>
      <c r="E4026" s="361">
        <v>65.02</v>
      </c>
    </row>
    <row r="4027" spans="1:5">
      <c r="A4027" s="473">
        <v>12318</v>
      </c>
      <c r="B4027" s="473" t="s">
        <v>13675</v>
      </c>
      <c r="C4027" s="473" t="s">
        <v>40</v>
      </c>
      <c r="D4027" s="473" t="s">
        <v>47</v>
      </c>
      <c r="E4027" s="361">
        <v>74.91</v>
      </c>
    </row>
    <row r="4028" spans="1:5">
      <c r="A4028" s="473">
        <v>5104</v>
      </c>
      <c r="B4028" s="473" t="s">
        <v>13676</v>
      </c>
      <c r="C4028" s="473" t="s">
        <v>49</v>
      </c>
      <c r="D4028" s="473" t="s">
        <v>47</v>
      </c>
      <c r="E4028" s="361">
        <v>41.84</v>
      </c>
    </row>
    <row r="4029" spans="1:5">
      <c r="A4029" s="473">
        <v>26023</v>
      </c>
      <c r="B4029" s="473" t="s">
        <v>13677</v>
      </c>
      <c r="C4029" s="473" t="s">
        <v>40</v>
      </c>
      <c r="D4029" s="473" t="s">
        <v>41</v>
      </c>
      <c r="E4029" s="361">
        <v>56.44</v>
      </c>
    </row>
    <row r="4030" spans="1:5">
      <c r="A4030" s="473">
        <v>2710</v>
      </c>
      <c r="B4030" s="473" t="s">
        <v>13678</v>
      </c>
      <c r="C4030" s="473" t="s">
        <v>40</v>
      </c>
      <c r="D4030" s="473" t="s">
        <v>41</v>
      </c>
      <c r="E4030" s="361">
        <v>45.07</v>
      </c>
    </row>
    <row r="4031" spans="1:5">
      <c r="A4031" s="473">
        <v>14575</v>
      </c>
      <c r="B4031" s="473" t="s">
        <v>13679</v>
      </c>
      <c r="C4031" s="473" t="s">
        <v>40</v>
      </c>
      <c r="D4031" s="473" t="s">
        <v>47</v>
      </c>
      <c r="E4031" s="361">
        <v>3573475.67</v>
      </c>
    </row>
    <row r="4032" spans="1:5">
      <c r="A4032" s="473">
        <v>20034</v>
      </c>
      <c r="B4032" s="473" t="s">
        <v>13680</v>
      </c>
      <c r="C4032" s="473" t="s">
        <v>40</v>
      </c>
      <c r="D4032" s="473" t="s">
        <v>47</v>
      </c>
      <c r="E4032" s="361">
        <v>63.24</v>
      </c>
    </row>
    <row r="4033" spans="1:5">
      <c r="A4033" s="473">
        <v>20036</v>
      </c>
      <c r="B4033" s="473" t="s">
        <v>13681</v>
      </c>
      <c r="C4033" s="473" t="s">
        <v>40</v>
      </c>
      <c r="D4033" s="473" t="s">
        <v>47</v>
      </c>
      <c r="E4033" s="361">
        <v>121.65</v>
      </c>
    </row>
    <row r="4034" spans="1:5">
      <c r="A4034" s="473">
        <v>20037</v>
      </c>
      <c r="B4034" s="473" t="s">
        <v>13682</v>
      </c>
      <c r="C4034" s="473" t="s">
        <v>40</v>
      </c>
      <c r="D4034" s="473" t="s">
        <v>47</v>
      </c>
      <c r="E4034" s="361">
        <v>229.45</v>
      </c>
    </row>
    <row r="4035" spans="1:5">
      <c r="A4035" s="473">
        <v>20043</v>
      </c>
      <c r="B4035" s="473" t="s">
        <v>13683</v>
      </c>
      <c r="C4035" s="473" t="s">
        <v>40</v>
      </c>
      <c r="D4035" s="473" t="s">
        <v>41</v>
      </c>
      <c r="E4035" s="361">
        <v>4.33</v>
      </c>
    </row>
    <row r="4036" spans="1:5">
      <c r="A4036" s="473">
        <v>20044</v>
      </c>
      <c r="B4036" s="473" t="s">
        <v>13684</v>
      </c>
      <c r="C4036" s="473" t="s">
        <v>40</v>
      </c>
      <c r="D4036" s="473" t="s">
        <v>41</v>
      </c>
      <c r="E4036" s="361">
        <v>5.0599999999999996</v>
      </c>
    </row>
    <row r="4037" spans="1:5">
      <c r="A4037" s="473">
        <v>20042</v>
      </c>
      <c r="B4037" s="473" t="s">
        <v>13685</v>
      </c>
      <c r="C4037" s="473" t="s">
        <v>40</v>
      </c>
      <c r="D4037" s="473" t="s">
        <v>41</v>
      </c>
      <c r="E4037" s="361">
        <v>3.66</v>
      </c>
    </row>
    <row r="4038" spans="1:5">
      <c r="A4038" s="473">
        <v>20046</v>
      </c>
      <c r="B4038" s="473" t="s">
        <v>13686</v>
      </c>
      <c r="C4038" s="473" t="s">
        <v>40</v>
      </c>
      <c r="D4038" s="473" t="s">
        <v>41</v>
      </c>
      <c r="E4038" s="361">
        <v>10.73</v>
      </c>
    </row>
    <row r="4039" spans="1:5">
      <c r="A4039" s="473">
        <v>20047</v>
      </c>
      <c r="B4039" s="473" t="s">
        <v>13687</v>
      </c>
      <c r="C4039" s="473" t="s">
        <v>40</v>
      </c>
      <c r="D4039" s="473" t="s">
        <v>41</v>
      </c>
      <c r="E4039" s="361">
        <v>29.33</v>
      </c>
    </row>
    <row r="4040" spans="1:5">
      <c r="A4040" s="473">
        <v>20045</v>
      </c>
      <c r="B4040" s="473" t="s">
        <v>13688</v>
      </c>
      <c r="C4040" s="473" t="s">
        <v>40</v>
      </c>
      <c r="D4040" s="473" t="s">
        <v>41</v>
      </c>
      <c r="E4040" s="361">
        <v>4.41</v>
      </c>
    </row>
    <row r="4041" spans="1:5">
      <c r="A4041" s="473">
        <v>20972</v>
      </c>
      <c r="B4041" s="473" t="s">
        <v>13689</v>
      </c>
      <c r="C4041" s="473" t="s">
        <v>40</v>
      </c>
      <c r="D4041" s="473" t="s">
        <v>41</v>
      </c>
      <c r="E4041" s="361">
        <v>85.71</v>
      </c>
    </row>
    <row r="4042" spans="1:5">
      <c r="A4042" s="473">
        <v>20032</v>
      </c>
      <c r="B4042" s="473" t="s">
        <v>13690</v>
      </c>
      <c r="C4042" s="473" t="s">
        <v>40</v>
      </c>
      <c r="D4042" s="473" t="s">
        <v>47</v>
      </c>
      <c r="E4042" s="361">
        <v>47.82</v>
      </c>
    </row>
    <row r="4043" spans="1:5">
      <c r="A4043" s="473">
        <v>11321</v>
      </c>
      <c r="B4043" s="473" t="s">
        <v>13691</v>
      </c>
      <c r="C4043" s="473" t="s">
        <v>40</v>
      </c>
      <c r="D4043" s="473" t="s">
        <v>47</v>
      </c>
      <c r="E4043" s="361">
        <v>21.8</v>
      </c>
    </row>
    <row r="4044" spans="1:5">
      <c r="A4044" s="473">
        <v>11323</v>
      </c>
      <c r="B4044" s="473" t="s">
        <v>13692</v>
      </c>
      <c r="C4044" s="473" t="s">
        <v>40</v>
      </c>
      <c r="D4044" s="473" t="s">
        <v>47</v>
      </c>
      <c r="E4044" s="361">
        <v>25.07</v>
      </c>
    </row>
    <row r="4045" spans="1:5">
      <c r="A4045" s="473">
        <v>20327</v>
      </c>
      <c r="B4045" s="473" t="s">
        <v>13693</v>
      </c>
      <c r="C4045" s="473" t="s">
        <v>40</v>
      </c>
      <c r="D4045" s="473" t="s">
        <v>47</v>
      </c>
      <c r="E4045" s="361">
        <v>14.23</v>
      </c>
    </row>
    <row r="4046" spans="1:5">
      <c r="A4046" s="473">
        <v>25966</v>
      </c>
      <c r="B4046" s="473" t="s">
        <v>13694</v>
      </c>
      <c r="C4046" s="473" t="s">
        <v>50</v>
      </c>
      <c r="D4046" s="473" t="s">
        <v>41</v>
      </c>
      <c r="E4046" s="361">
        <v>14.01</v>
      </c>
    </row>
    <row r="4047" spans="1:5">
      <c r="A4047" s="473">
        <v>13390</v>
      </c>
      <c r="B4047" s="473" t="s">
        <v>13695</v>
      </c>
      <c r="C4047" s="473" t="s">
        <v>40</v>
      </c>
      <c r="D4047" s="473" t="s">
        <v>47</v>
      </c>
      <c r="E4047" s="361">
        <v>68.81</v>
      </c>
    </row>
    <row r="4048" spans="1:5">
      <c r="A4048" s="473">
        <v>6034</v>
      </c>
      <c r="B4048" s="473" t="s">
        <v>13696</v>
      </c>
      <c r="C4048" s="473" t="s">
        <v>40</v>
      </c>
      <c r="D4048" s="473" t="s">
        <v>41</v>
      </c>
      <c r="E4048" s="361">
        <v>13.65</v>
      </c>
    </row>
    <row r="4049" spans="1:5">
      <c r="A4049" s="473">
        <v>6036</v>
      </c>
      <c r="B4049" s="473" t="s">
        <v>13697</v>
      </c>
      <c r="C4049" s="473" t="s">
        <v>40</v>
      </c>
      <c r="D4049" s="473" t="s">
        <v>41</v>
      </c>
      <c r="E4049" s="361">
        <v>18.59</v>
      </c>
    </row>
    <row r="4050" spans="1:5">
      <c r="A4050" s="473">
        <v>6031</v>
      </c>
      <c r="B4050" s="473" t="s">
        <v>13698</v>
      </c>
      <c r="C4050" s="473" t="s">
        <v>40</v>
      </c>
      <c r="D4050" s="473" t="s">
        <v>44</v>
      </c>
      <c r="E4050" s="361">
        <v>21.85</v>
      </c>
    </row>
    <row r="4051" spans="1:5">
      <c r="A4051" s="473">
        <v>6029</v>
      </c>
      <c r="B4051" s="473" t="s">
        <v>13699</v>
      </c>
      <c r="C4051" s="473" t="s">
        <v>40</v>
      </c>
      <c r="D4051" s="473" t="s">
        <v>41</v>
      </c>
      <c r="E4051" s="361">
        <v>22.08</v>
      </c>
    </row>
    <row r="4052" spans="1:5">
      <c r="A4052" s="473">
        <v>6033</v>
      </c>
      <c r="B4052" s="473" t="s">
        <v>13700</v>
      </c>
      <c r="C4052" s="473" t="s">
        <v>40</v>
      </c>
      <c r="D4052" s="473" t="s">
        <v>41</v>
      </c>
      <c r="E4052" s="361">
        <v>29.1</v>
      </c>
    </row>
    <row r="4053" spans="1:5">
      <c r="A4053" s="473">
        <v>11672</v>
      </c>
      <c r="B4053" s="473" t="s">
        <v>13701</v>
      </c>
      <c r="C4053" s="473" t="s">
        <v>40</v>
      </c>
      <c r="D4053" s="473" t="s">
        <v>41</v>
      </c>
      <c r="E4053" s="361">
        <v>63.31</v>
      </c>
    </row>
    <row r="4054" spans="1:5">
      <c r="A4054" s="473">
        <v>11669</v>
      </c>
      <c r="B4054" s="473" t="s">
        <v>13702</v>
      </c>
      <c r="C4054" s="473" t="s">
        <v>40</v>
      </c>
      <c r="D4054" s="473" t="s">
        <v>41</v>
      </c>
      <c r="E4054" s="361">
        <v>60.29</v>
      </c>
    </row>
    <row r="4055" spans="1:5">
      <c r="A4055" s="473">
        <v>11670</v>
      </c>
      <c r="B4055" s="473" t="s">
        <v>13703</v>
      </c>
      <c r="C4055" s="473" t="s">
        <v>40</v>
      </c>
      <c r="D4055" s="473" t="s">
        <v>41</v>
      </c>
      <c r="E4055" s="361">
        <v>23.09</v>
      </c>
    </row>
    <row r="4056" spans="1:5">
      <c r="A4056" s="473">
        <v>20055</v>
      </c>
      <c r="B4056" s="473" t="s">
        <v>13704</v>
      </c>
      <c r="C4056" s="473" t="s">
        <v>40</v>
      </c>
      <c r="D4056" s="473" t="s">
        <v>41</v>
      </c>
      <c r="E4056" s="361">
        <v>45.15</v>
      </c>
    </row>
    <row r="4057" spans="1:5">
      <c r="A4057" s="473">
        <v>11671</v>
      </c>
      <c r="B4057" s="473" t="s">
        <v>13705</v>
      </c>
      <c r="C4057" s="473" t="s">
        <v>40</v>
      </c>
      <c r="D4057" s="473" t="s">
        <v>41</v>
      </c>
      <c r="E4057" s="361">
        <v>96.89</v>
      </c>
    </row>
    <row r="4058" spans="1:5">
      <c r="A4058" s="473">
        <v>6032</v>
      </c>
      <c r="B4058" s="473" t="s">
        <v>13706</v>
      </c>
      <c r="C4058" s="473" t="s">
        <v>40</v>
      </c>
      <c r="D4058" s="473" t="s">
        <v>41</v>
      </c>
      <c r="E4058" s="361">
        <v>27.67</v>
      </c>
    </row>
    <row r="4059" spans="1:5">
      <c r="A4059" s="473">
        <v>11673</v>
      </c>
      <c r="B4059" s="473" t="s">
        <v>13707</v>
      </c>
      <c r="C4059" s="473" t="s">
        <v>40</v>
      </c>
      <c r="D4059" s="473" t="s">
        <v>41</v>
      </c>
      <c r="E4059" s="361">
        <v>21.79</v>
      </c>
    </row>
    <row r="4060" spans="1:5">
      <c r="A4060" s="473">
        <v>11674</v>
      </c>
      <c r="B4060" s="473" t="s">
        <v>13708</v>
      </c>
      <c r="C4060" s="473" t="s">
        <v>40</v>
      </c>
      <c r="D4060" s="473" t="s">
        <v>41</v>
      </c>
      <c r="E4060" s="361">
        <v>28.06</v>
      </c>
    </row>
    <row r="4061" spans="1:5">
      <c r="A4061" s="473">
        <v>11675</v>
      </c>
      <c r="B4061" s="473" t="s">
        <v>13709</v>
      </c>
      <c r="C4061" s="473" t="s">
        <v>40</v>
      </c>
      <c r="D4061" s="473" t="s">
        <v>41</v>
      </c>
      <c r="E4061" s="361">
        <v>44.55</v>
      </c>
    </row>
    <row r="4062" spans="1:5">
      <c r="A4062" s="473">
        <v>11676</v>
      </c>
      <c r="B4062" s="473" t="s">
        <v>13710</v>
      </c>
      <c r="C4062" s="473" t="s">
        <v>40</v>
      </c>
      <c r="D4062" s="473" t="s">
        <v>41</v>
      </c>
      <c r="E4062" s="361">
        <v>59.59</v>
      </c>
    </row>
    <row r="4063" spans="1:5">
      <c r="A4063" s="473">
        <v>11677</v>
      </c>
      <c r="B4063" s="473" t="s">
        <v>13711</v>
      </c>
      <c r="C4063" s="473" t="s">
        <v>40</v>
      </c>
      <c r="D4063" s="473" t="s">
        <v>41</v>
      </c>
      <c r="E4063" s="361">
        <v>61.54</v>
      </c>
    </row>
    <row r="4064" spans="1:5">
      <c r="A4064" s="473">
        <v>11678</v>
      </c>
      <c r="B4064" s="473" t="s">
        <v>13712</v>
      </c>
      <c r="C4064" s="473" t="s">
        <v>40</v>
      </c>
      <c r="D4064" s="473" t="s">
        <v>41</v>
      </c>
      <c r="E4064" s="361">
        <v>112.7</v>
      </c>
    </row>
    <row r="4065" spans="1:5">
      <c r="A4065" s="473">
        <v>6038</v>
      </c>
      <c r="B4065" s="473" t="s">
        <v>13713</v>
      </c>
      <c r="C4065" s="473" t="s">
        <v>40</v>
      </c>
      <c r="D4065" s="473" t="s">
        <v>41</v>
      </c>
      <c r="E4065" s="361">
        <v>7.15</v>
      </c>
    </row>
    <row r="4066" spans="1:5">
      <c r="A4066" s="473">
        <v>11718</v>
      </c>
      <c r="B4066" s="473" t="s">
        <v>13714</v>
      </c>
      <c r="C4066" s="473" t="s">
        <v>40</v>
      </c>
      <c r="D4066" s="473" t="s">
        <v>41</v>
      </c>
      <c r="E4066" s="361">
        <v>20.39</v>
      </c>
    </row>
    <row r="4067" spans="1:5">
      <c r="A4067" s="473">
        <v>6037</v>
      </c>
      <c r="B4067" s="473" t="s">
        <v>13715</v>
      </c>
      <c r="C4067" s="473" t="s">
        <v>40</v>
      </c>
      <c r="D4067" s="473" t="s">
        <v>41</v>
      </c>
      <c r="E4067" s="361">
        <v>14.87</v>
      </c>
    </row>
    <row r="4068" spans="1:5">
      <c r="A4068" s="473">
        <v>11719</v>
      </c>
      <c r="B4068" s="473" t="s">
        <v>13716</v>
      </c>
      <c r="C4068" s="473" t="s">
        <v>40</v>
      </c>
      <c r="D4068" s="473" t="s">
        <v>41</v>
      </c>
      <c r="E4068" s="361">
        <v>16.54</v>
      </c>
    </row>
    <row r="4069" spans="1:5">
      <c r="A4069" s="473">
        <v>6019</v>
      </c>
      <c r="B4069" s="473" t="s">
        <v>13717</v>
      </c>
      <c r="C4069" s="473" t="s">
        <v>40</v>
      </c>
      <c r="D4069" s="473" t="s">
        <v>47</v>
      </c>
      <c r="E4069" s="361">
        <v>33.58</v>
      </c>
    </row>
    <row r="4070" spans="1:5">
      <c r="A4070" s="473">
        <v>6010</v>
      </c>
      <c r="B4070" s="473" t="s">
        <v>13718</v>
      </c>
      <c r="C4070" s="473" t="s">
        <v>40</v>
      </c>
      <c r="D4070" s="473" t="s">
        <v>47</v>
      </c>
      <c r="E4070" s="361">
        <v>57.78</v>
      </c>
    </row>
    <row r="4071" spans="1:5">
      <c r="A4071" s="473">
        <v>6017</v>
      </c>
      <c r="B4071" s="473" t="s">
        <v>13719</v>
      </c>
      <c r="C4071" s="473" t="s">
        <v>40</v>
      </c>
      <c r="D4071" s="473" t="s">
        <v>47</v>
      </c>
      <c r="E4071" s="361">
        <v>45.76</v>
      </c>
    </row>
    <row r="4072" spans="1:5">
      <c r="A4072" s="473">
        <v>6020</v>
      </c>
      <c r="B4072" s="473" t="s">
        <v>13720</v>
      </c>
      <c r="C4072" s="473" t="s">
        <v>40</v>
      </c>
      <c r="D4072" s="473" t="s">
        <v>47</v>
      </c>
      <c r="E4072" s="361">
        <v>20.170000000000002</v>
      </c>
    </row>
    <row r="4073" spans="1:5">
      <c r="A4073" s="473">
        <v>6028</v>
      </c>
      <c r="B4073" s="473" t="s">
        <v>13721</v>
      </c>
      <c r="C4073" s="473" t="s">
        <v>40</v>
      </c>
      <c r="D4073" s="473" t="s">
        <v>47</v>
      </c>
      <c r="E4073" s="361">
        <v>80.47</v>
      </c>
    </row>
    <row r="4074" spans="1:5">
      <c r="A4074" s="473">
        <v>6011</v>
      </c>
      <c r="B4074" s="473" t="s">
        <v>13722</v>
      </c>
      <c r="C4074" s="473" t="s">
        <v>40</v>
      </c>
      <c r="D4074" s="473" t="s">
        <v>47</v>
      </c>
      <c r="E4074" s="361">
        <v>166.9</v>
      </c>
    </row>
    <row r="4075" spans="1:5">
      <c r="A4075" s="473">
        <v>6012</v>
      </c>
      <c r="B4075" s="473" t="s">
        <v>13723</v>
      </c>
      <c r="C4075" s="473" t="s">
        <v>40</v>
      </c>
      <c r="D4075" s="473" t="s">
        <v>47</v>
      </c>
      <c r="E4075" s="361">
        <v>202.06</v>
      </c>
    </row>
    <row r="4076" spans="1:5">
      <c r="A4076" s="473">
        <v>6016</v>
      </c>
      <c r="B4076" s="473" t="s">
        <v>13724</v>
      </c>
      <c r="C4076" s="473" t="s">
        <v>40</v>
      </c>
      <c r="D4076" s="473" t="s">
        <v>47</v>
      </c>
      <c r="E4076" s="361">
        <v>21.27</v>
      </c>
    </row>
    <row r="4077" spans="1:5">
      <c r="A4077" s="473">
        <v>6027</v>
      </c>
      <c r="B4077" s="473" t="s">
        <v>13725</v>
      </c>
      <c r="C4077" s="473" t="s">
        <v>40</v>
      </c>
      <c r="D4077" s="473" t="s">
        <v>47</v>
      </c>
      <c r="E4077" s="361">
        <v>421.03</v>
      </c>
    </row>
    <row r="4078" spans="1:5">
      <c r="A4078" s="473">
        <v>6013</v>
      </c>
      <c r="B4078" s="473" t="s">
        <v>13726</v>
      </c>
      <c r="C4078" s="473" t="s">
        <v>40</v>
      </c>
      <c r="D4078" s="473" t="s">
        <v>47</v>
      </c>
      <c r="E4078" s="361">
        <v>63.53</v>
      </c>
    </row>
    <row r="4079" spans="1:5">
      <c r="A4079" s="473">
        <v>6015</v>
      </c>
      <c r="B4079" s="473" t="s">
        <v>13727</v>
      </c>
      <c r="C4079" s="473" t="s">
        <v>40</v>
      </c>
      <c r="D4079" s="473" t="s">
        <v>47</v>
      </c>
      <c r="E4079" s="361">
        <v>92.39</v>
      </c>
    </row>
    <row r="4080" spans="1:5">
      <c r="A4080" s="473">
        <v>6014</v>
      </c>
      <c r="B4080" s="473" t="s">
        <v>13728</v>
      </c>
      <c r="C4080" s="473" t="s">
        <v>40</v>
      </c>
      <c r="D4080" s="473" t="s">
        <v>47</v>
      </c>
      <c r="E4080" s="361">
        <v>88.33</v>
      </c>
    </row>
    <row r="4081" spans="1:5">
      <c r="A4081" s="473">
        <v>6006</v>
      </c>
      <c r="B4081" s="473" t="s">
        <v>13729</v>
      </c>
      <c r="C4081" s="473" t="s">
        <v>40</v>
      </c>
      <c r="D4081" s="473" t="s">
        <v>47</v>
      </c>
      <c r="E4081" s="361">
        <v>46</v>
      </c>
    </row>
    <row r="4082" spans="1:5">
      <c r="A4082" s="473">
        <v>6005</v>
      </c>
      <c r="B4082" s="473" t="s">
        <v>13730</v>
      </c>
      <c r="C4082" s="473" t="s">
        <v>40</v>
      </c>
      <c r="D4082" s="473" t="s">
        <v>47</v>
      </c>
      <c r="E4082" s="361">
        <v>51.9</v>
      </c>
    </row>
    <row r="4083" spans="1:5">
      <c r="A4083" s="473">
        <v>11756</v>
      </c>
      <c r="B4083" s="473" t="s">
        <v>13731</v>
      </c>
      <c r="C4083" s="473" t="s">
        <v>40</v>
      </c>
      <c r="D4083" s="473" t="s">
        <v>47</v>
      </c>
      <c r="E4083" s="361">
        <v>24.78</v>
      </c>
    </row>
    <row r="4084" spans="1:5">
      <c r="A4084" s="473">
        <v>10904</v>
      </c>
      <c r="B4084" s="473" t="s">
        <v>13732</v>
      </c>
      <c r="C4084" s="473" t="s">
        <v>40</v>
      </c>
      <c r="D4084" s="473" t="s">
        <v>44</v>
      </c>
      <c r="E4084" s="361">
        <v>120</v>
      </c>
    </row>
    <row r="4085" spans="1:5">
      <c r="A4085" s="473">
        <v>11752</v>
      </c>
      <c r="B4085" s="473" t="s">
        <v>13733</v>
      </c>
      <c r="C4085" s="473" t="s">
        <v>40</v>
      </c>
      <c r="D4085" s="473" t="s">
        <v>47</v>
      </c>
      <c r="E4085" s="361">
        <v>14.29</v>
      </c>
    </row>
    <row r="4086" spans="1:5">
      <c r="A4086" s="473">
        <v>11753</v>
      </c>
      <c r="B4086" s="473" t="s">
        <v>13734</v>
      </c>
      <c r="C4086" s="473" t="s">
        <v>40</v>
      </c>
      <c r="D4086" s="473" t="s">
        <v>47</v>
      </c>
      <c r="E4086" s="361">
        <v>17.059999999999999</v>
      </c>
    </row>
    <row r="4087" spans="1:5">
      <c r="A4087" s="473">
        <v>6021</v>
      </c>
      <c r="B4087" s="473" t="s">
        <v>13735</v>
      </c>
      <c r="C4087" s="473" t="s">
        <v>40</v>
      </c>
      <c r="D4087" s="473" t="s">
        <v>47</v>
      </c>
      <c r="E4087" s="361">
        <v>47.35</v>
      </c>
    </row>
    <row r="4088" spans="1:5">
      <c r="A4088" s="473">
        <v>6024</v>
      </c>
      <c r="B4088" s="473" t="s">
        <v>13736</v>
      </c>
      <c r="C4088" s="473" t="s">
        <v>40</v>
      </c>
      <c r="D4088" s="473" t="s">
        <v>47</v>
      </c>
      <c r="E4088" s="361">
        <v>48.95</v>
      </c>
    </row>
    <row r="4089" spans="1:5">
      <c r="A4089" s="473">
        <v>38379</v>
      </c>
      <c r="B4089" s="473" t="s">
        <v>13737</v>
      </c>
      <c r="C4089" s="473" t="s">
        <v>48</v>
      </c>
      <c r="D4089" s="473" t="s">
        <v>41</v>
      </c>
      <c r="E4089" s="361">
        <v>31.35</v>
      </c>
    </row>
    <row r="4090" spans="1:5">
      <c r="A4090" s="473">
        <v>13897</v>
      </c>
      <c r="B4090" s="473" t="s">
        <v>13738</v>
      </c>
      <c r="C4090" s="473" t="s">
        <v>40</v>
      </c>
      <c r="D4090" s="473" t="s">
        <v>47</v>
      </c>
      <c r="E4090" s="361">
        <v>5788.07</v>
      </c>
    </row>
    <row r="4091" spans="1:5">
      <c r="A4091" s="473">
        <v>10640</v>
      </c>
      <c r="B4091" s="473" t="s">
        <v>13739</v>
      </c>
      <c r="C4091" s="473" t="s">
        <v>40</v>
      </c>
      <c r="D4091" s="473" t="s">
        <v>47</v>
      </c>
      <c r="E4091" s="361">
        <v>12535.76</v>
      </c>
    </row>
    <row r="4092" spans="1:5">
      <c r="A4092" s="473">
        <v>11086</v>
      </c>
      <c r="B4092" s="473" t="s">
        <v>13740</v>
      </c>
      <c r="C4092" s="473" t="s">
        <v>45</v>
      </c>
      <c r="D4092" s="473" t="s">
        <v>41</v>
      </c>
      <c r="E4092" s="361">
        <v>73.42</v>
      </c>
    </row>
    <row r="4093" spans="1:5">
      <c r="A4093" s="473">
        <v>34356</v>
      </c>
      <c r="B4093" s="473" t="s">
        <v>13741</v>
      </c>
      <c r="C4093" s="473" t="s">
        <v>49</v>
      </c>
      <c r="D4093" s="473" t="s">
        <v>41</v>
      </c>
      <c r="E4093" s="361">
        <v>2.17</v>
      </c>
    </row>
    <row r="4094" spans="1:5">
      <c r="A4094" s="473">
        <v>34357</v>
      </c>
      <c r="B4094" s="473" t="s">
        <v>13742</v>
      </c>
      <c r="C4094" s="473" t="s">
        <v>49</v>
      </c>
      <c r="D4094" s="473" t="s">
        <v>41</v>
      </c>
      <c r="E4094" s="361">
        <v>2.41</v>
      </c>
    </row>
    <row r="4095" spans="1:5">
      <c r="A4095" s="473">
        <v>37329</v>
      </c>
      <c r="B4095" s="473" t="s">
        <v>13743</v>
      </c>
      <c r="C4095" s="473" t="s">
        <v>49</v>
      </c>
      <c r="D4095" s="473" t="s">
        <v>41</v>
      </c>
      <c r="E4095" s="361">
        <v>33.67</v>
      </c>
    </row>
    <row r="4096" spans="1:5">
      <c r="A4096" s="473">
        <v>37398</v>
      </c>
      <c r="B4096" s="473" t="s">
        <v>13744</v>
      </c>
      <c r="C4096" s="473" t="s">
        <v>49</v>
      </c>
      <c r="D4096" s="473" t="s">
        <v>41</v>
      </c>
      <c r="E4096" s="361">
        <v>43.09</v>
      </c>
    </row>
    <row r="4097" spans="1:5">
      <c r="A4097" s="473">
        <v>2510</v>
      </c>
      <c r="B4097" s="473" t="s">
        <v>13745</v>
      </c>
      <c r="C4097" s="473" t="s">
        <v>40</v>
      </c>
      <c r="D4097" s="473" t="s">
        <v>47</v>
      </c>
      <c r="E4097" s="361">
        <v>17.23</v>
      </c>
    </row>
    <row r="4098" spans="1:5">
      <c r="A4098" s="473">
        <v>12359</v>
      </c>
      <c r="B4098" s="473" t="s">
        <v>13746</v>
      </c>
      <c r="C4098" s="473" t="s">
        <v>40</v>
      </c>
      <c r="D4098" s="473" t="s">
        <v>47</v>
      </c>
      <c r="E4098" s="361">
        <v>109.29</v>
      </c>
    </row>
    <row r="4099" spans="1:5">
      <c r="A4099" s="473">
        <v>5320</v>
      </c>
      <c r="B4099" s="473" t="s">
        <v>13747</v>
      </c>
      <c r="C4099" s="473" t="s">
        <v>50</v>
      </c>
      <c r="D4099" s="473" t="s">
        <v>41</v>
      </c>
      <c r="E4099" s="361">
        <v>28.02</v>
      </c>
    </row>
    <row r="4100" spans="1:5">
      <c r="A4100" s="473">
        <v>7353</v>
      </c>
      <c r="B4100" s="473" t="s">
        <v>13748</v>
      </c>
      <c r="C4100" s="473" t="s">
        <v>50</v>
      </c>
      <c r="D4100" s="473" t="s">
        <v>41</v>
      </c>
      <c r="E4100" s="361">
        <v>24.18</v>
      </c>
    </row>
    <row r="4101" spans="1:5">
      <c r="A4101" s="473">
        <v>36144</v>
      </c>
      <c r="B4101" s="473" t="s">
        <v>13749</v>
      </c>
      <c r="C4101" s="473" t="s">
        <v>40</v>
      </c>
      <c r="D4101" s="473" t="s">
        <v>41</v>
      </c>
      <c r="E4101" s="361">
        <v>1.25</v>
      </c>
    </row>
    <row r="4102" spans="1:5">
      <c r="A4102" s="473">
        <v>10518</v>
      </c>
      <c r="B4102" s="473" t="s">
        <v>13750</v>
      </c>
      <c r="C4102" s="473" t="s">
        <v>40</v>
      </c>
      <c r="D4102" s="473" t="s">
        <v>47</v>
      </c>
      <c r="E4102" s="361">
        <v>57.99</v>
      </c>
    </row>
    <row r="4103" spans="1:5">
      <c r="A4103" s="473">
        <v>36530</v>
      </c>
      <c r="B4103" s="473" t="s">
        <v>13751</v>
      </c>
      <c r="C4103" s="473" t="s">
        <v>40</v>
      </c>
      <c r="D4103" s="473" t="s">
        <v>47</v>
      </c>
      <c r="E4103" s="361">
        <v>216658.53</v>
      </c>
    </row>
    <row r="4104" spans="1:5">
      <c r="A4104" s="473">
        <v>6046</v>
      </c>
      <c r="B4104" s="473" t="s">
        <v>13752</v>
      </c>
      <c r="C4104" s="473" t="s">
        <v>40</v>
      </c>
      <c r="D4104" s="473" t="s">
        <v>47</v>
      </c>
      <c r="E4104" s="361">
        <v>235000</v>
      </c>
    </row>
    <row r="4105" spans="1:5">
      <c r="A4105" s="473">
        <v>36531</v>
      </c>
      <c r="B4105" s="473" t="s">
        <v>13753</v>
      </c>
      <c r="C4105" s="473" t="s">
        <v>40</v>
      </c>
      <c r="D4105" s="473" t="s">
        <v>47</v>
      </c>
      <c r="E4105" s="361">
        <v>243597.54</v>
      </c>
    </row>
    <row r="4106" spans="1:5">
      <c r="A4106" s="473">
        <v>34684</v>
      </c>
      <c r="B4106" s="473" t="s">
        <v>13754</v>
      </c>
      <c r="C4106" s="473" t="s">
        <v>46</v>
      </c>
      <c r="D4106" s="473" t="s">
        <v>41</v>
      </c>
      <c r="E4106" s="361">
        <v>147.82</v>
      </c>
    </row>
    <row r="4107" spans="1:5">
      <c r="A4107" s="473">
        <v>34683</v>
      </c>
      <c r="B4107" s="473" t="s">
        <v>13755</v>
      </c>
      <c r="C4107" s="473" t="s">
        <v>46</v>
      </c>
      <c r="D4107" s="473" t="s">
        <v>41</v>
      </c>
      <c r="E4107" s="361">
        <v>92.39</v>
      </c>
    </row>
    <row r="4108" spans="1:5">
      <c r="A4108" s="473">
        <v>533</v>
      </c>
      <c r="B4108" s="473" t="s">
        <v>13756</v>
      </c>
      <c r="C4108" s="473" t="s">
        <v>46</v>
      </c>
      <c r="D4108" s="473" t="s">
        <v>41</v>
      </c>
      <c r="E4108" s="361">
        <v>20.49</v>
      </c>
    </row>
    <row r="4109" spans="1:5">
      <c r="A4109" s="473">
        <v>10515</v>
      </c>
      <c r="B4109" s="473" t="s">
        <v>13757</v>
      </c>
      <c r="C4109" s="473" t="s">
        <v>46</v>
      </c>
      <c r="D4109" s="473" t="s">
        <v>41</v>
      </c>
      <c r="E4109" s="361">
        <v>52.84</v>
      </c>
    </row>
    <row r="4110" spans="1:5">
      <c r="A4110" s="473">
        <v>536</v>
      </c>
      <c r="B4110" s="473" t="s">
        <v>13758</v>
      </c>
      <c r="C4110" s="473" t="s">
        <v>46</v>
      </c>
      <c r="D4110" s="473" t="s">
        <v>44</v>
      </c>
      <c r="E4110" s="361">
        <v>34.72</v>
      </c>
    </row>
    <row r="4111" spans="1:5">
      <c r="A4111" s="473">
        <v>153</v>
      </c>
      <c r="B4111" s="473" t="s">
        <v>13759</v>
      </c>
      <c r="C4111" s="473" t="s">
        <v>50</v>
      </c>
      <c r="D4111" s="473" t="s">
        <v>41</v>
      </c>
      <c r="E4111" s="361">
        <v>91.55</v>
      </c>
    </row>
    <row r="4112" spans="1:5">
      <c r="A4112" s="473">
        <v>34682</v>
      </c>
      <c r="B4112" s="473" t="s">
        <v>13760</v>
      </c>
      <c r="C4112" s="473" t="s">
        <v>46</v>
      </c>
      <c r="D4112" s="473" t="s">
        <v>41</v>
      </c>
      <c r="E4112" s="361">
        <v>70.650000000000006</v>
      </c>
    </row>
    <row r="4113" spans="1:5">
      <c r="A4113" s="473">
        <v>20205</v>
      </c>
      <c r="B4113" s="473" t="s">
        <v>13761</v>
      </c>
      <c r="C4113" s="473" t="s">
        <v>48</v>
      </c>
      <c r="D4113" s="473" t="s">
        <v>41</v>
      </c>
      <c r="E4113" s="361">
        <v>2.5299999999999998</v>
      </c>
    </row>
    <row r="4114" spans="1:5">
      <c r="A4114" s="473">
        <v>4412</v>
      </c>
      <c r="B4114" s="473" t="s">
        <v>13762</v>
      </c>
      <c r="C4114" s="473" t="s">
        <v>48</v>
      </c>
      <c r="D4114" s="473" t="s">
        <v>41</v>
      </c>
      <c r="E4114" s="361">
        <v>1.6</v>
      </c>
    </row>
    <row r="4115" spans="1:5">
      <c r="A4115" s="473">
        <v>4408</v>
      </c>
      <c r="B4115" s="473" t="s">
        <v>13763</v>
      </c>
      <c r="C4115" s="473" t="s">
        <v>48</v>
      </c>
      <c r="D4115" s="473" t="s">
        <v>41</v>
      </c>
      <c r="E4115" s="361">
        <v>2.17</v>
      </c>
    </row>
    <row r="4116" spans="1:5">
      <c r="A4116" s="473">
        <v>4505</v>
      </c>
      <c r="B4116" s="473" t="s">
        <v>13764</v>
      </c>
      <c r="C4116" s="473" t="s">
        <v>48</v>
      </c>
      <c r="D4116" s="473" t="s">
        <v>41</v>
      </c>
      <c r="E4116" s="361">
        <v>1.61</v>
      </c>
    </row>
    <row r="4117" spans="1:5">
      <c r="A4117" s="473">
        <v>10559</v>
      </c>
      <c r="B4117" s="473" t="s">
        <v>13765</v>
      </c>
      <c r="C4117" s="473" t="s">
        <v>40</v>
      </c>
      <c r="D4117" s="473" t="s">
        <v>44</v>
      </c>
      <c r="E4117" s="361">
        <v>2071.6999999999998</v>
      </c>
    </row>
    <row r="4118" spans="1:5">
      <c r="A4118" s="473">
        <v>10664</v>
      </c>
      <c r="B4118" s="473" t="s">
        <v>13766</v>
      </c>
      <c r="C4118" s="473" t="s">
        <v>40</v>
      </c>
      <c r="D4118" s="473" t="s">
        <v>41</v>
      </c>
      <c r="E4118" s="361">
        <v>5630.43</v>
      </c>
    </row>
    <row r="4119" spans="1:5">
      <c r="A4119" s="473">
        <v>36250</v>
      </c>
      <c r="B4119" s="473" t="s">
        <v>13767</v>
      </c>
      <c r="C4119" s="473" t="s">
        <v>48</v>
      </c>
      <c r="D4119" s="473" t="s">
        <v>41</v>
      </c>
      <c r="E4119" s="361">
        <v>2.23</v>
      </c>
    </row>
    <row r="4120" spans="1:5">
      <c r="A4120" s="473">
        <v>10857</v>
      </c>
      <c r="B4120" s="473" t="s">
        <v>13768</v>
      </c>
      <c r="C4120" s="473" t="s">
        <v>48</v>
      </c>
      <c r="D4120" s="473" t="s">
        <v>41</v>
      </c>
      <c r="E4120" s="361">
        <v>10.35</v>
      </c>
    </row>
    <row r="4121" spans="1:5">
      <c r="A4121" s="473">
        <v>4803</v>
      </c>
      <c r="B4121" s="473" t="s">
        <v>13769</v>
      </c>
      <c r="C4121" s="473" t="s">
        <v>48</v>
      </c>
      <c r="D4121" s="473" t="s">
        <v>41</v>
      </c>
      <c r="E4121" s="361">
        <v>21.69</v>
      </c>
    </row>
    <row r="4122" spans="1:5">
      <c r="A4122" s="473">
        <v>6186</v>
      </c>
      <c r="B4122" s="473" t="s">
        <v>13770</v>
      </c>
      <c r="C4122" s="473" t="s">
        <v>48</v>
      </c>
      <c r="D4122" s="473" t="s">
        <v>47</v>
      </c>
      <c r="E4122" s="361">
        <v>9.35</v>
      </c>
    </row>
    <row r="4123" spans="1:5">
      <c r="A4123" s="473">
        <v>4829</v>
      </c>
      <c r="B4123" s="473" t="s">
        <v>13771</v>
      </c>
      <c r="C4123" s="473" t="s">
        <v>48</v>
      </c>
      <c r="D4123" s="473" t="s">
        <v>41</v>
      </c>
      <c r="E4123" s="361">
        <v>20.23</v>
      </c>
    </row>
    <row r="4124" spans="1:5">
      <c r="A4124" s="473">
        <v>39829</v>
      </c>
      <c r="B4124" s="473" t="s">
        <v>13772</v>
      </c>
      <c r="C4124" s="473" t="s">
        <v>48</v>
      </c>
      <c r="D4124" s="473" t="s">
        <v>44</v>
      </c>
      <c r="E4124" s="361">
        <v>21.56</v>
      </c>
    </row>
    <row r="4125" spans="1:5">
      <c r="A4125" s="473">
        <v>20231</v>
      </c>
      <c r="B4125" s="473" t="s">
        <v>13773</v>
      </c>
      <c r="C4125" s="473" t="s">
        <v>48</v>
      </c>
      <c r="D4125" s="473" t="s">
        <v>41</v>
      </c>
      <c r="E4125" s="361">
        <v>49.11</v>
      </c>
    </row>
    <row r="4126" spans="1:5">
      <c r="A4126" s="473">
        <v>4804</v>
      </c>
      <c r="B4126" s="473" t="s">
        <v>13774</v>
      </c>
      <c r="C4126" s="473" t="s">
        <v>48</v>
      </c>
      <c r="D4126" s="473" t="s">
        <v>41</v>
      </c>
      <c r="E4126" s="361">
        <v>16.649999999999999</v>
      </c>
    </row>
    <row r="4127" spans="1:5">
      <c r="A4127" s="473">
        <v>34680</v>
      </c>
      <c r="B4127" s="473" t="s">
        <v>13775</v>
      </c>
      <c r="C4127" s="473" t="s">
        <v>48</v>
      </c>
      <c r="D4127" s="473" t="s">
        <v>41</v>
      </c>
      <c r="E4127" s="361">
        <v>21.73</v>
      </c>
    </row>
    <row r="4128" spans="1:5">
      <c r="A4128" s="473">
        <v>11573</v>
      </c>
      <c r="B4128" s="473" t="s">
        <v>13776</v>
      </c>
      <c r="C4128" s="473" t="s">
        <v>40</v>
      </c>
      <c r="D4128" s="473" t="s">
        <v>41</v>
      </c>
      <c r="E4128" s="361">
        <v>6.09</v>
      </c>
    </row>
    <row r="4129" spans="1:5">
      <c r="A4129" s="473">
        <v>38401</v>
      </c>
      <c r="B4129" s="473" t="s">
        <v>13777</v>
      </c>
      <c r="C4129" s="473" t="s">
        <v>40</v>
      </c>
      <c r="D4129" s="473" t="s">
        <v>41</v>
      </c>
      <c r="E4129" s="361">
        <v>10.86</v>
      </c>
    </row>
    <row r="4130" spans="1:5">
      <c r="A4130" s="473">
        <v>38179</v>
      </c>
      <c r="B4130" s="473" t="s">
        <v>13778</v>
      </c>
      <c r="C4130" s="473" t="s">
        <v>40</v>
      </c>
      <c r="D4130" s="473" t="s">
        <v>41</v>
      </c>
      <c r="E4130" s="361">
        <v>26.73</v>
      </c>
    </row>
    <row r="4131" spans="1:5">
      <c r="A4131" s="473">
        <v>11575</v>
      </c>
      <c r="B4131" s="473" t="s">
        <v>13779</v>
      </c>
      <c r="C4131" s="473" t="s">
        <v>40</v>
      </c>
      <c r="D4131" s="473" t="s">
        <v>41</v>
      </c>
      <c r="E4131" s="361">
        <v>28.84</v>
      </c>
    </row>
    <row r="4132" spans="1:5">
      <c r="A4132" s="473">
        <v>20256</v>
      </c>
      <c r="B4132" s="473" t="s">
        <v>13780</v>
      </c>
      <c r="C4132" s="473" t="s">
        <v>40</v>
      </c>
      <c r="D4132" s="473" t="s">
        <v>41</v>
      </c>
      <c r="E4132" s="361">
        <v>0.28000000000000003</v>
      </c>
    </row>
    <row r="4133" spans="1:5">
      <c r="A4133" s="473">
        <v>14511</v>
      </c>
      <c r="B4133" s="473" t="s">
        <v>13781</v>
      </c>
      <c r="C4133" s="473" t="s">
        <v>40</v>
      </c>
      <c r="D4133" s="473" t="s">
        <v>47</v>
      </c>
      <c r="E4133" s="361">
        <v>453798.26</v>
      </c>
    </row>
    <row r="4134" spans="1:5">
      <c r="A4134" s="473">
        <v>10642</v>
      </c>
      <c r="B4134" s="473" t="s">
        <v>13782</v>
      </c>
      <c r="C4134" s="473" t="s">
        <v>40</v>
      </c>
      <c r="D4134" s="473" t="s">
        <v>47</v>
      </c>
      <c r="E4134" s="361">
        <v>427500</v>
      </c>
    </row>
    <row r="4135" spans="1:5">
      <c r="A4135" s="473">
        <v>14489</v>
      </c>
      <c r="B4135" s="473" t="s">
        <v>13783</v>
      </c>
      <c r="C4135" s="473" t="s">
        <v>40</v>
      </c>
      <c r="D4135" s="473" t="s">
        <v>47</v>
      </c>
      <c r="E4135" s="361">
        <v>379184.54</v>
      </c>
    </row>
    <row r="4136" spans="1:5">
      <c r="A4136" s="473">
        <v>14513</v>
      </c>
      <c r="B4136" s="473" t="s">
        <v>13784</v>
      </c>
      <c r="C4136" s="473" t="s">
        <v>40</v>
      </c>
      <c r="D4136" s="473" t="s">
        <v>47</v>
      </c>
      <c r="E4136" s="361">
        <v>284397.40999999997</v>
      </c>
    </row>
    <row r="4137" spans="1:5">
      <c r="A4137" s="473">
        <v>13600</v>
      </c>
      <c r="B4137" s="473" t="s">
        <v>13785</v>
      </c>
      <c r="C4137" s="473" t="s">
        <v>40</v>
      </c>
      <c r="D4137" s="473" t="s">
        <v>47</v>
      </c>
      <c r="E4137" s="361">
        <v>366952.74</v>
      </c>
    </row>
    <row r="4138" spans="1:5">
      <c r="A4138" s="473">
        <v>10646</v>
      </c>
      <c r="B4138" s="473" t="s">
        <v>13786</v>
      </c>
      <c r="C4138" s="473" t="s">
        <v>40</v>
      </c>
      <c r="D4138" s="473" t="s">
        <v>47</v>
      </c>
      <c r="E4138" s="361">
        <v>273538.82</v>
      </c>
    </row>
    <row r="4139" spans="1:5">
      <c r="A4139" s="473">
        <v>6070</v>
      </c>
      <c r="B4139" s="473" t="s">
        <v>13787</v>
      </c>
      <c r="C4139" s="473" t="s">
        <v>40</v>
      </c>
      <c r="D4139" s="473" t="s">
        <v>47</v>
      </c>
      <c r="E4139" s="361">
        <v>373757.13</v>
      </c>
    </row>
    <row r="4140" spans="1:5">
      <c r="A4140" s="473">
        <v>6069</v>
      </c>
      <c r="B4140" s="473" t="s">
        <v>13788</v>
      </c>
      <c r="C4140" s="473" t="s">
        <v>40</v>
      </c>
      <c r="D4140" s="473" t="s">
        <v>47</v>
      </c>
      <c r="E4140" s="361">
        <v>82568.58</v>
      </c>
    </row>
    <row r="4141" spans="1:5">
      <c r="A4141" s="473">
        <v>14626</v>
      </c>
      <c r="B4141" s="473" t="s">
        <v>13789</v>
      </c>
      <c r="C4141" s="473" t="s">
        <v>40</v>
      </c>
      <c r="D4141" s="473" t="s">
        <v>47</v>
      </c>
      <c r="E4141" s="361">
        <v>409178.58</v>
      </c>
    </row>
    <row r="4142" spans="1:5">
      <c r="A4142" s="473">
        <v>6067</v>
      </c>
      <c r="B4142" s="473" t="s">
        <v>13790</v>
      </c>
      <c r="C4142" s="473" t="s">
        <v>40</v>
      </c>
      <c r="D4142" s="473" t="s">
        <v>47</v>
      </c>
      <c r="E4142" s="361">
        <v>335892.86</v>
      </c>
    </row>
    <row r="4143" spans="1:5">
      <c r="A4143" s="473">
        <v>38393</v>
      </c>
      <c r="B4143" s="473" t="s">
        <v>13791</v>
      </c>
      <c r="C4143" s="473" t="s">
        <v>40</v>
      </c>
      <c r="D4143" s="473" t="s">
        <v>44</v>
      </c>
      <c r="E4143" s="361">
        <v>12.3</v>
      </c>
    </row>
    <row r="4144" spans="1:5">
      <c r="A4144" s="473">
        <v>38390</v>
      </c>
      <c r="B4144" s="473" t="s">
        <v>13792</v>
      </c>
      <c r="C4144" s="473" t="s">
        <v>40</v>
      </c>
      <c r="D4144" s="473" t="s">
        <v>41</v>
      </c>
      <c r="E4144" s="361">
        <v>27.28</v>
      </c>
    </row>
    <row r="4145" spans="1:5">
      <c r="A4145" s="473">
        <v>36532</v>
      </c>
      <c r="B4145" s="473" t="s">
        <v>13793</v>
      </c>
      <c r="C4145" s="473" t="s">
        <v>40</v>
      </c>
      <c r="D4145" s="473" t="s">
        <v>47</v>
      </c>
      <c r="E4145" s="361">
        <v>15156.26</v>
      </c>
    </row>
    <row r="4146" spans="1:5">
      <c r="A4146" s="473">
        <v>11578</v>
      </c>
      <c r="B4146" s="473" t="s">
        <v>13794</v>
      </c>
      <c r="C4146" s="473" t="s">
        <v>40</v>
      </c>
      <c r="D4146" s="473" t="s">
        <v>41</v>
      </c>
      <c r="E4146" s="361">
        <v>9.26</v>
      </c>
    </row>
    <row r="4147" spans="1:5">
      <c r="A4147" s="473">
        <v>11577</v>
      </c>
      <c r="B4147" s="473" t="s">
        <v>13795</v>
      </c>
      <c r="C4147" s="473" t="s">
        <v>40</v>
      </c>
      <c r="D4147" s="473" t="s">
        <v>41</v>
      </c>
      <c r="E4147" s="361">
        <v>8.84</v>
      </c>
    </row>
    <row r="4148" spans="1:5">
      <c r="A4148" s="473">
        <v>42432</v>
      </c>
      <c r="B4148" s="473" t="s">
        <v>13796</v>
      </c>
      <c r="C4148" s="473" t="s">
        <v>40</v>
      </c>
      <c r="D4148" s="473" t="s">
        <v>47</v>
      </c>
      <c r="E4148" s="361">
        <v>1377.27</v>
      </c>
    </row>
    <row r="4149" spans="1:5">
      <c r="A4149" s="473">
        <v>42437</v>
      </c>
      <c r="B4149" s="473" t="s">
        <v>13797</v>
      </c>
      <c r="C4149" s="473" t="s">
        <v>40</v>
      </c>
      <c r="D4149" s="473" t="s">
        <v>47</v>
      </c>
      <c r="E4149" s="361">
        <v>1047.0899999999999</v>
      </c>
    </row>
    <row r="4150" spans="1:5">
      <c r="A4150" s="473">
        <v>1116</v>
      </c>
      <c r="B4150" s="473" t="s">
        <v>13798</v>
      </c>
      <c r="C4150" s="473" t="s">
        <v>48</v>
      </c>
      <c r="D4150" s="473" t="s">
        <v>41</v>
      </c>
      <c r="E4150" s="361">
        <v>14.2</v>
      </c>
    </row>
    <row r="4151" spans="1:5">
      <c r="A4151" s="473">
        <v>1115</v>
      </c>
      <c r="B4151" s="473" t="s">
        <v>13799</v>
      </c>
      <c r="C4151" s="473" t="s">
        <v>48</v>
      </c>
      <c r="D4151" s="473" t="s">
        <v>41</v>
      </c>
      <c r="E4151" s="361">
        <v>17.260000000000002</v>
      </c>
    </row>
    <row r="4152" spans="1:5">
      <c r="A4152" s="473">
        <v>1113</v>
      </c>
      <c r="B4152" s="473" t="s">
        <v>13800</v>
      </c>
      <c r="C4152" s="473" t="s">
        <v>48</v>
      </c>
      <c r="D4152" s="473" t="s">
        <v>41</v>
      </c>
      <c r="E4152" s="361">
        <v>18.93</v>
      </c>
    </row>
    <row r="4153" spans="1:5">
      <c r="A4153" s="473">
        <v>1114</v>
      </c>
      <c r="B4153" s="473" t="s">
        <v>13801</v>
      </c>
      <c r="C4153" s="473" t="s">
        <v>48</v>
      </c>
      <c r="D4153" s="473" t="s">
        <v>41</v>
      </c>
      <c r="E4153" s="361">
        <v>28.4</v>
      </c>
    </row>
    <row r="4154" spans="1:5">
      <c r="A4154" s="473">
        <v>40872</v>
      </c>
      <c r="B4154" s="473" t="s">
        <v>13802</v>
      </c>
      <c r="C4154" s="473" t="s">
        <v>48</v>
      </c>
      <c r="D4154" s="473" t="s">
        <v>41</v>
      </c>
      <c r="E4154" s="361">
        <v>16.18</v>
      </c>
    </row>
    <row r="4155" spans="1:5">
      <c r="A4155" s="473">
        <v>20214</v>
      </c>
      <c r="B4155" s="473" t="s">
        <v>13803</v>
      </c>
      <c r="C4155" s="473" t="s">
        <v>40</v>
      </c>
      <c r="D4155" s="473" t="s">
        <v>41</v>
      </c>
      <c r="E4155" s="361">
        <v>30.84</v>
      </c>
    </row>
    <row r="4156" spans="1:5">
      <c r="A4156" s="473">
        <v>11064</v>
      </c>
      <c r="B4156" s="473" t="s">
        <v>13804</v>
      </c>
      <c r="C4156" s="473" t="s">
        <v>40</v>
      </c>
      <c r="D4156" s="473" t="s">
        <v>41</v>
      </c>
      <c r="E4156" s="361">
        <v>13.07</v>
      </c>
    </row>
    <row r="4157" spans="1:5">
      <c r="A4157" s="473">
        <v>7237</v>
      </c>
      <c r="B4157" s="473" t="s">
        <v>13805</v>
      </c>
      <c r="C4157" s="473" t="s">
        <v>40</v>
      </c>
      <c r="D4157" s="473" t="s">
        <v>41</v>
      </c>
      <c r="E4157" s="361">
        <v>17.829999999999998</v>
      </c>
    </row>
    <row r="4158" spans="1:5">
      <c r="A4158" s="473">
        <v>16</v>
      </c>
      <c r="B4158" s="473" t="s">
        <v>13806</v>
      </c>
      <c r="C4158" s="473" t="s">
        <v>49</v>
      </c>
      <c r="D4158" s="473" t="s">
        <v>41</v>
      </c>
      <c r="E4158" s="361">
        <v>5.84</v>
      </c>
    </row>
    <row r="4159" spans="1:5">
      <c r="A4159" s="473">
        <v>11757</v>
      </c>
      <c r="B4159" s="473" t="s">
        <v>13807</v>
      </c>
      <c r="C4159" s="473" t="s">
        <v>40</v>
      </c>
      <c r="D4159" s="473" t="s">
        <v>44</v>
      </c>
      <c r="E4159" s="361">
        <v>23.87</v>
      </c>
    </row>
    <row r="4160" spans="1:5">
      <c r="A4160" s="473">
        <v>11758</v>
      </c>
      <c r="B4160" s="473" t="s">
        <v>13808</v>
      </c>
      <c r="C4160" s="473" t="s">
        <v>40</v>
      </c>
      <c r="D4160" s="473" t="s">
        <v>47</v>
      </c>
      <c r="E4160" s="361">
        <v>45.4</v>
      </c>
    </row>
    <row r="4161" spans="1:5">
      <c r="A4161" s="473">
        <v>37526</v>
      </c>
      <c r="B4161" s="473" t="s">
        <v>13809</v>
      </c>
      <c r="C4161" s="473" t="s">
        <v>40</v>
      </c>
      <c r="D4161" s="473" t="s">
        <v>41</v>
      </c>
      <c r="E4161" s="361">
        <v>2.66</v>
      </c>
    </row>
    <row r="4162" spans="1:5">
      <c r="A4162" s="473">
        <v>6076</v>
      </c>
      <c r="B4162" s="473" t="s">
        <v>13810</v>
      </c>
      <c r="C4162" s="473" t="s">
        <v>45</v>
      </c>
      <c r="D4162" s="473" t="s">
        <v>44</v>
      </c>
      <c r="E4162" s="361">
        <v>49</v>
      </c>
    </row>
    <row r="4163" spans="1:5">
      <c r="A4163" s="473">
        <v>13109</v>
      </c>
      <c r="B4163" s="473" t="s">
        <v>13811</v>
      </c>
      <c r="C4163" s="473" t="s">
        <v>40</v>
      </c>
      <c r="D4163" s="473" t="s">
        <v>47</v>
      </c>
      <c r="E4163" s="361">
        <v>179.7</v>
      </c>
    </row>
    <row r="4164" spans="1:5">
      <c r="A4164" s="473">
        <v>13110</v>
      </c>
      <c r="B4164" s="473" t="s">
        <v>13812</v>
      </c>
      <c r="C4164" s="473" t="s">
        <v>40</v>
      </c>
      <c r="D4164" s="473" t="s">
        <v>47</v>
      </c>
      <c r="E4164" s="361">
        <v>236.5</v>
      </c>
    </row>
    <row r="4165" spans="1:5">
      <c r="A4165" s="473">
        <v>7581</v>
      </c>
      <c r="B4165" s="473" t="s">
        <v>13813</v>
      </c>
      <c r="C4165" s="473" t="s">
        <v>40</v>
      </c>
      <c r="D4165" s="473" t="s">
        <v>47</v>
      </c>
      <c r="E4165" s="361">
        <v>2.57</v>
      </c>
    </row>
    <row r="4166" spans="1:5">
      <c r="A4166" s="473">
        <v>20206</v>
      </c>
      <c r="B4166" s="473" t="s">
        <v>13814</v>
      </c>
      <c r="C4166" s="473" t="s">
        <v>48</v>
      </c>
      <c r="D4166" s="473" t="s">
        <v>41</v>
      </c>
      <c r="E4166" s="361">
        <v>7.5</v>
      </c>
    </row>
    <row r="4167" spans="1:5">
      <c r="A4167" s="473">
        <v>4460</v>
      </c>
      <c r="B4167" s="473" t="s">
        <v>13815</v>
      </c>
      <c r="C4167" s="473" t="s">
        <v>48</v>
      </c>
      <c r="D4167" s="473" t="s">
        <v>41</v>
      </c>
      <c r="E4167" s="361">
        <v>9.01</v>
      </c>
    </row>
    <row r="4168" spans="1:5">
      <c r="A4168" s="473">
        <v>6204</v>
      </c>
      <c r="B4168" s="473" t="s">
        <v>13816</v>
      </c>
      <c r="C4168" s="473" t="s">
        <v>48</v>
      </c>
      <c r="D4168" s="473" t="s">
        <v>41</v>
      </c>
      <c r="E4168" s="361">
        <v>13.46</v>
      </c>
    </row>
    <row r="4169" spans="1:5">
      <c r="A4169" s="473">
        <v>4417</v>
      </c>
      <c r="B4169" s="473" t="s">
        <v>13817</v>
      </c>
      <c r="C4169" s="473" t="s">
        <v>48</v>
      </c>
      <c r="D4169" s="473" t="s">
        <v>41</v>
      </c>
      <c r="E4169" s="361">
        <v>5.17</v>
      </c>
    </row>
    <row r="4170" spans="1:5">
      <c r="A4170" s="473">
        <v>4517</v>
      </c>
      <c r="B4170" s="473" t="s">
        <v>13818</v>
      </c>
      <c r="C4170" s="473" t="s">
        <v>48</v>
      </c>
      <c r="D4170" s="473" t="s">
        <v>41</v>
      </c>
      <c r="E4170" s="361">
        <v>1.29</v>
      </c>
    </row>
    <row r="4171" spans="1:5">
      <c r="A4171" s="473">
        <v>4512</v>
      </c>
      <c r="B4171" s="473" t="s">
        <v>13819</v>
      </c>
      <c r="C4171" s="473" t="s">
        <v>48</v>
      </c>
      <c r="D4171" s="473" t="s">
        <v>41</v>
      </c>
      <c r="E4171" s="361">
        <v>0.94</v>
      </c>
    </row>
    <row r="4172" spans="1:5">
      <c r="A4172" s="473">
        <v>4415</v>
      </c>
      <c r="B4172" s="473" t="s">
        <v>13820</v>
      </c>
      <c r="C4172" s="473" t="s">
        <v>48</v>
      </c>
      <c r="D4172" s="473" t="s">
        <v>41</v>
      </c>
      <c r="E4172" s="361">
        <v>4.3499999999999996</v>
      </c>
    </row>
    <row r="4173" spans="1:5">
      <c r="A4173" s="473">
        <v>37373</v>
      </c>
      <c r="B4173" s="473" t="s">
        <v>13821</v>
      </c>
      <c r="C4173" s="473" t="s">
        <v>43</v>
      </c>
      <c r="D4173" s="473" t="s">
        <v>44</v>
      </c>
      <c r="E4173" s="361">
        <v>0.04</v>
      </c>
    </row>
    <row r="4174" spans="1:5">
      <c r="A4174" s="473">
        <v>40864</v>
      </c>
      <c r="B4174" s="473" t="s">
        <v>13822</v>
      </c>
      <c r="C4174" s="473" t="s">
        <v>53</v>
      </c>
      <c r="D4174" s="473" t="s">
        <v>44</v>
      </c>
      <c r="E4174" s="361">
        <v>9.76</v>
      </c>
    </row>
    <row r="4175" spans="1:5">
      <c r="A4175" s="473">
        <v>4734</v>
      </c>
      <c r="B4175" s="473" t="s">
        <v>13823</v>
      </c>
      <c r="C4175" s="473" t="s">
        <v>45</v>
      </c>
      <c r="D4175" s="473" t="s">
        <v>41</v>
      </c>
      <c r="E4175" s="361">
        <v>104.49</v>
      </c>
    </row>
    <row r="4176" spans="1:5">
      <c r="A4176" s="473">
        <v>6085</v>
      </c>
      <c r="B4176" s="473" t="s">
        <v>13824</v>
      </c>
      <c r="C4176" s="473" t="s">
        <v>50</v>
      </c>
      <c r="D4176" s="473" t="s">
        <v>44</v>
      </c>
      <c r="E4176" s="361">
        <v>7.67</v>
      </c>
    </row>
    <row r="4177" spans="1:5">
      <c r="A4177" s="473">
        <v>38396</v>
      </c>
      <c r="B4177" s="473" t="s">
        <v>13825</v>
      </c>
      <c r="C4177" s="473" t="s">
        <v>40</v>
      </c>
      <c r="D4177" s="473" t="s">
        <v>41</v>
      </c>
      <c r="E4177" s="361">
        <v>472.87</v>
      </c>
    </row>
    <row r="4178" spans="1:5">
      <c r="A4178" s="473">
        <v>6090</v>
      </c>
      <c r="B4178" s="473" t="s">
        <v>13826</v>
      </c>
      <c r="C4178" s="473" t="s">
        <v>50</v>
      </c>
      <c r="D4178" s="473" t="s">
        <v>41</v>
      </c>
      <c r="E4178" s="361">
        <v>14.57</v>
      </c>
    </row>
    <row r="4179" spans="1:5">
      <c r="A4179" s="473">
        <v>11622</v>
      </c>
      <c r="B4179" s="473" t="s">
        <v>13827</v>
      </c>
      <c r="C4179" s="473" t="s">
        <v>49</v>
      </c>
      <c r="D4179" s="473" t="s">
        <v>41</v>
      </c>
      <c r="E4179" s="361">
        <v>59.22</v>
      </c>
    </row>
    <row r="4180" spans="1:5">
      <c r="A4180" s="473">
        <v>6094</v>
      </c>
      <c r="B4180" s="473" t="s">
        <v>13828</v>
      </c>
      <c r="C4180" s="473" t="s">
        <v>49</v>
      </c>
      <c r="D4180" s="473" t="s">
        <v>41</v>
      </c>
      <c r="E4180" s="361">
        <v>24.64</v>
      </c>
    </row>
    <row r="4181" spans="1:5">
      <c r="A4181" s="473">
        <v>7317</v>
      </c>
      <c r="B4181" s="473" t="s">
        <v>13829</v>
      </c>
      <c r="C4181" s="473" t="s">
        <v>49</v>
      </c>
      <c r="D4181" s="473" t="s">
        <v>41</v>
      </c>
      <c r="E4181" s="361">
        <v>29.57</v>
      </c>
    </row>
    <row r="4182" spans="1:5">
      <c r="A4182" s="473">
        <v>142</v>
      </c>
      <c r="B4182" s="473" t="s">
        <v>13830</v>
      </c>
      <c r="C4182" s="473" t="s">
        <v>65</v>
      </c>
      <c r="D4182" s="473" t="s">
        <v>41</v>
      </c>
      <c r="E4182" s="361">
        <v>31.09</v>
      </c>
    </row>
    <row r="4183" spans="1:5">
      <c r="A4183" s="473">
        <v>38123</v>
      </c>
      <c r="B4183" s="473" t="s">
        <v>13831</v>
      </c>
      <c r="C4183" s="473" t="s">
        <v>49</v>
      </c>
      <c r="D4183" s="473" t="s">
        <v>44</v>
      </c>
      <c r="E4183" s="361">
        <v>49.17</v>
      </c>
    </row>
    <row r="4184" spans="1:5">
      <c r="A4184" s="473">
        <v>42701</v>
      </c>
      <c r="B4184" s="473" t="s">
        <v>13832</v>
      </c>
      <c r="C4184" s="473" t="s">
        <v>40</v>
      </c>
      <c r="D4184" s="473" t="s">
        <v>47</v>
      </c>
      <c r="E4184" s="361">
        <v>29.41</v>
      </c>
    </row>
    <row r="4185" spans="1:5">
      <c r="A4185" s="473">
        <v>42702</v>
      </c>
      <c r="B4185" s="473" t="s">
        <v>13833</v>
      </c>
      <c r="C4185" s="473" t="s">
        <v>40</v>
      </c>
      <c r="D4185" s="473" t="s">
        <v>47</v>
      </c>
      <c r="E4185" s="361">
        <v>52.26</v>
      </c>
    </row>
    <row r="4186" spans="1:5">
      <c r="A4186" s="473">
        <v>37955</v>
      </c>
      <c r="B4186" s="473" t="s">
        <v>13834</v>
      </c>
      <c r="C4186" s="473" t="s">
        <v>40</v>
      </c>
      <c r="D4186" s="473" t="s">
        <v>47</v>
      </c>
      <c r="E4186" s="361">
        <v>67.72</v>
      </c>
    </row>
    <row r="4187" spans="1:5">
      <c r="A4187" s="473">
        <v>42699</v>
      </c>
      <c r="B4187" s="473" t="s">
        <v>13835</v>
      </c>
      <c r="C4187" s="473" t="s">
        <v>40</v>
      </c>
      <c r="D4187" s="473" t="s">
        <v>47</v>
      </c>
      <c r="E4187" s="361">
        <v>17.96</v>
      </c>
    </row>
    <row r="4188" spans="1:5">
      <c r="A4188" s="473">
        <v>42700</v>
      </c>
      <c r="B4188" s="473" t="s">
        <v>13836</v>
      </c>
      <c r="C4188" s="473" t="s">
        <v>40</v>
      </c>
      <c r="D4188" s="473" t="s">
        <v>47</v>
      </c>
      <c r="E4188" s="361">
        <v>51.21</v>
      </c>
    </row>
    <row r="4189" spans="1:5">
      <c r="A4189" s="473">
        <v>37743</v>
      </c>
      <c r="B4189" s="473" t="s">
        <v>13837</v>
      </c>
      <c r="C4189" s="473" t="s">
        <v>40</v>
      </c>
      <c r="D4189" s="473" t="s">
        <v>47</v>
      </c>
      <c r="E4189" s="361">
        <v>118650.34</v>
      </c>
    </row>
    <row r="4190" spans="1:5">
      <c r="A4190" s="473">
        <v>37744</v>
      </c>
      <c r="B4190" s="473" t="s">
        <v>13838</v>
      </c>
      <c r="C4190" s="473" t="s">
        <v>40</v>
      </c>
      <c r="D4190" s="473" t="s">
        <v>47</v>
      </c>
      <c r="E4190" s="361">
        <v>139510.48000000001</v>
      </c>
    </row>
    <row r="4191" spans="1:5">
      <c r="A4191" s="473">
        <v>37741</v>
      </c>
      <c r="B4191" s="473" t="s">
        <v>13839</v>
      </c>
      <c r="C4191" s="473" t="s">
        <v>40</v>
      </c>
      <c r="D4191" s="473" t="s">
        <v>47</v>
      </c>
      <c r="E4191" s="361">
        <v>107888.11</v>
      </c>
    </row>
    <row r="4192" spans="1:5">
      <c r="A4192" s="473">
        <v>39396</v>
      </c>
      <c r="B4192" s="473" t="s">
        <v>13840</v>
      </c>
      <c r="C4192" s="473" t="s">
        <v>40</v>
      </c>
      <c r="D4192" s="473" t="s">
        <v>47</v>
      </c>
      <c r="E4192" s="361">
        <v>33.75</v>
      </c>
    </row>
    <row r="4193" spans="1:5">
      <c r="A4193" s="473">
        <v>39392</v>
      </c>
      <c r="B4193" s="473" t="s">
        <v>13841</v>
      </c>
      <c r="C4193" s="473" t="s">
        <v>40</v>
      </c>
      <c r="D4193" s="473" t="s">
        <v>47</v>
      </c>
      <c r="E4193" s="361">
        <v>38.07</v>
      </c>
    </row>
    <row r="4194" spans="1:5">
      <c r="A4194" s="473">
        <v>39393</v>
      </c>
      <c r="B4194" s="473" t="s">
        <v>13842</v>
      </c>
      <c r="C4194" s="473" t="s">
        <v>40</v>
      </c>
      <c r="D4194" s="473" t="s">
        <v>47</v>
      </c>
      <c r="E4194" s="361">
        <v>23.54</v>
      </c>
    </row>
    <row r="4195" spans="1:5">
      <c r="A4195" s="473">
        <v>39394</v>
      </c>
      <c r="B4195" s="473" t="s">
        <v>13843</v>
      </c>
      <c r="C4195" s="473" t="s">
        <v>40</v>
      </c>
      <c r="D4195" s="473" t="s">
        <v>47</v>
      </c>
      <c r="E4195" s="361">
        <v>26.5</v>
      </c>
    </row>
    <row r="4196" spans="1:5">
      <c r="A4196" s="473">
        <v>39395</v>
      </c>
      <c r="B4196" s="473" t="s">
        <v>13844</v>
      </c>
      <c r="C4196" s="473" t="s">
        <v>40</v>
      </c>
      <c r="D4196" s="473" t="s">
        <v>47</v>
      </c>
      <c r="E4196" s="361">
        <v>24.64</v>
      </c>
    </row>
    <row r="4197" spans="1:5">
      <c r="A4197" s="473">
        <v>14618</v>
      </c>
      <c r="B4197" s="473" t="s">
        <v>13845</v>
      </c>
      <c r="C4197" s="473" t="s">
        <v>40</v>
      </c>
      <c r="D4197" s="473" t="s">
        <v>41</v>
      </c>
      <c r="E4197" s="361">
        <v>902.68</v>
      </c>
    </row>
    <row r="4198" spans="1:5">
      <c r="A4198" s="473">
        <v>40269</v>
      </c>
      <c r="B4198" s="473" t="s">
        <v>13846</v>
      </c>
      <c r="C4198" s="473" t="s">
        <v>40</v>
      </c>
      <c r="D4198" s="473" t="s">
        <v>41</v>
      </c>
      <c r="E4198" s="361">
        <v>3636.85</v>
      </c>
    </row>
    <row r="4199" spans="1:5">
      <c r="A4199" s="473">
        <v>6110</v>
      </c>
      <c r="B4199" s="473" t="s">
        <v>13847</v>
      </c>
      <c r="C4199" s="473" t="s">
        <v>43</v>
      </c>
      <c r="D4199" s="473" t="s">
        <v>41</v>
      </c>
      <c r="E4199" s="361">
        <v>13.54</v>
      </c>
    </row>
    <row r="4200" spans="1:5">
      <c r="A4200" s="473">
        <v>40910</v>
      </c>
      <c r="B4200" s="473" t="s">
        <v>13848</v>
      </c>
      <c r="C4200" s="473" t="s">
        <v>53</v>
      </c>
      <c r="D4200" s="473" t="s">
        <v>41</v>
      </c>
      <c r="E4200" s="361">
        <v>2413.96</v>
      </c>
    </row>
    <row r="4201" spans="1:5">
      <c r="A4201" s="473">
        <v>6111</v>
      </c>
      <c r="B4201" s="473" t="s">
        <v>13849</v>
      </c>
      <c r="C4201" s="473" t="s">
        <v>43</v>
      </c>
      <c r="D4201" s="473" t="s">
        <v>44</v>
      </c>
      <c r="E4201" s="361">
        <v>8.8000000000000007</v>
      </c>
    </row>
    <row r="4202" spans="1:5">
      <c r="A4202" s="473">
        <v>41084</v>
      </c>
      <c r="B4202" s="473" t="s">
        <v>13850</v>
      </c>
      <c r="C4202" s="473" t="s">
        <v>53</v>
      </c>
      <c r="D4202" s="473" t="s">
        <v>41</v>
      </c>
      <c r="E4202" s="361">
        <v>1568.74</v>
      </c>
    </row>
    <row r="4203" spans="1:5">
      <c r="A4203" s="473">
        <v>25950</v>
      </c>
      <c r="B4203" s="473" t="s">
        <v>13851</v>
      </c>
      <c r="C4203" s="473" t="s">
        <v>45</v>
      </c>
      <c r="D4203" s="473" t="s">
        <v>41</v>
      </c>
      <c r="E4203" s="361">
        <v>29.47</v>
      </c>
    </row>
    <row r="4204" spans="1:5">
      <c r="A4204" s="473">
        <v>38637</v>
      </c>
      <c r="B4204" s="473" t="s">
        <v>13852</v>
      </c>
      <c r="C4204" s="473" t="s">
        <v>40</v>
      </c>
      <c r="D4204" s="473" t="s">
        <v>41</v>
      </c>
      <c r="E4204" s="361">
        <v>124.8</v>
      </c>
    </row>
    <row r="4205" spans="1:5">
      <c r="A4205" s="473">
        <v>6150</v>
      </c>
      <c r="B4205" s="473" t="s">
        <v>13853</v>
      </c>
      <c r="C4205" s="473" t="s">
        <v>40</v>
      </c>
      <c r="D4205" s="473" t="s">
        <v>41</v>
      </c>
      <c r="E4205" s="361">
        <v>126.32</v>
      </c>
    </row>
    <row r="4206" spans="1:5">
      <c r="A4206" s="473">
        <v>6136</v>
      </c>
      <c r="B4206" s="473" t="s">
        <v>13854</v>
      </c>
      <c r="C4206" s="473" t="s">
        <v>40</v>
      </c>
      <c r="D4206" s="473" t="s">
        <v>44</v>
      </c>
      <c r="E4206" s="361">
        <v>99.3</v>
      </c>
    </row>
    <row r="4207" spans="1:5">
      <c r="A4207" s="473">
        <v>38638</v>
      </c>
      <c r="B4207" s="473" t="s">
        <v>13855</v>
      </c>
      <c r="C4207" s="473" t="s">
        <v>40</v>
      </c>
      <c r="D4207" s="473" t="s">
        <v>41</v>
      </c>
      <c r="E4207" s="361">
        <v>105.16</v>
      </c>
    </row>
    <row r="4208" spans="1:5">
      <c r="A4208" s="473">
        <v>20262</v>
      </c>
      <c r="B4208" s="473" t="s">
        <v>13856</v>
      </c>
      <c r="C4208" s="473" t="s">
        <v>40</v>
      </c>
      <c r="D4208" s="473" t="s">
        <v>41</v>
      </c>
      <c r="E4208" s="361">
        <v>8.5</v>
      </c>
    </row>
    <row r="4209" spans="1:5">
      <c r="A4209" s="473">
        <v>6148</v>
      </c>
      <c r="B4209" s="473" t="s">
        <v>13857</v>
      </c>
      <c r="C4209" s="473" t="s">
        <v>40</v>
      </c>
      <c r="D4209" s="473" t="s">
        <v>44</v>
      </c>
      <c r="E4209" s="361">
        <v>6.9</v>
      </c>
    </row>
    <row r="4210" spans="1:5">
      <c r="A4210" s="473">
        <v>6145</v>
      </c>
      <c r="B4210" s="473" t="s">
        <v>13858</v>
      </c>
      <c r="C4210" s="473" t="s">
        <v>40</v>
      </c>
      <c r="D4210" s="473" t="s">
        <v>41</v>
      </c>
      <c r="E4210" s="361">
        <v>12.38</v>
      </c>
    </row>
    <row r="4211" spans="1:5">
      <c r="A4211" s="473">
        <v>6149</v>
      </c>
      <c r="B4211" s="473" t="s">
        <v>13859</v>
      </c>
      <c r="C4211" s="473" t="s">
        <v>40</v>
      </c>
      <c r="D4211" s="473" t="s">
        <v>41</v>
      </c>
      <c r="E4211" s="361">
        <v>11.68</v>
      </c>
    </row>
    <row r="4212" spans="1:5">
      <c r="A4212" s="473">
        <v>6146</v>
      </c>
      <c r="B4212" s="473" t="s">
        <v>13860</v>
      </c>
      <c r="C4212" s="473" t="s">
        <v>40</v>
      </c>
      <c r="D4212" s="473" t="s">
        <v>41</v>
      </c>
      <c r="E4212" s="361">
        <v>12.4</v>
      </c>
    </row>
    <row r="4213" spans="1:5">
      <c r="A4213" s="473">
        <v>26026</v>
      </c>
      <c r="B4213" s="473" t="s">
        <v>13861</v>
      </c>
      <c r="C4213" s="473" t="s">
        <v>49</v>
      </c>
      <c r="D4213" s="473" t="s">
        <v>41</v>
      </c>
      <c r="E4213" s="361">
        <v>2.54</v>
      </c>
    </row>
    <row r="4214" spans="1:5">
      <c r="A4214" s="473">
        <v>39961</v>
      </c>
      <c r="B4214" s="473" t="s">
        <v>13862</v>
      </c>
      <c r="C4214" s="473" t="s">
        <v>40</v>
      </c>
      <c r="D4214" s="473" t="s">
        <v>41</v>
      </c>
      <c r="E4214" s="361">
        <v>11.13</v>
      </c>
    </row>
    <row r="4215" spans="1:5">
      <c r="A4215" s="473">
        <v>42433</v>
      </c>
      <c r="B4215" s="473" t="s">
        <v>13863</v>
      </c>
      <c r="C4215" s="473" t="s">
        <v>40</v>
      </c>
      <c r="D4215" s="473" t="s">
        <v>47</v>
      </c>
      <c r="E4215" s="361">
        <v>2720.4</v>
      </c>
    </row>
    <row r="4216" spans="1:5">
      <c r="A4216" s="473">
        <v>42434</v>
      </c>
      <c r="B4216" s="473" t="s">
        <v>13864</v>
      </c>
      <c r="C4216" s="473" t="s">
        <v>40</v>
      </c>
      <c r="D4216" s="473" t="s">
        <v>47</v>
      </c>
      <c r="E4216" s="361">
        <v>2939.79</v>
      </c>
    </row>
    <row r="4217" spans="1:5">
      <c r="A4217" s="473">
        <v>42435</v>
      </c>
      <c r="B4217" s="473" t="s">
        <v>13865</v>
      </c>
      <c r="C4217" s="473" t="s">
        <v>40</v>
      </c>
      <c r="D4217" s="473" t="s">
        <v>47</v>
      </c>
      <c r="E4217" s="361">
        <v>1465.96</v>
      </c>
    </row>
    <row r="4218" spans="1:5">
      <c r="A4218" s="473">
        <v>38061</v>
      </c>
      <c r="B4218" s="473" t="s">
        <v>13866</v>
      </c>
      <c r="C4218" s="473" t="s">
        <v>40</v>
      </c>
      <c r="D4218" s="473" t="s">
        <v>41</v>
      </c>
      <c r="E4218" s="361">
        <v>50.24</v>
      </c>
    </row>
    <row r="4219" spans="1:5">
      <c r="A4219" s="473">
        <v>20250</v>
      </c>
      <c r="B4219" s="473" t="s">
        <v>13867</v>
      </c>
      <c r="C4219" s="473" t="s">
        <v>49</v>
      </c>
      <c r="D4219" s="473" t="s">
        <v>44</v>
      </c>
      <c r="E4219" s="361">
        <v>12</v>
      </c>
    </row>
    <row r="4220" spans="1:5">
      <c r="A4220" s="473">
        <v>39965</v>
      </c>
      <c r="B4220" s="473" t="s">
        <v>13868</v>
      </c>
      <c r="C4220" s="473" t="s">
        <v>46</v>
      </c>
      <c r="D4220" s="473" t="s">
        <v>47</v>
      </c>
      <c r="E4220" s="361">
        <v>1325.85</v>
      </c>
    </row>
    <row r="4221" spans="1:5">
      <c r="A4221" s="473">
        <v>39964</v>
      </c>
      <c r="B4221" s="473" t="s">
        <v>13869</v>
      </c>
      <c r="C4221" s="473" t="s">
        <v>46</v>
      </c>
      <c r="D4221" s="473" t="s">
        <v>47</v>
      </c>
      <c r="E4221" s="361">
        <v>1126.1600000000001</v>
      </c>
    </row>
    <row r="4222" spans="1:5">
      <c r="A4222" s="473">
        <v>7</v>
      </c>
      <c r="B4222" s="473" t="s">
        <v>13870</v>
      </c>
      <c r="C4222" s="473" t="s">
        <v>49</v>
      </c>
      <c r="D4222" s="473" t="s">
        <v>41</v>
      </c>
      <c r="E4222" s="361">
        <v>9.6999999999999993</v>
      </c>
    </row>
    <row r="4223" spans="1:5">
      <c r="A4223" s="473">
        <v>13388</v>
      </c>
      <c r="B4223" s="473" t="s">
        <v>13871</v>
      </c>
      <c r="C4223" s="473" t="s">
        <v>49</v>
      </c>
      <c r="D4223" s="473" t="s">
        <v>41</v>
      </c>
      <c r="E4223" s="361">
        <v>87.01</v>
      </c>
    </row>
    <row r="4224" spans="1:5">
      <c r="A4224" s="473">
        <v>39914</v>
      </c>
      <c r="B4224" s="473" t="s">
        <v>13872</v>
      </c>
      <c r="C4224" s="473" t="s">
        <v>49</v>
      </c>
      <c r="D4224" s="473" t="s">
        <v>47</v>
      </c>
      <c r="E4224" s="361">
        <v>145.44</v>
      </c>
    </row>
    <row r="4225" spans="1:5">
      <c r="A4225" s="473">
        <v>12732</v>
      </c>
      <c r="B4225" s="473" t="s">
        <v>13873</v>
      </c>
      <c r="C4225" s="473" t="s">
        <v>40</v>
      </c>
      <c r="D4225" s="473" t="s">
        <v>47</v>
      </c>
      <c r="E4225" s="361">
        <v>167.82</v>
      </c>
    </row>
    <row r="4226" spans="1:5">
      <c r="A4226" s="473">
        <v>6160</v>
      </c>
      <c r="B4226" s="473" t="s">
        <v>13874</v>
      </c>
      <c r="C4226" s="473" t="s">
        <v>43</v>
      </c>
      <c r="D4226" s="473" t="s">
        <v>44</v>
      </c>
      <c r="E4226" s="361">
        <v>13.54</v>
      </c>
    </row>
    <row r="4227" spans="1:5">
      <c r="A4227" s="473">
        <v>41087</v>
      </c>
      <c r="B4227" s="473" t="s">
        <v>13875</v>
      </c>
      <c r="C4227" s="473" t="s">
        <v>53</v>
      </c>
      <c r="D4227" s="473" t="s">
        <v>41</v>
      </c>
      <c r="E4227" s="361">
        <v>2413.96</v>
      </c>
    </row>
    <row r="4228" spans="1:5">
      <c r="A4228" s="473">
        <v>6166</v>
      </c>
      <c r="B4228" s="473" t="s">
        <v>13876</v>
      </c>
      <c r="C4228" s="473" t="s">
        <v>43</v>
      </c>
      <c r="D4228" s="473" t="s">
        <v>41</v>
      </c>
      <c r="E4228" s="361">
        <v>15.11</v>
      </c>
    </row>
    <row r="4229" spans="1:5">
      <c r="A4229" s="473">
        <v>41088</v>
      </c>
      <c r="B4229" s="473" t="s">
        <v>13877</v>
      </c>
      <c r="C4229" s="473" t="s">
        <v>53</v>
      </c>
      <c r="D4229" s="473" t="s">
        <v>41</v>
      </c>
      <c r="E4229" s="361">
        <v>2694.91</v>
      </c>
    </row>
    <row r="4230" spans="1:5">
      <c r="A4230" s="473">
        <v>20232</v>
      </c>
      <c r="B4230" s="473" t="s">
        <v>13878</v>
      </c>
      <c r="C4230" s="473" t="s">
        <v>48</v>
      </c>
      <c r="D4230" s="473" t="s">
        <v>41</v>
      </c>
      <c r="E4230" s="361">
        <v>69.52</v>
      </c>
    </row>
    <row r="4231" spans="1:5">
      <c r="A4231" s="473">
        <v>10856</v>
      </c>
      <c r="B4231" s="473" t="s">
        <v>13879</v>
      </c>
      <c r="C4231" s="473" t="s">
        <v>48</v>
      </c>
      <c r="D4231" s="473" t="s">
        <v>41</v>
      </c>
      <c r="E4231" s="361">
        <v>59.78</v>
      </c>
    </row>
    <row r="4232" spans="1:5">
      <c r="A4232" s="473">
        <v>4828</v>
      </c>
      <c r="B4232" s="473" t="s">
        <v>13880</v>
      </c>
      <c r="C4232" s="473" t="s">
        <v>48</v>
      </c>
      <c r="D4232" s="473" t="s">
        <v>41</v>
      </c>
      <c r="E4232" s="361">
        <v>30.2</v>
      </c>
    </row>
    <row r="4233" spans="1:5">
      <c r="A4233" s="473">
        <v>20249</v>
      </c>
      <c r="B4233" s="473" t="s">
        <v>13881</v>
      </c>
      <c r="C4233" s="473" t="s">
        <v>48</v>
      </c>
      <c r="D4233" s="473" t="s">
        <v>41</v>
      </c>
      <c r="E4233" s="361">
        <v>16.54</v>
      </c>
    </row>
    <row r="4234" spans="1:5">
      <c r="A4234" s="473">
        <v>11609</v>
      </c>
      <c r="B4234" s="473" t="s">
        <v>13882</v>
      </c>
      <c r="C4234" s="473" t="s">
        <v>50</v>
      </c>
      <c r="D4234" s="473" t="s">
        <v>41</v>
      </c>
      <c r="E4234" s="361">
        <v>10.26</v>
      </c>
    </row>
    <row r="4235" spans="1:5">
      <c r="A4235" s="473">
        <v>20083</v>
      </c>
      <c r="B4235" s="473" t="s">
        <v>13883</v>
      </c>
      <c r="C4235" s="473" t="s">
        <v>40</v>
      </c>
      <c r="D4235" s="473" t="s">
        <v>41</v>
      </c>
      <c r="E4235" s="361">
        <v>48.48</v>
      </c>
    </row>
    <row r="4236" spans="1:5">
      <c r="A4236" s="473">
        <v>20082</v>
      </c>
      <c r="B4236" s="473" t="s">
        <v>13884</v>
      </c>
      <c r="C4236" s="473" t="s">
        <v>40</v>
      </c>
      <c r="D4236" s="473" t="s">
        <v>41</v>
      </c>
      <c r="E4236" s="361">
        <v>18.88</v>
      </c>
    </row>
    <row r="4237" spans="1:5">
      <c r="A4237" s="473">
        <v>5318</v>
      </c>
      <c r="B4237" s="473" t="s">
        <v>13885</v>
      </c>
      <c r="C4237" s="473" t="s">
        <v>50</v>
      </c>
      <c r="D4237" s="473" t="s">
        <v>44</v>
      </c>
      <c r="E4237" s="361">
        <v>10.42</v>
      </c>
    </row>
    <row r="4238" spans="1:5">
      <c r="A4238" s="473">
        <v>10691</v>
      </c>
      <c r="B4238" s="473" t="s">
        <v>13886</v>
      </c>
      <c r="C4238" s="473" t="s">
        <v>50</v>
      </c>
      <c r="D4238" s="473" t="s">
        <v>41</v>
      </c>
      <c r="E4238" s="361">
        <v>35.4</v>
      </c>
    </row>
    <row r="4239" spans="1:5">
      <c r="A4239" s="473">
        <v>12295</v>
      </c>
      <c r="B4239" s="473" t="s">
        <v>13887</v>
      </c>
      <c r="C4239" s="473" t="s">
        <v>40</v>
      </c>
      <c r="D4239" s="473" t="s">
        <v>41</v>
      </c>
      <c r="E4239" s="361">
        <v>2.42</v>
      </c>
    </row>
    <row r="4240" spans="1:5">
      <c r="A4240" s="473">
        <v>12296</v>
      </c>
      <c r="B4240" s="473" t="s">
        <v>13888</v>
      </c>
      <c r="C4240" s="473" t="s">
        <v>40</v>
      </c>
      <c r="D4240" s="473" t="s">
        <v>41</v>
      </c>
      <c r="E4240" s="361">
        <v>3.14</v>
      </c>
    </row>
    <row r="4241" spans="1:5">
      <c r="A4241" s="473">
        <v>12294</v>
      </c>
      <c r="B4241" s="473" t="s">
        <v>13889</v>
      </c>
      <c r="C4241" s="473" t="s">
        <v>40</v>
      </c>
      <c r="D4241" s="473" t="s">
        <v>41</v>
      </c>
      <c r="E4241" s="361">
        <v>7.54</v>
      </c>
    </row>
    <row r="4242" spans="1:5">
      <c r="A4242" s="473">
        <v>14543</v>
      </c>
      <c r="B4242" s="473" t="s">
        <v>13890</v>
      </c>
      <c r="C4242" s="473" t="s">
        <v>40</v>
      </c>
      <c r="D4242" s="473" t="s">
        <v>41</v>
      </c>
      <c r="E4242" s="361">
        <v>5.38</v>
      </c>
    </row>
    <row r="4243" spans="1:5">
      <c r="A4243" s="473">
        <v>13329</v>
      </c>
      <c r="B4243" s="473" t="s">
        <v>13891</v>
      </c>
      <c r="C4243" s="473" t="s">
        <v>40</v>
      </c>
      <c r="D4243" s="473" t="s">
        <v>44</v>
      </c>
      <c r="E4243" s="361">
        <v>3.16</v>
      </c>
    </row>
    <row r="4244" spans="1:5">
      <c r="A4244" s="473">
        <v>21044</v>
      </c>
      <c r="B4244" s="473" t="s">
        <v>13892</v>
      </c>
      <c r="C4244" s="473" t="s">
        <v>40</v>
      </c>
      <c r="D4244" s="473" t="s">
        <v>41</v>
      </c>
      <c r="E4244" s="361">
        <v>25.55</v>
      </c>
    </row>
    <row r="4245" spans="1:5">
      <c r="A4245" s="473">
        <v>21045</v>
      </c>
      <c r="B4245" s="473" t="s">
        <v>13893</v>
      </c>
      <c r="C4245" s="473" t="s">
        <v>40</v>
      </c>
      <c r="D4245" s="473" t="s">
        <v>41</v>
      </c>
      <c r="E4245" s="361">
        <v>34.99</v>
      </c>
    </row>
    <row r="4246" spans="1:5">
      <c r="A4246" s="473">
        <v>21040</v>
      </c>
      <c r="B4246" s="473" t="s">
        <v>13894</v>
      </c>
      <c r="C4246" s="473" t="s">
        <v>40</v>
      </c>
      <c r="D4246" s="473" t="s">
        <v>44</v>
      </c>
      <c r="E4246" s="361">
        <v>25</v>
      </c>
    </row>
    <row r="4247" spans="1:5">
      <c r="A4247" s="473">
        <v>21041</v>
      </c>
      <c r="B4247" s="473" t="s">
        <v>13895</v>
      </c>
      <c r="C4247" s="473" t="s">
        <v>40</v>
      </c>
      <c r="D4247" s="473" t="s">
        <v>41</v>
      </c>
      <c r="E4247" s="361">
        <v>30.18</v>
      </c>
    </row>
    <row r="4248" spans="1:5">
      <c r="A4248" s="473">
        <v>21047</v>
      </c>
      <c r="B4248" s="473" t="s">
        <v>13896</v>
      </c>
      <c r="C4248" s="473" t="s">
        <v>40</v>
      </c>
      <c r="D4248" s="473" t="s">
        <v>41</v>
      </c>
      <c r="E4248" s="361">
        <v>37.659999999999997</v>
      </c>
    </row>
    <row r="4249" spans="1:5">
      <c r="A4249" s="473">
        <v>21043</v>
      </c>
      <c r="B4249" s="473" t="s">
        <v>13897</v>
      </c>
      <c r="C4249" s="473" t="s">
        <v>40</v>
      </c>
      <c r="D4249" s="473" t="s">
        <v>41</v>
      </c>
      <c r="E4249" s="361">
        <v>36.67</v>
      </c>
    </row>
    <row r="4250" spans="1:5">
      <c r="A4250" s="473">
        <v>21042</v>
      </c>
      <c r="B4250" s="473" t="s">
        <v>13898</v>
      </c>
      <c r="C4250" s="473" t="s">
        <v>40</v>
      </c>
      <c r="D4250" s="473" t="s">
        <v>41</v>
      </c>
      <c r="E4250" s="361">
        <v>29.03</v>
      </c>
    </row>
    <row r="4251" spans="1:5">
      <c r="A4251" s="473">
        <v>11895</v>
      </c>
      <c r="B4251" s="473" t="s">
        <v>13899</v>
      </c>
      <c r="C4251" s="473" t="s">
        <v>40</v>
      </c>
      <c r="D4251" s="473" t="s">
        <v>41</v>
      </c>
      <c r="E4251" s="361">
        <v>969.21</v>
      </c>
    </row>
    <row r="4252" spans="1:5">
      <c r="A4252" s="473">
        <v>11896</v>
      </c>
      <c r="B4252" s="473" t="s">
        <v>13900</v>
      </c>
      <c r="C4252" s="473" t="s">
        <v>40</v>
      </c>
      <c r="D4252" s="473" t="s">
        <v>41</v>
      </c>
      <c r="E4252" s="361">
        <v>5080</v>
      </c>
    </row>
    <row r="4253" spans="1:5">
      <c r="A4253" s="473">
        <v>11897</v>
      </c>
      <c r="B4253" s="473" t="s">
        <v>13901</v>
      </c>
      <c r="C4253" s="473" t="s">
        <v>40</v>
      </c>
      <c r="D4253" s="473" t="s">
        <v>41</v>
      </c>
      <c r="E4253" s="361">
        <v>6628.51</v>
      </c>
    </row>
    <row r="4254" spans="1:5">
      <c r="A4254" s="473">
        <v>11898</v>
      </c>
      <c r="B4254" s="473" t="s">
        <v>13902</v>
      </c>
      <c r="C4254" s="473" t="s">
        <v>40</v>
      </c>
      <c r="D4254" s="473" t="s">
        <v>41</v>
      </c>
      <c r="E4254" s="361">
        <v>6962.72</v>
      </c>
    </row>
    <row r="4255" spans="1:5">
      <c r="A4255" s="473">
        <v>3282</v>
      </c>
      <c r="B4255" s="473" t="s">
        <v>13903</v>
      </c>
      <c r="C4255" s="473" t="s">
        <v>40</v>
      </c>
      <c r="D4255" s="473" t="s">
        <v>41</v>
      </c>
      <c r="E4255" s="361">
        <v>704.62</v>
      </c>
    </row>
    <row r="4256" spans="1:5">
      <c r="A4256" s="473">
        <v>11899</v>
      </c>
      <c r="B4256" s="473" t="s">
        <v>13904</v>
      </c>
      <c r="C4256" s="473" t="s">
        <v>40</v>
      </c>
      <c r="D4256" s="473" t="s">
        <v>41</v>
      </c>
      <c r="E4256" s="361">
        <v>3436.8</v>
      </c>
    </row>
    <row r="4257" spans="1:5">
      <c r="A4257" s="473">
        <v>11900</v>
      </c>
      <c r="B4257" s="473" t="s">
        <v>13905</v>
      </c>
      <c r="C4257" s="473" t="s">
        <v>40</v>
      </c>
      <c r="D4257" s="473" t="s">
        <v>41</v>
      </c>
      <c r="E4257" s="361">
        <v>4712.37</v>
      </c>
    </row>
    <row r="4258" spans="1:5">
      <c r="A4258" s="473">
        <v>14149</v>
      </c>
      <c r="B4258" s="473" t="s">
        <v>13906</v>
      </c>
      <c r="C4258" s="473" t="s">
        <v>62</v>
      </c>
      <c r="D4258" s="473" t="s">
        <v>47</v>
      </c>
      <c r="E4258" s="361">
        <v>125.45</v>
      </c>
    </row>
    <row r="4259" spans="1:5">
      <c r="A4259" s="473">
        <v>38099</v>
      </c>
      <c r="B4259" s="473" t="s">
        <v>13907</v>
      </c>
      <c r="C4259" s="473" t="s">
        <v>40</v>
      </c>
      <c r="D4259" s="473" t="s">
        <v>41</v>
      </c>
      <c r="E4259" s="361">
        <v>1.23</v>
      </c>
    </row>
    <row r="4260" spans="1:5">
      <c r="A4260" s="473">
        <v>38100</v>
      </c>
      <c r="B4260" s="473" t="s">
        <v>13908</v>
      </c>
      <c r="C4260" s="473" t="s">
        <v>40</v>
      </c>
      <c r="D4260" s="473" t="s">
        <v>41</v>
      </c>
      <c r="E4260" s="361">
        <v>2.02</v>
      </c>
    </row>
    <row r="4261" spans="1:5">
      <c r="A4261" s="473">
        <v>20061</v>
      </c>
      <c r="B4261" s="473" t="s">
        <v>13909</v>
      </c>
      <c r="C4261" s="473" t="s">
        <v>40</v>
      </c>
      <c r="D4261" s="473" t="s">
        <v>47</v>
      </c>
      <c r="E4261" s="361">
        <v>2.94</v>
      </c>
    </row>
    <row r="4262" spans="1:5">
      <c r="A4262" s="473">
        <v>7576</v>
      </c>
      <c r="B4262" s="473" t="s">
        <v>13910</v>
      </c>
      <c r="C4262" s="473" t="s">
        <v>40</v>
      </c>
      <c r="D4262" s="473" t="s">
        <v>47</v>
      </c>
      <c r="E4262" s="361">
        <v>105.5</v>
      </c>
    </row>
    <row r="4263" spans="1:5">
      <c r="A4263" s="473">
        <v>3384</v>
      </c>
      <c r="B4263" s="473" t="s">
        <v>13911</v>
      </c>
      <c r="C4263" s="473" t="s">
        <v>40</v>
      </c>
      <c r="D4263" s="473" t="s">
        <v>41</v>
      </c>
      <c r="E4263" s="361">
        <v>4.93</v>
      </c>
    </row>
    <row r="4264" spans="1:5">
      <c r="A4264" s="473">
        <v>7572</v>
      </c>
      <c r="B4264" s="473" t="s">
        <v>13912</v>
      </c>
      <c r="C4264" s="473" t="s">
        <v>40</v>
      </c>
      <c r="D4264" s="473" t="s">
        <v>41</v>
      </c>
      <c r="E4264" s="361">
        <v>8.0299999999999994</v>
      </c>
    </row>
    <row r="4265" spans="1:5">
      <c r="A4265" s="473">
        <v>3396</v>
      </c>
      <c r="B4265" s="473" t="s">
        <v>13913</v>
      </c>
      <c r="C4265" s="473" t="s">
        <v>40</v>
      </c>
      <c r="D4265" s="473" t="s">
        <v>41</v>
      </c>
      <c r="E4265" s="361">
        <v>5.69</v>
      </c>
    </row>
    <row r="4266" spans="1:5">
      <c r="A4266" s="473">
        <v>37590</v>
      </c>
      <c r="B4266" s="473" t="s">
        <v>13914</v>
      </c>
      <c r="C4266" s="473" t="s">
        <v>40</v>
      </c>
      <c r="D4266" s="473" t="s">
        <v>41</v>
      </c>
      <c r="E4266" s="361">
        <v>24.19</v>
      </c>
    </row>
    <row r="4267" spans="1:5">
      <c r="A4267" s="473">
        <v>37591</v>
      </c>
      <c r="B4267" s="473" t="s">
        <v>13915</v>
      </c>
      <c r="C4267" s="473" t="s">
        <v>40</v>
      </c>
      <c r="D4267" s="473" t="s">
        <v>41</v>
      </c>
      <c r="E4267" s="361">
        <v>33.659999999999997</v>
      </c>
    </row>
    <row r="4268" spans="1:5">
      <c r="A4268" s="473">
        <v>12626</v>
      </c>
      <c r="B4268" s="473" t="s">
        <v>13916</v>
      </c>
      <c r="C4268" s="473" t="s">
        <v>40</v>
      </c>
      <c r="D4268" s="473" t="s">
        <v>47</v>
      </c>
      <c r="E4268" s="361">
        <v>14.1</v>
      </c>
    </row>
    <row r="4269" spans="1:5">
      <c r="A4269" s="473">
        <v>11033</v>
      </c>
      <c r="B4269" s="473" t="s">
        <v>13917</v>
      </c>
      <c r="C4269" s="473" t="s">
        <v>40</v>
      </c>
      <c r="D4269" s="473" t="s">
        <v>41</v>
      </c>
      <c r="E4269" s="361">
        <v>4.08</v>
      </c>
    </row>
    <row r="4270" spans="1:5">
      <c r="A4270" s="473">
        <v>390</v>
      </c>
      <c r="B4270" s="473" t="s">
        <v>13918</v>
      </c>
      <c r="C4270" s="473" t="s">
        <v>40</v>
      </c>
      <c r="D4270" s="473" t="s">
        <v>41</v>
      </c>
      <c r="E4270" s="361">
        <v>11.43</v>
      </c>
    </row>
    <row r="4271" spans="1:5">
      <c r="A4271" s="473">
        <v>42436</v>
      </c>
      <c r="B4271" s="473" t="s">
        <v>13919</v>
      </c>
      <c r="C4271" s="473" t="s">
        <v>40</v>
      </c>
      <c r="D4271" s="473" t="s">
        <v>47</v>
      </c>
      <c r="E4271" s="361">
        <v>1534.45</v>
      </c>
    </row>
    <row r="4272" spans="1:5">
      <c r="A4272" s="473">
        <v>6178</v>
      </c>
      <c r="B4272" s="473" t="s">
        <v>13920</v>
      </c>
      <c r="C4272" s="473" t="s">
        <v>46</v>
      </c>
      <c r="D4272" s="473" t="s">
        <v>47</v>
      </c>
      <c r="E4272" s="361">
        <v>156.03</v>
      </c>
    </row>
    <row r="4273" spans="1:5">
      <c r="A4273" s="473">
        <v>6180</v>
      </c>
      <c r="B4273" s="473" t="s">
        <v>13921</v>
      </c>
      <c r="C4273" s="473" t="s">
        <v>46</v>
      </c>
      <c r="D4273" s="473" t="s">
        <v>47</v>
      </c>
      <c r="E4273" s="361">
        <v>168.4</v>
      </c>
    </row>
    <row r="4274" spans="1:5">
      <c r="A4274" s="473">
        <v>6182</v>
      </c>
      <c r="B4274" s="473" t="s">
        <v>13922</v>
      </c>
      <c r="C4274" s="473" t="s">
        <v>46</v>
      </c>
      <c r="D4274" s="473" t="s">
        <v>47</v>
      </c>
      <c r="E4274" s="361">
        <v>209.02</v>
      </c>
    </row>
    <row r="4275" spans="1:5">
      <c r="A4275" s="473">
        <v>3993</v>
      </c>
      <c r="B4275" s="473" t="s">
        <v>13923</v>
      </c>
      <c r="C4275" s="473" t="s">
        <v>46</v>
      </c>
      <c r="D4275" s="473" t="s">
        <v>41</v>
      </c>
      <c r="E4275" s="361">
        <v>97.34</v>
      </c>
    </row>
    <row r="4276" spans="1:5">
      <c r="A4276" s="473">
        <v>3990</v>
      </c>
      <c r="B4276" s="473" t="s">
        <v>13924</v>
      </c>
      <c r="C4276" s="473" t="s">
        <v>48</v>
      </c>
      <c r="D4276" s="473" t="s">
        <v>41</v>
      </c>
      <c r="E4276" s="361">
        <v>21.51</v>
      </c>
    </row>
    <row r="4277" spans="1:5">
      <c r="A4277" s="473">
        <v>3992</v>
      </c>
      <c r="B4277" s="473" t="s">
        <v>13925</v>
      </c>
      <c r="C4277" s="473" t="s">
        <v>48</v>
      </c>
      <c r="D4277" s="473" t="s">
        <v>41</v>
      </c>
      <c r="E4277" s="361">
        <v>26.41</v>
      </c>
    </row>
    <row r="4278" spans="1:5">
      <c r="A4278" s="473">
        <v>4509</v>
      </c>
      <c r="B4278" s="473" t="s">
        <v>13926</v>
      </c>
      <c r="C4278" s="473" t="s">
        <v>48</v>
      </c>
      <c r="D4278" s="473" t="s">
        <v>41</v>
      </c>
      <c r="E4278" s="361">
        <v>1.97</v>
      </c>
    </row>
    <row r="4279" spans="1:5">
      <c r="A4279" s="473">
        <v>6194</v>
      </c>
      <c r="B4279" s="473" t="s">
        <v>13927</v>
      </c>
      <c r="C4279" s="473" t="s">
        <v>48</v>
      </c>
      <c r="D4279" s="473" t="s">
        <v>41</v>
      </c>
      <c r="E4279" s="361">
        <v>2.69</v>
      </c>
    </row>
    <row r="4280" spans="1:5">
      <c r="A4280" s="473">
        <v>6193</v>
      </c>
      <c r="B4280" s="473" t="s">
        <v>13928</v>
      </c>
      <c r="C4280" s="473" t="s">
        <v>48</v>
      </c>
      <c r="D4280" s="473" t="s">
        <v>41</v>
      </c>
      <c r="E4280" s="361">
        <v>10.25</v>
      </c>
    </row>
    <row r="4281" spans="1:5">
      <c r="A4281" s="473">
        <v>10567</v>
      </c>
      <c r="B4281" s="473" t="s">
        <v>13929</v>
      </c>
      <c r="C4281" s="473" t="s">
        <v>48</v>
      </c>
      <c r="D4281" s="473" t="s">
        <v>41</v>
      </c>
      <c r="E4281" s="361">
        <v>4.45</v>
      </c>
    </row>
    <row r="4282" spans="1:5">
      <c r="A4282" s="473">
        <v>6188</v>
      </c>
      <c r="B4282" s="473" t="s">
        <v>13930</v>
      </c>
      <c r="C4282" s="473" t="s">
        <v>46</v>
      </c>
      <c r="D4282" s="473" t="s">
        <v>41</v>
      </c>
      <c r="E4282" s="361">
        <v>24.33</v>
      </c>
    </row>
    <row r="4283" spans="1:5">
      <c r="A4283" s="473">
        <v>6212</v>
      </c>
      <c r="B4283" s="473" t="s">
        <v>13930</v>
      </c>
      <c r="C4283" s="473" t="s">
        <v>48</v>
      </c>
      <c r="D4283" s="473" t="s">
        <v>44</v>
      </c>
      <c r="E4283" s="361">
        <v>7.3</v>
      </c>
    </row>
    <row r="4284" spans="1:5">
      <c r="A4284" s="473">
        <v>6189</v>
      </c>
      <c r="B4284" s="473" t="s">
        <v>13931</v>
      </c>
      <c r="C4284" s="473" t="s">
        <v>48</v>
      </c>
      <c r="D4284" s="473" t="s">
        <v>41</v>
      </c>
      <c r="E4284" s="361">
        <v>14.99</v>
      </c>
    </row>
    <row r="4285" spans="1:5">
      <c r="A4285" s="473">
        <v>6214</v>
      </c>
      <c r="B4285" s="473" t="s">
        <v>13932</v>
      </c>
      <c r="C4285" s="473" t="s">
        <v>46</v>
      </c>
      <c r="D4285" s="473" t="s">
        <v>47</v>
      </c>
      <c r="E4285" s="361">
        <v>97.74</v>
      </c>
    </row>
    <row r="4286" spans="1:5">
      <c r="A4286" s="473">
        <v>36153</v>
      </c>
      <c r="B4286" s="473" t="s">
        <v>13933</v>
      </c>
      <c r="C4286" s="473" t="s">
        <v>40</v>
      </c>
      <c r="D4286" s="473" t="s">
        <v>41</v>
      </c>
      <c r="E4286" s="361">
        <v>149.80000000000001</v>
      </c>
    </row>
    <row r="4287" spans="1:5">
      <c r="A4287" s="473">
        <v>10740</v>
      </c>
      <c r="B4287" s="473" t="s">
        <v>13934</v>
      </c>
      <c r="C4287" s="473" t="s">
        <v>40</v>
      </c>
      <c r="D4287" s="473" t="s">
        <v>47</v>
      </c>
      <c r="E4287" s="361">
        <v>9618.2099999999991</v>
      </c>
    </row>
    <row r="4288" spans="1:5">
      <c r="A4288" s="473">
        <v>13914</v>
      </c>
      <c r="B4288" s="473" t="s">
        <v>13935</v>
      </c>
      <c r="C4288" s="473" t="s">
        <v>40</v>
      </c>
      <c r="D4288" s="473" t="s">
        <v>47</v>
      </c>
      <c r="E4288" s="361">
        <v>695.91</v>
      </c>
    </row>
    <row r="4289" spans="1:5">
      <c r="A4289" s="473">
        <v>10742</v>
      </c>
      <c r="B4289" s="473" t="s">
        <v>13936</v>
      </c>
      <c r="C4289" s="473" t="s">
        <v>40</v>
      </c>
      <c r="D4289" s="473" t="s">
        <v>47</v>
      </c>
      <c r="E4289" s="361">
        <v>1015</v>
      </c>
    </row>
    <row r="4290" spans="1:5">
      <c r="A4290" s="473">
        <v>38465</v>
      </c>
      <c r="B4290" s="473" t="s">
        <v>13937</v>
      </c>
      <c r="C4290" s="473" t="s">
        <v>40</v>
      </c>
      <c r="D4290" s="473" t="s">
        <v>41</v>
      </c>
      <c r="E4290" s="361">
        <v>28.55</v>
      </c>
    </row>
    <row r="4291" spans="1:5">
      <c r="A4291" s="473">
        <v>7543</v>
      </c>
      <c r="B4291" s="473" t="s">
        <v>13938</v>
      </c>
      <c r="C4291" s="473" t="s">
        <v>40</v>
      </c>
      <c r="D4291" s="473" t="s">
        <v>41</v>
      </c>
      <c r="E4291" s="361">
        <v>3.46</v>
      </c>
    </row>
    <row r="4292" spans="1:5">
      <c r="A4292" s="473">
        <v>13255</v>
      </c>
      <c r="B4292" s="473" t="s">
        <v>13939</v>
      </c>
      <c r="C4292" s="473" t="s">
        <v>40</v>
      </c>
      <c r="D4292" s="473" t="s">
        <v>41</v>
      </c>
      <c r="E4292" s="361">
        <v>36.619999999999997</v>
      </c>
    </row>
    <row r="4293" spans="1:5">
      <c r="A4293" s="473">
        <v>39352</v>
      </c>
      <c r="B4293" s="473" t="s">
        <v>13940</v>
      </c>
      <c r="C4293" s="473" t="s">
        <v>40</v>
      </c>
      <c r="D4293" s="473" t="s">
        <v>41</v>
      </c>
      <c r="E4293" s="361">
        <v>2.14</v>
      </c>
    </row>
    <row r="4294" spans="1:5">
      <c r="A4294" s="473">
        <v>39346</v>
      </c>
      <c r="B4294" s="473" t="s">
        <v>13941</v>
      </c>
      <c r="C4294" s="473" t="s">
        <v>40</v>
      </c>
      <c r="D4294" s="473" t="s">
        <v>41</v>
      </c>
      <c r="E4294" s="361">
        <v>2.14</v>
      </c>
    </row>
    <row r="4295" spans="1:5">
      <c r="A4295" s="473">
        <v>39350</v>
      </c>
      <c r="B4295" s="473" t="s">
        <v>13942</v>
      </c>
      <c r="C4295" s="473" t="s">
        <v>40</v>
      </c>
      <c r="D4295" s="473" t="s">
        <v>41</v>
      </c>
      <c r="E4295" s="361">
        <v>2.2999999999999998</v>
      </c>
    </row>
    <row r="4296" spans="1:5">
      <c r="A4296" s="473">
        <v>39351</v>
      </c>
      <c r="B4296" s="473" t="s">
        <v>13943</v>
      </c>
      <c r="C4296" s="473" t="s">
        <v>40</v>
      </c>
      <c r="D4296" s="473" t="s">
        <v>41</v>
      </c>
      <c r="E4296" s="361">
        <v>2.66</v>
      </c>
    </row>
    <row r="4297" spans="1:5">
      <c r="A4297" s="473">
        <v>38952</v>
      </c>
      <c r="B4297" s="473" t="s">
        <v>13944</v>
      </c>
      <c r="C4297" s="473" t="s">
        <v>40</v>
      </c>
      <c r="D4297" s="473" t="s">
        <v>47</v>
      </c>
      <c r="E4297" s="361">
        <v>2.82</v>
      </c>
    </row>
    <row r="4298" spans="1:5">
      <c r="A4298" s="473">
        <v>38953</v>
      </c>
      <c r="B4298" s="473" t="s">
        <v>13945</v>
      </c>
      <c r="C4298" s="473" t="s">
        <v>40</v>
      </c>
      <c r="D4298" s="473" t="s">
        <v>47</v>
      </c>
      <c r="E4298" s="361">
        <v>4.4400000000000004</v>
      </c>
    </row>
    <row r="4299" spans="1:5">
      <c r="A4299" s="473">
        <v>38835</v>
      </c>
      <c r="B4299" s="473" t="s">
        <v>13946</v>
      </c>
      <c r="C4299" s="473" t="s">
        <v>40</v>
      </c>
      <c r="D4299" s="473" t="s">
        <v>47</v>
      </c>
      <c r="E4299" s="361">
        <v>3.99</v>
      </c>
    </row>
    <row r="4300" spans="1:5">
      <c r="A4300" s="473">
        <v>38837</v>
      </c>
      <c r="B4300" s="473" t="s">
        <v>13947</v>
      </c>
      <c r="C4300" s="473" t="s">
        <v>40</v>
      </c>
      <c r="D4300" s="473" t="s">
        <v>47</v>
      </c>
      <c r="E4300" s="361">
        <v>10.39</v>
      </c>
    </row>
    <row r="4301" spans="1:5">
      <c r="A4301" s="473">
        <v>38836</v>
      </c>
      <c r="B4301" s="473" t="s">
        <v>13948</v>
      </c>
      <c r="C4301" s="473" t="s">
        <v>40</v>
      </c>
      <c r="D4301" s="473" t="s">
        <v>47</v>
      </c>
      <c r="E4301" s="361">
        <v>5.75</v>
      </c>
    </row>
    <row r="4302" spans="1:5">
      <c r="A4302" s="473">
        <v>2666</v>
      </c>
      <c r="B4302" s="473" t="s">
        <v>13949</v>
      </c>
      <c r="C4302" s="473" t="s">
        <v>40</v>
      </c>
      <c r="D4302" s="473" t="s">
        <v>47</v>
      </c>
      <c r="E4302" s="361">
        <v>5.42</v>
      </c>
    </row>
    <row r="4303" spans="1:5">
      <c r="A4303" s="473">
        <v>2668</v>
      </c>
      <c r="B4303" s="473" t="s">
        <v>13950</v>
      </c>
      <c r="C4303" s="473" t="s">
        <v>40</v>
      </c>
      <c r="D4303" s="473" t="s">
        <v>47</v>
      </c>
      <c r="E4303" s="361">
        <v>6.19</v>
      </c>
    </row>
    <row r="4304" spans="1:5">
      <c r="A4304" s="473">
        <v>2664</v>
      </c>
      <c r="B4304" s="473" t="s">
        <v>13951</v>
      </c>
      <c r="C4304" s="473" t="s">
        <v>40</v>
      </c>
      <c r="D4304" s="473" t="s">
        <v>47</v>
      </c>
      <c r="E4304" s="361">
        <v>9.1300000000000008</v>
      </c>
    </row>
    <row r="4305" spans="1:5">
      <c r="A4305" s="473">
        <v>2662</v>
      </c>
      <c r="B4305" s="473" t="s">
        <v>13952</v>
      </c>
      <c r="C4305" s="473" t="s">
        <v>40</v>
      </c>
      <c r="D4305" s="473" t="s">
        <v>47</v>
      </c>
      <c r="E4305" s="361">
        <v>11.2</v>
      </c>
    </row>
    <row r="4306" spans="1:5">
      <c r="A4306" s="473">
        <v>20964</v>
      </c>
      <c r="B4306" s="473" t="s">
        <v>13953</v>
      </c>
      <c r="C4306" s="473" t="s">
        <v>40</v>
      </c>
      <c r="D4306" s="473" t="s">
        <v>41</v>
      </c>
      <c r="E4306" s="361">
        <v>46.85</v>
      </c>
    </row>
    <row r="4307" spans="1:5">
      <c r="A4307" s="473">
        <v>10905</v>
      </c>
      <c r="B4307" s="473" t="s">
        <v>13954</v>
      </c>
      <c r="C4307" s="473" t="s">
        <v>40</v>
      </c>
      <c r="D4307" s="473" t="s">
        <v>41</v>
      </c>
      <c r="E4307" s="361">
        <v>62.85</v>
      </c>
    </row>
    <row r="4308" spans="1:5">
      <c r="A4308" s="473">
        <v>42703</v>
      </c>
      <c r="B4308" s="473" t="s">
        <v>13955</v>
      </c>
      <c r="C4308" s="473" t="s">
        <v>40</v>
      </c>
      <c r="D4308" s="473" t="s">
        <v>47</v>
      </c>
      <c r="E4308" s="361">
        <v>57.55</v>
      </c>
    </row>
    <row r="4309" spans="1:5">
      <c r="A4309" s="473">
        <v>42704</v>
      </c>
      <c r="B4309" s="473" t="s">
        <v>13956</v>
      </c>
      <c r="C4309" s="473" t="s">
        <v>40</v>
      </c>
      <c r="D4309" s="473" t="s">
        <v>47</v>
      </c>
      <c r="E4309" s="361">
        <v>88.35</v>
      </c>
    </row>
    <row r="4310" spans="1:5">
      <c r="A4310" s="473">
        <v>42705</v>
      </c>
      <c r="B4310" s="473" t="s">
        <v>13957</v>
      </c>
      <c r="C4310" s="473" t="s">
        <v>40</v>
      </c>
      <c r="D4310" s="473" t="s">
        <v>47</v>
      </c>
      <c r="E4310" s="361">
        <v>112.72</v>
      </c>
    </row>
    <row r="4311" spans="1:5">
      <c r="A4311" s="473">
        <v>42706</v>
      </c>
      <c r="B4311" s="473" t="s">
        <v>13958</v>
      </c>
      <c r="C4311" s="473" t="s">
        <v>40</v>
      </c>
      <c r="D4311" s="473" t="s">
        <v>47</v>
      </c>
      <c r="E4311" s="361">
        <v>139.6</v>
      </c>
    </row>
    <row r="4312" spans="1:5">
      <c r="A4312" s="473">
        <v>11289</v>
      </c>
      <c r="B4312" s="473" t="s">
        <v>13959</v>
      </c>
      <c r="C4312" s="473" t="s">
        <v>40</v>
      </c>
      <c r="D4312" s="473" t="s">
        <v>47</v>
      </c>
      <c r="E4312" s="361">
        <v>50.35</v>
      </c>
    </row>
    <row r="4313" spans="1:5">
      <c r="A4313" s="473">
        <v>11241</v>
      </c>
      <c r="B4313" s="473" t="s">
        <v>13960</v>
      </c>
      <c r="C4313" s="473" t="s">
        <v>40</v>
      </c>
      <c r="D4313" s="473" t="s">
        <v>47</v>
      </c>
      <c r="E4313" s="361">
        <v>125.89</v>
      </c>
    </row>
    <row r="4314" spans="1:5">
      <c r="A4314" s="473">
        <v>11301</v>
      </c>
      <c r="B4314" s="473" t="s">
        <v>13961</v>
      </c>
      <c r="C4314" s="473" t="s">
        <v>40</v>
      </c>
      <c r="D4314" s="473" t="s">
        <v>47</v>
      </c>
      <c r="E4314" s="361">
        <v>319.22000000000003</v>
      </c>
    </row>
    <row r="4315" spans="1:5">
      <c r="A4315" s="473">
        <v>21090</v>
      </c>
      <c r="B4315" s="473" t="s">
        <v>13962</v>
      </c>
      <c r="C4315" s="473" t="s">
        <v>40</v>
      </c>
      <c r="D4315" s="473" t="s">
        <v>47</v>
      </c>
      <c r="E4315" s="361">
        <v>391.16</v>
      </c>
    </row>
    <row r="4316" spans="1:5">
      <c r="A4316" s="473">
        <v>14112</v>
      </c>
      <c r="B4316" s="473" t="s">
        <v>13963</v>
      </c>
      <c r="C4316" s="473" t="s">
        <v>40</v>
      </c>
      <c r="D4316" s="473" t="s">
        <v>47</v>
      </c>
      <c r="E4316" s="361">
        <v>163.19999999999999</v>
      </c>
    </row>
    <row r="4317" spans="1:5">
      <c r="A4317" s="473">
        <v>11315</v>
      </c>
      <c r="B4317" s="473" t="s">
        <v>13964</v>
      </c>
      <c r="C4317" s="473" t="s">
        <v>40</v>
      </c>
      <c r="D4317" s="473" t="s">
        <v>47</v>
      </c>
      <c r="E4317" s="361">
        <v>76.430000000000007</v>
      </c>
    </row>
    <row r="4318" spans="1:5">
      <c r="A4318" s="473">
        <v>11292</v>
      </c>
      <c r="B4318" s="473" t="s">
        <v>13965</v>
      </c>
      <c r="C4318" s="473" t="s">
        <v>40</v>
      </c>
      <c r="D4318" s="473" t="s">
        <v>47</v>
      </c>
      <c r="E4318" s="361">
        <v>178.94</v>
      </c>
    </row>
    <row r="4319" spans="1:5">
      <c r="A4319" s="473">
        <v>21071</v>
      </c>
      <c r="B4319" s="473" t="s">
        <v>13966</v>
      </c>
      <c r="C4319" s="473" t="s">
        <v>40</v>
      </c>
      <c r="D4319" s="473" t="s">
        <v>47</v>
      </c>
      <c r="E4319" s="361">
        <v>116.89</v>
      </c>
    </row>
    <row r="4320" spans="1:5">
      <c r="A4320" s="473">
        <v>11293</v>
      </c>
      <c r="B4320" s="473" t="s">
        <v>13967</v>
      </c>
      <c r="C4320" s="473" t="s">
        <v>40</v>
      </c>
      <c r="D4320" s="473" t="s">
        <v>47</v>
      </c>
      <c r="E4320" s="361">
        <v>197.82</v>
      </c>
    </row>
    <row r="4321" spans="1:5">
      <c r="A4321" s="473">
        <v>11316</v>
      </c>
      <c r="B4321" s="473" t="s">
        <v>13968</v>
      </c>
      <c r="C4321" s="473" t="s">
        <v>40</v>
      </c>
      <c r="D4321" s="473" t="s">
        <v>47</v>
      </c>
      <c r="E4321" s="361">
        <v>251.78</v>
      </c>
    </row>
    <row r="4322" spans="1:5">
      <c r="A4322" s="473">
        <v>6243</v>
      </c>
      <c r="B4322" s="473" t="s">
        <v>13969</v>
      </c>
      <c r="C4322" s="473" t="s">
        <v>40</v>
      </c>
      <c r="D4322" s="473" t="s">
        <v>47</v>
      </c>
      <c r="E4322" s="361">
        <v>290</v>
      </c>
    </row>
    <row r="4323" spans="1:5">
      <c r="A4323" s="473">
        <v>21079</v>
      </c>
      <c r="B4323" s="473" t="s">
        <v>13970</v>
      </c>
      <c r="C4323" s="473" t="s">
        <v>40</v>
      </c>
      <c r="D4323" s="473" t="s">
        <v>47</v>
      </c>
      <c r="E4323" s="361">
        <v>345.75</v>
      </c>
    </row>
    <row r="4324" spans="1:5">
      <c r="A4324" s="473">
        <v>6240</v>
      </c>
      <c r="B4324" s="473" t="s">
        <v>13971</v>
      </c>
      <c r="C4324" s="473" t="s">
        <v>40</v>
      </c>
      <c r="D4324" s="473" t="s">
        <v>47</v>
      </c>
      <c r="E4324" s="361">
        <v>383.96</v>
      </c>
    </row>
    <row r="4325" spans="1:5">
      <c r="A4325" s="473">
        <v>11296</v>
      </c>
      <c r="B4325" s="473" t="s">
        <v>13972</v>
      </c>
      <c r="C4325" s="473" t="s">
        <v>40</v>
      </c>
      <c r="D4325" s="473" t="s">
        <v>47</v>
      </c>
      <c r="E4325" s="361">
        <v>1223.3900000000001</v>
      </c>
    </row>
    <row r="4326" spans="1:5">
      <c r="A4326" s="473">
        <v>11299</v>
      </c>
      <c r="B4326" s="473" t="s">
        <v>13973</v>
      </c>
      <c r="C4326" s="473" t="s">
        <v>40</v>
      </c>
      <c r="D4326" s="473" t="s">
        <v>47</v>
      </c>
      <c r="E4326" s="361">
        <v>414.09</v>
      </c>
    </row>
    <row r="4327" spans="1:5">
      <c r="A4327" s="473">
        <v>11066</v>
      </c>
      <c r="B4327" s="473" t="s">
        <v>13974</v>
      </c>
      <c r="C4327" s="473" t="s">
        <v>40</v>
      </c>
      <c r="D4327" s="473" t="s">
        <v>41</v>
      </c>
      <c r="E4327" s="361">
        <v>10.85</v>
      </c>
    </row>
    <row r="4328" spans="1:5">
      <c r="A4328" s="473">
        <v>11065</v>
      </c>
      <c r="B4328" s="473" t="s">
        <v>13975</v>
      </c>
      <c r="C4328" s="473" t="s">
        <v>40</v>
      </c>
      <c r="D4328" s="473" t="s">
        <v>41</v>
      </c>
      <c r="E4328" s="361">
        <v>12.44</v>
      </c>
    </row>
    <row r="4329" spans="1:5">
      <c r="A4329" s="473">
        <v>11688</v>
      </c>
      <c r="B4329" s="473" t="s">
        <v>13976</v>
      </c>
      <c r="C4329" s="473" t="s">
        <v>40</v>
      </c>
      <c r="D4329" s="473" t="s">
        <v>41</v>
      </c>
      <c r="E4329" s="361">
        <v>357.23</v>
      </c>
    </row>
    <row r="4330" spans="1:5">
      <c r="A4330" s="473">
        <v>37736</v>
      </c>
      <c r="B4330" s="473" t="s">
        <v>13977</v>
      </c>
      <c r="C4330" s="473" t="s">
        <v>40</v>
      </c>
      <c r="D4330" s="473" t="s">
        <v>47</v>
      </c>
      <c r="E4330" s="361">
        <v>50000</v>
      </c>
    </row>
    <row r="4331" spans="1:5">
      <c r="A4331" s="473">
        <v>37739</v>
      </c>
      <c r="B4331" s="473" t="s">
        <v>13978</v>
      </c>
      <c r="C4331" s="473" t="s">
        <v>40</v>
      </c>
      <c r="D4331" s="473" t="s">
        <v>47</v>
      </c>
      <c r="E4331" s="361">
        <v>61538.46</v>
      </c>
    </row>
    <row r="4332" spans="1:5">
      <c r="A4332" s="473">
        <v>37740</v>
      </c>
      <c r="B4332" s="473" t="s">
        <v>13979</v>
      </c>
      <c r="C4332" s="473" t="s">
        <v>40</v>
      </c>
      <c r="D4332" s="473" t="s">
        <v>47</v>
      </c>
      <c r="E4332" s="361">
        <v>35117.050000000003</v>
      </c>
    </row>
    <row r="4333" spans="1:5">
      <c r="A4333" s="473">
        <v>37738</v>
      </c>
      <c r="B4333" s="473" t="s">
        <v>13980</v>
      </c>
      <c r="C4333" s="473" t="s">
        <v>40</v>
      </c>
      <c r="D4333" s="473" t="s">
        <v>47</v>
      </c>
      <c r="E4333" s="361">
        <v>41722.410000000003</v>
      </c>
    </row>
    <row r="4334" spans="1:5">
      <c r="A4334" s="473">
        <v>37737</v>
      </c>
      <c r="B4334" s="473" t="s">
        <v>13981</v>
      </c>
      <c r="C4334" s="473" t="s">
        <v>40</v>
      </c>
      <c r="D4334" s="473" t="s">
        <v>47</v>
      </c>
      <c r="E4334" s="361">
        <v>33193.980000000003</v>
      </c>
    </row>
    <row r="4335" spans="1:5">
      <c r="A4335" s="473">
        <v>25014</v>
      </c>
      <c r="B4335" s="473" t="s">
        <v>13982</v>
      </c>
      <c r="C4335" s="473" t="s">
        <v>40</v>
      </c>
      <c r="D4335" s="473" t="s">
        <v>47</v>
      </c>
      <c r="E4335" s="361">
        <v>69523.41</v>
      </c>
    </row>
    <row r="4336" spans="1:5">
      <c r="A4336" s="473">
        <v>25013</v>
      </c>
      <c r="B4336" s="473" t="s">
        <v>13983</v>
      </c>
      <c r="C4336" s="473" t="s">
        <v>40</v>
      </c>
      <c r="D4336" s="473" t="s">
        <v>47</v>
      </c>
      <c r="E4336" s="361">
        <v>72867.89</v>
      </c>
    </row>
    <row r="4337" spans="1:5">
      <c r="A4337" s="473">
        <v>14405</v>
      </c>
      <c r="B4337" s="473" t="s">
        <v>13984</v>
      </c>
      <c r="C4337" s="473" t="s">
        <v>40</v>
      </c>
      <c r="D4337" s="473" t="s">
        <v>47</v>
      </c>
      <c r="E4337" s="361">
        <v>85535.11</v>
      </c>
    </row>
    <row r="4338" spans="1:5">
      <c r="A4338" s="473">
        <v>6253</v>
      </c>
      <c r="B4338" s="473" t="s">
        <v>13985</v>
      </c>
      <c r="C4338" s="473" t="s">
        <v>40</v>
      </c>
      <c r="D4338" s="473" t="s">
        <v>47</v>
      </c>
      <c r="E4338" s="361">
        <v>65</v>
      </c>
    </row>
    <row r="4339" spans="1:5">
      <c r="A4339" s="473">
        <v>36790</v>
      </c>
      <c r="B4339" s="473" t="s">
        <v>13986</v>
      </c>
      <c r="C4339" s="473" t="s">
        <v>40</v>
      </c>
      <c r="D4339" s="473" t="s">
        <v>41</v>
      </c>
      <c r="E4339" s="361">
        <v>192.79</v>
      </c>
    </row>
    <row r="4340" spans="1:5">
      <c r="A4340" s="473">
        <v>20271</v>
      </c>
      <c r="B4340" s="473" t="s">
        <v>13987</v>
      </c>
      <c r="C4340" s="473" t="s">
        <v>40</v>
      </c>
      <c r="D4340" s="473" t="s">
        <v>41</v>
      </c>
      <c r="E4340" s="361">
        <v>504.55</v>
      </c>
    </row>
    <row r="4341" spans="1:5">
      <c r="A4341" s="473">
        <v>10423</v>
      </c>
      <c r="B4341" s="473" t="s">
        <v>13988</v>
      </c>
      <c r="C4341" s="473" t="s">
        <v>40</v>
      </c>
      <c r="D4341" s="473" t="s">
        <v>41</v>
      </c>
      <c r="E4341" s="361">
        <v>312.94</v>
      </c>
    </row>
    <row r="4342" spans="1:5">
      <c r="A4342" s="473">
        <v>37589</v>
      </c>
      <c r="B4342" s="473" t="s">
        <v>13989</v>
      </c>
      <c r="C4342" s="473" t="s">
        <v>40</v>
      </c>
      <c r="D4342" s="473" t="s">
        <v>41</v>
      </c>
      <c r="E4342" s="361">
        <v>236.22</v>
      </c>
    </row>
    <row r="4343" spans="1:5">
      <c r="A4343" s="473">
        <v>11690</v>
      </c>
      <c r="B4343" s="473" t="s">
        <v>13990</v>
      </c>
      <c r="C4343" s="473" t="s">
        <v>40</v>
      </c>
      <c r="D4343" s="473" t="s">
        <v>41</v>
      </c>
      <c r="E4343" s="361">
        <v>125.48</v>
      </c>
    </row>
    <row r="4344" spans="1:5">
      <c r="A4344" s="473">
        <v>20234</v>
      </c>
      <c r="B4344" s="473" t="s">
        <v>13991</v>
      </c>
      <c r="C4344" s="473" t="s">
        <v>40</v>
      </c>
      <c r="D4344" s="473" t="s">
        <v>41</v>
      </c>
      <c r="E4344" s="361">
        <v>158.80000000000001</v>
      </c>
    </row>
    <row r="4345" spans="1:5">
      <c r="A4345" s="473">
        <v>4763</v>
      </c>
      <c r="B4345" s="473" t="s">
        <v>13992</v>
      </c>
      <c r="C4345" s="473" t="s">
        <v>43</v>
      </c>
      <c r="D4345" s="473" t="s">
        <v>41</v>
      </c>
      <c r="E4345" s="361">
        <v>16.61</v>
      </c>
    </row>
    <row r="4346" spans="1:5">
      <c r="A4346" s="473">
        <v>41070</v>
      </c>
      <c r="B4346" s="473" t="s">
        <v>13993</v>
      </c>
      <c r="C4346" s="473" t="s">
        <v>53</v>
      </c>
      <c r="D4346" s="473" t="s">
        <v>41</v>
      </c>
      <c r="E4346" s="361">
        <v>2962.27</v>
      </c>
    </row>
    <row r="4347" spans="1:5">
      <c r="A4347" s="473">
        <v>14583</v>
      </c>
      <c r="B4347" s="473" t="s">
        <v>13994</v>
      </c>
      <c r="C4347" s="473" t="s">
        <v>45</v>
      </c>
      <c r="D4347" s="473" t="s">
        <v>41</v>
      </c>
      <c r="E4347" s="361">
        <v>12.86</v>
      </c>
    </row>
    <row r="4348" spans="1:5">
      <c r="A4348" s="473">
        <v>11457</v>
      </c>
      <c r="B4348" s="473" t="s">
        <v>13995</v>
      </c>
      <c r="C4348" s="473" t="s">
        <v>40</v>
      </c>
      <c r="D4348" s="473" t="s">
        <v>41</v>
      </c>
      <c r="E4348" s="361">
        <v>24.64</v>
      </c>
    </row>
    <row r="4349" spans="1:5">
      <c r="A4349" s="473">
        <v>21121</v>
      </c>
      <c r="B4349" s="473" t="s">
        <v>13996</v>
      </c>
      <c r="C4349" s="473" t="s">
        <v>40</v>
      </c>
      <c r="D4349" s="473" t="s">
        <v>41</v>
      </c>
      <c r="E4349" s="361">
        <v>1.61</v>
      </c>
    </row>
    <row r="4350" spans="1:5">
      <c r="A4350" s="473">
        <v>38010</v>
      </c>
      <c r="B4350" s="473" t="s">
        <v>13997</v>
      </c>
      <c r="C4350" s="473" t="s">
        <v>40</v>
      </c>
      <c r="D4350" s="473" t="s">
        <v>41</v>
      </c>
      <c r="E4350" s="361">
        <v>2.63</v>
      </c>
    </row>
    <row r="4351" spans="1:5">
      <c r="A4351" s="473">
        <v>38011</v>
      </c>
      <c r="B4351" s="473" t="s">
        <v>13998</v>
      </c>
      <c r="C4351" s="473" t="s">
        <v>40</v>
      </c>
      <c r="D4351" s="473" t="s">
        <v>41</v>
      </c>
      <c r="E4351" s="361">
        <v>4.8600000000000003</v>
      </c>
    </row>
    <row r="4352" spans="1:5">
      <c r="A4352" s="473">
        <v>38012</v>
      </c>
      <c r="B4352" s="473" t="s">
        <v>13999</v>
      </c>
      <c r="C4352" s="473" t="s">
        <v>40</v>
      </c>
      <c r="D4352" s="473" t="s">
        <v>41</v>
      </c>
      <c r="E4352" s="361">
        <v>16.600000000000001</v>
      </c>
    </row>
    <row r="4353" spans="1:5">
      <c r="A4353" s="473">
        <v>38013</v>
      </c>
      <c r="B4353" s="473" t="s">
        <v>14000</v>
      </c>
      <c r="C4353" s="473" t="s">
        <v>40</v>
      </c>
      <c r="D4353" s="473" t="s">
        <v>41</v>
      </c>
      <c r="E4353" s="361">
        <v>21.55</v>
      </c>
    </row>
    <row r="4354" spans="1:5">
      <c r="A4354" s="473">
        <v>38014</v>
      </c>
      <c r="B4354" s="473" t="s">
        <v>14001</v>
      </c>
      <c r="C4354" s="473" t="s">
        <v>40</v>
      </c>
      <c r="D4354" s="473" t="s">
        <v>41</v>
      </c>
      <c r="E4354" s="361">
        <v>35.07</v>
      </c>
    </row>
    <row r="4355" spans="1:5">
      <c r="A4355" s="473">
        <v>38015</v>
      </c>
      <c r="B4355" s="473" t="s">
        <v>14002</v>
      </c>
      <c r="C4355" s="473" t="s">
        <v>40</v>
      </c>
      <c r="D4355" s="473" t="s">
        <v>41</v>
      </c>
      <c r="E4355" s="361">
        <v>84.7</v>
      </c>
    </row>
    <row r="4356" spans="1:5">
      <c r="A4356" s="473">
        <v>38016</v>
      </c>
      <c r="B4356" s="473" t="s">
        <v>14003</v>
      </c>
      <c r="C4356" s="473" t="s">
        <v>40</v>
      </c>
      <c r="D4356" s="473" t="s">
        <v>41</v>
      </c>
      <c r="E4356" s="361">
        <v>103.05</v>
      </c>
    </row>
    <row r="4357" spans="1:5">
      <c r="A4357" s="473">
        <v>12741</v>
      </c>
      <c r="B4357" s="473" t="s">
        <v>14004</v>
      </c>
      <c r="C4357" s="473" t="s">
        <v>40</v>
      </c>
      <c r="D4357" s="473" t="s">
        <v>47</v>
      </c>
      <c r="E4357" s="361">
        <v>805.82</v>
      </c>
    </row>
    <row r="4358" spans="1:5">
      <c r="A4358" s="473">
        <v>12733</v>
      </c>
      <c r="B4358" s="473" t="s">
        <v>14005</v>
      </c>
      <c r="C4358" s="473" t="s">
        <v>40</v>
      </c>
      <c r="D4358" s="473" t="s">
        <v>47</v>
      </c>
      <c r="E4358" s="361">
        <v>4.05</v>
      </c>
    </row>
    <row r="4359" spans="1:5">
      <c r="A4359" s="473">
        <v>12734</v>
      </c>
      <c r="B4359" s="473" t="s">
        <v>14006</v>
      </c>
      <c r="C4359" s="473" t="s">
        <v>40</v>
      </c>
      <c r="D4359" s="473" t="s">
        <v>47</v>
      </c>
      <c r="E4359" s="361">
        <v>8.64</v>
      </c>
    </row>
    <row r="4360" spans="1:5">
      <c r="A4360" s="473">
        <v>12735</v>
      </c>
      <c r="B4360" s="473" t="s">
        <v>14007</v>
      </c>
      <c r="C4360" s="473" t="s">
        <v>40</v>
      </c>
      <c r="D4360" s="473" t="s">
        <v>47</v>
      </c>
      <c r="E4360" s="361">
        <v>14.21</v>
      </c>
    </row>
    <row r="4361" spans="1:5">
      <c r="A4361" s="473">
        <v>12736</v>
      </c>
      <c r="B4361" s="473" t="s">
        <v>14008</v>
      </c>
      <c r="C4361" s="473" t="s">
        <v>40</v>
      </c>
      <c r="D4361" s="473" t="s">
        <v>47</v>
      </c>
      <c r="E4361" s="361">
        <v>32.5</v>
      </c>
    </row>
    <row r="4362" spans="1:5">
      <c r="A4362" s="473">
        <v>12737</v>
      </c>
      <c r="B4362" s="473" t="s">
        <v>14009</v>
      </c>
      <c r="C4362" s="473" t="s">
        <v>40</v>
      </c>
      <c r="D4362" s="473" t="s">
        <v>47</v>
      </c>
      <c r="E4362" s="361">
        <v>41.87</v>
      </c>
    </row>
    <row r="4363" spans="1:5">
      <c r="A4363" s="473">
        <v>12738</v>
      </c>
      <c r="B4363" s="473" t="s">
        <v>14010</v>
      </c>
      <c r="C4363" s="473" t="s">
        <v>40</v>
      </c>
      <c r="D4363" s="473" t="s">
        <v>47</v>
      </c>
      <c r="E4363" s="361">
        <v>82.75</v>
      </c>
    </row>
    <row r="4364" spans="1:5">
      <c r="A4364" s="473">
        <v>12739</v>
      </c>
      <c r="B4364" s="473" t="s">
        <v>14011</v>
      </c>
      <c r="C4364" s="473" t="s">
        <v>40</v>
      </c>
      <c r="D4364" s="473" t="s">
        <v>47</v>
      </c>
      <c r="E4364" s="361">
        <v>235.56</v>
      </c>
    </row>
    <row r="4365" spans="1:5">
      <c r="A4365" s="473">
        <v>12740</v>
      </c>
      <c r="B4365" s="473" t="s">
        <v>14012</v>
      </c>
      <c r="C4365" s="473" t="s">
        <v>40</v>
      </c>
      <c r="D4365" s="473" t="s">
        <v>47</v>
      </c>
      <c r="E4365" s="361">
        <v>368.55</v>
      </c>
    </row>
    <row r="4366" spans="1:5">
      <c r="A4366" s="473">
        <v>6297</v>
      </c>
      <c r="B4366" s="473" t="s">
        <v>14013</v>
      </c>
      <c r="C4366" s="473" t="s">
        <v>40</v>
      </c>
      <c r="D4366" s="473" t="s">
        <v>41</v>
      </c>
      <c r="E4366" s="361">
        <v>23.35</v>
      </c>
    </row>
    <row r="4367" spans="1:5">
      <c r="A4367" s="473">
        <v>6296</v>
      </c>
      <c r="B4367" s="473" t="s">
        <v>14014</v>
      </c>
      <c r="C4367" s="473" t="s">
        <v>40</v>
      </c>
      <c r="D4367" s="473" t="s">
        <v>41</v>
      </c>
      <c r="E4367" s="361">
        <v>18.43</v>
      </c>
    </row>
    <row r="4368" spans="1:5">
      <c r="A4368" s="473">
        <v>6294</v>
      </c>
      <c r="B4368" s="473" t="s">
        <v>14015</v>
      </c>
      <c r="C4368" s="473" t="s">
        <v>40</v>
      </c>
      <c r="D4368" s="473" t="s">
        <v>41</v>
      </c>
      <c r="E4368" s="361">
        <v>5.25</v>
      </c>
    </row>
    <row r="4369" spans="1:5">
      <c r="A4369" s="473">
        <v>6323</v>
      </c>
      <c r="B4369" s="473" t="s">
        <v>14016</v>
      </c>
      <c r="C4369" s="473" t="s">
        <v>40</v>
      </c>
      <c r="D4369" s="473" t="s">
        <v>41</v>
      </c>
      <c r="E4369" s="361">
        <v>12.04</v>
      </c>
    </row>
    <row r="4370" spans="1:5">
      <c r="A4370" s="473">
        <v>6299</v>
      </c>
      <c r="B4370" s="473" t="s">
        <v>14017</v>
      </c>
      <c r="C4370" s="473" t="s">
        <v>40</v>
      </c>
      <c r="D4370" s="473" t="s">
        <v>41</v>
      </c>
      <c r="E4370" s="361">
        <v>70.239999999999995</v>
      </c>
    </row>
    <row r="4371" spans="1:5">
      <c r="A4371" s="473">
        <v>6298</v>
      </c>
      <c r="B4371" s="473" t="s">
        <v>14018</v>
      </c>
      <c r="C4371" s="473" t="s">
        <v>40</v>
      </c>
      <c r="D4371" s="473" t="s">
        <v>41</v>
      </c>
      <c r="E4371" s="361">
        <v>36.99</v>
      </c>
    </row>
    <row r="4372" spans="1:5">
      <c r="A4372" s="473">
        <v>6295</v>
      </c>
      <c r="B4372" s="473" t="s">
        <v>14019</v>
      </c>
      <c r="C4372" s="473" t="s">
        <v>40</v>
      </c>
      <c r="D4372" s="473" t="s">
        <v>41</v>
      </c>
      <c r="E4372" s="361">
        <v>7.48</v>
      </c>
    </row>
    <row r="4373" spans="1:5">
      <c r="A4373" s="473">
        <v>6322</v>
      </c>
      <c r="B4373" s="473" t="s">
        <v>14020</v>
      </c>
      <c r="C4373" s="473" t="s">
        <v>40</v>
      </c>
      <c r="D4373" s="473" t="s">
        <v>41</v>
      </c>
      <c r="E4373" s="361">
        <v>94.08</v>
      </c>
    </row>
    <row r="4374" spans="1:5">
      <c r="A4374" s="473">
        <v>6300</v>
      </c>
      <c r="B4374" s="473" t="s">
        <v>14021</v>
      </c>
      <c r="C4374" s="473" t="s">
        <v>40</v>
      </c>
      <c r="D4374" s="473" t="s">
        <v>41</v>
      </c>
      <c r="E4374" s="361">
        <v>173.45</v>
      </c>
    </row>
    <row r="4375" spans="1:5">
      <c r="A4375" s="473">
        <v>6321</v>
      </c>
      <c r="B4375" s="473" t="s">
        <v>14022</v>
      </c>
      <c r="C4375" s="473" t="s">
        <v>40</v>
      </c>
      <c r="D4375" s="473" t="s">
        <v>41</v>
      </c>
      <c r="E4375" s="361">
        <v>247.77</v>
      </c>
    </row>
    <row r="4376" spans="1:5">
      <c r="A4376" s="473">
        <v>6301</v>
      </c>
      <c r="B4376" s="473" t="s">
        <v>14023</v>
      </c>
      <c r="C4376" s="473" t="s">
        <v>40</v>
      </c>
      <c r="D4376" s="473" t="s">
        <v>41</v>
      </c>
      <c r="E4376" s="361">
        <v>580.75</v>
      </c>
    </row>
    <row r="4377" spans="1:5">
      <c r="A4377" s="473">
        <v>7105</v>
      </c>
      <c r="B4377" s="473" t="s">
        <v>14024</v>
      </c>
      <c r="C4377" s="473" t="s">
        <v>40</v>
      </c>
      <c r="D4377" s="473" t="s">
        <v>41</v>
      </c>
      <c r="E4377" s="361">
        <v>23.35</v>
      </c>
    </row>
    <row r="4378" spans="1:5">
      <c r="A4378" s="473">
        <v>20183</v>
      </c>
      <c r="B4378" s="473" t="s">
        <v>14025</v>
      </c>
      <c r="C4378" s="473" t="s">
        <v>40</v>
      </c>
      <c r="D4378" s="473" t="s">
        <v>41</v>
      </c>
      <c r="E4378" s="361">
        <v>30.74</v>
      </c>
    </row>
    <row r="4379" spans="1:5">
      <c r="A4379" s="473">
        <v>38448</v>
      </c>
      <c r="B4379" s="473" t="s">
        <v>14026</v>
      </c>
      <c r="C4379" s="473" t="s">
        <v>40</v>
      </c>
      <c r="D4379" s="473" t="s">
        <v>41</v>
      </c>
      <c r="E4379" s="361">
        <v>144.44999999999999</v>
      </c>
    </row>
    <row r="4380" spans="1:5">
      <c r="A4380" s="473">
        <v>20182</v>
      </c>
      <c r="B4380" s="473" t="s">
        <v>14027</v>
      </c>
      <c r="C4380" s="473" t="s">
        <v>40</v>
      </c>
      <c r="D4380" s="473" t="s">
        <v>41</v>
      </c>
      <c r="E4380" s="361">
        <v>17.55</v>
      </c>
    </row>
    <row r="4381" spans="1:5">
      <c r="A4381" s="473">
        <v>7119</v>
      </c>
      <c r="B4381" s="473" t="s">
        <v>14028</v>
      </c>
      <c r="C4381" s="473" t="s">
        <v>40</v>
      </c>
      <c r="D4381" s="473" t="s">
        <v>41</v>
      </c>
      <c r="E4381" s="361">
        <v>6.68</v>
      </c>
    </row>
    <row r="4382" spans="1:5">
      <c r="A4382" s="473">
        <v>7120</v>
      </c>
      <c r="B4382" s="473" t="s">
        <v>14029</v>
      </c>
      <c r="C4382" s="473" t="s">
        <v>40</v>
      </c>
      <c r="D4382" s="473" t="s">
        <v>41</v>
      </c>
      <c r="E4382" s="361">
        <v>4.58</v>
      </c>
    </row>
    <row r="4383" spans="1:5">
      <c r="A4383" s="473">
        <v>6319</v>
      </c>
      <c r="B4383" s="473" t="s">
        <v>14030</v>
      </c>
      <c r="C4383" s="473" t="s">
        <v>40</v>
      </c>
      <c r="D4383" s="473" t="s">
        <v>41</v>
      </c>
      <c r="E4383" s="361">
        <v>27.44</v>
      </c>
    </row>
    <row r="4384" spans="1:5">
      <c r="A4384" s="473">
        <v>6304</v>
      </c>
      <c r="B4384" s="473" t="s">
        <v>14031</v>
      </c>
      <c r="C4384" s="473" t="s">
        <v>40</v>
      </c>
      <c r="D4384" s="473" t="s">
        <v>41</v>
      </c>
      <c r="E4384" s="361">
        <v>27.44</v>
      </c>
    </row>
    <row r="4385" spans="1:5">
      <c r="A4385" s="473">
        <v>21116</v>
      </c>
      <c r="B4385" s="473" t="s">
        <v>14032</v>
      </c>
      <c r="C4385" s="473" t="s">
        <v>40</v>
      </c>
      <c r="D4385" s="473" t="s">
        <v>41</v>
      </c>
      <c r="E4385" s="361">
        <v>20.77</v>
      </c>
    </row>
    <row r="4386" spans="1:5">
      <c r="A4386" s="473">
        <v>6320</v>
      </c>
      <c r="B4386" s="473" t="s">
        <v>14033</v>
      </c>
      <c r="C4386" s="473" t="s">
        <v>40</v>
      </c>
      <c r="D4386" s="473" t="s">
        <v>41</v>
      </c>
      <c r="E4386" s="361">
        <v>14.13</v>
      </c>
    </row>
    <row r="4387" spans="1:5">
      <c r="A4387" s="473">
        <v>6303</v>
      </c>
      <c r="B4387" s="473" t="s">
        <v>14034</v>
      </c>
      <c r="C4387" s="473" t="s">
        <v>40</v>
      </c>
      <c r="D4387" s="473" t="s">
        <v>41</v>
      </c>
      <c r="E4387" s="361">
        <v>14.13</v>
      </c>
    </row>
    <row r="4388" spans="1:5">
      <c r="A4388" s="473">
        <v>6308</v>
      </c>
      <c r="B4388" s="473" t="s">
        <v>14035</v>
      </c>
      <c r="C4388" s="473" t="s">
        <v>40</v>
      </c>
      <c r="D4388" s="473" t="s">
        <v>41</v>
      </c>
      <c r="E4388" s="361">
        <v>75.92</v>
      </c>
    </row>
    <row r="4389" spans="1:5">
      <c r="A4389" s="473">
        <v>6317</v>
      </c>
      <c r="B4389" s="473" t="s">
        <v>14036</v>
      </c>
      <c r="C4389" s="473" t="s">
        <v>40</v>
      </c>
      <c r="D4389" s="473" t="s">
        <v>41</v>
      </c>
      <c r="E4389" s="361">
        <v>75.92</v>
      </c>
    </row>
    <row r="4390" spans="1:5">
      <c r="A4390" s="473">
        <v>6307</v>
      </c>
      <c r="B4390" s="473" t="s">
        <v>14037</v>
      </c>
      <c r="C4390" s="473" t="s">
        <v>40</v>
      </c>
      <c r="D4390" s="473" t="s">
        <v>41</v>
      </c>
      <c r="E4390" s="361">
        <v>75.92</v>
      </c>
    </row>
    <row r="4391" spans="1:5">
      <c r="A4391" s="473">
        <v>6309</v>
      </c>
      <c r="B4391" s="473" t="s">
        <v>14038</v>
      </c>
      <c r="C4391" s="473" t="s">
        <v>40</v>
      </c>
      <c r="D4391" s="473" t="s">
        <v>41</v>
      </c>
      <c r="E4391" s="361">
        <v>78.13</v>
      </c>
    </row>
    <row r="4392" spans="1:5">
      <c r="A4392" s="473">
        <v>6318</v>
      </c>
      <c r="B4392" s="473" t="s">
        <v>14039</v>
      </c>
      <c r="C4392" s="473" t="s">
        <v>40</v>
      </c>
      <c r="D4392" s="473" t="s">
        <v>41</v>
      </c>
      <c r="E4392" s="361">
        <v>40.950000000000003</v>
      </c>
    </row>
    <row r="4393" spans="1:5">
      <c r="A4393" s="473">
        <v>6306</v>
      </c>
      <c r="B4393" s="473" t="s">
        <v>14040</v>
      </c>
      <c r="C4393" s="473" t="s">
        <v>40</v>
      </c>
      <c r="D4393" s="473" t="s">
        <v>41</v>
      </c>
      <c r="E4393" s="361">
        <v>40.950000000000003</v>
      </c>
    </row>
    <row r="4394" spans="1:5">
      <c r="A4394" s="473">
        <v>6305</v>
      </c>
      <c r="B4394" s="473" t="s">
        <v>14041</v>
      </c>
      <c r="C4394" s="473" t="s">
        <v>40</v>
      </c>
      <c r="D4394" s="473" t="s">
        <v>41</v>
      </c>
      <c r="E4394" s="361">
        <v>40.950000000000003</v>
      </c>
    </row>
    <row r="4395" spans="1:5">
      <c r="A4395" s="473">
        <v>6302</v>
      </c>
      <c r="B4395" s="473" t="s">
        <v>14042</v>
      </c>
      <c r="C4395" s="473" t="s">
        <v>40</v>
      </c>
      <c r="D4395" s="473" t="s">
        <v>41</v>
      </c>
      <c r="E4395" s="361">
        <v>8.68</v>
      </c>
    </row>
    <row r="4396" spans="1:5">
      <c r="A4396" s="473">
        <v>6312</v>
      </c>
      <c r="B4396" s="473" t="s">
        <v>14043</v>
      </c>
      <c r="C4396" s="473" t="s">
        <v>40</v>
      </c>
      <c r="D4396" s="473" t="s">
        <v>41</v>
      </c>
      <c r="E4396" s="361">
        <v>109.21</v>
      </c>
    </row>
    <row r="4397" spans="1:5">
      <c r="A4397" s="473">
        <v>6311</v>
      </c>
      <c r="B4397" s="473" t="s">
        <v>14044</v>
      </c>
      <c r="C4397" s="473" t="s">
        <v>40</v>
      </c>
      <c r="D4397" s="473" t="s">
        <v>41</v>
      </c>
      <c r="E4397" s="361">
        <v>109.21</v>
      </c>
    </row>
    <row r="4398" spans="1:5">
      <c r="A4398" s="473">
        <v>6310</v>
      </c>
      <c r="B4398" s="473" t="s">
        <v>14045</v>
      </c>
      <c r="C4398" s="473" t="s">
        <v>40</v>
      </c>
      <c r="D4398" s="473" t="s">
        <v>41</v>
      </c>
      <c r="E4398" s="361">
        <v>109.21</v>
      </c>
    </row>
    <row r="4399" spans="1:5">
      <c r="A4399" s="473">
        <v>6314</v>
      </c>
      <c r="B4399" s="473" t="s">
        <v>14046</v>
      </c>
      <c r="C4399" s="473" t="s">
        <v>40</v>
      </c>
      <c r="D4399" s="473" t="s">
        <v>41</v>
      </c>
      <c r="E4399" s="361">
        <v>109.21</v>
      </c>
    </row>
    <row r="4400" spans="1:5">
      <c r="A4400" s="473">
        <v>6313</v>
      </c>
      <c r="B4400" s="473" t="s">
        <v>14047</v>
      </c>
      <c r="C4400" s="473" t="s">
        <v>40</v>
      </c>
      <c r="D4400" s="473" t="s">
        <v>41</v>
      </c>
      <c r="E4400" s="361">
        <v>109.21</v>
      </c>
    </row>
    <row r="4401" spans="1:5">
      <c r="A4401" s="473">
        <v>6315</v>
      </c>
      <c r="B4401" s="473" t="s">
        <v>14048</v>
      </c>
      <c r="C4401" s="473" t="s">
        <v>40</v>
      </c>
      <c r="D4401" s="473" t="s">
        <v>41</v>
      </c>
      <c r="E4401" s="361">
        <v>206.78</v>
      </c>
    </row>
    <row r="4402" spans="1:5">
      <c r="A4402" s="473">
        <v>6316</v>
      </c>
      <c r="B4402" s="473" t="s">
        <v>14049</v>
      </c>
      <c r="C4402" s="473" t="s">
        <v>40</v>
      </c>
      <c r="D4402" s="473" t="s">
        <v>41</v>
      </c>
      <c r="E4402" s="361">
        <v>206.78</v>
      </c>
    </row>
    <row r="4403" spans="1:5">
      <c r="A4403" s="473">
        <v>38878</v>
      </c>
      <c r="B4403" s="473" t="s">
        <v>14050</v>
      </c>
      <c r="C4403" s="473" t="s">
        <v>40</v>
      </c>
      <c r="D4403" s="473" t="s">
        <v>47</v>
      </c>
      <c r="E4403" s="361">
        <v>14.61</v>
      </c>
    </row>
    <row r="4404" spans="1:5">
      <c r="A4404" s="473">
        <v>38879</v>
      </c>
      <c r="B4404" s="473" t="s">
        <v>14051</v>
      </c>
      <c r="C4404" s="473" t="s">
        <v>40</v>
      </c>
      <c r="D4404" s="473" t="s">
        <v>47</v>
      </c>
      <c r="E4404" s="361">
        <v>27.39</v>
      </c>
    </row>
    <row r="4405" spans="1:5">
      <c r="A4405" s="473">
        <v>38881</v>
      </c>
      <c r="B4405" s="473" t="s">
        <v>14052</v>
      </c>
      <c r="C4405" s="473" t="s">
        <v>40</v>
      </c>
      <c r="D4405" s="473" t="s">
        <v>47</v>
      </c>
      <c r="E4405" s="361">
        <v>14.33</v>
      </c>
    </row>
    <row r="4406" spans="1:5">
      <c r="A4406" s="473">
        <v>38880</v>
      </c>
      <c r="B4406" s="473" t="s">
        <v>14053</v>
      </c>
      <c r="C4406" s="473" t="s">
        <v>40</v>
      </c>
      <c r="D4406" s="473" t="s">
        <v>47</v>
      </c>
      <c r="E4406" s="361">
        <v>15.02</v>
      </c>
    </row>
    <row r="4407" spans="1:5">
      <c r="A4407" s="473">
        <v>38882</v>
      </c>
      <c r="B4407" s="473" t="s">
        <v>14054</v>
      </c>
      <c r="C4407" s="473" t="s">
        <v>40</v>
      </c>
      <c r="D4407" s="473" t="s">
        <v>47</v>
      </c>
      <c r="E4407" s="361">
        <v>15.55</v>
      </c>
    </row>
    <row r="4408" spans="1:5">
      <c r="A4408" s="473">
        <v>38883</v>
      </c>
      <c r="B4408" s="473" t="s">
        <v>14055</v>
      </c>
      <c r="C4408" s="473" t="s">
        <v>40</v>
      </c>
      <c r="D4408" s="473" t="s">
        <v>47</v>
      </c>
      <c r="E4408" s="361">
        <v>23.01</v>
      </c>
    </row>
    <row r="4409" spans="1:5">
      <c r="A4409" s="473">
        <v>38884</v>
      </c>
      <c r="B4409" s="473" t="s">
        <v>14056</v>
      </c>
      <c r="C4409" s="473" t="s">
        <v>40</v>
      </c>
      <c r="D4409" s="473" t="s">
        <v>47</v>
      </c>
      <c r="E4409" s="361">
        <v>24.97</v>
      </c>
    </row>
    <row r="4410" spans="1:5">
      <c r="A4410" s="473">
        <v>38885</v>
      </c>
      <c r="B4410" s="473" t="s">
        <v>14057</v>
      </c>
      <c r="C4410" s="473" t="s">
        <v>40</v>
      </c>
      <c r="D4410" s="473" t="s">
        <v>47</v>
      </c>
      <c r="E4410" s="361">
        <v>24.16</v>
      </c>
    </row>
    <row r="4411" spans="1:5">
      <c r="A4411" s="473">
        <v>38886</v>
      </c>
      <c r="B4411" s="473" t="s">
        <v>14058</v>
      </c>
      <c r="C4411" s="473" t="s">
        <v>40</v>
      </c>
      <c r="D4411" s="473" t="s">
        <v>47</v>
      </c>
      <c r="E4411" s="361">
        <v>26.07</v>
      </c>
    </row>
    <row r="4412" spans="1:5">
      <c r="A4412" s="473">
        <v>38887</v>
      </c>
      <c r="B4412" s="473" t="s">
        <v>14059</v>
      </c>
      <c r="C4412" s="473" t="s">
        <v>40</v>
      </c>
      <c r="D4412" s="473" t="s">
        <v>47</v>
      </c>
      <c r="E4412" s="361">
        <v>23.42</v>
      </c>
    </row>
    <row r="4413" spans="1:5">
      <c r="A4413" s="473">
        <v>38888</v>
      </c>
      <c r="B4413" s="473" t="s">
        <v>14060</v>
      </c>
      <c r="C4413" s="473" t="s">
        <v>40</v>
      </c>
      <c r="D4413" s="473" t="s">
        <v>47</v>
      </c>
      <c r="E4413" s="361">
        <v>27.84</v>
      </c>
    </row>
    <row r="4414" spans="1:5">
      <c r="A4414" s="473">
        <v>38890</v>
      </c>
      <c r="B4414" s="473" t="s">
        <v>14061</v>
      </c>
      <c r="C4414" s="473" t="s">
        <v>40</v>
      </c>
      <c r="D4414" s="473" t="s">
        <v>47</v>
      </c>
      <c r="E4414" s="361">
        <v>41.38</v>
      </c>
    </row>
    <row r="4415" spans="1:5">
      <c r="A4415" s="473">
        <v>38893</v>
      </c>
      <c r="B4415" s="473" t="s">
        <v>14062</v>
      </c>
      <c r="C4415" s="473" t="s">
        <v>40</v>
      </c>
      <c r="D4415" s="473" t="s">
        <v>47</v>
      </c>
      <c r="E4415" s="361">
        <v>33.28</v>
      </c>
    </row>
    <row r="4416" spans="1:5">
      <c r="A4416" s="473">
        <v>38894</v>
      </c>
      <c r="B4416" s="473" t="s">
        <v>14063</v>
      </c>
      <c r="C4416" s="473" t="s">
        <v>40</v>
      </c>
      <c r="D4416" s="473" t="s">
        <v>47</v>
      </c>
      <c r="E4416" s="361">
        <v>42.27</v>
      </c>
    </row>
    <row r="4417" spans="1:5">
      <c r="A4417" s="473">
        <v>38896</v>
      </c>
      <c r="B4417" s="473" t="s">
        <v>14064</v>
      </c>
      <c r="C4417" s="473" t="s">
        <v>40</v>
      </c>
      <c r="D4417" s="473" t="s">
        <v>47</v>
      </c>
      <c r="E4417" s="361">
        <v>43.1</v>
      </c>
    </row>
    <row r="4418" spans="1:5">
      <c r="A4418" s="473">
        <v>39324</v>
      </c>
      <c r="B4418" s="473" t="s">
        <v>14065</v>
      </c>
      <c r="C4418" s="473" t="s">
        <v>40</v>
      </c>
      <c r="D4418" s="473" t="s">
        <v>41</v>
      </c>
      <c r="E4418" s="361">
        <v>3.57</v>
      </c>
    </row>
    <row r="4419" spans="1:5">
      <c r="A4419" s="473">
        <v>39325</v>
      </c>
      <c r="B4419" s="473" t="s">
        <v>14066</v>
      </c>
      <c r="C4419" s="473" t="s">
        <v>40</v>
      </c>
      <c r="D4419" s="473" t="s">
        <v>41</v>
      </c>
      <c r="E4419" s="361">
        <v>5.4</v>
      </c>
    </row>
    <row r="4420" spans="1:5">
      <c r="A4420" s="473">
        <v>39326</v>
      </c>
      <c r="B4420" s="473" t="s">
        <v>14067</v>
      </c>
      <c r="C4420" s="473" t="s">
        <v>40</v>
      </c>
      <c r="D4420" s="473" t="s">
        <v>41</v>
      </c>
      <c r="E4420" s="361">
        <v>13.91</v>
      </c>
    </row>
    <row r="4421" spans="1:5">
      <c r="A4421" s="473">
        <v>39327</v>
      </c>
      <c r="B4421" s="473" t="s">
        <v>14068</v>
      </c>
      <c r="C4421" s="473" t="s">
        <v>40</v>
      </c>
      <c r="D4421" s="473" t="s">
        <v>41</v>
      </c>
      <c r="E4421" s="361">
        <v>21.07</v>
      </c>
    </row>
    <row r="4422" spans="1:5">
      <c r="A4422" s="473">
        <v>20176</v>
      </c>
      <c r="B4422" s="473" t="s">
        <v>14069</v>
      </c>
      <c r="C4422" s="473" t="s">
        <v>40</v>
      </c>
      <c r="D4422" s="473" t="s">
        <v>41</v>
      </c>
      <c r="E4422" s="361">
        <v>26.49</v>
      </c>
    </row>
    <row r="4423" spans="1:5">
      <c r="A4423" s="473">
        <v>11378</v>
      </c>
      <c r="B4423" s="473" t="s">
        <v>14070</v>
      </c>
      <c r="C4423" s="473" t="s">
        <v>40</v>
      </c>
      <c r="D4423" s="473" t="s">
        <v>47</v>
      </c>
      <c r="E4423" s="361">
        <v>68.2</v>
      </c>
    </row>
    <row r="4424" spans="1:5">
      <c r="A4424" s="473">
        <v>11379</v>
      </c>
      <c r="B4424" s="473" t="s">
        <v>14071</v>
      </c>
      <c r="C4424" s="473" t="s">
        <v>40</v>
      </c>
      <c r="D4424" s="473" t="s">
        <v>47</v>
      </c>
      <c r="E4424" s="361">
        <v>57.63</v>
      </c>
    </row>
    <row r="4425" spans="1:5">
      <c r="A4425" s="473">
        <v>11493</v>
      </c>
      <c r="B4425" s="473" t="s">
        <v>14072</v>
      </c>
      <c r="C4425" s="473" t="s">
        <v>40</v>
      </c>
      <c r="D4425" s="473" t="s">
        <v>47</v>
      </c>
      <c r="E4425" s="361">
        <v>33.24</v>
      </c>
    </row>
    <row r="4426" spans="1:5">
      <c r="A4426" s="473">
        <v>42717</v>
      </c>
      <c r="B4426" s="473" t="s">
        <v>14073</v>
      </c>
      <c r="C4426" s="473" t="s">
        <v>40</v>
      </c>
      <c r="D4426" s="473" t="s">
        <v>47</v>
      </c>
      <c r="E4426" s="361">
        <v>342.5</v>
      </c>
    </row>
    <row r="4427" spans="1:5">
      <c r="A4427" s="473">
        <v>42718</v>
      </c>
      <c r="B4427" s="473" t="s">
        <v>14074</v>
      </c>
      <c r="C4427" s="473" t="s">
        <v>40</v>
      </c>
      <c r="D4427" s="473" t="s">
        <v>47</v>
      </c>
      <c r="E4427" s="361">
        <v>380.24</v>
      </c>
    </row>
    <row r="4428" spans="1:5">
      <c r="A4428" s="473">
        <v>7106</v>
      </c>
      <c r="B4428" s="473" t="s">
        <v>14075</v>
      </c>
      <c r="C4428" s="473" t="s">
        <v>40</v>
      </c>
      <c r="D4428" s="473" t="s">
        <v>41</v>
      </c>
      <c r="E4428" s="361">
        <v>108.68</v>
      </c>
    </row>
    <row r="4429" spans="1:5">
      <c r="A4429" s="473">
        <v>7104</v>
      </c>
      <c r="B4429" s="473" t="s">
        <v>14076</v>
      </c>
      <c r="C4429" s="473" t="s">
        <v>40</v>
      </c>
      <c r="D4429" s="473" t="s">
        <v>41</v>
      </c>
      <c r="E4429" s="361">
        <v>2.2599999999999998</v>
      </c>
    </row>
    <row r="4430" spans="1:5">
      <c r="A4430" s="473">
        <v>7136</v>
      </c>
      <c r="B4430" s="473" t="s">
        <v>14077</v>
      </c>
      <c r="C4430" s="473" t="s">
        <v>40</v>
      </c>
      <c r="D4430" s="473" t="s">
        <v>41</v>
      </c>
      <c r="E4430" s="361">
        <v>4.26</v>
      </c>
    </row>
    <row r="4431" spans="1:5">
      <c r="A4431" s="473">
        <v>7128</v>
      </c>
      <c r="B4431" s="473" t="s">
        <v>14078</v>
      </c>
      <c r="C4431" s="473" t="s">
        <v>40</v>
      </c>
      <c r="D4431" s="473" t="s">
        <v>41</v>
      </c>
      <c r="E4431" s="361">
        <v>6.98</v>
      </c>
    </row>
    <row r="4432" spans="1:5">
      <c r="A4432" s="473">
        <v>7108</v>
      </c>
      <c r="B4432" s="473" t="s">
        <v>14079</v>
      </c>
      <c r="C4432" s="473" t="s">
        <v>40</v>
      </c>
      <c r="D4432" s="473" t="s">
        <v>41</v>
      </c>
      <c r="E4432" s="361">
        <v>7.47</v>
      </c>
    </row>
    <row r="4433" spans="1:5">
      <c r="A4433" s="473">
        <v>7129</v>
      </c>
      <c r="B4433" s="473" t="s">
        <v>14080</v>
      </c>
      <c r="C4433" s="473" t="s">
        <v>40</v>
      </c>
      <c r="D4433" s="473" t="s">
        <v>41</v>
      </c>
      <c r="E4433" s="361">
        <v>6.21</v>
      </c>
    </row>
    <row r="4434" spans="1:5">
      <c r="A4434" s="473">
        <v>7130</v>
      </c>
      <c r="B4434" s="473" t="s">
        <v>14081</v>
      </c>
      <c r="C4434" s="473" t="s">
        <v>40</v>
      </c>
      <c r="D4434" s="473" t="s">
        <v>41</v>
      </c>
      <c r="E4434" s="361">
        <v>10.130000000000001</v>
      </c>
    </row>
    <row r="4435" spans="1:5">
      <c r="A4435" s="473">
        <v>7131</v>
      </c>
      <c r="B4435" s="473" t="s">
        <v>14082</v>
      </c>
      <c r="C4435" s="473" t="s">
        <v>40</v>
      </c>
      <c r="D4435" s="473" t="s">
        <v>41</v>
      </c>
      <c r="E4435" s="361">
        <v>12.42</v>
      </c>
    </row>
    <row r="4436" spans="1:5">
      <c r="A4436" s="473">
        <v>7132</v>
      </c>
      <c r="B4436" s="473" t="s">
        <v>14083</v>
      </c>
      <c r="C4436" s="473" t="s">
        <v>40</v>
      </c>
      <c r="D4436" s="473" t="s">
        <v>41</v>
      </c>
      <c r="E4436" s="361">
        <v>34.49</v>
      </c>
    </row>
    <row r="4437" spans="1:5">
      <c r="A4437" s="473">
        <v>7133</v>
      </c>
      <c r="B4437" s="473" t="s">
        <v>14084</v>
      </c>
      <c r="C4437" s="473" t="s">
        <v>40</v>
      </c>
      <c r="D4437" s="473" t="s">
        <v>41</v>
      </c>
      <c r="E4437" s="361">
        <v>53.57</v>
      </c>
    </row>
    <row r="4438" spans="1:5">
      <c r="A4438" s="473">
        <v>37420</v>
      </c>
      <c r="B4438" s="473" t="s">
        <v>14085</v>
      </c>
      <c r="C4438" s="473" t="s">
        <v>40</v>
      </c>
      <c r="D4438" s="473" t="s">
        <v>47</v>
      </c>
      <c r="E4438" s="361">
        <v>31.21</v>
      </c>
    </row>
    <row r="4439" spans="1:5">
      <c r="A4439" s="473">
        <v>37421</v>
      </c>
      <c r="B4439" s="473" t="s">
        <v>14086</v>
      </c>
      <c r="C4439" s="473" t="s">
        <v>40</v>
      </c>
      <c r="D4439" s="473" t="s">
        <v>47</v>
      </c>
      <c r="E4439" s="361">
        <v>42.65</v>
      </c>
    </row>
    <row r="4440" spans="1:5">
      <c r="A4440" s="473">
        <v>37422</v>
      </c>
      <c r="B4440" s="473" t="s">
        <v>14087</v>
      </c>
      <c r="C4440" s="473" t="s">
        <v>40</v>
      </c>
      <c r="D4440" s="473" t="s">
        <v>47</v>
      </c>
      <c r="E4440" s="361">
        <v>39.92</v>
      </c>
    </row>
    <row r="4441" spans="1:5">
      <c r="A4441" s="473">
        <v>37443</v>
      </c>
      <c r="B4441" s="473" t="s">
        <v>14088</v>
      </c>
      <c r="C4441" s="473" t="s">
        <v>40</v>
      </c>
      <c r="D4441" s="473" t="s">
        <v>47</v>
      </c>
      <c r="E4441" s="361">
        <v>121.1</v>
      </c>
    </row>
    <row r="4442" spans="1:5">
      <c r="A4442" s="473">
        <v>37444</v>
      </c>
      <c r="B4442" s="473" t="s">
        <v>14089</v>
      </c>
      <c r="C4442" s="473" t="s">
        <v>40</v>
      </c>
      <c r="D4442" s="473" t="s">
        <v>47</v>
      </c>
      <c r="E4442" s="361">
        <v>123.15</v>
      </c>
    </row>
    <row r="4443" spans="1:5">
      <c r="A4443" s="473">
        <v>37445</v>
      </c>
      <c r="B4443" s="473" t="s">
        <v>14090</v>
      </c>
      <c r="C4443" s="473" t="s">
        <v>40</v>
      </c>
      <c r="D4443" s="473" t="s">
        <v>47</v>
      </c>
      <c r="E4443" s="361">
        <v>186.67</v>
      </c>
    </row>
    <row r="4444" spans="1:5">
      <c r="A4444" s="473">
        <v>37446</v>
      </c>
      <c r="B4444" s="473" t="s">
        <v>14091</v>
      </c>
      <c r="C4444" s="473" t="s">
        <v>40</v>
      </c>
      <c r="D4444" s="473" t="s">
        <v>47</v>
      </c>
      <c r="E4444" s="361">
        <v>203.5</v>
      </c>
    </row>
    <row r="4445" spans="1:5">
      <c r="A4445" s="473">
        <v>37447</v>
      </c>
      <c r="B4445" s="473" t="s">
        <v>14092</v>
      </c>
      <c r="C4445" s="473" t="s">
        <v>40</v>
      </c>
      <c r="D4445" s="473" t="s">
        <v>47</v>
      </c>
      <c r="E4445" s="361">
        <v>206.68</v>
      </c>
    </row>
    <row r="4446" spans="1:5">
      <c r="A4446" s="473">
        <v>37448</v>
      </c>
      <c r="B4446" s="473" t="s">
        <v>14093</v>
      </c>
      <c r="C4446" s="473" t="s">
        <v>40</v>
      </c>
      <c r="D4446" s="473" t="s">
        <v>47</v>
      </c>
      <c r="E4446" s="361">
        <v>283.5</v>
      </c>
    </row>
    <row r="4447" spans="1:5">
      <c r="A4447" s="473">
        <v>37440</v>
      </c>
      <c r="B4447" s="473" t="s">
        <v>14094</v>
      </c>
      <c r="C4447" s="473" t="s">
        <v>40</v>
      </c>
      <c r="D4447" s="473" t="s">
        <v>47</v>
      </c>
      <c r="E4447" s="361">
        <v>96.12</v>
      </c>
    </row>
    <row r="4448" spans="1:5">
      <c r="A4448" s="473">
        <v>37441</v>
      </c>
      <c r="B4448" s="473" t="s">
        <v>14095</v>
      </c>
      <c r="C4448" s="473" t="s">
        <v>40</v>
      </c>
      <c r="D4448" s="473" t="s">
        <v>47</v>
      </c>
      <c r="E4448" s="361">
        <v>96.12</v>
      </c>
    </row>
    <row r="4449" spans="1:5">
      <c r="A4449" s="473">
        <v>37442</v>
      </c>
      <c r="B4449" s="473" t="s">
        <v>14096</v>
      </c>
      <c r="C4449" s="473" t="s">
        <v>40</v>
      </c>
      <c r="D4449" s="473" t="s">
        <v>47</v>
      </c>
      <c r="E4449" s="361">
        <v>115.77</v>
      </c>
    </row>
    <row r="4450" spans="1:5">
      <c r="A4450" s="473">
        <v>38017</v>
      </c>
      <c r="B4450" s="473" t="s">
        <v>14097</v>
      </c>
      <c r="C4450" s="473" t="s">
        <v>40</v>
      </c>
      <c r="D4450" s="473" t="s">
        <v>41</v>
      </c>
      <c r="E4450" s="361">
        <v>5.07</v>
      </c>
    </row>
    <row r="4451" spans="1:5">
      <c r="A4451" s="473">
        <v>38018</v>
      </c>
      <c r="B4451" s="473" t="s">
        <v>14098</v>
      </c>
      <c r="C4451" s="473" t="s">
        <v>40</v>
      </c>
      <c r="D4451" s="473" t="s">
        <v>41</v>
      </c>
      <c r="E4451" s="361">
        <v>5.6</v>
      </c>
    </row>
    <row r="4452" spans="1:5">
      <c r="A4452" s="473">
        <v>39895</v>
      </c>
      <c r="B4452" s="473" t="s">
        <v>14099</v>
      </c>
      <c r="C4452" s="473" t="s">
        <v>40</v>
      </c>
      <c r="D4452" s="473" t="s">
        <v>47</v>
      </c>
      <c r="E4452" s="361">
        <v>29.27</v>
      </c>
    </row>
    <row r="4453" spans="1:5">
      <c r="A4453" s="473">
        <v>39896</v>
      </c>
      <c r="B4453" s="473" t="s">
        <v>14100</v>
      </c>
      <c r="C4453" s="473" t="s">
        <v>40</v>
      </c>
      <c r="D4453" s="473" t="s">
        <v>47</v>
      </c>
      <c r="E4453" s="361">
        <v>42.9</v>
      </c>
    </row>
    <row r="4454" spans="1:5">
      <c r="A4454" s="473">
        <v>38873</v>
      </c>
      <c r="B4454" s="473" t="s">
        <v>14101</v>
      </c>
      <c r="C4454" s="473" t="s">
        <v>40</v>
      </c>
      <c r="D4454" s="473" t="s">
        <v>47</v>
      </c>
      <c r="E4454" s="361">
        <v>12.96</v>
      </c>
    </row>
    <row r="4455" spans="1:5">
      <c r="A4455" s="473">
        <v>38874</v>
      </c>
      <c r="B4455" s="473" t="s">
        <v>14102</v>
      </c>
      <c r="C4455" s="473" t="s">
        <v>40</v>
      </c>
      <c r="D4455" s="473" t="s">
        <v>47</v>
      </c>
      <c r="E4455" s="361">
        <v>15.76</v>
      </c>
    </row>
    <row r="4456" spans="1:5">
      <c r="A4456" s="473">
        <v>38875</v>
      </c>
      <c r="B4456" s="473" t="s">
        <v>14103</v>
      </c>
      <c r="C4456" s="473" t="s">
        <v>40</v>
      </c>
      <c r="D4456" s="473" t="s">
        <v>47</v>
      </c>
      <c r="E4456" s="361">
        <v>27.85</v>
      </c>
    </row>
    <row r="4457" spans="1:5">
      <c r="A4457" s="473">
        <v>38876</v>
      </c>
      <c r="B4457" s="473" t="s">
        <v>14104</v>
      </c>
      <c r="C4457" s="473" t="s">
        <v>40</v>
      </c>
      <c r="D4457" s="473" t="s">
        <v>47</v>
      </c>
      <c r="E4457" s="361">
        <v>37.479999999999997</v>
      </c>
    </row>
    <row r="4458" spans="1:5">
      <c r="A4458" s="473">
        <v>39000</v>
      </c>
      <c r="B4458" s="473" t="s">
        <v>14105</v>
      </c>
      <c r="C4458" s="473" t="s">
        <v>40</v>
      </c>
      <c r="D4458" s="473" t="s">
        <v>47</v>
      </c>
      <c r="E4458" s="361">
        <v>22.54</v>
      </c>
    </row>
    <row r="4459" spans="1:5">
      <c r="A4459" s="473">
        <v>38674</v>
      </c>
      <c r="B4459" s="473" t="s">
        <v>14106</v>
      </c>
      <c r="C4459" s="473" t="s">
        <v>40</v>
      </c>
      <c r="D4459" s="473" t="s">
        <v>41</v>
      </c>
      <c r="E4459" s="361">
        <v>17.649999999999999</v>
      </c>
    </row>
    <row r="4460" spans="1:5">
      <c r="A4460" s="473">
        <v>38911</v>
      </c>
      <c r="B4460" s="473" t="s">
        <v>14107</v>
      </c>
      <c r="C4460" s="473" t="s">
        <v>40</v>
      </c>
      <c r="D4460" s="473" t="s">
        <v>47</v>
      </c>
      <c r="E4460" s="361">
        <v>46.48</v>
      </c>
    </row>
    <row r="4461" spans="1:5">
      <c r="A4461" s="473">
        <v>38912</v>
      </c>
      <c r="B4461" s="473" t="s">
        <v>14108</v>
      </c>
      <c r="C4461" s="473" t="s">
        <v>40</v>
      </c>
      <c r="D4461" s="473" t="s">
        <v>47</v>
      </c>
      <c r="E4461" s="361">
        <v>59.07</v>
      </c>
    </row>
    <row r="4462" spans="1:5">
      <c r="A4462" s="473">
        <v>38019</v>
      </c>
      <c r="B4462" s="473" t="s">
        <v>14109</v>
      </c>
      <c r="C4462" s="473" t="s">
        <v>40</v>
      </c>
      <c r="D4462" s="473" t="s">
        <v>41</v>
      </c>
      <c r="E4462" s="361">
        <v>4.42</v>
      </c>
    </row>
    <row r="4463" spans="1:5">
      <c r="A4463" s="473">
        <v>38020</v>
      </c>
      <c r="B4463" s="473" t="s">
        <v>14110</v>
      </c>
      <c r="C4463" s="473" t="s">
        <v>40</v>
      </c>
      <c r="D4463" s="473" t="s">
        <v>41</v>
      </c>
      <c r="E4463" s="361">
        <v>5.6</v>
      </c>
    </row>
    <row r="4464" spans="1:5">
      <c r="A4464" s="473">
        <v>38454</v>
      </c>
      <c r="B4464" s="473" t="s">
        <v>14111</v>
      </c>
      <c r="C4464" s="473" t="s">
        <v>40</v>
      </c>
      <c r="D4464" s="473" t="s">
        <v>47</v>
      </c>
      <c r="E4464" s="361">
        <v>4.1100000000000003</v>
      </c>
    </row>
    <row r="4465" spans="1:5">
      <c r="A4465" s="473">
        <v>38455</v>
      </c>
      <c r="B4465" s="473" t="s">
        <v>14112</v>
      </c>
      <c r="C4465" s="473" t="s">
        <v>40</v>
      </c>
      <c r="D4465" s="473" t="s">
        <v>47</v>
      </c>
      <c r="E4465" s="361">
        <v>3.76</v>
      </c>
    </row>
    <row r="4466" spans="1:5">
      <c r="A4466" s="473">
        <v>38462</v>
      </c>
      <c r="B4466" s="473" t="s">
        <v>14113</v>
      </c>
      <c r="C4466" s="473" t="s">
        <v>40</v>
      </c>
      <c r="D4466" s="473" t="s">
        <v>47</v>
      </c>
      <c r="E4466" s="361">
        <v>106.28</v>
      </c>
    </row>
    <row r="4467" spans="1:5">
      <c r="A4467" s="473">
        <v>36362</v>
      </c>
      <c r="B4467" s="473" t="s">
        <v>14114</v>
      </c>
      <c r="C4467" s="473" t="s">
        <v>40</v>
      </c>
      <c r="D4467" s="473" t="s">
        <v>47</v>
      </c>
      <c r="E4467" s="361">
        <v>1.62</v>
      </c>
    </row>
    <row r="4468" spans="1:5">
      <c r="A4468" s="473">
        <v>36298</v>
      </c>
      <c r="B4468" s="473" t="s">
        <v>14115</v>
      </c>
      <c r="C4468" s="473" t="s">
        <v>40</v>
      </c>
      <c r="D4468" s="473" t="s">
        <v>47</v>
      </c>
      <c r="E4468" s="361">
        <v>2.4</v>
      </c>
    </row>
    <row r="4469" spans="1:5">
      <c r="A4469" s="473">
        <v>38456</v>
      </c>
      <c r="B4469" s="473" t="s">
        <v>14116</v>
      </c>
      <c r="C4469" s="473" t="s">
        <v>40</v>
      </c>
      <c r="D4469" s="473" t="s">
        <v>47</v>
      </c>
      <c r="E4469" s="361">
        <v>3.91</v>
      </c>
    </row>
    <row r="4470" spans="1:5">
      <c r="A4470" s="473">
        <v>38457</v>
      </c>
      <c r="B4470" s="473" t="s">
        <v>14117</v>
      </c>
      <c r="C4470" s="473" t="s">
        <v>40</v>
      </c>
      <c r="D4470" s="473" t="s">
        <v>47</v>
      </c>
      <c r="E4470" s="361">
        <v>8.81</v>
      </c>
    </row>
    <row r="4471" spans="1:5">
      <c r="A4471" s="473">
        <v>38458</v>
      </c>
      <c r="B4471" s="473" t="s">
        <v>14118</v>
      </c>
      <c r="C4471" s="473" t="s">
        <v>40</v>
      </c>
      <c r="D4471" s="473" t="s">
        <v>47</v>
      </c>
      <c r="E4471" s="361">
        <v>11.81</v>
      </c>
    </row>
    <row r="4472" spans="1:5">
      <c r="A4472" s="473">
        <v>38459</v>
      </c>
      <c r="B4472" s="473" t="s">
        <v>14119</v>
      </c>
      <c r="C4472" s="473" t="s">
        <v>40</v>
      </c>
      <c r="D4472" s="473" t="s">
        <v>47</v>
      </c>
      <c r="E4472" s="361">
        <v>20.84</v>
      </c>
    </row>
    <row r="4473" spans="1:5">
      <c r="A4473" s="473">
        <v>38460</v>
      </c>
      <c r="B4473" s="473" t="s">
        <v>14120</v>
      </c>
      <c r="C4473" s="473" t="s">
        <v>40</v>
      </c>
      <c r="D4473" s="473" t="s">
        <v>47</v>
      </c>
      <c r="E4473" s="361">
        <v>43.54</v>
      </c>
    </row>
    <row r="4474" spans="1:5">
      <c r="A4474" s="473">
        <v>38461</v>
      </c>
      <c r="B4474" s="473" t="s">
        <v>14121</v>
      </c>
      <c r="C4474" s="473" t="s">
        <v>40</v>
      </c>
      <c r="D4474" s="473" t="s">
        <v>47</v>
      </c>
      <c r="E4474" s="361">
        <v>66.42</v>
      </c>
    </row>
    <row r="4475" spans="1:5">
      <c r="A4475" s="473">
        <v>7094</v>
      </c>
      <c r="B4475" s="473" t="s">
        <v>14122</v>
      </c>
      <c r="C4475" s="473" t="s">
        <v>40</v>
      </c>
      <c r="D4475" s="473" t="s">
        <v>41</v>
      </c>
      <c r="E4475" s="361">
        <v>7.83</v>
      </c>
    </row>
    <row r="4476" spans="1:5">
      <c r="A4476" s="473">
        <v>7116</v>
      </c>
      <c r="B4476" s="473" t="s">
        <v>14123</v>
      </c>
      <c r="C4476" s="473" t="s">
        <v>40</v>
      </c>
      <c r="D4476" s="473" t="s">
        <v>41</v>
      </c>
      <c r="E4476" s="361">
        <v>1.98</v>
      </c>
    </row>
    <row r="4477" spans="1:5">
      <c r="A4477" s="473">
        <v>7118</v>
      </c>
      <c r="B4477" s="473" t="s">
        <v>14124</v>
      </c>
      <c r="C4477" s="473" t="s">
        <v>40</v>
      </c>
      <c r="D4477" s="473" t="s">
        <v>41</v>
      </c>
      <c r="E4477" s="361">
        <v>17.28</v>
      </c>
    </row>
    <row r="4478" spans="1:5">
      <c r="A4478" s="473">
        <v>7117</v>
      </c>
      <c r="B4478" s="473" t="s">
        <v>14125</v>
      </c>
      <c r="C4478" s="473" t="s">
        <v>40</v>
      </c>
      <c r="D4478" s="473" t="s">
        <v>41</v>
      </c>
      <c r="E4478" s="361">
        <v>15.36</v>
      </c>
    </row>
    <row r="4479" spans="1:5">
      <c r="A4479" s="473">
        <v>7098</v>
      </c>
      <c r="B4479" s="473" t="s">
        <v>14126</v>
      </c>
      <c r="C4479" s="473" t="s">
        <v>40</v>
      </c>
      <c r="D4479" s="473" t="s">
        <v>41</v>
      </c>
      <c r="E4479" s="361">
        <v>2.14</v>
      </c>
    </row>
    <row r="4480" spans="1:5">
      <c r="A4480" s="473">
        <v>7110</v>
      </c>
      <c r="B4480" s="473" t="s">
        <v>14127</v>
      </c>
      <c r="C4480" s="473" t="s">
        <v>40</v>
      </c>
      <c r="D4480" s="473" t="s">
        <v>41</v>
      </c>
      <c r="E4480" s="361">
        <v>37.58</v>
      </c>
    </row>
    <row r="4481" spans="1:5">
      <c r="A4481" s="473">
        <v>7123</v>
      </c>
      <c r="B4481" s="473" t="s">
        <v>14128</v>
      </c>
      <c r="C4481" s="473" t="s">
        <v>40</v>
      </c>
      <c r="D4481" s="473" t="s">
        <v>41</v>
      </c>
      <c r="E4481" s="361">
        <v>2.75</v>
      </c>
    </row>
    <row r="4482" spans="1:5">
      <c r="A4482" s="473">
        <v>7121</v>
      </c>
      <c r="B4482" s="473" t="s">
        <v>14129</v>
      </c>
      <c r="C4482" s="473" t="s">
        <v>40</v>
      </c>
      <c r="D4482" s="473" t="s">
        <v>41</v>
      </c>
      <c r="E4482" s="361">
        <v>6.79</v>
      </c>
    </row>
    <row r="4483" spans="1:5">
      <c r="A4483" s="473">
        <v>7137</v>
      </c>
      <c r="B4483" s="473" t="s">
        <v>14130</v>
      </c>
      <c r="C4483" s="473" t="s">
        <v>40</v>
      </c>
      <c r="D4483" s="473" t="s">
        <v>41</v>
      </c>
      <c r="E4483" s="361">
        <v>6.11</v>
      </c>
    </row>
    <row r="4484" spans="1:5">
      <c r="A4484" s="473">
        <v>7122</v>
      </c>
      <c r="B4484" s="473" t="s">
        <v>14131</v>
      </c>
      <c r="C4484" s="473" t="s">
        <v>40</v>
      </c>
      <c r="D4484" s="473" t="s">
        <v>41</v>
      </c>
      <c r="E4484" s="361">
        <v>7.64</v>
      </c>
    </row>
    <row r="4485" spans="1:5">
      <c r="A4485" s="473">
        <v>7114</v>
      </c>
      <c r="B4485" s="473" t="s">
        <v>14132</v>
      </c>
      <c r="C4485" s="473" t="s">
        <v>40</v>
      </c>
      <c r="D4485" s="473" t="s">
        <v>41</v>
      </c>
      <c r="E4485" s="361">
        <v>11.78</v>
      </c>
    </row>
    <row r="4486" spans="1:5">
      <c r="A4486" s="473">
        <v>7109</v>
      </c>
      <c r="B4486" s="473" t="s">
        <v>14133</v>
      </c>
      <c r="C4486" s="473" t="s">
        <v>40</v>
      </c>
      <c r="D4486" s="473" t="s">
        <v>41</v>
      </c>
      <c r="E4486" s="361">
        <v>2.06</v>
      </c>
    </row>
    <row r="4487" spans="1:5">
      <c r="A4487" s="473">
        <v>7135</v>
      </c>
      <c r="B4487" s="473" t="s">
        <v>14134</v>
      </c>
      <c r="C4487" s="473" t="s">
        <v>40</v>
      </c>
      <c r="D4487" s="473" t="s">
        <v>41</v>
      </c>
      <c r="E4487" s="361">
        <v>3.22</v>
      </c>
    </row>
    <row r="4488" spans="1:5">
      <c r="A4488" s="473">
        <v>37947</v>
      </c>
      <c r="B4488" s="473" t="s">
        <v>14135</v>
      </c>
      <c r="C4488" s="473" t="s">
        <v>40</v>
      </c>
      <c r="D4488" s="473" t="s">
        <v>41</v>
      </c>
      <c r="E4488" s="361">
        <v>3.26</v>
      </c>
    </row>
    <row r="4489" spans="1:5">
      <c r="A4489" s="473">
        <v>7103</v>
      </c>
      <c r="B4489" s="473" t="s">
        <v>14136</v>
      </c>
      <c r="C4489" s="473" t="s">
        <v>40</v>
      </c>
      <c r="D4489" s="473" t="s">
        <v>41</v>
      </c>
      <c r="E4489" s="361">
        <v>7.47</v>
      </c>
    </row>
    <row r="4490" spans="1:5">
      <c r="A4490" s="473">
        <v>40419</v>
      </c>
      <c r="B4490" s="473" t="s">
        <v>14137</v>
      </c>
      <c r="C4490" s="473" t="s">
        <v>40</v>
      </c>
      <c r="D4490" s="473" t="s">
        <v>47</v>
      </c>
      <c r="E4490" s="361">
        <v>21.15</v>
      </c>
    </row>
    <row r="4491" spans="1:5">
      <c r="A4491" s="473">
        <v>40420</v>
      </c>
      <c r="B4491" s="473" t="s">
        <v>14138</v>
      </c>
      <c r="C4491" s="473" t="s">
        <v>40</v>
      </c>
      <c r="D4491" s="473" t="s">
        <v>47</v>
      </c>
      <c r="E4491" s="361">
        <v>30.86</v>
      </c>
    </row>
    <row r="4492" spans="1:5">
      <c r="A4492" s="473">
        <v>40421</v>
      </c>
      <c r="B4492" s="473" t="s">
        <v>14139</v>
      </c>
      <c r="C4492" s="473" t="s">
        <v>40</v>
      </c>
      <c r="D4492" s="473" t="s">
        <v>47</v>
      </c>
      <c r="E4492" s="361">
        <v>32.85</v>
      </c>
    </row>
    <row r="4493" spans="1:5">
      <c r="A4493" s="473">
        <v>7126</v>
      </c>
      <c r="B4493" s="473" t="s">
        <v>14140</v>
      </c>
      <c r="C4493" s="473" t="s">
        <v>40</v>
      </c>
      <c r="D4493" s="473" t="s">
        <v>41</v>
      </c>
      <c r="E4493" s="361">
        <v>15.67</v>
      </c>
    </row>
    <row r="4494" spans="1:5">
      <c r="A4494" s="473">
        <v>38905</v>
      </c>
      <c r="B4494" s="473" t="s">
        <v>14141</v>
      </c>
      <c r="C4494" s="473" t="s">
        <v>40</v>
      </c>
      <c r="D4494" s="473" t="s">
        <v>47</v>
      </c>
      <c r="E4494" s="361">
        <v>14.56</v>
      </c>
    </row>
    <row r="4495" spans="1:5">
      <c r="A4495" s="473">
        <v>38907</v>
      </c>
      <c r="B4495" s="473" t="s">
        <v>14142</v>
      </c>
      <c r="C4495" s="473" t="s">
        <v>40</v>
      </c>
      <c r="D4495" s="473" t="s">
        <v>47</v>
      </c>
      <c r="E4495" s="361">
        <v>15.49</v>
      </c>
    </row>
    <row r="4496" spans="1:5">
      <c r="A4496" s="473">
        <v>38908</v>
      </c>
      <c r="B4496" s="473" t="s">
        <v>14143</v>
      </c>
      <c r="C4496" s="473" t="s">
        <v>40</v>
      </c>
      <c r="D4496" s="473" t="s">
        <v>47</v>
      </c>
      <c r="E4496" s="361">
        <v>17.440000000000001</v>
      </c>
    </row>
    <row r="4497" spans="1:5">
      <c r="A4497" s="473">
        <v>38909</v>
      </c>
      <c r="B4497" s="473" t="s">
        <v>14144</v>
      </c>
      <c r="C4497" s="473" t="s">
        <v>40</v>
      </c>
      <c r="D4497" s="473" t="s">
        <v>47</v>
      </c>
      <c r="E4497" s="361">
        <v>25.07</v>
      </c>
    </row>
    <row r="4498" spans="1:5">
      <c r="A4498" s="473">
        <v>38910</v>
      </c>
      <c r="B4498" s="473" t="s">
        <v>14145</v>
      </c>
      <c r="C4498" s="473" t="s">
        <v>40</v>
      </c>
      <c r="D4498" s="473" t="s">
        <v>47</v>
      </c>
      <c r="E4498" s="361">
        <v>27.07</v>
      </c>
    </row>
    <row r="4499" spans="1:5">
      <c r="A4499" s="473">
        <v>38897</v>
      </c>
      <c r="B4499" s="473" t="s">
        <v>14146</v>
      </c>
      <c r="C4499" s="473" t="s">
        <v>40</v>
      </c>
      <c r="D4499" s="473" t="s">
        <v>47</v>
      </c>
      <c r="E4499" s="361">
        <v>14.62</v>
      </c>
    </row>
    <row r="4500" spans="1:5">
      <c r="A4500" s="473">
        <v>38899</v>
      </c>
      <c r="B4500" s="473" t="s">
        <v>14147</v>
      </c>
      <c r="C4500" s="473" t="s">
        <v>40</v>
      </c>
      <c r="D4500" s="473" t="s">
        <v>47</v>
      </c>
      <c r="E4500" s="361">
        <v>16.45</v>
      </c>
    </row>
    <row r="4501" spans="1:5">
      <c r="A4501" s="473">
        <v>38900</v>
      </c>
      <c r="B4501" s="473" t="s">
        <v>14148</v>
      </c>
      <c r="C4501" s="473" t="s">
        <v>40</v>
      </c>
      <c r="D4501" s="473" t="s">
        <v>47</v>
      </c>
      <c r="E4501" s="361">
        <v>17.149999999999999</v>
      </c>
    </row>
    <row r="4502" spans="1:5">
      <c r="A4502" s="473">
        <v>38901</v>
      </c>
      <c r="B4502" s="473" t="s">
        <v>14149</v>
      </c>
      <c r="C4502" s="473" t="s">
        <v>40</v>
      </c>
      <c r="D4502" s="473" t="s">
        <v>47</v>
      </c>
      <c r="E4502" s="361">
        <v>28.06</v>
      </c>
    </row>
    <row r="4503" spans="1:5">
      <c r="A4503" s="473">
        <v>38904</v>
      </c>
      <c r="B4503" s="473" t="s">
        <v>14150</v>
      </c>
      <c r="C4503" s="473" t="s">
        <v>40</v>
      </c>
      <c r="D4503" s="473" t="s">
        <v>47</v>
      </c>
      <c r="E4503" s="361">
        <v>45.58</v>
      </c>
    </row>
    <row r="4504" spans="1:5">
      <c r="A4504" s="473">
        <v>38903</v>
      </c>
      <c r="B4504" s="473" t="s">
        <v>14151</v>
      </c>
      <c r="C4504" s="473" t="s">
        <v>40</v>
      </c>
      <c r="D4504" s="473" t="s">
        <v>47</v>
      </c>
      <c r="E4504" s="361">
        <v>45.3</v>
      </c>
    </row>
    <row r="4505" spans="1:5">
      <c r="A4505" s="473">
        <v>7091</v>
      </c>
      <c r="B4505" s="473" t="s">
        <v>14152</v>
      </c>
      <c r="C4505" s="473" t="s">
        <v>40</v>
      </c>
      <c r="D4505" s="473" t="s">
        <v>41</v>
      </c>
      <c r="E4505" s="361">
        <v>9.32</v>
      </c>
    </row>
    <row r="4506" spans="1:5">
      <c r="A4506" s="473">
        <v>11655</v>
      </c>
      <c r="B4506" s="473" t="s">
        <v>14153</v>
      </c>
      <c r="C4506" s="473" t="s">
        <v>40</v>
      </c>
      <c r="D4506" s="473" t="s">
        <v>41</v>
      </c>
      <c r="E4506" s="361">
        <v>8.9</v>
      </c>
    </row>
    <row r="4507" spans="1:5">
      <c r="A4507" s="473">
        <v>11656</v>
      </c>
      <c r="B4507" s="473" t="s">
        <v>14154</v>
      </c>
      <c r="C4507" s="473" t="s">
        <v>40</v>
      </c>
      <c r="D4507" s="473" t="s">
        <v>41</v>
      </c>
      <c r="E4507" s="361">
        <v>9.31</v>
      </c>
    </row>
    <row r="4508" spans="1:5">
      <c r="A4508" s="473">
        <v>37948</v>
      </c>
      <c r="B4508" s="473" t="s">
        <v>14155</v>
      </c>
      <c r="C4508" s="473" t="s">
        <v>40</v>
      </c>
      <c r="D4508" s="473" t="s">
        <v>41</v>
      </c>
      <c r="E4508" s="361">
        <v>1.88</v>
      </c>
    </row>
    <row r="4509" spans="1:5">
      <c r="A4509" s="473">
        <v>7097</v>
      </c>
      <c r="B4509" s="473" t="s">
        <v>14156</v>
      </c>
      <c r="C4509" s="473" t="s">
        <v>40</v>
      </c>
      <c r="D4509" s="473" t="s">
        <v>41</v>
      </c>
      <c r="E4509" s="361">
        <v>4.1399999999999997</v>
      </c>
    </row>
    <row r="4510" spans="1:5">
      <c r="A4510" s="473">
        <v>11657</v>
      </c>
      <c r="B4510" s="473" t="s">
        <v>14157</v>
      </c>
      <c r="C4510" s="473" t="s">
        <v>40</v>
      </c>
      <c r="D4510" s="473" t="s">
        <v>41</v>
      </c>
      <c r="E4510" s="361">
        <v>8.1199999999999992</v>
      </c>
    </row>
    <row r="4511" spans="1:5">
      <c r="A4511" s="473">
        <v>11658</v>
      </c>
      <c r="B4511" s="473" t="s">
        <v>14158</v>
      </c>
      <c r="C4511" s="473" t="s">
        <v>40</v>
      </c>
      <c r="D4511" s="473" t="s">
        <v>41</v>
      </c>
      <c r="E4511" s="361">
        <v>8.27</v>
      </c>
    </row>
    <row r="4512" spans="1:5">
      <c r="A4512" s="473">
        <v>7146</v>
      </c>
      <c r="B4512" s="473" t="s">
        <v>14159</v>
      </c>
      <c r="C4512" s="473" t="s">
        <v>40</v>
      </c>
      <c r="D4512" s="473" t="s">
        <v>41</v>
      </c>
      <c r="E4512" s="361">
        <v>116.39</v>
      </c>
    </row>
    <row r="4513" spans="1:5">
      <c r="A4513" s="473">
        <v>7138</v>
      </c>
      <c r="B4513" s="473" t="s">
        <v>14160</v>
      </c>
      <c r="C4513" s="473" t="s">
        <v>40</v>
      </c>
      <c r="D4513" s="473" t="s">
        <v>41</v>
      </c>
      <c r="E4513" s="361">
        <v>0.65</v>
      </c>
    </row>
    <row r="4514" spans="1:5">
      <c r="A4514" s="473">
        <v>7139</v>
      </c>
      <c r="B4514" s="473" t="s">
        <v>14161</v>
      </c>
      <c r="C4514" s="473" t="s">
        <v>40</v>
      </c>
      <c r="D4514" s="473" t="s">
        <v>41</v>
      </c>
      <c r="E4514" s="361">
        <v>0.86</v>
      </c>
    </row>
    <row r="4515" spans="1:5">
      <c r="A4515" s="473">
        <v>7140</v>
      </c>
      <c r="B4515" s="473" t="s">
        <v>14162</v>
      </c>
      <c r="C4515" s="473" t="s">
        <v>40</v>
      </c>
      <c r="D4515" s="473" t="s">
        <v>41</v>
      </c>
      <c r="E4515" s="361">
        <v>2.87</v>
      </c>
    </row>
    <row r="4516" spans="1:5">
      <c r="A4516" s="473">
        <v>7141</v>
      </c>
      <c r="B4516" s="473" t="s">
        <v>14163</v>
      </c>
      <c r="C4516" s="473" t="s">
        <v>40</v>
      </c>
      <c r="D4516" s="473" t="s">
        <v>41</v>
      </c>
      <c r="E4516" s="361">
        <v>6.28</v>
      </c>
    </row>
    <row r="4517" spans="1:5">
      <c r="A4517" s="473">
        <v>7143</v>
      </c>
      <c r="B4517" s="473" t="s">
        <v>14164</v>
      </c>
      <c r="C4517" s="473" t="s">
        <v>40</v>
      </c>
      <c r="D4517" s="473" t="s">
        <v>41</v>
      </c>
      <c r="E4517" s="361">
        <v>20.92</v>
      </c>
    </row>
    <row r="4518" spans="1:5">
      <c r="A4518" s="473">
        <v>7144</v>
      </c>
      <c r="B4518" s="473" t="s">
        <v>14165</v>
      </c>
      <c r="C4518" s="473" t="s">
        <v>40</v>
      </c>
      <c r="D4518" s="473" t="s">
        <v>41</v>
      </c>
      <c r="E4518" s="361">
        <v>41.84</v>
      </c>
    </row>
    <row r="4519" spans="1:5">
      <c r="A4519" s="473">
        <v>7145</v>
      </c>
      <c r="B4519" s="473" t="s">
        <v>14166</v>
      </c>
      <c r="C4519" s="473" t="s">
        <v>40</v>
      </c>
      <c r="D4519" s="473" t="s">
        <v>41</v>
      </c>
      <c r="E4519" s="361">
        <v>68.63</v>
      </c>
    </row>
    <row r="4520" spans="1:5">
      <c r="A4520" s="473">
        <v>7142</v>
      </c>
      <c r="B4520" s="473" t="s">
        <v>14167</v>
      </c>
      <c r="C4520" s="473" t="s">
        <v>40</v>
      </c>
      <c r="D4520" s="473" t="s">
        <v>41</v>
      </c>
      <c r="E4520" s="361">
        <v>7.02</v>
      </c>
    </row>
    <row r="4521" spans="1:5">
      <c r="A4521" s="473">
        <v>3593</v>
      </c>
      <c r="B4521" s="473" t="s">
        <v>14168</v>
      </c>
      <c r="C4521" s="473" t="s">
        <v>40</v>
      </c>
      <c r="D4521" s="473" t="s">
        <v>41</v>
      </c>
      <c r="E4521" s="361">
        <v>50.69</v>
      </c>
    </row>
    <row r="4522" spans="1:5">
      <c r="A4522" s="473">
        <v>3588</v>
      </c>
      <c r="B4522" s="473" t="s">
        <v>14169</v>
      </c>
      <c r="C4522" s="473" t="s">
        <v>40</v>
      </c>
      <c r="D4522" s="473" t="s">
        <v>41</v>
      </c>
      <c r="E4522" s="361">
        <v>39.07</v>
      </c>
    </row>
    <row r="4523" spans="1:5">
      <c r="A4523" s="473">
        <v>3585</v>
      </c>
      <c r="B4523" s="473" t="s">
        <v>14170</v>
      </c>
      <c r="C4523" s="473" t="s">
        <v>40</v>
      </c>
      <c r="D4523" s="473" t="s">
        <v>41</v>
      </c>
      <c r="E4523" s="361">
        <v>12.06</v>
      </c>
    </row>
    <row r="4524" spans="1:5">
      <c r="A4524" s="473">
        <v>3587</v>
      </c>
      <c r="B4524" s="473" t="s">
        <v>14171</v>
      </c>
      <c r="C4524" s="473" t="s">
        <v>40</v>
      </c>
      <c r="D4524" s="473" t="s">
        <v>41</v>
      </c>
      <c r="E4524" s="361">
        <v>24.24</v>
      </c>
    </row>
    <row r="4525" spans="1:5">
      <c r="A4525" s="473">
        <v>3590</v>
      </c>
      <c r="B4525" s="473" t="s">
        <v>14172</v>
      </c>
      <c r="C4525" s="473" t="s">
        <v>40</v>
      </c>
      <c r="D4525" s="473" t="s">
        <v>41</v>
      </c>
      <c r="E4525" s="361">
        <v>143.91999999999999</v>
      </c>
    </row>
    <row r="4526" spans="1:5">
      <c r="A4526" s="473">
        <v>3589</v>
      </c>
      <c r="B4526" s="473" t="s">
        <v>14173</v>
      </c>
      <c r="C4526" s="473" t="s">
        <v>40</v>
      </c>
      <c r="D4526" s="473" t="s">
        <v>41</v>
      </c>
      <c r="E4526" s="361">
        <v>77.25</v>
      </c>
    </row>
    <row r="4527" spans="1:5">
      <c r="A4527" s="473">
        <v>3586</v>
      </c>
      <c r="B4527" s="473" t="s">
        <v>14174</v>
      </c>
      <c r="C4527" s="473" t="s">
        <v>40</v>
      </c>
      <c r="D4527" s="473" t="s">
        <v>41</v>
      </c>
      <c r="E4527" s="361">
        <v>15.8</v>
      </c>
    </row>
    <row r="4528" spans="1:5">
      <c r="A4528" s="473">
        <v>3592</v>
      </c>
      <c r="B4528" s="473" t="s">
        <v>14175</v>
      </c>
      <c r="C4528" s="473" t="s">
        <v>40</v>
      </c>
      <c r="D4528" s="473" t="s">
        <v>41</v>
      </c>
      <c r="E4528" s="361">
        <v>227.5</v>
      </c>
    </row>
    <row r="4529" spans="1:5">
      <c r="A4529" s="473">
        <v>3591</v>
      </c>
      <c r="B4529" s="473" t="s">
        <v>14176</v>
      </c>
      <c r="C4529" s="473" t="s">
        <v>40</v>
      </c>
      <c r="D4529" s="473" t="s">
        <v>41</v>
      </c>
      <c r="E4529" s="361">
        <v>364.69</v>
      </c>
    </row>
    <row r="4530" spans="1:5">
      <c r="A4530" s="473">
        <v>40396</v>
      </c>
      <c r="B4530" s="473" t="s">
        <v>14177</v>
      </c>
      <c r="C4530" s="473" t="s">
        <v>40</v>
      </c>
      <c r="D4530" s="473" t="s">
        <v>47</v>
      </c>
      <c r="E4530" s="361">
        <v>62.59</v>
      </c>
    </row>
    <row r="4531" spans="1:5">
      <c r="A4531" s="473">
        <v>40395</v>
      </c>
      <c r="B4531" s="473" t="s">
        <v>14178</v>
      </c>
      <c r="C4531" s="473" t="s">
        <v>40</v>
      </c>
      <c r="D4531" s="473" t="s">
        <v>47</v>
      </c>
      <c r="E4531" s="361">
        <v>48.03</v>
      </c>
    </row>
    <row r="4532" spans="1:5">
      <c r="A4532" s="473">
        <v>40392</v>
      </c>
      <c r="B4532" s="473" t="s">
        <v>14179</v>
      </c>
      <c r="C4532" s="473" t="s">
        <v>40</v>
      </c>
      <c r="D4532" s="473" t="s">
        <v>47</v>
      </c>
      <c r="E4532" s="361">
        <v>15.45</v>
      </c>
    </row>
    <row r="4533" spans="1:5">
      <c r="A4533" s="473">
        <v>40394</v>
      </c>
      <c r="B4533" s="473" t="s">
        <v>14180</v>
      </c>
      <c r="C4533" s="473" t="s">
        <v>40</v>
      </c>
      <c r="D4533" s="473" t="s">
        <v>47</v>
      </c>
      <c r="E4533" s="361">
        <v>31.27</v>
      </c>
    </row>
    <row r="4534" spans="1:5">
      <c r="A4534" s="473">
        <v>40398</v>
      </c>
      <c r="B4534" s="473" t="s">
        <v>14181</v>
      </c>
      <c r="C4534" s="473" t="s">
        <v>40</v>
      </c>
      <c r="D4534" s="473" t="s">
        <v>47</v>
      </c>
      <c r="E4534" s="361">
        <v>200.8</v>
      </c>
    </row>
    <row r="4535" spans="1:5">
      <c r="A4535" s="473">
        <v>40397</v>
      </c>
      <c r="B4535" s="473" t="s">
        <v>14182</v>
      </c>
      <c r="C4535" s="473" t="s">
        <v>40</v>
      </c>
      <c r="D4535" s="473" t="s">
        <v>47</v>
      </c>
      <c r="E4535" s="361">
        <v>102.83</v>
      </c>
    </row>
    <row r="4536" spans="1:5">
      <c r="A4536" s="473">
        <v>40393</v>
      </c>
      <c r="B4536" s="473" t="s">
        <v>14183</v>
      </c>
      <c r="C4536" s="473" t="s">
        <v>40</v>
      </c>
      <c r="D4536" s="473" t="s">
        <v>47</v>
      </c>
      <c r="E4536" s="361">
        <v>19.899999999999999</v>
      </c>
    </row>
    <row r="4537" spans="1:5">
      <c r="A4537" s="473">
        <v>40399</v>
      </c>
      <c r="B4537" s="473" t="s">
        <v>14184</v>
      </c>
      <c r="C4537" s="473" t="s">
        <v>40</v>
      </c>
      <c r="D4537" s="473" t="s">
        <v>47</v>
      </c>
      <c r="E4537" s="361">
        <v>328.51</v>
      </c>
    </row>
    <row r="4538" spans="1:5">
      <c r="A4538" s="473">
        <v>39322</v>
      </c>
      <c r="B4538" s="473" t="s">
        <v>14185</v>
      </c>
      <c r="C4538" s="473" t="s">
        <v>40</v>
      </c>
      <c r="D4538" s="473" t="s">
        <v>47</v>
      </c>
      <c r="E4538" s="361">
        <v>17.670000000000002</v>
      </c>
    </row>
    <row r="4539" spans="1:5">
      <c r="A4539" s="473">
        <v>39289</v>
      </c>
      <c r="B4539" s="473" t="s">
        <v>14186</v>
      </c>
      <c r="C4539" s="473" t="s">
        <v>40</v>
      </c>
      <c r="D4539" s="473" t="s">
        <v>47</v>
      </c>
      <c r="E4539" s="361">
        <v>21.16</v>
      </c>
    </row>
    <row r="4540" spans="1:5">
      <c r="A4540" s="473">
        <v>39290</v>
      </c>
      <c r="B4540" s="473" t="s">
        <v>14187</v>
      </c>
      <c r="C4540" s="473" t="s">
        <v>40</v>
      </c>
      <c r="D4540" s="473" t="s">
        <v>47</v>
      </c>
      <c r="E4540" s="361">
        <v>35.92</v>
      </c>
    </row>
    <row r="4541" spans="1:5">
      <c r="A4541" s="473">
        <v>39291</v>
      </c>
      <c r="B4541" s="473" t="s">
        <v>14188</v>
      </c>
      <c r="C4541" s="473" t="s">
        <v>40</v>
      </c>
      <c r="D4541" s="473" t="s">
        <v>47</v>
      </c>
      <c r="E4541" s="361">
        <v>53.78</v>
      </c>
    </row>
    <row r="4542" spans="1:5">
      <c r="A4542" s="473">
        <v>20174</v>
      </c>
      <c r="B4542" s="473" t="s">
        <v>14189</v>
      </c>
      <c r="C4542" s="473" t="s">
        <v>40</v>
      </c>
      <c r="D4542" s="473" t="s">
        <v>41</v>
      </c>
      <c r="E4542" s="361">
        <v>22.72</v>
      </c>
    </row>
    <row r="4543" spans="1:5">
      <c r="A4543" s="473">
        <v>41892</v>
      </c>
      <c r="B4543" s="473" t="s">
        <v>14190</v>
      </c>
      <c r="C4543" s="473" t="s">
        <v>40</v>
      </c>
      <c r="D4543" s="473" t="s">
        <v>47</v>
      </c>
      <c r="E4543" s="361">
        <v>85.83</v>
      </c>
    </row>
    <row r="4544" spans="1:5">
      <c r="A4544" s="473">
        <v>7048</v>
      </c>
      <c r="B4544" s="473" t="s">
        <v>14191</v>
      </c>
      <c r="C4544" s="473" t="s">
        <v>40</v>
      </c>
      <c r="D4544" s="473" t="s">
        <v>47</v>
      </c>
      <c r="E4544" s="361">
        <v>18.52</v>
      </c>
    </row>
    <row r="4545" spans="1:5">
      <c r="A4545" s="473">
        <v>7088</v>
      </c>
      <c r="B4545" s="473" t="s">
        <v>14192</v>
      </c>
      <c r="C4545" s="473" t="s">
        <v>40</v>
      </c>
      <c r="D4545" s="473" t="s">
        <v>47</v>
      </c>
      <c r="E4545" s="361">
        <v>40.51</v>
      </c>
    </row>
    <row r="4546" spans="1:5">
      <c r="A4546" s="473">
        <v>20179</v>
      </c>
      <c r="B4546" s="473" t="s">
        <v>14193</v>
      </c>
      <c r="C4546" s="473" t="s">
        <v>40</v>
      </c>
      <c r="D4546" s="473" t="s">
        <v>41</v>
      </c>
      <c r="E4546" s="361">
        <v>30.59</v>
      </c>
    </row>
    <row r="4547" spans="1:5">
      <c r="A4547" s="473">
        <v>20178</v>
      </c>
      <c r="B4547" s="473" t="s">
        <v>14194</v>
      </c>
      <c r="C4547" s="473" t="s">
        <v>40</v>
      </c>
      <c r="D4547" s="473" t="s">
        <v>41</v>
      </c>
      <c r="E4547" s="361">
        <v>27.03</v>
      </c>
    </row>
    <row r="4548" spans="1:5">
      <c r="A4548" s="473">
        <v>20180</v>
      </c>
      <c r="B4548" s="473" t="s">
        <v>14195</v>
      </c>
      <c r="C4548" s="473" t="s">
        <v>40</v>
      </c>
      <c r="D4548" s="473" t="s">
        <v>41</v>
      </c>
      <c r="E4548" s="361">
        <v>49.67</v>
      </c>
    </row>
    <row r="4549" spans="1:5">
      <c r="A4549" s="473">
        <v>20181</v>
      </c>
      <c r="B4549" s="473" t="s">
        <v>14196</v>
      </c>
      <c r="C4549" s="473" t="s">
        <v>40</v>
      </c>
      <c r="D4549" s="473" t="s">
        <v>41</v>
      </c>
      <c r="E4549" s="361">
        <v>73.69</v>
      </c>
    </row>
    <row r="4550" spans="1:5">
      <c r="A4550" s="473">
        <v>20177</v>
      </c>
      <c r="B4550" s="473" t="s">
        <v>14197</v>
      </c>
      <c r="C4550" s="473" t="s">
        <v>40</v>
      </c>
      <c r="D4550" s="473" t="s">
        <v>41</v>
      </c>
      <c r="E4550" s="361">
        <v>17.71</v>
      </c>
    </row>
    <row r="4551" spans="1:5">
      <c r="A4551" s="473">
        <v>7082</v>
      </c>
      <c r="B4551" s="473" t="s">
        <v>14198</v>
      </c>
      <c r="C4551" s="473" t="s">
        <v>40</v>
      </c>
      <c r="D4551" s="473" t="s">
        <v>47</v>
      </c>
      <c r="E4551" s="361">
        <v>36.89</v>
      </c>
    </row>
    <row r="4552" spans="1:5">
      <c r="A4552" s="473">
        <v>42707</v>
      </c>
      <c r="B4552" s="473" t="s">
        <v>14199</v>
      </c>
      <c r="C4552" s="473" t="s">
        <v>40</v>
      </c>
      <c r="D4552" s="473" t="s">
        <v>47</v>
      </c>
      <c r="E4552" s="361">
        <v>100.19</v>
      </c>
    </row>
    <row r="4553" spans="1:5">
      <c r="A4553" s="473">
        <v>7069</v>
      </c>
      <c r="B4553" s="473" t="s">
        <v>14200</v>
      </c>
      <c r="C4553" s="473" t="s">
        <v>40</v>
      </c>
      <c r="D4553" s="473" t="s">
        <v>47</v>
      </c>
      <c r="E4553" s="361">
        <v>81.88</v>
      </c>
    </row>
    <row r="4554" spans="1:5">
      <c r="A4554" s="473">
        <v>42708</v>
      </c>
      <c r="B4554" s="473" t="s">
        <v>14201</v>
      </c>
      <c r="C4554" s="473" t="s">
        <v>40</v>
      </c>
      <c r="D4554" s="473" t="s">
        <v>47</v>
      </c>
      <c r="E4554" s="361">
        <v>262.98</v>
      </c>
    </row>
    <row r="4555" spans="1:5">
      <c r="A4555" s="473">
        <v>7070</v>
      </c>
      <c r="B4555" s="473" t="s">
        <v>14202</v>
      </c>
      <c r="C4555" s="473" t="s">
        <v>40</v>
      </c>
      <c r="D4555" s="473" t="s">
        <v>47</v>
      </c>
      <c r="E4555" s="361">
        <v>117.25</v>
      </c>
    </row>
    <row r="4556" spans="1:5">
      <c r="A4556" s="473">
        <v>42709</v>
      </c>
      <c r="B4556" s="473" t="s">
        <v>14203</v>
      </c>
      <c r="C4556" s="473" t="s">
        <v>40</v>
      </c>
      <c r="D4556" s="473" t="s">
        <v>47</v>
      </c>
      <c r="E4556" s="361">
        <v>393.3</v>
      </c>
    </row>
    <row r="4557" spans="1:5">
      <c r="A4557" s="473">
        <v>42710</v>
      </c>
      <c r="B4557" s="473" t="s">
        <v>14204</v>
      </c>
      <c r="C4557" s="473" t="s">
        <v>40</v>
      </c>
      <c r="D4557" s="473" t="s">
        <v>47</v>
      </c>
      <c r="E4557" s="361">
        <v>1130.56</v>
      </c>
    </row>
    <row r="4558" spans="1:5">
      <c r="A4558" s="473">
        <v>42716</v>
      </c>
      <c r="B4558" s="473" t="s">
        <v>14205</v>
      </c>
      <c r="C4558" s="473" t="s">
        <v>40</v>
      </c>
      <c r="D4558" s="473" t="s">
        <v>47</v>
      </c>
      <c r="E4558" s="361">
        <v>1407.17</v>
      </c>
    </row>
    <row r="4559" spans="1:5">
      <c r="A4559" s="473">
        <v>20172</v>
      </c>
      <c r="B4559" s="473" t="s">
        <v>14206</v>
      </c>
      <c r="C4559" s="473" t="s">
        <v>40</v>
      </c>
      <c r="D4559" s="473" t="s">
        <v>47</v>
      </c>
      <c r="E4559" s="361">
        <v>27.06</v>
      </c>
    </row>
    <row r="4560" spans="1:5">
      <c r="A4560" s="473">
        <v>40945</v>
      </c>
      <c r="B4560" s="473" t="s">
        <v>14207</v>
      </c>
      <c r="C4560" s="473" t="s">
        <v>43</v>
      </c>
      <c r="D4560" s="473" t="s">
        <v>41</v>
      </c>
      <c r="E4560" s="361">
        <v>22.85</v>
      </c>
    </row>
    <row r="4561" spans="1:5">
      <c r="A4561" s="473">
        <v>40946</v>
      </c>
      <c r="B4561" s="473" t="s">
        <v>14208</v>
      </c>
      <c r="C4561" s="473" t="s">
        <v>53</v>
      </c>
      <c r="D4561" s="473" t="s">
        <v>41</v>
      </c>
      <c r="E4561" s="361">
        <v>2413.96</v>
      </c>
    </row>
    <row r="4562" spans="1:5">
      <c r="A4562" s="473">
        <v>7153</v>
      </c>
      <c r="B4562" s="473" t="s">
        <v>14209</v>
      </c>
      <c r="C4562" s="473" t="s">
        <v>43</v>
      </c>
      <c r="D4562" s="473" t="s">
        <v>41</v>
      </c>
      <c r="E4562" s="361">
        <v>40.44</v>
      </c>
    </row>
    <row r="4563" spans="1:5">
      <c r="A4563" s="473">
        <v>41089</v>
      </c>
      <c r="B4563" s="473" t="s">
        <v>14210</v>
      </c>
      <c r="C4563" s="473" t="s">
        <v>53</v>
      </c>
      <c r="D4563" s="473" t="s">
        <v>41</v>
      </c>
      <c r="E4563" s="361">
        <v>7208.16</v>
      </c>
    </row>
    <row r="4564" spans="1:5">
      <c r="A4564" s="473">
        <v>40943</v>
      </c>
      <c r="B4564" s="473" t="s">
        <v>14211</v>
      </c>
      <c r="C4564" s="473" t="s">
        <v>43</v>
      </c>
      <c r="D4564" s="473" t="s">
        <v>41</v>
      </c>
      <c r="E4564" s="361">
        <v>33.75</v>
      </c>
    </row>
    <row r="4565" spans="1:5">
      <c r="A4565" s="473">
        <v>40944</v>
      </c>
      <c r="B4565" s="473" t="s">
        <v>14212</v>
      </c>
      <c r="C4565" s="473" t="s">
        <v>53</v>
      </c>
      <c r="D4565" s="473" t="s">
        <v>41</v>
      </c>
      <c r="E4565" s="361">
        <v>6015.89</v>
      </c>
    </row>
    <row r="4566" spans="1:5">
      <c r="A4566" s="473">
        <v>6175</v>
      </c>
      <c r="B4566" s="473" t="s">
        <v>14213</v>
      </c>
      <c r="C4566" s="473" t="s">
        <v>43</v>
      </c>
      <c r="D4566" s="473" t="s">
        <v>41</v>
      </c>
      <c r="E4566" s="361">
        <v>17.920000000000002</v>
      </c>
    </row>
    <row r="4567" spans="1:5">
      <c r="A4567" s="473">
        <v>41092</v>
      </c>
      <c r="B4567" s="473" t="s">
        <v>14214</v>
      </c>
      <c r="C4567" s="473" t="s">
        <v>53</v>
      </c>
      <c r="D4567" s="473" t="s">
        <v>41</v>
      </c>
      <c r="E4567" s="361">
        <v>3195.66</v>
      </c>
    </row>
    <row r="4568" spans="1:5">
      <c r="A4568" s="473">
        <v>37712</v>
      </c>
      <c r="B4568" s="473" t="s">
        <v>14215</v>
      </c>
      <c r="C4568" s="473" t="s">
        <v>46</v>
      </c>
      <c r="D4568" s="473" t="s">
        <v>47</v>
      </c>
      <c r="E4568" s="361">
        <v>61.49</v>
      </c>
    </row>
    <row r="4569" spans="1:5">
      <c r="A4569" s="473">
        <v>34547</v>
      </c>
      <c r="B4569" s="473" t="s">
        <v>14216</v>
      </c>
      <c r="C4569" s="473" t="s">
        <v>48</v>
      </c>
      <c r="D4569" s="473" t="s">
        <v>41</v>
      </c>
      <c r="E4569" s="361">
        <v>2.4</v>
      </c>
    </row>
    <row r="4570" spans="1:5">
      <c r="A4570" s="473">
        <v>34548</v>
      </c>
      <c r="B4570" s="473" t="s">
        <v>14217</v>
      </c>
      <c r="C4570" s="473" t="s">
        <v>48</v>
      </c>
      <c r="D4570" s="473" t="s">
        <v>41</v>
      </c>
      <c r="E4570" s="361">
        <v>2.34</v>
      </c>
    </row>
    <row r="4571" spans="1:5">
      <c r="A4571" s="473">
        <v>37411</v>
      </c>
      <c r="B4571" s="473" t="s">
        <v>14218</v>
      </c>
      <c r="C4571" s="473" t="s">
        <v>46</v>
      </c>
      <c r="D4571" s="473" t="s">
        <v>41</v>
      </c>
      <c r="E4571" s="361">
        <v>11.75</v>
      </c>
    </row>
    <row r="4572" spans="1:5">
      <c r="A4572" s="473">
        <v>34558</v>
      </c>
      <c r="B4572" s="473" t="s">
        <v>14219</v>
      </c>
      <c r="C4572" s="473" t="s">
        <v>48</v>
      </c>
      <c r="D4572" s="473" t="s">
        <v>41</v>
      </c>
      <c r="E4572" s="361">
        <v>1.57</v>
      </c>
    </row>
    <row r="4573" spans="1:5">
      <c r="A4573" s="473">
        <v>34550</v>
      </c>
      <c r="B4573" s="473" t="s">
        <v>14220</v>
      </c>
      <c r="C4573" s="473" t="s">
        <v>48</v>
      </c>
      <c r="D4573" s="473" t="s">
        <v>41</v>
      </c>
      <c r="E4573" s="361">
        <v>0.83</v>
      </c>
    </row>
    <row r="4574" spans="1:5">
      <c r="A4574" s="473">
        <v>34557</v>
      </c>
      <c r="B4574" s="473" t="s">
        <v>14221</v>
      </c>
      <c r="C4574" s="473" t="s">
        <v>48</v>
      </c>
      <c r="D4574" s="473" t="s">
        <v>41</v>
      </c>
      <c r="E4574" s="361">
        <v>1.47</v>
      </c>
    </row>
    <row r="4575" spans="1:5">
      <c r="A4575" s="473">
        <v>7155</v>
      </c>
      <c r="B4575" s="473" t="s">
        <v>14222</v>
      </c>
      <c r="C4575" s="473" t="s">
        <v>46</v>
      </c>
      <c r="D4575" s="473" t="s">
        <v>41</v>
      </c>
      <c r="E4575" s="361">
        <v>13.54</v>
      </c>
    </row>
    <row r="4576" spans="1:5">
      <c r="A4576" s="473">
        <v>7154</v>
      </c>
      <c r="B4576" s="473" t="s">
        <v>14223</v>
      </c>
      <c r="C4576" s="473" t="s">
        <v>49</v>
      </c>
      <c r="D4576" s="473" t="s">
        <v>41</v>
      </c>
      <c r="E4576" s="361">
        <v>6.09</v>
      </c>
    </row>
    <row r="4577" spans="1:5">
      <c r="A4577" s="473">
        <v>10915</v>
      </c>
      <c r="B4577" s="473" t="s">
        <v>14224</v>
      </c>
      <c r="C4577" s="473" t="s">
        <v>49</v>
      </c>
      <c r="D4577" s="473" t="s">
        <v>41</v>
      </c>
      <c r="E4577" s="361">
        <v>6.33</v>
      </c>
    </row>
    <row r="4578" spans="1:5">
      <c r="A4578" s="473">
        <v>10917</v>
      </c>
      <c r="B4578" s="473" t="s">
        <v>14225</v>
      </c>
      <c r="C4578" s="473" t="s">
        <v>46</v>
      </c>
      <c r="D4578" s="473" t="s">
        <v>41</v>
      </c>
      <c r="E4578" s="361">
        <v>6.14</v>
      </c>
    </row>
    <row r="4579" spans="1:5">
      <c r="A4579" s="473">
        <v>21141</v>
      </c>
      <c r="B4579" s="473" t="s">
        <v>14226</v>
      </c>
      <c r="C4579" s="473" t="s">
        <v>46</v>
      </c>
      <c r="D4579" s="473" t="s">
        <v>41</v>
      </c>
      <c r="E4579" s="361">
        <v>9.1</v>
      </c>
    </row>
    <row r="4580" spans="1:5">
      <c r="A4580" s="473">
        <v>10916</v>
      </c>
      <c r="B4580" s="473" t="s">
        <v>14227</v>
      </c>
      <c r="C4580" s="473" t="s">
        <v>49</v>
      </c>
      <c r="D4580" s="473" t="s">
        <v>41</v>
      </c>
      <c r="E4580" s="361">
        <v>6.15</v>
      </c>
    </row>
    <row r="4581" spans="1:5">
      <c r="A4581" s="473">
        <v>39508</v>
      </c>
      <c r="B4581" s="473" t="s">
        <v>14228</v>
      </c>
      <c r="C4581" s="473" t="s">
        <v>46</v>
      </c>
      <c r="D4581" s="473" t="s">
        <v>41</v>
      </c>
      <c r="E4581" s="361">
        <v>10.81</v>
      </c>
    </row>
    <row r="4582" spans="1:5">
      <c r="A4582" s="473">
        <v>39507</v>
      </c>
      <c r="B4582" s="473" t="s">
        <v>14229</v>
      </c>
      <c r="C4582" s="473" t="s">
        <v>46</v>
      </c>
      <c r="D4582" s="473" t="s">
        <v>41</v>
      </c>
      <c r="E4582" s="361">
        <v>10.59</v>
      </c>
    </row>
    <row r="4583" spans="1:5">
      <c r="A4583" s="473">
        <v>7156</v>
      </c>
      <c r="B4583" s="473" t="s">
        <v>14230</v>
      </c>
      <c r="C4583" s="473" t="s">
        <v>46</v>
      </c>
      <c r="D4583" s="473" t="s">
        <v>44</v>
      </c>
      <c r="E4583" s="361">
        <v>18.3</v>
      </c>
    </row>
    <row r="4584" spans="1:5">
      <c r="A4584" s="473">
        <v>39509</v>
      </c>
      <c r="B4584" s="473" t="s">
        <v>14231</v>
      </c>
      <c r="C4584" s="473" t="s">
        <v>46</v>
      </c>
      <c r="D4584" s="473" t="s">
        <v>41</v>
      </c>
      <c r="E4584" s="361">
        <v>8.52</v>
      </c>
    </row>
    <row r="4585" spans="1:5">
      <c r="A4585" s="473">
        <v>25988</v>
      </c>
      <c r="B4585" s="473" t="s">
        <v>14232</v>
      </c>
      <c r="C4585" s="473" t="s">
        <v>46</v>
      </c>
      <c r="D4585" s="473" t="s">
        <v>41</v>
      </c>
      <c r="E4585" s="361">
        <v>10.77</v>
      </c>
    </row>
    <row r="4586" spans="1:5">
      <c r="A4586" s="473">
        <v>10928</v>
      </c>
      <c r="B4586" s="473" t="s">
        <v>14233</v>
      </c>
      <c r="C4586" s="473" t="s">
        <v>46</v>
      </c>
      <c r="D4586" s="473" t="s">
        <v>41</v>
      </c>
      <c r="E4586" s="361">
        <v>9.18</v>
      </c>
    </row>
    <row r="4587" spans="1:5">
      <c r="A4587" s="473">
        <v>7167</v>
      </c>
      <c r="B4587" s="473" t="s">
        <v>14234</v>
      </c>
      <c r="C4587" s="473" t="s">
        <v>46</v>
      </c>
      <c r="D4587" s="473" t="s">
        <v>41</v>
      </c>
      <c r="E4587" s="361">
        <v>12.55</v>
      </c>
    </row>
    <row r="4588" spans="1:5">
      <c r="A4588" s="473">
        <v>10933</v>
      </c>
      <c r="B4588" s="473" t="s">
        <v>14235</v>
      </c>
      <c r="C4588" s="473" t="s">
        <v>46</v>
      </c>
      <c r="D4588" s="473" t="s">
        <v>41</v>
      </c>
      <c r="E4588" s="361">
        <v>11.22</v>
      </c>
    </row>
    <row r="4589" spans="1:5">
      <c r="A4589" s="473">
        <v>10927</v>
      </c>
      <c r="B4589" s="473" t="s">
        <v>14236</v>
      </c>
      <c r="C4589" s="473" t="s">
        <v>46</v>
      </c>
      <c r="D4589" s="473" t="s">
        <v>41</v>
      </c>
      <c r="E4589" s="361">
        <v>13.55</v>
      </c>
    </row>
    <row r="4590" spans="1:5">
      <c r="A4590" s="473">
        <v>7158</v>
      </c>
      <c r="B4590" s="473" t="s">
        <v>14237</v>
      </c>
      <c r="C4590" s="473" t="s">
        <v>46</v>
      </c>
      <c r="D4590" s="473" t="s">
        <v>44</v>
      </c>
      <c r="E4590" s="361">
        <v>18.91</v>
      </c>
    </row>
    <row r="4591" spans="1:5">
      <c r="A4591" s="473">
        <v>7162</v>
      </c>
      <c r="B4591" s="473" t="s">
        <v>14238</v>
      </c>
      <c r="C4591" s="473" t="s">
        <v>46</v>
      </c>
      <c r="D4591" s="473" t="s">
        <v>41</v>
      </c>
      <c r="E4591" s="361">
        <v>28.43</v>
      </c>
    </row>
    <row r="4592" spans="1:5">
      <c r="A4592" s="473">
        <v>10932</v>
      </c>
      <c r="B4592" s="473" t="s">
        <v>14239</v>
      </c>
      <c r="C4592" s="473" t="s">
        <v>46</v>
      </c>
      <c r="D4592" s="473" t="s">
        <v>41</v>
      </c>
      <c r="E4592" s="361">
        <v>50.35</v>
      </c>
    </row>
    <row r="4593" spans="1:5">
      <c r="A4593" s="473">
        <v>40706</v>
      </c>
      <c r="B4593" s="473" t="s">
        <v>14240</v>
      </c>
      <c r="C4593" s="473" t="s">
        <v>46</v>
      </c>
      <c r="D4593" s="473" t="s">
        <v>41</v>
      </c>
      <c r="E4593" s="361">
        <v>30.19</v>
      </c>
    </row>
    <row r="4594" spans="1:5">
      <c r="A4594" s="473">
        <v>10937</v>
      </c>
      <c r="B4594" s="473" t="s">
        <v>14241</v>
      </c>
      <c r="C4594" s="473" t="s">
        <v>46</v>
      </c>
      <c r="D4594" s="473" t="s">
        <v>41</v>
      </c>
      <c r="E4594" s="361">
        <v>19.79</v>
      </c>
    </row>
    <row r="4595" spans="1:5">
      <c r="A4595" s="473">
        <v>10935</v>
      </c>
      <c r="B4595" s="473" t="s">
        <v>14242</v>
      </c>
      <c r="C4595" s="473" t="s">
        <v>46</v>
      </c>
      <c r="D4595" s="473" t="s">
        <v>41</v>
      </c>
      <c r="E4595" s="361">
        <v>26.06</v>
      </c>
    </row>
    <row r="4596" spans="1:5">
      <c r="A4596" s="473">
        <v>40707</v>
      </c>
      <c r="B4596" s="473" t="s">
        <v>14243</v>
      </c>
      <c r="C4596" s="473" t="s">
        <v>46</v>
      </c>
      <c r="D4596" s="473" t="s">
        <v>41</v>
      </c>
      <c r="E4596" s="361">
        <v>60</v>
      </c>
    </row>
    <row r="4597" spans="1:5">
      <c r="A4597" s="473">
        <v>10931</v>
      </c>
      <c r="B4597" s="473" t="s">
        <v>14244</v>
      </c>
      <c r="C4597" s="473" t="s">
        <v>46</v>
      </c>
      <c r="D4597" s="473" t="s">
        <v>41</v>
      </c>
      <c r="E4597" s="361">
        <v>8.39</v>
      </c>
    </row>
    <row r="4598" spans="1:5">
      <c r="A4598" s="473">
        <v>7164</v>
      </c>
      <c r="B4598" s="473" t="s">
        <v>14245</v>
      </c>
      <c r="C4598" s="473" t="s">
        <v>46</v>
      </c>
      <c r="D4598" s="473" t="s">
        <v>41</v>
      </c>
      <c r="E4598" s="361">
        <v>23.49</v>
      </c>
    </row>
    <row r="4599" spans="1:5">
      <c r="A4599" s="473">
        <v>36887</v>
      </c>
      <c r="B4599" s="473" t="s">
        <v>14246</v>
      </c>
      <c r="C4599" s="473" t="s">
        <v>46</v>
      </c>
      <c r="D4599" s="473" t="s">
        <v>47</v>
      </c>
      <c r="E4599" s="361">
        <v>14.07</v>
      </c>
    </row>
    <row r="4600" spans="1:5">
      <c r="A4600" s="473">
        <v>34630</v>
      </c>
      <c r="B4600" s="473" t="s">
        <v>14247</v>
      </c>
      <c r="C4600" s="473" t="s">
        <v>40</v>
      </c>
      <c r="D4600" s="473" t="s">
        <v>47</v>
      </c>
      <c r="E4600" s="361">
        <v>999.44</v>
      </c>
    </row>
    <row r="4601" spans="1:5">
      <c r="A4601" s="473">
        <v>7161</v>
      </c>
      <c r="B4601" s="473" t="s">
        <v>14248</v>
      </c>
      <c r="C4601" s="473" t="s">
        <v>46</v>
      </c>
      <c r="D4601" s="473" t="s">
        <v>41</v>
      </c>
      <c r="E4601" s="361">
        <v>3.56</v>
      </c>
    </row>
    <row r="4602" spans="1:5">
      <c r="A4602" s="473">
        <v>7170</v>
      </c>
      <c r="B4602" s="473" t="s">
        <v>14249</v>
      </c>
      <c r="C4602" s="473" t="s">
        <v>46</v>
      </c>
      <c r="D4602" s="473" t="s">
        <v>47</v>
      </c>
      <c r="E4602" s="361">
        <v>2</v>
      </c>
    </row>
    <row r="4603" spans="1:5">
      <c r="A4603" s="473">
        <v>37524</v>
      </c>
      <c r="B4603" s="473" t="s">
        <v>14250</v>
      </c>
      <c r="C4603" s="473" t="s">
        <v>48</v>
      </c>
      <c r="D4603" s="473" t="s">
        <v>47</v>
      </c>
      <c r="E4603" s="361">
        <v>1.91</v>
      </c>
    </row>
    <row r="4604" spans="1:5">
      <c r="A4604" s="473">
        <v>37525</v>
      </c>
      <c r="B4604" s="473" t="s">
        <v>14251</v>
      </c>
      <c r="C4604" s="473" t="s">
        <v>48</v>
      </c>
      <c r="D4604" s="473" t="s">
        <v>47</v>
      </c>
      <c r="E4604" s="361">
        <v>2.2799999999999998</v>
      </c>
    </row>
    <row r="4605" spans="1:5">
      <c r="A4605" s="473">
        <v>10920</v>
      </c>
      <c r="B4605" s="473" t="s">
        <v>14252</v>
      </c>
      <c r="C4605" s="473" t="s">
        <v>46</v>
      </c>
      <c r="D4605" s="473" t="s">
        <v>41</v>
      </c>
      <c r="E4605" s="361">
        <v>12.2</v>
      </c>
    </row>
    <row r="4606" spans="1:5">
      <c r="A4606" s="473">
        <v>7238</v>
      </c>
      <c r="B4606" s="473" t="s">
        <v>14253</v>
      </c>
      <c r="C4606" s="473" t="s">
        <v>46</v>
      </c>
      <c r="D4606" s="473" t="s">
        <v>47</v>
      </c>
      <c r="E4606" s="361">
        <v>38.21</v>
      </c>
    </row>
    <row r="4607" spans="1:5">
      <c r="A4607" s="473">
        <v>7239</v>
      </c>
      <c r="B4607" s="473" t="s">
        <v>14254</v>
      </c>
      <c r="C4607" s="473" t="s">
        <v>46</v>
      </c>
      <c r="D4607" s="473" t="s">
        <v>47</v>
      </c>
      <c r="E4607" s="361">
        <v>47.51</v>
      </c>
    </row>
    <row r="4608" spans="1:5">
      <c r="A4608" s="473">
        <v>7240</v>
      </c>
      <c r="B4608" s="473" t="s">
        <v>14255</v>
      </c>
      <c r="C4608" s="473" t="s">
        <v>46</v>
      </c>
      <c r="D4608" s="473" t="s">
        <v>47</v>
      </c>
      <c r="E4608" s="361">
        <v>54.55</v>
      </c>
    </row>
    <row r="4609" spans="1:5">
      <c r="A4609" s="473">
        <v>36789</v>
      </c>
      <c r="B4609" s="473" t="s">
        <v>14256</v>
      </c>
      <c r="C4609" s="473" t="s">
        <v>40</v>
      </c>
      <c r="D4609" s="473" t="s">
        <v>41</v>
      </c>
      <c r="E4609" s="361">
        <v>1.91</v>
      </c>
    </row>
    <row r="4610" spans="1:5">
      <c r="A4610" s="473">
        <v>25007</v>
      </c>
      <c r="B4610" s="473" t="s">
        <v>14257</v>
      </c>
      <c r="C4610" s="473" t="s">
        <v>46</v>
      </c>
      <c r="D4610" s="473" t="s">
        <v>47</v>
      </c>
      <c r="E4610" s="361">
        <v>28.5</v>
      </c>
    </row>
    <row r="4611" spans="1:5">
      <c r="A4611" s="473">
        <v>14171</v>
      </c>
      <c r="B4611" s="473" t="s">
        <v>14258</v>
      </c>
      <c r="C4611" s="473" t="s">
        <v>46</v>
      </c>
      <c r="D4611" s="473" t="s">
        <v>47</v>
      </c>
      <c r="E4611" s="361">
        <v>76.2</v>
      </c>
    </row>
    <row r="4612" spans="1:5">
      <c r="A4612" s="473">
        <v>14170</v>
      </c>
      <c r="B4612" s="473" t="s">
        <v>14259</v>
      </c>
      <c r="C4612" s="473" t="s">
        <v>46</v>
      </c>
      <c r="D4612" s="473" t="s">
        <v>47</v>
      </c>
      <c r="E4612" s="361">
        <v>67.33</v>
      </c>
    </row>
    <row r="4613" spans="1:5">
      <c r="A4613" s="473">
        <v>14173</v>
      </c>
      <c r="B4613" s="473" t="s">
        <v>14260</v>
      </c>
      <c r="C4613" s="473" t="s">
        <v>46</v>
      </c>
      <c r="D4613" s="473" t="s">
        <v>47</v>
      </c>
      <c r="E4613" s="361">
        <v>88.77</v>
      </c>
    </row>
    <row r="4614" spans="1:5">
      <c r="A4614" s="473">
        <v>14172</v>
      </c>
      <c r="B4614" s="473" t="s">
        <v>14261</v>
      </c>
      <c r="C4614" s="473" t="s">
        <v>46</v>
      </c>
      <c r="D4614" s="473" t="s">
        <v>47</v>
      </c>
      <c r="E4614" s="361">
        <v>71.849999999999994</v>
      </c>
    </row>
    <row r="4615" spans="1:5">
      <c r="A4615" s="473">
        <v>7243</v>
      </c>
      <c r="B4615" s="473" t="s">
        <v>14262</v>
      </c>
      <c r="C4615" s="473" t="s">
        <v>46</v>
      </c>
      <c r="D4615" s="473" t="s">
        <v>47</v>
      </c>
      <c r="E4615" s="361">
        <v>28.19</v>
      </c>
    </row>
    <row r="4616" spans="1:5">
      <c r="A4616" s="473">
        <v>11067</v>
      </c>
      <c r="B4616" s="473" t="s">
        <v>14263</v>
      </c>
      <c r="C4616" s="473" t="s">
        <v>40</v>
      </c>
      <c r="D4616" s="473" t="s">
        <v>47</v>
      </c>
      <c r="E4616" s="361">
        <v>190.06</v>
      </c>
    </row>
    <row r="4617" spans="1:5">
      <c r="A4617" s="473">
        <v>11068</v>
      </c>
      <c r="B4617" s="473" t="s">
        <v>14264</v>
      </c>
      <c r="C4617" s="473" t="s">
        <v>40</v>
      </c>
      <c r="D4617" s="473" t="s">
        <v>47</v>
      </c>
      <c r="E4617" s="361">
        <v>268.44</v>
      </c>
    </row>
    <row r="4618" spans="1:5">
      <c r="A4618" s="473">
        <v>7173</v>
      </c>
      <c r="B4618" s="473" t="s">
        <v>14265</v>
      </c>
      <c r="C4618" s="473" t="s">
        <v>56</v>
      </c>
      <c r="D4618" s="473" t="s">
        <v>44</v>
      </c>
      <c r="E4618" s="361">
        <v>1239.78</v>
      </c>
    </row>
    <row r="4619" spans="1:5">
      <c r="A4619" s="473">
        <v>7175</v>
      </c>
      <c r="B4619" s="473" t="s">
        <v>14266</v>
      </c>
      <c r="C4619" s="473" t="s">
        <v>40</v>
      </c>
      <c r="D4619" s="473" t="s">
        <v>41</v>
      </c>
      <c r="E4619" s="361">
        <v>1.4</v>
      </c>
    </row>
    <row r="4620" spans="1:5">
      <c r="A4620" s="473">
        <v>40865</v>
      </c>
      <c r="B4620" s="473" t="s">
        <v>14267</v>
      </c>
      <c r="C4620" s="473" t="s">
        <v>40</v>
      </c>
      <c r="D4620" s="473" t="s">
        <v>41</v>
      </c>
      <c r="E4620" s="361">
        <v>1.62</v>
      </c>
    </row>
    <row r="4621" spans="1:5">
      <c r="A4621" s="473">
        <v>7184</v>
      </c>
      <c r="B4621" s="473" t="s">
        <v>14268</v>
      </c>
      <c r="C4621" s="473" t="s">
        <v>46</v>
      </c>
      <c r="D4621" s="473" t="s">
        <v>47</v>
      </c>
      <c r="E4621" s="361">
        <v>27.87</v>
      </c>
    </row>
    <row r="4622" spans="1:5">
      <c r="A4622" s="473">
        <v>34458</v>
      </c>
      <c r="B4622" s="473" t="s">
        <v>14269</v>
      </c>
      <c r="C4622" s="473" t="s">
        <v>40</v>
      </c>
      <c r="D4622" s="473" t="s">
        <v>41</v>
      </c>
      <c r="E4622" s="361">
        <v>104.75</v>
      </c>
    </row>
    <row r="4623" spans="1:5">
      <c r="A4623" s="473">
        <v>34464</v>
      </c>
      <c r="B4623" s="473" t="s">
        <v>14270</v>
      </c>
      <c r="C4623" s="473" t="s">
        <v>40</v>
      </c>
      <c r="D4623" s="473" t="s">
        <v>41</v>
      </c>
      <c r="E4623" s="361">
        <v>140.53</v>
      </c>
    </row>
    <row r="4624" spans="1:5">
      <c r="A4624" s="473">
        <v>34468</v>
      </c>
      <c r="B4624" s="473" t="s">
        <v>14271</v>
      </c>
      <c r="C4624" s="473" t="s">
        <v>40</v>
      </c>
      <c r="D4624" s="473" t="s">
        <v>41</v>
      </c>
      <c r="E4624" s="361">
        <v>162.19</v>
      </c>
    </row>
    <row r="4625" spans="1:5">
      <c r="A4625" s="473">
        <v>34473</v>
      </c>
      <c r="B4625" s="473" t="s">
        <v>14272</v>
      </c>
      <c r="C4625" s="473" t="s">
        <v>40</v>
      </c>
      <c r="D4625" s="473" t="s">
        <v>41</v>
      </c>
      <c r="E4625" s="361">
        <v>132.65</v>
      </c>
    </row>
    <row r="4626" spans="1:5">
      <c r="A4626" s="473">
        <v>34480</v>
      </c>
      <c r="B4626" s="473" t="s">
        <v>14273</v>
      </c>
      <c r="C4626" s="473" t="s">
        <v>40</v>
      </c>
      <c r="D4626" s="473" t="s">
        <v>41</v>
      </c>
      <c r="E4626" s="361">
        <v>180.89</v>
      </c>
    </row>
    <row r="4627" spans="1:5">
      <c r="A4627" s="473">
        <v>34486</v>
      </c>
      <c r="B4627" s="473" t="s">
        <v>14274</v>
      </c>
      <c r="C4627" s="473" t="s">
        <v>40</v>
      </c>
      <c r="D4627" s="473" t="s">
        <v>41</v>
      </c>
      <c r="E4627" s="361">
        <v>202.59</v>
      </c>
    </row>
    <row r="4628" spans="1:5">
      <c r="A4628" s="473">
        <v>7202</v>
      </c>
      <c r="B4628" s="473" t="s">
        <v>14275</v>
      </c>
      <c r="C4628" s="473" t="s">
        <v>46</v>
      </c>
      <c r="D4628" s="473" t="s">
        <v>41</v>
      </c>
      <c r="E4628" s="361">
        <v>41.51</v>
      </c>
    </row>
    <row r="4629" spans="1:5">
      <c r="A4629" s="473">
        <v>7190</v>
      </c>
      <c r="B4629" s="473" t="s">
        <v>14276</v>
      </c>
      <c r="C4629" s="473" t="s">
        <v>40</v>
      </c>
      <c r="D4629" s="473" t="s">
        <v>41</v>
      </c>
      <c r="E4629" s="361">
        <v>7.12</v>
      </c>
    </row>
    <row r="4630" spans="1:5">
      <c r="A4630" s="473">
        <v>34417</v>
      </c>
      <c r="B4630" s="473" t="s">
        <v>14277</v>
      </c>
      <c r="C4630" s="473" t="s">
        <v>40</v>
      </c>
      <c r="D4630" s="473" t="s">
        <v>41</v>
      </c>
      <c r="E4630" s="361">
        <v>12.38</v>
      </c>
    </row>
    <row r="4631" spans="1:5">
      <c r="A4631" s="473">
        <v>7191</v>
      </c>
      <c r="B4631" s="473" t="s">
        <v>14278</v>
      </c>
      <c r="C4631" s="473" t="s">
        <v>40</v>
      </c>
      <c r="D4631" s="473" t="s">
        <v>41</v>
      </c>
      <c r="E4631" s="361">
        <v>14.34</v>
      </c>
    </row>
    <row r="4632" spans="1:5">
      <c r="A4632" s="473">
        <v>7213</v>
      </c>
      <c r="B4632" s="473" t="s">
        <v>14278</v>
      </c>
      <c r="C4632" s="473" t="s">
        <v>46</v>
      </c>
      <c r="D4632" s="473" t="s">
        <v>41</v>
      </c>
      <c r="E4632" s="361">
        <v>11.76</v>
      </c>
    </row>
    <row r="4633" spans="1:5">
      <c r="A4633" s="473">
        <v>7195</v>
      </c>
      <c r="B4633" s="473" t="s">
        <v>14279</v>
      </c>
      <c r="C4633" s="473" t="s">
        <v>40</v>
      </c>
      <c r="D4633" s="473" t="s">
        <v>41</v>
      </c>
      <c r="E4633" s="361">
        <v>34.18</v>
      </c>
    </row>
    <row r="4634" spans="1:5">
      <c r="A4634" s="473">
        <v>7186</v>
      </c>
      <c r="B4634" s="473" t="s">
        <v>14280</v>
      </c>
      <c r="C4634" s="473" t="s">
        <v>40</v>
      </c>
      <c r="D4634" s="473" t="s">
        <v>44</v>
      </c>
      <c r="E4634" s="361">
        <v>40.9</v>
      </c>
    </row>
    <row r="4635" spans="1:5">
      <c r="A4635" s="473">
        <v>7194</v>
      </c>
      <c r="B4635" s="473" t="s">
        <v>14281</v>
      </c>
      <c r="C4635" s="473" t="s">
        <v>46</v>
      </c>
      <c r="D4635" s="473" t="s">
        <v>41</v>
      </c>
      <c r="E4635" s="361">
        <v>20.28</v>
      </c>
    </row>
    <row r="4636" spans="1:5">
      <c r="A4636" s="473">
        <v>7207</v>
      </c>
      <c r="B4636" s="473" t="s">
        <v>14281</v>
      </c>
      <c r="C4636" s="473" t="s">
        <v>40</v>
      </c>
      <c r="D4636" s="473" t="s">
        <v>41</v>
      </c>
      <c r="E4636" s="361">
        <v>54.43</v>
      </c>
    </row>
    <row r="4637" spans="1:5">
      <c r="A4637" s="473">
        <v>7197</v>
      </c>
      <c r="B4637" s="473" t="s">
        <v>14282</v>
      </c>
      <c r="C4637" s="473" t="s">
        <v>40</v>
      </c>
      <c r="D4637" s="473" t="s">
        <v>41</v>
      </c>
      <c r="E4637" s="361">
        <v>81.78</v>
      </c>
    </row>
    <row r="4638" spans="1:5">
      <c r="A4638" s="473">
        <v>7192</v>
      </c>
      <c r="B4638" s="473" t="s">
        <v>14283</v>
      </c>
      <c r="C4638" s="473" t="s">
        <v>40</v>
      </c>
      <c r="D4638" s="473" t="s">
        <v>41</v>
      </c>
      <c r="E4638" s="361">
        <v>44.98</v>
      </c>
    </row>
    <row r="4639" spans="1:5">
      <c r="A4639" s="473">
        <v>7193</v>
      </c>
      <c r="B4639" s="473" t="s">
        <v>14284</v>
      </c>
      <c r="C4639" s="473" t="s">
        <v>40</v>
      </c>
      <c r="D4639" s="473" t="s">
        <v>41</v>
      </c>
      <c r="E4639" s="361">
        <v>53.69</v>
      </c>
    </row>
    <row r="4640" spans="1:5">
      <c r="A4640" s="473">
        <v>7189</v>
      </c>
      <c r="B4640" s="473" t="s">
        <v>14285</v>
      </c>
      <c r="C4640" s="473" t="s">
        <v>40</v>
      </c>
      <c r="D4640" s="473" t="s">
        <v>41</v>
      </c>
      <c r="E4640" s="361">
        <v>75.41</v>
      </c>
    </row>
    <row r="4641" spans="1:5">
      <c r="A4641" s="473">
        <v>7198</v>
      </c>
      <c r="B4641" s="473" t="s">
        <v>14286</v>
      </c>
      <c r="C4641" s="473" t="s">
        <v>46</v>
      </c>
      <c r="D4641" s="473" t="s">
        <v>41</v>
      </c>
      <c r="E4641" s="361">
        <v>28.07</v>
      </c>
    </row>
    <row r="4642" spans="1:5">
      <c r="A4642" s="473">
        <v>34402</v>
      </c>
      <c r="B4642" s="473" t="s">
        <v>14286</v>
      </c>
      <c r="C4642" s="473" t="s">
        <v>40</v>
      </c>
      <c r="D4642" s="473" t="s">
        <v>41</v>
      </c>
      <c r="E4642" s="361">
        <v>113.04</v>
      </c>
    </row>
    <row r="4643" spans="1:5">
      <c r="A4643" s="473">
        <v>7245</v>
      </c>
      <c r="B4643" s="473" t="s">
        <v>14287</v>
      </c>
      <c r="C4643" s="473" t="s">
        <v>40</v>
      </c>
      <c r="D4643" s="473" t="s">
        <v>41</v>
      </c>
      <c r="E4643" s="361">
        <v>26.92</v>
      </c>
    </row>
    <row r="4644" spans="1:5">
      <c r="A4644" s="473">
        <v>34425</v>
      </c>
      <c r="B4644" s="473" t="s">
        <v>14288</v>
      </c>
      <c r="C4644" s="473" t="s">
        <v>40</v>
      </c>
      <c r="D4644" s="473" t="s">
        <v>41</v>
      </c>
      <c r="E4644" s="361">
        <v>69.900000000000006</v>
      </c>
    </row>
    <row r="4645" spans="1:5">
      <c r="A4645" s="473">
        <v>7223</v>
      </c>
      <c r="B4645" s="473" t="s">
        <v>14289</v>
      </c>
      <c r="C4645" s="473" t="s">
        <v>40</v>
      </c>
      <c r="D4645" s="473" t="s">
        <v>41</v>
      </c>
      <c r="E4645" s="361">
        <v>81.459999999999994</v>
      </c>
    </row>
    <row r="4646" spans="1:5">
      <c r="A4646" s="473">
        <v>7234</v>
      </c>
      <c r="B4646" s="473" t="s">
        <v>14290</v>
      </c>
      <c r="C4646" s="473" t="s">
        <v>40</v>
      </c>
      <c r="D4646" s="473" t="s">
        <v>41</v>
      </c>
      <c r="E4646" s="361">
        <v>117.5</v>
      </c>
    </row>
    <row r="4647" spans="1:5">
      <c r="A4647" s="473">
        <v>7224</v>
      </c>
      <c r="B4647" s="473" t="s">
        <v>14291</v>
      </c>
      <c r="C4647" s="473" t="s">
        <v>40</v>
      </c>
      <c r="D4647" s="473" t="s">
        <v>41</v>
      </c>
      <c r="E4647" s="361">
        <v>129.79</v>
      </c>
    </row>
    <row r="4648" spans="1:5">
      <c r="A4648" s="473">
        <v>7221</v>
      </c>
      <c r="B4648" s="473" t="s">
        <v>14292</v>
      </c>
      <c r="C4648" s="473" t="s">
        <v>46</v>
      </c>
      <c r="D4648" s="473" t="s">
        <v>41</v>
      </c>
      <c r="E4648" s="361">
        <v>63.11</v>
      </c>
    </row>
    <row r="4649" spans="1:5">
      <c r="A4649" s="473">
        <v>7210</v>
      </c>
      <c r="B4649" s="473" t="s">
        <v>14292</v>
      </c>
      <c r="C4649" s="473" t="s">
        <v>40</v>
      </c>
      <c r="D4649" s="473" t="s">
        <v>41</v>
      </c>
      <c r="E4649" s="361">
        <v>147.66999999999999</v>
      </c>
    </row>
    <row r="4650" spans="1:5">
      <c r="A4650" s="473">
        <v>7225</v>
      </c>
      <c r="B4650" s="473" t="s">
        <v>14293</v>
      </c>
      <c r="C4650" s="473" t="s">
        <v>40</v>
      </c>
      <c r="D4650" s="473" t="s">
        <v>41</v>
      </c>
      <c r="E4650" s="361">
        <v>164.09</v>
      </c>
    </row>
    <row r="4651" spans="1:5">
      <c r="A4651" s="473">
        <v>7226</v>
      </c>
      <c r="B4651" s="473" t="s">
        <v>14294</v>
      </c>
      <c r="C4651" s="473" t="s">
        <v>40</v>
      </c>
      <c r="D4651" s="473" t="s">
        <v>41</v>
      </c>
      <c r="E4651" s="361">
        <v>180.57</v>
      </c>
    </row>
    <row r="4652" spans="1:5">
      <c r="A4652" s="473">
        <v>7236</v>
      </c>
      <c r="B4652" s="473" t="s">
        <v>14295</v>
      </c>
      <c r="C4652" s="473" t="s">
        <v>40</v>
      </c>
      <c r="D4652" s="473" t="s">
        <v>41</v>
      </c>
      <c r="E4652" s="361">
        <v>196.94</v>
      </c>
    </row>
    <row r="4653" spans="1:5">
      <c r="A4653" s="473">
        <v>7227</v>
      </c>
      <c r="B4653" s="473" t="s">
        <v>14296</v>
      </c>
      <c r="C4653" s="473" t="s">
        <v>40</v>
      </c>
      <c r="D4653" s="473" t="s">
        <v>41</v>
      </c>
      <c r="E4653" s="361">
        <v>213.36</v>
      </c>
    </row>
    <row r="4654" spans="1:5">
      <c r="A4654" s="473">
        <v>7212</v>
      </c>
      <c r="B4654" s="473" t="s">
        <v>14297</v>
      </c>
      <c r="C4654" s="473" t="s">
        <v>40</v>
      </c>
      <c r="D4654" s="473" t="s">
        <v>41</v>
      </c>
      <c r="E4654" s="361">
        <v>236.24</v>
      </c>
    </row>
    <row r="4655" spans="1:5">
      <c r="A4655" s="473">
        <v>7229</v>
      </c>
      <c r="B4655" s="473" t="s">
        <v>14298</v>
      </c>
      <c r="C4655" s="473" t="s">
        <v>40</v>
      </c>
      <c r="D4655" s="473" t="s">
        <v>41</v>
      </c>
      <c r="E4655" s="361">
        <v>156.22</v>
      </c>
    </row>
    <row r="4656" spans="1:5">
      <c r="A4656" s="473">
        <v>7230</v>
      </c>
      <c r="B4656" s="473" t="s">
        <v>14299</v>
      </c>
      <c r="C4656" s="473" t="s">
        <v>40</v>
      </c>
      <c r="D4656" s="473" t="s">
        <v>41</v>
      </c>
      <c r="E4656" s="361">
        <v>248.95</v>
      </c>
    </row>
    <row r="4657" spans="1:5">
      <c r="A4657" s="473">
        <v>7231</v>
      </c>
      <c r="B4657" s="473" t="s">
        <v>14300</v>
      </c>
      <c r="C4657" s="473" t="s">
        <v>40</v>
      </c>
      <c r="D4657" s="473" t="s">
        <v>41</v>
      </c>
      <c r="E4657" s="361">
        <v>326.95</v>
      </c>
    </row>
    <row r="4658" spans="1:5">
      <c r="A4658" s="473">
        <v>7220</v>
      </c>
      <c r="B4658" s="473" t="s">
        <v>14301</v>
      </c>
      <c r="C4658" s="473" t="s">
        <v>40</v>
      </c>
      <c r="D4658" s="473" t="s">
        <v>41</v>
      </c>
      <c r="E4658" s="361">
        <v>401.95</v>
      </c>
    </row>
    <row r="4659" spans="1:5">
      <c r="A4659" s="473">
        <v>34447</v>
      </c>
      <c r="B4659" s="473" t="s">
        <v>14302</v>
      </c>
      <c r="C4659" s="473" t="s">
        <v>40</v>
      </c>
      <c r="D4659" s="473" t="s">
        <v>41</v>
      </c>
      <c r="E4659" s="361">
        <v>447.38</v>
      </c>
    </row>
    <row r="4660" spans="1:5">
      <c r="A4660" s="473">
        <v>7233</v>
      </c>
      <c r="B4660" s="473" t="s">
        <v>14303</v>
      </c>
      <c r="C4660" s="473" t="s">
        <v>40</v>
      </c>
      <c r="D4660" s="473" t="s">
        <v>41</v>
      </c>
      <c r="E4660" s="361">
        <v>500.86</v>
      </c>
    </row>
    <row r="4661" spans="1:5">
      <c r="A4661" s="473">
        <v>42172</v>
      </c>
      <c r="B4661" s="473" t="s">
        <v>14304</v>
      </c>
      <c r="C4661" s="473" t="s">
        <v>46</v>
      </c>
      <c r="D4661" s="473" t="s">
        <v>47</v>
      </c>
      <c r="E4661" s="361">
        <v>132.24</v>
      </c>
    </row>
    <row r="4662" spans="1:5">
      <c r="A4662" s="473">
        <v>39520</v>
      </c>
      <c r="B4662" s="473" t="s">
        <v>14305</v>
      </c>
      <c r="C4662" s="473" t="s">
        <v>46</v>
      </c>
      <c r="D4662" s="473" t="s">
        <v>47</v>
      </c>
      <c r="E4662" s="361">
        <v>113.77</v>
      </c>
    </row>
    <row r="4663" spans="1:5">
      <c r="A4663" s="473">
        <v>39521</v>
      </c>
      <c r="B4663" s="473" t="s">
        <v>14306</v>
      </c>
      <c r="C4663" s="473" t="s">
        <v>46</v>
      </c>
      <c r="D4663" s="473" t="s">
        <v>47</v>
      </c>
      <c r="E4663" s="361">
        <v>121.86</v>
      </c>
    </row>
    <row r="4664" spans="1:5">
      <c r="A4664" s="473">
        <v>39522</v>
      </c>
      <c r="B4664" s="473" t="s">
        <v>14307</v>
      </c>
      <c r="C4664" s="473" t="s">
        <v>46</v>
      </c>
      <c r="D4664" s="473" t="s">
        <v>47</v>
      </c>
      <c r="E4664" s="361">
        <v>97.43</v>
      </c>
    </row>
    <row r="4665" spans="1:5">
      <c r="A4665" s="473">
        <v>7246</v>
      </c>
      <c r="B4665" s="473" t="s">
        <v>14308</v>
      </c>
      <c r="C4665" s="473" t="s">
        <v>40</v>
      </c>
      <c r="D4665" s="473" t="s">
        <v>41</v>
      </c>
      <c r="E4665" s="361">
        <v>25.05</v>
      </c>
    </row>
    <row r="4666" spans="1:5">
      <c r="A4666" s="473">
        <v>12869</v>
      </c>
      <c r="B4666" s="473" t="s">
        <v>14309</v>
      </c>
      <c r="C4666" s="473" t="s">
        <v>43</v>
      </c>
      <c r="D4666" s="473" t="s">
        <v>41</v>
      </c>
      <c r="E4666" s="361">
        <v>14.78</v>
      </c>
    </row>
    <row r="4667" spans="1:5">
      <c r="A4667" s="473">
        <v>41097</v>
      </c>
      <c r="B4667" s="473" t="s">
        <v>14310</v>
      </c>
      <c r="C4667" s="473" t="s">
        <v>53</v>
      </c>
      <c r="D4667" s="473" t="s">
        <v>41</v>
      </c>
      <c r="E4667" s="361">
        <v>2635.83</v>
      </c>
    </row>
    <row r="4668" spans="1:5">
      <c r="A4668" s="473">
        <v>1574</v>
      </c>
      <c r="B4668" s="473" t="s">
        <v>14311</v>
      </c>
      <c r="C4668" s="473" t="s">
        <v>40</v>
      </c>
      <c r="D4668" s="473" t="s">
        <v>41</v>
      </c>
      <c r="E4668" s="361">
        <v>0.93</v>
      </c>
    </row>
    <row r="4669" spans="1:5">
      <c r="A4669" s="473">
        <v>1581</v>
      </c>
      <c r="B4669" s="473" t="s">
        <v>14312</v>
      </c>
      <c r="C4669" s="473" t="s">
        <v>40</v>
      </c>
      <c r="D4669" s="473" t="s">
        <v>41</v>
      </c>
      <c r="E4669" s="361">
        <v>6.48</v>
      </c>
    </row>
    <row r="4670" spans="1:5">
      <c r="A4670" s="473">
        <v>1575</v>
      </c>
      <c r="B4670" s="473" t="s">
        <v>14313</v>
      </c>
      <c r="C4670" s="473" t="s">
        <v>40</v>
      </c>
      <c r="D4670" s="473" t="s">
        <v>41</v>
      </c>
      <c r="E4670" s="361">
        <v>1.1100000000000001</v>
      </c>
    </row>
    <row r="4671" spans="1:5">
      <c r="A4671" s="473">
        <v>1570</v>
      </c>
      <c r="B4671" s="473" t="s">
        <v>14314</v>
      </c>
      <c r="C4671" s="473" t="s">
        <v>40</v>
      </c>
      <c r="D4671" s="473" t="s">
        <v>41</v>
      </c>
      <c r="E4671" s="361">
        <v>0.55000000000000004</v>
      </c>
    </row>
    <row r="4672" spans="1:5">
      <c r="A4672" s="473">
        <v>1576</v>
      </c>
      <c r="B4672" s="473" t="s">
        <v>14315</v>
      </c>
      <c r="C4672" s="473" t="s">
        <v>40</v>
      </c>
      <c r="D4672" s="473" t="s">
        <v>41</v>
      </c>
      <c r="E4672" s="361">
        <v>1.53</v>
      </c>
    </row>
    <row r="4673" spans="1:5">
      <c r="A4673" s="473">
        <v>1577</v>
      </c>
      <c r="B4673" s="473" t="s">
        <v>14316</v>
      </c>
      <c r="C4673" s="473" t="s">
        <v>40</v>
      </c>
      <c r="D4673" s="473" t="s">
        <v>41</v>
      </c>
      <c r="E4673" s="361">
        <v>1.73</v>
      </c>
    </row>
    <row r="4674" spans="1:5">
      <c r="A4674" s="473">
        <v>1571</v>
      </c>
      <c r="B4674" s="473" t="s">
        <v>14317</v>
      </c>
      <c r="C4674" s="473" t="s">
        <v>40</v>
      </c>
      <c r="D4674" s="473" t="s">
        <v>41</v>
      </c>
      <c r="E4674" s="361">
        <v>0.72</v>
      </c>
    </row>
    <row r="4675" spans="1:5">
      <c r="A4675" s="473">
        <v>1578</v>
      </c>
      <c r="B4675" s="473" t="s">
        <v>14318</v>
      </c>
      <c r="C4675" s="473" t="s">
        <v>40</v>
      </c>
      <c r="D4675" s="473" t="s">
        <v>41</v>
      </c>
      <c r="E4675" s="361">
        <v>3</v>
      </c>
    </row>
    <row r="4676" spans="1:5">
      <c r="A4676" s="473">
        <v>1573</v>
      </c>
      <c r="B4676" s="473" t="s">
        <v>14319</v>
      </c>
      <c r="C4676" s="473" t="s">
        <v>40</v>
      </c>
      <c r="D4676" s="473" t="s">
        <v>41</v>
      </c>
      <c r="E4676" s="361">
        <v>0.86</v>
      </c>
    </row>
    <row r="4677" spans="1:5">
      <c r="A4677" s="473">
        <v>1579</v>
      </c>
      <c r="B4677" s="473" t="s">
        <v>14320</v>
      </c>
      <c r="C4677" s="473" t="s">
        <v>40</v>
      </c>
      <c r="D4677" s="473" t="s">
        <v>41</v>
      </c>
      <c r="E4677" s="361">
        <v>3.74</v>
      </c>
    </row>
    <row r="4678" spans="1:5">
      <c r="A4678" s="473">
        <v>1580</v>
      </c>
      <c r="B4678" s="473" t="s">
        <v>14321</v>
      </c>
      <c r="C4678" s="473" t="s">
        <v>40</v>
      </c>
      <c r="D4678" s="473" t="s">
        <v>41</v>
      </c>
      <c r="E4678" s="361">
        <v>4.5999999999999996</v>
      </c>
    </row>
    <row r="4679" spans="1:5">
      <c r="A4679" s="473">
        <v>7571</v>
      </c>
      <c r="B4679" s="473" t="s">
        <v>14322</v>
      </c>
      <c r="C4679" s="473" t="s">
        <v>40</v>
      </c>
      <c r="D4679" s="473" t="s">
        <v>41</v>
      </c>
      <c r="E4679" s="361">
        <v>9.7899999999999991</v>
      </c>
    </row>
    <row r="4680" spans="1:5">
      <c r="A4680" s="473">
        <v>39321</v>
      </c>
      <c r="B4680" s="473" t="s">
        <v>14323</v>
      </c>
      <c r="C4680" s="473" t="s">
        <v>40</v>
      </c>
      <c r="D4680" s="473" t="s">
        <v>41</v>
      </c>
      <c r="E4680" s="361">
        <v>10.26</v>
      </c>
    </row>
    <row r="4681" spans="1:5">
      <c r="A4681" s="473">
        <v>39319</v>
      </c>
      <c r="B4681" s="473" t="s">
        <v>14324</v>
      </c>
      <c r="C4681" s="473" t="s">
        <v>40</v>
      </c>
      <c r="D4681" s="473" t="s">
        <v>41</v>
      </c>
      <c r="E4681" s="361">
        <v>4.01</v>
      </c>
    </row>
    <row r="4682" spans="1:5">
      <c r="A4682" s="473">
        <v>39320</v>
      </c>
      <c r="B4682" s="473" t="s">
        <v>14325</v>
      </c>
      <c r="C4682" s="473" t="s">
        <v>40</v>
      </c>
      <c r="D4682" s="473" t="s">
        <v>41</v>
      </c>
      <c r="E4682" s="361">
        <v>6.66</v>
      </c>
    </row>
    <row r="4683" spans="1:5">
      <c r="A4683" s="473">
        <v>1591</v>
      </c>
      <c r="B4683" s="473" t="s">
        <v>14326</v>
      </c>
      <c r="C4683" s="473" t="s">
        <v>40</v>
      </c>
      <c r="D4683" s="473" t="s">
        <v>41</v>
      </c>
      <c r="E4683" s="361">
        <v>14.29</v>
      </c>
    </row>
    <row r="4684" spans="1:5">
      <c r="A4684" s="473">
        <v>1547</v>
      </c>
      <c r="B4684" s="473" t="s">
        <v>14327</v>
      </c>
      <c r="C4684" s="473" t="s">
        <v>40</v>
      </c>
      <c r="D4684" s="473" t="s">
        <v>41</v>
      </c>
      <c r="E4684" s="361">
        <v>74.87</v>
      </c>
    </row>
    <row r="4685" spans="1:5">
      <c r="A4685" s="473">
        <v>38196</v>
      </c>
      <c r="B4685" s="473" t="s">
        <v>14328</v>
      </c>
      <c r="C4685" s="473" t="s">
        <v>40</v>
      </c>
      <c r="D4685" s="473" t="s">
        <v>41</v>
      </c>
      <c r="E4685" s="361">
        <v>14.58</v>
      </c>
    </row>
    <row r="4686" spans="1:5">
      <c r="A4686" s="473">
        <v>1543</v>
      </c>
      <c r="B4686" s="473" t="s">
        <v>14329</v>
      </c>
      <c r="C4686" s="473" t="s">
        <v>40</v>
      </c>
      <c r="D4686" s="473" t="s">
        <v>41</v>
      </c>
      <c r="E4686" s="361">
        <v>15.49</v>
      </c>
    </row>
    <row r="4687" spans="1:5">
      <c r="A4687" s="473">
        <v>1585</v>
      </c>
      <c r="B4687" s="473" t="s">
        <v>14330</v>
      </c>
      <c r="C4687" s="473" t="s">
        <v>40</v>
      </c>
      <c r="D4687" s="473" t="s">
        <v>41</v>
      </c>
      <c r="E4687" s="361">
        <v>3</v>
      </c>
    </row>
    <row r="4688" spans="1:5">
      <c r="A4688" s="473">
        <v>1593</v>
      </c>
      <c r="B4688" s="473" t="s">
        <v>14331</v>
      </c>
      <c r="C4688" s="473" t="s">
        <v>40</v>
      </c>
      <c r="D4688" s="473" t="s">
        <v>41</v>
      </c>
      <c r="E4688" s="361">
        <v>15.93</v>
      </c>
    </row>
    <row r="4689" spans="1:5">
      <c r="A4689" s="473">
        <v>11838</v>
      </c>
      <c r="B4689" s="473" t="s">
        <v>14332</v>
      </c>
      <c r="C4689" s="473" t="s">
        <v>40</v>
      </c>
      <c r="D4689" s="473" t="s">
        <v>41</v>
      </c>
      <c r="E4689" s="361">
        <v>21.03</v>
      </c>
    </row>
    <row r="4690" spans="1:5">
      <c r="A4690" s="473">
        <v>1594</v>
      </c>
      <c r="B4690" s="473" t="s">
        <v>14333</v>
      </c>
      <c r="C4690" s="473" t="s">
        <v>40</v>
      </c>
      <c r="D4690" s="473" t="s">
        <v>41</v>
      </c>
      <c r="E4690" s="361">
        <v>21.26</v>
      </c>
    </row>
    <row r="4691" spans="1:5">
      <c r="A4691" s="473">
        <v>1586</v>
      </c>
      <c r="B4691" s="473" t="s">
        <v>14334</v>
      </c>
      <c r="C4691" s="473" t="s">
        <v>40</v>
      </c>
      <c r="D4691" s="473" t="s">
        <v>41</v>
      </c>
      <c r="E4691" s="361">
        <v>3.79</v>
      </c>
    </row>
    <row r="4692" spans="1:5">
      <c r="A4692" s="473">
        <v>11839</v>
      </c>
      <c r="B4692" s="473" t="s">
        <v>14335</v>
      </c>
      <c r="C4692" s="473" t="s">
        <v>40</v>
      </c>
      <c r="D4692" s="473" t="s">
        <v>41</v>
      </c>
      <c r="E4692" s="361">
        <v>30.6</v>
      </c>
    </row>
    <row r="4693" spans="1:5">
      <c r="A4693" s="473">
        <v>1587</v>
      </c>
      <c r="B4693" s="473" t="s">
        <v>14336</v>
      </c>
      <c r="C4693" s="473" t="s">
        <v>40</v>
      </c>
      <c r="D4693" s="473" t="s">
        <v>41</v>
      </c>
      <c r="E4693" s="361">
        <v>3.86</v>
      </c>
    </row>
    <row r="4694" spans="1:5">
      <c r="A4694" s="473">
        <v>1545</v>
      </c>
      <c r="B4694" s="473" t="s">
        <v>14337</v>
      </c>
      <c r="C4694" s="473" t="s">
        <v>40</v>
      </c>
      <c r="D4694" s="473" t="s">
        <v>41</v>
      </c>
      <c r="E4694" s="361">
        <v>36.71</v>
      </c>
    </row>
    <row r="4695" spans="1:5">
      <c r="A4695" s="473">
        <v>1588</v>
      </c>
      <c r="B4695" s="473" t="s">
        <v>14338</v>
      </c>
      <c r="C4695" s="473" t="s">
        <v>40</v>
      </c>
      <c r="D4695" s="473" t="s">
        <v>41</v>
      </c>
      <c r="E4695" s="361">
        <v>5.3</v>
      </c>
    </row>
    <row r="4696" spans="1:5">
      <c r="A4696" s="473">
        <v>1535</v>
      </c>
      <c r="B4696" s="473" t="s">
        <v>14339</v>
      </c>
      <c r="C4696" s="473" t="s">
        <v>40</v>
      </c>
      <c r="D4696" s="473" t="s">
        <v>41</v>
      </c>
      <c r="E4696" s="361">
        <v>3.05</v>
      </c>
    </row>
    <row r="4697" spans="1:5">
      <c r="A4697" s="473">
        <v>1589</v>
      </c>
      <c r="B4697" s="473" t="s">
        <v>14340</v>
      </c>
      <c r="C4697" s="473" t="s">
        <v>40</v>
      </c>
      <c r="D4697" s="473" t="s">
        <v>41</v>
      </c>
      <c r="E4697" s="361">
        <v>5.47</v>
      </c>
    </row>
    <row r="4698" spans="1:5">
      <c r="A4698" s="473">
        <v>1546</v>
      </c>
      <c r="B4698" s="473" t="s">
        <v>14341</v>
      </c>
      <c r="C4698" s="473" t="s">
        <v>40</v>
      </c>
      <c r="D4698" s="473" t="s">
        <v>41</v>
      </c>
      <c r="E4698" s="361">
        <v>61.96</v>
      </c>
    </row>
    <row r="4699" spans="1:5">
      <c r="A4699" s="473">
        <v>1590</v>
      </c>
      <c r="B4699" s="473" t="s">
        <v>14342</v>
      </c>
      <c r="C4699" s="473" t="s">
        <v>40</v>
      </c>
      <c r="D4699" s="473" t="s">
        <v>41</v>
      </c>
      <c r="E4699" s="361">
        <v>9.6300000000000008</v>
      </c>
    </row>
    <row r="4700" spans="1:5">
      <c r="A4700" s="473">
        <v>1542</v>
      </c>
      <c r="B4700" s="473" t="s">
        <v>14343</v>
      </c>
      <c r="C4700" s="473" t="s">
        <v>40</v>
      </c>
      <c r="D4700" s="473" t="s">
        <v>41</v>
      </c>
      <c r="E4700" s="361">
        <v>12.76</v>
      </c>
    </row>
    <row r="4701" spans="1:5">
      <c r="A4701" s="473">
        <v>38415</v>
      </c>
      <c r="B4701" s="473" t="s">
        <v>14344</v>
      </c>
      <c r="C4701" s="473" t="s">
        <v>40</v>
      </c>
      <c r="D4701" s="473" t="s">
        <v>41</v>
      </c>
      <c r="E4701" s="361">
        <v>669.38</v>
      </c>
    </row>
    <row r="4702" spans="1:5">
      <c r="A4702" s="473">
        <v>38414</v>
      </c>
      <c r="B4702" s="473" t="s">
        <v>14345</v>
      </c>
      <c r="C4702" s="473" t="s">
        <v>40</v>
      </c>
      <c r="D4702" s="473" t="s">
        <v>41</v>
      </c>
      <c r="E4702" s="361">
        <v>939.48</v>
      </c>
    </row>
    <row r="4703" spans="1:5">
      <c r="A4703" s="473">
        <v>38128</v>
      </c>
      <c r="B4703" s="473" t="s">
        <v>14346</v>
      </c>
      <c r="C4703" s="473" t="s">
        <v>49</v>
      </c>
      <c r="D4703" s="473" t="s">
        <v>44</v>
      </c>
      <c r="E4703" s="361">
        <v>0.5</v>
      </c>
    </row>
    <row r="4704" spans="1:5">
      <c r="A4704" s="473">
        <v>7253</v>
      </c>
      <c r="B4704" s="473" t="s">
        <v>14347</v>
      </c>
      <c r="C4704" s="473" t="s">
        <v>45</v>
      </c>
      <c r="D4704" s="473" t="s">
        <v>41</v>
      </c>
      <c r="E4704" s="361">
        <v>107.14</v>
      </c>
    </row>
    <row r="4705" spans="1:5">
      <c r="A4705" s="473">
        <v>4806</v>
      </c>
      <c r="B4705" s="473" t="s">
        <v>14348</v>
      </c>
      <c r="C4705" s="473" t="s">
        <v>48</v>
      </c>
      <c r="D4705" s="473" t="s">
        <v>41</v>
      </c>
      <c r="E4705" s="361">
        <v>12.6</v>
      </c>
    </row>
    <row r="4706" spans="1:5">
      <c r="A4706" s="473">
        <v>34401</v>
      </c>
      <c r="B4706" s="473" t="s">
        <v>14349</v>
      </c>
      <c r="C4706" s="473" t="s">
        <v>40</v>
      </c>
      <c r="D4706" s="473" t="s">
        <v>41</v>
      </c>
      <c r="E4706" s="361">
        <v>0.98</v>
      </c>
    </row>
    <row r="4707" spans="1:5">
      <c r="A4707" s="473">
        <v>7258</v>
      </c>
      <c r="B4707" s="473" t="s">
        <v>14350</v>
      </c>
      <c r="C4707" s="473" t="s">
        <v>40</v>
      </c>
      <c r="D4707" s="473" t="s">
        <v>41</v>
      </c>
      <c r="E4707" s="361">
        <v>0.31</v>
      </c>
    </row>
    <row r="4708" spans="1:5">
      <c r="A4708" s="473">
        <v>7260</v>
      </c>
      <c r="B4708" s="473" t="s">
        <v>14351</v>
      </c>
      <c r="C4708" s="473" t="s">
        <v>40</v>
      </c>
      <c r="D4708" s="473" t="s">
        <v>41</v>
      </c>
      <c r="E4708" s="361">
        <v>0.95</v>
      </c>
    </row>
    <row r="4709" spans="1:5">
      <c r="A4709" s="473">
        <v>7256</v>
      </c>
      <c r="B4709" s="473" t="s">
        <v>14352</v>
      </c>
      <c r="C4709" s="473" t="s">
        <v>40</v>
      </c>
      <c r="D4709" s="473" t="s">
        <v>41</v>
      </c>
      <c r="E4709" s="361">
        <v>0.55000000000000004</v>
      </c>
    </row>
    <row r="4710" spans="1:5">
      <c r="A4710" s="473">
        <v>34400</v>
      </c>
      <c r="B4710" s="473" t="s">
        <v>14353</v>
      </c>
      <c r="C4710" s="473" t="s">
        <v>40</v>
      </c>
      <c r="D4710" s="473" t="s">
        <v>41</v>
      </c>
      <c r="E4710" s="361">
        <v>2.39</v>
      </c>
    </row>
    <row r="4711" spans="1:5">
      <c r="A4711" s="473">
        <v>10617</v>
      </c>
      <c r="B4711" s="473" t="s">
        <v>14354</v>
      </c>
      <c r="C4711" s="473" t="s">
        <v>40</v>
      </c>
      <c r="D4711" s="473" t="s">
        <v>41</v>
      </c>
      <c r="E4711" s="361">
        <v>3.34</v>
      </c>
    </row>
    <row r="4712" spans="1:5">
      <c r="A4712" s="473">
        <v>7274</v>
      </c>
      <c r="B4712" s="473" t="s">
        <v>14355</v>
      </c>
      <c r="C4712" s="473" t="s">
        <v>40</v>
      </c>
      <c r="D4712" s="473" t="s">
        <v>47</v>
      </c>
      <c r="E4712" s="361">
        <v>32.56</v>
      </c>
    </row>
    <row r="4713" spans="1:5">
      <c r="A4713" s="473">
        <v>11663</v>
      </c>
      <c r="B4713" s="473" t="s">
        <v>14356</v>
      </c>
      <c r="C4713" s="473" t="s">
        <v>40</v>
      </c>
      <c r="D4713" s="473" t="s">
        <v>47</v>
      </c>
      <c r="E4713" s="361">
        <v>267.83</v>
      </c>
    </row>
    <row r="4714" spans="1:5">
      <c r="A4714" s="473">
        <v>38121</v>
      </c>
      <c r="B4714" s="473" t="s">
        <v>14357</v>
      </c>
      <c r="C4714" s="473" t="s">
        <v>50</v>
      </c>
      <c r="D4714" s="473" t="s">
        <v>41</v>
      </c>
      <c r="E4714" s="361">
        <v>13.86</v>
      </c>
    </row>
    <row r="4715" spans="1:5">
      <c r="A4715" s="473">
        <v>7343</v>
      </c>
      <c r="B4715" s="473" t="s">
        <v>14358</v>
      </c>
      <c r="C4715" s="473" t="s">
        <v>50</v>
      </c>
      <c r="D4715" s="473" t="s">
        <v>41</v>
      </c>
      <c r="E4715" s="361">
        <v>14.03</v>
      </c>
    </row>
    <row r="4716" spans="1:5">
      <c r="A4716" s="473">
        <v>7287</v>
      </c>
      <c r="B4716" s="473" t="s">
        <v>14359</v>
      </c>
      <c r="C4716" s="473" t="s">
        <v>63</v>
      </c>
      <c r="D4716" s="473" t="s">
        <v>41</v>
      </c>
      <c r="E4716" s="361">
        <v>79.47</v>
      </c>
    </row>
    <row r="4717" spans="1:5">
      <c r="A4717" s="473">
        <v>7350</v>
      </c>
      <c r="B4717" s="473" t="s">
        <v>14360</v>
      </c>
      <c r="C4717" s="473" t="s">
        <v>50</v>
      </c>
      <c r="D4717" s="473" t="s">
        <v>41</v>
      </c>
      <c r="E4717" s="361">
        <v>24.84</v>
      </c>
    </row>
    <row r="4718" spans="1:5">
      <c r="A4718" s="473">
        <v>7348</v>
      </c>
      <c r="B4718" s="473" t="s">
        <v>14361</v>
      </c>
      <c r="C4718" s="473" t="s">
        <v>50</v>
      </c>
      <c r="D4718" s="473" t="s">
        <v>41</v>
      </c>
      <c r="E4718" s="361">
        <v>13.93</v>
      </c>
    </row>
    <row r="4719" spans="1:5">
      <c r="A4719" s="473">
        <v>7347</v>
      </c>
      <c r="B4719" s="473" t="s">
        <v>14361</v>
      </c>
      <c r="C4719" s="473" t="s">
        <v>63</v>
      </c>
      <c r="D4719" s="473" t="s">
        <v>41</v>
      </c>
      <c r="E4719" s="361">
        <v>50.16</v>
      </c>
    </row>
    <row r="4720" spans="1:5">
      <c r="A4720" s="473">
        <v>7355</v>
      </c>
      <c r="B4720" s="473" t="s">
        <v>14362</v>
      </c>
      <c r="C4720" s="473" t="s">
        <v>63</v>
      </c>
      <c r="D4720" s="473" t="s">
        <v>41</v>
      </c>
      <c r="E4720" s="361">
        <v>75.17</v>
      </c>
    </row>
    <row r="4721" spans="1:5">
      <c r="A4721" s="473">
        <v>7356</v>
      </c>
      <c r="B4721" s="473" t="s">
        <v>14363</v>
      </c>
      <c r="C4721" s="473" t="s">
        <v>50</v>
      </c>
      <c r="D4721" s="473" t="s">
        <v>41</v>
      </c>
      <c r="E4721" s="361">
        <v>20.88</v>
      </c>
    </row>
    <row r="4722" spans="1:5">
      <c r="A4722" s="473">
        <v>7313</v>
      </c>
      <c r="B4722" s="473" t="s">
        <v>14364</v>
      </c>
      <c r="C4722" s="473" t="s">
        <v>50</v>
      </c>
      <c r="D4722" s="473" t="s">
        <v>41</v>
      </c>
      <c r="E4722" s="361">
        <v>15.61</v>
      </c>
    </row>
    <row r="4723" spans="1:5">
      <c r="A4723" s="473">
        <v>7319</v>
      </c>
      <c r="B4723" s="473" t="s">
        <v>14365</v>
      </c>
      <c r="C4723" s="473" t="s">
        <v>50</v>
      </c>
      <c r="D4723" s="473" t="s">
        <v>41</v>
      </c>
      <c r="E4723" s="361">
        <v>8.93</v>
      </c>
    </row>
    <row r="4724" spans="1:5">
      <c r="A4724" s="473">
        <v>38119</v>
      </c>
      <c r="B4724" s="473" t="s">
        <v>14366</v>
      </c>
      <c r="C4724" s="473" t="s">
        <v>50</v>
      </c>
      <c r="D4724" s="473" t="s">
        <v>41</v>
      </c>
      <c r="E4724" s="361">
        <v>71.36</v>
      </c>
    </row>
    <row r="4725" spans="1:5">
      <c r="A4725" s="473">
        <v>7314</v>
      </c>
      <c r="B4725" s="473" t="s">
        <v>14367</v>
      </c>
      <c r="C4725" s="473" t="s">
        <v>50</v>
      </c>
      <c r="D4725" s="473" t="s">
        <v>41</v>
      </c>
      <c r="E4725" s="361">
        <v>76.900000000000006</v>
      </c>
    </row>
    <row r="4726" spans="1:5">
      <c r="A4726" s="473">
        <v>38131</v>
      </c>
      <c r="B4726" s="473" t="s">
        <v>14368</v>
      </c>
      <c r="C4726" s="473" t="s">
        <v>50</v>
      </c>
      <c r="D4726" s="473" t="s">
        <v>41</v>
      </c>
      <c r="E4726" s="361">
        <v>72</v>
      </c>
    </row>
    <row r="4727" spans="1:5">
      <c r="A4727" s="473">
        <v>7304</v>
      </c>
      <c r="B4727" s="473" t="s">
        <v>14369</v>
      </c>
      <c r="C4727" s="473" t="s">
        <v>50</v>
      </c>
      <c r="D4727" s="473" t="s">
        <v>41</v>
      </c>
      <c r="E4727" s="361">
        <v>59.3</v>
      </c>
    </row>
    <row r="4728" spans="1:5">
      <c r="A4728" s="473">
        <v>7293</v>
      </c>
      <c r="B4728" s="473" t="s">
        <v>14370</v>
      </c>
      <c r="C4728" s="473" t="s">
        <v>50</v>
      </c>
      <c r="D4728" s="473" t="s">
        <v>41</v>
      </c>
      <c r="E4728" s="361">
        <v>26.59</v>
      </c>
    </row>
    <row r="4729" spans="1:5">
      <c r="A4729" s="473">
        <v>7311</v>
      </c>
      <c r="B4729" s="473" t="s">
        <v>14371</v>
      </c>
      <c r="C4729" s="473" t="s">
        <v>50</v>
      </c>
      <c r="D4729" s="473" t="s">
        <v>41</v>
      </c>
      <c r="E4729" s="361">
        <v>25.72</v>
      </c>
    </row>
    <row r="4730" spans="1:5">
      <c r="A4730" s="473">
        <v>7292</v>
      </c>
      <c r="B4730" s="473" t="s">
        <v>14372</v>
      </c>
      <c r="C4730" s="473" t="s">
        <v>50</v>
      </c>
      <c r="D4730" s="473" t="s">
        <v>44</v>
      </c>
      <c r="E4730" s="361">
        <v>24.97</v>
      </c>
    </row>
    <row r="4731" spans="1:5">
      <c r="A4731" s="473">
        <v>7288</v>
      </c>
      <c r="B4731" s="473" t="s">
        <v>14373</v>
      </c>
      <c r="C4731" s="473" t="s">
        <v>50</v>
      </c>
      <c r="D4731" s="473" t="s">
        <v>41</v>
      </c>
      <c r="E4731" s="361">
        <v>28.3</v>
      </c>
    </row>
    <row r="4732" spans="1:5">
      <c r="A4732" s="473">
        <v>35693</v>
      </c>
      <c r="B4732" s="473" t="s">
        <v>14374</v>
      </c>
      <c r="C4732" s="473" t="s">
        <v>50</v>
      </c>
      <c r="D4732" s="473" t="s">
        <v>41</v>
      </c>
      <c r="E4732" s="361">
        <v>9.58</v>
      </c>
    </row>
    <row r="4733" spans="1:5">
      <c r="A4733" s="473">
        <v>35692</v>
      </c>
      <c r="B4733" s="473" t="s">
        <v>14375</v>
      </c>
      <c r="C4733" s="473" t="s">
        <v>50</v>
      </c>
      <c r="D4733" s="473" t="s">
        <v>41</v>
      </c>
      <c r="E4733" s="361">
        <v>51.35</v>
      </c>
    </row>
    <row r="4734" spans="1:5">
      <c r="A4734" s="473">
        <v>7344</v>
      </c>
      <c r="B4734" s="473" t="s">
        <v>14376</v>
      </c>
      <c r="C4734" s="473" t="s">
        <v>63</v>
      </c>
      <c r="D4734" s="473" t="s">
        <v>44</v>
      </c>
      <c r="E4734" s="361">
        <v>64.98</v>
      </c>
    </row>
    <row r="4735" spans="1:5">
      <c r="A4735" s="473">
        <v>7345</v>
      </c>
      <c r="B4735" s="473" t="s">
        <v>14377</v>
      </c>
      <c r="C4735" s="473" t="s">
        <v>50</v>
      </c>
      <c r="D4735" s="473" t="s">
        <v>41</v>
      </c>
      <c r="E4735" s="361">
        <v>18.05</v>
      </c>
    </row>
    <row r="4736" spans="1:5">
      <c r="A4736" s="473">
        <v>35691</v>
      </c>
      <c r="B4736" s="473" t="s">
        <v>14378</v>
      </c>
      <c r="C4736" s="473" t="s">
        <v>50</v>
      </c>
      <c r="D4736" s="473" t="s">
        <v>41</v>
      </c>
      <c r="E4736" s="361">
        <v>14.26</v>
      </c>
    </row>
    <row r="4737" spans="1:5">
      <c r="A4737" s="473">
        <v>7342</v>
      </c>
      <c r="B4737" s="473" t="s">
        <v>14379</v>
      </c>
      <c r="C4737" s="473" t="s">
        <v>49</v>
      </c>
      <c r="D4737" s="473" t="s">
        <v>41</v>
      </c>
      <c r="E4737" s="361">
        <v>1.71</v>
      </c>
    </row>
    <row r="4738" spans="1:5">
      <c r="A4738" s="473">
        <v>7306</v>
      </c>
      <c r="B4738" s="473" t="s">
        <v>14380</v>
      </c>
      <c r="C4738" s="473" t="s">
        <v>50</v>
      </c>
      <c r="D4738" s="473" t="s">
        <v>41</v>
      </c>
      <c r="E4738" s="361">
        <v>30.5</v>
      </c>
    </row>
    <row r="4739" spans="1:5">
      <c r="A4739" s="473">
        <v>154</v>
      </c>
      <c r="B4739" s="473" t="s">
        <v>14381</v>
      </c>
      <c r="C4739" s="473" t="s">
        <v>50</v>
      </c>
      <c r="D4739" s="473" t="s">
        <v>41</v>
      </c>
      <c r="E4739" s="361">
        <v>41.88</v>
      </c>
    </row>
    <row r="4740" spans="1:5">
      <c r="A4740" s="473">
        <v>7338</v>
      </c>
      <c r="B4740" s="473" t="s">
        <v>14382</v>
      </c>
      <c r="C4740" s="473" t="s">
        <v>49</v>
      </c>
      <c r="D4740" s="473" t="s">
        <v>41</v>
      </c>
      <c r="E4740" s="361">
        <v>27.92</v>
      </c>
    </row>
    <row r="4741" spans="1:5">
      <c r="A4741" s="473">
        <v>39574</v>
      </c>
      <c r="B4741" s="473" t="s">
        <v>14383</v>
      </c>
      <c r="C4741" s="473" t="s">
        <v>40</v>
      </c>
      <c r="D4741" s="473" t="s">
        <v>41</v>
      </c>
      <c r="E4741" s="361">
        <v>2.52</v>
      </c>
    </row>
    <row r="4742" spans="1:5">
      <c r="A4742" s="473">
        <v>11060</v>
      </c>
      <c r="B4742" s="473" t="s">
        <v>14384</v>
      </c>
      <c r="C4742" s="473" t="s">
        <v>40</v>
      </c>
      <c r="D4742" s="473" t="s">
        <v>41</v>
      </c>
      <c r="E4742" s="361">
        <v>24.2</v>
      </c>
    </row>
    <row r="4743" spans="1:5">
      <c r="A4743" s="473">
        <v>37401</v>
      </c>
      <c r="B4743" s="473" t="s">
        <v>14385</v>
      </c>
      <c r="C4743" s="473" t="s">
        <v>40</v>
      </c>
      <c r="D4743" s="473" t="s">
        <v>47</v>
      </c>
      <c r="E4743" s="361">
        <v>47.26</v>
      </c>
    </row>
    <row r="4744" spans="1:5">
      <c r="A4744" s="473">
        <v>7525</v>
      </c>
      <c r="B4744" s="473" t="s">
        <v>14386</v>
      </c>
      <c r="C4744" s="473" t="s">
        <v>40</v>
      </c>
      <c r="D4744" s="473" t="s">
        <v>41</v>
      </c>
      <c r="E4744" s="361">
        <v>36.93</v>
      </c>
    </row>
    <row r="4745" spans="1:5">
      <c r="A4745" s="473">
        <v>7524</v>
      </c>
      <c r="B4745" s="473" t="s">
        <v>14387</v>
      </c>
      <c r="C4745" s="473" t="s">
        <v>40</v>
      </c>
      <c r="D4745" s="473" t="s">
        <v>41</v>
      </c>
      <c r="E4745" s="361">
        <v>34.799999999999997</v>
      </c>
    </row>
    <row r="4746" spans="1:5">
      <c r="A4746" s="473">
        <v>38105</v>
      </c>
      <c r="B4746" s="473" t="s">
        <v>14388</v>
      </c>
      <c r="C4746" s="473" t="s">
        <v>40</v>
      </c>
      <c r="D4746" s="473" t="s">
        <v>41</v>
      </c>
      <c r="E4746" s="361">
        <v>8.94</v>
      </c>
    </row>
    <row r="4747" spans="1:5">
      <c r="A4747" s="473">
        <v>38084</v>
      </c>
      <c r="B4747" s="473" t="s">
        <v>14389</v>
      </c>
      <c r="C4747" s="473" t="s">
        <v>40</v>
      </c>
      <c r="D4747" s="473" t="s">
        <v>41</v>
      </c>
      <c r="E4747" s="361">
        <v>12.69</v>
      </c>
    </row>
    <row r="4748" spans="1:5">
      <c r="A4748" s="473">
        <v>38103</v>
      </c>
      <c r="B4748" s="473" t="s">
        <v>14390</v>
      </c>
      <c r="C4748" s="473" t="s">
        <v>40</v>
      </c>
      <c r="D4748" s="473" t="s">
        <v>41</v>
      </c>
      <c r="E4748" s="361">
        <v>13.42</v>
      </c>
    </row>
    <row r="4749" spans="1:5">
      <c r="A4749" s="473">
        <v>38082</v>
      </c>
      <c r="B4749" s="473" t="s">
        <v>14391</v>
      </c>
      <c r="C4749" s="473" t="s">
        <v>40</v>
      </c>
      <c r="D4749" s="473" t="s">
        <v>41</v>
      </c>
      <c r="E4749" s="361">
        <v>16.53</v>
      </c>
    </row>
    <row r="4750" spans="1:5">
      <c r="A4750" s="473">
        <v>38104</v>
      </c>
      <c r="B4750" s="473" t="s">
        <v>14392</v>
      </c>
      <c r="C4750" s="473" t="s">
        <v>40</v>
      </c>
      <c r="D4750" s="473" t="s">
        <v>41</v>
      </c>
      <c r="E4750" s="361">
        <v>26.27</v>
      </c>
    </row>
    <row r="4751" spans="1:5">
      <c r="A4751" s="473">
        <v>38083</v>
      </c>
      <c r="B4751" s="473" t="s">
        <v>14393</v>
      </c>
      <c r="C4751" s="473" t="s">
        <v>40</v>
      </c>
      <c r="D4751" s="473" t="s">
        <v>41</v>
      </c>
      <c r="E4751" s="361">
        <v>29.17</v>
      </c>
    </row>
    <row r="4752" spans="1:5">
      <c r="A4752" s="473">
        <v>38101</v>
      </c>
      <c r="B4752" s="473" t="s">
        <v>14394</v>
      </c>
      <c r="C4752" s="473" t="s">
        <v>40</v>
      </c>
      <c r="D4752" s="473" t="s">
        <v>41</v>
      </c>
      <c r="E4752" s="361">
        <v>6.38</v>
      </c>
    </row>
    <row r="4753" spans="1:5">
      <c r="A4753" s="473">
        <v>7528</v>
      </c>
      <c r="B4753" s="473" t="s">
        <v>14395</v>
      </c>
      <c r="C4753" s="473" t="s">
        <v>40</v>
      </c>
      <c r="D4753" s="473" t="s">
        <v>44</v>
      </c>
      <c r="E4753" s="361">
        <v>7.5</v>
      </c>
    </row>
    <row r="4754" spans="1:5">
      <c r="A4754" s="473">
        <v>12147</v>
      </c>
      <c r="B4754" s="473" t="s">
        <v>14396</v>
      </c>
      <c r="C4754" s="473" t="s">
        <v>40</v>
      </c>
      <c r="D4754" s="473" t="s">
        <v>41</v>
      </c>
      <c r="E4754" s="361">
        <v>11.43</v>
      </c>
    </row>
    <row r="4755" spans="1:5">
      <c r="A4755" s="473">
        <v>38075</v>
      </c>
      <c r="B4755" s="473" t="s">
        <v>14397</v>
      </c>
      <c r="C4755" s="473" t="s">
        <v>40</v>
      </c>
      <c r="D4755" s="473" t="s">
        <v>41</v>
      </c>
      <c r="E4755" s="361">
        <v>12.99</v>
      </c>
    </row>
    <row r="4756" spans="1:5">
      <c r="A4756" s="473">
        <v>38102</v>
      </c>
      <c r="B4756" s="473" t="s">
        <v>14398</v>
      </c>
      <c r="C4756" s="473" t="s">
        <v>40</v>
      </c>
      <c r="D4756" s="473" t="s">
        <v>41</v>
      </c>
      <c r="E4756" s="361">
        <v>8.16</v>
      </c>
    </row>
    <row r="4757" spans="1:5">
      <c r="A4757" s="473">
        <v>38076</v>
      </c>
      <c r="B4757" s="473" t="s">
        <v>14399</v>
      </c>
      <c r="C4757" s="473" t="s">
        <v>40</v>
      </c>
      <c r="D4757" s="473" t="s">
        <v>41</v>
      </c>
      <c r="E4757" s="361">
        <v>14.56</v>
      </c>
    </row>
    <row r="4758" spans="1:5">
      <c r="A4758" s="473">
        <v>7592</v>
      </c>
      <c r="B4758" s="473" t="s">
        <v>14400</v>
      </c>
      <c r="C4758" s="473" t="s">
        <v>43</v>
      </c>
      <c r="D4758" s="473" t="s">
        <v>44</v>
      </c>
      <c r="E4758" s="361">
        <v>13.54</v>
      </c>
    </row>
    <row r="4759" spans="1:5">
      <c r="A4759" s="473">
        <v>40820</v>
      </c>
      <c r="B4759" s="473" t="s">
        <v>14401</v>
      </c>
      <c r="C4759" s="473" t="s">
        <v>53</v>
      </c>
      <c r="D4759" s="473" t="s">
        <v>41</v>
      </c>
      <c r="E4759" s="361">
        <v>2530.58</v>
      </c>
    </row>
    <row r="4760" spans="1:5">
      <c r="A4760" s="473">
        <v>11762</v>
      </c>
      <c r="B4760" s="473" t="s">
        <v>14402</v>
      </c>
      <c r="C4760" s="473" t="s">
        <v>40</v>
      </c>
      <c r="D4760" s="473" t="s">
        <v>41</v>
      </c>
      <c r="E4760" s="361">
        <v>50.59</v>
      </c>
    </row>
    <row r="4761" spans="1:5">
      <c r="A4761" s="473">
        <v>13418</v>
      </c>
      <c r="B4761" s="473" t="s">
        <v>14403</v>
      </c>
      <c r="C4761" s="473" t="s">
        <v>40</v>
      </c>
      <c r="D4761" s="473" t="s">
        <v>41</v>
      </c>
      <c r="E4761" s="361">
        <v>14.13</v>
      </c>
    </row>
    <row r="4762" spans="1:5">
      <c r="A4762" s="473">
        <v>13984</v>
      </c>
      <c r="B4762" s="473" t="s">
        <v>14404</v>
      </c>
      <c r="C4762" s="473" t="s">
        <v>40</v>
      </c>
      <c r="D4762" s="473" t="s">
        <v>41</v>
      </c>
      <c r="E4762" s="361">
        <v>35.35</v>
      </c>
    </row>
    <row r="4763" spans="1:5">
      <c r="A4763" s="473">
        <v>11772</v>
      </c>
      <c r="B4763" s="473" t="s">
        <v>14405</v>
      </c>
      <c r="C4763" s="473" t="s">
        <v>40</v>
      </c>
      <c r="D4763" s="473" t="s">
        <v>41</v>
      </c>
      <c r="E4763" s="361">
        <v>85.85</v>
      </c>
    </row>
    <row r="4764" spans="1:5">
      <c r="A4764" s="473">
        <v>36795</v>
      </c>
      <c r="B4764" s="473" t="s">
        <v>14406</v>
      </c>
      <c r="C4764" s="473" t="s">
        <v>40</v>
      </c>
      <c r="D4764" s="473" t="s">
        <v>41</v>
      </c>
      <c r="E4764" s="361">
        <v>552.19000000000005</v>
      </c>
    </row>
    <row r="4765" spans="1:5">
      <c r="A4765" s="473">
        <v>36796</v>
      </c>
      <c r="B4765" s="473" t="s">
        <v>14407</v>
      </c>
      <c r="C4765" s="473" t="s">
        <v>40</v>
      </c>
      <c r="D4765" s="473" t="s">
        <v>41</v>
      </c>
      <c r="E4765" s="361">
        <v>142.16999999999999</v>
      </c>
    </row>
    <row r="4766" spans="1:5">
      <c r="A4766" s="473">
        <v>36791</v>
      </c>
      <c r="B4766" s="473" t="s">
        <v>14408</v>
      </c>
      <c r="C4766" s="473" t="s">
        <v>40</v>
      </c>
      <c r="D4766" s="473" t="s">
        <v>41</v>
      </c>
      <c r="E4766" s="361">
        <v>73.25</v>
      </c>
    </row>
    <row r="4767" spans="1:5">
      <c r="A4767" s="473">
        <v>13415</v>
      </c>
      <c r="B4767" s="473" t="s">
        <v>14409</v>
      </c>
      <c r="C4767" s="473" t="s">
        <v>40</v>
      </c>
      <c r="D4767" s="473" t="s">
        <v>44</v>
      </c>
      <c r="E4767" s="361">
        <v>42.58</v>
      </c>
    </row>
    <row r="4768" spans="1:5">
      <c r="A4768" s="473">
        <v>36792</v>
      </c>
      <c r="B4768" s="473" t="s">
        <v>14410</v>
      </c>
      <c r="C4768" s="473" t="s">
        <v>40</v>
      </c>
      <c r="D4768" s="473" t="s">
        <v>41</v>
      </c>
      <c r="E4768" s="361">
        <v>140.02000000000001</v>
      </c>
    </row>
    <row r="4769" spans="1:5">
      <c r="A4769" s="473">
        <v>11773</v>
      </c>
      <c r="B4769" s="473" t="s">
        <v>14411</v>
      </c>
      <c r="C4769" s="473" t="s">
        <v>40</v>
      </c>
      <c r="D4769" s="473" t="s">
        <v>41</v>
      </c>
      <c r="E4769" s="361">
        <v>81.96</v>
      </c>
    </row>
    <row r="4770" spans="1:5">
      <c r="A4770" s="473">
        <v>11775</v>
      </c>
      <c r="B4770" s="473" t="s">
        <v>14412</v>
      </c>
      <c r="C4770" s="473" t="s">
        <v>40</v>
      </c>
      <c r="D4770" s="473" t="s">
        <v>41</v>
      </c>
      <c r="E4770" s="361">
        <v>85.59</v>
      </c>
    </row>
    <row r="4771" spans="1:5">
      <c r="A4771" s="473">
        <v>13983</v>
      </c>
      <c r="B4771" s="473" t="s">
        <v>14413</v>
      </c>
      <c r="C4771" s="473" t="s">
        <v>40</v>
      </c>
      <c r="D4771" s="473" t="s">
        <v>41</v>
      </c>
      <c r="E4771" s="361">
        <v>43.73</v>
      </c>
    </row>
    <row r="4772" spans="1:5">
      <c r="A4772" s="473">
        <v>13416</v>
      </c>
      <c r="B4772" s="473" t="s">
        <v>14414</v>
      </c>
      <c r="C4772" s="473" t="s">
        <v>40</v>
      </c>
      <c r="D4772" s="473" t="s">
        <v>41</v>
      </c>
      <c r="E4772" s="361">
        <v>35.26</v>
      </c>
    </row>
    <row r="4773" spans="1:5">
      <c r="A4773" s="473">
        <v>13417</v>
      </c>
      <c r="B4773" s="473" t="s">
        <v>14415</v>
      </c>
      <c r="C4773" s="473" t="s">
        <v>40</v>
      </c>
      <c r="D4773" s="473" t="s">
        <v>41</v>
      </c>
      <c r="E4773" s="361">
        <v>31.1</v>
      </c>
    </row>
    <row r="4774" spans="1:5">
      <c r="A4774" s="473">
        <v>7604</v>
      </c>
      <c r="B4774" s="473" t="s">
        <v>14416</v>
      </c>
      <c r="C4774" s="473" t="s">
        <v>40</v>
      </c>
      <c r="D4774" s="473" t="s">
        <v>41</v>
      </c>
      <c r="E4774" s="361">
        <v>13.47</v>
      </c>
    </row>
    <row r="4775" spans="1:5">
      <c r="A4775" s="473">
        <v>11763</v>
      </c>
      <c r="B4775" s="473" t="s">
        <v>14417</v>
      </c>
      <c r="C4775" s="473" t="s">
        <v>40</v>
      </c>
      <c r="D4775" s="473" t="s">
        <v>41</v>
      </c>
      <c r="E4775" s="361">
        <v>123.49</v>
      </c>
    </row>
    <row r="4776" spans="1:5">
      <c r="A4776" s="473">
        <v>11764</v>
      </c>
      <c r="B4776" s="473" t="s">
        <v>14418</v>
      </c>
      <c r="C4776" s="473" t="s">
        <v>40</v>
      </c>
      <c r="D4776" s="473" t="s">
        <v>41</v>
      </c>
      <c r="E4776" s="361">
        <v>131.9</v>
      </c>
    </row>
    <row r="4777" spans="1:5">
      <c r="A4777" s="473">
        <v>11829</v>
      </c>
      <c r="B4777" s="473" t="s">
        <v>14419</v>
      </c>
      <c r="C4777" s="473" t="s">
        <v>40</v>
      </c>
      <c r="D4777" s="473" t="s">
        <v>41</v>
      </c>
      <c r="E4777" s="361">
        <v>31.61</v>
      </c>
    </row>
    <row r="4778" spans="1:5">
      <c r="A4778" s="473">
        <v>11825</v>
      </c>
      <c r="B4778" s="473" t="s">
        <v>14420</v>
      </c>
      <c r="C4778" s="473" t="s">
        <v>40</v>
      </c>
      <c r="D4778" s="473" t="s">
        <v>41</v>
      </c>
      <c r="E4778" s="361">
        <v>54.2</v>
      </c>
    </row>
    <row r="4779" spans="1:5">
      <c r="A4779" s="473">
        <v>11767</v>
      </c>
      <c r="B4779" s="473" t="s">
        <v>14421</v>
      </c>
      <c r="C4779" s="473" t="s">
        <v>40</v>
      </c>
      <c r="D4779" s="473" t="s">
        <v>41</v>
      </c>
      <c r="E4779" s="361">
        <v>218.94</v>
      </c>
    </row>
    <row r="4780" spans="1:5">
      <c r="A4780" s="473">
        <v>11830</v>
      </c>
      <c r="B4780" s="473" t="s">
        <v>14422</v>
      </c>
      <c r="C4780" s="473" t="s">
        <v>40</v>
      </c>
      <c r="D4780" s="473" t="s">
        <v>41</v>
      </c>
      <c r="E4780" s="361">
        <v>34.159999999999997</v>
      </c>
    </row>
    <row r="4781" spans="1:5">
      <c r="A4781" s="473">
        <v>11766</v>
      </c>
      <c r="B4781" s="473" t="s">
        <v>14423</v>
      </c>
      <c r="C4781" s="473" t="s">
        <v>40</v>
      </c>
      <c r="D4781" s="473" t="s">
        <v>41</v>
      </c>
      <c r="E4781" s="361">
        <v>60.72</v>
      </c>
    </row>
    <row r="4782" spans="1:5">
      <c r="A4782" s="473">
        <v>11765</v>
      </c>
      <c r="B4782" s="473" t="s">
        <v>14424</v>
      </c>
      <c r="C4782" s="473" t="s">
        <v>40</v>
      </c>
      <c r="D4782" s="473" t="s">
        <v>41</v>
      </c>
      <c r="E4782" s="361">
        <v>82.69</v>
      </c>
    </row>
    <row r="4783" spans="1:5">
      <c r="A4783" s="473">
        <v>11824</v>
      </c>
      <c r="B4783" s="473" t="s">
        <v>14425</v>
      </c>
      <c r="C4783" s="473" t="s">
        <v>40</v>
      </c>
      <c r="D4783" s="473" t="s">
        <v>41</v>
      </c>
      <c r="E4783" s="361">
        <v>62.63</v>
      </c>
    </row>
    <row r="4784" spans="1:5">
      <c r="A4784" s="473">
        <v>11777</v>
      </c>
      <c r="B4784" s="473" t="s">
        <v>14426</v>
      </c>
      <c r="C4784" s="473" t="s">
        <v>40</v>
      </c>
      <c r="D4784" s="473" t="s">
        <v>41</v>
      </c>
      <c r="E4784" s="361">
        <v>108.2</v>
      </c>
    </row>
    <row r="4785" spans="1:5">
      <c r="A4785" s="473">
        <v>7602</v>
      </c>
      <c r="B4785" s="473" t="s">
        <v>14427</v>
      </c>
      <c r="C4785" s="473" t="s">
        <v>40</v>
      </c>
      <c r="D4785" s="473" t="s">
        <v>41</v>
      </c>
      <c r="E4785" s="361">
        <v>13.35</v>
      </c>
    </row>
    <row r="4786" spans="1:5">
      <c r="A4786" s="473">
        <v>7603</v>
      </c>
      <c r="B4786" s="473" t="s">
        <v>14428</v>
      </c>
      <c r="C4786" s="473" t="s">
        <v>40</v>
      </c>
      <c r="D4786" s="473" t="s">
        <v>41</v>
      </c>
      <c r="E4786" s="361">
        <v>12.95</v>
      </c>
    </row>
    <row r="4787" spans="1:5">
      <c r="A4787" s="473">
        <v>11826</v>
      </c>
      <c r="B4787" s="473" t="s">
        <v>14429</v>
      </c>
      <c r="C4787" s="473" t="s">
        <v>40</v>
      </c>
      <c r="D4787" s="473" t="s">
        <v>41</v>
      </c>
      <c r="E4787" s="361">
        <v>52.6</v>
      </c>
    </row>
    <row r="4788" spans="1:5">
      <c r="A4788" s="473">
        <v>7606</v>
      </c>
      <c r="B4788" s="473" t="s">
        <v>14430</v>
      </c>
      <c r="C4788" s="473" t="s">
        <v>40</v>
      </c>
      <c r="D4788" s="473" t="s">
        <v>41</v>
      </c>
      <c r="E4788" s="361">
        <v>54.81</v>
      </c>
    </row>
    <row r="4789" spans="1:5">
      <c r="A4789" s="473">
        <v>40329</v>
      </c>
      <c r="B4789" s="473" t="s">
        <v>14431</v>
      </c>
      <c r="C4789" s="473" t="s">
        <v>40</v>
      </c>
      <c r="D4789" s="473" t="s">
        <v>44</v>
      </c>
      <c r="E4789" s="361">
        <v>26.51</v>
      </c>
    </row>
    <row r="4790" spans="1:5">
      <c r="A4790" s="473">
        <v>11823</v>
      </c>
      <c r="B4790" s="473" t="s">
        <v>14432</v>
      </c>
      <c r="C4790" s="473" t="s">
        <v>40</v>
      </c>
      <c r="D4790" s="473" t="s">
        <v>41</v>
      </c>
      <c r="E4790" s="361">
        <v>11.46</v>
      </c>
    </row>
    <row r="4791" spans="1:5">
      <c r="A4791" s="473">
        <v>11822</v>
      </c>
      <c r="B4791" s="473" t="s">
        <v>14433</v>
      </c>
      <c r="C4791" s="473" t="s">
        <v>40</v>
      </c>
      <c r="D4791" s="473" t="s">
        <v>41</v>
      </c>
      <c r="E4791" s="361">
        <v>23.08</v>
      </c>
    </row>
    <row r="4792" spans="1:5">
      <c r="A4792" s="473">
        <v>11831</v>
      </c>
      <c r="B4792" s="473" t="s">
        <v>14434</v>
      </c>
      <c r="C4792" s="473" t="s">
        <v>40</v>
      </c>
      <c r="D4792" s="473" t="s">
        <v>41</v>
      </c>
      <c r="E4792" s="361">
        <v>17.52</v>
      </c>
    </row>
    <row r="4793" spans="1:5">
      <c r="A4793" s="473">
        <v>7613</v>
      </c>
      <c r="B4793" s="473" t="s">
        <v>14435</v>
      </c>
      <c r="C4793" s="473" t="s">
        <v>40</v>
      </c>
      <c r="D4793" s="473" t="s">
        <v>47</v>
      </c>
      <c r="E4793" s="361">
        <v>52005.85</v>
      </c>
    </row>
    <row r="4794" spans="1:5">
      <c r="A4794" s="473">
        <v>7619</v>
      </c>
      <c r="B4794" s="473" t="s">
        <v>14436</v>
      </c>
      <c r="C4794" s="473" t="s">
        <v>40</v>
      </c>
      <c r="D4794" s="473" t="s">
        <v>47</v>
      </c>
      <c r="E4794" s="361">
        <v>8038.99</v>
      </c>
    </row>
    <row r="4795" spans="1:5">
      <c r="A4795" s="473">
        <v>12076</v>
      </c>
      <c r="B4795" s="473" t="s">
        <v>14437</v>
      </c>
      <c r="C4795" s="473" t="s">
        <v>40</v>
      </c>
      <c r="D4795" s="473" t="s">
        <v>47</v>
      </c>
      <c r="E4795" s="361">
        <v>3687.61</v>
      </c>
    </row>
    <row r="4796" spans="1:5">
      <c r="A4796" s="473">
        <v>7614</v>
      </c>
      <c r="B4796" s="473" t="s">
        <v>14438</v>
      </c>
      <c r="C4796" s="473" t="s">
        <v>40</v>
      </c>
      <c r="D4796" s="473" t="s">
        <v>47</v>
      </c>
      <c r="E4796" s="361">
        <v>10139.08</v>
      </c>
    </row>
    <row r="4797" spans="1:5">
      <c r="A4797" s="473">
        <v>7618</v>
      </c>
      <c r="B4797" s="473" t="s">
        <v>14439</v>
      </c>
      <c r="C4797" s="473" t="s">
        <v>40</v>
      </c>
      <c r="D4797" s="473" t="s">
        <v>47</v>
      </c>
      <c r="E4797" s="361">
        <v>65759.59</v>
      </c>
    </row>
    <row r="4798" spans="1:5">
      <c r="A4798" s="473">
        <v>7620</v>
      </c>
      <c r="B4798" s="473" t="s">
        <v>14440</v>
      </c>
      <c r="C4798" s="473" t="s">
        <v>40</v>
      </c>
      <c r="D4798" s="473" t="s">
        <v>47</v>
      </c>
      <c r="E4798" s="361">
        <v>14223.64</v>
      </c>
    </row>
    <row r="4799" spans="1:5">
      <c r="A4799" s="473">
        <v>7610</v>
      </c>
      <c r="B4799" s="473" t="s">
        <v>14441</v>
      </c>
      <c r="C4799" s="473" t="s">
        <v>40</v>
      </c>
      <c r="D4799" s="473" t="s">
        <v>47</v>
      </c>
      <c r="E4799" s="361">
        <v>4504.1499999999996</v>
      </c>
    </row>
    <row r="4800" spans="1:5">
      <c r="A4800" s="473">
        <v>7615</v>
      </c>
      <c r="B4800" s="473" t="s">
        <v>14442</v>
      </c>
      <c r="C4800" s="473" t="s">
        <v>40</v>
      </c>
      <c r="D4800" s="473" t="s">
        <v>47</v>
      </c>
      <c r="E4800" s="361">
        <v>16594.25</v>
      </c>
    </row>
    <row r="4801" spans="1:5">
      <c r="A4801" s="473">
        <v>7617</v>
      </c>
      <c r="B4801" s="473" t="s">
        <v>14443</v>
      </c>
      <c r="C4801" s="473" t="s">
        <v>40</v>
      </c>
      <c r="D4801" s="473" t="s">
        <v>47</v>
      </c>
      <c r="E4801" s="361">
        <v>5030.95</v>
      </c>
    </row>
    <row r="4802" spans="1:5">
      <c r="A4802" s="473">
        <v>7616</v>
      </c>
      <c r="B4802" s="473" t="s">
        <v>14444</v>
      </c>
      <c r="C4802" s="473" t="s">
        <v>40</v>
      </c>
      <c r="D4802" s="473" t="s">
        <v>47</v>
      </c>
      <c r="E4802" s="361">
        <v>27079.18</v>
      </c>
    </row>
    <row r="4803" spans="1:5">
      <c r="A4803" s="473">
        <v>7611</v>
      </c>
      <c r="B4803" s="473" t="s">
        <v>14445</v>
      </c>
      <c r="C4803" s="473" t="s">
        <v>40</v>
      </c>
      <c r="D4803" s="473" t="s">
        <v>47</v>
      </c>
      <c r="E4803" s="361">
        <v>6506</v>
      </c>
    </row>
    <row r="4804" spans="1:5">
      <c r="A4804" s="473">
        <v>7612</v>
      </c>
      <c r="B4804" s="473" t="s">
        <v>14446</v>
      </c>
      <c r="C4804" s="473" t="s">
        <v>40</v>
      </c>
      <c r="D4804" s="473" t="s">
        <v>47</v>
      </c>
      <c r="E4804" s="361">
        <v>37143.72</v>
      </c>
    </row>
    <row r="4805" spans="1:5">
      <c r="A4805" s="473">
        <v>37371</v>
      </c>
      <c r="B4805" s="473" t="s">
        <v>14447</v>
      </c>
      <c r="C4805" s="473" t="s">
        <v>43</v>
      </c>
      <c r="D4805" s="473" t="s">
        <v>44</v>
      </c>
      <c r="E4805" s="361">
        <v>1.36</v>
      </c>
    </row>
    <row r="4806" spans="1:5">
      <c r="A4806" s="473">
        <v>40861</v>
      </c>
      <c r="B4806" s="473" t="s">
        <v>14448</v>
      </c>
      <c r="C4806" s="473" t="s">
        <v>53</v>
      </c>
      <c r="D4806" s="473" t="s">
        <v>44</v>
      </c>
      <c r="E4806" s="361">
        <v>257.26</v>
      </c>
    </row>
    <row r="4807" spans="1:5">
      <c r="A4807" s="473">
        <v>36510</v>
      </c>
      <c r="B4807" s="473" t="s">
        <v>14449</v>
      </c>
      <c r="C4807" s="473" t="s">
        <v>40</v>
      </c>
      <c r="D4807" s="473" t="s">
        <v>47</v>
      </c>
      <c r="E4807" s="361">
        <v>556574.9</v>
      </c>
    </row>
    <row r="4808" spans="1:5">
      <c r="A4808" s="473">
        <v>25020</v>
      </c>
      <c r="B4808" s="473" t="s">
        <v>14450</v>
      </c>
      <c r="C4808" s="473" t="s">
        <v>40</v>
      </c>
      <c r="D4808" s="473" t="s">
        <v>47</v>
      </c>
      <c r="E4808" s="361">
        <v>2292892.77</v>
      </c>
    </row>
    <row r="4809" spans="1:5">
      <c r="A4809" s="473">
        <v>7622</v>
      </c>
      <c r="B4809" s="473" t="s">
        <v>14451</v>
      </c>
      <c r="C4809" s="473" t="s">
        <v>40</v>
      </c>
      <c r="D4809" s="473" t="s">
        <v>47</v>
      </c>
      <c r="E4809" s="361">
        <v>539959</v>
      </c>
    </row>
    <row r="4810" spans="1:5">
      <c r="A4810" s="473">
        <v>7624</v>
      </c>
      <c r="B4810" s="473" t="s">
        <v>14452</v>
      </c>
      <c r="C4810" s="473" t="s">
        <v>40</v>
      </c>
      <c r="D4810" s="473" t="s">
        <v>47</v>
      </c>
      <c r="E4810" s="361">
        <v>700000</v>
      </c>
    </row>
    <row r="4811" spans="1:5">
      <c r="A4811" s="473">
        <v>7625</v>
      </c>
      <c r="B4811" s="473" t="s">
        <v>14453</v>
      </c>
      <c r="C4811" s="473" t="s">
        <v>40</v>
      </c>
      <c r="D4811" s="473" t="s">
        <v>47</v>
      </c>
      <c r="E4811" s="361">
        <v>695718.59</v>
      </c>
    </row>
    <row r="4812" spans="1:5">
      <c r="A4812" s="473">
        <v>7623</v>
      </c>
      <c r="B4812" s="473" t="s">
        <v>14454</v>
      </c>
      <c r="C4812" s="473" t="s">
        <v>40</v>
      </c>
      <c r="D4812" s="473" t="s">
        <v>47</v>
      </c>
      <c r="E4812" s="361">
        <v>2292892.77</v>
      </c>
    </row>
    <row r="4813" spans="1:5">
      <c r="A4813" s="473">
        <v>36508</v>
      </c>
      <c r="B4813" s="473" t="s">
        <v>14455</v>
      </c>
      <c r="C4813" s="473" t="s">
        <v>40</v>
      </c>
      <c r="D4813" s="473" t="s">
        <v>47</v>
      </c>
      <c r="E4813" s="361">
        <v>1031204.86</v>
      </c>
    </row>
    <row r="4814" spans="1:5">
      <c r="A4814" s="473">
        <v>36509</v>
      </c>
      <c r="B4814" s="473" t="s">
        <v>14456</v>
      </c>
      <c r="C4814" s="473" t="s">
        <v>40</v>
      </c>
      <c r="D4814" s="473" t="s">
        <v>47</v>
      </c>
      <c r="E4814" s="361">
        <v>565137.57999999996</v>
      </c>
    </row>
    <row r="4815" spans="1:5">
      <c r="A4815" s="473">
        <v>13238</v>
      </c>
      <c r="B4815" s="473" t="s">
        <v>14457</v>
      </c>
      <c r="C4815" s="473" t="s">
        <v>40</v>
      </c>
      <c r="D4815" s="473" t="s">
        <v>47</v>
      </c>
      <c r="E4815" s="361">
        <v>156028.01999999999</v>
      </c>
    </row>
    <row r="4816" spans="1:5">
      <c r="A4816" s="473">
        <v>36511</v>
      </c>
      <c r="B4816" s="473" t="s">
        <v>14458</v>
      </c>
      <c r="C4816" s="473" t="s">
        <v>40</v>
      </c>
      <c r="D4816" s="473" t="s">
        <v>47</v>
      </c>
      <c r="E4816" s="361">
        <v>180794.38</v>
      </c>
    </row>
    <row r="4817" spans="1:5">
      <c r="A4817" s="473">
        <v>36515</v>
      </c>
      <c r="B4817" s="473" t="s">
        <v>14459</v>
      </c>
      <c r="C4817" s="473" t="s">
        <v>40</v>
      </c>
      <c r="D4817" s="473" t="s">
        <v>47</v>
      </c>
      <c r="E4817" s="361">
        <v>53247.65</v>
      </c>
    </row>
    <row r="4818" spans="1:5">
      <c r="A4818" s="473">
        <v>10598</v>
      </c>
      <c r="B4818" s="473" t="s">
        <v>14460</v>
      </c>
      <c r="C4818" s="473" t="s">
        <v>40</v>
      </c>
      <c r="D4818" s="473" t="s">
        <v>47</v>
      </c>
      <c r="E4818" s="361">
        <v>86349.119999999995</v>
      </c>
    </row>
    <row r="4819" spans="1:5">
      <c r="A4819" s="473">
        <v>7640</v>
      </c>
      <c r="B4819" s="473" t="s">
        <v>14461</v>
      </c>
      <c r="C4819" s="473" t="s">
        <v>40</v>
      </c>
      <c r="D4819" s="473" t="s">
        <v>47</v>
      </c>
      <c r="E4819" s="361">
        <v>132500</v>
      </c>
    </row>
    <row r="4820" spans="1:5">
      <c r="A4820" s="473">
        <v>36513</v>
      </c>
      <c r="B4820" s="473" t="s">
        <v>14462</v>
      </c>
      <c r="C4820" s="473" t="s">
        <v>40</v>
      </c>
      <c r="D4820" s="473" t="s">
        <v>47</v>
      </c>
      <c r="E4820" s="361">
        <v>127639.59</v>
      </c>
    </row>
    <row r="4821" spans="1:5">
      <c r="A4821" s="473">
        <v>36514</v>
      </c>
      <c r="B4821" s="473" t="s">
        <v>14463</v>
      </c>
      <c r="C4821" s="473" t="s">
        <v>40</v>
      </c>
      <c r="D4821" s="473" t="s">
        <v>47</v>
      </c>
      <c r="E4821" s="361">
        <v>142406.53</v>
      </c>
    </row>
    <row r="4822" spans="1:5">
      <c r="A4822" s="473">
        <v>36149</v>
      </c>
      <c r="B4822" s="473" t="s">
        <v>14464</v>
      </c>
      <c r="C4822" s="473" t="s">
        <v>40</v>
      </c>
      <c r="D4822" s="473" t="s">
        <v>41</v>
      </c>
      <c r="E4822" s="361">
        <v>131.6</v>
      </c>
    </row>
    <row r="4823" spans="1:5">
      <c r="A4823" s="473">
        <v>43066</v>
      </c>
      <c r="B4823" s="473" t="s">
        <v>14465</v>
      </c>
      <c r="C4823" s="473" t="s">
        <v>48</v>
      </c>
      <c r="D4823" s="473" t="s">
        <v>41</v>
      </c>
      <c r="E4823" s="361">
        <v>5.0199999999999996</v>
      </c>
    </row>
    <row r="4824" spans="1:5">
      <c r="A4824" s="473">
        <v>11581</v>
      </c>
      <c r="B4824" s="473" t="s">
        <v>14466</v>
      </c>
      <c r="C4824" s="473" t="s">
        <v>48</v>
      </c>
      <c r="D4824" s="473" t="s">
        <v>41</v>
      </c>
      <c r="E4824" s="361">
        <v>23.58</v>
      </c>
    </row>
    <row r="4825" spans="1:5">
      <c r="A4825" s="473">
        <v>11580</v>
      </c>
      <c r="B4825" s="473" t="s">
        <v>14467</v>
      </c>
      <c r="C4825" s="473" t="s">
        <v>48</v>
      </c>
      <c r="D4825" s="473" t="s">
        <v>41</v>
      </c>
      <c r="E4825" s="361">
        <v>10.74</v>
      </c>
    </row>
    <row r="4826" spans="1:5">
      <c r="A4826" s="473">
        <v>38177</v>
      </c>
      <c r="B4826" s="473" t="s">
        <v>14468</v>
      </c>
      <c r="C4826" s="473" t="s">
        <v>40</v>
      </c>
      <c r="D4826" s="473" t="s">
        <v>41</v>
      </c>
      <c r="E4826" s="361">
        <v>7.28</v>
      </c>
    </row>
    <row r="4827" spans="1:5">
      <c r="A4827" s="473">
        <v>10743</v>
      </c>
      <c r="B4827" s="473" t="s">
        <v>14469</v>
      </c>
      <c r="C4827" s="473" t="s">
        <v>40</v>
      </c>
      <c r="D4827" s="473" t="s">
        <v>47</v>
      </c>
      <c r="E4827" s="361">
        <v>561.91</v>
      </c>
    </row>
    <row r="4828" spans="1:5">
      <c r="A4828" s="473">
        <v>39848</v>
      </c>
      <c r="B4828" s="473" t="s">
        <v>14470</v>
      </c>
      <c r="C4828" s="473" t="s">
        <v>48</v>
      </c>
      <c r="D4828" s="473" t="s">
        <v>47</v>
      </c>
      <c r="E4828" s="361">
        <v>1.1499999999999999</v>
      </c>
    </row>
    <row r="4829" spans="1:5">
      <c r="A4829" s="473">
        <v>20999</v>
      </c>
      <c r="B4829" s="473" t="s">
        <v>14471</v>
      </c>
      <c r="C4829" s="473" t="s">
        <v>48</v>
      </c>
      <c r="D4829" s="473" t="s">
        <v>47</v>
      </c>
      <c r="E4829" s="361">
        <v>7.32</v>
      </c>
    </row>
    <row r="4830" spans="1:5">
      <c r="A4830" s="473">
        <v>21001</v>
      </c>
      <c r="B4830" s="473" t="s">
        <v>14472</v>
      </c>
      <c r="C4830" s="473" t="s">
        <v>48</v>
      </c>
      <c r="D4830" s="473" t="s">
        <v>47</v>
      </c>
      <c r="E4830" s="361">
        <v>13.66</v>
      </c>
    </row>
    <row r="4831" spans="1:5">
      <c r="A4831" s="473">
        <v>21003</v>
      </c>
      <c r="B4831" s="473" t="s">
        <v>14473</v>
      </c>
      <c r="C4831" s="473" t="s">
        <v>48</v>
      </c>
      <c r="D4831" s="473" t="s">
        <v>47</v>
      </c>
      <c r="E4831" s="361">
        <v>22.44</v>
      </c>
    </row>
    <row r="4832" spans="1:5">
      <c r="A4832" s="473">
        <v>21006</v>
      </c>
      <c r="B4832" s="473" t="s">
        <v>14474</v>
      </c>
      <c r="C4832" s="473" t="s">
        <v>48</v>
      </c>
      <c r="D4832" s="473" t="s">
        <v>47</v>
      </c>
      <c r="E4832" s="361">
        <v>47.63</v>
      </c>
    </row>
    <row r="4833" spans="1:5">
      <c r="A4833" s="473">
        <v>21019</v>
      </c>
      <c r="B4833" s="473" t="s">
        <v>14475</v>
      </c>
      <c r="C4833" s="473" t="s">
        <v>48</v>
      </c>
      <c r="D4833" s="473" t="s">
        <v>47</v>
      </c>
      <c r="E4833" s="361">
        <v>16.559999999999999</v>
      </c>
    </row>
    <row r="4834" spans="1:5">
      <c r="A4834" s="473">
        <v>21021</v>
      </c>
      <c r="B4834" s="473" t="s">
        <v>14476</v>
      </c>
      <c r="C4834" s="473" t="s">
        <v>48</v>
      </c>
      <c r="D4834" s="473" t="s">
        <v>47</v>
      </c>
      <c r="E4834" s="361">
        <v>26.17</v>
      </c>
    </row>
    <row r="4835" spans="1:5">
      <c r="A4835" s="473">
        <v>21024</v>
      </c>
      <c r="B4835" s="473" t="s">
        <v>14477</v>
      </c>
      <c r="C4835" s="473" t="s">
        <v>48</v>
      </c>
      <c r="D4835" s="473" t="s">
        <v>47</v>
      </c>
      <c r="E4835" s="361">
        <v>56.08</v>
      </c>
    </row>
    <row r="4836" spans="1:5">
      <c r="A4836" s="473">
        <v>40624</v>
      </c>
      <c r="B4836" s="473" t="s">
        <v>14478</v>
      </c>
      <c r="C4836" s="473" t="s">
        <v>48</v>
      </c>
      <c r="D4836" s="473" t="s">
        <v>47</v>
      </c>
      <c r="E4836" s="361">
        <v>42.74</v>
      </c>
    </row>
    <row r="4837" spans="1:5">
      <c r="A4837" s="473">
        <v>13127</v>
      </c>
      <c r="B4837" s="473" t="s">
        <v>14479</v>
      </c>
      <c r="C4837" s="473" t="s">
        <v>48</v>
      </c>
      <c r="D4837" s="473" t="s">
        <v>47</v>
      </c>
      <c r="E4837" s="361">
        <v>19.059999999999999</v>
      </c>
    </row>
    <row r="4838" spans="1:5">
      <c r="A4838" s="473">
        <v>13137</v>
      </c>
      <c r="B4838" s="473" t="s">
        <v>14480</v>
      </c>
      <c r="C4838" s="473" t="s">
        <v>48</v>
      </c>
      <c r="D4838" s="473" t="s">
        <v>47</v>
      </c>
      <c r="E4838" s="361">
        <v>25.3</v>
      </c>
    </row>
    <row r="4839" spans="1:5">
      <c r="A4839" s="473">
        <v>20989</v>
      </c>
      <c r="B4839" s="473" t="s">
        <v>14481</v>
      </c>
      <c r="C4839" s="473" t="s">
        <v>48</v>
      </c>
      <c r="D4839" s="473" t="s">
        <v>47</v>
      </c>
      <c r="E4839" s="361">
        <v>906.35</v>
      </c>
    </row>
    <row r="4840" spans="1:5">
      <c r="A4840" s="473">
        <v>21147</v>
      </c>
      <c r="B4840" s="473" t="s">
        <v>14482</v>
      </c>
      <c r="C4840" s="473" t="s">
        <v>48</v>
      </c>
      <c r="D4840" s="473" t="s">
        <v>47</v>
      </c>
      <c r="E4840" s="361">
        <v>84.98</v>
      </c>
    </row>
    <row r="4841" spans="1:5">
      <c r="A4841" s="473">
        <v>21148</v>
      </c>
      <c r="B4841" s="473" t="s">
        <v>14483</v>
      </c>
      <c r="C4841" s="473" t="s">
        <v>48</v>
      </c>
      <c r="D4841" s="473" t="s">
        <v>47</v>
      </c>
      <c r="E4841" s="361">
        <v>52.45</v>
      </c>
    </row>
    <row r="4842" spans="1:5">
      <c r="A4842" s="473">
        <v>20984</v>
      </c>
      <c r="B4842" s="473" t="s">
        <v>14484</v>
      </c>
      <c r="C4842" s="473" t="s">
        <v>48</v>
      </c>
      <c r="D4842" s="473" t="s">
        <v>47</v>
      </c>
      <c r="E4842" s="361">
        <v>1739.1</v>
      </c>
    </row>
    <row r="4843" spans="1:5">
      <c r="A4843" s="473">
        <v>13042</v>
      </c>
      <c r="B4843" s="473" t="s">
        <v>14485</v>
      </c>
      <c r="C4843" s="473" t="s">
        <v>48</v>
      </c>
      <c r="D4843" s="473" t="s">
        <v>47</v>
      </c>
      <c r="E4843" s="361">
        <v>963.72</v>
      </c>
    </row>
    <row r="4844" spans="1:5">
      <c r="A4844" s="473">
        <v>21150</v>
      </c>
      <c r="B4844" s="473" t="s">
        <v>14486</v>
      </c>
      <c r="C4844" s="473" t="s">
        <v>48</v>
      </c>
      <c r="D4844" s="473" t="s">
        <v>47</v>
      </c>
      <c r="E4844" s="361">
        <v>26</v>
      </c>
    </row>
    <row r="4845" spans="1:5">
      <c r="A4845" s="473">
        <v>13141</v>
      </c>
      <c r="B4845" s="473" t="s">
        <v>14487</v>
      </c>
      <c r="C4845" s="473" t="s">
        <v>48</v>
      </c>
      <c r="D4845" s="473" t="s">
        <v>47</v>
      </c>
      <c r="E4845" s="361">
        <v>32.76</v>
      </c>
    </row>
    <row r="4846" spans="1:5">
      <c r="A4846" s="473">
        <v>21151</v>
      </c>
      <c r="B4846" s="473" t="s">
        <v>14488</v>
      </c>
      <c r="C4846" s="473" t="s">
        <v>48</v>
      </c>
      <c r="D4846" s="473" t="s">
        <v>47</v>
      </c>
      <c r="E4846" s="361">
        <v>155.66999999999999</v>
      </c>
    </row>
    <row r="4847" spans="1:5">
      <c r="A4847" s="473">
        <v>13142</v>
      </c>
      <c r="B4847" s="473" t="s">
        <v>14489</v>
      </c>
      <c r="C4847" s="473" t="s">
        <v>48</v>
      </c>
      <c r="D4847" s="473" t="s">
        <v>47</v>
      </c>
      <c r="E4847" s="361">
        <v>222.54</v>
      </c>
    </row>
    <row r="4848" spans="1:5">
      <c r="A4848" s="473">
        <v>20994</v>
      </c>
      <c r="B4848" s="473" t="s">
        <v>14490</v>
      </c>
      <c r="C4848" s="473" t="s">
        <v>48</v>
      </c>
      <c r="D4848" s="473" t="s">
        <v>47</v>
      </c>
      <c r="E4848" s="361">
        <v>419.59</v>
      </c>
    </row>
    <row r="4849" spans="1:5">
      <c r="A4849" s="473">
        <v>7672</v>
      </c>
      <c r="B4849" s="473" t="s">
        <v>14491</v>
      </c>
      <c r="C4849" s="473" t="s">
        <v>48</v>
      </c>
      <c r="D4849" s="473" t="s">
        <v>47</v>
      </c>
      <c r="E4849" s="361">
        <v>274.88</v>
      </c>
    </row>
    <row r="4850" spans="1:5">
      <c r="A4850" s="473">
        <v>20995</v>
      </c>
      <c r="B4850" s="473" t="s">
        <v>14492</v>
      </c>
      <c r="C4850" s="473" t="s">
        <v>48</v>
      </c>
      <c r="D4850" s="473" t="s">
        <v>47</v>
      </c>
      <c r="E4850" s="361">
        <v>551.41999999999996</v>
      </c>
    </row>
    <row r="4851" spans="1:5">
      <c r="A4851" s="473">
        <v>7690</v>
      </c>
      <c r="B4851" s="473" t="s">
        <v>14493</v>
      </c>
      <c r="C4851" s="473" t="s">
        <v>48</v>
      </c>
      <c r="D4851" s="473" t="s">
        <v>47</v>
      </c>
      <c r="E4851" s="361">
        <v>318.92</v>
      </c>
    </row>
    <row r="4852" spans="1:5">
      <c r="A4852" s="473">
        <v>20980</v>
      </c>
      <c r="B4852" s="473" t="s">
        <v>14494</v>
      </c>
      <c r="C4852" s="473" t="s">
        <v>48</v>
      </c>
      <c r="D4852" s="473" t="s">
        <v>47</v>
      </c>
      <c r="E4852" s="361">
        <v>347.91</v>
      </c>
    </row>
    <row r="4853" spans="1:5">
      <c r="A4853" s="473">
        <v>7661</v>
      </c>
      <c r="B4853" s="473" t="s">
        <v>14495</v>
      </c>
      <c r="C4853" s="473" t="s">
        <v>48</v>
      </c>
      <c r="D4853" s="473" t="s">
        <v>47</v>
      </c>
      <c r="E4853" s="361">
        <v>413.87</v>
      </c>
    </row>
    <row r="4854" spans="1:5">
      <c r="A4854" s="473">
        <v>21016</v>
      </c>
      <c r="B4854" s="473" t="s">
        <v>14496</v>
      </c>
      <c r="C4854" s="473" t="s">
        <v>48</v>
      </c>
      <c r="D4854" s="473" t="s">
        <v>41</v>
      </c>
      <c r="E4854" s="361">
        <v>100.28</v>
      </c>
    </row>
    <row r="4855" spans="1:5">
      <c r="A4855" s="473">
        <v>21008</v>
      </c>
      <c r="B4855" s="473" t="s">
        <v>14497</v>
      </c>
      <c r="C4855" s="473" t="s">
        <v>48</v>
      </c>
      <c r="D4855" s="473" t="s">
        <v>41</v>
      </c>
      <c r="E4855" s="361">
        <v>11.71</v>
      </c>
    </row>
    <row r="4856" spans="1:5">
      <c r="A4856" s="473">
        <v>21009</v>
      </c>
      <c r="B4856" s="473" t="s">
        <v>14498</v>
      </c>
      <c r="C4856" s="473" t="s">
        <v>48</v>
      </c>
      <c r="D4856" s="473" t="s">
        <v>41</v>
      </c>
      <c r="E4856" s="361">
        <v>15.25</v>
      </c>
    </row>
    <row r="4857" spans="1:5">
      <c r="A4857" s="473">
        <v>21010</v>
      </c>
      <c r="B4857" s="473" t="s">
        <v>14499</v>
      </c>
      <c r="C4857" s="473" t="s">
        <v>48</v>
      </c>
      <c r="D4857" s="473" t="s">
        <v>44</v>
      </c>
      <c r="E4857" s="361">
        <v>20.48</v>
      </c>
    </row>
    <row r="4858" spans="1:5">
      <c r="A4858" s="473">
        <v>21011</v>
      </c>
      <c r="B4858" s="473" t="s">
        <v>14500</v>
      </c>
      <c r="C4858" s="473" t="s">
        <v>48</v>
      </c>
      <c r="D4858" s="473" t="s">
        <v>41</v>
      </c>
      <c r="E4858" s="361">
        <v>29.85</v>
      </c>
    </row>
    <row r="4859" spans="1:5">
      <c r="A4859" s="473">
        <v>21012</v>
      </c>
      <c r="B4859" s="473" t="s">
        <v>14501</v>
      </c>
      <c r="C4859" s="473" t="s">
        <v>48</v>
      </c>
      <c r="D4859" s="473" t="s">
        <v>41</v>
      </c>
      <c r="E4859" s="361">
        <v>32.979999999999997</v>
      </c>
    </row>
    <row r="4860" spans="1:5">
      <c r="A4860" s="473">
        <v>21013</v>
      </c>
      <c r="B4860" s="473" t="s">
        <v>14502</v>
      </c>
      <c r="C4860" s="473" t="s">
        <v>48</v>
      </c>
      <c r="D4860" s="473" t="s">
        <v>41</v>
      </c>
      <c r="E4860" s="361">
        <v>43.04</v>
      </c>
    </row>
    <row r="4861" spans="1:5">
      <c r="A4861" s="473">
        <v>21014</v>
      </c>
      <c r="B4861" s="473" t="s">
        <v>14503</v>
      </c>
      <c r="C4861" s="473" t="s">
        <v>48</v>
      </c>
      <c r="D4861" s="473" t="s">
        <v>41</v>
      </c>
      <c r="E4861" s="361">
        <v>60.23</v>
      </c>
    </row>
    <row r="4862" spans="1:5">
      <c r="A4862" s="473">
        <v>21015</v>
      </c>
      <c r="B4862" s="473" t="s">
        <v>14504</v>
      </c>
      <c r="C4862" s="473" t="s">
        <v>48</v>
      </c>
      <c r="D4862" s="473" t="s">
        <v>41</v>
      </c>
      <c r="E4862" s="361">
        <v>69.19</v>
      </c>
    </row>
    <row r="4863" spans="1:5">
      <c r="A4863" s="473">
        <v>7697</v>
      </c>
      <c r="B4863" s="473" t="s">
        <v>14505</v>
      </c>
      <c r="C4863" s="473" t="s">
        <v>48</v>
      </c>
      <c r="D4863" s="473" t="s">
        <v>41</v>
      </c>
      <c r="E4863" s="361">
        <v>33.020000000000003</v>
      </c>
    </row>
    <row r="4864" spans="1:5">
      <c r="A4864" s="473">
        <v>7698</v>
      </c>
      <c r="B4864" s="473" t="s">
        <v>14506</v>
      </c>
      <c r="C4864" s="473" t="s">
        <v>48</v>
      </c>
      <c r="D4864" s="473" t="s">
        <v>41</v>
      </c>
      <c r="E4864" s="361">
        <v>28.42</v>
      </c>
    </row>
    <row r="4865" spans="1:5">
      <c r="A4865" s="473">
        <v>7691</v>
      </c>
      <c r="B4865" s="473" t="s">
        <v>14507</v>
      </c>
      <c r="C4865" s="473" t="s">
        <v>48</v>
      </c>
      <c r="D4865" s="473" t="s">
        <v>41</v>
      </c>
      <c r="E4865" s="361">
        <v>12.01</v>
      </c>
    </row>
    <row r="4866" spans="1:5">
      <c r="A4866" s="473">
        <v>40626</v>
      </c>
      <c r="B4866" s="473" t="s">
        <v>14508</v>
      </c>
      <c r="C4866" s="473" t="s">
        <v>48</v>
      </c>
      <c r="D4866" s="473" t="s">
        <v>41</v>
      </c>
      <c r="E4866" s="361">
        <v>22.54</v>
      </c>
    </row>
    <row r="4867" spans="1:5">
      <c r="A4867" s="473">
        <v>7701</v>
      </c>
      <c r="B4867" s="473" t="s">
        <v>14509</v>
      </c>
      <c r="C4867" s="473" t="s">
        <v>48</v>
      </c>
      <c r="D4867" s="473" t="s">
        <v>41</v>
      </c>
      <c r="E4867" s="361">
        <v>59.09</v>
      </c>
    </row>
    <row r="4868" spans="1:5">
      <c r="A4868" s="473">
        <v>7696</v>
      </c>
      <c r="B4868" s="473" t="s">
        <v>14510</v>
      </c>
      <c r="C4868" s="473" t="s">
        <v>48</v>
      </c>
      <c r="D4868" s="473" t="s">
        <v>41</v>
      </c>
      <c r="E4868" s="361">
        <v>47.61</v>
      </c>
    </row>
    <row r="4869" spans="1:5">
      <c r="A4869" s="473">
        <v>7700</v>
      </c>
      <c r="B4869" s="473" t="s">
        <v>14511</v>
      </c>
      <c r="C4869" s="473" t="s">
        <v>48</v>
      </c>
      <c r="D4869" s="473" t="s">
        <v>41</v>
      </c>
      <c r="E4869" s="361">
        <v>15.19</v>
      </c>
    </row>
    <row r="4870" spans="1:5">
      <c r="A4870" s="473">
        <v>7694</v>
      </c>
      <c r="B4870" s="473" t="s">
        <v>14512</v>
      </c>
      <c r="C4870" s="473" t="s">
        <v>48</v>
      </c>
      <c r="D4870" s="473" t="s">
        <v>41</v>
      </c>
      <c r="E4870" s="361">
        <v>79.510000000000005</v>
      </c>
    </row>
    <row r="4871" spans="1:5">
      <c r="A4871" s="473">
        <v>7693</v>
      </c>
      <c r="B4871" s="473" t="s">
        <v>14513</v>
      </c>
      <c r="C4871" s="473" t="s">
        <v>48</v>
      </c>
      <c r="D4871" s="473" t="s">
        <v>41</v>
      </c>
      <c r="E4871" s="361">
        <v>109.5</v>
      </c>
    </row>
    <row r="4872" spans="1:5">
      <c r="A4872" s="473">
        <v>7692</v>
      </c>
      <c r="B4872" s="473" t="s">
        <v>14514</v>
      </c>
      <c r="C4872" s="473" t="s">
        <v>48</v>
      </c>
      <c r="D4872" s="473" t="s">
        <v>41</v>
      </c>
      <c r="E4872" s="361">
        <v>163.95</v>
      </c>
    </row>
    <row r="4873" spans="1:5">
      <c r="A4873" s="473">
        <v>7695</v>
      </c>
      <c r="B4873" s="473" t="s">
        <v>14515</v>
      </c>
      <c r="C4873" s="473" t="s">
        <v>48</v>
      </c>
      <c r="D4873" s="473" t="s">
        <v>41</v>
      </c>
      <c r="E4873" s="361">
        <v>177.81</v>
      </c>
    </row>
    <row r="4874" spans="1:5">
      <c r="A4874" s="473">
        <v>13356</v>
      </c>
      <c r="B4874" s="473" t="s">
        <v>14516</v>
      </c>
      <c r="C4874" s="473" t="s">
        <v>48</v>
      </c>
      <c r="D4874" s="473" t="s">
        <v>41</v>
      </c>
      <c r="E4874" s="361">
        <v>12.89</v>
      </c>
    </row>
    <row r="4875" spans="1:5">
      <c r="A4875" s="473">
        <v>36365</v>
      </c>
      <c r="B4875" s="473" t="s">
        <v>14517</v>
      </c>
      <c r="C4875" s="473" t="s">
        <v>48</v>
      </c>
      <c r="D4875" s="473" t="s">
        <v>47</v>
      </c>
      <c r="E4875" s="361">
        <v>19.920000000000002</v>
      </c>
    </row>
    <row r="4876" spans="1:5">
      <c r="A4876" s="473">
        <v>41930</v>
      </c>
      <c r="B4876" s="473" t="s">
        <v>14518</v>
      </c>
      <c r="C4876" s="473" t="s">
        <v>48</v>
      </c>
      <c r="D4876" s="473" t="s">
        <v>47</v>
      </c>
      <c r="E4876" s="361">
        <v>64.48</v>
      </c>
    </row>
    <row r="4877" spans="1:5">
      <c r="A4877" s="473">
        <v>41931</v>
      </c>
      <c r="B4877" s="473" t="s">
        <v>14519</v>
      </c>
      <c r="C4877" s="473" t="s">
        <v>48</v>
      </c>
      <c r="D4877" s="473" t="s">
        <v>47</v>
      </c>
      <c r="E4877" s="361">
        <v>109.96</v>
      </c>
    </row>
    <row r="4878" spans="1:5">
      <c r="A4878" s="473">
        <v>41932</v>
      </c>
      <c r="B4878" s="473" t="s">
        <v>14520</v>
      </c>
      <c r="C4878" s="473" t="s">
        <v>48</v>
      </c>
      <c r="D4878" s="473" t="s">
        <v>47</v>
      </c>
      <c r="E4878" s="361">
        <v>177.6</v>
      </c>
    </row>
    <row r="4879" spans="1:5">
      <c r="A4879" s="473">
        <v>41933</v>
      </c>
      <c r="B4879" s="473" t="s">
        <v>14521</v>
      </c>
      <c r="C4879" s="473" t="s">
        <v>48</v>
      </c>
      <c r="D4879" s="473" t="s">
        <v>47</v>
      </c>
      <c r="E4879" s="361">
        <v>219.96</v>
      </c>
    </row>
    <row r="4880" spans="1:5">
      <c r="A4880" s="473">
        <v>41934</v>
      </c>
      <c r="B4880" s="473" t="s">
        <v>14522</v>
      </c>
      <c r="C4880" s="473" t="s">
        <v>48</v>
      </c>
      <c r="D4880" s="473" t="s">
        <v>47</v>
      </c>
      <c r="E4880" s="361">
        <v>284.89999999999998</v>
      </c>
    </row>
    <row r="4881" spans="1:5">
      <c r="A4881" s="473">
        <v>41936</v>
      </c>
      <c r="B4881" s="473" t="s">
        <v>14523</v>
      </c>
      <c r="C4881" s="473" t="s">
        <v>48</v>
      </c>
      <c r="D4881" s="473" t="s">
        <v>47</v>
      </c>
      <c r="E4881" s="361">
        <v>42.95</v>
      </c>
    </row>
    <row r="4882" spans="1:5">
      <c r="A4882" s="473">
        <v>7720</v>
      </c>
      <c r="B4882" s="473" t="s">
        <v>14524</v>
      </c>
      <c r="C4882" s="473" t="s">
        <v>48</v>
      </c>
      <c r="D4882" s="473" t="s">
        <v>41</v>
      </c>
      <c r="E4882" s="361">
        <v>453.41</v>
      </c>
    </row>
    <row r="4883" spans="1:5">
      <c r="A4883" s="473">
        <v>40335</v>
      </c>
      <c r="B4883" s="473" t="s">
        <v>14525</v>
      </c>
      <c r="C4883" s="473" t="s">
        <v>48</v>
      </c>
      <c r="D4883" s="473" t="s">
        <v>41</v>
      </c>
      <c r="E4883" s="361">
        <v>92.35</v>
      </c>
    </row>
    <row r="4884" spans="1:5">
      <c r="A4884" s="473">
        <v>7740</v>
      </c>
      <c r="B4884" s="473" t="s">
        <v>14526</v>
      </c>
      <c r="C4884" s="473" t="s">
        <v>48</v>
      </c>
      <c r="D4884" s="473" t="s">
        <v>41</v>
      </c>
      <c r="E4884" s="361">
        <v>126</v>
      </c>
    </row>
    <row r="4885" spans="1:5">
      <c r="A4885" s="473">
        <v>7741</v>
      </c>
      <c r="B4885" s="473" t="s">
        <v>14527</v>
      </c>
      <c r="C4885" s="473" t="s">
        <v>48</v>
      </c>
      <c r="D4885" s="473" t="s">
        <v>41</v>
      </c>
      <c r="E4885" s="361">
        <v>159.01</v>
      </c>
    </row>
    <row r="4886" spans="1:5">
      <c r="A4886" s="473">
        <v>7774</v>
      </c>
      <c r="B4886" s="473" t="s">
        <v>14528</v>
      </c>
      <c r="C4886" s="473" t="s">
        <v>48</v>
      </c>
      <c r="D4886" s="473" t="s">
        <v>41</v>
      </c>
      <c r="E4886" s="361">
        <v>214.06</v>
      </c>
    </row>
    <row r="4887" spans="1:5">
      <c r="A4887" s="473">
        <v>7744</v>
      </c>
      <c r="B4887" s="473" t="s">
        <v>14529</v>
      </c>
      <c r="C4887" s="473" t="s">
        <v>48</v>
      </c>
      <c r="D4887" s="473" t="s">
        <v>41</v>
      </c>
      <c r="E4887" s="361">
        <v>246.75</v>
      </c>
    </row>
    <row r="4888" spans="1:5">
      <c r="A4888" s="473">
        <v>7773</v>
      </c>
      <c r="B4888" s="473" t="s">
        <v>14530</v>
      </c>
      <c r="C4888" s="473" t="s">
        <v>48</v>
      </c>
      <c r="D4888" s="473" t="s">
        <v>41</v>
      </c>
      <c r="E4888" s="361">
        <v>307.3</v>
      </c>
    </row>
    <row r="4889" spans="1:5">
      <c r="A4889" s="473">
        <v>7754</v>
      </c>
      <c r="B4889" s="473" t="s">
        <v>14531</v>
      </c>
      <c r="C4889" s="473" t="s">
        <v>48</v>
      </c>
      <c r="D4889" s="473" t="s">
        <v>41</v>
      </c>
      <c r="E4889" s="361">
        <v>417.6</v>
      </c>
    </row>
    <row r="4890" spans="1:5">
      <c r="A4890" s="473">
        <v>7735</v>
      </c>
      <c r="B4890" s="473" t="s">
        <v>14532</v>
      </c>
      <c r="C4890" s="473" t="s">
        <v>48</v>
      </c>
      <c r="D4890" s="473" t="s">
        <v>41</v>
      </c>
      <c r="E4890" s="361">
        <v>572.38</v>
      </c>
    </row>
    <row r="4891" spans="1:5">
      <c r="A4891" s="473">
        <v>7755</v>
      </c>
      <c r="B4891" s="473" t="s">
        <v>14533</v>
      </c>
      <c r="C4891" s="473" t="s">
        <v>48</v>
      </c>
      <c r="D4891" s="473" t="s">
        <v>41</v>
      </c>
      <c r="E4891" s="361">
        <v>153.5</v>
      </c>
    </row>
    <row r="4892" spans="1:5">
      <c r="A4892" s="473">
        <v>7776</v>
      </c>
      <c r="B4892" s="473" t="s">
        <v>14534</v>
      </c>
      <c r="C4892" s="473" t="s">
        <v>48</v>
      </c>
      <c r="D4892" s="473" t="s">
        <v>41</v>
      </c>
      <c r="E4892" s="361">
        <v>199.78</v>
      </c>
    </row>
    <row r="4893" spans="1:5">
      <c r="A4893" s="473">
        <v>7743</v>
      </c>
      <c r="B4893" s="473" t="s">
        <v>14535</v>
      </c>
      <c r="C4893" s="473" t="s">
        <v>48</v>
      </c>
      <c r="D4893" s="473" t="s">
        <v>41</v>
      </c>
      <c r="E4893" s="361">
        <v>263.83</v>
      </c>
    </row>
    <row r="4894" spans="1:5">
      <c r="A4894" s="473">
        <v>7733</v>
      </c>
      <c r="B4894" s="473" t="s">
        <v>14536</v>
      </c>
      <c r="C4894" s="473" t="s">
        <v>48</v>
      </c>
      <c r="D4894" s="473" t="s">
        <v>41</v>
      </c>
      <c r="E4894" s="361">
        <v>294.19</v>
      </c>
    </row>
    <row r="4895" spans="1:5">
      <c r="A4895" s="473">
        <v>7775</v>
      </c>
      <c r="B4895" s="473" t="s">
        <v>14537</v>
      </c>
      <c r="C4895" s="473" t="s">
        <v>48</v>
      </c>
      <c r="D4895" s="473" t="s">
        <v>41</v>
      </c>
      <c r="E4895" s="361">
        <v>361.95</v>
      </c>
    </row>
    <row r="4896" spans="1:5">
      <c r="A4896" s="473">
        <v>7734</v>
      </c>
      <c r="B4896" s="473" t="s">
        <v>14538</v>
      </c>
      <c r="C4896" s="473" t="s">
        <v>48</v>
      </c>
      <c r="D4896" s="473" t="s">
        <v>41</v>
      </c>
      <c r="E4896" s="361">
        <v>523.26</v>
      </c>
    </row>
    <row r="4897" spans="1:5">
      <c r="A4897" s="473">
        <v>7753</v>
      </c>
      <c r="B4897" s="473" t="s">
        <v>14539</v>
      </c>
      <c r="C4897" s="473" t="s">
        <v>48</v>
      </c>
      <c r="D4897" s="473" t="s">
        <v>41</v>
      </c>
      <c r="E4897" s="361">
        <v>265.3</v>
      </c>
    </row>
    <row r="4898" spans="1:5">
      <c r="A4898" s="473">
        <v>13256</v>
      </c>
      <c r="B4898" s="473" t="s">
        <v>14540</v>
      </c>
      <c r="C4898" s="473" t="s">
        <v>48</v>
      </c>
      <c r="D4898" s="473" t="s">
        <v>41</v>
      </c>
      <c r="E4898" s="361">
        <v>309.7</v>
      </c>
    </row>
    <row r="4899" spans="1:5">
      <c r="A4899" s="473">
        <v>7757</v>
      </c>
      <c r="B4899" s="473" t="s">
        <v>14541</v>
      </c>
      <c r="C4899" s="473" t="s">
        <v>48</v>
      </c>
      <c r="D4899" s="473" t="s">
        <v>41</v>
      </c>
      <c r="E4899" s="361">
        <v>375.98</v>
      </c>
    </row>
    <row r="4900" spans="1:5">
      <c r="A4900" s="473">
        <v>7758</v>
      </c>
      <c r="B4900" s="473" t="s">
        <v>14542</v>
      </c>
      <c r="C4900" s="473" t="s">
        <v>48</v>
      </c>
      <c r="D4900" s="473" t="s">
        <v>41</v>
      </c>
      <c r="E4900" s="361">
        <v>559.24</v>
      </c>
    </row>
    <row r="4901" spans="1:5">
      <c r="A4901" s="473">
        <v>7759</v>
      </c>
      <c r="B4901" s="473" t="s">
        <v>14543</v>
      </c>
      <c r="C4901" s="473" t="s">
        <v>48</v>
      </c>
      <c r="D4901" s="473" t="s">
        <v>41</v>
      </c>
      <c r="E4901" s="361">
        <v>1218.3900000000001</v>
      </c>
    </row>
    <row r="4902" spans="1:5">
      <c r="A4902" s="473">
        <v>40334</v>
      </c>
      <c r="B4902" s="473" t="s">
        <v>14544</v>
      </c>
      <c r="C4902" s="473" t="s">
        <v>48</v>
      </c>
      <c r="D4902" s="473" t="s">
        <v>41</v>
      </c>
      <c r="E4902" s="361">
        <v>65.78</v>
      </c>
    </row>
    <row r="4903" spans="1:5">
      <c r="A4903" s="473">
        <v>7745</v>
      </c>
      <c r="B4903" s="473" t="s">
        <v>14545</v>
      </c>
      <c r="C4903" s="473" t="s">
        <v>48</v>
      </c>
      <c r="D4903" s="473" t="s">
        <v>41</v>
      </c>
      <c r="E4903" s="361">
        <v>69.510000000000005</v>
      </c>
    </row>
    <row r="4904" spans="1:5">
      <c r="A4904" s="473">
        <v>7714</v>
      </c>
      <c r="B4904" s="473" t="s">
        <v>14546</v>
      </c>
      <c r="C4904" s="473" t="s">
        <v>48</v>
      </c>
      <c r="D4904" s="473" t="s">
        <v>41</v>
      </c>
      <c r="E4904" s="361">
        <v>91.79</v>
      </c>
    </row>
    <row r="4905" spans="1:5">
      <c r="A4905" s="473">
        <v>7725</v>
      </c>
      <c r="B4905" s="473" t="s">
        <v>14547</v>
      </c>
      <c r="C4905" s="473" t="s">
        <v>48</v>
      </c>
      <c r="D4905" s="473" t="s">
        <v>44</v>
      </c>
      <c r="E4905" s="361">
        <v>121.43</v>
      </c>
    </row>
    <row r="4906" spans="1:5">
      <c r="A4906" s="473">
        <v>7742</v>
      </c>
      <c r="B4906" s="473" t="s">
        <v>14548</v>
      </c>
      <c r="C4906" s="473" t="s">
        <v>48</v>
      </c>
      <c r="D4906" s="473" t="s">
        <v>41</v>
      </c>
      <c r="E4906" s="361">
        <v>170.44</v>
      </c>
    </row>
    <row r="4907" spans="1:5">
      <c r="A4907" s="473">
        <v>7750</v>
      </c>
      <c r="B4907" s="473" t="s">
        <v>14549</v>
      </c>
      <c r="C4907" s="473" t="s">
        <v>48</v>
      </c>
      <c r="D4907" s="473" t="s">
        <v>41</v>
      </c>
      <c r="E4907" s="361">
        <v>193.28</v>
      </c>
    </row>
    <row r="4908" spans="1:5">
      <c r="A4908" s="473">
        <v>7756</v>
      </c>
      <c r="B4908" s="473" t="s">
        <v>14550</v>
      </c>
      <c r="C4908" s="473" t="s">
        <v>48</v>
      </c>
      <c r="D4908" s="473" t="s">
        <v>41</v>
      </c>
      <c r="E4908" s="361">
        <v>238.62</v>
      </c>
    </row>
    <row r="4909" spans="1:5">
      <c r="A4909" s="473">
        <v>7765</v>
      </c>
      <c r="B4909" s="473" t="s">
        <v>14551</v>
      </c>
      <c r="C4909" s="473" t="s">
        <v>48</v>
      </c>
      <c r="D4909" s="473" t="s">
        <v>41</v>
      </c>
      <c r="E4909" s="361">
        <v>292.99</v>
      </c>
    </row>
    <row r="4910" spans="1:5">
      <c r="A4910" s="473">
        <v>12569</v>
      </c>
      <c r="B4910" s="473" t="s">
        <v>14552</v>
      </c>
      <c r="C4910" s="473" t="s">
        <v>48</v>
      </c>
      <c r="D4910" s="473" t="s">
        <v>41</v>
      </c>
      <c r="E4910" s="361">
        <v>315.27</v>
      </c>
    </row>
    <row r="4911" spans="1:5">
      <c r="A4911" s="473">
        <v>7766</v>
      </c>
      <c r="B4911" s="473" t="s">
        <v>14553</v>
      </c>
      <c r="C4911" s="473" t="s">
        <v>48</v>
      </c>
      <c r="D4911" s="473" t="s">
        <v>41</v>
      </c>
      <c r="E4911" s="361">
        <v>426.11</v>
      </c>
    </row>
    <row r="4912" spans="1:5">
      <c r="A4912" s="473">
        <v>7767</v>
      </c>
      <c r="B4912" s="473" t="s">
        <v>14554</v>
      </c>
      <c r="C4912" s="473" t="s">
        <v>48</v>
      </c>
      <c r="D4912" s="473" t="s">
        <v>41</v>
      </c>
      <c r="E4912" s="361">
        <v>656.62</v>
      </c>
    </row>
    <row r="4913" spans="1:5">
      <c r="A4913" s="473">
        <v>7727</v>
      </c>
      <c r="B4913" s="473" t="s">
        <v>14555</v>
      </c>
      <c r="C4913" s="473" t="s">
        <v>48</v>
      </c>
      <c r="D4913" s="473" t="s">
        <v>41</v>
      </c>
      <c r="E4913" s="361">
        <v>1425.96</v>
      </c>
    </row>
    <row r="4914" spans="1:5">
      <c r="A4914" s="473">
        <v>7760</v>
      </c>
      <c r="B4914" s="473" t="s">
        <v>14556</v>
      </c>
      <c r="C4914" s="473" t="s">
        <v>48</v>
      </c>
      <c r="D4914" s="473" t="s">
        <v>41</v>
      </c>
      <c r="E4914" s="361">
        <v>69.180000000000007</v>
      </c>
    </row>
    <row r="4915" spans="1:5">
      <c r="A4915" s="473">
        <v>7761</v>
      </c>
      <c r="B4915" s="473" t="s">
        <v>14557</v>
      </c>
      <c r="C4915" s="473" t="s">
        <v>48</v>
      </c>
      <c r="D4915" s="473" t="s">
        <v>41</v>
      </c>
      <c r="E4915" s="361">
        <v>73.52</v>
      </c>
    </row>
    <row r="4916" spans="1:5">
      <c r="A4916" s="473">
        <v>7752</v>
      </c>
      <c r="B4916" s="473" t="s">
        <v>14558</v>
      </c>
      <c r="C4916" s="473" t="s">
        <v>48</v>
      </c>
      <c r="D4916" s="473" t="s">
        <v>41</v>
      </c>
      <c r="E4916" s="361">
        <v>89.06</v>
      </c>
    </row>
    <row r="4917" spans="1:5">
      <c r="A4917" s="473">
        <v>7762</v>
      </c>
      <c r="B4917" s="473" t="s">
        <v>14559</v>
      </c>
      <c r="C4917" s="473" t="s">
        <v>48</v>
      </c>
      <c r="D4917" s="473" t="s">
        <v>41</v>
      </c>
      <c r="E4917" s="361">
        <v>116.52</v>
      </c>
    </row>
    <row r="4918" spans="1:5">
      <c r="A4918" s="473">
        <v>7722</v>
      </c>
      <c r="B4918" s="473" t="s">
        <v>14560</v>
      </c>
      <c r="C4918" s="473" t="s">
        <v>48</v>
      </c>
      <c r="D4918" s="473" t="s">
        <v>41</v>
      </c>
      <c r="E4918" s="361">
        <v>179.68</v>
      </c>
    </row>
    <row r="4919" spans="1:5">
      <c r="A4919" s="473">
        <v>7763</v>
      </c>
      <c r="B4919" s="473" t="s">
        <v>14561</v>
      </c>
      <c r="C4919" s="473" t="s">
        <v>48</v>
      </c>
      <c r="D4919" s="473" t="s">
        <v>41</v>
      </c>
      <c r="E4919" s="361">
        <v>200.24</v>
      </c>
    </row>
    <row r="4920" spans="1:5">
      <c r="A4920" s="473">
        <v>7764</v>
      </c>
      <c r="B4920" s="473" t="s">
        <v>14562</v>
      </c>
      <c r="C4920" s="473" t="s">
        <v>48</v>
      </c>
      <c r="D4920" s="473" t="s">
        <v>41</v>
      </c>
      <c r="E4920" s="361">
        <v>300.77999999999997</v>
      </c>
    </row>
    <row r="4921" spans="1:5">
      <c r="A4921" s="473">
        <v>12572</v>
      </c>
      <c r="B4921" s="473" t="s">
        <v>14563</v>
      </c>
      <c r="C4921" s="473" t="s">
        <v>48</v>
      </c>
      <c r="D4921" s="473" t="s">
        <v>41</v>
      </c>
      <c r="E4921" s="361">
        <v>394.36</v>
      </c>
    </row>
    <row r="4922" spans="1:5">
      <c r="A4922" s="473">
        <v>12573</v>
      </c>
      <c r="B4922" s="473" t="s">
        <v>14564</v>
      </c>
      <c r="C4922" s="473" t="s">
        <v>48</v>
      </c>
      <c r="D4922" s="473" t="s">
        <v>41</v>
      </c>
      <c r="E4922" s="361">
        <v>414.42</v>
      </c>
    </row>
    <row r="4923" spans="1:5">
      <c r="A4923" s="473">
        <v>12574</v>
      </c>
      <c r="B4923" s="473" t="s">
        <v>14565</v>
      </c>
      <c r="C4923" s="473" t="s">
        <v>48</v>
      </c>
      <c r="D4923" s="473" t="s">
        <v>41</v>
      </c>
      <c r="E4923" s="361">
        <v>538.5</v>
      </c>
    </row>
    <row r="4924" spans="1:5">
      <c r="A4924" s="473">
        <v>12575</v>
      </c>
      <c r="B4924" s="473" t="s">
        <v>14566</v>
      </c>
      <c r="C4924" s="473" t="s">
        <v>48</v>
      </c>
      <c r="D4924" s="473" t="s">
        <v>41</v>
      </c>
      <c r="E4924" s="361">
        <v>790.4</v>
      </c>
    </row>
    <row r="4925" spans="1:5">
      <c r="A4925" s="473">
        <v>12576</v>
      </c>
      <c r="B4925" s="473" t="s">
        <v>14567</v>
      </c>
      <c r="C4925" s="473" t="s">
        <v>48</v>
      </c>
      <c r="D4925" s="473" t="s">
        <v>41</v>
      </c>
      <c r="E4925" s="361">
        <v>83.55</v>
      </c>
    </row>
    <row r="4926" spans="1:5">
      <c r="A4926" s="473">
        <v>12577</v>
      </c>
      <c r="B4926" s="473" t="s">
        <v>14568</v>
      </c>
      <c r="C4926" s="473" t="s">
        <v>48</v>
      </c>
      <c r="D4926" s="473" t="s">
        <v>41</v>
      </c>
      <c r="E4926" s="361">
        <v>108.06</v>
      </c>
    </row>
    <row r="4927" spans="1:5">
      <c r="A4927" s="473">
        <v>12578</v>
      </c>
      <c r="B4927" s="473" t="s">
        <v>14569</v>
      </c>
      <c r="C4927" s="473" t="s">
        <v>48</v>
      </c>
      <c r="D4927" s="473" t="s">
        <v>41</v>
      </c>
      <c r="E4927" s="361">
        <v>144.93</v>
      </c>
    </row>
    <row r="4928" spans="1:5">
      <c r="A4928" s="473">
        <v>12579</v>
      </c>
      <c r="B4928" s="473" t="s">
        <v>14570</v>
      </c>
      <c r="C4928" s="473" t="s">
        <v>48</v>
      </c>
      <c r="D4928" s="473" t="s">
        <v>41</v>
      </c>
      <c r="E4928" s="361">
        <v>212.22</v>
      </c>
    </row>
    <row r="4929" spans="1:5">
      <c r="A4929" s="473">
        <v>12580</v>
      </c>
      <c r="B4929" s="473" t="s">
        <v>14571</v>
      </c>
      <c r="C4929" s="473" t="s">
        <v>48</v>
      </c>
      <c r="D4929" s="473" t="s">
        <v>41</v>
      </c>
      <c r="E4929" s="361">
        <v>273.95999999999998</v>
      </c>
    </row>
    <row r="4930" spans="1:5">
      <c r="A4930" s="473">
        <v>12581</v>
      </c>
      <c r="B4930" s="473" t="s">
        <v>14572</v>
      </c>
      <c r="C4930" s="473" t="s">
        <v>48</v>
      </c>
      <c r="D4930" s="473" t="s">
        <v>41</v>
      </c>
      <c r="E4930" s="361">
        <v>374.87</v>
      </c>
    </row>
    <row r="4931" spans="1:5">
      <c r="A4931" s="473">
        <v>41785</v>
      </c>
      <c r="B4931" s="473" t="s">
        <v>14573</v>
      </c>
      <c r="C4931" s="473" t="s">
        <v>48</v>
      </c>
      <c r="D4931" s="473" t="s">
        <v>47</v>
      </c>
      <c r="E4931" s="361">
        <v>1135.72</v>
      </c>
    </row>
    <row r="4932" spans="1:5">
      <c r="A4932" s="473">
        <v>41781</v>
      </c>
      <c r="B4932" s="473" t="s">
        <v>14574</v>
      </c>
      <c r="C4932" s="473" t="s">
        <v>48</v>
      </c>
      <c r="D4932" s="473" t="s">
        <v>47</v>
      </c>
      <c r="E4932" s="361">
        <v>323.8</v>
      </c>
    </row>
    <row r="4933" spans="1:5">
      <c r="A4933" s="473">
        <v>41783</v>
      </c>
      <c r="B4933" s="473" t="s">
        <v>14575</v>
      </c>
      <c r="C4933" s="473" t="s">
        <v>48</v>
      </c>
      <c r="D4933" s="473" t="s">
        <v>47</v>
      </c>
      <c r="E4933" s="361">
        <v>854.46</v>
      </c>
    </row>
    <row r="4934" spans="1:5">
      <c r="A4934" s="473">
        <v>41786</v>
      </c>
      <c r="B4934" s="473" t="s">
        <v>14576</v>
      </c>
      <c r="C4934" s="473" t="s">
        <v>48</v>
      </c>
      <c r="D4934" s="473" t="s">
        <v>47</v>
      </c>
      <c r="E4934" s="361">
        <v>1782.5</v>
      </c>
    </row>
    <row r="4935" spans="1:5">
      <c r="A4935" s="473">
        <v>41779</v>
      </c>
      <c r="B4935" s="473" t="s">
        <v>14577</v>
      </c>
      <c r="C4935" s="473" t="s">
        <v>48</v>
      </c>
      <c r="D4935" s="473" t="s">
        <v>47</v>
      </c>
      <c r="E4935" s="361">
        <v>124.19</v>
      </c>
    </row>
    <row r="4936" spans="1:5">
      <c r="A4936" s="473">
        <v>41780</v>
      </c>
      <c r="B4936" s="473" t="s">
        <v>14578</v>
      </c>
      <c r="C4936" s="473" t="s">
        <v>48</v>
      </c>
      <c r="D4936" s="473" t="s">
        <v>47</v>
      </c>
      <c r="E4936" s="361">
        <v>146.88</v>
      </c>
    </row>
    <row r="4937" spans="1:5">
      <c r="A4937" s="473">
        <v>41782</v>
      </c>
      <c r="B4937" s="473" t="s">
        <v>14579</v>
      </c>
      <c r="C4937" s="473" t="s">
        <v>48</v>
      </c>
      <c r="D4937" s="473" t="s">
        <v>47</v>
      </c>
      <c r="E4937" s="361">
        <v>605.48</v>
      </c>
    </row>
    <row r="4938" spans="1:5">
      <c r="A4938" s="473">
        <v>38130</v>
      </c>
      <c r="B4938" s="473" t="s">
        <v>14580</v>
      </c>
      <c r="C4938" s="473" t="s">
        <v>48</v>
      </c>
      <c r="D4938" s="473" t="s">
        <v>41</v>
      </c>
      <c r="E4938" s="361">
        <v>21.49</v>
      </c>
    </row>
    <row r="4939" spans="1:5">
      <c r="A4939" s="473">
        <v>21123</v>
      </c>
      <c r="B4939" s="473" t="s">
        <v>14581</v>
      </c>
      <c r="C4939" s="473" t="s">
        <v>48</v>
      </c>
      <c r="D4939" s="473" t="s">
        <v>44</v>
      </c>
      <c r="E4939" s="361">
        <v>6.1</v>
      </c>
    </row>
    <row r="4940" spans="1:5">
      <c r="A4940" s="473">
        <v>21124</v>
      </c>
      <c r="B4940" s="473" t="s">
        <v>14582</v>
      </c>
      <c r="C4940" s="473" t="s">
        <v>48</v>
      </c>
      <c r="D4940" s="473" t="s">
        <v>41</v>
      </c>
      <c r="E4940" s="361">
        <v>10.81</v>
      </c>
    </row>
    <row r="4941" spans="1:5">
      <c r="A4941" s="473">
        <v>21125</v>
      </c>
      <c r="B4941" s="473" t="s">
        <v>14583</v>
      </c>
      <c r="C4941" s="473" t="s">
        <v>48</v>
      </c>
      <c r="D4941" s="473" t="s">
        <v>41</v>
      </c>
      <c r="E4941" s="361">
        <v>17.36</v>
      </c>
    </row>
    <row r="4942" spans="1:5">
      <c r="A4942" s="473">
        <v>38028</v>
      </c>
      <c r="B4942" s="473" t="s">
        <v>14584</v>
      </c>
      <c r="C4942" s="473" t="s">
        <v>48</v>
      </c>
      <c r="D4942" s="473" t="s">
        <v>41</v>
      </c>
      <c r="E4942" s="361">
        <v>29.45</v>
      </c>
    </row>
    <row r="4943" spans="1:5">
      <c r="A4943" s="473">
        <v>38029</v>
      </c>
      <c r="B4943" s="473" t="s">
        <v>14585</v>
      </c>
      <c r="C4943" s="473" t="s">
        <v>48</v>
      </c>
      <c r="D4943" s="473" t="s">
        <v>41</v>
      </c>
      <c r="E4943" s="361">
        <v>44.9</v>
      </c>
    </row>
    <row r="4944" spans="1:5">
      <c r="A4944" s="473">
        <v>38030</v>
      </c>
      <c r="B4944" s="473" t="s">
        <v>14586</v>
      </c>
      <c r="C4944" s="473" t="s">
        <v>48</v>
      </c>
      <c r="D4944" s="473" t="s">
        <v>41</v>
      </c>
      <c r="E4944" s="361">
        <v>68.97</v>
      </c>
    </row>
    <row r="4945" spans="1:5">
      <c r="A4945" s="473">
        <v>38031</v>
      </c>
      <c r="B4945" s="473" t="s">
        <v>14587</v>
      </c>
      <c r="C4945" s="473" t="s">
        <v>48</v>
      </c>
      <c r="D4945" s="473" t="s">
        <v>41</v>
      </c>
      <c r="E4945" s="361">
        <v>109.3</v>
      </c>
    </row>
    <row r="4946" spans="1:5">
      <c r="A4946" s="473">
        <v>39735</v>
      </c>
      <c r="B4946" s="473" t="s">
        <v>14588</v>
      </c>
      <c r="C4946" s="473" t="s">
        <v>48</v>
      </c>
      <c r="D4946" s="473" t="s">
        <v>47</v>
      </c>
      <c r="E4946" s="361">
        <v>69.89</v>
      </c>
    </row>
    <row r="4947" spans="1:5">
      <c r="A4947" s="473">
        <v>39734</v>
      </c>
      <c r="B4947" s="473" t="s">
        <v>14589</v>
      </c>
      <c r="C4947" s="473" t="s">
        <v>48</v>
      </c>
      <c r="D4947" s="473" t="s">
        <v>47</v>
      </c>
      <c r="E4947" s="361">
        <v>82.9</v>
      </c>
    </row>
    <row r="4948" spans="1:5">
      <c r="A4948" s="473">
        <v>39736</v>
      </c>
      <c r="B4948" s="473" t="s">
        <v>14590</v>
      </c>
      <c r="C4948" s="473" t="s">
        <v>48</v>
      </c>
      <c r="D4948" s="473" t="s">
        <v>47</v>
      </c>
      <c r="E4948" s="361">
        <v>94.61</v>
      </c>
    </row>
    <row r="4949" spans="1:5">
      <c r="A4949" s="473">
        <v>39737</v>
      </c>
      <c r="B4949" s="473" t="s">
        <v>14591</v>
      </c>
      <c r="C4949" s="473" t="s">
        <v>48</v>
      </c>
      <c r="D4949" s="473" t="s">
        <v>47</v>
      </c>
      <c r="E4949" s="361">
        <v>12.72</v>
      </c>
    </row>
    <row r="4950" spans="1:5">
      <c r="A4950" s="473">
        <v>39738</v>
      </c>
      <c r="B4950" s="473" t="s">
        <v>14592</v>
      </c>
      <c r="C4950" s="473" t="s">
        <v>48</v>
      </c>
      <c r="D4950" s="473" t="s">
        <v>47</v>
      </c>
      <c r="E4950" s="361">
        <v>4.5999999999999996</v>
      </c>
    </row>
    <row r="4951" spans="1:5">
      <c r="A4951" s="473">
        <v>39739</v>
      </c>
      <c r="B4951" s="473" t="s">
        <v>14593</v>
      </c>
      <c r="C4951" s="473" t="s">
        <v>48</v>
      </c>
      <c r="D4951" s="473" t="s">
        <v>47</v>
      </c>
      <c r="E4951" s="361">
        <v>65.430000000000007</v>
      </c>
    </row>
    <row r="4952" spans="1:5">
      <c r="A4952" s="473">
        <v>39733</v>
      </c>
      <c r="B4952" s="473" t="s">
        <v>14594</v>
      </c>
      <c r="C4952" s="473" t="s">
        <v>48</v>
      </c>
      <c r="D4952" s="473" t="s">
        <v>47</v>
      </c>
      <c r="E4952" s="361">
        <v>113.23</v>
      </c>
    </row>
    <row r="4953" spans="1:5">
      <c r="A4953" s="473">
        <v>39854</v>
      </c>
      <c r="B4953" s="473" t="s">
        <v>14595</v>
      </c>
      <c r="C4953" s="473" t="s">
        <v>48</v>
      </c>
      <c r="D4953" s="473" t="s">
        <v>47</v>
      </c>
      <c r="E4953" s="361">
        <v>114.83</v>
      </c>
    </row>
    <row r="4954" spans="1:5">
      <c r="A4954" s="473">
        <v>39740</v>
      </c>
      <c r="B4954" s="473" t="s">
        <v>14596</v>
      </c>
      <c r="C4954" s="473" t="s">
        <v>48</v>
      </c>
      <c r="D4954" s="473" t="s">
        <v>47</v>
      </c>
      <c r="E4954" s="361">
        <v>62.83</v>
      </c>
    </row>
    <row r="4955" spans="1:5">
      <c r="A4955" s="473">
        <v>39741</v>
      </c>
      <c r="B4955" s="473" t="s">
        <v>14597</v>
      </c>
      <c r="C4955" s="473" t="s">
        <v>48</v>
      </c>
      <c r="D4955" s="473" t="s">
        <v>47</v>
      </c>
      <c r="E4955" s="361">
        <v>11.58</v>
      </c>
    </row>
    <row r="4956" spans="1:5">
      <c r="A4956" s="473">
        <v>39853</v>
      </c>
      <c r="B4956" s="473" t="s">
        <v>14598</v>
      </c>
      <c r="C4956" s="473" t="s">
        <v>48</v>
      </c>
      <c r="D4956" s="473" t="s">
        <v>47</v>
      </c>
      <c r="E4956" s="361">
        <v>15.21</v>
      </c>
    </row>
    <row r="4957" spans="1:5">
      <c r="A4957" s="473">
        <v>39742</v>
      </c>
      <c r="B4957" s="473" t="s">
        <v>14599</v>
      </c>
      <c r="C4957" s="473" t="s">
        <v>48</v>
      </c>
      <c r="D4957" s="473" t="s">
        <v>47</v>
      </c>
      <c r="E4957" s="361">
        <v>50.5</v>
      </c>
    </row>
    <row r="4958" spans="1:5">
      <c r="A4958" s="473">
        <v>39749</v>
      </c>
      <c r="B4958" s="473" t="s">
        <v>14600</v>
      </c>
      <c r="C4958" s="473" t="s">
        <v>48</v>
      </c>
      <c r="D4958" s="473" t="s">
        <v>47</v>
      </c>
      <c r="E4958" s="361">
        <v>56.56</v>
      </c>
    </row>
    <row r="4959" spans="1:5">
      <c r="A4959" s="473">
        <v>39751</v>
      </c>
      <c r="B4959" s="473" t="s">
        <v>14601</v>
      </c>
      <c r="C4959" s="473" t="s">
        <v>48</v>
      </c>
      <c r="D4959" s="473" t="s">
        <v>47</v>
      </c>
      <c r="E4959" s="361">
        <v>102.79</v>
      </c>
    </row>
    <row r="4960" spans="1:5">
      <c r="A4960" s="473">
        <v>39750</v>
      </c>
      <c r="B4960" s="473" t="s">
        <v>14602</v>
      </c>
      <c r="C4960" s="473" t="s">
        <v>48</v>
      </c>
      <c r="D4960" s="473" t="s">
        <v>47</v>
      </c>
      <c r="E4960" s="361">
        <v>85.43</v>
      </c>
    </row>
    <row r="4961" spans="1:5">
      <c r="A4961" s="473">
        <v>39747</v>
      </c>
      <c r="B4961" s="473" t="s">
        <v>14603</v>
      </c>
      <c r="C4961" s="473" t="s">
        <v>48</v>
      </c>
      <c r="D4961" s="473" t="s">
        <v>47</v>
      </c>
      <c r="E4961" s="361">
        <v>27.48</v>
      </c>
    </row>
    <row r="4962" spans="1:5">
      <c r="A4962" s="473">
        <v>39753</v>
      </c>
      <c r="B4962" s="473" t="s">
        <v>14604</v>
      </c>
      <c r="C4962" s="473" t="s">
        <v>48</v>
      </c>
      <c r="D4962" s="473" t="s">
        <v>47</v>
      </c>
      <c r="E4962" s="361">
        <v>189.21</v>
      </c>
    </row>
    <row r="4963" spans="1:5">
      <c r="A4963" s="473">
        <v>39754</v>
      </c>
      <c r="B4963" s="473" t="s">
        <v>14605</v>
      </c>
      <c r="C4963" s="473" t="s">
        <v>48</v>
      </c>
      <c r="D4963" s="473" t="s">
        <v>47</v>
      </c>
      <c r="E4963" s="361">
        <v>278.76</v>
      </c>
    </row>
    <row r="4964" spans="1:5">
      <c r="A4964" s="473">
        <v>39748</v>
      </c>
      <c r="B4964" s="473" t="s">
        <v>14606</v>
      </c>
      <c r="C4964" s="473" t="s">
        <v>48</v>
      </c>
      <c r="D4964" s="473" t="s">
        <v>47</v>
      </c>
      <c r="E4964" s="361">
        <v>44.46</v>
      </c>
    </row>
    <row r="4965" spans="1:5">
      <c r="A4965" s="473">
        <v>39755</v>
      </c>
      <c r="B4965" s="473" t="s">
        <v>14607</v>
      </c>
      <c r="C4965" s="473" t="s">
        <v>48</v>
      </c>
      <c r="D4965" s="473" t="s">
        <v>47</v>
      </c>
      <c r="E4965" s="361">
        <v>422.66</v>
      </c>
    </row>
    <row r="4966" spans="1:5">
      <c r="A4966" s="473">
        <v>12742</v>
      </c>
      <c r="B4966" s="473" t="s">
        <v>14608</v>
      </c>
      <c r="C4966" s="473" t="s">
        <v>48</v>
      </c>
      <c r="D4966" s="473" t="s">
        <v>47</v>
      </c>
      <c r="E4966" s="361">
        <v>334.67</v>
      </c>
    </row>
    <row r="4967" spans="1:5">
      <c r="A4967" s="473">
        <v>12713</v>
      </c>
      <c r="B4967" s="473" t="s">
        <v>14609</v>
      </c>
      <c r="C4967" s="473" t="s">
        <v>48</v>
      </c>
      <c r="D4967" s="473" t="s">
        <v>47</v>
      </c>
      <c r="E4967" s="361">
        <v>17.75</v>
      </c>
    </row>
    <row r="4968" spans="1:5">
      <c r="A4968" s="473">
        <v>12743</v>
      </c>
      <c r="B4968" s="473" t="s">
        <v>14610</v>
      </c>
      <c r="C4968" s="473" t="s">
        <v>48</v>
      </c>
      <c r="D4968" s="473" t="s">
        <v>47</v>
      </c>
      <c r="E4968" s="361">
        <v>30.53</v>
      </c>
    </row>
    <row r="4969" spans="1:5">
      <c r="A4969" s="473">
        <v>12744</v>
      </c>
      <c r="B4969" s="473" t="s">
        <v>14611</v>
      </c>
      <c r="C4969" s="473" t="s">
        <v>48</v>
      </c>
      <c r="D4969" s="473" t="s">
        <v>47</v>
      </c>
      <c r="E4969" s="361">
        <v>38.75</v>
      </c>
    </row>
    <row r="4970" spans="1:5">
      <c r="A4970" s="473">
        <v>12745</v>
      </c>
      <c r="B4970" s="473" t="s">
        <v>14612</v>
      </c>
      <c r="C4970" s="473" t="s">
        <v>48</v>
      </c>
      <c r="D4970" s="473" t="s">
        <v>47</v>
      </c>
      <c r="E4970" s="361">
        <v>56.27</v>
      </c>
    </row>
    <row r="4971" spans="1:5">
      <c r="A4971" s="473">
        <v>12746</v>
      </c>
      <c r="B4971" s="473" t="s">
        <v>14613</v>
      </c>
      <c r="C4971" s="473" t="s">
        <v>48</v>
      </c>
      <c r="D4971" s="473" t="s">
        <v>47</v>
      </c>
      <c r="E4971" s="361">
        <v>75.989999999999995</v>
      </c>
    </row>
    <row r="4972" spans="1:5">
      <c r="A4972" s="473">
        <v>12747</v>
      </c>
      <c r="B4972" s="473" t="s">
        <v>14614</v>
      </c>
      <c r="C4972" s="473" t="s">
        <v>48</v>
      </c>
      <c r="D4972" s="473" t="s">
        <v>47</v>
      </c>
      <c r="E4972" s="361">
        <v>110.2</v>
      </c>
    </row>
    <row r="4973" spans="1:5">
      <c r="A4973" s="473">
        <v>12748</v>
      </c>
      <c r="B4973" s="473" t="s">
        <v>14615</v>
      </c>
      <c r="C4973" s="473" t="s">
        <v>48</v>
      </c>
      <c r="D4973" s="473" t="s">
        <v>47</v>
      </c>
      <c r="E4973" s="361">
        <v>155.26</v>
      </c>
    </row>
    <row r="4974" spans="1:5">
      <c r="A4974" s="473">
        <v>12749</v>
      </c>
      <c r="B4974" s="473" t="s">
        <v>14616</v>
      </c>
      <c r="C4974" s="473" t="s">
        <v>48</v>
      </c>
      <c r="D4974" s="473" t="s">
        <v>47</v>
      </c>
      <c r="E4974" s="361">
        <v>226.97</v>
      </c>
    </row>
    <row r="4975" spans="1:5">
      <c r="A4975" s="473">
        <v>39726</v>
      </c>
      <c r="B4975" s="473" t="s">
        <v>14617</v>
      </c>
      <c r="C4975" s="473" t="s">
        <v>48</v>
      </c>
      <c r="D4975" s="473" t="s">
        <v>47</v>
      </c>
      <c r="E4975" s="361">
        <v>74.55</v>
      </c>
    </row>
    <row r="4976" spans="1:5">
      <c r="A4976" s="473">
        <v>39728</v>
      </c>
      <c r="B4976" s="473" t="s">
        <v>14618</v>
      </c>
      <c r="C4976" s="473" t="s">
        <v>48</v>
      </c>
      <c r="D4976" s="473" t="s">
        <v>47</v>
      </c>
      <c r="E4976" s="361">
        <v>131.02000000000001</v>
      </c>
    </row>
    <row r="4977" spans="1:5">
      <c r="A4977" s="473">
        <v>39727</v>
      </c>
      <c r="B4977" s="473" t="s">
        <v>14619</v>
      </c>
      <c r="C4977" s="473" t="s">
        <v>48</v>
      </c>
      <c r="D4977" s="473" t="s">
        <v>47</v>
      </c>
      <c r="E4977" s="361">
        <v>107.82</v>
      </c>
    </row>
    <row r="4978" spans="1:5">
      <c r="A4978" s="473">
        <v>39724</v>
      </c>
      <c r="B4978" s="473" t="s">
        <v>14620</v>
      </c>
      <c r="C4978" s="473" t="s">
        <v>48</v>
      </c>
      <c r="D4978" s="473" t="s">
        <v>47</v>
      </c>
      <c r="E4978" s="361">
        <v>33.01</v>
      </c>
    </row>
    <row r="4979" spans="1:5">
      <c r="A4979" s="473">
        <v>39729</v>
      </c>
      <c r="B4979" s="473" t="s">
        <v>14621</v>
      </c>
      <c r="C4979" s="473" t="s">
        <v>48</v>
      </c>
      <c r="D4979" s="473" t="s">
        <v>47</v>
      </c>
      <c r="E4979" s="361">
        <v>181.44</v>
      </c>
    </row>
    <row r="4980" spans="1:5">
      <c r="A4980" s="473">
        <v>39730</v>
      </c>
      <c r="B4980" s="473" t="s">
        <v>14622</v>
      </c>
      <c r="C4980" s="473" t="s">
        <v>48</v>
      </c>
      <c r="D4980" s="473" t="s">
        <v>47</v>
      </c>
      <c r="E4980" s="361">
        <v>235.41</v>
      </c>
    </row>
    <row r="4981" spans="1:5">
      <c r="A4981" s="473">
        <v>39731</v>
      </c>
      <c r="B4981" s="473" t="s">
        <v>14623</v>
      </c>
      <c r="C4981" s="473" t="s">
        <v>48</v>
      </c>
      <c r="D4981" s="473" t="s">
        <v>47</v>
      </c>
      <c r="E4981" s="361">
        <v>348.66</v>
      </c>
    </row>
    <row r="4982" spans="1:5">
      <c r="A4982" s="473">
        <v>39725</v>
      </c>
      <c r="B4982" s="473" t="s">
        <v>14624</v>
      </c>
      <c r="C4982" s="473" t="s">
        <v>48</v>
      </c>
      <c r="D4982" s="473" t="s">
        <v>47</v>
      </c>
      <c r="E4982" s="361">
        <v>53.8</v>
      </c>
    </row>
    <row r="4983" spans="1:5">
      <c r="A4983" s="473">
        <v>39732</v>
      </c>
      <c r="B4983" s="473" t="s">
        <v>14625</v>
      </c>
      <c r="C4983" s="473" t="s">
        <v>48</v>
      </c>
      <c r="D4983" s="473" t="s">
        <v>47</v>
      </c>
      <c r="E4983" s="361">
        <v>513.21</v>
      </c>
    </row>
    <row r="4984" spans="1:5">
      <c r="A4984" s="473">
        <v>39660</v>
      </c>
      <c r="B4984" s="473" t="s">
        <v>14626</v>
      </c>
      <c r="C4984" s="473" t="s">
        <v>48</v>
      </c>
      <c r="D4984" s="473" t="s">
        <v>47</v>
      </c>
      <c r="E4984" s="361">
        <v>23.38</v>
      </c>
    </row>
    <row r="4985" spans="1:5">
      <c r="A4985" s="473">
        <v>39662</v>
      </c>
      <c r="B4985" s="473" t="s">
        <v>14627</v>
      </c>
      <c r="C4985" s="473" t="s">
        <v>48</v>
      </c>
      <c r="D4985" s="473" t="s">
        <v>47</v>
      </c>
      <c r="E4985" s="361">
        <v>11.21</v>
      </c>
    </row>
    <row r="4986" spans="1:5">
      <c r="A4986" s="473">
        <v>39661</v>
      </c>
      <c r="B4986" s="473" t="s">
        <v>14628</v>
      </c>
      <c r="C4986" s="473" t="s">
        <v>48</v>
      </c>
      <c r="D4986" s="473" t="s">
        <v>47</v>
      </c>
      <c r="E4986" s="361">
        <v>7.64</v>
      </c>
    </row>
    <row r="4987" spans="1:5">
      <c r="A4987" s="473">
        <v>39666</v>
      </c>
      <c r="B4987" s="473" t="s">
        <v>14629</v>
      </c>
      <c r="C4987" s="473" t="s">
        <v>48</v>
      </c>
      <c r="D4987" s="473" t="s">
        <v>47</v>
      </c>
      <c r="E4987" s="361">
        <v>35.18</v>
      </c>
    </row>
    <row r="4988" spans="1:5">
      <c r="A4988" s="473">
        <v>39664</v>
      </c>
      <c r="B4988" s="473" t="s">
        <v>14630</v>
      </c>
      <c r="C4988" s="473" t="s">
        <v>48</v>
      </c>
      <c r="D4988" s="473" t="s">
        <v>47</v>
      </c>
      <c r="E4988" s="361">
        <v>17.239999999999998</v>
      </c>
    </row>
    <row r="4989" spans="1:5">
      <c r="A4989" s="473">
        <v>39663</v>
      </c>
      <c r="B4989" s="473" t="s">
        <v>14631</v>
      </c>
      <c r="C4989" s="473" t="s">
        <v>48</v>
      </c>
      <c r="D4989" s="473" t="s">
        <v>47</v>
      </c>
      <c r="E4989" s="361">
        <v>13.78</v>
      </c>
    </row>
    <row r="4990" spans="1:5">
      <c r="A4990" s="473">
        <v>39665</v>
      </c>
      <c r="B4990" s="473" t="s">
        <v>14632</v>
      </c>
      <c r="C4990" s="473" t="s">
        <v>48</v>
      </c>
      <c r="D4990" s="473" t="s">
        <v>47</v>
      </c>
      <c r="E4990" s="361">
        <v>29.09</v>
      </c>
    </row>
    <row r="4991" spans="1:5">
      <c r="A4991" s="473">
        <v>39752</v>
      </c>
      <c r="B4991" s="473" t="s">
        <v>14633</v>
      </c>
      <c r="C4991" s="473" t="s">
        <v>48</v>
      </c>
      <c r="D4991" s="473" t="s">
        <v>47</v>
      </c>
      <c r="E4991" s="361">
        <v>146.26</v>
      </c>
    </row>
    <row r="4992" spans="1:5">
      <c r="A4992" s="473">
        <v>12583</v>
      </c>
      <c r="B4992" s="473" t="s">
        <v>14634</v>
      </c>
      <c r="C4992" s="473" t="s">
        <v>48</v>
      </c>
      <c r="D4992" s="473" t="s">
        <v>41</v>
      </c>
      <c r="E4992" s="361">
        <v>26.28</v>
      </c>
    </row>
    <row r="4993" spans="1:5">
      <c r="A4993" s="473">
        <v>12584</v>
      </c>
      <c r="B4993" s="473" t="s">
        <v>14635</v>
      </c>
      <c r="C4993" s="473" t="s">
        <v>48</v>
      </c>
      <c r="D4993" s="473" t="s">
        <v>41</v>
      </c>
      <c r="E4993" s="361">
        <v>25.29</v>
      </c>
    </row>
    <row r="4994" spans="1:5">
      <c r="A4994" s="473">
        <v>13159</v>
      </c>
      <c r="B4994" s="473" t="s">
        <v>14636</v>
      </c>
      <c r="C4994" s="473" t="s">
        <v>48</v>
      </c>
      <c r="D4994" s="473" t="s">
        <v>41</v>
      </c>
      <c r="E4994" s="361">
        <v>76.62</v>
      </c>
    </row>
    <row r="4995" spans="1:5">
      <c r="A4995" s="473">
        <v>13168</v>
      </c>
      <c r="B4995" s="473" t="s">
        <v>14637</v>
      </c>
      <c r="C4995" s="473" t="s">
        <v>48</v>
      </c>
      <c r="D4995" s="473" t="s">
        <v>41</v>
      </c>
      <c r="E4995" s="361">
        <v>115.22</v>
      </c>
    </row>
    <row r="4996" spans="1:5">
      <c r="A4996" s="473">
        <v>13173</v>
      </c>
      <c r="B4996" s="473" t="s">
        <v>14638</v>
      </c>
      <c r="C4996" s="473" t="s">
        <v>48</v>
      </c>
      <c r="D4996" s="473" t="s">
        <v>41</v>
      </c>
      <c r="E4996" s="361">
        <v>142.06</v>
      </c>
    </row>
    <row r="4997" spans="1:5">
      <c r="A4997" s="473">
        <v>37449</v>
      </c>
      <c r="B4997" s="473" t="s">
        <v>14639</v>
      </c>
      <c r="C4997" s="473" t="s">
        <v>48</v>
      </c>
      <c r="D4997" s="473" t="s">
        <v>41</v>
      </c>
      <c r="E4997" s="361">
        <v>23.49</v>
      </c>
    </row>
    <row r="4998" spans="1:5">
      <c r="A4998" s="473">
        <v>37450</v>
      </c>
      <c r="B4998" s="473" t="s">
        <v>14640</v>
      </c>
      <c r="C4998" s="473" t="s">
        <v>48</v>
      </c>
      <c r="D4998" s="473" t="s">
        <v>41</v>
      </c>
      <c r="E4998" s="361">
        <v>28.63</v>
      </c>
    </row>
    <row r="4999" spans="1:5">
      <c r="A4999" s="473">
        <v>37451</v>
      </c>
      <c r="B4999" s="473" t="s">
        <v>14641</v>
      </c>
      <c r="C4999" s="473" t="s">
        <v>48</v>
      </c>
      <c r="D4999" s="473" t="s">
        <v>41</v>
      </c>
      <c r="E4999" s="361">
        <v>43.85</v>
      </c>
    </row>
    <row r="5000" spans="1:5">
      <c r="A5000" s="473">
        <v>37452</v>
      </c>
      <c r="B5000" s="473" t="s">
        <v>14642</v>
      </c>
      <c r="C5000" s="473" t="s">
        <v>48</v>
      </c>
      <c r="D5000" s="473" t="s">
        <v>41</v>
      </c>
      <c r="E5000" s="361">
        <v>58.16</v>
      </c>
    </row>
    <row r="5001" spans="1:5">
      <c r="A5001" s="473">
        <v>37453</v>
      </c>
      <c r="B5001" s="473" t="s">
        <v>14643</v>
      </c>
      <c r="C5001" s="473" t="s">
        <v>48</v>
      </c>
      <c r="D5001" s="473" t="s">
        <v>41</v>
      </c>
      <c r="E5001" s="361">
        <v>72.989999999999995</v>
      </c>
    </row>
    <row r="5002" spans="1:5">
      <c r="A5002" s="473">
        <v>7778</v>
      </c>
      <c r="B5002" s="473" t="s">
        <v>14644</v>
      </c>
      <c r="C5002" s="473" t="s">
        <v>48</v>
      </c>
      <c r="D5002" s="473" t="s">
        <v>41</v>
      </c>
      <c r="E5002" s="361">
        <v>27.4</v>
      </c>
    </row>
    <row r="5003" spans="1:5">
      <c r="A5003" s="473">
        <v>7796</v>
      </c>
      <c r="B5003" s="473" t="s">
        <v>14645</v>
      </c>
      <c r="C5003" s="473" t="s">
        <v>48</v>
      </c>
      <c r="D5003" s="473" t="s">
        <v>44</v>
      </c>
      <c r="E5003" s="361">
        <v>33</v>
      </c>
    </row>
    <row r="5004" spans="1:5">
      <c r="A5004" s="473">
        <v>7781</v>
      </c>
      <c r="B5004" s="473" t="s">
        <v>14646</v>
      </c>
      <c r="C5004" s="473" t="s">
        <v>48</v>
      </c>
      <c r="D5004" s="473" t="s">
        <v>41</v>
      </c>
      <c r="E5004" s="361">
        <v>43.62</v>
      </c>
    </row>
    <row r="5005" spans="1:5">
      <c r="A5005" s="473">
        <v>7795</v>
      </c>
      <c r="B5005" s="473" t="s">
        <v>14647</v>
      </c>
      <c r="C5005" s="473" t="s">
        <v>48</v>
      </c>
      <c r="D5005" s="473" t="s">
        <v>41</v>
      </c>
      <c r="E5005" s="361">
        <v>63.2</v>
      </c>
    </row>
    <row r="5006" spans="1:5">
      <c r="A5006" s="473">
        <v>7791</v>
      </c>
      <c r="B5006" s="473" t="s">
        <v>14648</v>
      </c>
      <c r="C5006" s="473" t="s">
        <v>48</v>
      </c>
      <c r="D5006" s="473" t="s">
        <v>41</v>
      </c>
      <c r="E5006" s="361">
        <v>80.540000000000006</v>
      </c>
    </row>
    <row r="5007" spans="1:5">
      <c r="A5007" s="473">
        <v>7783</v>
      </c>
      <c r="B5007" s="473" t="s">
        <v>14649</v>
      </c>
      <c r="C5007" s="473" t="s">
        <v>48</v>
      </c>
      <c r="D5007" s="473" t="s">
        <v>41</v>
      </c>
      <c r="E5007" s="361">
        <v>30.76</v>
      </c>
    </row>
    <row r="5008" spans="1:5">
      <c r="A5008" s="473">
        <v>7790</v>
      </c>
      <c r="B5008" s="473" t="s">
        <v>14650</v>
      </c>
      <c r="C5008" s="473" t="s">
        <v>48</v>
      </c>
      <c r="D5008" s="473" t="s">
        <v>41</v>
      </c>
      <c r="E5008" s="361">
        <v>35.79</v>
      </c>
    </row>
    <row r="5009" spans="1:5">
      <c r="A5009" s="473">
        <v>7785</v>
      </c>
      <c r="B5009" s="473" t="s">
        <v>14651</v>
      </c>
      <c r="C5009" s="473" t="s">
        <v>48</v>
      </c>
      <c r="D5009" s="473" t="s">
        <v>41</v>
      </c>
      <c r="E5009" s="361">
        <v>46.98</v>
      </c>
    </row>
    <row r="5010" spans="1:5">
      <c r="A5010" s="473">
        <v>7792</v>
      </c>
      <c r="B5010" s="473" t="s">
        <v>14652</v>
      </c>
      <c r="C5010" s="473" t="s">
        <v>48</v>
      </c>
      <c r="D5010" s="473" t="s">
        <v>41</v>
      </c>
      <c r="E5010" s="361">
        <v>68.23</v>
      </c>
    </row>
    <row r="5011" spans="1:5">
      <c r="A5011" s="473">
        <v>7793</v>
      </c>
      <c r="B5011" s="473" t="s">
        <v>14653</v>
      </c>
      <c r="C5011" s="473" t="s">
        <v>48</v>
      </c>
      <c r="D5011" s="473" t="s">
        <v>41</v>
      </c>
      <c r="E5011" s="361">
        <v>88.06</v>
      </c>
    </row>
    <row r="5012" spans="1:5">
      <c r="A5012" s="473">
        <v>12613</v>
      </c>
      <c r="B5012" s="473" t="s">
        <v>14654</v>
      </c>
      <c r="C5012" s="473" t="s">
        <v>40</v>
      </c>
      <c r="D5012" s="473" t="s">
        <v>41</v>
      </c>
      <c r="E5012" s="361">
        <v>15.1</v>
      </c>
    </row>
    <row r="5013" spans="1:5">
      <c r="A5013" s="473">
        <v>1031</v>
      </c>
      <c r="B5013" s="473" t="s">
        <v>14655</v>
      </c>
      <c r="C5013" s="473" t="s">
        <v>40</v>
      </c>
      <c r="D5013" s="473" t="s">
        <v>41</v>
      </c>
      <c r="E5013" s="361">
        <v>8.39</v>
      </c>
    </row>
    <row r="5014" spans="1:5">
      <c r="A5014" s="473">
        <v>39707</v>
      </c>
      <c r="B5014" s="473" t="s">
        <v>14656</v>
      </c>
      <c r="C5014" s="473" t="s">
        <v>48</v>
      </c>
      <c r="D5014" s="473" t="s">
        <v>47</v>
      </c>
      <c r="E5014" s="361">
        <v>2.79</v>
      </c>
    </row>
    <row r="5015" spans="1:5">
      <c r="A5015" s="473">
        <v>39708</v>
      </c>
      <c r="B5015" s="473" t="s">
        <v>14657</v>
      </c>
      <c r="C5015" s="473" t="s">
        <v>48</v>
      </c>
      <c r="D5015" s="473" t="s">
        <v>47</v>
      </c>
      <c r="E5015" s="361">
        <v>2.7</v>
      </c>
    </row>
    <row r="5016" spans="1:5">
      <c r="A5016" s="473">
        <v>39710</v>
      </c>
      <c r="B5016" s="473" t="s">
        <v>14658</v>
      </c>
      <c r="C5016" s="473" t="s">
        <v>48</v>
      </c>
      <c r="D5016" s="473" t="s">
        <v>47</v>
      </c>
      <c r="E5016" s="361">
        <v>1.9</v>
      </c>
    </row>
    <row r="5017" spans="1:5">
      <c r="A5017" s="473">
        <v>39709</v>
      </c>
      <c r="B5017" s="473" t="s">
        <v>14659</v>
      </c>
      <c r="C5017" s="473" t="s">
        <v>48</v>
      </c>
      <c r="D5017" s="473" t="s">
        <v>47</v>
      </c>
      <c r="E5017" s="361">
        <v>2.64</v>
      </c>
    </row>
    <row r="5018" spans="1:5">
      <c r="A5018" s="473">
        <v>39711</v>
      </c>
      <c r="B5018" s="473" t="s">
        <v>14660</v>
      </c>
      <c r="C5018" s="473" t="s">
        <v>48</v>
      </c>
      <c r="D5018" s="473" t="s">
        <v>47</v>
      </c>
      <c r="E5018" s="361">
        <v>2.96</v>
      </c>
    </row>
    <row r="5019" spans="1:5">
      <c r="A5019" s="473">
        <v>39712</v>
      </c>
      <c r="B5019" s="473" t="s">
        <v>14661</v>
      </c>
      <c r="C5019" s="473" t="s">
        <v>48</v>
      </c>
      <c r="D5019" s="473" t="s">
        <v>47</v>
      </c>
      <c r="E5019" s="361">
        <v>1.04</v>
      </c>
    </row>
    <row r="5020" spans="1:5">
      <c r="A5020" s="473">
        <v>39713</v>
      </c>
      <c r="B5020" s="473" t="s">
        <v>14662</v>
      </c>
      <c r="C5020" s="473" t="s">
        <v>48</v>
      </c>
      <c r="D5020" s="473" t="s">
        <v>47</v>
      </c>
      <c r="E5020" s="361">
        <v>0.82</v>
      </c>
    </row>
    <row r="5021" spans="1:5">
      <c r="A5021" s="473">
        <v>39714</v>
      </c>
      <c r="B5021" s="473" t="s">
        <v>14663</v>
      </c>
      <c r="C5021" s="473" t="s">
        <v>48</v>
      </c>
      <c r="D5021" s="473" t="s">
        <v>47</v>
      </c>
      <c r="E5021" s="361">
        <v>1.88</v>
      </c>
    </row>
    <row r="5022" spans="1:5">
      <c r="A5022" s="473">
        <v>39715</v>
      </c>
      <c r="B5022" s="473" t="s">
        <v>14664</v>
      </c>
      <c r="C5022" s="473" t="s">
        <v>48</v>
      </c>
      <c r="D5022" s="473" t="s">
        <v>47</v>
      </c>
      <c r="E5022" s="361">
        <v>1.34</v>
      </c>
    </row>
    <row r="5023" spans="1:5">
      <c r="A5023" s="473">
        <v>39716</v>
      </c>
      <c r="B5023" s="473" t="s">
        <v>14665</v>
      </c>
      <c r="C5023" s="473" t="s">
        <v>48</v>
      </c>
      <c r="D5023" s="473" t="s">
        <v>47</v>
      </c>
      <c r="E5023" s="361">
        <v>1.01</v>
      </c>
    </row>
    <row r="5024" spans="1:5">
      <c r="A5024" s="473">
        <v>39718</v>
      </c>
      <c r="B5024" s="473" t="s">
        <v>14666</v>
      </c>
      <c r="C5024" s="473" t="s">
        <v>48</v>
      </c>
      <c r="D5024" s="473" t="s">
        <v>47</v>
      </c>
      <c r="E5024" s="361">
        <v>1.73</v>
      </c>
    </row>
    <row r="5025" spans="1:5">
      <c r="A5025" s="473">
        <v>9813</v>
      </c>
      <c r="B5025" s="473" t="s">
        <v>14667</v>
      </c>
      <c r="C5025" s="473" t="s">
        <v>48</v>
      </c>
      <c r="D5025" s="473" t="s">
        <v>47</v>
      </c>
      <c r="E5025" s="361">
        <v>3.29</v>
      </c>
    </row>
    <row r="5026" spans="1:5">
      <c r="A5026" s="473">
        <v>9815</v>
      </c>
      <c r="B5026" s="473" t="s">
        <v>14668</v>
      </c>
      <c r="C5026" s="473" t="s">
        <v>48</v>
      </c>
      <c r="D5026" s="473" t="s">
        <v>47</v>
      </c>
      <c r="E5026" s="361">
        <v>6.49</v>
      </c>
    </row>
    <row r="5027" spans="1:5">
      <c r="A5027" s="473">
        <v>25876</v>
      </c>
      <c r="B5027" s="473" t="s">
        <v>14669</v>
      </c>
      <c r="C5027" s="473" t="s">
        <v>48</v>
      </c>
      <c r="D5027" s="473" t="s">
        <v>47</v>
      </c>
      <c r="E5027" s="361">
        <v>3232.97</v>
      </c>
    </row>
    <row r="5028" spans="1:5">
      <c r="A5028" s="473">
        <v>25888</v>
      </c>
      <c r="B5028" s="473" t="s">
        <v>14670</v>
      </c>
      <c r="C5028" s="473" t="s">
        <v>48</v>
      </c>
      <c r="D5028" s="473" t="s">
        <v>47</v>
      </c>
      <c r="E5028" s="361">
        <v>79.23</v>
      </c>
    </row>
    <row r="5029" spans="1:5">
      <c r="A5029" s="473">
        <v>25874</v>
      </c>
      <c r="B5029" s="473" t="s">
        <v>14671</v>
      </c>
      <c r="C5029" s="473" t="s">
        <v>48</v>
      </c>
      <c r="D5029" s="473" t="s">
        <v>47</v>
      </c>
      <c r="E5029" s="361">
        <v>5670.14</v>
      </c>
    </row>
    <row r="5030" spans="1:5">
      <c r="A5030" s="473">
        <v>25877</v>
      </c>
      <c r="B5030" s="473" t="s">
        <v>14672</v>
      </c>
      <c r="C5030" s="473" t="s">
        <v>48</v>
      </c>
      <c r="D5030" s="473" t="s">
        <v>47</v>
      </c>
      <c r="E5030" s="361">
        <v>7737.13</v>
      </c>
    </row>
    <row r="5031" spans="1:5">
      <c r="A5031" s="473">
        <v>25878</v>
      </c>
      <c r="B5031" s="473" t="s">
        <v>14673</v>
      </c>
      <c r="C5031" s="473" t="s">
        <v>48</v>
      </c>
      <c r="D5031" s="473" t="s">
        <v>47</v>
      </c>
      <c r="E5031" s="361">
        <v>170.08</v>
      </c>
    </row>
    <row r="5032" spans="1:5">
      <c r="A5032" s="473">
        <v>25879</v>
      </c>
      <c r="B5032" s="473" t="s">
        <v>14674</v>
      </c>
      <c r="C5032" s="473" t="s">
        <v>48</v>
      </c>
      <c r="D5032" s="473" t="s">
        <v>47</v>
      </c>
      <c r="E5032" s="361">
        <v>7339.59</v>
      </c>
    </row>
    <row r="5033" spans="1:5">
      <c r="A5033" s="473">
        <v>25887</v>
      </c>
      <c r="B5033" s="473" t="s">
        <v>14675</v>
      </c>
      <c r="C5033" s="473" t="s">
        <v>48</v>
      </c>
      <c r="D5033" s="473" t="s">
        <v>47</v>
      </c>
      <c r="E5033" s="361">
        <v>2932.28</v>
      </c>
    </row>
    <row r="5034" spans="1:5">
      <c r="A5034" s="473">
        <v>25880</v>
      </c>
      <c r="B5034" s="473" t="s">
        <v>14676</v>
      </c>
      <c r="C5034" s="473" t="s">
        <v>48</v>
      </c>
      <c r="D5034" s="473" t="s">
        <v>47</v>
      </c>
      <c r="E5034" s="361">
        <v>265.13</v>
      </c>
    </row>
    <row r="5035" spans="1:5">
      <c r="A5035" s="473">
        <v>25881</v>
      </c>
      <c r="B5035" s="473" t="s">
        <v>14677</v>
      </c>
      <c r="C5035" s="473" t="s">
        <v>48</v>
      </c>
      <c r="D5035" s="473" t="s">
        <v>47</v>
      </c>
      <c r="E5035" s="361">
        <v>649.64</v>
      </c>
    </row>
    <row r="5036" spans="1:5">
      <c r="A5036" s="473">
        <v>25882</v>
      </c>
      <c r="B5036" s="473" t="s">
        <v>14678</v>
      </c>
      <c r="C5036" s="473" t="s">
        <v>48</v>
      </c>
      <c r="D5036" s="473" t="s">
        <v>47</v>
      </c>
      <c r="E5036" s="361">
        <v>1046.3399999999999</v>
      </c>
    </row>
    <row r="5037" spans="1:5">
      <c r="A5037" s="473">
        <v>25883</v>
      </c>
      <c r="B5037" s="473" t="s">
        <v>14679</v>
      </c>
      <c r="C5037" s="473" t="s">
        <v>48</v>
      </c>
      <c r="D5037" s="473" t="s">
        <v>47</v>
      </c>
      <c r="E5037" s="361">
        <v>16.88</v>
      </c>
    </row>
    <row r="5038" spans="1:5">
      <c r="A5038" s="473">
        <v>25884</v>
      </c>
      <c r="B5038" s="473" t="s">
        <v>14680</v>
      </c>
      <c r="C5038" s="473" t="s">
        <v>48</v>
      </c>
      <c r="D5038" s="473" t="s">
        <v>47</v>
      </c>
      <c r="E5038" s="361">
        <v>1836.99</v>
      </c>
    </row>
    <row r="5039" spans="1:5">
      <c r="A5039" s="473">
        <v>25885</v>
      </c>
      <c r="B5039" s="473" t="s">
        <v>14681</v>
      </c>
      <c r="C5039" s="473" t="s">
        <v>48</v>
      </c>
      <c r="D5039" s="473" t="s">
        <v>47</v>
      </c>
      <c r="E5039" s="361">
        <v>2732.13</v>
      </c>
    </row>
    <row r="5040" spans="1:5">
      <c r="A5040" s="473">
        <v>25889</v>
      </c>
      <c r="B5040" s="473" t="s">
        <v>14682</v>
      </c>
      <c r="C5040" s="473" t="s">
        <v>48</v>
      </c>
      <c r="D5040" s="473" t="s">
        <v>47</v>
      </c>
      <c r="E5040" s="361">
        <v>1370.09</v>
      </c>
    </row>
    <row r="5041" spans="1:5">
      <c r="A5041" s="473">
        <v>25886</v>
      </c>
      <c r="B5041" s="473" t="s">
        <v>14683</v>
      </c>
      <c r="C5041" s="473" t="s">
        <v>48</v>
      </c>
      <c r="D5041" s="473" t="s">
        <v>47</v>
      </c>
      <c r="E5041" s="361">
        <v>37.75</v>
      </c>
    </row>
    <row r="5042" spans="1:5">
      <c r="A5042" s="473">
        <v>25875</v>
      </c>
      <c r="B5042" s="473" t="s">
        <v>14684</v>
      </c>
      <c r="C5042" s="473" t="s">
        <v>48</v>
      </c>
      <c r="D5042" s="473" t="s">
        <v>47</v>
      </c>
      <c r="E5042" s="361">
        <v>1787.51</v>
      </c>
    </row>
    <row r="5043" spans="1:5">
      <c r="A5043" s="473">
        <v>9876</v>
      </c>
      <c r="B5043" s="473" t="s">
        <v>14685</v>
      </c>
      <c r="C5043" s="473" t="s">
        <v>48</v>
      </c>
      <c r="D5043" s="473" t="s">
        <v>41</v>
      </c>
      <c r="E5043" s="361">
        <v>13.09</v>
      </c>
    </row>
    <row r="5044" spans="1:5">
      <c r="A5044" s="473">
        <v>9877</v>
      </c>
      <c r="B5044" s="473" t="s">
        <v>14686</v>
      </c>
      <c r="C5044" s="473" t="s">
        <v>48</v>
      </c>
      <c r="D5044" s="473" t="s">
        <v>41</v>
      </c>
      <c r="E5044" s="361">
        <v>45.87</v>
      </c>
    </row>
    <row r="5045" spans="1:5">
      <c r="A5045" s="473">
        <v>9878</v>
      </c>
      <c r="B5045" s="473" t="s">
        <v>14687</v>
      </c>
      <c r="C5045" s="473" t="s">
        <v>48</v>
      </c>
      <c r="D5045" s="473" t="s">
        <v>41</v>
      </c>
      <c r="E5045" s="361">
        <v>59.75</v>
      </c>
    </row>
    <row r="5046" spans="1:5">
      <c r="A5046" s="473">
        <v>9879</v>
      </c>
      <c r="B5046" s="473" t="s">
        <v>14688</v>
      </c>
      <c r="C5046" s="473" t="s">
        <v>48</v>
      </c>
      <c r="D5046" s="473" t="s">
        <v>41</v>
      </c>
      <c r="E5046" s="361">
        <v>142.62</v>
      </c>
    </row>
    <row r="5047" spans="1:5">
      <c r="A5047" s="473">
        <v>42001</v>
      </c>
      <c r="B5047" s="473" t="s">
        <v>14689</v>
      </c>
      <c r="C5047" s="473" t="s">
        <v>48</v>
      </c>
      <c r="D5047" s="473" t="s">
        <v>47</v>
      </c>
      <c r="E5047" s="361">
        <v>366.28</v>
      </c>
    </row>
    <row r="5048" spans="1:5">
      <c r="A5048" s="473">
        <v>41998</v>
      </c>
      <c r="B5048" s="473" t="s">
        <v>14690</v>
      </c>
      <c r="C5048" s="473" t="s">
        <v>48</v>
      </c>
      <c r="D5048" s="473" t="s">
        <v>47</v>
      </c>
      <c r="E5048" s="361">
        <v>902.63</v>
      </c>
    </row>
    <row r="5049" spans="1:5">
      <c r="A5049" s="473">
        <v>41999</v>
      </c>
      <c r="B5049" s="473" t="s">
        <v>14691</v>
      </c>
      <c r="C5049" s="473" t="s">
        <v>48</v>
      </c>
      <c r="D5049" s="473" t="s">
        <v>47</v>
      </c>
      <c r="E5049" s="361">
        <v>1655.78</v>
      </c>
    </row>
    <row r="5050" spans="1:5">
      <c r="A5050" s="473">
        <v>42000</v>
      </c>
      <c r="B5050" s="473" t="s">
        <v>14692</v>
      </c>
      <c r="C5050" s="473" t="s">
        <v>48</v>
      </c>
      <c r="D5050" s="473" t="s">
        <v>47</v>
      </c>
      <c r="E5050" s="361">
        <v>2827.55</v>
      </c>
    </row>
    <row r="5051" spans="1:5">
      <c r="A5051" s="473">
        <v>38053</v>
      </c>
      <c r="B5051" s="473" t="s">
        <v>14693</v>
      </c>
      <c r="C5051" s="473" t="s">
        <v>48</v>
      </c>
      <c r="D5051" s="473" t="s">
        <v>47</v>
      </c>
      <c r="E5051" s="361">
        <v>10.98</v>
      </c>
    </row>
    <row r="5052" spans="1:5">
      <c r="A5052" s="473">
        <v>38054</v>
      </c>
      <c r="B5052" s="473" t="s">
        <v>14694</v>
      </c>
      <c r="C5052" s="473" t="s">
        <v>48</v>
      </c>
      <c r="D5052" s="473" t="s">
        <v>47</v>
      </c>
      <c r="E5052" s="361">
        <v>18.88</v>
      </c>
    </row>
    <row r="5053" spans="1:5">
      <c r="A5053" s="473">
        <v>38052</v>
      </c>
      <c r="B5053" s="473" t="s">
        <v>14695</v>
      </c>
      <c r="C5053" s="473" t="s">
        <v>48</v>
      </c>
      <c r="D5053" s="473" t="s">
        <v>47</v>
      </c>
      <c r="E5053" s="361">
        <v>5.32</v>
      </c>
    </row>
    <row r="5054" spans="1:5">
      <c r="A5054" s="473">
        <v>38051</v>
      </c>
      <c r="B5054" s="473" t="s">
        <v>14696</v>
      </c>
      <c r="C5054" s="473" t="s">
        <v>48</v>
      </c>
      <c r="D5054" s="473" t="s">
        <v>47</v>
      </c>
      <c r="E5054" s="361">
        <v>3.31</v>
      </c>
    </row>
    <row r="5055" spans="1:5">
      <c r="A5055" s="473">
        <v>38787</v>
      </c>
      <c r="B5055" s="473" t="s">
        <v>14697</v>
      </c>
      <c r="C5055" s="473" t="s">
        <v>48</v>
      </c>
      <c r="D5055" s="473" t="s">
        <v>47</v>
      </c>
      <c r="E5055" s="361">
        <v>4.21</v>
      </c>
    </row>
    <row r="5056" spans="1:5">
      <c r="A5056" s="473">
        <v>38825</v>
      </c>
      <c r="B5056" s="473" t="s">
        <v>14698</v>
      </c>
      <c r="C5056" s="473" t="s">
        <v>48</v>
      </c>
      <c r="D5056" s="473" t="s">
        <v>47</v>
      </c>
      <c r="E5056" s="361">
        <v>5.51</v>
      </c>
    </row>
    <row r="5057" spans="1:5">
      <c r="A5057" s="473">
        <v>38826</v>
      </c>
      <c r="B5057" s="473" t="s">
        <v>14699</v>
      </c>
      <c r="C5057" s="473" t="s">
        <v>48</v>
      </c>
      <c r="D5057" s="473" t="s">
        <v>47</v>
      </c>
      <c r="E5057" s="361">
        <v>8.17</v>
      </c>
    </row>
    <row r="5058" spans="1:5">
      <c r="A5058" s="473">
        <v>38827</v>
      </c>
      <c r="B5058" s="473" t="s">
        <v>14700</v>
      </c>
      <c r="C5058" s="473" t="s">
        <v>48</v>
      </c>
      <c r="D5058" s="473" t="s">
        <v>47</v>
      </c>
      <c r="E5058" s="361">
        <v>13.13</v>
      </c>
    </row>
    <row r="5059" spans="1:5">
      <c r="A5059" s="473">
        <v>38830</v>
      </c>
      <c r="B5059" s="473" t="s">
        <v>14701</v>
      </c>
      <c r="C5059" s="473" t="s">
        <v>48</v>
      </c>
      <c r="D5059" s="473" t="s">
        <v>47</v>
      </c>
      <c r="E5059" s="361">
        <v>18.39</v>
      </c>
    </row>
    <row r="5060" spans="1:5">
      <c r="A5060" s="473">
        <v>38828</v>
      </c>
      <c r="B5060" s="473" t="s">
        <v>14702</v>
      </c>
      <c r="C5060" s="473" t="s">
        <v>48</v>
      </c>
      <c r="D5060" s="473" t="s">
        <v>47</v>
      </c>
      <c r="E5060" s="361">
        <v>8.11</v>
      </c>
    </row>
    <row r="5061" spans="1:5">
      <c r="A5061" s="473">
        <v>38829</v>
      </c>
      <c r="B5061" s="473" t="s">
        <v>14703</v>
      </c>
      <c r="C5061" s="473" t="s">
        <v>48</v>
      </c>
      <c r="D5061" s="473" t="s">
        <v>47</v>
      </c>
      <c r="E5061" s="361">
        <v>13.28</v>
      </c>
    </row>
    <row r="5062" spans="1:5">
      <c r="A5062" s="473">
        <v>38831</v>
      </c>
      <c r="B5062" s="473" t="s">
        <v>14704</v>
      </c>
      <c r="C5062" s="473" t="s">
        <v>48</v>
      </c>
      <c r="D5062" s="473" t="s">
        <v>47</v>
      </c>
      <c r="E5062" s="361">
        <v>25.64</v>
      </c>
    </row>
    <row r="5063" spans="1:5">
      <c r="A5063" s="473">
        <v>36274</v>
      </c>
      <c r="B5063" s="473" t="s">
        <v>14705</v>
      </c>
      <c r="C5063" s="473" t="s">
        <v>48</v>
      </c>
      <c r="D5063" s="473" t="s">
        <v>47</v>
      </c>
      <c r="E5063" s="361">
        <v>5.0199999999999996</v>
      </c>
    </row>
    <row r="5064" spans="1:5">
      <c r="A5064" s="473">
        <v>36278</v>
      </c>
      <c r="B5064" s="473" t="s">
        <v>14706</v>
      </c>
      <c r="C5064" s="473" t="s">
        <v>48</v>
      </c>
      <c r="D5064" s="473" t="s">
        <v>47</v>
      </c>
      <c r="E5064" s="361">
        <v>6.81</v>
      </c>
    </row>
    <row r="5065" spans="1:5">
      <c r="A5065" s="473">
        <v>38977</v>
      </c>
      <c r="B5065" s="473" t="s">
        <v>14707</v>
      </c>
      <c r="C5065" s="473" t="s">
        <v>48</v>
      </c>
      <c r="D5065" s="473" t="s">
        <v>47</v>
      </c>
      <c r="E5065" s="361">
        <v>103.63</v>
      </c>
    </row>
    <row r="5066" spans="1:5">
      <c r="A5066" s="473">
        <v>38971</v>
      </c>
      <c r="B5066" s="473" t="s">
        <v>14708</v>
      </c>
      <c r="C5066" s="473" t="s">
        <v>48</v>
      </c>
      <c r="D5066" s="473" t="s">
        <v>47</v>
      </c>
      <c r="E5066" s="361">
        <v>8.5299999999999994</v>
      </c>
    </row>
    <row r="5067" spans="1:5">
      <c r="A5067" s="473">
        <v>38972</v>
      </c>
      <c r="B5067" s="473" t="s">
        <v>14709</v>
      </c>
      <c r="C5067" s="473" t="s">
        <v>48</v>
      </c>
      <c r="D5067" s="473" t="s">
        <v>47</v>
      </c>
      <c r="E5067" s="361">
        <v>13</v>
      </c>
    </row>
    <row r="5068" spans="1:5">
      <c r="A5068" s="473">
        <v>38973</v>
      </c>
      <c r="B5068" s="473" t="s">
        <v>14710</v>
      </c>
      <c r="C5068" s="473" t="s">
        <v>48</v>
      </c>
      <c r="D5068" s="473" t="s">
        <v>47</v>
      </c>
      <c r="E5068" s="361">
        <v>17.2</v>
      </c>
    </row>
    <row r="5069" spans="1:5">
      <c r="A5069" s="473">
        <v>38974</v>
      </c>
      <c r="B5069" s="473" t="s">
        <v>14711</v>
      </c>
      <c r="C5069" s="473" t="s">
        <v>48</v>
      </c>
      <c r="D5069" s="473" t="s">
        <v>47</v>
      </c>
      <c r="E5069" s="361">
        <v>25.08</v>
      </c>
    </row>
    <row r="5070" spans="1:5">
      <c r="A5070" s="473">
        <v>38975</v>
      </c>
      <c r="B5070" s="473" t="s">
        <v>14712</v>
      </c>
      <c r="C5070" s="473" t="s">
        <v>48</v>
      </c>
      <c r="D5070" s="473" t="s">
        <v>47</v>
      </c>
      <c r="E5070" s="361">
        <v>41.8</v>
      </c>
    </row>
    <row r="5071" spans="1:5">
      <c r="A5071" s="473">
        <v>38976</v>
      </c>
      <c r="B5071" s="473" t="s">
        <v>14713</v>
      </c>
      <c r="C5071" s="473" t="s">
        <v>48</v>
      </c>
      <c r="D5071" s="473" t="s">
        <v>47</v>
      </c>
      <c r="E5071" s="361">
        <v>58.62</v>
      </c>
    </row>
    <row r="5072" spans="1:5">
      <c r="A5072" s="473">
        <v>38986</v>
      </c>
      <c r="B5072" s="473" t="s">
        <v>14714</v>
      </c>
      <c r="C5072" s="473" t="s">
        <v>48</v>
      </c>
      <c r="D5072" s="473" t="s">
        <v>47</v>
      </c>
      <c r="E5072" s="361">
        <v>117.97</v>
      </c>
    </row>
    <row r="5073" spans="1:5">
      <c r="A5073" s="473">
        <v>38978</v>
      </c>
      <c r="B5073" s="473" t="s">
        <v>14715</v>
      </c>
      <c r="C5073" s="473" t="s">
        <v>48</v>
      </c>
      <c r="D5073" s="473" t="s">
        <v>47</v>
      </c>
      <c r="E5073" s="361">
        <v>5.0199999999999996</v>
      </c>
    </row>
    <row r="5074" spans="1:5">
      <c r="A5074" s="473">
        <v>38979</v>
      </c>
      <c r="B5074" s="473" t="s">
        <v>14716</v>
      </c>
      <c r="C5074" s="473" t="s">
        <v>48</v>
      </c>
      <c r="D5074" s="473" t="s">
        <v>47</v>
      </c>
      <c r="E5074" s="361">
        <v>6.81</v>
      </c>
    </row>
    <row r="5075" spans="1:5">
      <c r="A5075" s="473">
        <v>38980</v>
      </c>
      <c r="B5075" s="473" t="s">
        <v>14717</v>
      </c>
      <c r="C5075" s="473" t="s">
        <v>48</v>
      </c>
      <c r="D5075" s="473" t="s">
        <v>47</v>
      </c>
      <c r="E5075" s="361">
        <v>11.38</v>
      </c>
    </row>
    <row r="5076" spans="1:5">
      <c r="A5076" s="473">
        <v>38981</v>
      </c>
      <c r="B5076" s="473" t="s">
        <v>14718</v>
      </c>
      <c r="C5076" s="473" t="s">
        <v>48</v>
      </c>
      <c r="D5076" s="473" t="s">
        <v>47</v>
      </c>
      <c r="E5076" s="361">
        <v>15.76</v>
      </c>
    </row>
    <row r="5077" spans="1:5">
      <c r="A5077" s="473">
        <v>38982</v>
      </c>
      <c r="B5077" s="473" t="s">
        <v>14719</v>
      </c>
      <c r="C5077" s="473" t="s">
        <v>48</v>
      </c>
      <c r="D5077" s="473" t="s">
        <v>47</v>
      </c>
      <c r="E5077" s="361">
        <v>22.94</v>
      </c>
    </row>
    <row r="5078" spans="1:5">
      <c r="A5078" s="473">
        <v>38983</v>
      </c>
      <c r="B5078" s="473" t="s">
        <v>14720</v>
      </c>
      <c r="C5078" s="473" t="s">
        <v>48</v>
      </c>
      <c r="D5078" s="473" t="s">
        <v>47</v>
      </c>
      <c r="E5078" s="361">
        <v>30.41</v>
      </c>
    </row>
    <row r="5079" spans="1:5">
      <c r="A5079" s="473">
        <v>38984</v>
      </c>
      <c r="B5079" s="473" t="s">
        <v>14721</v>
      </c>
      <c r="C5079" s="473" t="s">
        <v>48</v>
      </c>
      <c r="D5079" s="473" t="s">
        <v>47</v>
      </c>
      <c r="E5079" s="361">
        <v>58.66</v>
      </c>
    </row>
    <row r="5080" spans="1:5">
      <c r="A5080" s="473">
        <v>38985</v>
      </c>
      <c r="B5080" s="473" t="s">
        <v>14722</v>
      </c>
      <c r="C5080" s="473" t="s">
        <v>48</v>
      </c>
      <c r="D5080" s="473" t="s">
        <v>47</v>
      </c>
      <c r="E5080" s="361">
        <v>86.84</v>
      </c>
    </row>
    <row r="5081" spans="1:5">
      <c r="A5081" s="473">
        <v>9836</v>
      </c>
      <c r="B5081" s="473" t="s">
        <v>14723</v>
      </c>
      <c r="C5081" s="473" t="s">
        <v>48</v>
      </c>
      <c r="D5081" s="473" t="s">
        <v>44</v>
      </c>
      <c r="E5081" s="361">
        <v>8.5399999999999991</v>
      </c>
    </row>
    <row r="5082" spans="1:5">
      <c r="A5082" s="473">
        <v>20065</v>
      </c>
      <c r="B5082" s="473" t="s">
        <v>14724</v>
      </c>
      <c r="C5082" s="473" t="s">
        <v>48</v>
      </c>
      <c r="D5082" s="473" t="s">
        <v>41</v>
      </c>
      <c r="E5082" s="361">
        <v>21.84</v>
      </c>
    </row>
    <row r="5083" spans="1:5">
      <c r="A5083" s="473">
        <v>9835</v>
      </c>
      <c r="B5083" s="473" t="s">
        <v>14725</v>
      </c>
      <c r="C5083" s="473" t="s">
        <v>48</v>
      </c>
      <c r="D5083" s="473" t="s">
        <v>41</v>
      </c>
      <c r="E5083" s="361">
        <v>3.08</v>
      </c>
    </row>
    <row r="5084" spans="1:5">
      <c r="A5084" s="473">
        <v>38032</v>
      </c>
      <c r="B5084" s="473" t="s">
        <v>14726</v>
      </c>
      <c r="C5084" s="473" t="s">
        <v>48</v>
      </c>
      <c r="D5084" s="473" t="s">
        <v>47</v>
      </c>
      <c r="E5084" s="361">
        <v>33.299999999999997</v>
      </c>
    </row>
    <row r="5085" spans="1:5">
      <c r="A5085" s="473">
        <v>38033</v>
      </c>
      <c r="B5085" s="473" t="s">
        <v>14727</v>
      </c>
      <c r="C5085" s="473" t="s">
        <v>48</v>
      </c>
      <c r="D5085" s="473" t="s">
        <v>47</v>
      </c>
      <c r="E5085" s="361">
        <v>54.5</v>
      </c>
    </row>
    <row r="5086" spans="1:5">
      <c r="A5086" s="473">
        <v>38034</v>
      </c>
      <c r="B5086" s="473" t="s">
        <v>14728</v>
      </c>
      <c r="C5086" s="473" t="s">
        <v>48</v>
      </c>
      <c r="D5086" s="473" t="s">
        <v>47</v>
      </c>
      <c r="E5086" s="361">
        <v>90.16</v>
      </c>
    </row>
    <row r="5087" spans="1:5">
      <c r="A5087" s="473">
        <v>38035</v>
      </c>
      <c r="B5087" s="473" t="s">
        <v>14729</v>
      </c>
      <c r="C5087" s="473" t="s">
        <v>48</v>
      </c>
      <c r="D5087" s="473" t="s">
        <v>47</v>
      </c>
      <c r="E5087" s="361">
        <v>125.63</v>
      </c>
    </row>
    <row r="5088" spans="1:5">
      <c r="A5088" s="473">
        <v>38036</v>
      </c>
      <c r="B5088" s="473" t="s">
        <v>14730</v>
      </c>
      <c r="C5088" s="473" t="s">
        <v>48</v>
      </c>
      <c r="D5088" s="473" t="s">
        <v>47</v>
      </c>
      <c r="E5088" s="361">
        <v>177.27</v>
      </c>
    </row>
    <row r="5089" spans="1:5">
      <c r="A5089" s="473">
        <v>38037</v>
      </c>
      <c r="B5089" s="473" t="s">
        <v>14731</v>
      </c>
      <c r="C5089" s="473" t="s">
        <v>48</v>
      </c>
      <c r="D5089" s="473" t="s">
        <v>47</v>
      </c>
      <c r="E5089" s="361">
        <v>205.55</v>
      </c>
    </row>
    <row r="5090" spans="1:5">
      <c r="A5090" s="473">
        <v>9850</v>
      </c>
      <c r="B5090" s="473" t="s">
        <v>14732</v>
      </c>
      <c r="C5090" s="473" t="s">
        <v>48</v>
      </c>
      <c r="D5090" s="473" t="s">
        <v>47</v>
      </c>
      <c r="E5090" s="361">
        <v>98</v>
      </c>
    </row>
    <row r="5091" spans="1:5">
      <c r="A5091" s="473">
        <v>9853</v>
      </c>
      <c r="B5091" s="473" t="s">
        <v>14733</v>
      </c>
      <c r="C5091" s="473" t="s">
        <v>48</v>
      </c>
      <c r="D5091" s="473" t="s">
        <v>47</v>
      </c>
      <c r="E5091" s="361">
        <v>174.27</v>
      </c>
    </row>
    <row r="5092" spans="1:5">
      <c r="A5092" s="473">
        <v>9854</v>
      </c>
      <c r="B5092" s="473" t="s">
        <v>14734</v>
      </c>
      <c r="C5092" s="473" t="s">
        <v>48</v>
      </c>
      <c r="D5092" s="473" t="s">
        <v>47</v>
      </c>
      <c r="E5092" s="361">
        <v>76.36</v>
      </c>
    </row>
    <row r="5093" spans="1:5">
      <c r="A5093" s="473">
        <v>9851</v>
      </c>
      <c r="B5093" s="473" t="s">
        <v>14735</v>
      </c>
      <c r="C5093" s="473" t="s">
        <v>48</v>
      </c>
      <c r="D5093" s="473" t="s">
        <v>47</v>
      </c>
      <c r="E5093" s="361">
        <v>132.4</v>
      </c>
    </row>
    <row r="5094" spans="1:5">
      <c r="A5094" s="473">
        <v>9855</v>
      </c>
      <c r="B5094" s="473" t="s">
        <v>14736</v>
      </c>
      <c r="C5094" s="473" t="s">
        <v>48</v>
      </c>
      <c r="D5094" s="473" t="s">
        <v>47</v>
      </c>
      <c r="E5094" s="361">
        <v>221.46</v>
      </c>
    </row>
    <row r="5095" spans="1:5">
      <c r="A5095" s="473">
        <v>9825</v>
      </c>
      <c r="B5095" s="473" t="s">
        <v>14737</v>
      </c>
      <c r="C5095" s="473" t="s">
        <v>48</v>
      </c>
      <c r="D5095" s="473" t="s">
        <v>47</v>
      </c>
      <c r="E5095" s="361">
        <v>34.78</v>
      </c>
    </row>
    <row r="5096" spans="1:5">
      <c r="A5096" s="473">
        <v>9828</v>
      </c>
      <c r="B5096" s="473" t="s">
        <v>14738</v>
      </c>
      <c r="C5096" s="473" t="s">
        <v>48</v>
      </c>
      <c r="D5096" s="473" t="s">
        <v>47</v>
      </c>
      <c r="E5096" s="361">
        <v>93.6</v>
      </c>
    </row>
    <row r="5097" spans="1:5">
      <c r="A5097" s="473">
        <v>9829</v>
      </c>
      <c r="B5097" s="473" t="s">
        <v>14739</v>
      </c>
      <c r="C5097" s="473" t="s">
        <v>48</v>
      </c>
      <c r="D5097" s="473" t="s">
        <v>47</v>
      </c>
      <c r="E5097" s="361">
        <v>158.63</v>
      </c>
    </row>
    <row r="5098" spans="1:5">
      <c r="A5098" s="473">
        <v>9826</v>
      </c>
      <c r="B5098" s="473" t="s">
        <v>14740</v>
      </c>
      <c r="C5098" s="473" t="s">
        <v>48</v>
      </c>
      <c r="D5098" s="473" t="s">
        <v>47</v>
      </c>
      <c r="E5098" s="361">
        <v>241.5</v>
      </c>
    </row>
    <row r="5099" spans="1:5">
      <c r="A5099" s="473">
        <v>9827</v>
      </c>
      <c r="B5099" s="473" t="s">
        <v>14741</v>
      </c>
      <c r="C5099" s="473" t="s">
        <v>48</v>
      </c>
      <c r="D5099" s="473" t="s">
        <v>47</v>
      </c>
      <c r="E5099" s="361">
        <v>342.93</v>
      </c>
    </row>
    <row r="5100" spans="1:5">
      <c r="A5100" s="473">
        <v>36374</v>
      </c>
      <c r="B5100" s="473" t="s">
        <v>14742</v>
      </c>
      <c r="C5100" s="473" t="s">
        <v>48</v>
      </c>
      <c r="D5100" s="473" t="s">
        <v>47</v>
      </c>
      <c r="E5100" s="361">
        <v>41.69</v>
      </c>
    </row>
    <row r="5101" spans="1:5">
      <c r="A5101" s="473">
        <v>36084</v>
      </c>
      <c r="B5101" s="473" t="s">
        <v>14743</v>
      </c>
      <c r="C5101" s="473" t="s">
        <v>48</v>
      </c>
      <c r="D5101" s="473" t="s">
        <v>47</v>
      </c>
      <c r="E5101" s="361">
        <v>12.35</v>
      </c>
    </row>
    <row r="5102" spans="1:5">
      <c r="A5102" s="473">
        <v>36373</v>
      </c>
      <c r="B5102" s="473" t="s">
        <v>14744</v>
      </c>
      <c r="C5102" s="473" t="s">
        <v>48</v>
      </c>
      <c r="D5102" s="473" t="s">
        <v>47</v>
      </c>
      <c r="E5102" s="361">
        <v>25.64</v>
      </c>
    </row>
    <row r="5103" spans="1:5">
      <c r="A5103" s="473">
        <v>36377</v>
      </c>
      <c r="B5103" s="473" t="s">
        <v>14745</v>
      </c>
      <c r="C5103" s="473" t="s">
        <v>48</v>
      </c>
      <c r="D5103" s="473" t="s">
        <v>47</v>
      </c>
      <c r="E5103" s="361">
        <v>50</v>
      </c>
    </row>
    <row r="5104" spans="1:5">
      <c r="A5104" s="473">
        <v>36375</v>
      </c>
      <c r="B5104" s="473" t="s">
        <v>14746</v>
      </c>
      <c r="C5104" s="473" t="s">
        <v>48</v>
      </c>
      <c r="D5104" s="473" t="s">
        <v>47</v>
      </c>
      <c r="E5104" s="361">
        <v>15.24</v>
      </c>
    </row>
    <row r="5105" spans="1:5">
      <c r="A5105" s="473">
        <v>36376</v>
      </c>
      <c r="B5105" s="473" t="s">
        <v>14747</v>
      </c>
      <c r="C5105" s="473" t="s">
        <v>48</v>
      </c>
      <c r="D5105" s="473" t="s">
        <v>47</v>
      </c>
      <c r="E5105" s="361">
        <v>29.93</v>
      </c>
    </row>
    <row r="5106" spans="1:5">
      <c r="A5106" s="473">
        <v>36380</v>
      </c>
      <c r="B5106" s="473" t="s">
        <v>14748</v>
      </c>
      <c r="C5106" s="473" t="s">
        <v>48</v>
      </c>
      <c r="D5106" s="473" t="s">
        <v>47</v>
      </c>
      <c r="E5106" s="361">
        <v>62.53</v>
      </c>
    </row>
    <row r="5107" spans="1:5">
      <c r="A5107" s="473">
        <v>36378</v>
      </c>
      <c r="B5107" s="473" t="s">
        <v>14749</v>
      </c>
      <c r="C5107" s="473" t="s">
        <v>48</v>
      </c>
      <c r="D5107" s="473" t="s">
        <v>47</v>
      </c>
      <c r="E5107" s="361">
        <v>18.73</v>
      </c>
    </row>
    <row r="5108" spans="1:5">
      <c r="A5108" s="473">
        <v>36379</v>
      </c>
      <c r="B5108" s="473" t="s">
        <v>14750</v>
      </c>
      <c r="C5108" s="473" t="s">
        <v>48</v>
      </c>
      <c r="D5108" s="473" t="s">
        <v>47</v>
      </c>
      <c r="E5108" s="361">
        <v>37.770000000000003</v>
      </c>
    </row>
    <row r="5109" spans="1:5">
      <c r="A5109" s="473">
        <v>9859</v>
      </c>
      <c r="B5109" s="473" t="s">
        <v>14751</v>
      </c>
      <c r="C5109" s="473" t="s">
        <v>48</v>
      </c>
      <c r="D5109" s="473" t="s">
        <v>41</v>
      </c>
      <c r="E5109" s="361">
        <v>6.95</v>
      </c>
    </row>
    <row r="5110" spans="1:5">
      <c r="A5110" s="473">
        <v>9838</v>
      </c>
      <c r="B5110" s="473" t="s">
        <v>14752</v>
      </c>
      <c r="C5110" s="473" t="s">
        <v>48</v>
      </c>
      <c r="D5110" s="473" t="s">
        <v>41</v>
      </c>
      <c r="E5110" s="361">
        <v>5.24</v>
      </c>
    </row>
    <row r="5111" spans="1:5">
      <c r="A5111" s="473">
        <v>9837</v>
      </c>
      <c r="B5111" s="473" t="s">
        <v>14753</v>
      </c>
      <c r="C5111" s="473" t="s">
        <v>48</v>
      </c>
      <c r="D5111" s="473" t="s">
        <v>41</v>
      </c>
      <c r="E5111" s="361">
        <v>7.57</v>
      </c>
    </row>
    <row r="5112" spans="1:5">
      <c r="A5112" s="473">
        <v>9833</v>
      </c>
      <c r="B5112" s="473" t="s">
        <v>14754</v>
      </c>
      <c r="C5112" s="473" t="s">
        <v>48</v>
      </c>
      <c r="D5112" s="473" t="s">
        <v>47</v>
      </c>
      <c r="E5112" s="361">
        <v>9.94</v>
      </c>
    </row>
    <row r="5113" spans="1:5">
      <c r="A5113" s="473">
        <v>9830</v>
      </c>
      <c r="B5113" s="473" t="s">
        <v>14755</v>
      </c>
      <c r="C5113" s="473" t="s">
        <v>48</v>
      </c>
      <c r="D5113" s="473" t="s">
        <v>47</v>
      </c>
      <c r="E5113" s="361">
        <v>5.32</v>
      </c>
    </row>
    <row r="5114" spans="1:5">
      <c r="A5114" s="473">
        <v>9834</v>
      </c>
      <c r="B5114" s="473" t="s">
        <v>14756</v>
      </c>
      <c r="C5114" s="473" t="s">
        <v>48</v>
      </c>
      <c r="D5114" s="473" t="s">
        <v>47</v>
      </c>
      <c r="E5114" s="361">
        <v>27.67</v>
      </c>
    </row>
    <row r="5115" spans="1:5">
      <c r="A5115" s="473">
        <v>9863</v>
      </c>
      <c r="B5115" s="473" t="s">
        <v>14757</v>
      </c>
      <c r="C5115" s="473" t="s">
        <v>48</v>
      </c>
      <c r="D5115" s="473" t="s">
        <v>41</v>
      </c>
      <c r="E5115" s="361">
        <v>50.19</v>
      </c>
    </row>
    <row r="5116" spans="1:5">
      <c r="A5116" s="473">
        <v>9860</v>
      </c>
      <c r="B5116" s="473" t="s">
        <v>14758</v>
      </c>
      <c r="C5116" s="473" t="s">
        <v>48</v>
      </c>
      <c r="D5116" s="473" t="s">
        <v>41</v>
      </c>
      <c r="E5116" s="361">
        <v>32.22</v>
      </c>
    </row>
    <row r="5117" spans="1:5">
      <c r="A5117" s="473">
        <v>9862</v>
      </c>
      <c r="B5117" s="473" t="s">
        <v>14759</v>
      </c>
      <c r="C5117" s="473" t="s">
        <v>48</v>
      </c>
      <c r="D5117" s="473" t="s">
        <v>41</v>
      </c>
      <c r="E5117" s="361">
        <v>22.74</v>
      </c>
    </row>
    <row r="5118" spans="1:5">
      <c r="A5118" s="473">
        <v>9861</v>
      </c>
      <c r="B5118" s="473" t="s">
        <v>14760</v>
      </c>
      <c r="C5118" s="473" t="s">
        <v>48</v>
      </c>
      <c r="D5118" s="473" t="s">
        <v>41</v>
      </c>
      <c r="E5118" s="361">
        <v>18.27</v>
      </c>
    </row>
    <row r="5119" spans="1:5">
      <c r="A5119" s="473">
        <v>9856</v>
      </c>
      <c r="B5119" s="473" t="s">
        <v>14761</v>
      </c>
      <c r="C5119" s="473" t="s">
        <v>48</v>
      </c>
      <c r="D5119" s="473" t="s">
        <v>41</v>
      </c>
      <c r="E5119" s="361">
        <v>4.91</v>
      </c>
    </row>
    <row r="5120" spans="1:5">
      <c r="A5120" s="473">
        <v>9866</v>
      </c>
      <c r="B5120" s="473" t="s">
        <v>14762</v>
      </c>
      <c r="C5120" s="473" t="s">
        <v>48</v>
      </c>
      <c r="D5120" s="473" t="s">
        <v>41</v>
      </c>
      <c r="E5120" s="361">
        <v>13.49</v>
      </c>
    </row>
    <row r="5121" spans="1:5">
      <c r="A5121" s="473">
        <v>9857</v>
      </c>
      <c r="B5121" s="473" t="s">
        <v>14763</v>
      </c>
      <c r="C5121" s="473" t="s">
        <v>48</v>
      </c>
      <c r="D5121" s="473" t="s">
        <v>41</v>
      </c>
      <c r="E5121" s="361">
        <v>64.92</v>
      </c>
    </row>
    <row r="5122" spans="1:5">
      <c r="A5122" s="473">
        <v>9864</v>
      </c>
      <c r="B5122" s="473" t="s">
        <v>14764</v>
      </c>
      <c r="C5122" s="473" t="s">
        <v>48</v>
      </c>
      <c r="D5122" s="473" t="s">
        <v>41</v>
      </c>
      <c r="E5122" s="361">
        <v>78.37</v>
      </c>
    </row>
    <row r="5123" spans="1:5">
      <c r="A5123" s="473">
        <v>9865</v>
      </c>
      <c r="B5123" s="473" t="s">
        <v>14765</v>
      </c>
      <c r="C5123" s="473" t="s">
        <v>48</v>
      </c>
      <c r="D5123" s="473" t="s">
        <v>41</v>
      </c>
      <c r="E5123" s="361">
        <v>112.71</v>
      </c>
    </row>
    <row r="5124" spans="1:5">
      <c r="A5124" s="473">
        <v>9858</v>
      </c>
      <c r="B5124" s="473" t="s">
        <v>14766</v>
      </c>
      <c r="C5124" s="473" t="s">
        <v>48</v>
      </c>
      <c r="D5124" s="473" t="s">
        <v>41</v>
      </c>
      <c r="E5124" s="361">
        <v>118.16</v>
      </c>
    </row>
    <row r="5125" spans="1:5">
      <c r="A5125" s="473">
        <v>9841</v>
      </c>
      <c r="B5125" s="473" t="s">
        <v>14767</v>
      </c>
      <c r="C5125" s="473" t="s">
        <v>48</v>
      </c>
      <c r="D5125" s="473" t="s">
        <v>41</v>
      </c>
      <c r="E5125" s="361">
        <v>21.07</v>
      </c>
    </row>
    <row r="5126" spans="1:5">
      <c r="A5126" s="473">
        <v>9840</v>
      </c>
      <c r="B5126" s="473" t="s">
        <v>14768</v>
      </c>
      <c r="C5126" s="473" t="s">
        <v>48</v>
      </c>
      <c r="D5126" s="473" t="s">
        <v>41</v>
      </c>
      <c r="E5126" s="361">
        <v>42.83</v>
      </c>
    </row>
    <row r="5127" spans="1:5">
      <c r="A5127" s="473">
        <v>20067</v>
      </c>
      <c r="B5127" s="473" t="s">
        <v>14769</v>
      </c>
      <c r="C5127" s="473" t="s">
        <v>48</v>
      </c>
      <c r="D5127" s="473" t="s">
        <v>41</v>
      </c>
      <c r="E5127" s="361">
        <v>7.36</v>
      </c>
    </row>
    <row r="5128" spans="1:5">
      <c r="A5128" s="473">
        <v>20068</v>
      </c>
      <c r="B5128" s="473" t="s">
        <v>14770</v>
      </c>
      <c r="C5128" s="473" t="s">
        <v>48</v>
      </c>
      <c r="D5128" s="473" t="s">
        <v>41</v>
      </c>
      <c r="E5128" s="361">
        <v>9.18</v>
      </c>
    </row>
    <row r="5129" spans="1:5">
      <c r="A5129" s="473">
        <v>9839</v>
      </c>
      <c r="B5129" s="473" t="s">
        <v>14771</v>
      </c>
      <c r="C5129" s="473" t="s">
        <v>48</v>
      </c>
      <c r="D5129" s="473" t="s">
        <v>41</v>
      </c>
      <c r="E5129" s="361">
        <v>12.03</v>
      </c>
    </row>
    <row r="5130" spans="1:5">
      <c r="A5130" s="473">
        <v>9870</v>
      </c>
      <c r="B5130" s="473" t="s">
        <v>14772</v>
      </c>
      <c r="C5130" s="473" t="s">
        <v>48</v>
      </c>
      <c r="D5130" s="473" t="s">
        <v>41</v>
      </c>
      <c r="E5130" s="361">
        <v>54.73</v>
      </c>
    </row>
    <row r="5131" spans="1:5">
      <c r="A5131" s="473">
        <v>9867</v>
      </c>
      <c r="B5131" s="473" t="s">
        <v>14773</v>
      </c>
      <c r="C5131" s="473" t="s">
        <v>48</v>
      </c>
      <c r="D5131" s="473" t="s">
        <v>41</v>
      </c>
      <c r="E5131" s="361">
        <v>2.0099999999999998</v>
      </c>
    </row>
    <row r="5132" spans="1:5">
      <c r="A5132" s="473">
        <v>9868</v>
      </c>
      <c r="B5132" s="473" t="s">
        <v>14774</v>
      </c>
      <c r="C5132" s="473" t="s">
        <v>48</v>
      </c>
      <c r="D5132" s="473" t="s">
        <v>44</v>
      </c>
      <c r="E5132" s="361">
        <v>2.58</v>
      </c>
    </row>
    <row r="5133" spans="1:5">
      <c r="A5133" s="473">
        <v>9869</v>
      </c>
      <c r="B5133" s="473" t="s">
        <v>14775</v>
      </c>
      <c r="C5133" s="473" t="s">
        <v>48</v>
      </c>
      <c r="D5133" s="473" t="s">
        <v>41</v>
      </c>
      <c r="E5133" s="361">
        <v>5.79</v>
      </c>
    </row>
    <row r="5134" spans="1:5">
      <c r="A5134" s="473">
        <v>9874</v>
      </c>
      <c r="B5134" s="473" t="s">
        <v>14776</v>
      </c>
      <c r="C5134" s="473" t="s">
        <v>48</v>
      </c>
      <c r="D5134" s="473" t="s">
        <v>41</v>
      </c>
      <c r="E5134" s="361">
        <v>8.43</v>
      </c>
    </row>
    <row r="5135" spans="1:5">
      <c r="A5135" s="473">
        <v>9875</v>
      </c>
      <c r="B5135" s="473" t="s">
        <v>14777</v>
      </c>
      <c r="C5135" s="473" t="s">
        <v>48</v>
      </c>
      <c r="D5135" s="473" t="s">
        <v>41</v>
      </c>
      <c r="E5135" s="361">
        <v>9.66</v>
      </c>
    </row>
    <row r="5136" spans="1:5">
      <c r="A5136" s="473">
        <v>9873</v>
      </c>
      <c r="B5136" s="473" t="s">
        <v>14778</v>
      </c>
      <c r="C5136" s="473" t="s">
        <v>48</v>
      </c>
      <c r="D5136" s="473" t="s">
        <v>41</v>
      </c>
      <c r="E5136" s="361">
        <v>16.3</v>
      </c>
    </row>
    <row r="5137" spans="1:5">
      <c r="A5137" s="473">
        <v>9871</v>
      </c>
      <c r="B5137" s="473" t="s">
        <v>14779</v>
      </c>
      <c r="C5137" s="473" t="s">
        <v>48</v>
      </c>
      <c r="D5137" s="473" t="s">
        <v>41</v>
      </c>
      <c r="E5137" s="361">
        <v>27.3</v>
      </c>
    </row>
    <row r="5138" spans="1:5">
      <c r="A5138" s="473">
        <v>9872</v>
      </c>
      <c r="B5138" s="473" t="s">
        <v>14780</v>
      </c>
      <c r="C5138" s="473" t="s">
        <v>48</v>
      </c>
      <c r="D5138" s="473" t="s">
        <v>41</v>
      </c>
      <c r="E5138" s="361">
        <v>34.119999999999997</v>
      </c>
    </row>
    <row r="5139" spans="1:5">
      <c r="A5139" s="473">
        <v>7667</v>
      </c>
      <c r="B5139" s="473" t="s">
        <v>14781</v>
      </c>
      <c r="C5139" s="473" t="s">
        <v>48</v>
      </c>
      <c r="D5139" s="473" t="s">
        <v>47</v>
      </c>
      <c r="E5139" s="361">
        <v>1548.18</v>
      </c>
    </row>
    <row r="5140" spans="1:5">
      <c r="A5140" s="473">
        <v>7660</v>
      </c>
      <c r="B5140" s="473" t="s">
        <v>14782</v>
      </c>
      <c r="C5140" s="473" t="s">
        <v>48</v>
      </c>
      <c r="D5140" s="473" t="s">
        <v>47</v>
      </c>
      <c r="E5140" s="361">
        <v>1973.57</v>
      </c>
    </row>
    <row r="5141" spans="1:5">
      <c r="A5141" s="473">
        <v>7676</v>
      </c>
      <c r="B5141" s="473" t="s">
        <v>14783</v>
      </c>
      <c r="C5141" s="473" t="s">
        <v>48</v>
      </c>
      <c r="D5141" s="473" t="s">
        <v>47</v>
      </c>
      <c r="E5141" s="361">
        <v>1996.12</v>
      </c>
    </row>
    <row r="5142" spans="1:5">
      <c r="A5142" s="473">
        <v>12426</v>
      </c>
      <c r="B5142" s="473" t="s">
        <v>14784</v>
      </c>
      <c r="C5142" s="473" t="s">
        <v>40</v>
      </c>
      <c r="D5142" s="473" t="s">
        <v>41</v>
      </c>
      <c r="E5142" s="361">
        <v>25.32</v>
      </c>
    </row>
    <row r="5143" spans="1:5">
      <c r="A5143" s="473">
        <v>12425</v>
      </c>
      <c r="B5143" s="473" t="s">
        <v>14785</v>
      </c>
      <c r="C5143" s="473" t="s">
        <v>40</v>
      </c>
      <c r="D5143" s="473" t="s">
        <v>41</v>
      </c>
      <c r="E5143" s="361">
        <v>34.79</v>
      </c>
    </row>
    <row r="5144" spans="1:5">
      <c r="A5144" s="473">
        <v>12427</v>
      </c>
      <c r="B5144" s="473" t="s">
        <v>14786</v>
      </c>
      <c r="C5144" s="473" t="s">
        <v>40</v>
      </c>
      <c r="D5144" s="473" t="s">
        <v>41</v>
      </c>
      <c r="E5144" s="361">
        <v>144.41999999999999</v>
      </c>
    </row>
    <row r="5145" spans="1:5">
      <c r="A5145" s="473">
        <v>12428</v>
      </c>
      <c r="B5145" s="473" t="s">
        <v>14787</v>
      </c>
      <c r="C5145" s="473" t="s">
        <v>40</v>
      </c>
      <c r="D5145" s="473" t="s">
        <v>41</v>
      </c>
      <c r="E5145" s="361">
        <v>92.7</v>
      </c>
    </row>
    <row r="5146" spans="1:5">
      <c r="A5146" s="473">
        <v>12430</v>
      </c>
      <c r="B5146" s="473" t="s">
        <v>14788</v>
      </c>
      <c r="C5146" s="473" t="s">
        <v>40</v>
      </c>
      <c r="D5146" s="473" t="s">
        <v>41</v>
      </c>
      <c r="E5146" s="361">
        <v>31.05</v>
      </c>
    </row>
    <row r="5147" spans="1:5">
      <c r="A5147" s="473">
        <v>12429</v>
      </c>
      <c r="B5147" s="473" t="s">
        <v>14789</v>
      </c>
      <c r="C5147" s="473" t="s">
        <v>40</v>
      </c>
      <c r="D5147" s="473" t="s">
        <v>41</v>
      </c>
      <c r="E5147" s="361">
        <v>233.54</v>
      </c>
    </row>
    <row r="5148" spans="1:5">
      <c r="A5148" s="473">
        <v>12431</v>
      </c>
      <c r="B5148" s="473" t="s">
        <v>14790</v>
      </c>
      <c r="C5148" s="473" t="s">
        <v>40</v>
      </c>
      <c r="D5148" s="473" t="s">
        <v>41</v>
      </c>
      <c r="E5148" s="361">
        <v>397.44</v>
      </c>
    </row>
    <row r="5149" spans="1:5">
      <c r="A5149" s="473">
        <v>12432</v>
      </c>
      <c r="B5149" s="473" t="s">
        <v>14791</v>
      </c>
      <c r="C5149" s="473" t="s">
        <v>40</v>
      </c>
      <c r="D5149" s="473" t="s">
        <v>41</v>
      </c>
      <c r="E5149" s="361">
        <v>81.739999999999995</v>
      </c>
    </row>
    <row r="5150" spans="1:5">
      <c r="A5150" s="473">
        <v>12434</v>
      </c>
      <c r="B5150" s="473" t="s">
        <v>14792</v>
      </c>
      <c r="C5150" s="473" t="s">
        <v>40</v>
      </c>
      <c r="D5150" s="473" t="s">
        <v>41</v>
      </c>
      <c r="E5150" s="361">
        <v>26.63</v>
      </c>
    </row>
    <row r="5151" spans="1:5">
      <c r="A5151" s="473">
        <v>12433</v>
      </c>
      <c r="B5151" s="473" t="s">
        <v>14793</v>
      </c>
      <c r="C5151" s="473" t="s">
        <v>40</v>
      </c>
      <c r="D5151" s="473" t="s">
        <v>41</v>
      </c>
      <c r="E5151" s="361">
        <v>52.03</v>
      </c>
    </row>
    <row r="5152" spans="1:5">
      <c r="A5152" s="473">
        <v>12435</v>
      </c>
      <c r="B5152" s="473" t="s">
        <v>14794</v>
      </c>
      <c r="C5152" s="473" t="s">
        <v>40</v>
      </c>
      <c r="D5152" s="473" t="s">
        <v>41</v>
      </c>
      <c r="E5152" s="361">
        <v>161.04</v>
      </c>
    </row>
    <row r="5153" spans="1:5">
      <c r="A5153" s="473">
        <v>12437</v>
      </c>
      <c r="B5153" s="473" t="s">
        <v>14795</v>
      </c>
      <c r="C5153" s="473" t="s">
        <v>40</v>
      </c>
      <c r="D5153" s="473" t="s">
        <v>41</v>
      </c>
      <c r="E5153" s="361">
        <v>130.06</v>
      </c>
    </row>
    <row r="5154" spans="1:5">
      <c r="A5154" s="473">
        <v>12439</v>
      </c>
      <c r="B5154" s="473" t="s">
        <v>14796</v>
      </c>
      <c r="C5154" s="473" t="s">
        <v>40</v>
      </c>
      <c r="D5154" s="473" t="s">
        <v>41</v>
      </c>
      <c r="E5154" s="361">
        <v>41.74</v>
      </c>
    </row>
    <row r="5155" spans="1:5">
      <c r="A5155" s="473">
        <v>12438</v>
      </c>
      <c r="B5155" s="473" t="s">
        <v>14797</v>
      </c>
      <c r="C5155" s="473" t="s">
        <v>40</v>
      </c>
      <c r="D5155" s="473" t="s">
        <v>41</v>
      </c>
      <c r="E5155" s="361">
        <v>235.37</v>
      </c>
    </row>
    <row r="5156" spans="1:5">
      <c r="A5156" s="473">
        <v>12436</v>
      </c>
      <c r="B5156" s="473" t="s">
        <v>14798</v>
      </c>
      <c r="C5156" s="473" t="s">
        <v>40</v>
      </c>
      <c r="D5156" s="473" t="s">
        <v>41</v>
      </c>
      <c r="E5156" s="361">
        <v>297.33</v>
      </c>
    </row>
    <row r="5157" spans="1:5">
      <c r="A5157" s="473">
        <v>36357</v>
      </c>
      <c r="B5157" s="473" t="s">
        <v>14799</v>
      </c>
      <c r="C5157" s="473" t="s">
        <v>40</v>
      </c>
      <c r="D5157" s="473" t="s">
        <v>47</v>
      </c>
      <c r="E5157" s="361">
        <v>89.3</v>
      </c>
    </row>
    <row r="5158" spans="1:5">
      <c r="A5158" s="473">
        <v>12424</v>
      </c>
      <c r="B5158" s="473" t="s">
        <v>14800</v>
      </c>
      <c r="C5158" s="473" t="s">
        <v>40</v>
      </c>
      <c r="D5158" s="473" t="s">
        <v>41</v>
      </c>
      <c r="E5158" s="361">
        <v>53.57</v>
      </c>
    </row>
    <row r="5159" spans="1:5">
      <c r="A5159" s="473">
        <v>12440</v>
      </c>
      <c r="B5159" s="473" t="s">
        <v>14801</v>
      </c>
      <c r="C5159" s="473" t="s">
        <v>40</v>
      </c>
      <c r="D5159" s="473" t="s">
        <v>41</v>
      </c>
      <c r="E5159" s="361">
        <v>51.78</v>
      </c>
    </row>
    <row r="5160" spans="1:5">
      <c r="A5160" s="473">
        <v>9884</v>
      </c>
      <c r="B5160" s="473" t="s">
        <v>14802</v>
      </c>
      <c r="C5160" s="473" t="s">
        <v>40</v>
      </c>
      <c r="D5160" s="473" t="s">
        <v>41</v>
      </c>
      <c r="E5160" s="361">
        <v>38.630000000000003</v>
      </c>
    </row>
    <row r="5161" spans="1:5">
      <c r="A5161" s="473">
        <v>9888</v>
      </c>
      <c r="B5161" s="473" t="s">
        <v>14803</v>
      </c>
      <c r="C5161" s="473" t="s">
        <v>40</v>
      </c>
      <c r="D5161" s="473" t="s">
        <v>41</v>
      </c>
      <c r="E5161" s="361">
        <v>31.03</v>
      </c>
    </row>
    <row r="5162" spans="1:5">
      <c r="A5162" s="473">
        <v>9883</v>
      </c>
      <c r="B5162" s="473" t="s">
        <v>14804</v>
      </c>
      <c r="C5162" s="473" t="s">
        <v>40</v>
      </c>
      <c r="D5162" s="473" t="s">
        <v>41</v>
      </c>
      <c r="E5162" s="361">
        <v>13.54</v>
      </c>
    </row>
    <row r="5163" spans="1:5">
      <c r="A5163" s="473">
        <v>9886</v>
      </c>
      <c r="B5163" s="473" t="s">
        <v>14805</v>
      </c>
      <c r="C5163" s="473" t="s">
        <v>40</v>
      </c>
      <c r="D5163" s="473" t="s">
        <v>41</v>
      </c>
      <c r="E5163" s="361">
        <v>18.55</v>
      </c>
    </row>
    <row r="5164" spans="1:5">
      <c r="A5164" s="473">
        <v>9889</v>
      </c>
      <c r="B5164" s="473" t="s">
        <v>14806</v>
      </c>
      <c r="C5164" s="473" t="s">
        <v>40</v>
      </c>
      <c r="D5164" s="473" t="s">
        <v>41</v>
      </c>
      <c r="E5164" s="361">
        <v>93.97</v>
      </c>
    </row>
    <row r="5165" spans="1:5">
      <c r="A5165" s="473">
        <v>9887</v>
      </c>
      <c r="B5165" s="473" t="s">
        <v>14807</v>
      </c>
      <c r="C5165" s="473" t="s">
        <v>40</v>
      </c>
      <c r="D5165" s="473" t="s">
        <v>41</v>
      </c>
      <c r="E5165" s="361">
        <v>56.8</v>
      </c>
    </row>
    <row r="5166" spans="1:5">
      <c r="A5166" s="473">
        <v>9885</v>
      </c>
      <c r="B5166" s="473" t="s">
        <v>14808</v>
      </c>
      <c r="C5166" s="473" t="s">
        <v>40</v>
      </c>
      <c r="D5166" s="473" t="s">
        <v>41</v>
      </c>
      <c r="E5166" s="361">
        <v>17.93</v>
      </c>
    </row>
    <row r="5167" spans="1:5">
      <c r="A5167" s="473">
        <v>9890</v>
      </c>
      <c r="B5167" s="473" t="s">
        <v>14809</v>
      </c>
      <c r="C5167" s="473" t="s">
        <v>40</v>
      </c>
      <c r="D5167" s="473" t="s">
        <v>41</v>
      </c>
      <c r="E5167" s="361">
        <v>145.59</v>
      </c>
    </row>
    <row r="5168" spans="1:5">
      <c r="A5168" s="473">
        <v>9891</v>
      </c>
      <c r="B5168" s="473" t="s">
        <v>14810</v>
      </c>
      <c r="C5168" s="473" t="s">
        <v>40</v>
      </c>
      <c r="D5168" s="473" t="s">
        <v>41</v>
      </c>
      <c r="E5168" s="361">
        <v>204.38</v>
      </c>
    </row>
    <row r="5169" spans="1:5">
      <c r="A5169" s="473">
        <v>39292</v>
      </c>
      <c r="B5169" s="473" t="s">
        <v>14811</v>
      </c>
      <c r="C5169" s="473" t="s">
        <v>40</v>
      </c>
      <c r="D5169" s="473" t="s">
        <v>47</v>
      </c>
      <c r="E5169" s="361">
        <v>8.19</v>
      </c>
    </row>
    <row r="5170" spans="1:5">
      <c r="A5170" s="473">
        <v>39293</v>
      </c>
      <c r="B5170" s="473" t="s">
        <v>14812</v>
      </c>
      <c r="C5170" s="473" t="s">
        <v>40</v>
      </c>
      <c r="D5170" s="473" t="s">
        <v>47</v>
      </c>
      <c r="E5170" s="361">
        <v>13.21</v>
      </c>
    </row>
    <row r="5171" spans="1:5">
      <c r="A5171" s="473">
        <v>39294</v>
      </c>
      <c r="B5171" s="473" t="s">
        <v>14813</v>
      </c>
      <c r="C5171" s="473" t="s">
        <v>40</v>
      </c>
      <c r="D5171" s="473" t="s">
        <v>47</v>
      </c>
      <c r="E5171" s="361">
        <v>13.21</v>
      </c>
    </row>
    <row r="5172" spans="1:5">
      <c r="A5172" s="473">
        <v>39295</v>
      </c>
      <c r="B5172" s="473" t="s">
        <v>14814</v>
      </c>
      <c r="C5172" s="473" t="s">
        <v>40</v>
      </c>
      <c r="D5172" s="473" t="s">
        <v>47</v>
      </c>
      <c r="E5172" s="361">
        <v>22.53</v>
      </c>
    </row>
    <row r="5173" spans="1:5">
      <c r="A5173" s="473">
        <v>36313</v>
      </c>
      <c r="B5173" s="473" t="s">
        <v>14815</v>
      </c>
      <c r="C5173" s="473" t="s">
        <v>40</v>
      </c>
      <c r="D5173" s="473" t="s">
        <v>47</v>
      </c>
      <c r="E5173" s="361">
        <v>21.17</v>
      </c>
    </row>
    <row r="5174" spans="1:5">
      <c r="A5174" s="473">
        <v>36316</v>
      </c>
      <c r="B5174" s="473" t="s">
        <v>14816</v>
      </c>
      <c r="C5174" s="473" t="s">
        <v>40</v>
      </c>
      <c r="D5174" s="473" t="s">
        <v>47</v>
      </c>
      <c r="E5174" s="361">
        <v>25.67</v>
      </c>
    </row>
    <row r="5175" spans="1:5">
      <c r="A5175" s="473">
        <v>64</v>
      </c>
      <c r="B5175" s="473" t="s">
        <v>14817</v>
      </c>
      <c r="C5175" s="473" t="s">
        <v>40</v>
      </c>
      <c r="D5175" s="473" t="s">
        <v>47</v>
      </c>
      <c r="E5175" s="361">
        <v>3.71</v>
      </c>
    </row>
    <row r="5176" spans="1:5">
      <c r="A5176" s="473">
        <v>37423</v>
      </c>
      <c r="B5176" s="473" t="s">
        <v>14818</v>
      </c>
      <c r="C5176" s="473" t="s">
        <v>40</v>
      </c>
      <c r="D5176" s="473" t="s">
        <v>47</v>
      </c>
      <c r="E5176" s="361">
        <v>9.16</v>
      </c>
    </row>
    <row r="5177" spans="1:5">
      <c r="A5177" s="473">
        <v>39296</v>
      </c>
      <c r="B5177" s="473" t="s">
        <v>14819</v>
      </c>
      <c r="C5177" s="473" t="s">
        <v>40</v>
      </c>
      <c r="D5177" s="473" t="s">
        <v>47</v>
      </c>
      <c r="E5177" s="361">
        <v>6.32</v>
      </c>
    </row>
    <row r="5178" spans="1:5">
      <c r="A5178" s="473">
        <v>39297</v>
      </c>
      <c r="B5178" s="473" t="s">
        <v>14820</v>
      </c>
      <c r="C5178" s="473" t="s">
        <v>40</v>
      </c>
      <c r="D5178" s="473" t="s">
        <v>47</v>
      </c>
      <c r="E5178" s="361">
        <v>9.0399999999999991</v>
      </c>
    </row>
    <row r="5179" spans="1:5">
      <c r="A5179" s="473">
        <v>39298</v>
      </c>
      <c r="B5179" s="473" t="s">
        <v>14821</v>
      </c>
      <c r="C5179" s="473" t="s">
        <v>40</v>
      </c>
      <c r="D5179" s="473" t="s">
        <v>47</v>
      </c>
      <c r="E5179" s="361">
        <v>15.93</v>
      </c>
    </row>
    <row r="5180" spans="1:5">
      <c r="A5180" s="473">
        <v>39299</v>
      </c>
      <c r="B5180" s="473" t="s">
        <v>14822</v>
      </c>
      <c r="C5180" s="473" t="s">
        <v>40</v>
      </c>
      <c r="D5180" s="473" t="s">
        <v>47</v>
      </c>
      <c r="E5180" s="361">
        <v>27.11</v>
      </c>
    </row>
    <row r="5181" spans="1:5">
      <c r="A5181" s="473">
        <v>9892</v>
      </c>
      <c r="B5181" s="473" t="s">
        <v>14823</v>
      </c>
      <c r="C5181" s="473" t="s">
        <v>40</v>
      </c>
      <c r="D5181" s="473" t="s">
        <v>41</v>
      </c>
      <c r="E5181" s="361">
        <v>4.38</v>
      </c>
    </row>
    <row r="5182" spans="1:5">
      <c r="A5182" s="473">
        <v>9893</v>
      </c>
      <c r="B5182" s="473" t="s">
        <v>14824</v>
      </c>
      <c r="C5182" s="473" t="s">
        <v>40</v>
      </c>
      <c r="D5182" s="473" t="s">
        <v>41</v>
      </c>
      <c r="E5182" s="361">
        <v>59.53</v>
      </c>
    </row>
    <row r="5183" spans="1:5">
      <c r="A5183" s="473">
        <v>9901</v>
      </c>
      <c r="B5183" s="473" t="s">
        <v>14825</v>
      </c>
      <c r="C5183" s="473" t="s">
        <v>40</v>
      </c>
      <c r="D5183" s="473" t="s">
        <v>41</v>
      </c>
      <c r="E5183" s="361">
        <v>26.42</v>
      </c>
    </row>
    <row r="5184" spans="1:5">
      <c r="A5184" s="473">
        <v>9896</v>
      </c>
      <c r="B5184" s="473" t="s">
        <v>14826</v>
      </c>
      <c r="C5184" s="473" t="s">
        <v>40</v>
      </c>
      <c r="D5184" s="473" t="s">
        <v>41</v>
      </c>
      <c r="E5184" s="361">
        <v>23.81</v>
      </c>
    </row>
    <row r="5185" spans="1:5">
      <c r="A5185" s="473">
        <v>9900</v>
      </c>
      <c r="B5185" s="473" t="s">
        <v>14827</v>
      </c>
      <c r="C5185" s="473" t="s">
        <v>40</v>
      </c>
      <c r="D5185" s="473" t="s">
        <v>41</v>
      </c>
      <c r="E5185" s="361">
        <v>14.44</v>
      </c>
    </row>
    <row r="5186" spans="1:5">
      <c r="A5186" s="473">
        <v>9898</v>
      </c>
      <c r="B5186" s="473" t="s">
        <v>14828</v>
      </c>
      <c r="C5186" s="473" t="s">
        <v>40</v>
      </c>
      <c r="D5186" s="473" t="s">
        <v>41</v>
      </c>
      <c r="E5186" s="361">
        <v>122.42</v>
      </c>
    </row>
    <row r="5187" spans="1:5">
      <c r="A5187" s="473">
        <v>9899</v>
      </c>
      <c r="B5187" s="473" t="s">
        <v>14829</v>
      </c>
      <c r="C5187" s="473" t="s">
        <v>40</v>
      </c>
      <c r="D5187" s="473" t="s">
        <v>41</v>
      </c>
      <c r="E5187" s="361">
        <v>7.88</v>
      </c>
    </row>
    <row r="5188" spans="1:5">
      <c r="A5188" s="473">
        <v>9902</v>
      </c>
      <c r="B5188" s="473" t="s">
        <v>14830</v>
      </c>
      <c r="C5188" s="473" t="s">
        <v>40</v>
      </c>
      <c r="D5188" s="473" t="s">
        <v>41</v>
      </c>
      <c r="E5188" s="361">
        <v>155.02000000000001</v>
      </c>
    </row>
    <row r="5189" spans="1:5">
      <c r="A5189" s="473">
        <v>9908</v>
      </c>
      <c r="B5189" s="473" t="s">
        <v>14831</v>
      </c>
      <c r="C5189" s="473" t="s">
        <v>40</v>
      </c>
      <c r="D5189" s="473" t="s">
        <v>41</v>
      </c>
      <c r="E5189" s="361">
        <v>309.10000000000002</v>
      </c>
    </row>
    <row r="5190" spans="1:5">
      <c r="A5190" s="473">
        <v>9905</v>
      </c>
      <c r="B5190" s="473" t="s">
        <v>14832</v>
      </c>
      <c r="C5190" s="473" t="s">
        <v>40</v>
      </c>
      <c r="D5190" s="473" t="s">
        <v>41</v>
      </c>
      <c r="E5190" s="361">
        <v>5.16</v>
      </c>
    </row>
    <row r="5191" spans="1:5">
      <c r="A5191" s="473">
        <v>9906</v>
      </c>
      <c r="B5191" s="473" t="s">
        <v>14833</v>
      </c>
      <c r="C5191" s="473" t="s">
        <v>40</v>
      </c>
      <c r="D5191" s="473" t="s">
        <v>41</v>
      </c>
      <c r="E5191" s="361">
        <v>6.19</v>
      </c>
    </row>
    <row r="5192" spans="1:5">
      <c r="A5192" s="473">
        <v>9895</v>
      </c>
      <c r="B5192" s="473" t="s">
        <v>14834</v>
      </c>
      <c r="C5192" s="473" t="s">
        <v>40</v>
      </c>
      <c r="D5192" s="473" t="s">
        <v>41</v>
      </c>
      <c r="E5192" s="361">
        <v>10.15</v>
      </c>
    </row>
    <row r="5193" spans="1:5">
      <c r="A5193" s="473">
        <v>9894</v>
      </c>
      <c r="B5193" s="473" t="s">
        <v>14835</v>
      </c>
      <c r="C5193" s="473" t="s">
        <v>40</v>
      </c>
      <c r="D5193" s="473" t="s">
        <v>41</v>
      </c>
      <c r="E5193" s="361">
        <v>19.78</v>
      </c>
    </row>
    <row r="5194" spans="1:5">
      <c r="A5194" s="473">
        <v>9897</v>
      </c>
      <c r="B5194" s="473" t="s">
        <v>14836</v>
      </c>
      <c r="C5194" s="473" t="s">
        <v>40</v>
      </c>
      <c r="D5194" s="473" t="s">
        <v>41</v>
      </c>
      <c r="E5194" s="361">
        <v>21.41</v>
      </c>
    </row>
    <row r="5195" spans="1:5">
      <c r="A5195" s="473">
        <v>9910</v>
      </c>
      <c r="B5195" s="473" t="s">
        <v>14837</v>
      </c>
      <c r="C5195" s="473" t="s">
        <v>40</v>
      </c>
      <c r="D5195" s="473" t="s">
        <v>41</v>
      </c>
      <c r="E5195" s="361">
        <v>53.9</v>
      </c>
    </row>
    <row r="5196" spans="1:5">
      <c r="A5196" s="473">
        <v>9909</v>
      </c>
      <c r="B5196" s="473" t="s">
        <v>14838</v>
      </c>
      <c r="C5196" s="473" t="s">
        <v>40</v>
      </c>
      <c r="D5196" s="473" t="s">
        <v>41</v>
      </c>
      <c r="E5196" s="361">
        <v>108.77</v>
      </c>
    </row>
    <row r="5197" spans="1:5">
      <c r="A5197" s="473">
        <v>9907</v>
      </c>
      <c r="B5197" s="473" t="s">
        <v>14839</v>
      </c>
      <c r="C5197" s="473" t="s">
        <v>40</v>
      </c>
      <c r="D5197" s="473" t="s">
        <v>41</v>
      </c>
      <c r="E5197" s="361">
        <v>167.25</v>
      </c>
    </row>
    <row r="5198" spans="1:5">
      <c r="A5198" s="473">
        <v>20973</v>
      </c>
      <c r="B5198" s="473" t="s">
        <v>14840</v>
      </c>
      <c r="C5198" s="473" t="s">
        <v>40</v>
      </c>
      <c r="D5198" s="473" t="s">
        <v>41</v>
      </c>
      <c r="E5198" s="361">
        <v>73.489999999999995</v>
      </c>
    </row>
    <row r="5199" spans="1:5">
      <c r="A5199" s="473">
        <v>20974</v>
      </c>
      <c r="B5199" s="473" t="s">
        <v>14841</v>
      </c>
      <c r="C5199" s="473" t="s">
        <v>40</v>
      </c>
      <c r="D5199" s="473" t="s">
        <v>41</v>
      </c>
      <c r="E5199" s="361">
        <v>105.14</v>
      </c>
    </row>
    <row r="5200" spans="1:5">
      <c r="A5200" s="473">
        <v>37989</v>
      </c>
      <c r="B5200" s="473" t="s">
        <v>14842</v>
      </c>
      <c r="C5200" s="473" t="s">
        <v>40</v>
      </c>
      <c r="D5200" s="473" t="s">
        <v>41</v>
      </c>
      <c r="E5200" s="361">
        <v>5.76</v>
      </c>
    </row>
    <row r="5201" spans="1:5">
      <c r="A5201" s="473">
        <v>37990</v>
      </c>
      <c r="B5201" s="473" t="s">
        <v>14843</v>
      </c>
      <c r="C5201" s="473" t="s">
        <v>40</v>
      </c>
      <c r="D5201" s="473" t="s">
        <v>41</v>
      </c>
      <c r="E5201" s="361">
        <v>6.7</v>
      </c>
    </row>
    <row r="5202" spans="1:5">
      <c r="A5202" s="473">
        <v>37991</v>
      </c>
      <c r="B5202" s="473" t="s">
        <v>14844</v>
      </c>
      <c r="C5202" s="473" t="s">
        <v>40</v>
      </c>
      <c r="D5202" s="473" t="s">
        <v>41</v>
      </c>
      <c r="E5202" s="361">
        <v>10.6</v>
      </c>
    </row>
    <row r="5203" spans="1:5">
      <c r="A5203" s="473">
        <v>37992</v>
      </c>
      <c r="B5203" s="473" t="s">
        <v>14845</v>
      </c>
      <c r="C5203" s="473" t="s">
        <v>40</v>
      </c>
      <c r="D5203" s="473" t="s">
        <v>41</v>
      </c>
      <c r="E5203" s="361">
        <v>16.190000000000001</v>
      </c>
    </row>
    <row r="5204" spans="1:5">
      <c r="A5204" s="473">
        <v>37993</v>
      </c>
      <c r="B5204" s="473" t="s">
        <v>14846</v>
      </c>
      <c r="C5204" s="473" t="s">
        <v>40</v>
      </c>
      <c r="D5204" s="473" t="s">
        <v>41</v>
      </c>
      <c r="E5204" s="361">
        <v>24.03</v>
      </c>
    </row>
    <row r="5205" spans="1:5">
      <c r="A5205" s="473">
        <v>37994</v>
      </c>
      <c r="B5205" s="473" t="s">
        <v>14847</v>
      </c>
      <c r="C5205" s="473" t="s">
        <v>40</v>
      </c>
      <c r="D5205" s="473" t="s">
        <v>41</v>
      </c>
      <c r="E5205" s="361">
        <v>57.75</v>
      </c>
    </row>
    <row r="5206" spans="1:5">
      <c r="A5206" s="473">
        <v>37995</v>
      </c>
      <c r="B5206" s="473" t="s">
        <v>14848</v>
      </c>
      <c r="C5206" s="473" t="s">
        <v>40</v>
      </c>
      <c r="D5206" s="473" t="s">
        <v>41</v>
      </c>
      <c r="E5206" s="361">
        <v>83.83</v>
      </c>
    </row>
    <row r="5207" spans="1:5">
      <c r="A5207" s="473">
        <v>37996</v>
      </c>
      <c r="B5207" s="473" t="s">
        <v>14849</v>
      </c>
      <c r="C5207" s="473" t="s">
        <v>40</v>
      </c>
      <c r="D5207" s="473" t="s">
        <v>41</v>
      </c>
      <c r="E5207" s="361">
        <v>123.6</v>
      </c>
    </row>
    <row r="5208" spans="1:5">
      <c r="A5208" s="473">
        <v>13883</v>
      </c>
      <c r="B5208" s="473" t="s">
        <v>14850</v>
      </c>
      <c r="C5208" s="473" t="s">
        <v>40</v>
      </c>
      <c r="D5208" s="473" t="s">
        <v>47</v>
      </c>
      <c r="E5208" s="361">
        <v>78078.77</v>
      </c>
    </row>
    <row r="5209" spans="1:5">
      <c r="A5209" s="473">
        <v>38604</v>
      </c>
      <c r="B5209" s="473" t="s">
        <v>14851</v>
      </c>
      <c r="C5209" s="473" t="s">
        <v>40</v>
      </c>
      <c r="D5209" s="473" t="s">
        <v>47</v>
      </c>
      <c r="E5209" s="361">
        <v>97246.07</v>
      </c>
    </row>
    <row r="5210" spans="1:5">
      <c r="A5210" s="473">
        <v>10601</v>
      </c>
      <c r="B5210" s="473" t="s">
        <v>14852</v>
      </c>
      <c r="C5210" s="473" t="s">
        <v>40</v>
      </c>
      <c r="D5210" s="473" t="s">
        <v>47</v>
      </c>
      <c r="E5210" s="361">
        <v>1891630.04</v>
      </c>
    </row>
    <row r="5211" spans="1:5">
      <c r="A5211" s="473">
        <v>26034</v>
      </c>
      <c r="B5211" s="473" t="s">
        <v>14853</v>
      </c>
      <c r="C5211" s="473" t="s">
        <v>40</v>
      </c>
      <c r="D5211" s="473" t="s">
        <v>47</v>
      </c>
      <c r="E5211" s="361">
        <v>4980595.1500000004</v>
      </c>
    </row>
    <row r="5212" spans="1:5">
      <c r="A5212" s="473">
        <v>13894</v>
      </c>
      <c r="B5212" s="473" t="s">
        <v>14854</v>
      </c>
      <c r="C5212" s="473" t="s">
        <v>40</v>
      </c>
      <c r="D5212" s="473" t="s">
        <v>47</v>
      </c>
      <c r="E5212" s="361">
        <v>392649.25</v>
      </c>
    </row>
    <row r="5213" spans="1:5">
      <c r="A5213" s="473">
        <v>13895</v>
      </c>
      <c r="B5213" s="473" t="s">
        <v>14855</v>
      </c>
      <c r="C5213" s="473" t="s">
        <v>40</v>
      </c>
      <c r="D5213" s="473" t="s">
        <v>47</v>
      </c>
      <c r="E5213" s="361">
        <v>527982.35</v>
      </c>
    </row>
    <row r="5214" spans="1:5">
      <c r="A5214" s="473">
        <v>13892</v>
      </c>
      <c r="B5214" s="473" t="s">
        <v>14856</v>
      </c>
      <c r="C5214" s="473" t="s">
        <v>40</v>
      </c>
      <c r="D5214" s="473" t="s">
        <v>47</v>
      </c>
      <c r="E5214" s="361">
        <v>647029.46</v>
      </c>
    </row>
    <row r="5215" spans="1:5">
      <c r="A5215" s="473">
        <v>9914</v>
      </c>
      <c r="B5215" s="473" t="s">
        <v>14857</v>
      </c>
      <c r="C5215" s="473" t="s">
        <v>40</v>
      </c>
      <c r="D5215" s="473" t="s">
        <v>47</v>
      </c>
      <c r="E5215" s="361">
        <v>700000</v>
      </c>
    </row>
    <row r="5216" spans="1:5">
      <c r="A5216" s="473">
        <v>36485</v>
      </c>
      <c r="B5216" s="473" t="s">
        <v>14858</v>
      </c>
      <c r="C5216" s="473" t="s">
        <v>40</v>
      </c>
      <c r="D5216" s="473" t="s">
        <v>47</v>
      </c>
      <c r="E5216" s="361">
        <v>424438.89</v>
      </c>
    </row>
    <row r="5217" spans="1:5">
      <c r="A5217" s="473">
        <v>9912</v>
      </c>
      <c r="B5217" s="473" t="s">
        <v>14859</v>
      </c>
      <c r="C5217" s="473" t="s">
        <v>40</v>
      </c>
      <c r="D5217" s="473" t="s">
        <v>47</v>
      </c>
      <c r="E5217" s="361">
        <v>1540000</v>
      </c>
    </row>
    <row r="5218" spans="1:5">
      <c r="A5218" s="473">
        <v>9921</v>
      </c>
      <c r="B5218" s="473" t="s">
        <v>14860</v>
      </c>
      <c r="C5218" s="473" t="s">
        <v>40</v>
      </c>
      <c r="D5218" s="473" t="s">
        <v>47</v>
      </c>
      <c r="E5218" s="361">
        <v>794404.84</v>
      </c>
    </row>
    <row r="5219" spans="1:5">
      <c r="A5219" s="473">
        <v>21112</v>
      </c>
      <c r="B5219" s="473" t="s">
        <v>14861</v>
      </c>
      <c r="C5219" s="473" t="s">
        <v>40</v>
      </c>
      <c r="D5219" s="473" t="s">
        <v>41</v>
      </c>
      <c r="E5219" s="361">
        <v>146.31</v>
      </c>
    </row>
    <row r="5220" spans="1:5">
      <c r="A5220" s="473">
        <v>10228</v>
      </c>
      <c r="B5220" s="473" t="s">
        <v>14862</v>
      </c>
      <c r="C5220" s="473" t="s">
        <v>40</v>
      </c>
      <c r="D5220" s="473" t="s">
        <v>44</v>
      </c>
      <c r="E5220" s="361">
        <v>169.97</v>
      </c>
    </row>
    <row r="5221" spans="1:5">
      <c r="A5221" s="473">
        <v>11781</v>
      </c>
      <c r="B5221" s="473" t="s">
        <v>14863</v>
      </c>
      <c r="C5221" s="473" t="s">
        <v>40</v>
      </c>
      <c r="D5221" s="473" t="s">
        <v>41</v>
      </c>
      <c r="E5221" s="361">
        <v>137.69</v>
      </c>
    </row>
    <row r="5222" spans="1:5">
      <c r="A5222" s="473">
        <v>11746</v>
      </c>
      <c r="B5222" s="473" t="s">
        <v>14864</v>
      </c>
      <c r="C5222" s="473" t="s">
        <v>40</v>
      </c>
      <c r="D5222" s="473" t="s">
        <v>47</v>
      </c>
      <c r="E5222" s="361">
        <v>47.11</v>
      </c>
    </row>
    <row r="5223" spans="1:5">
      <c r="A5223" s="473">
        <v>11751</v>
      </c>
      <c r="B5223" s="473" t="s">
        <v>14865</v>
      </c>
      <c r="C5223" s="473" t="s">
        <v>40</v>
      </c>
      <c r="D5223" s="473" t="s">
        <v>47</v>
      </c>
      <c r="E5223" s="361">
        <v>84.61</v>
      </c>
    </row>
    <row r="5224" spans="1:5">
      <c r="A5224" s="473">
        <v>11750</v>
      </c>
      <c r="B5224" s="473" t="s">
        <v>14866</v>
      </c>
      <c r="C5224" s="473" t="s">
        <v>40</v>
      </c>
      <c r="D5224" s="473" t="s">
        <v>47</v>
      </c>
      <c r="E5224" s="361">
        <v>70.22</v>
      </c>
    </row>
    <row r="5225" spans="1:5">
      <c r="A5225" s="473">
        <v>11748</v>
      </c>
      <c r="B5225" s="473" t="s">
        <v>14867</v>
      </c>
      <c r="C5225" s="473" t="s">
        <v>40</v>
      </c>
      <c r="D5225" s="473" t="s">
        <v>47</v>
      </c>
      <c r="E5225" s="361">
        <v>30.23</v>
      </c>
    </row>
    <row r="5226" spans="1:5">
      <c r="A5226" s="473">
        <v>11747</v>
      </c>
      <c r="B5226" s="473" t="s">
        <v>14868</v>
      </c>
      <c r="C5226" s="473" t="s">
        <v>40</v>
      </c>
      <c r="D5226" s="473" t="s">
        <v>47</v>
      </c>
      <c r="E5226" s="361">
        <v>130.47999999999999</v>
      </c>
    </row>
    <row r="5227" spans="1:5">
      <c r="A5227" s="473">
        <v>11749</v>
      </c>
      <c r="B5227" s="473" t="s">
        <v>14869</v>
      </c>
      <c r="C5227" s="473" t="s">
        <v>40</v>
      </c>
      <c r="D5227" s="473" t="s">
        <v>47</v>
      </c>
      <c r="E5227" s="361">
        <v>34.89</v>
      </c>
    </row>
    <row r="5228" spans="1:5">
      <c r="A5228" s="473">
        <v>10236</v>
      </c>
      <c r="B5228" s="473" t="s">
        <v>14870</v>
      </c>
      <c r="C5228" s="473" t="s">
        <v>40</v>
      </c>
      <c r="D5228" s="473" t="s">
        <v>47</v>
      </c>
      <c r="E5228" s="361">
        <v>52.45</v>
      </c>
    </row>
    <row r="5229" spans="1:5">
      <c r="A5229" s="473">
        <v>10233</v>
      </c>
      <c r="B5229" s="473" t="s">
        <v>14871</v>
      </c>
      <c r="C5229" s="473" t="s">
        <v>40</v>
      </c>
      <c r="D5229" s="473" t="s">
        <v>47</v>
      </c>
      <c r="E5229" s="361">
        <v>49.15</v>
      </c>
    </row>
    <row r="5230" spans="1:5">
      <c r="A5230" s="473">
        <v>10234</v>
      </c>
      <c r="B5230" s="473" t="s">
        <v>14872</v>
      </c>
      <c r="C5230" s="473" t="s">
        <v>40</v>
      </c>
      <c r="D5230" s="473" t="s">
        <v>47</v>
      </c>
      <c r="E5230" s="361">
        <v>30.96</v>
      </c>
    </row>
    <row r="5231" spans="1:5">
      <c r="A5231" s="473">
        <v>10231</v>
      </c>
      <c r="B5231" s="473" t="s">
        <v>14873</v>
      </c>
      <c r="C5231" s="473" t="s">
        <v>40</v>
      </c>
      <c r="D5231" s="473" t="s">
        <v>47</v>
      </c>
      <c r="E5231" s="361">
        <v>141.97</v>
      </c>
    </row>
    <row r="5232" spans="1:5">
      <c r="A5232" s="473">
        <v>10232</v>
      </c>
      <c r="B5232" s="473" t="s">
        <v>14874</v>
      </c>
      <c r="C5232" s="473" t="s">
        <v>40</v>
      </c>
      <c r="D5232" s="473" t="s">
        <v>47</v>
      </c>
      <c r="E5232" s="361">
        <v>79.44</v>
      </c>
    </row>
    <row r="5233" spans="1:5">
      <c r="A5233" s="473">
        <v>10229</v>
      </c>
      <c r="B5233" s="473" t="s">
        <v>14875</v>
      </c>
      <c r="C5233" s="473" t="s">
        <v>40</v>
      </c>
      <c r="D5233" s="473" t="s">
        <v>47</v>
      </c>
      <c r="E5233" s="361">
        <v>28</v>
      </c>
    </row>
    <row r="5234" spans="1:5">
      <c r="A5234" s="473">
        <v>10235</v>
      </c>
      <c r="B5234" s="473" t="s">
        <v>14876</v>
      </c>
      <c r="C5234" s="473" t="s">
        <v>40</v>
      </c>
      <c r="D5234" s="473" t="s">
        <v>47</v>
      </c>
      <c r="E5234" s="361">
        <v>194.63</v>
      </c>
    </row>
    <row r="5235" spans="1:5">
      <c r="A5235" s="473">
        <v>10230</v>
      </c>
      <c r="B5235" s="473" t="s">
        <v>14877</v>
      </c>
      <c r="C5235" s="473" t="s">
        <v>40</v>
      </c>
      <c r="D5235" s="473" t="s">
        <v>47</v>
      </c>
      <c r="E5235" s="361">
        <v>342.53</v>
      </c>
    </row>
    <row r="5236" spans="1:5">
      <c r="A5236" s="473">
        <v>10409</v>
      </c>
      <c r="B5236" s="473" t="s">
        <v>14878</v>
      </c>
      <c r="C5236" s="473" t="s">
        <v>40</v>
      </c>
      <c r="D5236" s="473" t="s">
        <v>47</v>
      </c>
      <c r="E5236" s="361">
        <v>101.76</v>
      </c>
    </row>
    <row r="5237" spans="1:5">
      <c r="A5237" s="473">
        <v>10411</v>
      </c>
      <c r="B5237" s="473" t="s">
        <v>14879</v>
      </c>
      <c r="C5237" s="473" t="s">
        <v>40</v>
      </c>
      <c r="D5237" s="473" t="s">
        <v>47</v>
      </c>
      <c r="E5237" s="361">
        <v>91.06</v>
      </c>
    </row>
    <row r="5238" spans="1:5">
      <c r="A5238" s="473">
        <v>10404</v>
      </c>
      <c r="B5238" s="473" t="s">
        <v>14880</v>
      </c>
      <c r="C5238" s="473" t="s">
        <v>40</v>
      </c>
      <c r="D5238" s="473" t="s">
        <v>47</v>
      </c>
      <c r="E5238" s="361">
        <v>36.93</v>
      </c>
    </row>
    <row r="5239" spans="1:5">
      <c r="A5239" s="473">
        <v>10410</v>
      </c>
      <c r="B5239" s="473" t="s">
        <v>14881</v>
      </c>
      <c r="C5239" s="473" t="s">
        <v>40</v>
      </c>
      <c r="D5239" s="473" t="s">
        <v>47</v>
      </c>
      <c r="E5239" s="361">
        <v>60.82</v>
      </c>
    </row>
    <row r="5240" spans="1:5">
      <c r="A5240" s="473">
        <v>10405</v>
      </c>
      <c r="B5240" s="473" t="s">
        <v>14882</v>
      </c>
      <c r="C5240" s="473" t="s">
        <v>40</v>
      </c>
      <c r="D5240" s="473" t="s">
        <v>47</v>
      </c>
      <c r="E5240" s="361">
        <v>203.88</v>
      </c>
    </row>
    <row r="5241" spans="1:5">
      <c r="A5241" s="473">
        <v>10408</v>
      </c>
      <c r="B5241" s="473" t="s">
        <v>14883</v>
      </c>
      <c r="C5241" s="473" t="s">
        <v>40</v>
      </c>
      <c r="D5241" s="473" t="s">
        <v>47</v>
      </c>
      <c r="E5241" s="361">
        <v>142.57</v>
      </c>
    </row>
    <row r="5242" spans="1:5">
      <c r="A5242" s="473">
        <v>10412</v>
      </c>
      <c r="B5242" s="473" t="s">
        <v>14884</v>
      </c>
      <c r="C5242" s="473" t="s">
        <v>40</v>
      </c>
      <c r="D5242" s="473" t="s">
        <v>47</v>
      </c>
      <c r="E5242" s="361">
        <v>44.75</v>
      </c>
    </row>
    <row r="5243" spans="1:5">
      <c r="A5243" s="473">
        <v>10406</v>
      </c>
      <c r="B5243" s="473" t="s">
        <v>14885</v>
      </c>
      <c r="C5243" s="473" t="s">
        <v>40</v>
      </c>
      <c r="D5243" s="473" t="s">
        <v>47</v>
      </c>
      <c r="E5243" s="361">
        <v>281.60000000000002</v>
      </c>
    </row>
    <row r="5244" spans="1:5">
      <c r="A5244" s="473">
        <v>10407</v>
      </c>
      <c r="B5244" s="473" t="s">
        <v>14886</v>
      </c>
      <c r="C5244" s="473" t="s">
        <v>40</v>
      </c>
      <c r="D5244" s="473" t="s">
        <v>47</v>
      </c>
      <c r="E5244" s="361">
        <v>436.77</v>
      </c>
    </row>
    <row r="5245" spans="1:5">
      <c r="A5245" s="473">
        <v>10416</v>
      </c>
      <c r="B5245" s="473" t="s">
        <v>14887</v>
      </c>
      <c r="C5245" s="473" t="s">
        <v>40</v>
      </c>
      <c r="D5245" s="473" t="s">
        <v>47</v>
      </c>
      <c r="E5245" s="361">
        <v>54.17</v>
      </c>
    </row>
    <row r="5246" spans="1:5">
      <c r="A5246" s="473">
        <v>10419</v>
      </c>
      <c r="B5246" s="473" t="s">
        <v>14888</v>
      </c>
      <c r="C5246" s="473" t="s">
        <v>40</v>
      </c>
      <c r="D5246" s="473" t="s">
        <v>47</v>
      </c>
      <c r="E5246" s="361">
        <v>47.02</v>
      </c>
    </row>
    <row r="5247" spans="1:5">
      <c r="A5247" s="473">
        <v>21092</v>
      </c>
      <c r="B5247" s="473" t="s">
        <v>14889</v>
      </c>
      <c r="C5247" s="473" t="s">
        <v>40</v>
      </c>
      <c r="D5247" s="473" t="s">
        <v>47</v>
      </c>
      <c r="E5247" s="361">
        <v>26.88</v>
      </c>
    </row>
    <row r="5248" spans="1:5">
      <c r="A5248" s="473">
        <v>10418</v>
      </c>
      <c r="B5248" s="473" t="s">
        <v>14890</v>
      </c>
      <c r="C5248" s="473" t="s">
        <v>40</v>
      </c>
      <c r="D5248" s="473" t="s">
        <v>47</v>
      </c>
      <c r="E5248" s="361">
        <v>31.34</v>
      </c>
    </row>
    <row r="5249" spans="1:5">
      <c r="A5249" s="473">
        <v>12657</v>
      </c>
      <c r="B5249" s="473" t="s">
        <v>14891</v>
      </c>
      <c r="C5249" s="473" t="s">
        <v>40</v>
      </c>
      <c r="D5249" s="473" t="s">
        <v>47</v>
      </c>
      <c r="E5249" s="361">
        <v>126.49</v>
      </c>
    </row>
    <row r="5250" spans="1:5">
      <c r="A5250" s="473">
        <v>10417</v>
      </c>
      <c r="B5250" s="473" t="s">
        <v>14892</v>
      </c>
      <c r="C5250" s="473" t="s">
        <v>40</v>
      </c>
      <c r="D5250" s="473" t="s">
        <v>47</v>
      </c>
      <c r="E5250" s="361">
        <v>78.930000000000007</v>
      </c>
    </row>
    <row r="5251" spans="1:5">
      <c r="A5251" s="473">
        <v>10413</v>
      </c>
      <c r="B5251" s="473" t="s">
        <v>14893</v>
      </c>
      <c r="C5251" s="473" t="s">
        <v>40</v>
      </c>
      <c r="D5251" s="473" t="s">
        <v>47</v>
      </c>
      <c r="E5251" s="361">
        <v>28.69</v>
      </c>
    </row>
    <row r="5252" spans="1:5">
      <c r="A5252" s="473">
        <v>10414</v>
      </c>
      <c r="B5252" s="473" t="s">
        <v>14894</v>
      </c>
      <c r="C5252" s="473" t="s">
        <v>40</v>
      </c>
      <c r="D5252" s="473" t="s">
        <v>47</v>
      </c>
      <c r="E5252" s="361">
        <v>172.73</v>
      </c>
    </row>
    <row r="5253" spans="1:5">
      <c r="A5253" s="473">
        <v>10415</v>
      </c>
      <c r="B5253" s="473" t="s">
        <v>14895</v>
      </c>
      <c r="C5253" s="473" t="s">
        <v>40</v>
      </c>
      <c r="D5253" s="473" t="s">
        <v>47</v>
      </c>
      <c r="E5253" s="361">
        <v>299.77999999999997</v>
      </c>
    </row>
    <row r="5254" spans="1:5">
      <c r="A5254" s="473">
        <v>38643</v>
      </c>
      <c r="B5254" s="473" t="s">
        <v>14896</v>
      </c>
      <c r="C5254" s="473" t="s">
        <v>40</v>
      </c>
      <c r="D5254" s="473" t="s">
        <v>41</v>
      </c>
      <c r="E5254" s="361">
        <v>24.82</v>
      </c>
    </row>
    <row r="5255" spans="1:5">
      <c r="A5255" s="473">
        <v>6157</v>
      </c>
      <c r="B5255" s="473" t="s">
        <v>14897</v>
      </c>
      <c r="C5255" s="473" t="s">
        <v>40</v>
      </c>
      <c r="D5255" s="473" t="s">
        <v>41</v>
      </c>
      <c r="E5255" s="361">
        <v>33.909999999999997</v>
      </c>
    </row>
    <row r="5256" spans="1:5">
      <c r="A5256" s="473">
        <v>37588</v>
      </c>
      <c r="B5256" s="473" t="s">
        <v>14898</v>
      </c>
      <c r="C5256" s="473" t="s">
        <v>40</v>
      </c>
      <c r="D5256" s="473" t="s">
        <v>41</v>
      </c>
      <c r="E5256" s="361">
        <v>19.239999999999998</v>
      </c>
    </row>
    <row r="5257" spans="1:5">
      <c r="A5257" s="473">
        <v>6152</v>
      </c>
      <c r="B5257" s="473" t="s">
        <v>14899</v>
      </c>
      <c r="C5257" s="473" t="s">
        <v>40</v>
      </c>
      <c r="D5257" s="473" t="s">
        <v>41</v>
      </c>
      <c r="E5257" s="361">
        <v>2.64</v>
      </c>
    </row>
    <row r="5258" spans="1:5">
      <c r="A5258" s="473">
        <v>6158</v>
      </c>
      <c r="B5258" s="473" t="s">
        <v>14900</v>
      </c>
      <c r="C5258" s="473" t="s">
        <v>40</v>
      </c>
      <c r="D5258" s="473" t="s">
        <v>41</v>
      </c>
      <c r="E5258" s="361">
        <v>3.19</v>
      </c>
    </row>
    <row r="5259" spans="1:5">
      <c r="A5259" s="473">
        <v>6153</v>
      </c>
      <c r="B5259" s="473" t="s">
        <v>14901</v>
      </c>
      <c r="C5259" s="473" t="s">
        <v>40</v>
      </c>
      <c r="D5259" s="473" t="s">
        <v>41</v>
      </c>
      <c r="E5259" s="361">
        <v>2.48</v>
      </c>
    </row>
    <row r="5260" spans="1:5">
      <c r="A5260" s="473">
        <v>6156</v>
      </c>
      <c r="B5260" s="473" t="s">
        <v>14902</v>
      </c>
      <c r="C5260" s="473" t="s">
        <v>40</v>
      </c>
      <c r="D5260" s="473" t="s">
        <v>41</v>
      </c>
      <c r="E5260" s="361">
        <v>3.15</v>
      </c>
    </row>
    <row r="5261" spans="1:5">
      <c r="A5261" s="473">
        <v>6154</v>
      </c>
      <c r="B5261" s="473" t="s">
        <v>14903</v>
      </c>
      <c r="C5261" s="473" t="s">
        <v>40</v>
      </c>
      <c r="D5261" s="473" t="s">
        <v>41</v>
      </c>
      <c r="E5261" s="361">
        <v>5.93</v>
      </c>
    </row>
    <row r="5262" spans="1:5">
      <c r="A5262" s="473">
        <v>6155</v>
      </c>
      <c r="B5262" s="473" t="s">
        <v>14904</v>
      </c>
      <c r="C5262" s="473" t="s">
        <v>40</v>
      </c>
      <c r="D5262" s="473" t="s">
        <v>41</v>
      </c>
      <c r="E5262" s="361">
        <v>12.28</v>
      </c>
    </row>
    <row r="5263" spans="1:5">
      <c r="A5263" s="473">
        <v>3115</v>
      </c>
      <c r="B5263" s="473" t="s">
        <v>14905</v>
      </c>
      <c r="C5263" s="473" t="s">
        <v>40</v>
      </c>
      <c r="D5263" s="473" t="s">
        <v>41</v>
      </c>
      <c r="E5263" s="361">
        <v>15.9</v>
      </c>
    </row>
    <row r="5264" spans="1:5">
      <c r="A5264" s="473">
        <v>3116</v>
      </c>
      <c r="B5264" s="473" t="s">
        <v>14906</v>
      </c>
      <c r="C5264" s="473" t="s">
        <v>40</v>
      </c>
      <c r="D5264" s="473" t="s">
        <v>41</v>
      </c>
      <c r="E5264" s="361">
        <v>16.39</v>
      </c>
    </row>
    <row r="5265" spans="1:5">
      <c r="A5265" s="473">
        <v>38166</v>
      </c>
      <c r="B5265" s="473" t="s">
        <v>14907</v>
      </c>
      <c r="C5265" s="473" t="s">
        <v>40</v>
      </c>
      <c r="D5265" s="473" t="s">
        <v>41</v>
      </c>
      <c r="E5265" s="361">
        <v>33.54</v>
      </c>
    </row>
    <row r="5266" spans="1:5">
      <c r="A5266" s="473">
        <v>38108</v>
      </c>
      <c r="B5266" s="473" t="s">
        <v>14908</v>
      </c>
      <c r="C5266" s="473" t="s">
        <v>40</v>
      </c>
      <c r="D5266" s="473" t="s">
        <v>41</v>
      </c>
      <c r="E5266" s="361">
        <v>39.06</v>
      </c>
    </row>
    <row r="5267" spans="1:5">
      <c r="A5267" s="473">
        <v>38087</v>
      </c>
      <c r="B5267" s="473" t="s">
        <v>14909</v>
      </c>
      <c r="C5267" s="473" t="s">
        <v>40</v>
      </c>
      <c r="D5267" s="473" t="s">
        <v>41</v>
      </c>
      <c r="E5267" s="361">
        <v>50.24</v>
      </c>
    </row>
    <row r="5268" spans="1:5">
      <c r="A5268" s="473">
        <v>38109</v>
      </c>
      <c r="B5268" s="473" t="s">
        <v>14910</v>
      </c>
      <c r="C5268" s="473" t="s">
        <v>40</v>
      </c>
      <c r="D5268" s="473" t="s">
        <v>41</v>
      </c>
      <c r="E5268" s="361">
        <v>62.42</v>
      </c>
    </row>
    <row r="5269" spans="1:5">
      <c r="A5269" s="473">
        <v>38088</v>
      </c>
      <c r="B5269" s="473" t="s">
        <v>14911</v>
      </c>
      <c r="C5269" s="473" t="s">
        <v>40</v>
      </c>
      <c r="D5269" s="473" t="s">
        <v>41</v>
      </c>
      <c r="E5269" s="361">
        <v>65.64</v>
      </c>
    </row>
    <row r="5270" spans="1:5">
      <c r="A5270" s="473">
        <v>38110</v>
      </c>
      <c r="B5270" s="473" t="s">
        <v>14912</v>
      </c>
      <c r="C5270" s="473" t="s">
        <v>40</v>
      </c>
      <c r="D5270" s="473" t="s">
        <v>41</v>
      </c>
      <c r="E5270" s="361">
        <v>24.01</v>
      </c>
    </row>
    <row r="5271" spans="1:5">
      <c r="A5271" s="473">
        <v>38089</v>
      </c>
      <c r="B5271" s="473" t="s">
        <v>14913</v>
      </c>
      <c r="C5271" s="473" t="s">
        <v>40</v>
      </c>
      <c r="D5271" s="473" t="s">
        <v>41</v>
      </c>
      <c r="E5271" s="361">
        <v>41.84</v>
      </c>
    </row>
    <row r="5272" spans="1:5">
      <c r="A5272" s="473">
        <v>38111</v>
      </c>
      <c r="B5272" s="473" t="s">
        <v>14914</v>
      </c>
      <c r="C5272" s="473" t="s">
        <v>40</v>
      </c>
      <c r="D5272" s="473" t="s">
        <v>41</v>
      </c>
      <c r="E5272" s="361">
        <v>26.85</v>
      </c>
    </row>
    <row r="5273" spans="1:5">
      <c r="A5273" s="473">
        <v>38090</v>
      </c>
      <c r="B5273" s="473" t="s">
        <v>14915</v>
      </c>
      <c r="C5273" s="473" t="s">
        <v>40</v>
      </c>
      <c r="D5273" s="473" t="s">
        <v>41</v>
      </c>
      <c r="E5273" s="361">
        <v>43.25</v>
      </c>
    </row>
    <row r="5274" spans="1:5">
      <c r="A5274" s="473">
        <v>11786</v>
      </c>
      <c r="B5274" s="473" t="s">
        <v>14916</v>
      </c>
      <c r="C5274" s="473" t="s">
        <v>40</v>
      </c>
      <c r="D5274" s="473" t="s">
        <v>41</v>
      </c>
      <c r="E5274" s="361">
        <v>260.27999999999997</v>
      </c>
    </row>
    <row r="5275" spans="1:5">
      <c r="A5275" s="473">
        <v>13726</v>
      </c>
      <c r="B5275" s="473" t="s">
        <v>14917</v>
      </c>
      <c r="C5275" s="473" t="s">
        <v>40</v>
      </c>
      <c r="D5275" s="473" t="s">
        <v>47</v>
      </c>
      <c r="E5275" s="361">
        <v>35265.19</v>
      </c>
    </row>
    <row r="5276" spans="1:5">
      <c r="A5276" s="473">
        <v>38400</v>
      </c>
      <c r="B5276" s="473" t="s">
        <v>14918</v>
      </c>
      <c r="C5276" s="473" t="s">
        <v>40</v>
      </c>
      <c r="D5276" s="473" t="s">
        <v>41</v>
      </c>
      <c r="E5276" s="361">
        <v>15.2</v>
      </c>
    </row>
    <row r="5277" spans="1:5">
      <c r="A5277" s="473">
        <v>12627</v>
      </c>
      <c r="B5277" s="473" t="s">
        <v>14919</v>
      </c>
      <c r="C5277" s="473" t="s">
        <v>40</v>
      </c>
      <c r="D5277" s="473" t="s">
        <v>47</v>
      </c>
      <c r="E5277" s="361">
        <v>0.4</v>
      </c>
    </row>
    <row r="5278" spans="1:5">
      <c r="A5278" s="473">
        <v>6138</v>
      </c>
      <c r="B5278" s="473" t="s">
        <v>14920</v>
      </c>
      <c r="C5278" s="473" t="s">
        <v>40</v>
      </c>
      <c r="D5278" s="473" t="s">
        <v>41</v>
      </c>
      <c r="E5278" s="361">
        <v>1.87</v>
      </c>
    </row>
    <row r="5279" spans="1:5">
      <c r="A5279" s="473">
        <v>39996</v>
      </c>
      <c r="B5279" s="473" t="s">
        <v>14921</v>
      </c>
      <c r="C5279" s="473" t="s">
        <v>48</v>
      </c>
      <c r="D5279" s="473" t="s">
        <v>41</v>
      </c>
      <c r="E5279" s="361">
        <v>1.89</v>
      </c>
    </row>
    <row r="5280" spans="1:5">
      <c r="A5280" s="473">
        <v>10478</v>
      </c>
      <c r="B5280" s="473" t="s">
        <v>14922</v>
      </c>
      <c r="C5280" s="473" t="s">
        <v>50</v>
      </c>
      <c r="D5280" s="473" t="s">
        <v>41</v>
      </c>
      <c r="E5280" s="361">
        <v>28.3</v>
      </c>
    </row>
    <row r="5281" spans="1:5">
      <c r="A5281" s="473">
        <v>40514</v>
      </c>
      <c r="B5281" s="473" t="s">
        <v>14923</v>
      </c>
      <c r="C5281" s="473" t="s">
        <v>50</v>
      </c>
      <c r="D5281" s="473" t="s">
        <v>44</v>
      </c>
      <c r="E5281" s="361">
        <v>25.07</v>
      </c>
    </row>
    <row r="5282" spans="1:5">
      <c r="A5282" s="473">
        <v>10475</v>
      </c>
      <c r="B5282" s="473" t="s">
        <v>14924</v>
      </c>
      <c r="C5282" s="473" t="s">
        <v>50</v>
      </c>
      <c r="D5282" s="473" t="s">
        <v>41</v>
      </c>
      <c r="E5282" s="361">
        <v>24.9</v>
      </c>
    </row>
    <row r="5283" spans="1:5">
      <c r="A5283" s="473">
        <v>10481</v>
      </c>
      <c r="B5283" s="473" t="s">
        <v>14925</v>
      </c>
      <c r="C5283" s="473" t="s">
        <v>50</v>
      </c>
      <c r="D5283" s="473" t="s">
        <v>41</v>
      </c>
      <c r="E5283" s="361">
        <v>27.15</v>
      </c>
    </row>
    <row r="5284" spans="1:5">
      <c r="A5284" s="473">
        <v>4031</v>
      </c>
      <c r="B5284" s="473" t="s">
        <v>14926</v>
      </c>
      <c r="C5284" s="473" t="s">
        <v>46</v>
      </c>
      <c r="D5284" s="473" t="s">
        <v>41</v>
      </c>
      <c r="E5284" s="361">
        <v>22.59</v>
      </c>
    </row>
    <row r="5285" spans="1:5">
      <c r="A5285" s="473">
        <v>4030</v>
      </c>
      <c r="B5285" s="473" t="s">
        <v>14927</v>
      </c>
      <c r="C5285" s="473" t="s">
        <v>46</v>
      </c>
      <c r="D5285" s="473" t="s">
        <v>41</v>
      </c>
      <c r="E5285" s="361">
        <v>4.8</v>
      </c>
    </row>
    <row r="5286" spans="1:5">
      <c r="A5286" s="473">
        <v>39399</v>
      </c>
      <c r="B5286" s="473" t="s">
        <v>14928</v>
      </c>
      <c r="C5286" s="473" t="s">
        <v>40</v>
      </c>
      <c r="D5286" s="473" t="s">
        <v>47</v>
      </c>
      <c r="E5286" s="361">
        <v>818.27</v>
      </c>
    </row>
    <row r="5287" spans="1:5">
      <c r="A5287" s="473">
        <v>39400</v>
      </c>
      <c r="B5287" s="473" t="s">
        <v>14929</v>
      </c>
      <c r="C5287" s="473" t="s">
        <v>40</v>
      </c>
      <c r="D5287" s="473" t="s">
        <v>47</v>
      </c>
      <c r="E5287" s="361">
        <v>889.43</v>
      </c>
    </row>
    <row r="5288" spans="1:5">
      <c r="A5288" s="473">
        <v>39401</v>
      </c>
      <c r="B5288" s="473" t="s">
        <v>14930</v>
      </c>
      <c r="C5288" s="473" t="s">
        <v>40</v>
      </c>
      <c r="D5288" s="473" t="s">
        <v>47</v>
      </c>
      <c r="E5288" s="361">
        <v>997.73</v>
      </c>
    </row>
    <row r="5289" spans="1:5">
      <c r="A5289" s="473">
        <v>11652</v>
      </c>
      <c r="B5289" s="473" t="s">
        <v>14931</v>
      </c>
      <c r="C5289" s="473" t="s">
        <v>40</v>
      </c>
      <c r="D5289" s="473" t="s">
        <v>47</v>
      </c>
      <c r="E5289" s="361">
        <v>2146.5</v>
      </c>
    </row>
    <row r="5290" spans="1:5">
      <c r="A5290" s="473">
        <v>13896</v>
      </c>
      <c r="B5290" s="473" t="s">
        <v>14932</v>
      </c>
      <c r="C5290" s="473" t="s">
        <v>40</v>
      </c>
      <c r="D5290" s="473" t="s">
        <v>47</v>
      </c>
      <c r="E5290" s="361">
        <v>1925.59</v>
      </c>
    </row>
    <row r="5291" spans="1:5">
      <c r="A5291" s="473">
        <v>13475</v>
      </c>
      <c r="B5291" s="473" t="s">
        <v>14933</v>
      </c>
      <c r="C5291" s="473" t="s">
        <v>40</v>
      </c>
      <c r="D5291" s="473" t="s">
        <v>47</v>
      </c>
      <c r="E5291" s="361">
        <v>2345.61</v>
      </c>
    </row>
    <row r="5292" spans="1:5">
      <c r="A5292" s="473">
        <v>25971</v>
      </c>
      <c r="B5292" s="473" t="s">
        <v>14934</v>
      </c>
      <c r="C5292" s="473" t="s">
        <v>40</v>
      </c>
      <c r="D5292" s="473" t="s">
        <v>47</v>
      </c>
      <c r="E5292" s="361">
        <v>2868230.5</v>
      </c>
    </row>
    <row r="5293" spans="1:5">
      <c r="A5293" s="473">
        <v>25970</v>
      </c>
      <c r="B5293" s="473" t="s">
        <v>14935</v>
      </c>
      <c r="C5293" s="473" t="s">
        <v>40</v>
      </c>
      <c r="D5293" s="473" t="s">
        <v>47</v>
      </c>
      <c r="E5293" s="361">
        <v>1207491.75</v>
      </c>
    </row>
    <row r="5294" spans="1:5">
      <c r="A5294" s="473">
        <v>13476</v>
      </c>
      <c r="B5294" s="473" t="s">
        <v>14936</v>
      </c>
      <c r="C5294" s="473" t="s">
        <v>40</v>
      </c>
      <c r="D5294" s="473" t="s">
        <v>47</v>
      </c>
      <c r="E5294" s="361">
        <v>1216241.77</v>
      </c>
    </row>
    <row r="5295" spans="1:5">
      <c r="A5295" s="473">
        <v>10488</v>
      </c>
      <c r="B5295" s="473" t="s">
        <v>14937</v>
      </c>
      <c r="C5295" s="473" t="s">
        <v>40</v>
      </c>
      <c r="D5295" s="473" t="s">
        <v>47</v>
      </c>
      <c r="E5295" s="361">
        <v>1473490</v>
      </c>
    </row>
    <row r="5296" spans="1:5">
      <c r="A5296" s="473">
        <v>13606</v>
      </c>
      <c r="B5296" s="473" t="s">
        <v>14938</v>
      </c>
      <c r="C5296" s="473" t="s">
        <v>40</v>
      </c>
      <c r="D5296" s="473" t="s">
        <v>47</v>
      </c>
      <c r="E5296" s="361">
        <v>1305491.06</v>
      </c>
    </row>
    <row r="5297" spans="1:5">
      <c r="A5297" s="473">
        <v>10489</v>
      </c>
      <c r="B5297" s="473" t="s">
        <v>14939</v>
      </c>
      <c r="C5297" s="473" t="s">
        <v>43</v>
      </c>
      <c r="D5297" s="473" t="s">
        <v>41</v>
      </c>
      <c r="E5297" s="361">
        <v>12.31</v>
      </c>
    </row>
    <row r="5298" spans="1:5">
      <c r="A5298" s="473">
        <v>41073</v>
      </c>
      <c r="B5298" s="473" t="s">
        <v>14940</v>
      </c>
      <c r="C5298" s="473" t="s">
        <v>53</v>
      </c>
      <c r="D5298" s="473" t="s">
        <v>41</v>
      </c>
      <c r="E5298" s="361">
        <v>2195.67</v>
      </c>
    </row>
    <row r="5299" spans="1:5">
      <c r="A5299" s="473">
        <v>34391</v>
      </c>
      <c r="B5299" s="473" t="s">
        <v>14941</v>
      </c>
      <c r="C5299" s="473" t="s">
        <v>46</v>
      </c>
      <c r="D5299" s="473" t="s">
        <v>41</v>
      </c>
      <c r="E5299" s="361">
        <v>325.48</v>
      </c>
    </row>
    <row r="5300" spans="1:5">
      <c r="A5300" s="473">
        <v>10496</v>
      </c>
      <c r="B5300" s="473" t="s">
        <v>14942</v>
      </c>
      <c r="C5300" s="473" t="s">
        <v>46</v>
      </c>
      <c r="D5300" s="473" t="s">
        <v>41</v>
      </c>
      <c r="E5300" s="361">
        <v>283.33</v>
      </c>
    </row>
    <row r="5301" spans="1:5">
      <c r="A5301" s="473">
        <v>10497</v>
      </c>
      <c r="B5301" s="473" t="s">
        <v>14943</v>
      </c>
      <c r="C5301" s="473" t="s">
        <v>46</v>
      </c>
      <c r="D5301" s="473" t="s">
        <v>41</v>
      </c>
      <c r="E5301" s="361">
        <v>736.66</v>
      </c>
    </row>
    <row r="5302" spans="1:5">
      <c r="A5302" s="473">
        <v>10504</v>
      </c>
      <c r="B5302" s="473" t="s">
        <v>14944</v>
      </c>
      <c r="C5302" s="473" t="s">
        <v>46</v>
      </c>
      <c r="D5302" s="473" t="s">
        <v>41</v>
      </c>
      <c r="E5302" s="361">
        <v>861.33</v>
      </c>
    </row>
    <row r="5303" spans="1:5">
      <c r="A5303" s="473">
        <v>34390</v>
      </c>
      <c r="B5303" s="473" t="s">
        <v>14945</v>
      </c>
      <c r="C5303" s="473" t="s">
        <v>46</v>
      </c>
      <c r="D5303" s="473" t="s">
        <v>41</v>
      </c>
      <c r="E5303" s="361">
        <v>253.86</v>
      </c>
    </row>
    <row r="5304" spans="1:5">
      <c r="A5304" s="473">
        <v>34389</v>
      </c>
      <c r="B5304" s="473" t="s">
        <v>14946</v>
      </c>
      <c r="C5304" s="473" t="s">
        <v>46</v>
      </c>
      <c r="D5304" s="473" t="s">
        <v>41</v>
      </c>
      <c r="E5304" s="361">
        <v>79.33</v>
      </c>
    </row>
    <row r="5305" spans="1:5">
      <c r="A5305" s="473">
        <v>34388</v>
      </c>
      <c r="B5305" s="473" t="s">
        <v>14947</v>
      </c>
      <c r="C5305" s="473" t="s">
        <v>46</v>
      </c>
      <c r="D5305" s="473" t="s">
        <v>41</v>
      </c>
      <c r="E5305" s="361">
        <v>112.74</v>
      </c>
    </row>
    <row r="5306" spans="1:5">
      <c r="A5306" s="473">
        <v>34387</v>
      </c>
      <c r="B5306" s="473" t="s">
        <v>14948</v>
      </c>
      <c r="C5306" s="473" t="s">
        <v>46</v>
      </c>
      <c r="D5306" s="473" t="s">
        <v>41</v>
      </c>
      <c r="E5306" s="361">
        <v>183.03</v>
      </c>
    </row>
    <row r="5307" spans="1:5">
      <c r="A5307" s="473">
        <v>11188</v>
      </c>
      <c r="B5307" s="473" t="s">
        <v>14949</v>
      </c>
      <c r="C5307" s="473" t="s">
        <v>46</v>
      </c>
      <c r="D5307" s="473" t="s">
        <v>41</v>
      </c>
      <c r="E5307" s="361">
        <v>90.66</v>
      </c>
    </row>
    <row r="5308" spans="1:5">
      <c r="A5308" s="473">
        <v>11189</v>
      </c>
      <c r="B5308" s="473" t="s">
        <v>14950</v>
      </c>
      <c r="C5308" s="473" t="s">
        <v>46</v>
      </c>
      <c r="D5308" s="473" t="s">
        <v>41</v>
      </c>
      <c r="E5308" s="361">
        <v>136</v>
      </c>
    </row>
    <row r="5309" spans="1:5">
      <c r="A5309" s="473">
        <v>21107</v>
      </c>
      <c r="B5309" s="473" t="s">
        <v>14951</v>
      </c>
      <c r="C5309" s="473" t="s">
        <v>46</v>
      </c>
      <c r="D5309" s="473" t="s">
        <v>41</v>
      </c>
      <c r="E5309" s="361">
        <v>97.86</v>
      </c>
    </row>
    <row r="5310" spans="1:5">
      <c r="A5310" s="473">
        <v>34386</v>
      </c>
      <c r="B5310" s="473" t="s">
        <v>14952</v>
      </c>
      <c r="C5310" s="473" t="s">
        <v>46</v>
      </c>
      <c r="D5310" s="473" t="s">
        <v>41</v>
      </c>
      <c r="E5310" s="361">
        <v>169.99</v>
      </c>
    </row>
    <row r="5311" spans="1:5">
      <c r="A5311" s="473">
        <v>10490</v>
      </c>
      <c r="B5311" s="473" t="s">
        <v>14953</v>
      </c>
      <c r="C5311" s="473" t="s">
        <v>46</v>
      </c>
      <c r="D5311" s="473" t="s">
        <v>44</v>
      </c>
      <c r="E5311" s="361">
        <v>51</v>
      </c>
    </row>
    <row r="5312" spans="1:5">
      <c r="A5312" s="473">
        <v>10492</v>
      </c>
      <c r="B5312" s="473" t="s">
        <v>14954</v>
      </c>
      <c r="C5312" s="473" t="s">
        <v>46</v>
      </c>
      <c r="D5312" s="473" t="s">
        <v>41</v>
      </c>
      <c r="E5312" s="361">
        <v>67.989999999999995</v>
      </c>
    </row>
    <row r="5313" spans="1:5">
      <c r="A5313" s="473">
        <v>10493</v>
      </c>
      <c r="B5313" s="473" t="s">
        <v>14955</v>
      </c>
      <c r="C5313" s="473" t="s">
        <v>46</v>
      </c>
      <c r="D5313" s="473" t="s">
        <v>41</v>
      </c>
      <c r="E5313" s="361">
        <v>79.33</v>
      </c>
    </row>
    <row r="5314" spans="1:5">
      <c r="A5314" s="473">
        <v>10491</v>
      </c>
      <c r="B5314" s="473" t="s">
        <v>14956</v>
      </c>
      <c r="C5314" s="473" t="s">
        <v>46</v>
      </c>
      <c r="D5314" s="473" t="s">
        <v>41</v>
      </c>
      <c r="E5314" s="361">
        <v>96.33</v>
      </c>
    </row>
    <row r="5315" spans="1:5">
      <c r="A5315" s="473">
        <v>34385</v>
      </c>
      <c r="B5315" s="473" t="s">
        <v>14957</v>
      </c>
      <c r="C5315" s="473" t="s">
        <v>46</v>
      </c>
      <c r="D5315" s="473" t="s">
        <v>41</v>
      </c>
      <c r="E5315" s="361">
        <v>140.53</v>
      </c>
    </row>
    <row r="5316" spans="1:5">
      <c r="A5316" s="473">
        <v>10499</v>
      </c>
      <c r="B5316" s="473" t="s">
        <v>14958</v>
      </c>
      <c r="C5316" s="473" t="s">
        <v>46</v>
      </c>
      <c r="D5316" s="473" t="s">
        <v>41</v>
      </c>
      <c r="E5316" s="361">
        <v>56.66</v>
      </c>
    </row>
    <row r="5317" spans="1:5">
      <c r="A5317" s="473">
        <v>34384</v>
      </c>
      <c r="B5317" s="473" t="s">
        <v>14959</v>
      </c>
      <c r="C5317" s="473" t="s">
        <v>46</v>
      </c>
      <c r="D5317" s="473" t="s">
        <v>41</v>
      </c>
      <c r="E5317" s="361">
        <v>169.99</v>
      </c>
    </row>
    <row r="5318" spans="1:5">
      <c r="A5318" s="473">
        <v>11185</v>
      </c>
      <c r="B5318" s="473" t="s">
        <v>14960</v>
      </c>
      <c r="C5318" s="473" t="s">
        <v>46</v>
      </c>
      <c r="D5318" s="473" t="s">
        <v>41</v>
      </c>
      <c r="E5318" s="361">
        <v>175.66</v>
      </c>
    </row>
    <row r="5319" spans="1:5">
      <c r="A5319" s="473">
        <v>10507</v>
      </c>
      <c r="B5319" s="473" t="s">
        <v>14961</v>
      </c>
      <c r="C5319" s="473" t="s">
        <v>46</v>
      </c>
      <c r="D5319" s="473" t="s">
        <v>41</v>
      </c>
      <c r="E5319" s="361">
        <v>138.68</v>
      </c>
    </row>
    <row r="5320" spans="1:5">
      <c r="A5320" s="473">
        <v>10505</v>
      </c>
      <c r="B5320" s="473" t="s">
        <v>14962</v>
      </c>
      <c r="C5320" s="473" t="s">
        <v>46</v>
      </c>
      <c r="D5320" s="473" t="s">
        <v>41</v>
      </c>
      <c r="E5320" s="361">
        <v>81.83</v>
      </c>
    </row>
    <row r="5321" spans="1:5">
      <c r="A5321" s="473">
        <v>10506</v>
      </c>
      <c r="B5321" s="473" t="s">
        <v>14963</v>
      </c>
      <c r="C5321" s="473" t="s">
        <v>46</v>
      </c>
      <c r="D5321" s="473" t="s">
        <v>41</v>
      </c>
      <c r="E5321" s="361">
        <v>106.82</v>
      </c>
    </row>
    <row r="5322" spans="1:5">
      <c r="A5322" s="473">
        <v>5031</v>
      </c>
      <c r="B5322" s="473" t="s">
        <v>14964</v>
      </c>
      <c r="C5322" s="473" t="s">
        <v>46</v>
      </c>
      <c r="D5322" s="473" t="s">
        <v>44</v>
      </c>
      <c r="E5322" s="361">
        <v>150</v>
      </c>
    </row>
    <row r="5323" spans="1:5">
      <c r="A5323" s="473">
        <v>10502</v>
      </c>
      <c r="B5323" s="473" t="s">
        <v>14965</v>
      </c>
      <c r="C5323" s="473" t="s">
        <v>46</v>
      </c>
      <c r="D5323" s="473" t="s">
        <v>41</v>
      </c>
      <c r="E5323" s="361">
        <v>174.78</v>
      </c>
    </row>
    <row r="5324" spans="1:5">
      <c r="A5324" s="473">
        <v>10501</v>
      </c>
      <c r="B5324" s="473" t="s">
        <v>14966</v>
      </c>
      <c r="C5324" s="473" t="s">
        <v>46</v>
      </c>
      <c r="D5324" s="473" t="s">
        <v>41</v>
      </c>
      <c r="E5324" s="361">
        <v>98.74</v>
      </c>
    </row>
    <row r="5325" spans="1:5">
      <c r="A5325" s="473">
        <v>10503</v>
      </c>
      <c r="B5325" s="473" t="s">
        <v>14967</v>
      </c>
      <c r="C5325" s="473" t="s">
        <v>46</v>
      </c>
      <c r="D5325" s="473" t="s">
        <v>41</v>
      </c>
      <c r="E5325" s="361">
        <v>133.41</v>
      </c>
    </row>
    <row r="5326" spans="1:5">
      <c r="A5326" s="473">
        <v>40270</v>
      </c>
      <c r="B5326" s="473" t="s">
        <v>14968</v>
      </c>
      <c r="C5326" s="473" t="s">
        <v>48</v>
      </c>
      <c r="D5326" s="473" t="s">
        <v>47</v>
      </c>
      <c r="E5326" s="361">
        <v>43.5</v>
      </c>
    </row>
    <row r="5327" spans="1:5">
      <c r="A5327" s="473">
        <v>20213</v>
      </c>
      <c r="B5327" s="473" t="s">
        <v>14969</v>
      </c>
      <c r="C5327" s="473" t="s">
        <v>48</v>
      </c>
      <c r="D5327" s="473" t="s">
        <v>41</v>
      </c>
      <c r="E5327" s="361">
        <v>20.09</v>
      </c>
    </row>
    <row r="5328" spans="1:5">
      <c r="A5328" s="473">
        <v>20211</v>
      </c>
      <c r="B5328" s="473" t="s">
        <v>14970</v>
      </c>
      <c r="C5328" s="473" t="s">
        <v>48</v>
      </c>
      <c r="D5328" s="473" t="s">
        <v>41</v>
      </c>
      <c r="E5328" s="361">
        <v>29.67</v>
      </c>
    </row>
    <row r="5329" spans="1:5">
      <c r="A5329" s="473">
        <v>4472</v>
      </c>
      <c r="B5329" s="473" t="s">
        <v>14971</v>
      </c>
      <c r="C5329" s="473" t="s">
        <v>48</v>
      </c>
      <c r="D5329" s="473" t="s">
        <v>41</v>
      </c>
      <c r="E5329" s="361">
        <v>25.94</v>
      </c>
    </row>
    <row r="5330" spans="1:5">
      <c r="A5330" s="473">
        <v>35272</v>
      </c>
      <c r="B5330" s="473" t="s">
        <v>14972</v>
      </c>
      <c r="C5330" s="473" t="s">
        <v>48</v>
      </c>
      <c r="D5330" s="473" t="s">
        <v>41</v>
      </c>
      <c r="E5330" s="361">
        <v>34.07</v>
      </c>
    </row>
    <row r="5331" spans="1:5">
      <c r="A5331" s="473">
        <v>4448</v>
      </c>
      <c r="B5331" s="473" t="s">
        <v>14973</v>
      </c>
      <c r="C5331" s="473" t="s">
        <v>48</v>
      </c>
      <c r="D5331" s="473" t="s">
        <v>41</v>
      </c>
      <c r="E5331" s="361">
        <v>20.91</v>
      </c>
    </row>
    <row r="5332" spans="1:5">
      <c r="A5332" s="473">
        <v>4425</v>
      </c>
      <c r="B5332" s="473" t="s">
        <v>14974</v>
      </c>
      <c r="C5332" s="473" t="s">
        <v>48</v>
      </c>
      <c r="D5332" s="473" t="s">
        <v>41</v>
      </c>
      <c r="E5332" s="361">
        <v>19.05</v>
      </c>
    </row>
    <row r="5333" spans="1:5">
      <c r="A5333" s="473">
        <v>4481</v>
      </c>
      <c r="B5333" s="473" t="s">
        <v>14975</v>
      </c>
      <c r="C5333" s="473" t="s">
        <v>48</v>
      </c>
      <c r="D5333" s="473" t="s">
        <v>41</v>
      </c>
      <c r="E5333" s="361">
        <v>35.11</v>
      </c>
    </row>
    <row r="5334" spans="1:5">
      <c r="A5334" s="473">
        <v>34345</v>
      </c>
      <c r="B5334" s="473" t="s">
        <v>14976</v>
      </c>
      <c r="C5334" s="473" t="s">
        <v>43</v>
      </c>
      <c r="D5334" s="473" t="s">
        <v>41</v>
      </c>
      <c r="E5334" s="361">
        <v>9.17</v>
      </c>
    </row>
    <row r="5335" spans="1:5">
      <c r="A5335" s="473">
        <v>41096</v>
      </c>
      <c r="B5335" s="473" t="s">
        <v>14977</v>
      </c>
      <c r="C5335" s="473" t="s">
        <v>53</v>
      </c>
      <c r="D5335" s="473" t="s">
        <v>41</v>
      </c>
      <c r="E5335" s="361">
        <v>1635.49</v>
      </c>
    </row>
    <row r="5336" spans="1:5">
      <c r="A5336" s="473">
        <v>41776</v>
      </c>
      <c r="B5336" s="473" t="s">
        <v>14978</v>
      </c>
      <c r="C5336" s="473" t="s">
        <v>43</v>
      </c>
      <c r="D5336" s="473" t="s">
        <v>41</v>
      </c>
      <c r="E5336" s="361">
        <v>12.56</v>
      </c>
    </row>
    <row r="5337" spans="1:5">
      <c r="A5337" s="473">
        <v>4487</v>
      </c>
      <c r="B5337" s="473" t="s">
        <v>14979</v>
      </c>
      <c r="C5337" s="473" t="s">
        <v>48</v>
      </c>
      <c r="D5337" s="473" t="s">
        <v>41</v>
      </c>
      <c r="E5337" s="361">
        <v>17.03</v>
      </c>
    </row>
    <row r="5338" spans="1:5">
      <c r="A5338" s="473">
        <v>11157</v>
      </c>
      <c r="B5338" s="473" t="s">
        <v>14980</v>
      </c>
      <c r="C5338" s="473" t="s">
        <v>63</v>
      </c>
      <c r="D5338" s="473" t="s">
        <v>41</v>
      </c>
      <c r="E5338" s="361">
        <v>119.39</v>
      </c>
    </row>
    <row r="5339" spans="1:5">
      <c r="A5339" s="473" t="s">
        <v>34</v>
      </c>
      <c r="B5339" s="473"/>
      <c r="C5339" s="473"/>
      <c r="D5339" s="473"/>
      <c r="E5339" s="473"/>
    </row>
    <row r="5340" spans="1:5">
      <c r="A5340" s="473" t="s">
        <v>14981</v>
      </c>
      <c r="B5340" s="473"/>
      <c r="C5340" s="473"/>
      <c r="D5340" s="473"/>
      <c r="E5340" s="473"/>
    </row>
    <row r="5341" spans="1:5">
      <c r="A5341" s="113"/>
      <c r="B5341" s="115"/>
      <c r="C5341" s="115"/>
      <c r="D5341" s="115"/>
      <c r="E5341" s="112"/>
    </row>
    <row r="5342" spans="1:5">
      <c r="A5342" s="113"/>
      <c r="B5342" s="115"/>
      <c r="C5342" s="115"/>
      <c r="D5342" s="115"/>
      <c r="E5342" s="112"/>
    </row>
    <row r="5343" spans="1:5">
      <c r="A5343" s="113"/>
      <c r="B5343" s="115"/>
      <c r="C5343" s="115"/>
      <c r="D5343" s="115"/>
      <c r="E5343" s="112"/>
    </row>
    <row r="5344" spans="1:5">
      <c r="A5344" s="113"/>
      <c r="B5344" s="115"/>
      <c r="C5344" s="115"/>
      <c r="D5344" s="115"/>
      <c r="E5344" s="112"/>
    </row>
    <row r="5345" spans="1:5">
      <c r="A5345" s="113"/>
      <c r="B5345" s="115"/>
      <c r="C5345" s="115"/>
      <c r="D5345" s="115"/>
      <c r="E5345" s="112"/>
    </row>
    <row r="5346" spans="1:5">
      <c r="A5346" s="113"/>
      <c r="B5346" s="115"/>
      <c r="C5346" s="115"/>
      <c r="D5346" s="115"/>
      <c r="E5346" s="112"/>
    </row>
    <row r="5347" spans="1:5">
      <c r="A5347" s="113"/>
      <c r="B5347" s="115"/>
      <c r="C5347" s="115"/>
      <c r="D5347" s="115"/>
      <c r="E5347" s="112"/>
    </row>
    <row r="5348" spans="1:5">
      <c r="A5348" s="113"/>
      <c r="B5348" s="115"/>
      <c r="C5348" s="115"/>
      <c r="D5348" s="115"/>
      <c r="E5348" s="112"/>
    </row>
    <row r="5349" spans="1:5">
      <c r="A5349" s="113"/>
      <c r="B5349" s="115"/>
      <c r="C5349" s="115"/>
      <c r="D5349" s="115"/>
      <c r="E5349" s="112"/>
    </row>
    <row r="5350" spans="1:5">
      <c r="A5350" s="113"/>
      <c r="B5350" s="115"/>
      <c r="C5350" s="115"/>
      <c r="D5350" s="115"/>
      <c r="E5350" s="112"/>
    </row>
    <row r="5351" spans="1:5">
      <c r="A5351" s="113"/>
      <c r="B5351" s="115"/>
      <c r="C5351" s="115"/>
      <c r="D5351" s="115"/>
      <c r="E5351" s="112"/>
    </row>
    <row r="5352" spans="1:5">
      <c r="A5352" s="113"/>
      <c r="B5352" s="115"/>
      <c r="C5352" s="115"/>
      <c r="D5352" s="115"/>
      <c r="E5352" s="112"/>
    </row>
    <row r="5353" spans="1:5">
      <c r="A5353" s="113"/>
      <c r="B5353" s="115"/>
      <c r="C5353" s="115"/>
      <c r="D5353" s="115"/>
      <c r="E5353" s="112"/>
    </row>
    <row r="5354" spans="1:5">
      <c r="A5354" s="113"/>
      <c r="B5354" s="115"/>
      <c r="C5354" s="115"/>
      <c r="D5354" s="115"/>
      <c r="E5354" s="112"/>
    </row>
    <row r="5355" spans="1:5">
      <c r="A5355" s="113"/>
      <c r="B5355" s="115"/>
      <c r="C5355" s="115"/>
      <c r="D5355" s="115"/>
      <c r="E5355" s="112"/>
    </row>
    <row r="5356" spans="1:5">
      <c r="A5356" s="113"/>
      <c r="B5356" s="115"/>
      <c r="C5356" s="115"/>
      <c r="D5356" s="115"/>
      <c r="E5356" s="112"/>
    </row>
    <row r="5357" spans="1:5">
      <c r="A5357" s="113"/>
      <c r="B5357" s="115"/>
      <c r="C5357" s="115"/>
      <c r="D5357" s="115"/>
      <c r="E5357" s="112"/>
    </row>
    <row r="5358" spans="1:5">
      <c r="A5358" s="113"/>
      <c r="B5358" s="115"/>
      <c r="C5358" s="115"/>
      <c r="D5358" s="115"/>
      <c r="E5358" s="112"/>
    </row>
    <row r="5359" spans="1:5">
      <c r="A5359" s="115"/>
      <c r="B5359" s="115"/>
      <c r="C5359" s="115"/>
      <c r="D5359" s="115"/>
      <c r="E5359" s="115"/>
    </row>
    <row r="5360" spans="1:5">
      <c r="A5360" s="115"/>
      <c r="B5360" s="115"/>
      <c r="C5360" s="115"/>
      <c r="D5360" s="115"/>
      <c r="E5360" s="115"/>
    </row>
    <row r="5361" spans="1:5">
      <c r="A5361" s="113"/>
      <c r="B5361" s="111"/>
      <c r="C5361" s="111"/>
      <c r="D5361" s="111"/>
      <c r="E5361" s="112"/>
    </row>
    <row r="5362" spans="1:5">
      <c r="A5362" s="113"/>
      <c r="B5362" s="111"/>
      <c r="C5362" s="111"/>
      <c r="D5362" s="111"/>
      <c r="E5362" s="112"/>
    </row>
    <row r="5363" spans="1:5">
      <c r="A5363" s="113"/>
      <c r="B5363" s="111"/>
      <c r="C5363" s="111"/>
      <c r="D5363" s="111"/>
      <c r="E5363" s="112"/>
    </row>
    <row r="5364" spans="1:5">
      <c r="A5364" s="113"/>
      <c r="B5364" s="111"/>
      <c r="C5364" s="111"/>
      <c r="D5364" s="111"/>
      <c r="E5364" s="112"/>
    </row>
    <row r="5365" spans="1:5">
      <c r="A5365" s="113"/>
      <c r="B5365" s="111"/>
      <c r="C5365" s="111"/>
      <c r="D5365" s="111"/>
      <c r="E5365" s="112"/>
    </row>
    <row r="5366" spans="1:5">
      <c r="A5366" s="113"/>
      <c r="B5366" s="111"/>
      <c r="C5366" s="111"/>
      <c r="D5366" s="111"/>
      <c r="E5366" s="112"/>
    </row>
    <row r="5367" spans="1:5">
      <c r="A5367" s="113"/>
      <c r="B5367" s="111"/>
      <c r="C5367" s="111"/>
      <c r="D5367" s="111"/>
      <c r="E5367" s="112"/>
    </row>
    <row r="5368" spans="1:5">
      <c r="A5368" s="113"/>
      <c r="B5368" s="111"/>
      <c r="C5368" s="111"/>
      <c r="D5368" s="111"/>
      <c r="E5368" s="112"/>
    </row>
    <row r="5369" spans="1:5">
      <c r="A5369" s="113"/>
      <c r="B5369" s="111"/>
      <c r="C5369" s="111"/>
      <c r="D5369" s="111"/>
      <c r="E5369" s="112"/>
    </row>
    <row r="5370" spans="1:5">
      <c r="A5370" s="113"/>
      <c r="B5370" s="111"/>
      <c r="C5370" s="111"/>
      <c r="D5370" s="111"/>
      <c r="E5370" s="112"/>
    </row>
    <row r="5371" spans="1:5">
      <c r="A5371" s="113"/>
      <c r="B5371" s="111"/>
      <c r="C5371" s="111"/>
      <c r="D5371" s="111"/>
      <c r="E5371" s="112"/>
    </row>
    <row r="5372" spans="1:5">
      <c r="A5372" s="113"/>
      <c r="B5372" s="111"/>
      <c r="C5372" s="111"/>
      <c r="D5372" s="111"/>
      <c r="E5372" s="112"/>
    </row>
    <row r="5373" spans="1:5">
      <c r="A5373" s="113"/>
      <c r="B5373" s="111"/>
      <c r="C5373" s="111"/>
      <c r="D5373" s="111"/>
      <c r="E5373" s="112"/>
    </row>
    <row r="5374" spans="1:5">
      <c r="A5374" s="113"/>
      <c r="B5374" s="111"/>
      <c r="C5374" s="111"/>
      <c r="D5374" s="111"/>
      <c r="E5374" s="112"/>
    </row>
    <row r="5375" spans="1:5">
      <c r="A5375" s="113"/>
      <c r="B5375" s="111"/>
      <c r="C5375" s="111"/>
      <c r="D5375" s="111"/>
      <c r="E5375" s="112"/>
    </row>
    <row r="5376" spans="1:5">
      <c r="A5376" s="113"/>
      <c r="B5376" s="111"/>
      <c r="C5376" s="111"/>
      <c r="D5376" s="111"/>
      <c r="E5376" s="112"/>
    </row>
    <row r="5377" spans="1:5">
      <c r="A5377" s="113"/>
      <c r="B5377" s="111"/>
      <c r="C5377" s="111"/>
      <c r="D5377" s="111"/>
      <c r="E5377" s="112"/>
    </row>
    <row r="5378" spans="1:5">
      <c r="A5378" s="113"/>
      <c r="B5378" s="111"/>
      <c r="C5378" s="111"/>
      <c r="D5378" s="111"/>
      <c r="E5378" s="111"/>
    </row>
    <row r="5379" spans="1:5">
      <c r="A5379" s="113"/>
      <c r="B5379" s="111"/>
      <c r="C5379" s="111"/>
      <c r="D5379" s="111"/>
      <c r="E5379" s="111"/>
    </row>
  </sheetData>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M6509"/>
  <sheetViews>
    <sheetView topLeftCell="A399" zoomScale="85" zoomScaleNormal="85" workbookViewId="0">
      <selection activeCell="G399" sqref="G399"/>
    </sheetView>
  </sheetViews>
  <sheetFormatPr defaultRowHeight="12.75"/>
  <cols>
    <col min="1" max="6" width="3.28515625" style="180" customWidth="1"/>
    <col min="7" max="7" width="14" style="114" customWidth="1"/>
    <col min="8" max="8" width="161.42578125" style="180" customWidth="1"/>
    <col min="9" max="9" width="8.140625" style="180" customWidth="1"/>
    <col min="10" max="10" width="4.28515625" style="180" customWidth="1"/>
    <col min="11" max="11" width="21.140625" style="49" customWidth="1"/>
    <col min="12" max="12" width="82" style="180" customWidth="1"/>
    <col min="13" max="256" width="9.140625" style="180"/>
    <col min="257" max="257" width="70.28515625" style="180" customWidth="1"/>
    <col min="258" max="258" width="17.5703125" style="180" customWidth="1"/>
    <col min="259" max="259" width="70.28515625" style="180" customWidth="1"/>
    <col min="260" max="260" width="17.5703125" style="180" customWidth="1"/>
    <col min="261" max="261" width="15.28515625" style="180" customWidth="1"/>
    <col min="262" max="262" width="48.7109375" style="180" customWidth="1"/>
    <col min="263" max="263" width="24.5703125" style="180" customWidth="1"/>
    <col min="264" max="264" width="48.7109375" style="180" customWidth="1"/>
    <col min="265" max="265" width="8.140625" style="180" customWidth="1"/>
    <col min="266" max="266" width="38.7109375" style="180" customWidth="1"/>
    <col min="267" max="267" width="21.140625" style="180" customWidth="1"/>
    <col min="268" max="268" width="82" style="180" customWidth="1"/>
    <col min="269" max="512" width="9.140625" style="180"/>
    <col min="513" max="513" width="70.28515625" style="180" customWidth="1"/>
    <col min="514" max="514" width="17.5703125" style="180" customWidth="1"/>
    <col min="515" max="515" width="70.28515625" style="180" customWidth="1"/>
    <col min="516" max="516" width="17.5703125" style="180" customWidth="1"/>
    <col min="517" max="517" width="15.28515625" style="180" customWidth="1"/>
    <col min="518" max="518" width="48.7109375" style="180" customWidth="1"/>
    <col min="519" max="519" width="24.5703125" style="180" customWidth="1"/>
    <col min="520" max="520" width="48.7109375" style="180" customWidth="1"/>
    <col min="521" max="521" width="8.140625" style="180" customWidth="1"/>
    <col min="522" max="522" width="38.7109375" style="180" customWidth="1"/>
    <col min="523" max="523" width="21.140625" style="180" customWidth="1"/>
    <col min="524" max="524" width="82" style="180" customWidth="1"/>
    <col min="525" max="768" width="9.140625" style="180"/>
    <col min="769" max="769" width="70.28515625" style="180" customWidth="1"/>
    <col min="770" max="770" width="17.5703125" style="180" customWidth="1"/>
    <col min="771" max="771" width="70.28515625" style="180" customWidth="1"/>
    <col min="772" max="772" width="17.5703125" style="180" customWidth="1"/>
    <col min="773" max="773" width="15.28515625" style="180" customWidth="1"/>
    <col min="774" max="774" width="48.7109375" style="180" customWidth="1"/>
    <col min="775" max="775" width="24.5703125" style="180" customWidth="1"/>
    <col min="776" max="776" width="48.7109375" style="180" customWidth="1"/>
    <col min="777" max="777" width="8.140625" style="180" customWidth="1"/>
    <col min="778" max="778" width="38.7109375" style="180" customWidth="1"/>
    <col min="779" max="779" width="21.140625" style="180" customWidth="1"/>
    <col min="780" max="780" width="82" style="180" customWidth="1"/>
    <col min="781" max="1024" width="9.140625" style="180"/>
    <col min="1025" max="1025" width="70.28515625" style="180" customWidth="1"/>
    <col min="1026" max="1026" width="17.5703125" style="180" customWidth="1"/>
    <col min="1027" max="1027" width="70.28515625" style="180" customWidth="1"/>
    <col min="1028" max="1028" width="17.5703125" style="180" customWidth="1"/>
    <col min="1029" max="1029" width="15.28515625" style="180" customWidth="1"/>
    <col min="1030" max="1030" width="48.7109375" style="180" customWidth="1"/>
    <col min="1031" max="1031" width="24.5703125" style="180" customWidth="1"/>
    <col min="1032" max="1032" width="48.7109375" style="180" customWidth="1"/>
    <col min="1033" max="1033" width="8.140625" style="180" customWidth="1"/>
    <col min="1034" max="1034" width="38.7109375" style="180" customWidth="1"/>
    <col min="1035" max="1035" width="21.140625" style="180" customWidth="1"/>
    <col min="1036" max="1036" width="82" style="180" customWidth="1"/>
    <col min="1037" max="1280" width="9.140625" style="180"/>
    <col min="1281" max="1281" width="70.28515625" style="180" customWidth="1"/>
    <col min="1282" max="1282" width="17.5703125" style="180" customWidth="1"/>
    <col min="1283" max="1283" width="70.28515625" style="180" customWidth="1"/>
    <col min="1284" max="1284" width="17.5703125" style="180" customWidth="1"/>
    <col min="1285" max="1285" width="15.28515625" style="180" customWidth="1"/>
    <col min="1286" max="1286" width="48.7109375" style="180" customWidth="1"/>
    <col min="1287" max="1287" width="24.5703125" style="180" customWidth="1"/>
    <col min="1288" max="1288" width="48.7109375" style="180" customWidth="1"/>
    <col min="1289" max="1289" width="8.140625" style="180" customWidth="1"/>
    <col min="1290" max="1290" width="38.7109375" style="180" customWidth="1"/>
    <col min="1291" max="1291" width="21.140625" style="180" customWidth="1"/>
    <col min="1292" max="1292" width="82" style="180" customWidth="1"/>
    <col min="1293" max="1536" width="9.140625" style="180"/>
    <col min="1537" max="1537" width="70.28515625" style="180" customWidth="1"/>
    <col min="1538" max="1538" width="17.5703125" style="180" customWidth="1"/>
    <col min="1539" max="1539" width="70.28515625" style="180" customWidth="1"/>
    <col min="1540" max="1540" width="17.5703125" style="180" customWidth="1"/>
    <col min="1541" max="1541" width="15.28515625" style="180" customWidth="1"/>
    <col min="1542" max="1542" width="48.7109375" style="180" customWidth="1"/>
    <col min="1543" max="1543" width="24.5703125" style="180" customWidth="1"/>
    <col min="1544" max="1544" width="48.7109375" style="180" customWidth="1"/>
    <col min="1545" max="1545" width="8.140625" style="180" customWidth="1"/>
    <col min="1546" max="1546" width="38.7109375" style="180" customWidth="1"/>
    <col min="1547" max="1547" width="21.140625" style="180" customWidth="1"/>
    <col min="1548" max="1548" width="82" style="180" customWidth="1"/>
    <col min="1549" max="1792" width="9.140625" style="180"/>
    <col min="1793" max="1793" width="70.28515625" style="180" customWidth="1"/>
    <col min="1794" max="1794" width="17.5703125" style="180" customWidth="1"/>
    <col min="1795" max="1795" width="70.28515625" style="180" customWidth="1"/>
    <col min="1796" max="1796" width="17.5703125" style="180" customWidth="1"/>
    <col min="1797" max="1797" width="15.28515625" style="180" customWidth="1"/>
    <col min="1798" max="1798" width="48.7109375" style="180" customWidth="1"/>
    <col min="1799" max="1799" width="24.5703125" style="180" customWidth="1"/>
    <col min="1800" max="1800" width="48.7109375" style="180" customWidth="1"/>
    <col min="1801" max="1801" width="8.140625" style="180" customWidth="1"/>
    <col min="1802" max="1802" width="38.7109375" style="180" customWidth="1"/>
    <col min="1803" max="1803" width="21.140625" style="180" customWidth="1"/>
    <col min="1804" max="1804" width="82" style="180" customWidth="1"/>
    <col min="1805" max="2048" width="9.140625" style="180"/>
    <col min="2049" max="2049" width="70.28515625" style="180" customWidth="1"/>
    <col min="2050" max="2050" width="17.5703125" style="180" customWidth="1"/>
    <col min="2051" max="2051" width="70.28515625" style="180" customWidth="1"/>
    <col min="2052" max="2052" width="17.5703125" style="180" customWidth="1"/>
    <col min="2053" max="2053" width="15.28515625" style="180" customWidth="1"/>
    <col min="2054" max="2054" width="48.7109375" style="180" customWidth="1"/>
    <col min="2055" max="2055" width="24.5703125" style="180" customWidth="1"/>
    <col min="2056" max="2056" width="48.7109375" style="180" customWidth="1"/>
    <col min="2057" max="2057" width="8.140625" style="180" customWidth="1"/>
    <col min="2058" max="2058" width="38.7109375" style="180" customWidth="1"/>
    <col min="2059" max="2059" width="21.140625" style="180" customWidth="1"/>
    <col min="2060" max="2060" width="82" style="180" customWidth="1"/>
    <col min="2061" max="2304" width="9.140625" style="180"/>
    <col min="2305" max="2305" width="70.28515625" style="180" customWidth="1"/>
    <col min="2306" max="2306" width="17.5703125" style="180" customWidth="1"/>
    <col min="2307" max="2307" width="70.28515625" style="180" customWidth="1"/>
    <col min="2308" max="2308" width="17.5703125" style="180" customWidth="1"/>
    <col min="2309" max="2309" width="15.28515625" style="180" customWidth="1"/>
    <col min="2310" max="2310" width="48.7109375" style="180" customWidth="1"/>
    <col min="2311" max="2311" width="24.5703125" style="180" customWidth="1"/>
    <col min="2312" max="2312" width="48.7109375" style="180" customWidth="1"/>
    <col min="2313" max="2313" width="8.140625" style="180" customWidth="1"/>
    <col min="2314" max="2314" width="38.7109375" style="180" customWidth="1"/>
    <col min="2315" max="2315" width="21.140625" style="180" customWidth="1"/>
    <col min="2316" max="2316" width="82" style="180" customWidth="1"/>
    <col min="2317" max="2560" width="9.140625" style="180"/>
    <col min="2561" max="2561" width="70.28515625" style="180" customWidth="1"/>
    <col min="2562" max="2562" width="17.5703125" style="180" customWidth="1"/>
    <col min="2563" max="2563" width="70.28515625" style="180" customWidth="1"/>
    <col min="2564" max="2564" width="17.5703125" style="180" customWidth="1"/>
    <col min="2565" max="2565" width="15.28515625" style="180" customWidth="1"/>
    <col min="2566" max="2566" width="48.7109375" style="180" customWidth="1"/>
    <col min="2567" max="2567" width="24.5703125" style="180" customWidth="1"/>
    <col min="2568" max="2568" width="48.7109375" style="180" customWidth="1"/>
    <col min="2569" max="2569" width="8.140625" style="180" customWidth="1"/>
    <col min="2570" max="2570" width="38.7109375" style="180" customWidth="1"/>
    <col min="2571" max="2571" width="21.140625" style="180" customWidth="1"/>
    <col min="2572" max="2572" width="82" style="180" customWidth="1"/>
    <col min="2573" max="2816" width="9.140625" style="180"/>
    <col min="2817" max="2817" width="70.28515625" style="180" customWidth="1"/>
    <col min="2818" max="2818" width="17.5703125" style="180" customWidth="1"/>
    <col min="2819" max="2819" width="70.28515625" style="180" customWidth="1"/>
    <col min="2820" max="2820" width="17.5703125" style="180" customWidth="1"/>
    <col min="2821" max="2821" width="15.28515625" style="180" customWidth="1"/>
    <col min="2822" max="2822" width="48.7109375" style="180" customWidth="1"/>
    <col min="2823" max="2823" width="24.5703125" style="180" customWidth="1"/>
    <col min="2824" max="2824" width="48.7109375" style="180" customWidth="1"/>
    <col min="2825" max="2825" width="8.140625" style="180" customWidth="1"/>
    <col min="2826" max="2826" width="38.7109375" style="180" customWidth="1"/>
    <col min="2827" max="2827" width="21.140625" style="180" customWidth="1"/>
    <col min="2828" max="2828" width="82" style="180" customWidth="1"/>
    <col min="2829" max="3072" width="9.140625" style="180"/>
    <col min="3073" max="3073" width="70.28515625" style="180" customWidth="1"/>
    <col min="3074" max="3074" width="17.5703125" style="180" customWidth="1"/>
    <col min="3075" max="3075" width="70.28515625" style="180" customWidth="1"/>
    <col min="3076" max="3076" width="17.5703125" style="180" customWidth="1"/>
    <col min="3077" max="3077" width="15.28515625" style="180" customWidth="1"/>
    <col min="3078" max="3078" width="48.7109375" style="180" customWidth="1"/>
    <col min="3079" max="3079" width="24.5703125" style="180" customWidth="1"/>
    <col min="3080" max="3080" width="48.7109375" style="180" customWidth="1"/>
    <col min="3081" max="3081" width="8.140625" style="180" customWidth="1"/>
    <col min="3082" max="3082" width="38.7109375" style="180" customWidth="1"/>
    <col min="3083" max="3083" width="21.140625" style="180" customWidth="1"/>
    <col min="3084" max="3084" width="82" style="180" customWidth="1"/>
    <col min="3085" max="3328" width="9.140625" style="180"/>
    <col min="3329" max="3329" width="70.28515625" style="180" customWidth="1"/>
    <col min="3330" max="3330" width="17.5703125" style="180" customWidth="1"/>
    <col min="3331" max="3331" width="70.28515625" style="180" customWidth="1"/>
    <col min="3332" max="3332" width="17.5703125" style="180" customWidth="1"/>
    <col min="3333" max="3333" width="15.28515625" style="180" customWidth="1"/>
    <col min="3334" max="3334" width="48.7109375" style="180" customWidth="1"/>
    <col min="3335" max="3335" width="24.5703125" style="180" customWidth="1"/>
    <col min="3336" max="3336" width="48.7109375" style="180" customWidth="1"/>
    <col min="3337" max="3337" width="8.140625" style="180" customWidth="1"/>
    <col min="3338" max="3338" width="38.7109375" style="180" customWidth="1"/>
    <col min="3339" max="3339" width="21.140625" style="180" customWidth="1"/>
    <col min="3340" max="3340" width="82" style="180" customWidth="1"/>
    <col min="3341" max="3584" width="9.140625" style="180"/>
    <col min="3585" max="3585" width="70.28515625" style="180" customWidth="1"/>
    <col min="3586" max="3586" width="17.5703125" style="180" customWidth="1"/>
    <col min="3587" max="3587" width="70.28515625" style="180" customWidth="1"/>
    <col min="3588" max="3588" width="17.5703125" style="180" customWidth="1"/>
    <col min="3589" max="3589" width="15.28515625" style="180" customWidth="1"/>
    <col min="3590" max="3590" width="48.7109375" style="180" customWidth="1"/>
    <col min="3591" max="3591" width="24.5703125" style="180" customWidth="1"/>
    <col min="3592" max="3592" width="48.7109375" style="180" customWidth="1"/>
    <col min="3593" max="3593" width="8.140625" style="180" customWidth="1"/>
    <col min="3594" max="3594" width="38.7109375" style="180" customWidth="1"/>
    <col min="3595" max="3595" width="21.140625" style="180" customWidth="1"/>
    <col min="3596" max="3596" width="82" style="180" customWidth="1"/>
    <col min="3597" max="3840" width="9.140625" style="180"/>
    <col min="3841" max="3841" width="70.28515625" style="180" customWidth="1"/>
    <col min="3842" max="3842" width="17.5703125" style="180" customWidth="1"/>
    <col min="3843" max="3843" width="70.28515625" style="180" customWidth="1"/>
    <col min="3844" max="3844" width="17.5703125" style="180" customWidth="1"/>
    <col min="3845" max="3845" width="15.28515625" style="180" customWidth="1"/>
    <col min="3846" max="3846" width="48.7109375" style="180" customWidth="1"/>
    <col min="3847" max="3847" width="24.5703125" style="180" customWidth="1"/>
    <col min="3848" max="3848" width="48.7109375" style="180" customWidth="1"/>
    <col min="3849" max="3849" width="8.140625" style="180" customWidth="1"/>
    <col min="3850" max="3850" width="38.7109375" style="180" customWidth="1"/>
    <col min="3851" max="3851" width="21.140625" style="180" customWidth="1"/>
    <col min="3852" max="3852" width="82" style="180" customWidth="1"/>
    <col min="3853" max="4096" width="9.140625" style="180"/>
    <col min="4097" max="4097" width="70.28515625" style="180" customWidth="1"/>
    <col min="4098" max="4098" width="17.5703125" style="180" customWidth="1"/>
    <col min="4099" max="4099" width="70.28515625" style="180" customWidth="1"/>
    <col min="4100" max="4100" width="17.5703125" style="180" customWidth="1"/>
    <col min="4101" max="4101" width="15.28515625" style="180" customWidth="1"/>
    <col min="4102" max="4102" width="48.7109375" style="180" customWidth="1"/>
    <col min="4103" max="4103" width="24.5703125" style="180" customWidth="1"/>
    <col min="4104" max="4104" width="48.7109375" style="180" customWidth="1"/>
    <col min="4105" max="4105" width="8.140625" style="180" customWidth="1"/>
    <col min="4106" max="4106" width="38.7109375" style="180" customWidth="1"/>
    <col min="4107" max="4107" width="21.140625" style="180" customWidth="1"/>
    <col min="4108" max="4108" width="82" style="180" customWidth="1"/>
    <col min="4109" max="4352" width="9.140625" style="180"/>
    <col min="4353" max="4353" width="70.28515625" style="180" customWidth="1"/>
    <col min="4354" max="4354" width="17.5703125" style="180" customWidth="1"/>
    <col min="4355" max="4355" width="70.28515625" style="180" customWidth="1"/>
    <col min="4356" max="4356" width="17.5703125" style="180" customWidth="1"/>
    <col min="4357" max="4357" width="15.28515625" style="180" customWidth="1"/>
    <col min="4358" max="4358" width="48.7109375" style="180" customWidth="1"/>
    <col min="4359" max="4359" width="24.5703125" style="180" customWidth="1"/>
    <col min="4360" max="4360" width="48.7109375" style="180" customWidth="1"/>
    <col min="4361" max="4361" width="8.140625" style="180" customWidth="1"/>
    <col min="4362" max="4362" width="38.7109375" style="180" customWidth="1"/>
    <col min="4363" max="4363" width="21.140625" style="180" customWidth="1"/>
    <col min="4364" max="4364" width="82" style="180" customWidth="1"/>
    <col min="4365" max="4608" width="9.140625" style="180"/>
    <col min="4609" max="4609" width="70.28515625" style="180" customWidth="1"/>
    <col min="4610" max="4610" width="17.5703125" style="180" customWidth="1"/>
    <col min="4611" max="4611" width="70.28515625" style="180" customWidth="1"/>
    <col min="4612" max="4612" width="17.5703125" style="180" customWidth="1"/>
    <col min="4613" max="4613" width="15.28515625" style="180" customWidth="1"/>
    <col min="4614" max="4614" width="48.7109375" style="180" customWidth="1"/>
    <col min="4615" max="4615" width="24.5703125" style="180" customWidth="1"/>
    <col min="4616" max="4616" width="48.7109375" style="180" customWidth="1"/>
    <col min="4617" max="4617" width="8.140625" style="180" customWidth="1"/>
    <col min="4618" max="4618" width="38.7109375" style="180" customWidth="1"/>
    <col min="4619" max="4619" width="21.140625" style="180" customWidth="1"/>
    <col min="4620" max="4620" width="82" style="180" customWidth="1"/>
    <col min="4621" max="4864" width="9.140625" style="180"/>
    <col min="4865" max="4865" width="70.28515625" style="180" customWidth="1"/>
    <col min="4866" max="4866" width="17.5703125" style="180" customWidth="1"/>
    <col min="4867" max="4867" width="70.28515625" style="180" customWidth="1"/>
    <col min="4868" max="4868" width="17.5703125" style="180" customWidth="1"/>
    <col min="4869" max="4869" width="15.28515625" style="180" customWidth="1"/>
    <col min="4870" max="4870" width="48.7109375" style="180" customWidth="1"/>
    <col min="4871" max="4871" width="24.5703125" style="180" customWidth="1"/>
    <col min="4872" max="4872" width="48.7109375" style="180" customWidth="1"/>
    <col min="4873" max="4873" width="8.140625" style="180" customWidth="1"/>
    <col min="4874" max="4874" width="38.7109375" style="180" customWidth="1"/>
    <col min="4875" max="4875" width="21.140625" style="180" customWidth="1"/>
    <col min="4876" max="4876" width="82" style="180" customWidth="1"/>
    <col min="4877" max="5120" width="9.140625" style="180"/>
    <col min="5121" max="5121" width="70.28515625" style="180" customWidth="1"/>
    <col min="5122" max="5122" width="17.5703125" style="180" customWidth="1"/>
    <col min="5123" max="5123" width="70.28515625" style="180" customWidth="1"/>
    <col min="5124" max="5124" width="17.5703125" style="180" customWidth="1"/>
    <col min="5125" max="5125" width="15.28515625" style="180" customWidth="1"/>
    <col min="5126" max="5126" width="48.7109375" style="180" customWidth="1"/>
    <col min="5127" max="5127" width="24.5703125" style="180" customWidth="1"/>
    <col min="5128" max="5128" width="48.7109375" style="180" customWidth="1"/>
    <col min="5129" max="5129" width="8.140625" style="180" customWidth="1"/>
    <col min="5130" max="5130" width="38.7109375" style="180" customWidth="1"/>
    <col min="5131" max="5131" width="21.140625" style="180" customWidth="1"/>
    <col min="5132" max="5132" width="82" style="180" customWidth="1"/>
    <col min="5133" max="5376" width="9.140625" style="180"/>
    <col min="5377" max="5377" width="70.28515625" style="180" customWidth="1"/>
    <col min="5378" max="5378" width="17.5703125" style="180" customWidth="1"/>
    <col min="5379" max="5379" width="70.28515625" style="180" customWidth="1"/>
    <col min="5380" max="5380" width="17.5703125" style="180" customWidth="1"/>
    <col min="5381" max="5381" width="15.28515625" style="180" customWidth="1"/>
    <col min="5382" max="5382" width="48.7109375" style="180" customWidth="1"/>
    <col min="5383" max="5383" width="24.5703125" style="180" customWidth="1"/>
    <col min="5384" max="5384" width="48.7109375" style="180" customWidth="1"/>
    <col min="5385" max="5385" width="8.140625" style="180" customWidth="1"/>
    <col min="5386" max="5386" width="38.7109375" style="180" customWidth="1"/>
    <col min="5387" max="5387" width="21.140625" style="180" customWidth="1"/>
    <col min="5388" max="5388" width="82" style="180" customWidth="1"/>
    <col min="5389" max="5632" width="9.140625" style="180"/>
    <col min="5633" max="5633" width="70.28515625" style="180" customWidth="1"/>
    <col min="5634" max="5634" width="17.5703125" style="180" customWidth="1"/>
    <col min="5635" max="5635" width="70.28515625" style="180" customWidth="1"/>
    <col min="5636" max="5636" width="17.5703125" style="180" customWidth="1"/>
    <col min="5637" max="5637" width="15.28515625" style="180" customWidth="1"/>
    <col min="5638" max="5638" width="48.7109375" style="180" customWidth="1"/>
    <col min="5639" max="5639" width="24.5703125" style="180" customWidth="1"/>
    <col min="5640" max="5640" width="48.7109375" style="180" customWidth="1"/>
    <col min="5641" max="5641" width="8.140625" style="180" customWidth="1"/>
    <col min="5642" max="5642" width="38.7109375" style="180" customWidth="1"/>
    <col min="5643" max="5643" width="21.140625" style="180" customWidth="1"/>
    <col min="5644" max="5644" width="82" style="180" customWidth="1"/>
    <col min="5645" max="5888" width="9.140625" style="180"/>
    <col min="5889" max="5889" width="70.28515625" style="180" customWidth="1"/>
    <col min="5890" max="5890" width="17.5703125" style="180" customWidth="1"/>
    <col min="5891" max="5891" width="70.28515625" style="180" customWidth="1"/>
    <col min="5892" max="5892" width="17.5703125" style="180" customWidth="1"/>
    <col min="5893" max="5893" width="15.28515625" style="180" customWidth="1"/>
    <col min="5894" max="5894" width="48.7109375" style="180" customWidth="1"/>
    <col min="5895" max="5895" width="24.5703125" style="180" customWidth="1"/>
    <col min="5896" max="5896" width="48.7109375" style="180" customWidth="1"/>
    <col min="5897" max="5897" width="8.140625" style="180" customWidth="1"/>
    <col min="5898" max="5898" width="38.7109375" style="180" customWidth="1"/>
    <col min="5899" max="5899" width="21.140625" style="180" customWidth="1"/>
    <col min="5900" max="5900" width="82" style="180" customWidth="1"/>
    <col min="5901" max="6144" width="9.140625" style="180"/>
    <col min="6145" max="6145" width="70.28515625" style="180" customWidth="1"/>
    <col min="6146" max="6146" width="17.5703125" style="180" customWidth="1"/>
    <col min="6147" max="6147" width="70.28515625" style="180" customWidth="1"/>
    <col min="6148" max="6148" width="17.5703125" style="180" customWidth="1"/>
    <col min="6149" max="6149" width="15.28515625" style="180" customWidth="1"/>
    <col min="6150" max="6150" width="48.7109375" style="180" customWidth="1"/>
    <col min="6151" max="6151" width="24.5703125" style="180" customWidth="1"/>
    <col min="6152" max="6152" width="48.7109375" style="180" customWidth="1"/>
    <col min="6153" max="6153" width="8.140625" style="180" customWidth="1"/>
    <col min="6154" max="6154" width="38.7109375" style="180" customWidth="1"/>
    <col min="6155" max="6155" width="21.140625" style="180" customWidth="1"/>
    <col min="6156" max="6156" width="82" style="180" customWidth="1"/>
    <col min="6157" max="6400" width="9.140625" style="180"/>
    <col min="6401" max="6401" width="70.28515625" style="180" customWidth="1"/>
    <col min="6402" max="6402" width="17.5703125" style="180" customWidth="1"/>
    <col min="6403" max="6403" width="70.28515625" style="180" customWidth="1"/>
    <col min="6404" max="6404" width="17.5703125" style="180" customWidth="1"/>
    <col min="6405" max="6405" width="15.28515625" style="180" customWidth="1"/>
    <col min="6406" max="6406" width="48.7109375" style="180" customWidth="1"/>
    <col min="6407" max="6407" width="24.5703125" style="180" customWidth="1"/>
    <col min="6408" max="6408" width="48.7109375" style="180" customWidth="1"/>
    <col min="6409" max="6409" width="8.140625" style="180" customWidth="1"/>
    <col min="6410" max="6410" width="38.7109375" style="180" customWidth="1"/>
    <col min="6411" max="6411" width="21.140625" style="180" customWidth="1"/>
    <col min="6412" max="6412" width="82" style="180" customWidth="1"/>
    <col min="6413" max="6656" width="9.140625" style="180"/>
    <col min="6657" max="6657" width="70.28515625" style="180" customWidth="1"/>
    <col min="6658" max="6658" width="17.5703125" style="180" customWidth="1"/>
    <col min="6659" max="6659" width="70.28515625" style="180" customWidth="1"/>
    <col min="6660" max="6660" width="17.5703125" style="180" customWidth="1"/>
    <col min="6661" max="6661" width="15.28515625" style="180" customWidth="1"/>
    <col min="6662" max="6662" width="48.7109375" style="180" customWidth="1"/>
    <col min="6663" max="6663" width="24.5703125" style="180" customWidth="1"/>
    <col min="6664" max="6664" width="48.7109375" style="180" customWidth="1"/>
    <col min="6665" max="6665" width="8.140625" style="180" customWidth="1"/>
    <col min="6666" max="6666" width="38.7109375" style="180" customWidth="1"/>
    <col min="6667" max="6667" width="21.140625" style="180" customWidth="1"/>
    <col min="6668" max="6668" width="82" style="180" customWidth="1"/>
    <col min="6669" max="6912" width="9.140625" style="180"/>
    <col min="6913" max="6913" width="70.28515625" style="180" customWidth="1"/>
    <col min="6914" max="6914" width="17.5703125" style="180" customWidth="1"/>
    <col min="6915" max="6915" width="70.28515625" style="180" customWidth="1"/>
    <col min="6916" max="6916" width="17.5703125" style="180" customWidth="1"/>
    <col min="6917" max="6917" width="15.28515625" style="180" customWidth="1"/>
    <col min="6918" max="6918" width="48.7109375" style="180" customWidth="1"/>
    <col min="6919" max="6919" width="24.5703125" style="180" customWidth="1"/>
    <col min="6920" max="6920" width="48.7109375" style="180" customWidth="1"/>
    <col min="6921" max="6921" width="8.140625" style="180" customWidth="1"/>
    <col min="6922" max="6922" width="38.7109375" style="180" customWidth="1"/>
    <col min="6923" max="6923" width="21.140625" style="180" customWidth="1"/>
    <col min="6924" max="6924" width="82" style="180" customWidth="1"/>
    <col min="6925" max="7168" width="9.140625" style="180"/>
    <col min="7169" max="7169" width="70.28515625" style="180" customWidth="1"/>
    <col min="7170" max="7170" width="17.5703125" style="180" customWidth="1"/>
    <col min="7171" max="7171" width="70.28515625" style="180" customWidth="1"/>
    <col min="7172" max="7172" width="17.5703125" style="180" customWidth="1"/>
    <col min="7173" max="7173" width="15.28515625" style="180" customWidth="1"/>
    <col min="7174" max="7174" width="48.7109375" style="180" customWidth="1"/>
    <col min="7175" max="7175" width="24.5703125" style="180" customWidth="1"/>
    <col min="7176" max="7176" width="48.7109375" style="180" customWidth="1"/>
    <col min="7177" max="7177" width="8.140625" style="180" customWidth="1"/>
    <col min="7178" max="7178" width="38.7109375" style="180" customWidth="1"/>
    <col min="7179" max="7179" width="21.140625" style="180" customWidth="1"/>
    <col min="7180" max="7180" width="82" style="180" customWidth="1"/>
    <col min="7181" max="7424" width="9.140625" style="180"/>
    <col min="7425" max="7425" width="70.28515625" style="180" customWidth="1"/>
    <col min="7426" max="7426" width="17.5703125" style="180" customWidth="1"/>
    <col min="7427" max="7427" width="70.28515625" style="180" customWidth="1"/>
    <col min="7428" max="7428" width="17.5703125" style="180" customWidth="1"/>
    <col min="7429" max="7429" width="15.28515625" style="180" customWidth="1"/>
    <col min="7430" max="7430" width="48.7109375" style="180" customWidth="1"/>
    <col min="7431" max="7431" width="24.5703125" style="180" customWidth="1"/>
    <col min="7432" max="7432" width="48.7109375" style="180" customWidth="1"/>
    <col min="7433" max="7433" width="8.140625" style="180" customWidth="1"/>
    <col min="7434" max="7434" width="38.7109375" style="180" customWidth="1"/>
    <col min="7435" max="7435" width="21.140625" style="180" customWidth="1"/>
    <col min="7436" max="7436" width="82" style="180" customWidth="1"/>
    <col min="7437" max="7680" width="9.140625" style="180"/>
    <col min="7681" max="7681" width="70.28515625" style="180" customWidth="1"/>
    <col min="7682" max="7682" width="17.5703125" style="180" customWidth="1"/>
    <col min="7683" max="7683" width="70.28515625" style="180" customWidth="1"/>
    <col min="7684" max="7684" width="17.5703125" style="180" customWidth="1"/>
    <col min="7685" max="7685" width="15.28515625" style="180" customWidth="1"/>
    <col min="7686" max="7686" width="48.7109375" style="180" customWidth="1"/>
    <col min="7687" max="7687" width="24.5703125" style="180" customWidth="1"/>
    <col min="7688" max="7688" width="48.7109375" style="180" customWidth="1"/>
    <col min="7689" max="7689" width="8.140625" style="180" customWidth="1"/>
    <col min="7690" max="7690" width="38.7109375" style="180" customWidth="1"/>
    <col min="7691" max="7691" width="21.140625" style="180" customWidth="1"/>
    <col min="7692" max="7692" width="82" style="180" customWidth="1"/>
    <col min="7693" max="7936" width="9.140625" style="180"/>
    <col min="7937" max="7937" width="70.28515625" style="180" customWidth="1"/>
    <col min="7938" max="7938" width="17.5703125" style="180" customWidth="1"/>
    <col min="7939" max="7939" width="70.28515625" style="180" customWidth="1"/>
    <col min="7940" max="7940" width="17.5703125" style="180" customWidth="1"/>
    <col min="7941" max="7941" width="15.28515625" style="180" customWidth="1"/>
    <col min="7942" max="7942" width="48.7109375" style="180" customWidth="1"/>
    <col min="7943" max="7943" width="24.5703125" style="180" customWidth="1"/>
    <col min="7944" max="7944" width="48.7109375" style="180" customWidth="1"/>
    <col min="7945" max="7945" width="8.140625" style="180" customWidth="1"/>
    <col min="7946" max="7946" width="38.7109375" style="180" customWidth="1"/>
    <col min="7947" max="7947" width="21.140625" style="180" customWidth="1"/>
    <col min="7948" max="7948" width="82" style="180" customWidth="1"/>
    <col min="7949" max="8192" width="9.140625" style="180"/>
    <col min="8193" max="8193" width="70.28515625" style="180" customWidth="1"/>
    <col min="8194" max="8194" width="17.5703125" style="180" customWidth="1"/>
    <col min="8195" max="8195" width="70.28515625" style="180" customWidth="1"/>
    <col min="8196" max="8196" width="17.5703125" style="180" customWidth="1"/>
    <col min="8197" max="8197" width="15.28515625" style="180" customWidth="1"/>
    <col min="8198" max="8198" width="48.7109375" style="180" customWidth="1"/>
    <col min="8199" max="8199" width="24.5703125" style="180" customWidth="1"/>
    <col min="8200" max="8200" width="48.7109375" style="180" customWidth="1"/>
    <col min="8201" max="8201" width="8.140625" style="180" customWidth="1"/>
    <col min="8202" max="8202" width="38.7109375" style="180" customWidth="1"/>
    <col min="8203" max="8203" width="21.140625" style="180" customWidth="1"/>
    <col min="8204" max="8204" width="82" style="180" customWidth="1"/>
    <col min="8205" max="8448" width="9.140625" style="180"/>
    <col min="8449" max="8449" width="70.28515625" style="180" customWidth="1"/>
    <col min="8450" max="8450" width="17.5703125" style="180" customWidth="1"/>
    <col min="8451" max="8451" width="70.28515625" style="180" customWidth="1"/>
    <col min="8452" max="8452" width="17.5703125" style="180" customWidth="1"/>
    <col min="8453" max="8453" width="15.28515625" style="180" customWidth="1"/>
    <col min="8454" max="8454" width="48.7109375" style="180" customWidth="1"/>
    <col min="8455" max="8455" width="24.5703125" style="180" customWidth="1"/>
    <col min="8456" max="8456" width="48.7109375" style="180" customWidth="1"/>
    <col min="8457" max="8457" width="8.140625" style="180" customWidth="1"/>
    <col min="8458" max="8458" width="38.7109375" style="180" customWidth="1"/>
    <col min="8459" max="8459" width="21.140625" style="180" customWidth="1"/>
    <col min="8460" max="8460" width="82" style="180" customWidth="1"/>
    <col min="8461" max="8704" width="9.140625" style="180"/>
    <col min="8705" max="8705" width="70.28515625" style="180" customWidth="1"/>
    <col min="8706" max="8706" width="17.5703125" style="180" customWidth="1"/>
    <col min="8707" max="8707" width="70.28515625" style="180" customWidth="1"/>
    <col min="8708" max="8708" width="17.5703125" style="180" customWidth="1"/>
    <col min="8709" max="8709" width="15.28515625" style="180" customWidth="1"/>
    <col min="8710" max="8710" width="48.7109375" style="180" customWidth="1"/>
    <col min="8711" max="8711" width="24.5703125" style="180" customWidth="1"/>
    <col min="8712" max="8712" width="48.7109375" style="180" customWidth="1"/>
    <col min="8713" max="8713" width="8.140625" style="180" customWidth="1"/>
    <col min="8714" max="8714" width="38.7109375" style="180" customWidth="1"/>
    <col min="8715" max="8715" width="21.140625" style="180" customWidth="1"/>
    <col min="8716" max="8716" width="82" style="180" customWidth="1"/>
    <col min="8717" max="8960" width="9.140625" style="180"/>
    <col min="8961" max="8961" width="70.28515625" style="180" customWidth="1"/>
    <col min="8962" max="8962" width="17.5703125" style="180" customWidth="1"/>
    <col min="8963" max="8963" width="70.28515625" style="180" customWidth="1"/>
    <col min="8964" max="8964" width="17.5703125" style="180" customWidth="1"/>
    <col min="8965" max="8965" width="15.28515625" style="180" customWidth="1"/>
    <col min="8966" max="8966" width="48.7109375" style="180" customWidth="1"/>
    <col min="8967" max="8967" width="24.5703125" style="180" customWidth="1"/>
    <col min="8968" max="8968" width="48.7109375" style="180" customWidth="1"/>
    <col min="8969" max="8969" width="8.140625" style="180" customWidth="1"/>
    <col min="8970" max="8970" width="38.7109375" style="180" customWidth="1"/>
    <col min="8971" max="8971" width="21.140625" style="180" customWidth="1"/>
    <col min="8972" max="8972" width="82" style="180" customWidth="1"/>
    <col min="8973" max="9216" width="9.140625" style="180"/>
    <col min="9217" max="9217" width="70.28515625" style="180" customWidth="1"/>
    <col min="9218" max="9218" width="17.5703125" style="180" customWidth="1"/>
    <col min="9219" max="9219" width="70.28515625" style="180" customWidth="1"/>
    <col min="9220" max="9220" width="17.5703125" style="180" customWidth="1"/>
    <col min="9221" max="9221" width="15.28515625" style="180" customWidth="1"/>
    <col min="9222" max="9222" width="48.7109375" style="180" customWidth="1"/>
    <col min="9223" max="9223" width="24.5703125" style="180" customWidth="1"/>
    <col min="9224" max="9224" width="48.7109375" style="180" customWidth="1"/>
    <col min="9225" max="9225" width="8.140625" style="180" customWidth="1"/>
    <col min="9226" max="9226" width="38.7109375" style="180" customWidth="1"/>
    <col min="9227" max="9227" width="21.140625" style="180" customWidth="1"/>
    <col min="9228" max="9228" width="82" style="180" customWidth="1"/>
    <col min="9229" max="9472" width="9.140625" style="180"/>
    <col min="9473" max="9473" width="70.28515625" style="180" customWidth="1"/>
    <col min="9474" max="9474" width="17.5703125" style="180" customWidth="1"/>
    <col min="9475" max="9475" width="70.28515625" style="180" customWidth="1"/>
    <col min="9476" max="9476" width="17.5703125" style="180" customWidth="1"/>
    <col min="9477" max="9477" width="15.28515625" style="180" customWidth="1"/>
    <col min="9478" max="9478" width="48.7109375" style="180" customWidth="1"/>
    <col min="9479" max="9479" width="24.5703125" style="180" customWidth="1"/>
    <col min="9480" max="9480" width="48.7109375" style="180" customWidth="1"/>
    <col min="9481" max="9481" width="8.140625" style="180" customWidth="1"/>
    <col min="9482" max="9482" width="38.7109375" style="180" customWidth="1"/>
    <col min="9483" max="9483" width="21.140625" style="180" customWidth="1"/>
    <col min="9484" max="9484" width="82" style="180" customWidth="1"/>
    <col min="9485" max="9728" width="9.140625" style="180"/>
    <col min="9729" max="9729" width="70.28515625" style="180" customWidth="1"/>
    <col min="9730" max="9730" width="17.5703125" style="180" customWidth="1"/>
    <col min="9731" max="9731" width="70.28515625" style="180" customWidth="1"/>
    <col min="9732" max="9732" width="17.5703125" style="180" customWidth="1"/>
    <col min="9733" max="9733" width="15.28515625" style="180" customWidth="1"/>
    <col min="9734" max="9734" width="48.7109375" style="180" customWidth="1"/>
    <col min="9735" max="9735" width="24.5703125" style="180" customWidth="1"/>
    <col min="9736" max="9736" width="48.7109375" style="180" customWidth="1"/>
    <col min="9737" max="9737" width="8.140625" style="180" customWidth="1"/>
    <col min="9738" max="9738" width="38.7109375" style="180" customWidth="1"/>
    <col min="9739" max="9739" width="21.140625" style="180" customWidth="1"/>
    <col min="9740" max="9740" width="82" style="180" customWidth="1"/>
    <col min="9741" max="9984" width="9.140625" style="180"/>
    <col min="9985" max="9985" width="70.28515625" style="180" customWidth="1"/>
    <col min="9986" max="9986" width="17.5703125" style="180" customWidth="1"/>
    <col min="9987" max="9987" width="70.28515625" style="180" customWidth="1"/>
    <col min="9988" max="9988" width="17.5703125" style="180" customWidth="1"/>
    <col min="9989" max="9989" width="15.28515625" style="180" customWidth="1"/>
    <col min="9990" max="9990" width="48.7109375" style="180" customWidth="1"/>
    <col min="9991" max="9991" width="24.5703125" style="180" customWidth="1"/>
    <col min="9992" max="9992" width="48.7109375" style="180" customWidth="1"/>
    <col min="9993" max="9993" width="8.140625" style="180" customWidth="1"/>
    <col min="9994" max="9994" width="38.7109375" style="180" customWidth="1"/>
    <col min="9995" max="9995" width="21.140625" style="180" customWidth="1"/>
    <col min="9996" max="9996" width="82" style="180" customWidth="1"/>
    <col min="9997" max="10240" width="9.140625" style="180"/>
    <col min="10241" max="10241" width="70.28515625" style="180" customWidth="1"/>
    <col min="10242" max="10242" width="17.5703125" style="180" customWidth="1"/>
    <col min="10243" max="10243" width="70.28515625" style="180" customWidth="1"/>
    <col min="10244" max="10244" width="17.5703125" style="180" customWidth="1"/>
    <col min="10245" max="10245" width="15.28515625" style="180" customWidth="1"/>
    <col min="10246" max="10246" width="48.7109375" style="180" customWidth="1"/>
    <col min="10247" max="10247" width="24.5703125" style="180" customWidth="1"/>
    <col min="10248" max="10248" width="48.7109375" style="180" customWidth="1"/>
    <col min="10249" max="10249" width="8.140625" style="180" customWidth="1"/>
    <col min="10250" max="10250" width="38.7109375" style="180" customWidth="1"/>
    <col min="10251" max="10251" width="21.140625" style="180" customWidth="1"/>
    <col min="10252" max="10252" width="82" style="180" customWidth="1"/>
    <col min="10253" max="10496" width="9.140625" style="180"/>
    <col min="10497" max="10497" width="70.28515625" style="180" customWidth="1"/>
    <col min="10498" max="10498" width="17.5703125" style="180" customWidth="1"/>
    <col min="10499" max="10499" width="70.28515625" style="180" customWidth="1"/>
    <col min="10500" max="10500" width="17.5703125" style="180" customWidth="1"/>
    <col min="10501" max="10501" width="15.28515625" style="180" customWidth="1"/>
    <col min="10502" max="10502" width="48.7109375" style="180" customWidth="1"/>
    <col min="10503" max="10503" width="24.5703125" style="180" customWidth="1"/>
    <col min="10504" max="10504" width="48.7109375" style="180" customWidth="1"/>
    <col min="10505" max="10505" width="8.140625" style="180" customWidth="1"/>
    <col min="10506" max="10506" width="38.7109375" style="180" customWidth="1"/>
    <col min="10507" max="10507" width="21.140625" style="180" customWidth="1"/>
    <col min="10508" max="10508" width="82" style="180" customWidth="1"/>
    <col min="10509" max="10752" width="9.140625" style="180"/>
    <col min="10753" max="10753" width="70.28515625" style="180" customWidth="1"/>
    <col min="10754" max="10754" width="17.5703125" style="180" customWidth="1"/>
    <col min="10755" max="10755" width="70.28515625" style="180" customWidth="1"/>
    <col min="10756" max="10756" width="17.5703125" style="180" customWidth="1"/>
    <col min="10757" max="10757" width="15.28515625" style="180" customWidth="1"/>
    <col min="10758" max="10758" width="48.7109375" style="180" customWidth="1"/>
    <col min="10759" max="10759" width="24.5703125" style="180" customWidth="1"/>
    <col min="10760" max="10760" width="48.7109375" style="180" customWidth="1"/>
    <col min="10761" max="10761" width="8.140625" style="180" customWidth="1"/>
    <col min="10762" max="10762" width="38.7109375" style="180" customWidth="1"/>
    <col min="10763" max="10763" width="21.140625" style="180" customWidth="1"/>
    <col min="10764" max="10764" width="82" style="180" customWidth="1"/>
    <col min="10765" max="11008" width="9.140625" style="180"/>
    <col min="11009" max="11009" width="70.28515625" style="180" customWidth="1"/>
    <col min="11010" max="11010" width="17.5703125" style="180" customWidth="1"/>
    <col min="11011" max="11011" width="70.28515625" style="180" customWidth="1"/>
    <col min="11012" max="11012" width="17.5703125" style="180" customWidth="1"/>
    <col min="11013" max="11013" width="15.28515625" style="180" customWidth="1"/>
    <col min="11014" max="11014" width="48.7109375" style="180" customWidth="1"/>
    <col min="11015" max="11015" width="24.5703125" style="180" customWidth="1"/>
    <col min="11016" max="11016" width="48.7109375" style="180" customWidth="1"/>
    <col min="11017" max="11017" width="8.140625" style="180" customWidth="1"/>
    <col min="11018" max="11018" width="38.7109375" style="180" customWidth="1"/>
    <col min="11019" max="11019" width="21.140625" style="180" customWidth="1"/>
    <col min="11020" max="11020" width="82" style="180" customWidth="1"/>
    <col min="11021" max="11264" width="9.140625" style="180"/>
    <col min="11265" max="11265" width="70.28515625" style="180" customWidth="1"/>
    <col min="11266" max="11266" width="17.5703125" style="180" customWidth="1"/>
    <col min="11267" max="11267" width="70.28515625" style="180" customWidth="1"/>
    <col min="11268" max="11268" width="17.5703125" style="180" customWidth="1"/>
    <col min="11269" max="11269" width="15.28515625" style="180" customWidth="1"/>
    <col min="11270" max="11270" width="48.7109375" style="180" customWidth="1"/>
    <col min="11271" max="11271" width="24.5703125" style="180" customWidth="1"/>
    <col min="11272" max="11272" width="48.7109375" style="180" customWidth="1"/>
    <col min="11273" max="11273" width="8.140625" style="180" customWidth="1"/>
    <col min="11274" max="11274" width="38.7109375" style="180" customWidth="1"/>
    <col min="11275" max="11275" width="21.140625" style="180" customWidth="1"/>
    <col min="11276" max="11276" width="82" style="180" customWidth="1"/>
    <col min="11277" max="11520" width="9.140625" style="180"/>
    <col min="11521" max="11521" width="70.28515625" style="180" customWidth="1"/>
    <col min="11522" max="11522" width="17.5703125" style="180" customWidth="1"/>
    <col min="11523" max="11523" width="70.28515625" style="180" customWidth="1"/>
    <col min="11524" max="11524" width="17.5703125" style="180" customWidth="1"/>
    <col min="11525" max="11525" width="15.28515625" style="180" customWidth="1"/>
    <col min="11526" max="11526" width="48.7109375" style="180" customWidth="1"/>
    <col min="11527" max="11527" width="24.5703125" style="180" customWidth="1"/>
    <col min="11528" max="11528" width="48.7109375" style="180" customWidth="1"/>
    <col min="11529" max="11529" width="8.140625" style="180" customWidth="1"/>
    <col min="11530" max="11530" width="38.7109375" style="180" customWidth="1"/>
    <col min="11531" max="11531" width="21.140625" style="180" customWidth="1"/>
    <col min="11532" max="11532" width="82" style="180" customWidth="1"/>
    <col min="11533" max="11776" width="9.140625" style="180"/>
    <col min="11777" max="11777" width="70.28515625" style="180" customWidth="1"/>
    <col min="11778" max="11778" width="17.5703125" style="180" customWidth="1"/>
    <col min="11779" max="11779" width="70.28515625" style="180" customWidth="1"/>
    <col min="11780" max="11780" width="17.5703125" style="180" customWidth="1"/>
    <col min="11781" max="11781" width="15.28515625" style="180" customWidth="1"/>
    <col min="11782" max="11782" width="48.7109375" style="180" customWidth="1"/>
    <col min="11783" max="11783" width="24.5703125" style="180" customWidth="1"/>
    <col min="11784" max="11784" width="48.7109375" style="180" customWidth="1"/>
    <col min="11785" max="11785" width="8.140625" style="180" customWidth="1"/>
    <col min="11786" max="11786" width="38.7109375" style="180" customWidth="1"/>
    <col min="11787" max="11787" width="21.140625" style="180" customWidth="1"/>
    <col min="11788" max="11788" width="82" style="180" customWidth="1"/>
    <col min="11789" max="12032" width="9.140625" style="180"/>
    <col min="12033" max="12033" width="70.28515625" style="180" customWidth="1"/>
    <col min="12034" max="12034" width="17.5703125" style="180" customWidth="1"/>
    <col min="12035" max="12035" width="70.28515625" style="180" customWidth="1"/>
    <col min="12036" max="12036" width="17.5703125" style="180" customWidth="1"/>
    <col min="12037" max="12037" width="15.28515625" style="180" customWidth="1"/>
    <col min="12038" max="12038" width="48.7109375" style="180" customWidth="1"/>
    <col min="12039" max="12039" width="24.5703125" style="180" customWidth="1"/>
    <col min="12040" max="12040" width="48.7109375" style="180" customWidth="1"/>
    <col min="12041" max="12041" width="8.140625" style="180" customWidth="1"/>
    <col min="12042" max="12042" width="38.7109375" style="180" customWidth="1"/>
    <col min="12043" max="12043" width="21.140625" style="180" customWidth="1"/>
    <col min="12044" max="12044" width="82" style="180" customWidth="1"/>
    <col min="12045" max="12288" width="9.140625" style="180"/>
    <col min="12289" max="12289" width="70.28515625" style="180" customWidth="1"/>
    <col min="12290" max="12290" width="17.5703125" style="180" customWidth="1"/>
    <col min="12291" max="12291" width="70.28515625" style="180" customWidth="1"/>
    <col min="12292" max="12292" width="17.5703125" style="180" customWidth="1"/>
    <col min="12293" max="12293" width="15.28515625" style="180" customWidth="1"/>
    <col min="12294" max="12294" width="48.7109375" style="180" customWidth="1"/>
    <col min="12295" max="12295" width="24.5703125" style="180" customWidth="1"/>
    <col min="12296" max="12296" width="48.7109375" style="180" customWidth="1"/>
    <col min="12297" max="12297" width="8.140625" style="180" customWidth="1"/>
    <col min="12298" max="12298" width="38.7109375" style="180" customWidth="1"/>
    <col min="12299" max="12299" width="21.140625" style="180" customWidth="1"/>
    <col min="12300" max="12300" width="82" style="180" customWidth="1"/>
    <col min="12301" max="12544" width="9.140625" style="180"/>
    <col min="12545" max="12545" width="70.28515625" style="180" customWidth="1"/>
    <col min="12546" max="12546" width="17.5703125" style="180" customWidth="1"/>
    <col min="12547" max="12547" width="70.28515625" style="180" customWidth="1"/>
    <col min="12548" max="12548" width="17.5703125" style="180" customWidth="1"/>
    <col min="12549" max="12549" width="15.28515625" style="180" customWidth="1"/>
    <col min="12550" max="12550" width="48.7109375" style="180" customWidth="1"/>
    <col min="12551" max="12551" width="24.5703125" style="180" customWidth="1"/>
    <col min="12552" max="12552" width="48.7109375" style="180" customWidth="1"/>
    <col min="12553" max="12553" width="8.140625" style="180" customWidth="1"/>
    <col min="12554" max="12554" width="38.7109375" style="180" customWidth="1"/>
    <col min="12555" max="12555" width="21.140625" style="180" customWidth="1"/>
    <col min="12556" max="12556" width="82" style="180" customWidth="1"/>
    <col min="12557" max="12800" width="9.140625" style="180"/>
    <col min="12801" max="12801" width="70.28515625" style="180" customWidth="1"/>
    <col min="12802" max="12802" width="17.5703125" style="180" customWidth="1"/>
    <col min="12803" max="12803" width="70.28515625" style="180" customWidth="1"/>
    <col min="12804" max="12804" width="17.5703125" style="180" customWidth="1"/>
    <col min="12805" max="12805" width="15.28515625" style="180" customWidth="1"/>
    <col min="12806" max="12806" width="48.7109375" style="180" customWidth="1"/>
    <col min="12807" max="12807" width="24.5703125" style="180" customWidth="1"/>
    <col min="12808" max="12808" width="48.7109375" style="180" customWidth="1"/>
    <col min="12809" max="12809" width="8.140625" style="180" customWidth="1"/>
    <col min="12810" max="12810" width="38.7109375" style="180" customWidth="1"/>
    <col min="12811" max="12811" width="21.140625" style="180" customWidth="1"/>
    <col min="12812" max="12812" width="82" style="180" customWidth="1"/>
    <col min="12813" max="13056" width="9.140625" style="180"/>
    <col min="13057" max="13057" width="70.28515625" style="180" customWidth="1"/>
    <col min="13058" max="13058" width="17.5703125" style="180" customWidth="1"/>
    <col min="13059" max="13059" width="70.28515625" style="180" customWidth="1"/>
    <col min="13060" max="13060" width="17.5703125" style="180" customWidth="1"/>
    <col min="13061" max="13061" width="15.28515625" style="180" customWidth="1"/>
    <col min="13062" max="13062" width="48.7109375" style="180" customWidth="1"/>
    <col min="13063" max="13063" width="24.5703125" style="180" customWidth="1"/>
    <col min="13064" max="13064" width="48.7109375" style="180" customWidth="1"/>
    <col min="13065" max="13065" width="8.140625" style="180" customWidth="1"/>
    <col min="13066" max="13066" width="38.7109375" style="180" customWidth="1"/>
    <col min="13067" max="13067" width="21.140625" style="180" customWidth="1"/>
    <col min="13068" max="13068" width="82" style="180" customWidth="1"/>
    <col min="13069" max="13312" width="9.140625" style="180"/>
    <col min="13313" max="13313" width="70.28515625" style="180" customWidth="1"/>
    <col min="13314" max="13314" width="17.5703125" style="180" customWidth="1"/>
    <col min="13315" max="13315" width="70.28515625" style="180" customWidth="1"/>
    <col min="13316" max="13316" width="17.5703125" style="180" customWidth="1"/>
    <col min="13317" max="13317" width="15.28515625" style="180" customWidth="1"/>
    <col min="13318" max="13318" width="48.7109375" style="180" customWidth="1"/>
    <col min="13319" max="13319" width="24.5703125" style="180" customWidth="1"/>
    <col min="13320" max="13320" width="48.7109375" style="180" customWidth="1"/>
    <col min="13321" max="13321" width="8.140625" style="180" customWidth="1"/>
    <col min="13322" max="13322" width="38.7109375" style="180" customWidth="1"/>
    <col min="13323" max="13323" width="21.140625" style="180" customWidth="1"/>
    <col min="13324" max="13324" width="82" style="180" customWidth="1"/>
    <col min="13325" max="13568" width="9.140625" style="180"/>
    <col min="13569" max="13569" width="70.28515625" style="180" customWidth="1"/>
    <col min="13570" max="13570" width="17.5703125" style="180" customWidth="1"/>
    <col min="13571" max="13571" width="70.28515625" style="180" customWidth="1"/>
    <col min="13572" max="13572" width="17.5703125" style="180" customWidth="1"/>
    <col min="13573" max="13573" width="15.28515625" style="180" customWidth="1"/>
    <col min="13574" max="13574" width="48.7109375" style="180" customWidth="1"/>
    <col min="13575" max="13575" width="24.5703125" style="180" customWidth="1"/>
    <col min="13576" max="13576" width="48.7109375" style="180" customWidth="1"/>
    <col min="13577" max="13577" width="8.140625" style="180" customWidth="1"/>
    <col min="13578" max="13578" width="38.7109375" style="180" customWidth="1"/>
    <col min="13579" max="13579" width="21.140625" style="180" customWidth="1"/>
    <col min="13580" max="13580" width="82" style="180" customWidth="1"/>
    <col min="13581" max="13824" width="9.140625" style="180"/>
    <col min="13825" max="13825" width="70.28515625" style="180" customWidth="1"/>
    <col min="13826" max="13826" width="17.5703125" style="180" customWidth="1"/>
    <col min="13827" max="13827" width="70.28515625" style="180" customWidth="1"/>
    <col min="13828" max="13828" width="17.5703125" style="180" customWidth="1"/>
    <col min="13829" max="13829" width="15.28515625" style="180" customWidth="1"/>
    <col min="13830" max="13830" width="48.7109375" style="180" customWidth="1"/>
    <col min="13831" max="13831" width="24.5703125" style="180" customWidth="1"/>
    <col min="13832" max="13832" width="48.7109375" style="180" customWidth="1"/>
    <col min="13833" max="13833" width="8.140625" style="180" customWidth="1"/>
    <col min="13834" max="13834" width="38.7109375" style="180" customWidth="1"/>
    <col min="13835" max="13835" width="21.140625" style="180" customWidth="1"/>
    <col min="13836" max="13836" width="82" style="180" customWidth="1"/>
    <col min="13837" max="14080" width="9.140625" style="180"/>
    <col min="14081" max="14081" width="70.28515625" style="180" customWidth="1"/>
    <col min="14082" max="14082" width="17.5703125" style="180" customWidth="1"/>
    <col min="14083" max="14083" width="70.28515625" style="180" customWidth="1"/>
    <col min="14084" max="14084" width="17.5703125" style="180" customWidth="1"/>
    <col min="14085" max="14085" width="15.28515625" style="180" customWidth="1"/>
    <col min="14086" max="14086" width="48.7109375" style="180" customWidth="1"/>
    <col min="14087" max="14087" width="24.5703125" style="180" customWidth="1"/>
    <col min="14088" max="14088" width="48.7109375" style="180" customWidth="1"/>
    <col min="14089" max="14089" width="8.140625" style="180" customWidth="1"/>
    <col min="14090" max="14090" width="38.7109375" style="180" customWidth="1"/>
    <col min="14091" max="14091" width="21.140625" style="180" customWidth="1"/>
    <col min="14092" max="14092" width="82" style="180" customWidth="1"/>
    <col min="14093" max="14336" width="9.140625" style="180"/>
    <col min="14337" max="14337" width="70.28515625" style="180" customWidth="1"/>
    <col min="14338" max="14338" width="17.5703125" style="180" customWidth="1"/>
    <col min="14339" max="14339" width="70.28515625" style="180" customWidth="1"/>
    <col min="14340" max="14340" width="17.5703125" style="180" customWidth="1"/>
    <col min="14341" max="14341" width="15.28515625" style="180" customWidth="1"/>
    <col min="14342" max="14342" width="48.7109375" style="180" customWidth="1"/>
    <col min="14343" max="14343" width="24.5703125" style="180" customWidth="1"/>
    <col min="14344" max="14344" width="48.7109375" style="180" customWidth="1"/>
    <col min="14345" max="14345" width="8.140625" style="180" customWidth="1"/>
    <col min="14346" max="14346" width="38.7109375" style="180" customWidth="1"/>
    <col min="14347" max="14347" width="21.140625" style="180" customWidth="1"/>
    <col min="14348" max="14348" width="82" style="180" customWidth="1"/>
    <col min="14349" max="14592" width="9.140625" style="180"/>
    <col min="14593" max="14593" width="70.28515625" style="180" customWidth="1"/>
    <col min="14594" max="14594" width="17.5703125" style="180" customWidth="1"/>
    <col min="14595" max="14595" width="70.28515625" style="180" customWidth="1"/>
    <col min="14596" max="14596" width="17.5703125" style="180" customWidth="1"/>
    <col min="14597" max="14597" width="15.28515625" style="180" customWidth="1"/>
    <col min="14598" max="14598" width="48.7109375" style="180" customWidth="1"/>
    <col min="14599" max="14599" width="24.5703125" style="180" customWidth="1"/>
    <col min="14600" max="14600" width="48.7109375" style="180" customWidth="1"/>
    <col min="14601" max="14601" width="8.140625" style="180" customWidth="1"/>
    <col min="14602" max="14602" width="38.7109375" style="180" customWidth="1"/>
    <col min="14603" max="14603" width="21.140625" style="180" customWidth="1"/>
    <col min="14604" max="14604" width="82" style="180" customWidth="1"/>
    <col min="14605" max="14848" width="9.140625" style="180"/>
    <col min="14849" max="14849" width="70.28515625" style="180" customWidth="1"/>
    <col min="14850" max="14850" width="17.5703125" style="180" customWidth="1"/>
    <col min="14851" max="14851" width="70.28515625" style="180" customWidth="1"/>
    <col min="14852" max="14852" width="17.5703125" style="180" customWidth="1"/>
    <col min="14853" max="14853" width="15.28515625" style="180" customWidth="1"/>
    <col min="14854" max="14854" width="48.7109375" style="180" customWidth="1"/>
    <col min="14855" max="14855" width="24.5703125" style="180" customWidth="1"/>
    <col min="14856" max="14856" width="48.7109375" style="180" customWidth="1"/>
    <col min="14857" max="14857" width="8.140625" style="180" customWidth="1"/>
    <col min="14858" max="14858" width="38.7109375" style="180" customWidth="1"/>
    <col min="14859" max="14859" width="21.140625" style="180" customWidth="1"/>
    <col min="14860" max="14860" width="82" style="180" customWidth="1"/>
    <col min="14861" max="15104" width="9.140625" style="180"/>
    <col min="15105" max="15105" width="70.28515625" style="180" customWidth="1"/>
    <col min="15106" max="15106" width="17.5703125" style="180" customWidth="1"/>
    <col min="15107" max="15107" width="70.28515625" style="180" customWidth="1"/>
    <col min="15108" max="15108" width="17.5703125" style="180" customWidth="1"/>
    <col min="15109" max="15109" width="15.28515625" style="180" customWidth="1"/>
    <col min="15110" max="15110" width="48.7109375" style="180" customWidth="1"/>
    <col min="15111" max="15111" width="24.5703125" style="180" customWidth="1"/>
    <col min="15112" max="15112" width="48.7109375" style="180" customWidth="1"/>
    <col min="15113" max="15113" width="8.140625" style="180" customWidth="1"/>
    <col min="15114" max="15114" width="38.7109375" style="180" customWidth="1"/>
    <col min="15115" max="15115" width="21.140625" style="180" customWidth="1"/>
    <col min="15116" max="15116" width="82" style="180" customWidth="1"/>
    <col min="15117" max="15360" width="9.140625" style="180"/>
    <col min="15361" max="15361" width="70.28515625" style="180" customWidth="1"/>
    <col min="15362" max="15362" width="17.5703125" style="180" customWidth="1"/>
    <col min="15363" max="15363" width="70.28515625" style="180" customWidth="1"/>
    <col min="15364" max="15364" width="17.5703125" style="180" customWidth="1"/>
    <col min="15365" max="15365" width="15.28515625" style="180" customWidth="1"/>
    <col min="15366" max="15366" width="48.7109375" style="180" customWidth="1"/>
    <col min="15367" max="15367" width="24.5703125" style="180" customWidth="1"/>
    <col min="15368" max="15368" width="48.7109375" style="180" customWidth="1"/>
    <col min="15369" max="15369" width="8.140625" style="180" customWidth="1"/>
    <col min="15370" max="15370" width="38.7109375" style="180" customWidth="1"/>
    <col min="15371" max="15371" width="21.140625" style="180" customWidth="1"/>
    <col min="15372" max="15372" width="82" style="180" customWidth="1"/>
    <col min="15373" max="15616" width="9.140625" style="180"/>
    <col min="15617" max="15617" width="70.28515625" style="180" customWidth="1"/>
    <col min="15618" max="15618" width="17.5703125" style="180" customWidth="1"/>
    <col min="15619" max="15619" width="70.28515625" style="180" customWidth="1"/>
    <col min="15620" max="15620" width="17.5703125" style="180" customWidth="1"/>
    <col min="15621" max="15621" width="15.28515625" style="180" customWidth="1"/>
    <col min="15622" max="15622" width="48.7109375" style="180" customWidth="1"/>
    <col min="15623" max="15623" width="24.5703125" style="180" customWidth="1"/>
    <col min="15624" max="15624" width="48.7109375" style="180" customWidth="1"/>
    <col min="15625" max="15625" width="8.140625" style="180" customWidth="1"/>
    <col min="15626" max="15626" width="38.7109375" style="180" customWidth="1"/>
    <col min="15627" max="15627" width="21.140625" style="180" customWidth="1"/>
    <col min="15628" max="15628" width="82" style="180" customWidth="1"/>
    <col min="15629" max="15872" width="9.140625" style="180"/>
    <col min="15873" max="15873" width="70.28515625" style="180" customWidth="1"/>
    <col min="15874" max="15874" width="17.5703125" style="180" customWidth="1"/>
    <col min="15875" max="15875" width="70.28515625" style="180" customWidth="1"/>
    <col min="15876" max="15876" width="17.5703125" style="180" customWidth="1"/>
    <col min="15877" max="15877" width="15.28515625" style="180" customWidth="1"/>
    <col min="15878" max="15878" width="48.7109375" style="180" customWidth="1"/>
    <col min="15879" max="15879" width="24.5703125" style="180" customWidth="1"/>
    <col min="15880" max="15880" width="48.7109375" style="180" customWidth="1"/>
    <col min="15881" max="15881" width="8.140625" style="180" customWidth="1"/>
    <col min="15882" max="15882" width="38.7109375" style="180" customWidth="1"/>
    <col min="15883" max="15883" width="21.140625" style="180" customWidth="1"/>
    <col min="15884" max="15884" width="82" style="180" customWidth="1"/>
    <col min="15885" max="16128" width="9.140625" style="180"/>
    <col min="16129" max="16129" width="70.28515625" style="180" customWidth="1"/>
    <col min="16130" max="16130" width="17.5703125" style="180" customWidth="1"/>
    <col min="16131" max="16131" width="70.28515625" style="180" customWidth="1"/>
    <col min="16132" max="16132" width="17.5703125" style="180" customWidth="1"/>
    <col min="16133" max="16133" width="15.28515625" style="180" customWidth="1"/>
    <col min="16134" max="16134" width="48.7109375" style="180" customWidth="1"/>
    <col min="16135" max="16135" width="24.5703125" style="180" customWidth="1"/>
    <col min="16136" max="16136" width="48.7109375" style="180" customWidth="1"/>
    <col min="16137" max="16137" width="8.140625" style="180" customWidth="1"/>
    <col min="16138" max="16138" width="38.7109375" style="180" customWidth="1"/>
    <col min="16139" max="16139" width="21.140625" style="180" customWidth="1"/>
    <col min="16140" max="16140" width="82" style="180" customWidth="1"/>
    <col min="16141" max="16384" width="9.140625" style="180"/>
  </cols>
  <sheetData>
    <row r="1" spans="1:13" ht="13.5">
      <c r="A1" s="758" t="s">
        <v>14982</v>
      </c>
      <c r="B1" s="759"/>
      <c r="C1" s="759"/>
      <c r="D1" s="759"/>
      <c r="E1" s="759"/>
      <c r="F1" s="759"/>
      <c r="G1" s="759"/>
      <c r="H1" s="759"/>
      <c r="I1" s="759"/>
      <c r="J1" s="759"/>
      <c r="K1" s="759"/>
      <c r="L1" s="759"/>
      <c r="M1" s="759"/>
    </row>
    <row r="2" spans="1:13" ht="13.5">
      <c r="A2" s="758" t="s">
        <v>7445</v>
      </c>
      <c r="B2" s="759"/>
      <c r="C2" s="759"/>
      <c r="D2" s="759"/>
      <c r="E2" s="759"/>
      <c r="F2" s="759"/>
      <c r="G2" s="759"/>
      <c r="H2" s="759"/>
      <c r="I2" s="759"/>
      <c r="J2" s="759"/>
      <c r="K2" s="759"/>
      <c r="L2" s="759"/>
      <c r="M2" s="759"/>
    </row>
    <row r="3" spans="1:13" ht="13.5">
      <c r="A3" s="758" t="s">
        <v>14983</v>
      </c>
      <c r="B3" s="759"/>
      <c r="C3" s="759"/>
      <c r="D3" s="759"/>
      <c r="E3" s="759"/>
      <c r="F3" s="759"/>
      <c r="G3" s="759"/>
      <c r="H3" s="759"/>
      <c r="I3" s="759"/>
      <c r="J3" s="759"/>
      <c r="K3" s="759"/>
      <c r="L3" s="759"/>
      <c r="M3" s="759"/>
    </row>
    <row r="4" spans="1:13">
      <c r="A4" s="194"/>
      <c r="B4" s="194"/>
      <c r="C4" s="194"/>
      <c r="D4" s="194"/>
      <c r="E4" s="194"/>
      <c r="F4" s="194"/>
      <c r="G4" s="195"/>
      <c r="H4" s="194"/>
      <c r="I4" s="194"/>
      <c r="J4" s="194"/>
      <c r="K4" s="196"/>
      <c r="L4" s="194"/>
      <c r="M4" s="473"/>
    </row>
    <row r="5" spans="1:13" ht="13.5">
      <c r="A5" s="475" t="s">
        <v>5257</v>
      </c>
      <c r="B5" s="475" t="s">
        <v>5258</v>
      </c>
      <c r="C5" s="475" t="s">
        <v>5259</v>
      </c>
      <c r="D5" s="475" t="s">
        <v>5260</v>
      </c>
      <c r="E5" s="475" t="s">
        <v>5261</v>
      </c>
      <c r="F5" s="475" t="s">
        <v>5262</v>
      </c>
      <c r="G5" s="475" t="s">
        <v>135</v>
      </c>
      <c r="H5" s="475" t="s">
        <v>136</v>
      </c>
      <c r="I5" s="475" t="s">
        <v>31</v>
      </c>
      <c r="J5" s="475" t="s">
        <v>137</v>
      </c>
      <c r="K5" s="475" t="s">
        <v>126</v>
      </c>
      <c r="L5" s="475" t="s">
        <v>138</v>
      </c>
      <c r="M5" s="474"/>
    </row>
    <row r="6" spans="1:13">
      <c r="A6" s="194"/>
      <c r="B6" s="194"/>
      <c r="C6" s="194"/>
      <c r="D6" s="194"/>
      <c r="E6" s="194"/>
      <c r="F6" s="194"/>
      <c r="G6" s="195"/>
      <c r="H6" s="194"/>
      <c r="I6" s="194"/>
      <c r="J6" s="194"/>
      <c r="K6" s="196"/>
      <c r="L6" s="194"/>
      <c r="M6" s="473"/>
    </row>
    <row r="7" spans="1:13" ht="13.5">
      <c r="A7" s="475" t="s">
        <v>5263</v>
      </c>
      <c r="B7" s="475" t="s">
        <v>5264</v>
      </c>
      <c r="C7" s="475" t="s">
        <v>5265</v>
      </c>
      <c r="D7" s="475" t="s">
        <v>5266</v>
      </c>
      <c r="E7" s="476" t="s">
        <v>34</v>
      </c>
      <c r="F7" s="475" t="s">
        <v>34</v>
      </c>
      <c r="G7" s="364">
        <v>97141</v>
      </c>
      <c r="H7" s="475" t="s">
        <v>5815</v>
      </c>
      <c r="I7" s="475" t="s">
        <v>139</v>
      </c>
      <c r="J7" s="475" t="s">
        <v>140</v>
      </c>
      <c r="K7" s="365">
        <v>5.4</v>
      </c>
      <c r="L7" s="475" t="s">
        <v>141</v>
      </c>
      <c r="M7" s="474"/>
    </row>
    <row r="8" spans="1:13" ht="13.5">
      <c r="A8" s="475" t="s">
        <v>5263</v>
      </c>
      <c r="B8" s="475" t="s">
        <v>5264</v>
      </c>
      <c r="C8" s="475" t="s">
        <v>5265</v>
      </c>
      <c r="D8" s="475" t="s">
        <v>5266</v>
      </c>
      <c r="E8" s="476" t="s">
        <v>34</v>
      </c>
      <c r="F8" s="475" t="s">
        <v>34</v>
      </c>
      <c r="G8" s="364">
        <v>97142</v>
      </c>
      <c r="H8" s="475" t="s">
        <v>5816</v>
      </c>
      <c r="I8" s="475" t="s">
        <v>139</v>
      </c>
      <c r="J8" s="475" t="s">
        <v>140</v>
      </c>
      <c r="K8" s="365">
        <v>6.02</v>
      </c>
      <c r="L8" s="475" t="s">
        <v>141</v>
      </c>
      <c r="M8" s="474"/>
    </row>
    <row r="9" spans="1:13" ht="13.5">
      <c r="A9" s="475" t="s">
        <v>5263</v>
      </c>
      <c r="B9" s="475" t="s">
        <v>5264</v>
      </c>
      <c r="C9" s="475" t="s">
        <v>5265</v>
      </c>
      <c r="D9" s="475" t="s">
        <v>5266</v>
      </c>
      <c r="E9" s="476" t="s">
        <v>34</v>
      </c>
      <c r="F9" s="475" t="s">
        <v>34</v>
      </c>
      <c r="G9" s="364">
        <v>97143</v>
      </c>
      <c r="H9" s="475" t="s">
        <v>5817</v>
      </c>
      <c r="I9" s="475" t="s">
        <v>139</v>
      </c>
      <c r="J9" s="475" t="s">
        <v>140</v>
      </c>
      <c r="K9" s="365">
        <v>7.55</v>
      </c>
      <c r="L9" s="475" t="s">
        <v>141</v>
      </c>
      <c r="M9" s="474"/>
    </row>
    <row r="10" spans="1:13" ht="13.5">
      <c r="A10" s="475" t="s">
        <v>5263</v>
      </c>
      <c r="B10" s="475" t="s">
        <v>5264</v>
      </c>
      <c r="C10" s="475" t="s">
        <v>5265</v>
      </c>
      <c r="D10" s="475" t="s">
        <v>5266</v>
      </c>
      <c r="E10" s="476" t="s">
        <v>34</v>
      </c>
      <c r="F10" s="475" t="s">
        <v>34</v>
      </c>
      <c r="G10" s="364">
        <v>97144</v>
      </c>
      <c r="H10" s="475" t="s">
        <v>5818</v>
      </c>
      <c r="I10" s="475" t="s">
        <v>139</v>
      </c>
      <c r="J10" s="475" t="s">
        <v>140</v>
      </c>
      <c r="K10" s="365">
        <v>9.08</v>
      </c>
      <c r="L10" s="475" t="s">
        <v>141</v>
      </c>
      <c r="M10" s="474"/>
    </row>
    <row r="11" spans="1:13" ht="13.5">
      <c r="A11" s="475" t="s">
        <v>5263</v>
      </c>
      <c r="B11" s="475" t="s">
        <v>5264</v>
      </c>
      <c r="C11" s="475" t="s">
        <v>5265</v>
      </c>
      <c r="D11" s="475" t="s">
        <v>5266</v>
      </c>
      <c r="E11" s="476" t="s">
        <v>34</v>
      </c>
      <c r="F11" s="475" t="s">
        <v>34</v>
      </c>
      <c r="G11" s="364">
        <v>97145</v>
      </c>
      <c r="H11" s="475" t="s">
        <v>5819</v>
      </c>
      <c r="I11" s="475" t="s">
        <v>139</v>
      </c>
      <c r="J11" s="475" t="s">
        <v>140</v>
      </c>
      <c r="K11" s="365">
        <v>10.65</v>
      </c>
      <c r="L11" s="475" t="s">
        <v>141</v>
      </c>
      <c r="M11" s="474"/>
    </row>
    <row r="12" spans="1:13" ht="13.5">
      <c r="A12" s="475" t="s">
        <v>5263</v>
      </c>
      <c r="B12" s="475" t="s">
        <v>5264</v>
      </c>
      <c r="C12" s="475" t="s">
        <v>5265</v>
      </c>
      <c r="D12" s="475" t="s">
        <v>5266</v>
      </c>
      <c r="E12" s="476" t="s">
        <v>34</v>
      </c>
      <c r="F12" s="475" t="s">
        <v>34</v>
      </c>
      <c r="G12" s="364">
        <v>97146</v>
      </c>
      <c r="H12" s="475" t="s">
        <v>5820</v>
      </c>
      <c r="I12" s="475" t="s">
        <v>139</v>
      </c>
      <c r="J12" s="475" t="s">
        <v>140</v>
      </c>
      <c r="K12" s="365">
        <v>12.2</v>
      </c>
      <c r="L12" s="475" t="s">
        <v>141</v>
      </c>
      <c r="M12" s="474"/>
    </row>
    <row r="13" spans="1:13" ht="13.5">
      <c r="A13" s="475" t="s">
        <v>5263</v>
      </c>
      <c r="B13" s="475" t="s">
        <v>5264</v>
      </c>
      <c r="C13" s="475" t="s">
        <v>5265</v>
      </c>
      <c r="D13" s="475" t="s">
        <v>5266</v>
      </c>
      <c r="E13" s="476" t="s">
        <v>34</v>
      </c>
      <c r="F13" s="475" t="s">
        <v>34</v>
      </c>
      <c r="G13" s="364">
        <v>97147</v>
      </c>
      <c r="H13" s="475" t="s">
        <v>5821</v>
      </c>
      <c r="I13" s="475" t="s">
        <v>139</v>
      </c>
      <c r="J13" s="475" t="s">
        <v>140</v>
      </c>
      <c r="K13" s="365">
        <v>13.76</v>
      </c>
      <c r="L13" s="475" t="s">
        <v>141</v>
      </c>
      <c r="M13" s="474"/>
    </row>
    <row r="14" spans="1:13" ht="13.5">
      <c r="A14" s="475" t="s">
        <v>5263</v>
      </c>
      <c r="B14" s="475" t="s">
        <v>5264</v>
      </c>
      <c r="C14" s="475" t="s">
        <v>5265</v>
      </c>
      <c r="D14" s="475" t="s">
        <v>5266</v>
      </c>
      <c r="E14" s="476" t="s">
        <v>34</v>
      </c>
      <c r="F14" s="475" t="s">
        <v>34</v>
      </c>
      <c r="G14" s="364">
        <v>97148</v>
      </c>
      <c r="H14" s="475" t="s">
        <v>5822</v>
      </c>
      <c r="I14" s="475" t="s">
        <v>139</v>
      </c>
      <c r="J14" s="475" t="s">
        <v>140</v>
      </c>
      <c r="K14" s="365">
        <v>15.31</v>
      </c>
      <c r="L14" s="475" t="s">
        <v>141</v>
      </c>
      <c r="M14" s="474"/>
    </row>
    <row r="15" spans="1:13" ht="13.5">
      <c r="A15" s="475" t="s">
        <v>5263</v>
      </c>
      <c r="B15" s="475" t="s">
        <v>5264</v>
      </c>
      <c r="C15" s="475" t="s">
        <v>5265</v>
      </c>
      <c r="D15" s="475" t="s">
        <v>5266</v>
      </c>
      <c r="E15" s="476" t="s">
        <v>34</v>
      </c>
      <c r="F15" s="475" t="s">
        <v>34</v>
      </c>
      <c r="G15" s="364">
        <v>97149</v>
      </c>
      <c r="H15" s="475" t="s">
        <v>5823</v>
      </c>
      <c r="I15" s="475" t="s">
        <v>139</v>
      </c>
      <c r="J15" s="475" t="s">
        <v>140</v>
      </c>
      <c r="K15" s="365">
        <v>16.89</v>
      </c>
      <c r="L15" s="475" t="s">
        <v>141</v>
      </c>
      <c r="M15" s="474"/>
    </row>
    <row r="16" spans="1:13" ht="13.5">
      <c r="A16" s="475" t="s">
        <v>5263</v>
      </c>
      <c r="B16" s="475" t="s">
        <v>5264</v>
      </c>
      <c r="C16" s="475" t="s">
        <v>5265</v>
      </c>
      <c r="D16" s="475" t="s">
        <v>5266</v>
      </c>
      <c r="E16" s="476" t="s">
        <v>34</v>
      </c>
      <c r="F16" s="475" t="s">
        <v>34</v>
      </c>
      <c r="G16" s="364">
        <v>97150</v>
      </c>
      <c r="H16" s="475" t="s">
        <v>5824</v>
      </c>
      <c r="I16" s="475" t="s">
        <v>139</v>
      </c>
      <c r="J16" s="475" t="s">
        <v>140</v>
      </c>
      <c r="K16" s="365">
        <v>20.59</v>
      </c>
      <c r="L16" s="475" t="s">
        <v>141</v>
      </c>
      <c r="M16" s="474"/>
    </row>
    <row r="17" spans="1:13" ht="13.5">
      <c r="A17" s="475" t="s">
        <v>5263</v>
      </c>
      <c r="B17" s="475" t="s">
        <v>5264</v>
      </c>
      <c r="C17" s="475" t="s">
        <v>5265</v>
      </c>
      <c r="D17" s="475" t="s">
        <v>5266</v>
      </c>
      <c r="E17" s="476" t="s">
        <v>34</v>
      </c>
      <c r="F17" s="475" t="s">
        <v>34</v>
      </c>
      <c r="G17" s="364">
        <v>97151</v>
      </c>
      <c r="H17" s="475" t="s">
        <v>5825</v>
      </c>
      <c r="I17" s="475" t="s">
        <v>139</v>
      </c>
      <c r="J17" s="475" t="s">
        <v>140</v>
      </c>
      <c r="K17" s="365">
        <v>24.03</v>
      </c>
      <c r="L17" s="475" t="s">
        <v>141</v>
      </c>
      <c r="M17" s="473"/>
    </row>
    <row r="18" spans="1:13" ht="13.5">
      <c r="A18" s="475" t="s">
        <v>5263</v>
      </c>
      <c r="B18" s="475" t="s">
        <v>5264</v>
      </c>
      <c r="C18" s="475" t="s">
        <v>5265</v>
      </c>
      <c r="D18" s="475" t="s">
        <v>5266</v>
      </c>
      <c r="E18" s="476" t="s">
        <v>34</v>
      </c>
      <c r="F18" s="475" t="s">
        <v>34</v>
      </c>
      <c r="G18" s="364">
        <v>97152</v>
      </c>
      <c r="H18" s="475" t="s">
        <v>5826</v>
      </c>
      <c r="I18" s="475" t="s">
        <v>139</v>
      </c>
      <c r="J18" s="475" t="s">
        <v>140</v>
      </c>
      <c r="K18" s="365">
        <v>27.3</v>
      </c>
      <c r="L18" s="475" t="s">
        <v>141</v>
      </c>
      <c r="M18" s="473"/>
    </row>
    <row r="19" spans="1:13" ht="13.5">
      <c r="A19" s="475" t="s">
        <v>5263</v>
      </c>
      <c r="B19" s="475" t="s">
        <v>5264</v>
      </c>
      <c r="C19" s="475" t="s">
        <v>5265</v>
      </c>
      <c r="D19" s="475" t="s">
        <v>5266</v>
      </c>
      <c r="E19" s="476" t="s">
        <v>34</v>
      </c>
      <c r="F19" s="475" t="s">
        <v>34</v>
      </c>
      <c r="G19" s="364">
        <v>97153</v>
      </c>
      <c r="H19" s="475" t="s">
        <v>5827</v>
      </c>
      <c r="I19" s="475" t="s">
        <v>139</v>
      </c>
      <c r="J19" s="475" t="s">
        <v>140</v>
      </c>
      <c r="K19" s="365">
        <v>30.67</v>
      </c>
      <c r="L19" s="475" t="s">
        <v>141</v>
      </c>
      <c r="M19" s="473"/>
    </row>
    <row r="20" spans="1:13" ht="13.5">
      <c r="A20" s="475" t="s">
        <v>5263</v>
      </c>
      <c r="B20" s="475" t="s">
        <v>5264</v>
      </c>
      <c r="C20" s="475" t="s">
        <v>5265</v>
      </c>
      <c r="D20" s="475" t="s">
        <v>5266</v>
      </c>
      <c r="E20" s="476" t="s">
        <v>34</v>
      </c>
      <c r="F20" s="475" t="s">
        <v>34</v>
      </c>
      <c r="G20" s="364">
        <v>97154</v>
      </c>
      <c r="H20" s="475" t="s">
        <v>5828</v>
      </c>
      <c r="I20" s="475" t="s">
        <v>139</v>
      </c>
      <c r="J20" s="475" t="s">
        <v>140</v>
      </c>
      <c r="K20" s="365">
        <v>34.08</v>
      </c>
      <c r="L20" s="475" t="s">
        <v>141</v>
      </c>
      <c r="M20" s="473"/>
    </row>
    <row r="21" spans="1:13" ht="13.5">
      <c r="A21" s="475" t="s">
        <v>5263</v>
      </c>
      <c r="B21" s="475" t="s">
        <v>5264</v>
      </c>
      <c r="C21" s="475" t="s">
        <v>5265</v>
      </c>
      <c r="D21" s="475" t="s">
        <v>5266</v>
      </c>
      <c r="E21" s="476" t="s">
        <v>34</v>
      </c>
      <c r="F21" s="475" t="s">
        <v>34</v>
      </c>
      <c r="G21" s="364">
        <v>97155</v>
      </c>
      <c r="H21" s="475" t="s">
        <v>5829</v>
      </c>
      <c r="I21" s="475" t="s">
        <v>139</v>
      </c>
      <c r="J21" s="475" t="s">
        <v>140</v>
      </c>
      <c r="K21" s="365">
        <v>37.46</v>
      </c>
      <c r="L21" s="475" t="s">
        <v>141</v>
      </c>
      <c r="M21" s="473"/>
    </row>
    <row r="22" spans="1:13" ht="13.5">
      <c r="A22" s="475" t="s">
        <v>5263</v>
      </c>
      <c r="B22" s="475" t="s">
        <v>5264</v>
      </c>
      <c r="C22" s="475" t="s">
        <v>5265</v>
      </c>
      <c r="D22" s="475" t="s">
        <v>5266</v>
      </c>
      <c r="E22" s="476" t="s">
        <v>34</v>
      </c>
      <c r="F22" s="475" t="s">
        <v>34</v>
      </c>
      <c r="G22" s="364">
        <v>97156</v>
      </c>
      <c r="H22" s="475" t="s">
        <v>5830</v>
      </c>
      <c r="I22" s="475" t="s">
        <v>139</v>
      </c>
      <c r="J22" s="475" t="s">
        <v>140</v>
      </c>
      <c r="K22" s="365">
        <v>44.59</v>
      </c>
      <c r="L22" s="475" t="s">
        <v>141</v>
      </c>
      <c r="M22" s="473"/>
    </row>
    <row r="23" spans="1:13" ht="13.5">
      <c r="A23" s="475" t="s">
        <v>5263</v>
      </c>
      <c r="B23" s="475" t="s">
        <v>5264</v>
      </c>
      <c r="C23" s="475" t="s">
        <v>5265</v>
      </c>
      <c r="D23" s="475" t="s">
        <v>5266</v>
      </c>
      <c r="E23" s="476" t="s">
        <v>34</v>
      </c>
      <c r="F23" s="475" t="s">
        <v>34</v>
      </c>
      <c r="G23" s="364">
        <v>97157</v>
      </c>
      <c r="H23" s="475" t="s">
        <v>5831</v>
      </c>
      <c r="I23" s="475" t="s">
        <v>139</v>
      </c>
      <c r="J23" s="475" t="s">
        <v>140</v>
      </c>
      <c r="K23" s="365">
        <v>3.33</v>
      </c>
      <c r="L23" s="475" t="s">
        <v>141</v>
      </c>
      <c r="M23" s="473"/>
    </row>
    <row r="24" spans="1:13" ht="13.5">
      <c r="A24" s="475" t="s">
        <v>5263</v>
      </c>
      <c r="B24" s="475" t="s">
        <v>5264</v>
      </c>
      <c r="C24" s="475" t="s">
        <v>5265</v>
      </c>
      <c r="D24" s="475" t="s">
        <v>5266</v>
      </c>
      <c r="E24" s="476" t="s">
        <v>34</v>
      </c>
      <c r="F24" s="475" t="s">
        <v>34</v>
      </c>
      <c r="G24" s="364">
        <v>97158</v>
      </c>
      <c r="H24" s="475" t="s">
        <v>5832</v>
      </c>
      <c r="I24" s="475" t="s">
        <v>139</v>
      </c>
      <c r="J24" s="475" t="s">
        <v>140</v>
      </c>
      <c r="K24" s="365">
        <v>3.71</v>
      </c>
      <c r="L24" s="475" t="s">
        <v>141</v>
      </c>
      <c r="M24" s="473"/>
    </row>
    <row r="25" spans="1:13" ht="13.5">
      <c r="A25" s="475" t="s">
        <v>5263</v>
      </c>
      <c r="B25" s="475" t="s">
        <v>5264</v>
      </c>
      <c r="C25" s="475" t="s">
        <v>5265</v>
      </c>
      <c r="D25" s="475" t="s">
        <v>5266</v>
      </c>
      <c r="E25" s="476" t="s">
        <v>34</v>
      </c>
      <c r="F25" s="475" t="s">
        <v>34</v>
      </c>
      <c r="G25" s="364">
        <v>97159</v>
      </c>
      <c r="H25" s="475" t="s">
        <v>5833</v>
      </c>
      <c r="I25" s="475" t="s">
        <v>139</v>
      </c>
      <c r="J25" s="475" t="s">
        <v>140</v>
      </c>
      <c r="K25" s="365">
        <v>4.67</v>
      </c>
      <c r="L25" s="475" t="s">
        <v>141</v>
      </c>
      <c r="M25" s="473"/>
    </row>
    <row r="26" spans="1:13" ht="13.5">
      <c r="A26" s="475" t="s">
        <v>5263</v>
      </c>
      <c r="B26" s="475" t="s">
        <v>5264</v>
      </c>
      <c r="C26" s="475" t="s">
        <v>5265</v>
      </c>
      <c r="D26" s="475" t="s">
        <v>5266</v>
      </c>
      <c r="E26" s="476" t="s">
        <v>34</v>
      </c>
      <c r="F26" s="475" t="s">
        <v>34</v>
      </c>
      <c r="G26" s="364">
        <v>97160</v>
      </c>
      <c r="H26" s="475" t="s">
        <v>5834</v>
      </c>
      <c r="I26" s="475" t="s">
        <v>139</v>
      </c>
      <c r="J26" s="475" t="s">
        <v>140</v>
      </c>
      <c r="K26" s="365">
        <v>5.6</v>
      </c>
      <c r="L26" s="475" t="s">
        <v>141</v>
      </c>
      <c r="M26" s="473"/>
    </row>
    <row r="27" spans="1:13" ht="13.5">
      <c r="A27" s="475" t="s">
        <v>5263</v>
      </c>
      <c r="B27" s="475" t="s">
        <v>5264</v>
      </c>
      <c r="C27" s="475" t="s">
        <v>5265</v>
      </c>
      <c r="D27" s="475" t="s">
        <v>5266</v>
      </c>
      <c r="E27" s="476" t="s">
        <v>34</v>
      </c>
      <c r="F27" s="475" t="s">
        <v>34</v>
      </c>
      <c r="G27" s="364">
        <v>97161</v>
      </c>
      <c r="H27" s="475" t="s">
        <v>5835</v>
      </c>
      <c r="I27" s="475" t="s">
        <v>139</v>
      </c>
      <c r="J27" s="475" t="s">
        <v>140</v>
      </c>
      <c r="K27" s="365">
        <v>6.58</v>
      </c>
      <c r="L27" s="475" t="s">
        <v>141</v>
      </c>
      <c r="M27" s="473"/>
    </row>
    <row r="28" spans="1:13" ht="13.5">
      <c r="A28" s="475" t="s">
        <v>5263</v>
      </c>
      <c r="B28" s="475" t="s">
        <v>5264</v>
      </c>
      <c r="C28" s="475" t="s">
        <v>5265</v>
      </c>
      <c r="D28" s="475" t="s">
        <v>5266</v>
      </c>
      <c r="E28" s="476" t="s">
        <v>34</v>
      </c>
      <c r="F28" s="475" t="s">
        <v>34</v>
      </c>
      <c r="G28" s="364">
        <v>97162</v>
      </c>
      <c r="H28" s="475" t="s">
        <v>5836</v>
      </c>
      <c r="I28" s="475" t="s">
        <v>139</v>
      </c>
      <c r="J28" s="475" t="s">
        <v>140</v>
      </c>
      <c r="K28" s="365">
        <v>7.54</v>
      </c>
      <c r="L28" s="475" t="s">
        <v>141</v>
      </c>
      <c r="M28" s="473"/>
    </row>
    <row r="29" spans="1:13" ht="13.5">
      <c r="A29" s="475" t="s">
        <v>5263</v>
      </c>
      <c r="B29" s="475" t="s">
        <v>5264</v>
      </c>
      <c r="C29" s="475" t="s">
        <v>5265</v>
      </c>
      <c r="D29" s="475" t="s">
        <v>5266</v>
      </c>
      <c r="E29" s="476" t="s">
        <v>34</v>
      </c>
      <c r="F29" s="475" t="s">
        <v>34</v>
      </c>
      <c r="G29" s="364">
        <v>97163</v>
      </c>
      <c r="H29" s="475" t="s">
        <v>5837</v>
      </c>
      <c r="I29" s="475" t="s">
        <v>139</v>
      </c>
      <c r="J29" s="475" t="s">
        <v>140</v>
      </c>
      <c r="K29" s="365">
        <v>8.52</v>
      </c>
      <c r="L29" s="475" t="s">
        <v>141</v>
      </c>
      <c r="M29" s="473"/>
    </row>
    <row r="30" spans="1:13" ht="13.5">
      <c r="A30" s="475" t="s">
        <v>5263</v>
      </c>
      <c r="B30" s="475" t="s">
        <v>5264</v>
      </c>
      <c r="C30" s="475" t="s">
        <v>5265</v>
      </c>
      <c r="D30" s="475" t="s">
        <v>5266</v>
      </c>
      <c r="E30" s="476" t="s">
        <v>34</v>
      </c>
      <c r="F30" s="475" t="s">
        <v>34</v>
      </c>
      <c r="G30" s="364">
        <v>97164</v>
      </c>
      <c r="H30" s="475" t="s">
        <v>5838</v>
      </c>
      <c r="I30" s="475" t="s">
        <v>139</v>
      </c>
      <c r="J30" s="475" t="s">
        <v>140</v>
      </c>
      <c r="K30" s="365">
        <v>9.48</v>
      </c>
      <c r="L30" s="475" t="s">
        <v>141</v>
      </c>
      <c r="M30" s="473"/>
    </row>
    <row r="31" spans="1:13" ht="13.5">
      <c r="A31" s="475" t="s">
        <v>5263</v>
      </c>
      <c r="B31" s="475" t="s">
        <v>5264</v>
      </c>
      <c r="C31" s="475" t="s">
        <v>5265</v>
      </c>
      <c r="D31" s="475" t="s">
        <v>5266</v>
      </c>
      <c r="E31" s="476" t="s">
        <v>34</v>
      </c>
      <c r="F31" s="475" t="s">
        <v>34</v>
      </c>
      <c r="G31" s="364">
        <v>97165</v>
      </c>
      <c r="H31" s="475" t="s">
        <v>5839</v>
      </c>
      <c r="I31" s="475" t="s">
        <v>139</v>
      </c>
      <c r="J31" s="475" t="s">
        <v>140</v>
      </c>
      <c r="K31" s="365">
        <v>10.48</v>
      </c>
      <c r="L31" s="475" t="s">
        <v>141</v>
      </c>
      <c r="M31" s="473"/>
    </row>
    <row r="32" spans="1:13" ht="13.5">
      <c r="A32" s="475" t="s">
        <v>5263</v>
      </c>
      <c r="B32" s="475" t="s">
        <v>5264</v>
      </c>
      <c r="C32" s="475" t="s">
        <v>5265</v>
      </c>
      <c r="D32" s="475" t="s">
        <v>5266</v>
      </c>
      <c r="E32" s="476" t="s">
        <v>34</v>
      </c>
      <c r="F32" s="475" t="s">
        <v>34</v>
      </c>
      <c r="G32" s="364">
        <v>97166</v>
      </c>
      <c r="H32" s="475" t="s">
        <v>5840</v>
      </c>
      <c r="I32" s="475" t="s">
        <v>139</v>
      </c>
      <c r="J32" s="475" t="s">
        <v>140</v>
      </c>
      <c r="K32" s="365">
        <v>12.77</v>
      </c>
      <c r="L32" s="475" t="s">
        <v>141</v>
      </c>
      <c r="M32" s="473"/>
    </row>
    <row r="33" spans="1:13" ht="13.5">
      <c r="A33" s="475" t="s">
        <v>5263</v>
      </c>
      <c r="B33" s="475" t="s">
        <v>5264</v>
      </c>
      <c r="C33" s="475" t="s">
        <v>5265</v>
      </c>
      <c r="D33" s="475" t="s">
        <v>5266</v>
      </c>
      <c r="E33" s="476" t="s">
        <v>34</v>
      </c>
      <c r="F33" s="475" t="s">
        <v>34</v>
      </c>
      <c r="G33" s="364">
        <v>97167</v>
      </c>
      <c r="H33" s="475" t="s">
        <v>5841</v>
      </c>
      <c r="I33" s="475" t="s">
        <v>139</v>
      </c>
      <c r="J33" s="475" t="s">
        <v>140</v>
      </c>
      <c r="K33" s="365">
        <v>14.92</v>
      </c>
      <c r="L33" s="475" t="s">
        <v>141</v>
      </c>
      <c r="M33" s="473"/>
    </row>
    <row r="34" spans="1:13" ht="13.5">
      <c r="A34" s="475" t="s">
        <v>5263</v>
      </c>
      <c r="B34" s="475" t="s">
        <v>5264</v>
      </c>
      <c r="C34" s="475" t="s">
        <v>5265</v>
      </c>
      <c r="D34" s="475" t="s">
        <v>5266</v>
      </c>
      <c r="E34" s="476" t="s">
        <v>34</v>
      </c>
      <c r="F34" s="475" t="s">
        <v>34</v>
      </c>
      <c r="G34" s="364">
        <v>97168</v>
      </c>
      <c r="H34" s="475" t="s">
        <v>5842</v>
      </c>
      <c r="I34" s="475" t="s">
        <v>139</v>
      </c>
      <c r="J34" s="475" t="s">
        <v>140</v>
      </c>
      <c r="K34" s="365">
        <v>16.89</v>
      </c>
      <c r="L34" s="475" t="s">
        <v>141</v>
      </c>
      <c r="M34" s="473"/>
    </row>
    <row r="35" spans="1:13" ht="13.5">
      <c r="A35" s="475" t="s">
        <v>5263</v>
      </c>
      <c r="B35" s="475" t="s">
        <v>5264</v>
      </c>
      <c r="C35" s="475" t="s">
        <v>5265</v>
      </c>
      <c r="D35" s="475" t="s">
        <v>5266</v>
      </c>
      <c r="E35" s="476" t="s">
        <v>34</v>
      </c>
      <c r="F35" s="475" t="s">
        <v>34</v>
      </c>
      <c r="G35" s="364">
        <v>97169</v>
      </c>
      <c r="H35" s="475" t="s">
        <v>5843</v>
      </c>
      <c r="I35" s="475" t="s">
        <v>139</v>
      </c>
      <c r="J35" s="475" t="s">
        <v>140</v>
      </c>
      <c r="K35" s="365">
        <v>18.97</v>
      </c>
      <c r="L35" s="475" t="s">
        <v>141</v>
      </c>
      <c r="M35" s="473"/>
    </row>
    <row r="36" spans="1:13" ht="13.5">
      <c r="A36" s="475" t="s">
        <v>5263</v>
      </c>
      <c r="B36" s="475" t="s">
        <v>5264</v>
      </c>
      <c r="C36" s="475" t="s">
        <v>5265</v>
      </c>
      <c r="D36" s="475" t="s">
        <v>5266</v>
      </c>
      <c r="E36" s="476" t="s">
        <v>34</v>
      </c>
      <c r="F36" s="475" t="s">
        <v>34</v>
      </c>
      <c r="G36" s="364">
        <v>97170</v>
      </c>
      <c r="H36" s="475" t="s">
        <v>5844</v>
      </c>
      <c r="I36" s="475" t="s">
        <v>139</v>
      </c>
      <c r="J36" s="475" t="s">
        <v>140</v>
      </c>
      <c r="K36" s="365">
        <v>21.08</v>
      </c>
      <c r="L36" s="475" t="s">
        <v>141</v>
      </c>
      <c r="M36" s="473"/>
    </row>
    <row r="37" spans="1:13" ht="13.5">
      <c r="A37" s="475" t="s">
        <v>5263</v>
      </c>
      <c r="B37" s="475" t="s">
        <v>5264</v>
      </c>
      <c r="C37" s="475" t="s">
        <v>5265</v>
      </c>
      <c r="D37" s="475" t="s">
        <v>5266</v>
      </c>
      <c r="E37" s="476" t="s">
        <v>34</v>
      </c>
      <c r="F37" s="475" t="s">
        <v>34</v>
      </c>
      <c r="G37" s="364">
        <v>97171</v>
      </c>
      <c r="H37" s="475" t="s">
        <v>5845</v>
      </c>
      <c r="I37" s="475" t="s">
        <v>139</v>
      </c>
      <c r="J37" s="475" t="s">
        <v>140</v>
      </c>
      <c r="K37" s="365">
        <v>23.2</v>
      </c>
      <c r="L37" s="475" t="s">
        <v>141</v>
      </c>
      <c r="M37" s="473"/>
    </row>
    <row r="38" spans="1:13" ht="13.5">
      <c r="A38" s="475" t="s">
        <v>5263</v>
      </c>
      <c r="B38" s="475" t="s">
        <v>5264</v>
      </c>
      <c r="C38" s="475" t="s">
        <v>5265</v>
      </c>
      <c r="D38" s="475" t="s">
        <v>5266</v>
      </c>
      <c r="E38" s="476" t="s">
        <v>34</v>
      </c>
      <c r="F38" s="475" t="s">
        <v>34</v>
      </c>
      <c r="G38" s="364">
        <v>97172</v>
      </c>
      <c r="H38" s="475" t="s">
        <v>5846</v>
      </c>
      <c r="I38" s="475" t="s">
        <v>139</v>
      </c>
      <c r="J38" s="475" t="s">
        <v>140</v>
      </c>
      <c r="K38" s="365">
        <v>27.74</v>
      </c>
      <c r="L38" s="475" t="s">
        <v>141</v>
      </c>
      <c r="M38" s="473"/>
    </row>
    <row r="39" spans="1:13" ht="13.5">
      <c r="A39" s="475" t="s">
        <v>5263</v>
      </c>
      <c r="B39" s="475" t="s">
        <v>5264</v>
      </c>
      <c r="C39" s="475" t="s">
        <v>5847</v>
      </c>
      <c r="D39" s="475" t="s">
        <v>5848</v>
      </c>
      <c r="E39" s="476" t="s">
        <v>34</v>
      </c>
      <c r="F39" s="475" t="s">
        <v>34</v>
      </c>
      <c r="G39" s="364">
        <v>97173</v>
      </c>
      <c r="H39" s="475" t="s">
        <v>5849</v>
      </c>
      <c r="I39" s="475" t="s">
        <v>139</v>
      </c>
      <c r="J39" s="475" t="s">
        <v>140</v>
      </c>
      <c r="K39" s="365">
        <v>23.57</v>
      </c>
      <c r="L39" s="475" t="s">
        <v>141</v>
      </c>
      <c r="M39" s="473"/>
    </row>
    <row r="40" spans="1:13" ht="13.5">
      <c r="A40" s="475" t="s">
        <v>5263</v>
      </c>
      <c r="B40" s="475" t="s">
        <v>5264</v>
      </c>
      <c r="C40" s="475" t="s">
        <v>5847</v>
      </c>
      <c r="D40" s="475" t="s">
        <v>5848</v>
      </c>
      <c r="E40" s="476" t="s">
        <v>34</v>
      </c>
      <c r="F40" s="475" t="s">
        <v>34</v>
      </c>
      <c r="G40" s="364">
        <v>97174</v>
      </c>
      <c r="H40" s="475" t="s">
        <v>5850</v>
      </c>
      <c r="I40" s="475" t="s">
        <v>139</v>
      </c>
      <c r="J40" s="475" t="s">
        <v>140</v>
      </c>
      <c r="K40" s="365">
        <v>27.28</v>
      </c>
      <c r="L40" s="475" t="s">
        <v>141</v>
      </c>
      <c r="M40" s="473"/>
    </row>
    <row r="41" spans="1:13" ht="13.5">
      <c r="A41" s="475" t="s">
        <v>5263</v>
      </c>
      <c r="B41" s="475" t="s">
        <v>5264</v>
      </c>
      <c r="C41" s="475" t="s">
        <v>5847</v>
      </c>
      <c r="D41" s="475" t="s">
        <v>5848</v>
      </c>
      <c r="E41" s="476" t="s">
        <v>34</v>
      </c>
      <c r="F41" s="475" t="s">
        <v>34</v>
      </c>
      <c r="G41" s="364">
        <v>97175</v>
      </c>
      <c r="H41" s="475" t="s">
        <v>5851</v>
      </c>
      <c r="I41" s="475" t="s">
        <v>139</v>
      </c>
      <c r="J41" s="475" t="s">
        <v>140</v>
      </c>
      <c r="K41" s="365">
        <v>30.98</v>
      </c>
      <c r="L41" s="475" t="s">
        <v>141</v>
      </c>
      <c r="M41" s="473"/>
    </row>
    <row r="42" spans="1:13" ht="13.5">
      <c r="A42" s="475" t="s">
        <v>5263</v>
      </c>
      <c r="B42" s="475" t="s">
        <v>5264</v>
      </c>
      <c r="C42" s="475" t="s">
        <v>5847</v>
      </c>
      <c r="D42" s="475" t="s">
        <v>5848</v>
      </c>
      <c r="E42" s="476" t="s">
        <v>34</v>
      </c>
      <c r="F42" s="475" t="s">
        <v>34</v>
      </c>
      <c r="G42" s="364">
        <v>97176</v>
      </c>
      <c r="H42" s="475" t="s">
        <v>5852</v>
      </c>
      <c r="I42" s="475" t="s">
        <v>139</v>
      </c>
      <c r="J42" s="475" t="s">
        <v>140</v>
      </c>
      <c r="K42" s="365">
        <v>34.68</v>
      </c>
      <c r="L42" s="475" t="s">
        <v>141</v>
      </c>
      <c r="M42" s="473"/>
    </row>
    <row r="43" spans="1:13" ht="13.5">
      <c r="A43" s="475" t="s">
        <v>5263</v>
      </c>
      <c r="B43" s="475" t="s">
        <v>5264</v>
      </c>
      <c r="C43" s="475" t="s">
        <v>5847</v>
      </c>
      <c r="D43" s="475" t="s">
        <v>5848</v>
      </c>
      <c r="E43" s="476" t="s">
        <v>34</v>
      </c>
      <c r="F43" s="475" t="s">
        <v>34</v>
      </c>
      <c r="G43" s="364">
        <v>97177</v>
      </c>
      <c r="H43" s="475" t="s">
        <v>5853</v>
      </c>
      <c r="I43" s="475" t="s">
        <v>139</v>
      </c>
      <c r="J43" s="475" t="s">
        <v>140</v>
      </c>
      <c r="K43" s="365">
        <v>42.1</v>
      </c>
      <c r="L43" s="475" t="s">
        <v>141</v>
      </c>
      <c r="M43" s="473"/>
    </row>
    <row r="44" spans="1:13" ht="13.5">
      <c r="A44" s="475" t="s">
        <v>5263</v>
      </c>
      <c r="B44" s="475" t="s">
        <v>5264</v>
      </c>
      <c r="C44" s="475" t="s">
        <v>5847</v>
      </c>
      <c r="D44" s="475" t="s">
        <v>5848</v>
      </c>
      <c r="E44" s="476" t="s">
        <v>34</v>
      </c>
      <c r="F44" s="475" t="s">
        <v>34</v>
      </c>
      <c r="G44" s="364">
        <v>97178</v>
      </c>
      <c r="H44" s="475" t="s">
        <v>5854</v>
      </c>
      <c r="I44" s="475" t="s">
        <v>139</v>
      </c>
      <c r="J44" s="475" t="s">
        <v>140</v>
      </c>
      <c r="K44" s="365">
        <v>49.53</v>
      </c>
      <c r="L44" s="475" t="s">
        <v>141</v>
      </c>
      <c r="M44" s="473"/>
    </row>
    <row r="45" spans="1:13" ht="13.5">
      <c r="A45" s="475" t="s">
        <v>5263</v>
      </c>
      <c r="B45" s="475" t="s">
        <v>5264</v>
      </c>
      <c r="C45" s="475" t="s">
        <v>5847</v>
      </c>
      <c r="D45" s="475" t="s">
        <v>5848</v>
      </c>
      <c r="E45" s="476" t="s">
        <v>34</v>
      </c>
      <c r="F45" s="475" t="s">
        <v>34</v>
      </c>
      <c r="G45" s="364">
        <v>97179</v>
      </c>
      <c r="H45" s="475" t="s">
        <v>5855</v>
      </c>
      <c r="I45" s="475" t="s">
        <v>139</v>
      </c>
      <c r="J45" s="475" t="s">
        <v>140</v>
      </c>
      <c r="K45" s="365">
        <v>56.94</v>
      </c>
      <c r="L45" s="475" t="s">
        <v>141</v>
      </c>
      <c r="M45" s="473"/>
    </row>
    <row r="46" spans="1:13" ht="13.5">
      <c r="A46" s="475" t="s">
        <v>5263</v>
      </c>
      <c r="B46" s="475" t="s">
        <v>5264</v>
      </c>
      <c r="C46" s="475" t="s">
        <v>5847</v>
      </c>
      <c r="D46" s="475" t="s">
        <v>5848</v>
      </c>
      <c r="E46" s="476" t="s">
        <v>34</v>
      </c>
      <c r="F46" s="475" t="s">
        <v>34</v>
      </c>
      <c r="G46" s="364">
        <v>97180</v>
      </c>
      <c r="H46" s="475" t="s">
        <v>5856</v>
      </c>
      <c r="I46" s="475" t="s">
        <v>139</v>
      </c>
      <c r="J46" s="475" t="s">
        <v>140</v>
      </c>
      <c r="K46" s="365">
        <v>64.34</v>
      </c>
      <c r="L46" s="475" t="s">
        <v>141</v>
      </c>
      <c r="M46" s="473"/>
    </row>
    <row r="47" spans="1:13" ht="13.5">
      <c r="A47" s="475" t="s">
        <v>5263</v>
      </c>
      <c r="B47" s="475" t="s">
        <v>5264</v>
      </c>
      <c r="C47" s="475" t="s">
        <v>5847</v>
      </c>
      <c r="D47" s="475" t="s">
        <v>5848</v>
      </c>
      <c r="E47" s="476" t="s">
        <v>34</v>
      </c>
      <c r="F47" s="475" t="s">
        <v>34</v>
      </c>
      <c r="G47" s="364">
        <v>97181</v>
      </c>
      <c r="H47" s="475" t="s">
        <v>5857</v>
      </c>
      <c r="I47" s="475" t="s">
        <v>139</v>
      </c>
      <c r="J47" s="475" t="s">
        <v>140</v>
      </c>
      <c r="K47" s="365">
        <v>74.67</v>
      </c>
      <c r="L47" s="475" t="s">
        <v>141</v>
      </c>
      <c r="M47" s="473"/>
    </row>
    <row r="48" spans="1:13" ht="13.5">
      <c r="A48" s="475" t="s">
        <v>5263</v>
      </c>
      <c r="B48" s="475" t="s">
        <v>5264</v>
      </c>
      <c r="C48" s="475" t="s">
        <v>5847</v>
      </c>
      <c r="D48" s="475" t="s">
        <v>5848</v>
      </c>
      <c r="E48" s="476" t="s">
        <v>34</v>
      </c>
      <c r="F48" s="475" t="s">
        <v>34</v>
      </c>
      <c r="G48" s="364">
        <v>97182</v>
      </c>
      <c r="H48" s="475" t="s">
        <v>5858</v>
      </c>
      <c r="I48" s="475" t="s">
        <v>139</v>
      </c>
      <c r="J48" s="475" t="s">
        <v>140</v>
      </c>
      <c r="K48" s="365">
        <v>82.39</v>
      </c>
      <c r="L48" s="475" t="s">
        <v>141</v>
      </c>
      <c r="M48" s="473"/>
    </row>
    <row r="49" spans="1:13" ht="13.5">
      <c r="A49" s="475" t="s">
        <v>5263</v>
      </c>
      <c r="B49" s="475" t="s">
        <v>5264</v>
      </c>
      <c r="C49" s="475" t="s">
        <v>5847</v>
      </c>
      <c r="D49" s="475" t="s">
        <v>5848</v>
      </c>
      <c r="E49" s="476" t="s">
        <v>34</v>
      </c>
      <c r="F49" s="475" t="s">
        <v>34</v>
      </c>
      <c r="G49" s="364">
        <v>97183</v>
      </c>
      <c r="H49" s="475" t="s">
        <v>5859</v>
      </c>
      <c r="I49" s="475" t="s">
        <v>139</v>
      </c>
      <c r="J49" s="475" t="s">
        <v>140</v>
      </c>
      <c r="K49" s="365">
        <v>19.46</v>
      </c>
      <c r="L49" s="475" t="s">
        <v>141</v>
      </c>
      <c r="M49" s="473"/>
    </row>
    <row r="50" spans="1:13" ht="13.5">
      <c r="A50" s="475" t="s">
        <v>5263</v>
      </c>
      <c r="B50" s="475" t="s">
        <v>5264</v>
      </c>
      <c r="C50" s="475" t="s">
        <v>5847</v>
      </c>
      <c r="D50" s="475" t="s">
        <v>5848</v>
      </c>
      <c r="E50" s="476" t="s">
        <v>34</v>
      </c>
      <c r="F50" s="475" t="s">
        <v>34</v>
      </c>
      <c r="G50" s="364">
        <v>97184</v>
      </c>
      <c r="H50" s="475" t="s">
        <v>5860</v>
      </c>
      <c r="I50" s="475" t="s">
        <v>139</v>
      </c>
      <c r="J50" s="475" t="s">
        <v>140</v>
      </c>
      <c r="K50" s="365">
        <v>22.56</v>
      </c>
      <c r="L50" s="475" t="s">
        <v>141</v>
      </c>
      <c r="M50" s="473"/>
    </row>
    <row r="51" spans="1:13" ht="13.5">
      <c r="A51" s="475" t="s">
        <v>5263</v>
      </c>
      <c r="B51" s="475" t="s">
        <v>5264</v>
      </c>
      <c r="C51" s="475" t="s">
        <v>5847</v>
      </c>
      <c r="D51" s="475" t="s">
        <v>5848</v>
      </c>
      <c r="E51" s="476" t="s">
        <v>34</v>
      </c>
      <c r="F51" s="475" t="s">
        <v>34</v>
      </c>
      <c r="G51" s="364">
        <v>97185</v>
      </c>
      <c r="H51" s="475" t="s">
        <v>5861</v>
      </c>
      <c r="I51" s="475" t="s">
        <v>139</v>
      </c>
      <c r="J51" s="475" t="s">
        <v>140</v>
      </c>
      <c r="K51" s="365">
        <v>25.67</v>
      </c>
      <c r="L51" s="475" t="s">
        <v>141</v>
      </c>
      <c r="M51" s="473"/>
    </row>
    <row r="52" spans="1:13" ht="13.5">
      <c r="A52" s="475" t="s">
        <v>5263</v>
      </c>
      <c r="B52" s="475" t="s">
        <v>5264</v>
      </c>
      <c r="C52" s="475" t="s">
        <v>5847</v>
      </c>
      <c r="D52" s="475" t="s">
        <v>5848</v>
      </c>
      <c r="E52" s="476" t="s">
        <v>34</v>
      </c>
      <c r="F52" s="475" t="s">
        <v>34</v>
      </c>
      <c r="G52" s="364">
        <v>97186</v>
      </c>
      <c r="H52" s="475" t="s">
        <v>5862</v>
      </c>
      <c r="I52" s="475" t="s">
        <v>139</v>
      </c>
      <c r="J52" s="475" t="s">
        <v>140</v>
      </c>
      <c r="K52" s="365">
        <v>28.77</v>
      </c>
      <c r="L52" s="475" t="s">
        <v>141</v>
      </c>
      <c r="M52" s="473"/>
    </row>
    <row r="53" spans="1:13" ht="13.5">
      <c r="A53" s="475" t="s">
        <v>5263</v>
      </c>
      <c r="B53" s="475" t="s">
        <v>5264</v>
      </c>
      <c r="C53" s="475" t="s">
        <v>5847</v>
      </c>
      <c r="D53" s="475" t="s">
        <v>5848</v>
      </c>
      <c r="E53" s="476" t="s">
        <v>34</v>
      </c>
      <c r="F53" s="475" t="s">
        <v>34</v>
      </c>
      <c r="G53" s="364">
        <v>97187</v>
      </c>
      <c r="H53" s="475" t="s">
        <v>7446</v>
      </c>
      <c r="I53" s="475" t="s">
        <v>139</v>
      </c>
      <c r="J53" s="475" t="s">
        <v>140</v>
      </c>
      <c r="K53" s="365">
        <v>35</v>
      </c>
      <c r="L53" s="475" t="s">
        <v>141</v>
      </c>
      <c r="M53" s="473"/>
    </row>
    <row r="54" spans="1:13" ht="13.5">
      <c r="A54" s="475" t="s">
        <v>5263</v>
      </c>
      <c r="B54" s="475" t="s">
        <v>5264</v>
      </c>
      <c r="C54" s="475" t="s">
        <v>5847</v>
      </c>
      <c r="D54" s="475" t="s">
        <v>5848</v>
      </c>
      <c r="E54" s="476" t="s">
        <v>34</v>
      </c>
      <c r="F54" s="475" t="s">
        <v>34</v>
      </c>
      <c r="G54" s="364">
        <v>97188</v>
      </c>
      <c r="H54" s="475" t="s">
        <v>5863</v>
      </c>
      <c r="I54" s="475" t="s">
        <v>139</v>
      </c>
      <c r="J54" s="475" t="s">
        <v>140</v>
      </c>
      <c r="K54" s="365">
        <v>41.22</v>
      </c>
      <c r="L54" s="475" t="s">
        <v>141</v>
      </c>
      <c r="M54" s="473"/>
    </row>
    <row r="55" spans="1:13" ht="13.5">
      <c r="A55" s="475" t="s">
        <v>5263</v>
      </c>
      <c r="B55" s="475" t="s">
        <v>5264</v>
      </c>
      <c r="C55" s="475" t="s">
        <v>5847</v>
      </c>
      <c r="D55" s="475" t="s">
        <v>5848</v>
      </c>
      <c r="E55" s="476" t="s">
        <v>34</v>
      </c>
      <c r="F55" s="475" t="s">
        <v>34</v>
      </c>
      <c r="G55" s="364">
        <v>97189</v>
      </c>
      <c r="H55" s="475" t="s">
        <v>5864</v>
      </c>
      <c r="I55" s="475" t="s">
        <v>139</v>
      </c>
      <c r="J55" s="475" t="s">
        <v>140</v>
      </c>
      <c r="K55" s="365">
        <v>47.45</v>
      </c>
      <c r="L55" s="475" t="s">
        <v>141</v>
      </c>
      <c r="M55" s="473"/>
    </row>
    <row r="56" spans="1:13" ht="13.5">
      <c r="A56" s="475" t="s">
        <v>5263</v>
      </c>
      <c r="B56" s="475" t="s">
        <v>5264</v>
      </c>
      <c r="C56" s="475" t="s">
        <v>5847</v>
      </c>
      <c r="D56" s="475" t="s">
        <v>5848</v>
      </c>
      <c r="E56" s="476" t="s">
        <v>34</v>
      </c>
      <c r="F56" s="475" t="s">
        <v>34</v>
      </c>
      <c r="G56" s="364">
        <v>97190</v>
      </c>
      <c r="H56" s="475" t="s">
        <v>5865</v>
      </c>
      <c r="I56" s="475" t="s">
        <v>139</v>
      </c>
      <c r="J56" s="475" t="s">
        <v>140</v>
      </c>
      <c r="K56" s="365">
        <v>53.65</v>
      </c>
      <c r="L56" s="475" t="s">
        <v>141</v>
      </c>
      <c r="M56" s="473"/>
    </row>
    <row r="57" spans="1:13" ht="13.5">
      <c r="A57" s="475" t="s">
        <v>5263</v>
      </c>
      <c r="B57" s="475" t="s">
        <v>5264</v>
      </c>
      <c r="C57" s="475" t="s">
        <v>5847</v>
      </c>
      <c r="D57" s="475" t="s">
        <v>5848</v>
      </c>
      <c r="E57" s="476" t="s">
        <v>34</v>
      </c>
      <c r="F57" s="475" t="s">
        <v>34</v>
      </c>
      <c r="G57" s="364">
        <v>97191</v>
      </c>
      <c r="H57" s="475" t="s">
        <v>5866</v>
      </c>
      <c r="I57" s="475" t="s">
        <v>139</v>
      </c>
      <c r="J57" s="475" t="s">
        <v>140</v>
      </c>
      <c r="K57" s="365">
        <v>62.16</v>
      </c>
      <c r="L57" s="475" t="s">
        <v>141</v>
      </c>
      <c r="M57" s="473"/>
    </row>
    <row r="58" spans="1:13" ht="13.5">
      <c r="A58" s="475" t="s">
        <v>5263</v>
      </c>
      <c r="B58" s="475" t="s">
        <v>5264</v>
      </c>
      <c r="C58" s="475" t="s">
        <v>5847</v>
      </c>
      <c r="D58" s="475" t="s">
        <v>5848</v>
      </c>
      <c r="E58" s="476" t="s">
        <v>34</v>
      </c>
      <c r="F58" s="475" t="s">
        <v>34</v>
      </c>
      <c r="G58" s="364">
        <v>97192</v>
      </c>
      <c r="H58" s="475" t="s">
        <v>5867</v>
      </c>
      <c r="I58" s="475" t="s">
        <v>139</v>
      </c>
      <c r="J58" s="475" t="s">
        <v>140</v>
      </c>
      <c r="K58" s="365">
        <v>68.63</v>
      </c>
      <c r="L58" s="475" t="s">
        <v>141</v>
      </c>
      <c r="M58" s="473"/>
    </row>
    <row r="59" spans="1:13" ht="13.5">
      <c r="A59" s="475" t="s">
        <v>5263</v>
      </c>
      <c r="B59" s="475" t="s">
        <v>5264</v>
      </c>
      <c r="C59" s="475" t="s">
        <v>5267</v>
      </c>
      <c r="D59" s="475" t="s">
        <v>5268</v>
      </c>
      <c r="E59" s="476" t="s">
        <v>34</v>
      </c>
      <c r="F59" s="475" t="s">
        <v>34</v>
      </c>
      <c r="G59" s="364">
        <v>90694</v>
      </c>
      <c r="H59" s="475" t="s">
        <v>142</v>
      </c>
      <c r="I59" s="475" t="s">
        <v>139</v>
      </c>
      <c r="J59" s="475" t="s">
        <v>140</v>
      </c>
      <c r="K59" s="365">
        <v>22.88</v>
      </c>
      <c r="L59" s="475" t="s">
        <v>141</v>
      </c>
      <c r="M59" s="473"/>
    </row>
    <row r="60" spans="1:13" ht="13.5">
      <c r="A60" s="475" t="s">
        <v>5263</v>
      </c>
      <c r="B60" s="475" t="s">
        <v>5264</v>
      </c>
      <c r="C60" s="475" t="s">
        <v>5267</v>
      </c>
      <c r="D60" s="475" t="s">
        <v>5268</v>
      </c>
      <c r="E60" s="476" t="s">
        <v>34</v>
      </c>
      <c r="F60" s="475" t="s">
        <v>34</v>
      </c>
      <c r="G60" s="364">
        <v>90695</v>
      </c>
      <c r="H60" s="475" t="s">
        <v>143</v>
      </c>
      <c r="I60" s="475" t="s">
        <v>139</v>
      </c>
      <c r="J60" s="475" t="s">
        <v>140</v>
      </c>
      <c r="K60" s="365">
        <v>47.52</v>
      </c>
      <c r="L60" s="475" t="s">
        <v>141</v>
      </c>
      <c r="M60" s="473"/>
    </row>
    <row r="61" spans="1:13" ht="13.5">
      <c r="A61" s="475" t="s">
        <v>5263</v>
      </c>
      <c r="B61" s="475" t="s">
        <v>5264</v>
      </c>
      <c r="C61" s="475" t="s">
        <v>5267</v>
      </c>
      <c r="D61" s="475" t="s">
        <v>5268</v>
      </c>
      <c r="E61" s="476" t="s">
        <v>34</v>
      </c>
      <c r="F61" s="475" t="s">
        <v>34</v>
      </c>
      <c r="G61" s="364">
        <v>90696</v>
      </c>
      <c r="H61" s="475" t="s">
        <v>144</v>
      </c>
      <c r="I61" s="475" t="s">
        <v>139</v>
      </c>
      <c r="J61" s="475" t="s">
        <v>140</v>
      </c>
      <c r="K61" s="365">
        <v>70.59</v>
      </c>
      <c r="L61" s="475" t="s">
        <v>141</v>
      </c>
      <c r="M61" s="473"/>
    </row>
    <row r="62" spans="1:13" ht="13.5">
      <c r="A62" s="475" t="s">
        <v>5263</v>
      </c>
      <c r="B62" s="475" t="s">
        <v>5264</v>
      </c>
      <c r="C62" s="475" t="s">
        <v>5267</v>
      </c>
      <c r="D62" s="475" t="s">
        <v>5268</v>
      </c>
      <c r="E62" s="476" t="s">
        <v>34</v>
      </c>
      <c r="F62" s="475" t="s">
        <v>34</v>
      </c>
      <c r="G62" s="364">
        <v>90697</v>
      </c>
      <c r="H62" s="475" t="s">
        <v>145</v>
      </c>
      <c r="I62" s="475" t="s">
        <v>139</v>
      </c>
      <c r="J62" s="475" t="s">
        <v>140</v>
      </c>
      <c r="K62" s="365">
        <v>118.81</v>
      </c>
      <c r="L62" s="475" t="s">
        <v>141</v>
      </c>
      <c r="M62" s="473"/>
    </row>
    <row r="63" spans="1:13" ht="13.5">
      <c r="A63" s="475" t="s">
        <v>5263</v>
      </c>
      <c r="B63" s="475" t="s">
        <v>5264</v>
      </c>
      <c r="C63" s="475" t="s">
        <v>5267</v>
      </c>
      <c r="D63" s="475" t="s">
        <v>5268</v>
      </c>
      <c r="E63" s="476" t="s">
        <v>34</v>
      </c>
      <c r="F63" s="475" t="s">
        <v>34</v>
      </c>
      <c r="G63" s="364">
        <v>90698</v>
      </c>
      <c r="H63" s="475" t="s">
        <v>146</v>
      </c>
      <c r="I63" s="475" t="s">
        <v>139</v>
      </c>
      <c r="J63" s="475" t="s">
        <v>140</v>
      </c>
      <c r="K63" s="365">
        <v>190.32</v>
      </c>
      <c r="L63" s="475" t="s">
        <v>141</v>
      </c>
      <c r="M63" s="473"/>
    </row>
    <row r="64" spans="1:13" ht="13.5">
      <c r="A64" s="475" t="s">
        <v>5263</v>
      </c>
      <c r="B64" s="475" t="s">
        <v>5264</v>
      </c>
      <c r="C64" s="475" t="s">
        <v>5267</v>
      </c>
      <c r="D64" s="475" t="s">
        <v>5268</v>
      </c>
      <c r="E64" s="476" t="s">
        <v>34</v>
      </c>
      <c r="F64" s="475" t="s">
        <v>34</v>
      </c>
      <c r="G64" s="364">
        <v>90699</v>
      </c>
      <c r="H64" s="475" t="s">
        <v>147</v>
      </c>
      <c r="I64" s="475" t="s">
        <v>139</v>
      </c>
      <c r="J64" s="475" t="s">
        <v>140</v>
      </c>
      <c r="K64" s="365">
        <v>235.26</v>
      </c>
      <c r="L64" s="475" t="s">
        <v>141</v>
      </c>
      <c r="M64" s="473"/>
    </row>
    <row r="65" spans="1:13" ht="13.5">
      <c r="A65" s="475" t="s">
        <v>5263</v>
      </c>
      <c r="B65" s="475" t="s">
        <v>5264</v>
      </c>
      <c r="C65" s="475" t="s">
        <v>5267</v>
      </c>
      <c r="D65" s="475" t="s">
        <v>5268</v>
      </c>
      <c r="E65" s="476" t="s">
        <v>34</v>
      </c>
      <c r="F65" s="475" t="s">
        <v>34</v>
      </c>
      <c r="G65" s="364">
        <v>90700</v>
      </c>
      <c r="H65" s="475" t="s">
        <v>148</v>
      </c>
      <c r="I65" s="475" t="s">
        <v>139</v>
      </c>
      <c r="J65" s="475" t="s">
        <v>140</v>
      </c>
      <c r="K65" s="365">
        <v>309.38</v>
      </c>
      <c r="L65" s="475" t="s">
        <v>141</v>
      </c>
      <c r="M65" s="473"/>
    </row>
    <row r="66" spans="1:13" ht="13.5">
      <c r="A66" s="475" t="s">
        <v>5263</v>
      </c>
      <c r="B66" s="475" t="s">
        <v>5264</v>
      </c>
      <c r="C66" s="475" t="s">
        <v>5267</v>
      </c>
      <c r="D66" s="475" t="s">
        <v>5268</v>
      </c>
      <c r="E66" s="476" t="s">
        <v>34</v>
      </c>
      <c r="F66" s="475" t="s">
        <v>34</v>
      </c>
      <c r="G66" s="364">
        <v>90701</v>
      </c>
      <c r="H66" s="475" t="s">
        <v>149</v>
      </c>
      <c r="I66" s="475" t="s">
        <v>139</v>
      </c>
      <c r="J66" s="475" t="s">
        <v>140</v>
      </c>
      <c r="K66" s="365">
        <v>40.58</v>
      </c>
      <c r="L66" s="475" t="s">
        <v>141</v>
      </c>
      <c r="M66" s="473"/>
    </row>
    <row r="67" spans="1:13" ht="13.5">
      <c r="A67" s="475" t="s">
        <v>5263</v>
      </c>
      <c r="B67" s="475" t="s">
        <v>5264</v>
      </c>
      <c r="C67" s="475" t="s">
        <v>5267</v>
      </c>
      <c r="D67" s="475" t="s">
        <v>5268</v>
      </c>
      <c r="E67" s="476" t="s">
        <v>34</v>
      </c>
      <c r="F67" s="475" t="s">
        <v>34</v>
      </c>
      <c r="G67" s="364">
        <v>90702</v>
      </c>
      <c r="H67" s="475" t="s">
        <v>150</v>
      </c>
      <c r="I67" s="475" t="s">
        <v>139</v>
      </c>
      <c r="J67" s="475" t="s">
        <v>140</v>
      </c>
      <c r="K67" s="365">
        <v>63.57</v>
      </c>
      <c r="L67" s="475" t="s">
        <v>141</v>
      </c>
      <c r="M67" s="473"/>
    </row>
    <row r="68" spans="1:13" ht="13.5">
      <c r="A68" s="475" t="s">
        <v>5263</v>
      </c>
      <c r="B68" s="475" t="s">
        <v>5264</v>
      </c>
      <c r="C68" s="475" t="s">
        <v>5267</v>
      </c>
      <c r="D68" s="475" t="s">
        <v>5268</v>
      </c>
      <c r="E68" s="476" t="s">
        <v>34</v>
      </c>
      <c r="F68" s="475" t="s">
        <v>34</v>
      </c>
      <c r="G68" s="364">
        <v>90703</v>
      </c>
      <c r="H68" s="475" t="s">
        <v>151</v>
      </c>
      <c r="I68" s="475" t="s">
        <v>139</v>
      </c>
      <c r="J68" s="475" t="s">
        <v>140</v>
      </c>
      <c r="K68" s="365">
        <v>103.11</v>
      </c>
      <c r="L68" s="475" t="s">
        <v>141</v>
      </c>
      <c r="M68" s="473"/>
    </row>
    <row r="69" spans="1:13" ht="13.5">
      <c r="A69" s="475" t="s">
        <v>5263</v>
      </c>
      <c r="B69" s="475" t="s">
        <v>5264</v>
      </c>
      <c r="C69" s="475" t="s">
        <v>5267</v>
      </c>
      <c r="D69" s="475" t="s">
        <v>5268</v>
      </c>
      <c r="E69" s="476" t="s">
        <v>34</v>
      </c>
      <c r="F69" s="475" t="s">
        <v>34</v>
      </c>
      <c r="G69" s="364">
        <v>90704</v>
      </c>
      <c r="H69" s="475" t="s">
        <v>152</v>
      </c>
      <c r="I69" s="475" t="s">
        <v>139</v>
      </c>
      <c r="J69" s="475" t="s">
        <v>140</v>
      </c>
      <c r="K69" s="365">
        <v>141.91999999999999</v>
      </c>
      <c r="L69" s="475" t="s">
        <v>141</v>
      </c>
      <c r="M69" s="473"/>
    </row>
    <row r="70" spans="1:13" ht="13.5">
      <c r="A70" s="475" t="s">
        <v>5263</v>
      </c>
      <c r="B70" s="475" t="s">
        <v>5264</v>
      </c>
      <c r="C70" s="475" t="s">
        <v>5267</v>
      </c>
      <c r="D70" s="475" t="s">
        <v>5268</v>
      </c>
      <c r="E70" s="476" t="s">
        <v>34</v>
      </c>
      <c r="F70" s="475" t="s">
        <v>34</v>
      </c>
      <c r="G70" s="364">
        <v>90705</v>
      </c>
      <c r="H70" s="475" t="s">
        <v>153</v>
      </c>
      <c r="I70" s="475" t="s">
        <v>139</v>
      </c>
      <c r="J70" s="475" t="s">
        <v>140</v>
      </c>
      <c r="K70" s="365">
        <v>198.97</v>
      </c>
      <c r="L70" s="475" t="s">
        <v>141</v>
      </c>
      <c r="M70" s="473"/>
    </row>
    <row r="71" spans="1:13" ht="13.5">
      <c r="A71" s="475" t="s">
        <v>5263</v>
      </c>
      <c r="B71" s="475" t="s">
        <v>5264</v>
      </c>
      <c r="C71" s="475" t="s">
        <v>5267</v>
      </c>
      <c r="D71" s="475" t="s">
        <v>5268</v>
      </c>
      <c r="E71" s="476" t="s">
        <v>34</v>
      </c>
      <c r="F71" s="475" t="s">
        <v>34</v>
      </c>
      <c r="G71" s="364">
        <v>90706</v>
      </c>
      <c r="H71" s="475" t="s">
        <v>154</v>
      </c>
      <c r="I71" s="475" t="s">
        <v>139</v>
      </c>
      <c r="J71" s="475" t="s">
        <v>140</v>
      </c>
      <c r="K71" s="365">
        <v>238.74</v>
      </c>
      <c r="L71" s="475" t="s">
        <v>141</v>
      </c>
      <c r="M71" s="473"/>
    </row>
    <row r="72" spans="1:13" ht="13.5">
      <c r="A72" s="475" t="s">
        <v>5263</v>
      </c>
      <c r="B72" s="475" t="s">
        <v>5264</v>
      </c>
      <c r="C72" s="475" t="s">
        <v>5267</v>
      </c>
      <c r="D72" s="475" t="s">
        <v>5268</v>
      </c>
      <c r="E72" s="476" t="s">
        <v>34</v>
      </c>
      <c r="F72" s="475" t="s">
        <v>34</v>
      </c>
      <c r="G72" s="364">
        <v>90708</v>
      </c>
      <c r="H72" s="475" t="s">
        <v>155</v>
      </c>
      <c r="I72" s="475" t="s">
        <v>139</v>
      </c>
      <c r="J72" s="475" t="s">
        <v>140</v>
      </c>
      <c r="K72" s="365">
        <v>647.70000000000005</v>
      </c>
      <c r="L72" s="475" t="s">
        <v>141</v>
      </c>
      <c r="M72" s="473"/>
    </row>
    <row r="73" spans="1:13" ht="13.5">
      <c r="A73" s="475" t="s">
        <v>5263</v>
      </c>
      <c r="B73" s="475" t="s">
        <v>5264</v>
      </c>
      <c r="C73" s="475" t="s">
        <v>5267</v>
      </c>
      <c r="D73" s="475" t="s">
        <v>5268</v>
      </c>
      <c r="E73" s="476" t="s">
        <v>34</v>
      </c>
      <c r="F73" s="475" t="s">
        <v>34</v>
      </c>
      <c r="G73" s="364">
        <v>90709</v>
      </c>
      <c r="H73" s="475" t="s">
        <v>156</v>
      </c>
      <c r="I73" s="475" t="s">
        <v>139</v>
      </c>
      <c r="J73" s="475" t="s">
        <v>140</v>
      </c>
      <c r="K73" s="365">
        <v>24.28</v>
      </c>
      <c r="L73" s="475" t="s">
        <v>141</v>
      </c>
      <c r="M73" s="473"/>
    </row>
    <row r="74" spans="1:13" ht="13.5">
      <c r="A74" s="475" t="s">
        <v>5263</v>
      </c>
      <c r="B74" s="475" t="s">
        <v>5264</v>
      </c>
      <c r="C74" s="475" t="s">
        <v>5267</v>
      </c>
      <c r="D74" s="475" t="s">
        <v>5268</v>
      </c>
      <c r="E74" s="476" t="s">
        <v>34</v>
      </c>
      <c r="F74" s="475" t="s">
        <v>34</v>
      </c>
      <c r="G74" s="364">
        <v>90710</v>
      </c>
      <c r="H74" s="475" t="s">
        <v>157</v>
      </c>
      <c r="I74" s="475" t="s">
        <v>139</v>
      </c>
      <c r="J74" s="475" t="s">
        <v>140</v>
      </c>
      <c r="K74" s="365">
        <v>48.93</v>
      </c>
      <c r="L74" s="475" t="s">
        <v>141</v>
      </c>
      <c r="M74" s="473"/>
    </row>
    <row r="75" spans="1:13" ht="13.5">
      <c r="A75" s="475" t="s">
        <v>5263</v>
      </c>
      <c r="B75" s="475" t="s">
        <v>5264</v>
      </c>
      <c r="C75" s="475" t="s">
        <v>5267</v>
      </c>
      <c r="D75" s="475" t="s">
        <v>5268</v>
      </c>
      <c r="E75" s="476" t="s">
        <v>34</v>
      </c>
      <c r="F75" s="475" t="s">
        <v>34</v>
      </c>
      <c r="G75" s="364">
        <v>90711</v>
      </c>
      <c r="H75" s="475" t="s">
        <v>158</v>
      </c>
      <c r="I75" s="475" t="s">
        <v>139</v>
      </c>
      <c r="J75" s="475" t="s">
        <v>140</v>
      </c>
      <c r="K75" s="365">
        <v>71.98</v>
      </c>
      <c r="L75" s="475" t="s">
        <v>141</v>
      </c>
      <c r="M75" s="473"/>
    </row>
    <row r="76" spans="1:13" ht="13.5">
      <c r="A76" s="475" t="s">
        <v>5263</v>
      </c>
      <c r="B76" s="475" t="s">
        <v>5264</v>
      </c>
      <c r="C76" s="475" t="s">
        <v>5267</v>
      </c>
      <c r="D76" s="475" t="s">
        <v>5268</v>
      </c>
      <c r="E76" s="476" t="s">
        <v>34</v>
      </c>
      <c r="F76" s="475" t="s">
        <v>34</v>
      </c>
      <c r="G76" s="364">
        <v>90712</v>
      </c>
      <c r="H76" s="475" t="s">
        <v>159</v>
      </c>
      <c r="I76" s="475" t="s">
        <v>139</v>
      </c>
      <c r="J76" s="475" t="s">
        <v>140</v>
      </c>
      <c r="K76" s="365">
        <v>120.2</v>
      </c>
      <c r="L76" s="475" t="s">
        <v>141</v>
      </c>
      <c r="M76" s="473"/>
    </row>
    <row r="77" spans="1:13" ht="13.5">
      <c r="A77" s="475" t="s">
        <v>5263</v>
      </c>
      <c r="B77" s="475" t="s">
        <v>5264</v>
      </c>
      <c r="C77" s="475" t="s">
        <v>5267</v>
      </c>
      <c r="D77" s="475" t="s">
        <v>5268</v>
      </c>
      <c r="E77" s="476" t="s">
        <v>34</v>
      </c>
      <c r="F77" s="475" t="s">
        <v>34</v>
      </c>
      <c r="G77" s="364">
        <v>90713</v>
      </c>
      <c r="H77" s="475" t="s">
        <v>160</v>
      </c>
      <c r="I77" s="475" t="s">
        <v>139</v>
      </c>
      <c r="J77" s="475" t="s">
        <v>140</v>
      </c>
      <c r="K77" s="365">
        <v>191.71</v>
      </c>
      <c r="L77" s="475" t="s">
        <v>141</v>
      </c>
      <c r="M77" s="473"/>
    </row>
    <row r="78" spans="1:13" ht="13.5">
      <c r="A78" s="475" t="s">
        <v>5263</v>
      </c>
      <c r="B78" s="475" t="s">
        <v>5264</v>
      </c>
      <c r="C78" s="475" t="s">
        <v>5267</v>
      </c>
      <c r="D78" s="475" t="s">
        <v>5268</v>
      </c>
      <c r="E78" s="476" t="s">
        <v>34</v>
      </c>
      <c r="F78" s="475" t="s">
        <v>34</v>
      </c>
      <c r="G78" s="364">
        <v>90714</v>
      </c>
      <c r="H78" s="475" t="s">
        <v>161</v>
      </c>
      <c r="I78" s="475" t="s">
        <v>139</v>
      </c>
      <c r="J78" s="475" t="s">
        <v>140</v>
      </c>
      <c r="K78" s="365">
        <v>236.67</v>
      </c>
      <c r="L78" s="475" t="s">
        <v>141</v>
      </c>
      <c r="M78" s="473"/>
    </row>
    <row r="79" spans="1:13" ht="13.5">
      <c r="A79" s="475" t="s">
        <v>5263</v>
      </c>
      <c r="B79" s="475" t="s">
        <v>5264</v>
      </c>
      <c r="C79" s="475" t="s">
        <v>5267</v>
      </c>
      <c r="D79" s="475" t="s">
        <v>5268</v>
      </c>
      <c r="E79" s="476" t="s">
        <v>34</v>
      </c>
      <c r="F79" s="475" t="s">
        <v>34</v>
      </c>
      <c r="G79" s="364">
        <v>90715</v>
      </c>
      <c r="H79" s="475" t="s">
        <v>162</v>
      </c>
      <c r="I79" s="475" t="s">
        <v>139</v>
      </c>
      <c r="J79" s="475" t="s">
        <v>140</v>
      </c>
      <c r="K79" s="365">
        <v>312.63</v>
      </c>
      <c r="L79" s="475" t="s">
        <v>141</v>
      </c>
      <c r="M79" s="473"/>
    </row>
    <row r="80" spans="1:13" ht="13.5">
      <c r="A80" s="475" t="s">
        <v>5263</v>
      </c>
      <c r="B80" s="475" t="s">
        <v>5264</v>
      </c>
      <c r="C80" s="475" t="s">
        <v>5267</v>
      </c>
      <c r="D80" s="475" t="s">
        <v>5268</v>
      </c>
      <c r="E80" s="476" t="s">
        <v>34</v>
      </c>
      <c r="F80" s="475" t="s">
        <v>34</v>
      </c>
      <c r="G80" s="364">
        <v>90716</v>
      </c>
      <c r="H80" s="475" t="s">
        <v>163</v>
      </c>
      <c r="I80" s="475" t="s">
        <v>139</v>
      </c>
      <c r="J80" s="475" t="s">
        <v>140</v>
      </c>
      <c r="K80" s="365">
        <v>41.98</v>
      </c>
      <c r="L80" s="475" t="s">
        <v>141</v>
      </c>
      <c r="M80" s="473"/>
    </row>
    <row r="81" spans="1:13" ht="13.5">
      <c r="A81" s="475" t="s">
        <v>5263</v>
      </c>
      <c r="B81" s="475" t="s">
        <v>5264</v>
      </c>
      <c r="C81" s="475" t="s">
        <v>5267</v>
      </c>
      <c r="D81" s="475" t="s">
        <v>5268</v>
      </c>
      <c r="E81" s="476" t="s">
        <v>34</v>
      </c>
      <c r="F81" s="475" t="s">
        <v>34</v>
      </c>
      <c r="G81" s="364">
        <v>90717</v>
      </c>
      <c r="H81" s="475" t="s">
        <v>164</v>
      </c>
      <c r="I81" s="475" t="s">
        <v>139</v>
      </c>
      <c r="J81" s="475" t="s">
        <v>140</v>
      </c>
      <c r="K81" s="365">
        <v>64.97</v>
      </c>
      <c r="L81" s="475" t="s">
        <v>141</v>
      </c>
      <c r="M81" s="473"/>
    </row>
    <row r="82" spans="1:13" ht="13.5">
      <c r="A82" s="475" t="s">
        <v>5263</v>
      </c>
      <c r="B82" s="475" t="s">
        <v>5264</v>
      </c>
      <c r="C82" s="475" t="s">
        <v>5267</v>
      </c>
      <c r="D82" s="475" t="s">
        <v>5268</v>
      </c>
      <c r="E82" s="476" t="s">
        <v>34</v>
      </c>
      <c r="F82" s="475" t="s">
        <v>34</v>
      </c>
      <c r="G82" s="364">
        <v>90718</v>
      </c>
      <c r="H82" s="475" t="s">
        <v>165</v>
      </c>
      <c r="I82" s="475" t="s">
        <v>139</v>
      </c>
      <c r="J82" s="475" t="s">
        <v>140</v>
      </c>
      <c r="K82" s="365">
        <v>104.5</v>
      </c>
      <c r="L82" s="475" t="s">
        <v>141</v>
      </c>
      <c r="M82" s="473"/>
    </row>
    <row r="83" spans="1:13" ht="13.5">
      <c r="A83" s="475" t="s">
        <v>5263</v>
      </c>
      <c r="B83" s="475" t="s">
        <v>5264</v>
      </c>
      <c r="C83" s="475" t="s">
        <v>5267</v>
      </c>
      <c r="D83" s="475" t="s">
        <v>5268</v>
      </c>
      <c r="E83" s="476" t="s">
        <v>34</v>
      </c>
      <c r="F83" s="475" t="s">
        <v>34</v>
      </c>
      <c r="G83" s="364">
        <v>90719</v>
      </c>
      <c r="H83" s="475" t="s">
        <v>166</v>
      </c>
      <c r="I83" s="475" t="s">
        <v>139</v>
      </c>
      <c r="J83" s="475" t="s">
        <v>140</v>
      </c>
      <c r="K83" s="365">
        <v>143.31</v>
      </c>
      <c r="L83" s="475" t="s">
        <v>141</v>
      </c>
      <c r="M83" s="473"/>
    </row>
    <row r="84" spans="1:13" ht="13.5">
      <c r="A84" s="475" t="s">
        <v>5263</v>
      </c>
      <c r="B84" s="475" t="s">
        <v>5264</v>
      </c>
      <c r="C84" s="475" t="s">
        <v>5267</v>
      </c>
      <c r="D84" s="475" t="s">
        <v>5268</v>
      </c>
      <c r="E84" s="476" t="s">
        <v>34</v>
      </c>
      <c r="F84" s="475" t="s">
        <v>34</v>
      </c>
      <c r="G84" s="364">
        <v>90720</v>
      </c>
      <c r="H84" s="475" t="s">
        <v>167</v>
      </c>
      <c r="I84" s="475" t="s">
        <v>139</v>
      </c>
      <c r="J84" s="475" t="s">
        <v>140</v>
      </c>
      <c r="K84" s="365">
        <v>200.36</v>
      </c>
      <c r="L84" s="475" t="s">
        <v>141</v>
      </c>
      <c r="M84" s="473"/>
    </row>
    <row r="85" spans="1:13" ht="13.5">
      <c r="A85" s="475" t="s">
        <v>5263</v>
      </c>
      <c r="B85" s="475" t="s">
        <v>5264</v>
      </c>
      <c r="C85" s="475" t="s">
        <v>5267</v>
      </c>
      <c r="D85" s="475" t="s">
        <v>5268</v>
      </c>
      <c r="E85" s="476" t="s">
        <v>34</v>
      </c>
      <c r="F85" s="475" t="s">
        <v>34</v>
      </c>
      <c r="G85" s="364">
        <v>90721</v>
      </c>
      <c r="H85" s="475" t="s">
        <v>168</v>
      </c>
      <c r="I85" s="475" t="s">
        <v>139</v>
      </c>
      <c r="J85" s="475" t="s">
        <v>140</v>
      </c>
      <c r="K85" s="365">
        <v>241.98</v>
      </c>
      <c r="L85" s="475" t="s">
        <v>141</v>
      </c>
      <c r="M85" s="473"/>
    </row>
    <row r="86" spans="1:13" ht="13.5">
      <c r="A86" s="475" t="s">
        <v>5263</v>
      </c>
      <c r="B86" s="475" t="s">
        <v>5264</v>
      </c>
      <c r="C86" s="475" t="s">
        <v>5267</v>
      </c>
      <c r="D86" s="475" t="s">
        <v>5268</v>
      </c>
      <c r="E86" s="476" t="s">
        <v>34</v>
      </c>
      <c r="F86" s="475" t="s">
        <v>34</v>
      </c>
      <c r="G86" s="364">
        <v>90723</v>
      </c>
      <c r="H86" s="475" t="s">
        <v>169</v>
      </c>
      <c r="I86" s="475" t="s">
        <v>139</v>
      </c>
      <c r="J86" s="475" t="s">
        <v>140</v>
      </c>
      <c r="K86" s="365">
        <v>649.72</v>
      </c>
      <c r="L86" s="475" t="s">
        <v>141</v>
      </c>
      <c r="M86" s="473"/>
    </row>
    <row r="87" spans="1:13" ht="13.5">
      <c r="A87" s="475" t="s">
        <v>5263</v>
      </c>
      <c r="B87" s="475" t="s">
        <v>5264</v>
      </c>
      <c r="C87" s="475" t="s">
        <v>5267</v>
      </c>
      <c r="D87" s="475" t="s">
        <v>5268</v>
      </c>
      <c r="E87" s="476" t="s">
        <v>34</v>
      </c>
      <c r="F87" s="475" t="s">
        <v>34</v>
      </c>
      <c r="G87" s="364">
        <v>90724</v>
      </c>
      <c r="H87" s="475" t="s">
        <v>170</v>
      </c>
      <c r="I87" s="475" t="s">
        <v>171</v>
      </c>
      <c r="J87" s="475" t="s">
        <v>337</v>
      </c>
      <c r="K87" s="365">
        <v>16.47</v>
      </c>
      <c r="L87" s="475" t="s">
        <v>141</v>
      </c>
      <c r="M87" s="473"/>
    </row>
    <row r="88" spans="1:13" ht="13.5">
      <c r="A88" s="475" t="s">
        <v>5263</v>
      </c>
      <c r="B88" s="475" t="s">
        <v>5264</v>
      </c>
      <c r="C88" s="475" t="s">
        <v>5267</v>
      </c>
      <c r="D88" s="475" t="s">
        <v>5268</v>
      </c>
      <c r="E88" s="476" t="s">
        <v>34</v>
      </c>
      <c r="F88" s="475" t="s">
        <v>34</v>
      </c>
      <c r="G88" s="364">
        <v>90725</v>
      </c>
      <c r="H88" s="475" t="s">
        <v>172</v>
      </c>
      <c r="I88" s="475" t="s">
        <v>171</v>
      </c>
      <c r="J88" s="475" t="s">
        <v>337</v>
      </c>
      <c r="K88" s="365">
        <v>20.37</v>
      </c>
      <c r="L88" s="475" t="s">
        <v>141</v>
      </c>
      <c r="M88" s="473"/>
    </row>
    <row r="89" spans="1:13" ht="13.5">
      <c r="A89" s="475" t="s">
        <v>5263</v>
      </c>
      <c r="B89" s="475" t="s">
        <v>5264</v>
      </c>
      <c r="C89" s="475" t="s">
        <v>5267</v>
      </c>
      <c r="D89" s="475" t="s">
        <v>5268</v>
      </c>
      <c r="E89" s="476" t="s">
        <v>34</v>
      </c>
      <c r="F89" s="475" t="s">
        <v>34</v>
      </c>
      <c r="G89" s="364">
        <v>90726</v>
      </c>
      <c r="H89" s="475" t="s">
        <v>173</v>
      </c>
      <c r="I89" s="475" t="s">
        <v>171</v>
      </c>
      <c r="J89" s="475" t="s">
        <v>337</v>
      </c>
      <c r="K89" s="365">
        <v>24.28</v>
      </c>
      <c r="L89" s="475" t="s">
        <v>141</v>
      </c>
      <c r="M89" s="473"/>
    </row>
    <row r="90" spans="1:13" ht="13.5">
      <c r="A90" s="475" t="s">
        <v>5263</v>
      </c>
      <c r="B90" s="475" t="s">
        <v>5264</v>
      </c>
      <c r="C90" s="475" t="s">
        <v>5267</v>
      </c>
      <c r="D90" s="475" t="s">
        <v>5268</v>
      </c>
      <c r="E90" s="476" t="s">
        <v>34</v>
      </c>
      <c r="F90" s="475" t="s">
        <v>34</v>
      </c>
      <c r="G90" s="364">
        <v>90727</v>
      </c>
      <c r="H90" s="475" t="s">
        <v>174</v>
      </c>
      <c r="I90" s="475" t="s">
        <v>171</v>
      </c>
      <c r="J90" s="475" t="s">
        <v>337</v>
      </c>
      <c r="K90" s="365">
        <v>28.18</v>
      </c>
      <c r="L90" s="475" t="s">
        <v>141</v>
      </c>
      <c r="M90" s="473"/>
    </row>
    <row r="91" spans="1:13" ht="13.5">
      <c r="A91" s="475" t="s">
        <v>5263</v>
      </c>
      <c r="B91" s="475" t="s">
        <v>5264</v>
      </c>
      <c r="C91" s="475" t="s">
        <v>5267</v>
      </c>
      <c r="D91" s="475" t="s">
        <v>5268</v>
      </c>
      <c r="E91" s="476" t="s">
        <v>34</v>
      </c>
      <c r="F91" s="475" t="s">
        <v>34</v>
      </c>
      <c r="G91" s="364">
        <v>90728</v>
      </c>
      <c r="H91" s="475" t="s">
        <v>175</v>
      </c>
      <c r="I91" s="475" t="s">
        <v>171</v>
      </c>
      <c r="J91" s="475" t="s">
        <v>337</v>
      </c>
      <c r="K91" s="365">
        <v>32.07</v>
      </c>
      <c r="L91" s="475" t="s">
        <v>141</v>
      </c>
      <c r="M91" s="473"/>
    </row>
    <row r="92" spans="1:13" ht="13.5">
      <c r="A92" s="475" t="s">
        <v>5263</v>
      </c>
      <c r="B92" s="475" t="s">
        <v>5264</v>
      </c>
      <c r="C92" s="475" t="s">
        <v>5267</v>
      </c>
      <c r="D92" s="475" t="s">
        <v>5268</v>
      </c>
      <c r="E92" s="476" t="s">
        <v>34</v>
      </c>
      <c r="F92" s="475" t="s">
        <v>34</v>
      </c>
      <c r="G92" s="364">
        <v>90729</v>
      </c>
      <c r="H92" s="475" t="s">
        <v>176</v>
      </c>
      <c r="I92" s="475" t="s">
        <v>171</v>
      </c>
      <c r="J92" s="475" t="s">
        <v>337</v>
      </c>
      <c r="K92" s="365">
        <v>35.97</v>
      </c>
      <c r="L92" s="475" t="s">
        <v>141</v>
      </c>
      <c r="M92" s="473"/>
    </row>
    <row r="93" spans="1:13" ht="13.5">
      <c r="A93" s="475" t="s">
        <v>5263</v>
      </c>
      <c r="B93" s="475" t="s">
        <v>5264</v>
      </c>
      <c r="C93" s="475" t="s">
        <v>5267</v>
      </c>
      <c r="D93" s="475" t="s">
        <v>5268</v>
      </c>
      <c r="E93" s="476" t="s">
        <v>34</v>
      </c>
      <c r="F93" s="475" t="s">
        <v>34</v>
      </c>
      <c r="G93" s="364">
        <v>90730</v>
      </c>
      <c r="H93" s="475" t="s">
        <v>177</v>
      </c>
      <c r="I93" s="475" t="s">
        <v>171</v>
      </c>
      <c r="J93" s="475" t="s">
        <v>337</v>
      </c>
      <c r="K93" s="365">
        <v>39.909999999999997</v>
      </c>
      <c r="L93" s="475" t="s">
        <v>141</v>
      </c>
      <c r="M93" s="473"/>
    </row>
    <row r="94" spans="1:13" ht="13.5">
      <c r="A94" s="475" t="s">
        <v>5263</v>
      </c>
      <c r="B94" s="475" t="s">
        <v>5264</v>
      </c>
      <c r="C94" s="475" t="s">
        <v>5267</v>
      </c>
      <c r="D94" s="475" t="s">
        <v>5268</v>
      </c>
      <c r="E94" s="476" t="s">
        <v>34</v>
      </c>
      <c r="F94" s="475" t="s">
        <v>34</v>
      </c>
      <c r="G94" s="364">
        <v>90731</v>
      </c>
      <c r="H94" s="475" t="s">
        <v>178</v>
      </c>
      <c r="I94" s="475" t="s">
        <v>171</v>
      </c>
      <c r="J94" s="475" t="s">
        <v>337</v>
      </c>
      <c r="K94" s="365">
        <v>43.82</v>
      </c>
      <c r="L94" s="475" t="s">
        <v>141</v>
      </c>
      <c r="M94" s="473"/>
    </row>
    <row r="95" spans="1:13" ht="13.5">
      <c r="A95" s="475" t="s">
        <v>5263</v>
      </c>
      <c r="B95" s="475" t="s">
        <v>5264</v>
      </c>
      <c r="C95" s="475" t="s">
        <v>5267</v>
      </c>
      <c r="D95" s="475" t="s">
        <v>5268</v>
      </c>
      <c r="E95" s="476" t="s">
        <v>34</v>
      </c>
      <c r="F95" s="475" t="s">
        <v>34</v>
      </c>
      <c r="G95" s="364">
        <v>90732</v>
      </c>
      <c r="H95" s="475" t="s">
        <v>179</v>
      </c>
      <c r="I95" s="475" t="s">
        <v>171</v>
      </c>
      <c r="J95" s="475" t="s">
        <v>337</v>
      </c>
      <c r="K95" s="365">
        <v>55.52</v>
      </c>
      <c r="L95" s="475" t="s">
        <v>141</v>
      </c>
      <c r="M95" s="473"/>
    </row>
    <row r="96" spans="1:13" ht="13.5">
      <c r="A96" s="475" t="s">
        <v>5263</v>
      </c>
      <c r="B96" s="475" t="s">
        <v>5264</v>
      </c>
      <c r="C96" s="475" t="s">
        <v>5267</v>
      </c>
      <c r="D96" s="475" t="s">
        <v>5268</v>
      </c>
      <c r="E96" s="476" t="s">
        <v>34</v>
      </c>
      <c r="F96" s="475" t="s">
        <v>34</v>
      </c>
      <c r="G96" s="364">
        <v>90733</v>
      </c>
      <c r="H96" s="475" t="s">
        <v>180</v>
      </c>
      <c r="I96" s="475" t="s">
        <v>139</v>
      </c>
      <c r="J96" s="475" t="s">
        <v>337</v>
      </c>
      <c r="K96" s="365">
        <v>1.76</v>
      </c>
      <c r="L96" s="475" t="s">
        <v>141</v>
      </c>
      <c r="M96" s="473"/>
    </row>
    <row r="97" spans="1:13" ht="13.5">
      <c r="A97" s="475" t="s">
        <v>5263</v>
      </c>
      <c r="B97" s="475" t="s">
        <v>5264</v>
      </c>
      <c r="C97" s="475" t="s">
        <v>5267</v>
      </c>
      <c r="D97" s="475" t="s">
        <v>5268</v>
      </c>
      <c r="E97" s="476" t="s">
        <v>34</v>
      </c>
      <c r="F97" s="475" t="s">
        <v>34</v>
      </c>
      <c r="G97" s="364">
        <v>90734</v>
      </c>
      <c r="H97" s="475" t="s">
        <v>181</v>
      </c>
      <c r="I97" s="475" t="s">
        <v>139</v>
      </c>
      <c r="J97" s="475" t="s">
        <v>337</v>
      </c>
      <c r="K97" s="365">
        <v>2.14</v>
      </c>
      <c r="L97" s="475" t="s">
        <v>141</v>
      </c>
      <c r="M97" s="473"/>
    </row>
    <row r="98" spans="1:13" ht="13.5">
      <c r="A98" s="475" t="s">
        <v>5263</v>
      </c>
      <c r="B98" s="475" t="s">
        <v>5264</v>
      </c>
      <c r="C98" s="475" t="s">
        <v>5267</v>
      </c>
      <c r="D98" s="475" t="s">
        <v>5268</v>
      </c>
      <c r="E98" s="476" t="s">
        <v>34</v>
      </c>
      <c r="F98" s="475" t="s">
        <v>34</v>
      </c>
      <c r="G98" s="364">
        <v>90735</v>
      </c>
      <c r="H98" s="475" t="s">
        <v>182</v>
      </c>
      <c r="I98" s="475" t="s">
        <v>139</v>
      </c>
      <c r="J98" s="475" t="s">
        <v>337</v>
      </c>
      <c r="K98" s="365">
        <v>2.5499999999999998</v>
      </c>
      <c r="L98" s="475" t="s">
        <v>141</v>
      </c>
      <c r="M98" s="473"/>
    </row>
    <row r="99" spans="1:13" ht="13.5">
      <c r="A99" s="475" t="s">
        <v>5263</v>
      </c>
      <c r="B99" s="475" t="s">
        <v>5264</v>
      </c>
      <c r="C99" s="475" t="s">
        <v>5267</v>
      </c>
      <c r="D99" s="475" t="s">
        <v>5268</v>
      </c>
      <c r="E99" s="476" t="s">
        <v>34</v>
      </c>
      <c r="F99" s="475" t="s">
        <v>34</v>
      </c>
      <c r="G99" s="364">
        <v>90736</v>
      </c>
      <c r="H99" s="475" t="s">
        <v>183</v>
      </c>
      <c r="I99" s="475" t="s">
        <v>139</v>
      </c>
      <c r="J99" s="475" t="s">
        <v>337</v>
      </c>
      <c r="K99" s="365">
        <v>2.94</v>
      </c>
      <c r="L99" s="475" t="s">
        <v>141</v>
      </c>
      <c r="M99" s="473"/>
    </row>
    <row r="100" spans="1:13" ht="13.5">
      <c r="A100" s="475" t="s">
        <v>5263</v>
      </c>
      <c r="B100" s="475" t="s">
        <v>5264</v>
      </c>
      <c r="C100" s="475" t="s">
        <v>5267</v>
      </c>
      <c r="D100" s="475" t="s">
        <v>5268</v>
      </c>
      <c r="E100" s="476" t="s">
        <v>34</v>
      </c>
      <c r="F100" s="475" t="s">
        <v>34</v>
      </c>
      <c r="G100" s="364">
        <v>90737</v>
      </c>
      <c r="H100" s="475" t="s">
        <v>184</v>
      </c>
      <c r="I100" s="475" t="s">
        <v>139</v>
      </c>
      <c r="J100" s="475" t="s">
        <v>337</v>
      </c>
      <c r="K100" s="365">
        <v>3.33</v>
      </c>
      <c r="L100" s="475" t="s">
        <v>141</v>
      </c>
      <c r="M100" s="473"/>
    </row>
    <row r="101" spans="1:13" ht="13.5">
      <c r="A101" s="475" t="s">
        <v>5263</v>
      </c>
      <c r="B101" s="475" t="s">
        <v>5264</v>
      </c>
      <c r="C101" s="475" t="s">
        <v>5267</v>
      </c>
      <c r="D101" s="475" t="s">
        <v>5268</v>
      </c>
      <c r="E101" s="476" t="s">
        <v>34</v>
      </c>
      <c r="F101" s="475" t="s">
        <v>34</v>
      </c>
      <c r="G101" s="364">
        <v>90738</v>
      </c>
      <c r="H101" s="475" t="s">
        <v>185</v>
      </c>
      <c r="I101" s="475" t="s">
        <v>139</v>
      </c>
      <c r="J101" s="475" t="s">
        <v>337</v>
      </c>
      <c r="K101" s="365">
        <v>3.72</v>
      </c>
      <c r="L101" s="475" t="s">
        <v>141</v>
      </c>
      <c r="M101" s="473"/>
    </row>
    <row r="102" spans="1:13" ht="13.5">
      <c r="A102" s="475" t="s">
        <v>5263</v>
      </c>
      <c r="B102" s="475" t="s">
        <v>5264</v>
      </c>
      <c r="C102" s="475" t="s">
        <v>5267</v>
      </c>
      <c r="D102" s="475" t="s">
        <v>5268</v>
      </c>
      <c r="E102" s="476" t="s">
        <v>34</v>
      </c>
      <c r="F102" s="475" t="s">
        <v>34</v>
      </c>
      <c r="G102" s="364">
        <v>90739</v>
      </c>
      <c r="H102" s="475" t="s">
        <v>186</v>
      </c>
      <c r="I102" s="475" t="s">
        <v>139</v>
      </c>
      <c r="J102" s="475" t="s">
        <v>140</v>
      </c>
      <c r="K102" s="365">
        <v>9.56</v>
      </c>
      <c r="L102" s="475" t="s">
        <v>141</v>
      </c>
      <c r="M102" s="473"/>
    </row>
    <row r="103" spans="1:13" ht="13.5">
      <c r="A103" s="475" t="s">
        <v>5263</v>
      </c>
      <c r="B103" s="475" t="s">
        <v>5264</v>
      </c>
      <c r="C103" s="475" t="s">
        <v>5267</v>
      </c>
      <c r="D103" s="475" t="s">
        <v>5268</v>
      </c>
      <c r="E103" s="476" t="s">
        <v>34</v>
      </c>
      <c r="F103" s="475" t="s">
        <v>34</v>
      </c>
      <c r="G103" s="364">
        <v>90740</v>
      </c>
      <c r="H103" s="475" t="s">
        <v>187</v>
      </c>
      <c r="I103" s="475" t="s">
        <v>139</v>
      </c>
      <c r="J103" s="475" t="s">
        <v>337</v>
      </c>
      <c r="K103" s="365">
        <v>3.92</v>
      </c>
      <c r="L103" s="475" t="s">
        <v>141</v>
      </c>
      <c r="M103" s="473"/>
    </row>
    <row r="104" spans="1:13" ht="13.5">
      <c r="A104" s="475" t="s">
        <v>5263</v>
      </c>
      <c r="B104" s="475" t="s">
        <v>5264</v>
      </c>
      <c r="C104" s="475" t="s">
        <v>5267</v>
      </c>
      <c r="D104" s="475" t="s">
        <v>5268</v>
      </c>
      <c r="E104" s="476" t="s">
        <v>34</v>
      </c>
      <c r="F104" s="475" t="s">
        <v>34</v>
      </c>
      <c r="G104" s="364">
        <v>90741</v>
      </c>
      <c r="H104" s="475" t="s">
        <v>188</v>
      </c>
      <c r="I104" s="475" t="s">
        <v>139</v>
      </c>
      <c r="J104" s="475" t="s">
        <v>337</v>
      </c>
      <c r="K104" s="365">
        <v>4.3099999999999996</v>
      </c>
      <c r="L104" s="475" t="s">
        <v>141</v>
      </c>
      <c r="M104" s="473"/>
    </row>
    <row r="105" spans="1:13" ht="13.5">
      <c r="A105" s="475" t="s">
        <v>5263</v>
      </c>
      <c r="B105" s="475" t="s">
        <v>5264</v>
      </c>
      <c r="C105" s="475" t="s">
        <v>5267</v>
      </c>
      <c r="D105" s="475" t="s">
        <v>5268</v>
      </c>
      <c r="E105" s="476" t="s">
        <v>34</v>
      </c>
      <c r="F105" s="475" t="s">
        <v>34</v>
      </c>
      <c r="G105" s="364">
        <v>90742</v>
      </c>
      <c r="H105" s="475" t="s">
        <v>189</v>
      </c>
      <c r="I105" s="475" t="s">
        <v>139</v>
      </c>
      <c r="J105" s="475" t="s">
        <v>337</v>
      </c>
      <c r="K105" s="365">
        <v>4.72</v>
      </c>
      <c r="L105" s="475" t="s">
        <v>141</v>
      </c>
      <c r="M105" s="473"/>
    </row>
    <row r="106" spans="1:13" ht="13.5">
      <c r="A106" s="475" t="s">
        <v>5263</v>
      </c>
      <c r="B106" s="475" t="s">
        <v>5264</v>
      </c>
      <c r="C106" s="475" t="s">
        <v>5267</v>
      </c>
      <c r="D106" s="475" t="s">
        <v>5268</v>
      </c>
      <c r="E106" s="476" t="s">
        <v>34</v>
      </c>
      <c r="F106" s="475" t="s">
        <v>34</v>
      </c>
      <c r="G106" s="364">
        <v>90743</v>
      </c>
      <c r="H106" s="475" t="s">
        <v>190</v>
      </c>
      <c r="I106" s="475" t="s">
        <v>139</v>
      </c>
      <c r="J106" s="475" t="s">
        <v>337</v>
      </c>
      <c r="K106" s="365">
        <v>5.1100000000000003</v>
      </c>
      <c r="L106" s="475" t="s">
        <v>141</v>
      </c>
      <c r="M106" s="473"/>
    </row>
    <row r="107" spans="1:13" ht="13.5">
      <c r="A107" s="475" t="s">
        <v>5263</v>
      </c>
      <c r="B107" s="475" t="s">
        <v>5264</v>
      </c>
      <c r="C107" s="475" t="s">
        <v>5267</v>
      </c>
      <c r="D107" s="475" t="s">
        <v>5268</v>
      </c>
      <c r="E107" s="476" t="s">
        <v>34</v>
      </c>
      <c r="F107" s="475" t="s">
        <v>34</v>
      </c>
      <c r="G107" s="364">
        <v>90744</v>
      </c>
      <c r="H107" s="475" t="s">
        <v>191</v>
      </c>
      <c r="I107" s="475" t="s">
        <v>139</v>
      </c>
      <c r="J107" s="475" t="s">
        <v>337</v>
      </c>
      <c r="K107" s="365">
        <v>5.5</v>
      </c>
      <c r="L107" s="475" t="s">
        <v>141</v>
      </c>
      <c r="M107" s="473"/>
    </row>
    <row r="108" spans="1:13" ht="13.5">
      <c r="A108" s="475" t="s">
        <v>5263</v>
      </c>
      <c r="B108" s="475" t="s">
        <v>5264</v>
      </c>
      <c r="C108" s="475" t="s">
        <v>5267</v>
      </c>
      <c r="D108" s="475" t="s">
        <v>5268</v>
      </c>
      <c r="E108" s="476" t="s">
        <v>34</v>
      </c>
      <c r="F108" s="475" t="s">
        <v>34</v>
      </c>
      <c r="G108" s="364">
        <v>90745</v>
      </c>
      <c r="H108" s="475" t="s">
        <v>192</v>
      </c>
      <c r="I108" s="475" t="s">
        <v>139</v>
      </c>
      <c r="J108" s="475" t="s">
        <v>140</v>
      </c>
      <c r="K108" s="365">
        <v>13.68</v>
      </c>
      <c r="L108" s="475" t="s">
        <v>141</v>
      </c>
      <c r="M108" s="473"/>
    </row>
    <row r="109" spans="1:13" ht="13.5">
      <c r="A109" s="475" t="s">
        <v>5263</v>
      </c>
      <c r="B109" s="475" t="s">
        <v>5264</v>
      </c>
      <c r="C109" s="475" t="s">
        <v>5267</v>
      </c>
      <c r="D109" s="475" t="s">
        <v>5268</v>
      </c>
      <c r="E109" s="476" t="s">
        <v>34</v>
      </c>
      <c r="F109" s="475" t="s">
        <v>34</v>
      </c>
      <c r="G109" s="364">
        <v>90746</v>
      </c>
      <c r="H109" s="475" t="s">
        <v>193</v>
      </c>
      <c r="I109" s="475" t="s">
        <v>139</v>
      </c>
      <c r="J109" s="475" t="s">
        <v>337</v>
      </c>
      <c r="K109" s="365">
        <v>2.38</v>
      </c>
      <c r="L109" s="475" t="s">
        <v>141</v>
      </c>
      <c r="M109" s="473"/>
    </row>
    <row r="110" spans="1:13" ht="13.5">
      <c r="A110" s="475" t="s">
        <v>5263</v>
      </c>
      <c r="B110" s="475" t="s">
        <v>5264</v>
      </c>
      <c r="C110" s="475" t="s">
        <v>5267</v>
      </c>
      <c r="D110" s="475" t="s">
        <v>5268</v>
      </c>
      <c r="E110" s="476" t="s">
        <v>34</v>
      </c>
      <c r="F110" s="475" t="s">
        <v>34</v>
      </c>
      <c r="G110" s="364">
        <v>90747</v>
      </c>
      <c r="H110" s="475" t="s">
        <v>194</v>
      </c>
      <c r="I110" s="475" t="s">
        <v>139</v>
      </c>
      <c r="J110" s="475" t="s">
        <v>140</v>
      </c>
      <c r="K110" s="365">
        <v>10.54</v>
      </c>
      <c r="L110" s="475" t="s">
        <v>141</v>
      </c>
      <c r="M110" s="473"/>
    </row>
    <row r="111" spans="1:13" ht="13.5">
      <c r="A111" s="475" t="s">
        <v>5263</v>
      </c>
      <c r="B111" s="475" t="s">
        <v>5264</v>
      </c>
      <c r="C111" s="475" t="s">
        <v>5267</v>
      </c>
      <c r="D111" s="475" t="s">
        <v>5268</v>
      </c>
      <c r="E111" s="476" t="s">
        <v>34</v>
      </c>
      <c r="F111" s="475" t="s">
        <v>34</v>
      </c>
      <c r="G111" s="364">
        <v>90748</v>
      </c>
      <c r="H111" s="475" t="s">
        <v>195</v>
      </c>
      <c r="I111" s="475" t="s">
        <v>139</v>
      </c>
      <c r="J111" s="475" t="s">
        <v>337</v>
      </c>
      <c r="K111" s="365">
        <v>3.16</v>
      </c>
      <c r="L111" s="475" t="s">
        <v>141</v>
      </c>
      <c r="M111" s="473"/>
    </row>
    <row r="112" spans="1:13" ht="13.5">
      <c r="A112" s="475" t="s">
        <v>5263</v>
      </c>
      <c r="B112" s="475" t="s">
        <v>5264</v>
      </c>
      <c r="C112" s="475" t="s">
        <v>5267</v>
      </c>
      <c r="D112" s="475" t="s">
        <v>5268</v>
      </c>
      <c r="E112" s="476" t="s">
        <v>34</v>
      </c>
      <c r="F112" s="475" t="s">
        <v>34</v>
      </c>
      <c r="G112" s="364">
        <v>90749</v>
      </c>
      <c r="H112" s="475" t="s">
        <v>196</v>
      </c>
      <c r="I112" s="475" t="s">
        <v>139</v>
      </c>
      <c r="J112" s="475" t="s">
        <v>337</v>
      </c>
      <c r="K112" s="365">
        <v>3.55</v>
      </c>
      <c r="L112" s="475" t="s">
        <v>141</v>
      </c>
      <c r="M112" s="473"/>
    </row>
    <row r="113" spans="1:13" ht="13.5">
      <c r="A113" s="475" t="s">
        <v>5263</v>
      </c>
      <c r="B113" s="475" t="s">
        <v>5264</v>
      </c>
      <c r="C113" s="475" t="s">
        <v>5267</v>
      </c>
      <c r="D113" s="475" t="s">
        <v>5268</v>
      </c>
      <c r="E113" s="476" t="s">
        <v>34</v>
      </c>
      <c r="F113" s="475" t="s">
        <v>34</v>
      </c>
      <c r="G113" s="364">
        <v>90750</v>
      </c>
      <c r="H113" s="475" t="s">
        <v>197</v>
      </c>
      <c r="I113" s="475" t="s">
        <v>139</v>
      </c>
      <c r="J113" s="475" t="s">
        <v>337</v>
      </c>
      <c r="K113" s="365">
        <v>3.94</v>
      </c>
      <c r="L113" s="475" t="s">
        <v>141</v>
      </c>
      <c r="M113" s="473"/>
    </row>
    <row r="114" spans="1:13" ht="13.5">
      <c r="A114" s="475" t="s">
        <v>5263</v>
      </c>
      <c r="B114" s="475" t="s">
        <v>5264</v>
      </c>
      <c r="C114" s="475" t="s">
        <v>5267</v>
      </c>
      <c r="D114" s="475" t="s">
        <v>5268</v>
      </c>
      <c r="E114" s="476" t="s">
        <v>34</v>
      </c>
      <c r="F114" s="475" t="s">
        <v>34</v>
      </c>
      <c r="G114" s="364">
        <v>90751</v>
      </c>
      <c r="H114" s="475" t="s">
        <v>198</v>
      </c>
      <c r="I114" s="475" t="s">
        <v>139</v>
      </c>
      <c r="J114" s="475" t="s">
        <v>337</v>
      </c>
      <c r="K114" s="365">
        <v>4.33</v>
      </c>
      <c r="L114" s="475" t="s">
        <v>141</v>
      </c>
      <c r="M114" s="473"/>
    </row>
    <row r="115" spans="1:13" ht="13.5">
      <c r="A115" s="475" t="s">
        <v>5263</v>
      </c>
      <c r="B115" s="475" t="s">
        <v>5264</v>
      </c>
      <c r="C115" s="475" t="s">
        <v>5267</v>
      </c>
      <c r="D115" s="475" t="s">
        <v>5268</v>
      </c>
      <c r="E115" s="476" t="s">
        <v>34</v>
      </c>
      <c r="F115" s="475" t="s">
        <v>34</v>
      </c>
      <c r="G115" s="364">
        <v>90752</v>
      </c>
      <c r="H115" s="475" t="s">
        <v>199</v>
      </c>
      <c r="I115" s="475" t="s">
        <v>139</v>
      </c>
      <c r="J115" s="475" t="s">
        <v>337</v>
      </c>
      <c r="K115" s="365">
        <v>4.72</v>
      </c>
      <c r="L115" s="475" t="s">
        <v>141</v>
      </c>
      <c r="M115" s="473"/>
    </row>
    <row r="116" spans="1:13" ht="13.5">
      <c r="A116" s="475" t="s">
        <v>5263</v>
      </c>
      <c r="B116" s="475" t="s">
        <v>5264</v>
      </c>
      <c r="C116" s="475" t="s">
        <v>5267</v>
      </c>
      <c r="D116" s="475" t="s">
        <v>5268</v>
      </c>
      <c r="E116" s="476" t="s">
        <v>34</v>
      </c>
      <c r="F116" s="475" t="s">
        <v>34</v>
      </c>
      <c r="G116" s="364">
        <v>90753</v>
      </c>
      <c r="H116" s="475" t="s">
        <v>200</v>
      </c>
      <c r="I116" s="475" t="s">
        <v>139</v>
      </c>
      <c r="J116" s="475" t="s">
        <v>337</v>
      </c>
      <c r="K116" s="365">
        <v>5.13</v>
      </c>
      <c r="L116" s="475" t="s">
        <v>141</v>
      </c>
      <c r="M116" s="473"/>
    </row>
    <row r="117" spans="1:13" ht="13.5">
      <c r="A117" s="475" t="s">
        <v>5263</v>
      </c>
      <c r="B117" s="475" t="s">
        <v>5264</v>
      </c>
      <c r="C117" s="475" t="s">
        <v>5267</v>
      </c>
      <c r="D117" s="475" t="s">
        <v>5268</v>
      </c>
      <c r="E117" s="476" t="s">
        <v>34</v>
      </c>
      <c r="F117" s="475" t="s">
        <v>34</v>
      </c>
      <c r="G117" s="364">
        <v>90754</v>
      </c>
      <c r="H117" s="475" t="s">
        <v>201</v>
      </c>
      <c r="I117" s="475" t="s">
        <v>139</v>
      </c>
      <c r="J117" s="475" t="s">
        <v>140</v>
      </c>
      <c r="K117" s="365">
        <v>12.81</v>
      </c>
      <c r="L117" s="475" t="s">
        <v>141</v>
      </c>
      <c r="M117" s="473"/>
    </row>
    <row r="118" spans="1:13" ht="13.5">
      <c r="A118" s="475" t="s">
        <v>5263</v>
      </c>
      <c r="B118" s="475" t="s">
        <v>5264</v>
      </c>
      <c r="C118" s="475" t="s">
        <v>5267</v>
      </c>
      <c r="D118" s="475" t="s">
        <v>5268</v>
      </c>
      <c r="E118" s="476" t="s">
        <v>34</v>
      </c>
      <c r="F118" s="475" t="s">
        <v>34</v>
      </c>
      <c r="G118" s="364">
        <v>90755</v>
      </c>
      <c r="H118" s="475" t="s">
        <v>202</v>
      </c>
      <c r="I118" s="475" t="s">
        <v>139</v>
      </c>
      <c r="J118" s="475" t="s">
        <v>337</v>
      </c>
      <c r="K118" s="365">
        <v>5.32</v>
      </c>
      <c r="L118" s="475" t="s">
        <v>141</v>
      </c>
      <c r="M118" s="473"/>
    </row>
    <row r="119" spans="1:13" ht="13.5">
      <c r="A119" s="475" t="s">
        <v>5263</v>
      </c>
      <c r="B119" s="475" t="s">
        <v>5264</v>
      </c>
      <c r="C119" s="475" t="s">
        <v>5267</v>
      </c>
      <c r="D119" s="475" t="s">
        <v>5268</v>
      </c>
      <c r="E119" s="476" t="s">
        <v>34</v>
      </c>
      <c r="F119" s="475" t="s">
        <v>34</v>
      </c>
      <c r="G119" s="364">
        <v>90756</v>
      </c>
      <c r="H119" s="475" t="s">
        <v>203</v>
      </c>
      <c r="I119" s="475" t="s">
        <v>139</v>
      </c>
      <c r="J119" s="475" t="s">
        <v>337</v>
      </c>
      <c r="K119" s="365">
        <v>5.71</v>
      </c>
      <c r="L119" s="475" t="s">
        <v>141</v>
      </c>
      <c r="M119" s="473"/>
    </row>
    <row r="120" spans="1:13" ht="13.5">
      <c r="A120" s="475" t="s">
        <v>5263</v>
      </c>
      <c r="B120" s="475" t="s">
        <v>5264</v>
      </c>
      <c r="C120" s="475" t="s">
        <v>5267</v>
      </c>
      <c r="D120" s="475" t="s">
        <v>5268</v>
      </c>
      <c r="E120" s="476" t="s">
        <v>34</v>
      </c>
      <c r="F120" s="475" t="s">
        <v>34</v>
      </c>
      <c r="G120" s="364">
        <v>90757</v>
      </c>
      <c r="H120" s="475" t="s">
        <v>204</v>
      </c>
      <c r="I120" s="475" t="s">
        <v>139</v>
      </c>
      <c r="J120" s="475" t="s">
        <v>337</v>
      </c>
      <c r="K120" s="365">
        <v>6.11</v>
      </c>
      <c r="L120" s="475" t="s">
        <v>141</v>
      </c>
      <c r="M120" s="473"/>
    </row>
    <row r="121" spans="1:13" ht="13.5">
      <c r="A121" s="475" t="s">
        <v>5263</v>
      </c>
      <c r="B121" s="475" t="s">
        <v>5264</v>
      </c>
      <c r="C121" s="475" t="s">
        <v>5267</v>
      </c>
      <c r="D121" s="475" t="s">
        <v>5268</v>
      </c>
      <c r="E121" s="476" t="s">
        <v>34</v>
      </c>
      <c r="F121" s="475" t="s">
        <v>34</v>
      </c>
      <c r="G121" s="364">
        <v>90758</v>
      </c>
      <c r="H121" s="475" t="s">
        <v>205</v>
      </c>
      <c r="I121" s="475" t="s">
        <v>139</v>
      </c>
      <c r="J121" s="475" t="s">
        <v>337</v>
      </c>
      <c r="K121" s="365">
        <v>6.5</v>
      </c>
      <c r="L121" s="475" t="s">
        <v>141</v>
      </c>
      <c r="M121" s="473"/>
    </row>
    <row r="122" spans="1:13" ht="13.5">
      <c r="A122" s="475" t="s">
        <v>5263</v>
      </c>
      <c r="B122" s="475" t="s">
        <v>5264</v>
      </c>
      <c r="C122" s="475" t="s">
        <v>5267</v>
      </c>
      <c r="D122" s="475" t="s">
        <v>5268</v>
      </c>
      <c r="E122" s="476" t="s">
        <v>34</v>
      </c>
      <c r="F122" s="475" t="s">
        <v>34</v>
      </c>
      <c r="G122" s="364">
        <v>90759</v>
      </c>
      <c r="H122" s="475" t="s">
        <v>206</v>
      </c>
      <c r="I122" s="475" t="s">
        <v>139</v>
      </c>
      <c r="J122" s="475" t="s">
        <v>337</v>
      </c>
      <c r="K122" s="365">
        <v>6.89</v>
      </c>
      <c r="L122" s="475" t="s">
        <v>141</v>
      </c>
      <c r="M122" s="473"/>
    </row>
    <row r="123" spans="1:13" ht="13.5">
      <c r="A123" s="475" t="s">
        <v>5263</v>
      </c>
      <c r="B123" s="475" t="s">
        <v>5264</v>
      </c>
      <c r="C123" s="475" t="s">
        <v>5267</v>
      </c>
      <c r="D123" s="475" t="s">
        <v>5268</v>
      </c>
      <c r="E123" s="476" t="s">
        <v>34</v>
      </c>
      <c r="F123" s="475" t="s">
        <v>34</v>
      </c>
      <c r="G123" s="364">
        <v>90760</v>
      </c>
      <c r="H123" s="475" t="s">
        <v>207</v>
      </c>
      <c r="I123" s="475" t="s">
        <v>139</v>
      </c>
      <c r="J123" s="475" t="s">
        <v>140</v>
      </c>
      <c r="K123" s="365">
        <v>16.920000000000002</v>
      </c>
      <c r="L123" s="475" t="s">
        <v>141</v>
      </c>
      <c r="M123" s="473"/>
    </row>
    <row r="124" spans="1:13" ht="13.5">
      <c r="A124" s="475" t="s">
        <v>5263</v>
      </c>
      <c r="B124" s="475" t="s">
        <v>5264</v>
      </c>
      <c r="C124" s="475" t="s">
        <v>5267</v>
      </c>
      <c r="D124" s="475" t="s">
        <v>5268</v>
      </c>
      <c r="E124" s="476" t="s">
        <v>34</v>
      </c>
      <c r="F124" s="475" t="s">
        <v>34</v>
      </c>
      <c r="G124" s="364">
        <v>90761</v>
      </c>
      <c r="H124" s="475" t="s">
        <v>208</v>
      </c>
      <c r="I124" s="475" t="s">
        <v>139</v>
      </c>
      <c r="J124" s="475" t="s">
        <v>337</v>
      </c>
      <c r="K124" s="365">
        <v>2.93</v>
      </c>
      <c r="L124" s="475" t="s">
        <v>141</v>
      </c>
      <c r="M124" s="473"/>
    </row>
    <row r="125" spans="1:13" ht="13.5">
      <c r="A125" s="475" t="s">
        <v>5263</v>
      </c>
      <c r="B125" s="475" t="s">
        <v>5264</v>
      </c>
      <c r="C125" s="475" t="s">
        <v>5267</v>
      </c>
      <c r="D125" s="475" t="s">
        <v>5268</v>
      </c>
      <c r="E125" s="476" t="s">
        <v>34</v>
      </c>
      <c r="F125" s="475" t="s">
        <v>34</v>
      </c>
      <c r="G125" s="364">
        <v>90762</v>
      </c>
      <c r="H125" s="475" t="s">
        <v>209</v>
      </c>
      <c r="I125" s="475" t="s">
        <v>139</v>
      </c>
      <c r="J125" s="475" t="s">
        <v>140</v>
      </c>
      <c r="K125" s="365">
        <v>12.56</v>
      </c>
      <c r="L125" s="475" t="s">
        <v>141</v>
      </c>
      <c r="M125" s="473"/>
    </row>
    <row r="126" spans="1:13" ht="13.5">
      <c r="A126" s="475" t="s">
        <v>5263</v>
      </c>
      <c r="B126" s="475" t="s">
        <v>5264</v>
      </c>
      <c r="C126" s="475" t="s">
        <v>5267</v>
      </c>
      <c r="D126" s="475" t="s">
        <v>5268</v>
      </c>
      <c r="E126" s="476" t="s">
        <v>34</v>
      </c>
      <c r="F126" s="475" t="s">
        <v>34</v>
      </c>
      <c r="G126" s="364">
        <v>94869</v>
      </c>
      <c r="H126" s="475" t="s">
        <v>210</v>
      </c>
      <c r="I126" s="475" t="s">
        <v>139</v>
      </c>
      <c r="J126" s="475" t="s">
        <v>140</v>
      </c>
      <c r="K126" s="365">
        <v>131.74</v>
      </c>
      <c r="L126" s="475" t="s">
        <v>141</v>
      </c>
      <c r="M126" s="473"/>
    </row>
    <row r="127" spans="1:13" ht="13.5">
      <c r="A127" s="475" t="s">
        <v>5263</v>
      </c>
      <c r="B127" s="475" t="s">
        <v>5264</v>
      </c>
      <c r="C127" s="475" t="s">
        <v>5267</v>
      </c>
      <c r="D127" s="475" t="s">
        <v>5268</v>
      </c>
      <c r="E127" s="476" t="s">
        <v>34</v>
      </c>
      <c r="F127" s="475" t="s">
        <v>34</v>
      </c>
      <c r="G127" s="364">
        <v>94870</v>
      </c>
      <c r="H127" s="475" t="s">
        <v>211</v>
      </c>
      <c r="I127" s="475" t="s">
        <v>139</v>
      </c>
      <c r="J127" s="475" t="s">
        <v>337</v>
      </c>
      <c r="K127" s="365">
        <v>0.57999999999999996</v>
      </c>
      <c r="L127" s="475" t="s">
        <v>141</v>
      </c>
      <c r="M127" s="473"/>
    </row>
    <row r="128" spans="1:13" ht="13.5">
      <c r="A128" s="475" t="s">
        <v>5263</v>
      </c>
      <c r="B128" s="475" t="s">
        <v>5264</v>
      </c>
      <c r="C128" s="475" t="s">
        <v>5267</v>
      </c>
      <c r="D128" s="475" t="s">
        <v>5268</v>
      </c>
      <c r="E128" s="476" t="s">
        <v>34</v>
      </c>
      <c r="F128" s="475" t="s">
        <v>34</v>
      </c>
      <c r="G128" s="364">
        <v>94871</v>
      </c>
      <c r="H128" s="475" t="s">
        <v>212</v>
      </c>
      <c r="I128" s="475" t="s">
        <v>139</v>
      </c>
      <c r="J128" s="475" t="s">
        <v>140</v>
      </c>
      <c r="K128" s="365">
        <v>156.09</v>
      </c>
      <c r="L128" s="475" t="s">
        <v>141</v>
      </c>
      <c r="M128" s="473"/>
    </row>
    <row r="129" spans="1:13" ht="13.5">
      <c r="A129" s="475" t="s">
        <v>5263</v>
      </c>
      <c r="B129" s="475" t="s">
        <v>5264</v>
      </c>
      <c r="C129" s="475" t="s">
        <v>5267</v>
      </c>
      <c r="D129" s="475" t="s">
        <v>5268</v>
      </c>
      <c r="E129" s="476" t="s">
        <v>34</v>
      </c>
      <c r="F129" s="475" t="s">
        <v>34</v>
      </c>
      <c r="G129" s="364">
        <v>94872</v>
      </c>
      <c r="H129" s="475" t="s">
        <v>213</v>
      </c>
      <c r="I129" s="475" t="s">
        <v>139</v>
      </c>
      <c r="J129" s="475" t="s">
        <v>337</v>
      </c>
      <c r="K129" s="365">
        <v>1.02</v>
      </c>
      <c r="L129" s="475" t="s">
        <v>141</v>
      </c>
      <c r="M129" s="473"/>
    </row>
    <row r="130" spans="1:13" ht="13.5">
      <c r="A130" s="475" t="s">
        <v>5263</v>
      </c>
      <c r="B130" s="475" t="s">
        <v>5264</v>
      </c>
      <c r="C130" s="475" t="s">
        <v>5267</v>
      </c>
      <c r="D130" s="475" t="s">
        <v>5268</v>
      </c>
      <c r="E130" s="476" t="s">
        <v>34</v>
      </c>
      <c r="F130" s="475" t="s">
        <v>34</v>
      </c>
      <c r="G130" s="364">
        <v>94875</v>
      </c>
      <c r="H130" s="475" t="s">
        <v>214</v>
      </c>
      <c r="I130" s="475" t="s">
        <v>139</v>
      </c>
      <c r="J130" s="475" t="s">
        <v>140</v>
      </c>
      <c r="K130" s="365">
        <v>915.26</v>
      </c>
      <c r="L130" s="475" t="s">
        <v>141</v>
      </c>
      <c r="M130" s="473"/>
    </row>
    <row r="131" spans="1:13" ht="13.5">
      <c r="A131" s="475" t="s">
        <v>5263</v>
      </c>
      <c r="B131" s="475" t="s">
        <v>5264</v>
      </c>
      <c r="C131" s="475" t="s">
        <v>5267</v>
      </c>
      <c r="D131" s="475" t="s">
        <v>5268</v>
      </c>
      <c r="E131" s="476" t="s">
        <v>34</v>
      </c>
      <c r="F131" s="475" t="s">
        <v>34</v>
      </c>
      <c r="G131" s="364">
        <v>94876</v>
      </c>
      <c r="H131" s="475" t="s">
        <v>215</v>
      </c>
      <c r="I131" s="475" t="s">
        <v>139</v>
      </c>
      <c r="J131" s="475" t="s">
        <v>140</v>
      </c>
      <c r="K131" s="365">
        <v>15.96</v>
      </c>
      <c r="L131" s="475" t="s">
        <v>141</v>
      </c>
      <c r="M131" s="473"/>
    </row>
    <row r="132" spans="1:13" ht="13.5">
      <c r="A132" s="475" t="s">
        <v>5263</v>
      </c>
      <c r="B132" s="475" t="s">
        <v>5264</v>
      </c>
      <c r="C132" s="475" t="s">
        <v>5267</v>
      </c>
      <c r="D132" s="475" t="s">
        <v>5268</v>
      </c>
      <c r="E132" s="476" t="s">
        <v>34</v>
      </c>
      <c r="F132" s="475" t="s">
        <v>34</v>
      </c>
      <c r="G132" s="364">
        <v>94878</v>
      </c>
      <c r="H132" s="475" t="s">
        <v>216</v>
      </c>
      <c r="I132" s="475" t="s">
        <v>139</v>
      </c>
      <c r="J132" s="475" t="s">
        <v>140</v>
      </c>
      <c r="K132" s="365">
        <v>18.75</v>
      </c>
      <c r="L132" s="475" t="s">
        <v>141</v>
      </c>
      <c r="M132" s="473"/>
    </row>
    <row r="133" spans="1:13" ht="13.5">
      <c r="A133" s="475" t="s">
        <v>5263</v>
      </c>
      <c r="B133" s="475" t="s">
        <v>5264</v>
      </c>
      <c r="C133" s="475" t="s">
        <v>5267</v>
      </c>
      <c r="D133" s="475" t="s">
        <v>5268</v>
      </c>
      <c r="E133" s="476" t="s">
        <v>34</v>
      </c>
      <c r="F133" s="475" t="s">
        <v>34</v>
      </c>
      <c r="G133" s="364">
        <v>94879</v>
      </c>
      <c r="H133" s="475" t="s">
        <v>217</v>
      </c>
      <c r="I133" s="475" t="s">
        <v>139</v>
      </c>
      <c r="J133" s="475" t="s">
        <v>140</v>
      </c>
      <c r="K133" s="365">
        <v>1219.7</v>
      </c>
      <c r="L133" s="475" t="s">
        <v>141</v>
      </c>
      <c r="M133" s="473"/>
    </row>
    <row r="134" spans="1:13" ht="13.5">
      <c r="A134" s="475" t="s">
        <v>5263</v>
      </c>
      <c r="B134" s="475" t="s">
        <v>5264</v>
      </c>
      <c r="C134" s="475" t="s">
        <v>5267</v>
      </c>
      <c r="D134" s="475" t="s">
        <v>5268</v>
      </c>
      <c r="E134" s="476" t="s">
        <v>34</v>
      </c>
      <c r="F134" s="475" t="s">
        <v>34</v>
      </c>
      <c r="G134" s="364">
        <v>94880</v>
      </c>
      <c r="H134" s="475" t="s">
        <v>218</v>
      </c>
      <c r="I134" s="475" t="s">
        <v>139</v>
      </c>
      <c r="J134" s="475" t="s">
        <v>140</v>
      </c>
      <c r="K134" s="365">
        <v>22.95</v>
      </c>
      <c r="L134" s="475" t="s">
        <v>141</v>
      </c>
      <c r="M134" s="473"/>
    </row>
    <row r="135" spans="1:13" ht="13.5">
      <c r="A135" s="475" t="s">
        <v>5263</v>
      </c>
      <c r="B135" s="475" t="s">
        <v>5264</v>
      </c>
      <c r="C135" s="475" t="s">
        <v>5267</v>
      </c>
      <c r="D135" s="475" t="s">
        <v>5268</v>
      </c>
      <c r="E135" s="476" t="s">
        <v>34</v>
      </c>
      <c r="F135" s="475" t="s">
        <v>34</v>
      </c>
      <c r="G135" s="364">
        <v>94881</v>
      </c>
      <c r="H135" s="475" t="s">
        <v>219</v>
      </c>
      <c r="I135" s="475" t="s">
        <v>139</v>
      </c>
      <c r="J135" s="475" t="s">
        <v>140</v>
      </c>
      <c r="K135" s="365">
        <v>1903.08</v>
      </c>
      <c r="L135" s="475" t="s">
        <v>141</v>
      </c>
      <c r="M135" s="473"/>
    </row>
    <row r="136" spans="1:13" ht="13.5">
      <c r="A136" s="475" t="s">
        <v>5263</v>
      </c>
      <c r="B136" s="475" t="s">
        <v>5264</v>
      </c>
      <c r="C136" s="475" t="s">
        <v>5267</v>
      </c>
      <c r="D136" s="475" t="s">
        <v>5268</v>
      </c>
      <c r="E136" s="476" t="s">
        <v>34</v>
      </c>
      <c r="F136" s="475" t="s">
        <v>34</v>
      </c>
      <c r="G136" s="364">
        <v>94882</v>
      </c>
      <c r="H136" s="475" t="s">
        <v>220</v>
      </c>
      <c r="I136" s="475" t="s">
        <v>139</v>
      </c>
      <c r="J136" s="475" t="s">
        <v>140</v>
      </c>
      <c r="K136" s="365">
        <v>27.21</v>
      </c>
      <c r="L136" s="475" t="s">
        <v>141</v>
      </c>
      <c r="M136" s="473"/>
    </row>
    <row r="137" spans="1:13" ht="13.5">
      <c r="A137" s="475" t="s">
        <v>5263</v>
      </c>
      <c r="B137" s="475" t="s">
        <v>5264</v>
      </c>
      <c r="C137" s="475" t="s">
        <v>5267</v>
      </c>
      <c r="D137" s="475" t="s">
        <v>5268</v>
      </c>
      <c r="E137" s="476" t="s">
        <v>34</v>
      </c>
      <c r="F137" s="475" t="s">
        <v>34</v>
      </c>
      <c r="G137" s="364">
        <v>94884</v>
      </c>
      <c r="H137" s="475" t="s">
        <v>221</v>
      </c>
      <c r="I137" s="475" t="s">
        <v>139</v>
      </c>
      <c r="J137" s="475" t="s">
        <v>140</v>
      </c>
      <c r="K137" s="365">
        <v>35.89</v>
      </c>
      <c r="L137" s="475" t="s">
        <v>141</v>
      </c>
      <c r="M137" s="473"/>
    </row>
    <row r="138" spans="1:13" ht="13.5">
      <c r="A138" s="475" t="s">
        <v>5263</v>
      </c>
      <c r="B138" s="475" t="s">
        <v>5264</v>
      </c>
      <c r="C138" s="475" t="s">
        <v>5267</v>
      </c>
      <c r="D138" s="475" t="s">
        <v>5268</v>
      </c>
      <c r="E138" s="476" t="s">
        <v>34</v>
      </c>
      <c r="F138" s="475" t="s">
        <v>34</v>
      </c>
      <c r="G138" s="364">
        <v>94885</v>
      </c>
      <c r="H138" s="475" t="s">
        <v>222</v>
      </c>
      <c r="I138" s="475" t="s">
        <v>139</v>
      </c>
      <c r="J138" s="475" t="s">
        <v>140</v>
      </c>
      <c r="K138" s="365">
        <v>131.91</v>
      </c>
      <c r="L138" s="475" t="s">
        <v>141</v>
      </c>
      <c r="M138" s="473"/>
    </row>
    <row r="139" spans="1:13" ht="13.5">
      <c r="A139" s="475" t="s">
        <v>5263</v>
      </c>
      <c r="B139" s="475" t="s">
        <v>5264</v>
      </c>
      <c r="C139" s="475" t="s">
        <v>5267</v>
      </c>
      <c r="D139" s="475" t="s">
        <v>5268</v>
      </c>
      <c r="E139" s="476" t="s">
        <v>34</v>
      </c>
      <c r="F139" s="475" t="s">
        <v>34</v>
      </c>
      <c r="G139" s="364">
        <v>94886</v>
      </c>
      <c r="H139" s="475" t="s">
        <v>223</v>
      </c>
      <c r="I139" s="475" t="s">
        <v>139</v>
      </c>
      <c r="J139" s="475" t="s">
        <v>337</v>
      </c>
      <c r="K139" s="365">
        <v>0.75</v>
      </c>
      <c r="L139" s="475" t="s">
        <v>141</v>
      </c>
      <c r="M139" s="473"/>
    </row>
    <row r="140" spans="1:13" ht="13.5">
      <c r="A140" s="475" t="s">
        <v>5263</v>
      </c>
      <c r="B140" s="475" t="s">
        <v>5264</v>
      </c>
      <c r="C140" s="475" t="s">
        <v>5267</v>
      </c>
      <c r="D140" s="475" t="s">
        <v>5268</v>
      </c>
      <c r="E140" s="476" t="s">
        <v>34</v>
      </c>
      <c r="F140" s="475" t="s">
        <v>34</v>
      </c>
      <c r="G140" s="364">
        <v>94887</v>
      </c>
      <c r="H140" s="475" t="s">
        <v>224</v>
      </c>
      <c r="I140" s="475" t="s">
        <v>139</v>
      </c>
      <c r="J140" s="475" t="s">
        <v>140</v>
      </c>
      <c r="K140" s="365">
        <v>156.36000000000001</v>
      </c>
      <c r="L140" s="475" t="s">
        <v>141</v>
      </c>
      <c r="M140" s="473"/>
    </row>
    <row r="141" spans="1:13" ht="13.5">
      <c r="A141" s="475" t="s">
        <v>5263</v>
      </c>
      <c r="B141" s="475" t="s">
        <v>5264</v>
      </c>
      <c r="C141" s="475" t="s">
        <v>5267</v>
      </c>
      <c r="D141" s="475" t="s">
        <v>5268</v>
      </c>
      <c r="E141" s="476" t="s">
        <v>34</v>
      </c>
      <c r="F141" s="475" t="s">
        <v>34</v>
      </c>
      <c r="G141" s="364">
        <v>94888</v>
      </c>
      <c r="H141" s="475" t="s">
        <v>225</v>
      </c>
      <c r="I141" s="475" t="s">
        <v>139</v>
      </c>
      <c r="J141" s="475" t="s">
        <v>337</v>
      </c>
      <c r="K141" s="365">
        <v>1.29</v>
      </c>
      <c r="L141" s="475" t="s">
        <v>141</v>
      </c>
      <c r="M141" s="473"/>
    </row>
    <row r="142" spans="1:13" ht="13.5">
      <c r="A142" s="475" t="s">
        <v>5263</v>
      </c>
      <c r="B142" s="475" t="s">
        <v>5264</v>
      </c>
      <c r="C142" s="475" t="s">
        <v>5267</v>
      </c>
      <c r="D142" s="475" t="s">
        <v>5268</v>
      </c>
      <c r="E142" s="476" t="s">
        <v>34</v>
      </c>
      <c r="F142" s="475" t="s">
        <v>34</v>
      </c>
      <c r="G142" s="364">
        <v>94891</v>
      </c>
      <c r="H142" s="475" t="s">
        <v>226</v>
      </c>
      <c r="I142" s="475" t="s">
        <v>139</v>
      </c>
      <c r="J142" s="475" t="s">
        <v>140</v>
      </c>
      <c r="K142" s="365">
        <v>917.84</v>
      </c>
      <c r="L142" s="475" t="s">
        <v>141</v>
      </c>
      <c r="M142" s="473"/>
    </row>
    <row r="143" spans="1:13" ht="13.5">
      <c r="A143" s="475" t="s">
        <v>5263</v>
      </c>
      <c r="B143" s="475" t="s">
        <v>5264</v>
      </c>
      <c r="C143" s="475" t="s">
        <v>5267</v>
      </c>
      <c r="D143" s="475" t="s">
        <v>5268</v>
      </c>
      <c r="E143" s="476" t="s">
        <v>34</v>
      </c>
      <c r="F143" s="475" t="s">
        <v>34</v>
      </c>
      <c r="G143" s="364">
        <v>94892</v>
      </c>
      <c r="H143" s="475" t="s">
        <v>227</v>
      </c>
      <c r="I143" s="475" t="s">
        <v>139</v>
      </c>
      <c r="J143" s="475" t="s">
        <v>140</v>
      </c>
      <c r="K143" s="365">
        <v>18.54</v>
      </c>
      <c r="L143" s="475" t="s">
        <v>141</v>
      </c>
      <c r="M143" s="473"/>
    </row>
    <row r="144" spans="1:13" ht="13.5">
      <c r="A144" s="475" t="s">
        <v>5263</v>
      </c>
      <c r="B144" s="475" t="s">
        <v>5264</v>
      </c>
      <c r="C144" s="475" t="s">
        <v>5267</v>
      </c>
      <c r="D144" s="475" t="s">
        <v>5268</v>
      </c>
      <c r="E144" s="476" t="s">
        <v>34</v>
      </c>
      <c r="F144" s="475" t="s">
        <v>34</v>
      </c>
      <c r="G144" s="364">
        <v>94894</v>
      </c>
      <c r="H144" s="475" t="s">
        <v>228</v>
      </c>
      <c r="I144" s="475" t="s">
        <v>139</v>
      </c>
      <c r="J144" s="475" t="s">
        <v>140</v>
      </c>
      <c r="K144" s="365">
        <v>21.55</v>
      </c>
      <c r="L144" s="475" t="s">
        <v>141</v>
      </c>
      <c r="M144" s="473"/>
    </row>
    <row r="145" spans="1:13" ht="13.5">
      <c r="A145" s="475" t="s">
        <v>5263</v>
      </c>
      <c r="B145" s="475" t="s">
        <v>5264</v>
      </c>
      <c r="C145" s="475" t="s">
        <v>5267</v>
      </c>
      <c r="D145" s="475" t="s">
        <v>5268</v>
      </c>
      <c r="E145" s="476" t="s">
        <v>34</v>
      </c>
      <c r="F145" s="475" t="s">
        <v>34</v>
      </c>
      <c r="G145" s="364">
        <v>94895</v>
      </c>
      <c r="H145" s="475" t="s">
        <v>229</v>
      </c>
      <c r="I145" s="475" t="s">
        <v>139</v>
      </c>
      <c r="J145" s="475" t="s">
        <v>140</v>
      </c>
      <c r="K145" s="365">
        <v>1222.77</v>
      </c>
      <c r="L145" s="475" t="s">
        <v>141</v>
      </c>
      <c r="M145" s="473"/>
    </row>
    <row r="146" spans="1:13" ht="13.5">
      <c r="A146" s="475" t="s">
        <v>5263</v>
      </c>
      <c r="B146" s="475" t="s">
        <v>5264</v>
      </c>
      <c r="C146" s="475" t="s">
        <v>5267</v>
      </c>
      <c r="D146" s="475" t="s">
        <v>5268</v>
      </c>
      <c r="E146" s="476" t="s">
        <v>34</v>
      </c>
      <c r="F146" s="475" t="s">
        <v>34</v>
      </c>
      <c r="G146" s="364">
        <v>94896</v>
      </c>
      <c r="H146" s="475" t="s">
        <v>230</v>
      </c>
      <c r="I146" s="475" t="s">
        <v>139</v>
      </c>
      <c r="J146" s="475" t="s">
        <v>140</v>
      </c>
      <c r="K146" s="365">
        <v>26.02</v>
      </c>
      <c r="L146" s="475" t="s">
        <v>141</v>
      </c>
      <c r="M146" s="473"/>
    </row>
    <row r="147" spans="1:13" ht="13.5">
      <c r="A147" s="475" t="s">
        <v>5263</v>
      </c>
      <c r="B147" s="475" t="s">
        <v>5264</v>
      </c>
      <c r="C147" s="475" t="s">
        <v>5267</v>
      </c>
      <c r="D147" s="475" t="s">
        <v>5268</v>
      </c>
      <c r="E147" s="476" t="s">
        <v>34</v>
      </c>
      <c r="F147" s="475" t="s">
        <v>34</v>
      </c>
      <c r="G147" s="364">
        <v>94897</v>
      </c>
      <c r="H147" s="475" t="s">
        <v>231</v>
      </c>
      <c r="I147" s="475" t="s">
        <v>139</v>
      </c>
      <c r="J147" s="475" t="s">
        <v>140</v>
      </c>
      <c r="K147" s="365">
        <v>1906.39</v>
      </c>
      <c r="L147" s="475" t="s">
        <v>141</v>
      </c>
      <c r="M147" s="473"/>
    </row>
    <row r="148" spans="1:13" ht="13.5">
      <c r="A148" s="475" t="s">
        <v>5263</v>
      </c>
      <c r="B148" s="475" t="s">
        <v>5264</v>
      </c>
      <c r="C148" s="475" t="s">
        <v>5267</v>
      </c>
      <c r="D148" s="475" t="s">
        <v>5268</v>
      </c>
      <c r="E148" s="476" t="s">
        <v>34</v>
      </c>
      <c r="F148" s="475" t="s">
        <v>34</v>
      </c>
      <c r="G148" s="364">
        <v>94898</v>
      </c>
      <c r="H148" s="475" t="s">
        <v>232</v>
      </c>
      <c r="I148" s="475" t="s">
        <v>139</v>
      </c>
      <c r="J148" s="475" t="s">
        <v>140</v>
      </c>
      <c r="K148" s="365">
        <v>30.52</v>
      </c>
      <c r="L148" s="475" t="s">
        <v>141</v>
      </c>
      <c r="M148" s="473"/>
    </row>
    <row r="149" spans="1:13" ht="13.5">
      <c r="A149" s="475" t="s">
        <v>5263</v>
      </c>
      <c r="B149" s="475" t="s">
        <v>5264</v>
      </c>
      <c r="C149" s="475" t="s">
        <v>5267</v>
      </c>
      <c r="D149" s="475" t="s">
        <v>5268</v>
      </c>
      <c r="E149" s="476" t="s">
        <v>34</v>
      </c>
      <c r="F149" s="475" t="s">
        <v>34</v>
      </c>
      <c r="G149" s="364">
        <v>94900</v>
      </c>
      <c r="H149" s="475" t="s">
        <v>233</v>
      </c>
      <c r="I149" s="475" t="s">
        <v>139</v>
      </c>
      <c r="J149" s="475" t="s">
        <v>140</v>
      </c>
      <c r="K149" s="365">
        <v>39.5</v>
      </c>
      <c r="L149" s="475" t="s">
        <v>141</v>
      </c>
      <c r="M149" s="473"/>
    </row>
    <row r="150" spans="1:13" ht="13.5">
      <c r="A150" s="475" t="s">
        <v>5263</v>
      </c>
      <c r="B150" s="475" t="s">
        <v>5264</v>
      </c>
      <c r="C150" s="475" t="s">
        <v>5267</v>
      </c>
      <c r="D150" s="475" t="s">
        <v>5268</v>
      </c>
      <c r="E150" s="476" t="s">
        <v>34</v>
      </c>
      <c r="F150" s="475" t="s">
        <v>34</v>
      </c>
      <c r="G150" s="364">
        <v>97121</v>
      </c>
      <c r="H150" s="475" t="s">
        <v>5868</v>
      </c>
      <c r="I150" s="475" t="s">
        <v>139</v>
      </c>
      <c r="J150" s="475" t="s">
        <v>337</v>
      </c>
      <c r="K150" s="365">
        <v>1.33</v>
      </c>
      <c r="L150" s="475" t="s">
        <v>141</v>
      </c>
      <c r="M150" s="473"/>
    </row>
    <row r="151" spans="1:13" ht="13.5">
      <c r="A151" s="475" t="s">
        <v>5263</v>
      </c>
      <c r="B151" s="475" t="s">
        <v>5264</v>
      </c>
      <c r="C151" s="475" t="s">
        <v>5267</v>
      </c>
      <c r="D151" s="475" t="s">
        <v>5268</v>
      </c>
      <c r="E151" s="476" t="s">
        <v>34</v>
      </c>
      <c r="F151" s="475" t="s">
        <v>34</v>
      </c>
      <c r="G151" s="364">
        <v>97122</v>
      </c>
      <c r="H151" s="475" t="s">
        <v>5869</v>
      </c>
      <c r="I151" s="475" t="s">
        <v>139</v>
      </c>
      <c r="J151" s="475" t="s">
        <v>337</v>
      </c>
      <c r="K151" s="365">
        <v>1.85</v>
      </c>
      <c r="L151" s="475" t="s">
        <v>141</v>
      </c>
      <c r="M151" s="473"/>
    </row>
    <row r="152" spans="1:13" ht="13.5">
      <c r="A152" s="475" t="s">
        <v>5263</v>
      </c>
      <c r="B152" s="475" t="s">
        <v>5264</v>
      </c>
      <c r="C152" s="475" t="s">
        <v>5267</v>
      </c>
      <c r="D152" s="475" t="s">
        <v>5268</v>
      </c>
      <c r="E152" s="476" t="s">
        <v>34</v>
      </c>
      <c r="F152" s="475" t="s">
        <v>34</v>
      </c>
      <c r="G152" s="364">
        <v>97123</v>
      </c>
      <c r="H152" s="475" t="s">
        <v>5870</v>
      </c>
      <c r="I152" s="475" t="s">
        <v>139</v>
      </c>
      <c r="J152" s="475" t="s">
        <v>337</v>
      </c>
      <c r="K152" s="365">
        <v>2.35</v>
      </c>
      <c r="L152" s="475" t="s">
        <v>141</v>
      </c>
      <c r="M152" s="473"/>
    </row>
    <row r="153" spans="1:13" ht="13.5">
      <c r="A153" s="475" t="s">
        <v>5263</v>
      </c>
      <c r="B153" s="475" t="s">
        <v>5264</v>
      </c>
      <c r="C153" s="475" t="s">
        <v>5267</v>
      </c>
      <c r="D153" s="475" t="s">
        <v>5268</v>
      </c>
      <c r="E153" s="476" t="s">
        <v>34</v>
      </c>
      <c r="F153" s="475" t="s">
        <v>34</v>
      </c>
      <c r="G153" s="364">
        <v>97124</v>
      </c>
      <c r="H153" s="475" t="s">
        <v>5871</v>
      </c>
      <c r="I153" s="475" t="s">
        <v>139</v>
      </c>
      <c r="J153" s="475" t="s">
        <v>337</v>
      </c>
      <c r="K153" s="365">
        <v>0.59</v>
      </c>
      <c r="L153" s="475" t="s">
        <v>141</v>
      </c>
      <c r="M153" s="473"/>
    </row>
    <row r="154" spans="1:13" ht="13.5">
      <c r="A154" s="475" t="s">
        <v>5263</v>
      </c>
      <c r="B154" s="475" t="s">
        <v>5264</v>
      </c>
      <c r="C154" s="475" t="s">
        <v>5267</v>
      </c>
      <c r="D154" s="475" t="s">
        <v>5268</v>
      </c>
      <c r="E154" s="476" t="s">
        <v>34</v>
      </c>
      <c r="F154" s="475" t="s">
        <v>34</v>
      </c>
      <c r="G154" s="364">
        <v>97125</v>
      </c>
      <c r="H154" s="475" t="s">
        <v>5872</v>
      </c>
      <c r="I154" s="475" t="s">
        <v>139</v>
      </c>
      <c r="J154" s="475" t="s">
        <v>337</v>
      </c>
      <c r="K154" s="365">
        <v>0.85</v>
      </c>
      <c r="L154" s="475" t="s">
        <v>141</v>
      </c>
      <c r="M154" s="473"/>
    </row>
    <row r="155" spans="1:13" ht="13.5">
      <c r="A155" s="475" t="s">
        <v>5263</v>
      </c>
      <c r="B155" s="475" t="s">
        <v>5264</v>
      </c>
      <c r="C155" s="475" t="s">
        <v>5267</v>
      </c>
      <c r="D155" s="475" t="s">
        <v>5268</v>
      </c>
      <c r="E155" s="476" t="s">
        <v>34</v>
      </c>
      <c r="F155" s="475" t="s">
        <v>34</v>
      </c>
      <c r="G155" s="364">
        <v>97126</v>
      </c>
      <c r="H155" s="475" t="s">
        <v>5873</v>
      </c>
      <c r="I155" s="475" t="s">
        <v>139</v>
      </c>
      <c r="J155" s="475" t="s">
        <v>337</v>
      </c>
      <c r="K155" s="365">
        <v>1.08</v>
      </c>
      <c r="L155" s="475" t="s">
        <v>141</v>
      </c>
      <c r="M155" s="473"/>
    </row>
    <row r="156" spans="1:13" ht="13.5">
      <c r="A156" s="475" t="s">
        <v>5263</v>
      </c>
      <c r="B156" s="475" t="s">
        <v>5264</v>
      </c>
      <c r="C156" s="475" t="s">
        <v>5269</v>
      </c>
      <c r="D156" s="475" t="s">
        <v>5270</v>
      </c>
      <c r="E156" s="476" t="s">
        <v>34</v>
      </c>
      <c r="F156" s="475" t="s">
        <v>34</v>
      </c>
      <c r="G156" s="364">
        <v>92833</v>
      </c>
      <c r="H156" s="475" t="s">
        <v>234</v>
      </c>
      <c r="I156" s="475" t="s">
        <v>139</v>
      </c>
      <c r="J156" s="475" t="s">
        <v>140</v>
      </c>
      <c r="K156" s="365">
        <v>132.44999999999999</v>
      </c>
      <c r="L156" s="475" t="s">
        <v>141</v>
      </c>
      <c r="M156" s="473"/>
    </row>
    <row r="157" spans="1:13" ht="13.5">
      <c r="A157" s="475" t="s">
        <v>5263</v>
      </c>
      <c r="B157" s="475" t="s">
        <v>5264</v>
      </c>
      <c r="C157" s="475" t="s">
        <v>5269</v>
      </c>
      <c r="D157" s="475" t="s">
        <v>5270</v>
      </c>
      <c r="E157" s="476" t="s">
        <v>34</v>
      </c>
      <c r="F157" s="475" t="s">
        <v>34</v>
      </c>
      <c r="G157" s="364">
        <v>92834</v>
      </c>
      <c r="H157" s="475" t="s">
        <v>235</v>
      </c>
      <c r="I157" s="475" t="s">
        <v>139</v>
      </c>
      <c r="J157" s="475" t="s">
        <v>140</v>
      </c>
      <c r="K157" s="365">
        <v>5.68</v>
      </c>
      <c r="L157" s="475" t="s">
        <v>141</v>
      </c>
      <c r="M157" s="473"/>
    </row>
    <row r="158" spans="1:13" ht="13.5">
      <c r="A158" s="475" t="s">
        <v>5263</v>
      </c>
      <c r="B158" s="475" t="s">
        <v>5264</v>
      </c>
      <c r="C158" s="475" t="s">
        <v>5269</v>
      </c>
      <c r="D158" s="475" t="s">
        <v>5270</v>
      </c>
      <c r="E158" s="476" t="s">
        <v>34</v>
      </c>
      <c r="F158" s="475" t="s">
        <v>34</v>
      </c>
      <c r="G158" s="364">
        <v>92835</v>
      </c>
      <c r="H158" s="475" t="s">
        <v>236</v>
      </c>
      <c r="I158" s="475" t="s">
        <v>139</v>
      </c>
      <c r="J158" s="475" t="s">
        <v>140</v>
      </c>
      <c r="K158" s="365">
        <v>174.52</v>
      </c>
      <c r="L158" s="475" t="s">
        <v>141</v>
      </c>
      <c r="M158" s="473"/>
    </row>
    <row r="159" spans="1:13" ht="13.5">
      <c r="A159" s="475" t="s">
        <v>5263</v>
      </c>
      <c r="B159" s="475" t="s">
        <v>5264</v>
      </c>
      <c r="C159" s="475" t="s">
        <v>5269</v>
      </c>
      <c r="D159" s="475" t="s">
        <v>5270</v>
      </c>
      <c r="E159" s="476" t="s">
        <v>34</v>
      </c>
      <c r="F159" s="475" t="s">
        <v>34</v>
      </c>
      <c r="G159" s="364">
        <v>92836</v>
      </c>
      <c r="H159" s="475" t="s">
        <v>237</v>
      </c>
      <c r="I159" s="475" t="s">
        <v>139</v>
      </c>
      <c r="J159" s="475" t="s">
        <v>140</v>
      </c>
      <c r="K159" s="365">
        <v>7.26</v>
      </c>
      <c r="L159" s="475" t="s">
        <v>141</v>
      </c>
      <c r="M159" s="473"/>
    </row>
    <row r="160" spans="1:13" ht="13.5">
      <c r="A160" s="475" t="s">
        <v>5263</v>
      </c>
      <c r="B160" s="475" t="s">
        <v>5264</v>
      </c>
      <c r="C160" s="475" t="s">
        <v>5269</v>
      </c>
      <c r="D160" s="475" t="s">
        <v>5270</v>
      </c>
      <c r="E160" s="476" t="s">
        <v>34</v>
      </c>
      <c r="F160" s="475" t="s">
        <v>34</v>
      </c>
      <c r="G160" s="364">
        <v>92837</v>
      </c>
      <c r="H160" s="475" t="s">
        <v>238</v>
      </c>
      <c r="I160" s="475" t="s">
        <v>139</v>
      </c>
      <c r="J160" s="475" t="s">
        <v>140</v>
      </c>
      <c r="K160" s="365">
        <v>220</v>
      </c>
      <c r="L160" s="475" t="s">
        <v>141</v>
      </c>
      <c r="M160" s="473"/>
    </row>
    <row r="161" spans="1:13" ht="13.5">
      <c r="A161" s="475" t="s">
        <v>5263</v>
      </c>
      <c r="B161" s="475" t="s">
        <v>5264</v>
      </c>
      <c r="C161" s="475" t="s">
        <v>5269</v>
      </c>
      <c r="D161" s="475" t="s">
        <v>5270</v>
      </c>
      <c r="E161" s="476" t="s">
        <v>34</v>
      </c>
      <c r="F161" s="475" t="s">
        <v>34</v>
      </c>
      <c r="G161" s="364">
        <v>92838</v>
      </c>
      <c r="H161" s="475" t="s">
        <v>239</v>
      </c>
      <c r="I161" s="475" t="s">
        <v>139</v>
      </c>
      <c r="J161" s="475" t="s">
        <v>140</v>
      </c>
      <c r="K161" s="365">
        <v>8.7100000000000009</v>
      </c>
      <c r="L161" s="475" t="s">
        <v>141</v>
      </c>
      <c r="M161" s="473"/>
    </row>
    <row r="162" spans="1:13" ht="13.5">
      <c r="A162" s="475" t="s">
        <v>5263</v>
      </c>
      <c r="B162" s="475" t="s">
        <v>5264</v>
      </c>
      <c r="C162" s="475" t="s">
        <v>5269</v>
      </c>
      <c r="D162" s="475" t="s">
        <v>5270</v>
      </c>
      <c r="E162" s="476" t="s">
        <v>34</v>
      </c>
      <c r="F162" s="475" t="s">
        <v>34</v>
      </c>
      <c r="G162" s="364">
        <v>92839</v>
      </c>
      <c r="H162" s="475" t="s">
        <v>240</v>
      </c>
      <c r="I162" s="475" t="s">
        <v>139</v>
      </c>
      <c r="J162" s="475" t="s">
        <v>140</v>
      </c>
      <c r="K162" s="365">
        <v>289.10000000000002</v>
      </c>
      <c r="L162" s="475" t="s">
        <v>141</v>
      </c>
      <c r="M162" s="473"/>
    </row>
    <row r="163" spans="1:13" ht="13.5">
      <c r="A163" s="475" t="s">
        <v>5263</v>
      </c>
      <c r="B163" s="475" t="s">
        <v>5264</v>
      </c>
      <c r="C163" s="475" t="s">
        <v>5269</v>
      </c>
      <c r="D163" s="475" t="s">
        <v>5270</v>
      </c>
      <c r="E163" s="476" t="s">
        <v>34</v>
      </c>
      <c r="F163" s="475" t="s">
        <v>34</v>
      </c>
      <c r="G163" s="364">
        <v>92840</v>
      </c>
      <c r="H163" s="475" t="s">
        <v>241</v>
      </c>
      <c r="I163" s="475" t="s">
        <v>139</v>
      </c>
      <c r="J163" s="475" t="s">
        <v>140</v>
      </c>
      <c r="K163" s="365">
        <v>10.32</v>
      </c>
      <c r="L163" s="475" t="s">
        <v>141</v>
      </c>
      <c r="M163" s="473"/>
    </row>
    <row r="164" spans="1:13" ht="13.5">
      <c r="A164" s="475" t="s">
        <v>5263</v>
      </c>
      <c r="B164" s="475" t="s">
        <v>5264</v>
      </c>
      <c r="C164" s="475" t="s">
        <v>5269</v>
      </c>
      <c r="D164" s="475" t="s">
        <v>5270</v>
      </c>
      <c r="E164" s="476" t="s">
        <v>34</v>
      </c>
      <c r="F164" s="475" t="s">
        <v>34</v>
      </c>
      <c r="G164" s="364">
        <v>92841</v>
      </c>
      <c r="H164" s="475" t="s">
        <v>242</v>
      </c>
      <c r="I164" s="475" t="s">
        <v>139</v>
      </c>
      <c r="J164" s="475" t="s">
        <v>140</v>
      </c>
      <c r="K164" s="365">
        <v>327.57</v>
      </c>
      <c r="L164" s="475" t="s">
        <v>141</v>
      </c>
      <c r="M164" s="473"/>
    </row>
    <row r="165" spans="1:13" ht="13.5">
      <c r="A165" s="475" t="s">
        <v>5263</v>
      </c>
      <c r="B165" s="475" t="s">
        <v>5264</v>
      </c>
      <c r="C165" s="475" t="s">
        <v>5269</v>
      </c>
      <c r="D165" s="475" t="s">
        <v>5270</v>
      </c>
      <c r="E165" s="476" t="s">
        <v>34</v>
      </c>
      <c r="F165" s="475" t="s">
        <v>34</v>
      </c>
      <c r="G165" s="364">
        <v>92842</v>
      </c>
      <c r="H165" s="475" t="s">
        <v>243</v>
      </c>
      <c r="I165" s="475" t="s">
        <v>139</v>
      </c>
      <c r="J165" s="475" t="s">
        <v>140</v>
      </c>
      <c r="K165" s="365">
        <v>11.78</v>
      </c>
      <c r="L165" s="475" t="s">
        <v>141</v>
      </c>
      <c r="M165" s="473"/>
    </row>
    <row r="166" spans="1:13" ht="13.5">
      <c r="A166" s="475" t="s">
        <v>5263</v>
      </c>
      <c r="B166" s="475" t="s">
        <v>5264</v>
      </c>
      <c r="C166" s="475" t="s">
        <v>5269</v>
      </c>
      <c r="D166" s="475" t="s">
        <v>5270</v>
      </c>
      <c r="E166" s="476" t="s">
        <v>34</v>
      </c>
      <c r="F166" s="475" t="s">
        <v>34</v>
      </c>
      <c r="G166" s="364">
        <v>92844</v>
      </c>
      <c r="H166" s="475" t="s">
        <v>244</v>
      </c>
      <c r="I166" s="475" t="s">
        <v>139</v>
      </c>
      <c r="J166" s="475" t="s">
        <v>140</v>
      </c>
      <c r="K166" s="365">
        <v>13.41</v>
      </c>
      <c r="L166" s="475" t="s">
        <v>141</v>
      </c>
      <c r="M166" s="473"/>
    </row>
    <row r="167" spans="1:13" ht="13.5">
      <c r="A167" s="475" t="s">
        <v>5263</v>
      </c>
      <c r="B167" s="475" t="s">
        <v>5264</v>
      </c>
      <c r="C167" s="475" t="s">
        <v>5269</v>
      </c>
      <c r="D167" s="475" t="s">
        <v>5270</v>
      </c>
      <c r="E167" s="476" t="s">
        <v>34</v>
      </c>
      <c r="F167" s="475" t="s">
        <v>34</v>
      </c>
      <c r="G167" s="364">
        <v>92846</v>
      </c>
      <c r="H167" s="475" t="s">
        <v>245</v>
      </c>
      <c r="I167" s="475" t="s">
        <v>139</v>
      </c>
      <c r="J167" s="475" t="s">
        <v>140</v>
      </c>
      <c r="K167" s="365">
        <v>14.86</v>
      </c>
      <c r="L167" s="475" t="s">
        <v>141</v>
      </c>
      <c r="M167" s="473"/>
    </row>
    <row r="168" spans="1:13" ht="13.5">
      <c r="A168" s="475" t="s">
        <v>5263</v>
      </c>
      <c r="B168" s="475" t="s">
        <v>5264</v>
      </c>
      <c r="C168" s="475" t="s">
        <v>5269</v>
      </c>
      <c r="D168" s="475" t="s">
        <v>5270</v>
      </c>
      <c r="E168" s="476" t="s">
        <v>34</v>
      </c>
      <c r="F168" s="475" t="s">
        <v>34</v>
      </c>
      <c r="G168" s="364">
        <v>92847</v>
      </c>
      <c r="H168" s="475" t="s">
        <v>246</v>
      </c>
      <c r="I168" s="475" t="s">
        <v>139</v>
      </c>
      <c r="J168" s="475" t="s">
        <v>140</v>
      </c>
      <c r="K168" s="365">
        <v>573.01</v>
      </c>
      <c r="L168" s="475" t="s">
        <v>141</v>
      </c>
      <c r="M168" s="473"/>
    </row>
    <row r="169" spans="1:13" ht="13.5">
      <c r="A169" s="475" t="s">
        <v>5263</v>
      </c>
      <c r="B169" s="475" t="s">
        <v>5264</v>
      </c>
      <c r="C169" s="475" t="s">
        <v>5269</v>
      </c>
      <c r="D169" s="475" t="s">
        <v>5270</v>
      </c>
      <c r="E169" s="476" t="s">
        <v>34</v>
      </c>
      <c r="F169" s="475" t="s">
        <v>34</v>
      </c>
      <c r="G169" s="364">
        <v>92848</v>
      </c>
      <c r="H169" s="475" t="s">
        <v>247</v>
      </c>
      <c r="I169" s="475" t="s">
        <v>139</v>
      </c>
      <c r="J169" s="475" t="s">
        <v>140</v>
      </c>
      <c r="K169" s="365">
        <v>16.48</v>
      </c>
      <c r="L169" s="475" t="s">
        <v>141</v>
      </c>
      <c r="M169" s="473"/>
    </row>
    <row r="170" spans="1:13" ht="13.5">
      <c r="A170" s="475" t="s">
        <v>5263</v>
      </c>
      <c r="B170" s="475" t="s">
        <v>5264</v>
      </c>
      <c r="C170" s="475" t="s">
        <v>5269</v>
      </c>
      <c r="D170" s="475" t="s">
        <v>5270</v>
      </c>
      <c r="E170" s="476" t="s">
        <v>34</v>
      </c>
      <c r="F170" s="475" t="s">
        <v>34</v>
      </c>
      <c r="G170" s="364">
        <v>92849</v>
      </c>
      <c r="H170" s="475" t="s">
        <v>248</v>
      </c>
      <c r="I170" s="475" t="s">
        <v>139</v>
      </c>
      <c r="J170" s="475" t="s">
        <v>140</v>
      </c>
      <c r="K170" s="365">
        <v>137.52000000000001</v>
      </c>
      <c r="L170" s="475" t="s">
        <v>141</v>
      </c>
      <c r="M170" s="473"/>
    </row>
    <row r="171" spans="1:13" ht="13.5">
      <c r="A171" s="475" t="s">
        <v>5263</v>
      </c>
      <c r="B171" s="475" t="s">
        <v>5264</v>
      </c>
      <c r="C171" s="475" t="s">
        <v>5269</v>
      </c>
      <c r="D171" s="475" t="s">
        <v>5270</v>
      </c>
      <c r="E171" s="476" t="s">
        <v>34</v>
      </c>
      <c r="F171" s="475" t="s">
        <v>34</v>
      </c>
      <c r="G171" s="364">
        <v>92850</v>
      </c>
      <c r="H171" s="475" t="s">
        <v>249</v>
      </c>
      <c r="I171" s="475" t="s">
        <v>139</v>
      </c>
      <c r="J171" s="475" t="s">
        <v>140</v>
      </c>
      <c r="K171" s="365">
        <v>10.75</v>
      </c>
      <c r="L171" s="475" t="s">
        <v>141</v>
      </c>
      <c r="M171" s="473"/>
    </row>
    <row r="172" spans="1:13" ht="13.5">
      <c r="A172" s="475" t="s">
        <v>5263</v>
      </c>
      <c r="B172" s="475" t="s">
        <v>5264</v>
      </c>
      <c r="C172" s="475" t="s">
        <v>5269</v>
      </c>
      <c r="D172" s="475" t="s">
        <v>5270</v>
      </c>
      <c r="E172" s="476" t="s">
        <v>34</v>
      </c>
      <c r="F172" s="475" t="s">
        <v>34</v>
      </c>
      <c r="G172" s="364">
        <v>92851</v>
      </c>
      <c r="H172" s="475" t="s">
        <v>250</v>
      </c>
      <c r="I172" s="475" t="s">
        <v>139</v>
      </c>
      <c r="J172" s="475" t="s">
        <v>140</v>
      </c>
      <c r="K172" s="365">
        <v>180.86</v>
      </c>
      <c r="L172" s="475" t="s">
        <v>141</v>
      </c>
      <c r="M172" s="473"/>
    </row>
    <row r="173" spans="1:13" ht="13.5">
      <c r="A173" s="475" t="s">
        <v>5263</v>
      </c>
      <c r="B173" s="475" t="s">
        <v>5264</v>
      </c>
      <c r="C173" s="475" t="s">
        <v>5269</v>
      </c>
      <c r="D173" s="475" t="s">
        <v>5270</v>
      </c>
      <c r="E173" s="476" t="s">
        <v>34</v>
      </c>
      <c r="F173" s="475" t="s">
        <v>34</v>
      </c>
      <c r="G173" s="364">
        <v>92852</v>
      </c>
      <c r="H173" s="475" t="s">
        <v>251</v>
      </c>
      <c r="I173" s="475" t="s">
        <v>139</v>
      </c>
      <c r="J173" s="475" t="s">
        <v>140</v>
      </c>
      <c r="K173" s="365">
        <v>13.59</v>
      </c>
      <c r="L173" s="475" t="s">
        <v>141</v>
      </c>
      <c r="M173" s="473"/>
    </row>
    <row r="174" spans="1:13" ht="13.5">
      <c r="A174" s="475" t="s">
        <v>5263</v>
      </c>
      <c r="B174" s="475" t="s">
        <v>5264</v>
      </c>
      <c r="C174" s="475" t="s">
        <v>5269</v>
      </c>
      <c r="D174" s="475" t="s">
        <v>5270</v>
      </c>
      <c r="E174" s="476" t="s">
        <v>34</v>
      </c>
      <c r="F174" s="475" t="s">
        <v>34</v>
      </c>
      <c r="G174" s="364">
        <v>92853</v>
      </c>
      <c r="H174" s="475" t="s">
        <v>252</v>
      </c>
      <c r="I174" s="475" t="s">
        <v>139</v>
      </c>
      <c r="J174" s="475" t="s">
        <v>140</v>
      </c>
      <c r="K174" s="365">
        <v>227.85</v>
      </c>
      <c r="L174" s="475" t="s">
        <v>141</v>
      </c>
      <c r="M174" s="473"/>
    </row>
    <row r="175" spans="1:13" ht="13.5">
      <c r="A175" s="475" t="s">
        <v>5263</v>
      </c>
      <c r="B175" s="475" t="s">
        <v>5264</v>
      </c>
      <c r="C175" s="475" t="s">
        <v>5269</v>
      </c>
      <c r="D175" s="475" t="s">
        <v>5270</v>
      </c>
      <c r="E175" s="476" t="s">
        <v>34</v>
      </c>
      <c r="F175" s="475" t="s">
        <v>34</v>
      </c>
      <c r="G175" s="364">
        <v>92854</v>
      </c>
      <c r="H175" s="475" t="s">
        <v>253</v>
      </c>
      <c r="I175" s="475" t="s">
        <v>139</v>
      </c>
      <c r="J175" s="475" t="s">
        <v>140</v>
      </c>
      <c r="K175" s="365">
        <v>16.55</v>
      </c>
      <c r="L175" s="475" t="s">
        <v>141</v>
      </c>
      <c r="M175" s="473"/>
    </row>
    <row r="176" spans="1:13" ht="13.5">
      <c r="A176" s="475" t="s">
        <v>5263</v>
      </c>
      <c r="B176" s="475" t="s">
        <v>5264</v>
      </c>
      <c r="C176" s="475" t="s">
        <v>5269</v>
      </c>
      <c r="D176" s="475" t="s">
        <v>5270</v>
      </c>
      <c r="E176" s="476" t="s">
        <v>34</v>
      </c>
      <c r="F176" s="475" t="s">
        <v>34</v>
      </c>
      <c r="G176" s="364">
        <v>92855</v>
      </c>
      <c r="H176" s="475" t="s">
        <v>254</v>
      </c>
      <c r="I176" s="475" t="s">
        <v>139</v>
      </c>
      <c r="J176" s="475" t="s">
        <v>140</v>
      </c>
      <c r="K176" s="365">
        <v>298.27999999999997</v>
      </c>
      <c r="L176" s="475" t="s">
        <v>141</v>
      </c>
      <c r="M176" s="473"/>
    </row>
    <row r="177" spans="1:13" ht="13.5">
      <c r="A177" s="475" t="s">
        <v>5263</v>
      </c>
      <c r="B177" s="475" t="s">
        <v>5264</v>
      </c>
      <c r="C177" s="475" t="s">
        <v>5269</v>
      </c>
      <c r="D177" s="475" t="s">
        <v>5270</v>
      </c>
      <c r="E177" s="476" t="s">
        <v>34</v>
      </c>
      <c r="F177" s="475" t="s">
        <v>34</v>
      </c>
      <c r="G177" s="364">
        <v>92856</v>
      </c>
      <c r="H177" s="475" t="s">
        <v>255</v>
      </c>
      <c r="I177" s="475" t="s">
        <v>139</v>
      </c>
      <c r="J177" s="475" t="s">
        <v>140</v>
      </c>
      <c r="K177" s="365">
        <v>19.489999999999998</v>
      </c>
      <c r="L177" s="475" t="s">
        <v>141</v>
      </c>
      <c r="M177" s="473"/>
    </row>
    <row r="178" spans="1:13" ht="13.5">
      <c r="A178" s="475" t="s">
        <v>5263</v>
      </c>
      <c r="B178" s="475" t="s">
        <v>5264</v>
      </c>
      <c r="C178" s="475" t="s">
        <v>5269</v>
      </c>
      <c r="D178" s="475" t="s">
        <v>5270</v>
      </c>
      <c r="E178" s="476" t="s">
        <v>34</v>
      </c>
      <c r="F178" s="475" t="s">
        <v>34</v>
      </c>
      <c r="G178" s="364">
        <v>92857</v>
      </c>
      <c r="H178" s="475" t="s">
        <v>256</v>
      </c>
      <c r="I178" s="475" t="s">
        <v>139</v>
      </c>
      <c r="J178" s="475" t="s">
        <v>140</v>
      </c>
      <c r="K178" s="365">
        <v>338.12</v>
      </c>
      <c r="L178" s="475" t="s">
        <v>141</v>
      </c>
      <c r="M178" s="473"/>
    </row>
    <row r="179" spans="1:13" ht="13.5">
      <c r="A179" s="475" t="s">
        <v>5263</v>
      </c>
      <c r="B179" s="475" t="s">
        <v>5264</v>
      </c>
      <c r="C179" s="475" t="s">
        <v>5269</v>
      </c>
      <c r="D179" s="475" t="s">
        <v>5270</v>
      </c>
      <c r="E179" s="476" t="s">
        <v>34</v>
      </c>
      <c r="F179" s="475" t="s">
        <v>34</v>
      </c>
      <c r="G179" s="364">
        <v>92858</v>
      </c>
      <c r="H179" s="475" t="s">
        <v>257</v>
      </c>
      <c r="I179" s="475" t="s">
        <v>139</v>
      </c>
      <c r="J179" s="475" t="s">
        <v>140</v>
      </c>
      <c r="K179" s="365">
        <v>22.31</v>
      </c>
      <c r="L179" s="475" t="s">
        <v>141</v>
      </c>
      <c r="M179" s="473"/>
    </row>
    <row r="180" spans="1:13" ht="13.5">
      <c r="A180" s="475" t="s">
        <v>5263</v>
      </c>
      <c r="B180" s="475" t="s">
        <v>5264</v>
      </c>
      <c r="C180" s="475" t="s">
        <v>5269</v>
      </c>
      <c r="D180" s="475" t="s">
        <v>5270</v>
      </c>
      <c r="E180" s="476" t="s">
        <v>34</v>
      </c>
      <c r="F180" s="475" t="s">
        <v>34</v>
      </c>
      <c r="G180" s="364">
        <v>92860</v>
      </c>
      <c r="H180" s="475" t="s">
        <v>258</v>
      </c>
      <c r="I180" s="475" t="s">
        <v>139</v>
      </c>
      <c r="J180" s="475" t="s">
        <v>140</v>
      </c>
      <c r="K180" s="365">
        <v>25.33</v>
      </c>
      <c r="L180" s="475" t="s">
        <v>141</v>
      </c>
      <c r="M180" s="473"/>
    </row>
    <row r="181" spans="1:13" ht="13.5">
      <c r="A181" s="475" t="s">
        <v>5263</v>
      </c>
      <c r="B181" s="475" t="s">
        <v>5264</v>
      </c>
      <c r="C181" s="475" t="s">
        <v>5269</v>
      </c>
      <c r="D181" s="475" t="s">
        <v>5270</v>
      </c>
      <c r="E181" s="476" t="s">
        <v>34</v>
      </c>
      <c r="F181" s="475" t="s">
        <v>34</v>
      </c>
      <c r="G181" s="364">
        <v>92862</v>
      </c>
      <c r="H181" s="475" t="s">
        <v>259</v>
      </c>
      <c r="I181" s="475" t="s">
        <v>139</v>
      </c>
      <c r="J181" s="475" t="s">
        <v>140</v>
      </c>
      <c r="K181" s="365">
        <v>28.27</v>
      </c>
      <c r="L181" s="475" t="s">
        <v>141</v>
      </c>
      <c r="M181" s="473"/>
    </row>
    <row r="182" spans="1:13" ht="13.5">
      <c r="A182" s="475" t="s">
        <v>5263</v>
      </c>
      <c r="B182" s="475" t="s">
        <v>5264</v>
      </c>
      <c r="C182" s="475" t="s">
        <v>5269</v>
      </c>
      <c r="D182" s="475" t="s">
        <v>5270</v>
      </c>
      <c r="E182" s="476" t="s">
        <v>34</v>
      </c>
      <c r="F182" s="475" t="s">
        <v>34</v>
      </c>
      <c r="G182" s="364">
        <v>92863</v>
      </c>
      <c r="H182" s="475" t="s">
        <v>260</v>
      </c>
      <c r="I182" s="475" t="s">
        <v>139</v>
      </c>
      <c r="J182" s="475" t="s">
        <v>140</v>
      </c>
      <c r="K182" s="365">
        <v>587.77</v>
      </c>
      <c r="L182" s="475" t="s">
        <v>141</v>
      </c>
      <c r="M182" s="473"/>
    </row>
    <row r="183" spans="1:13" ht="13.5">
      <c r="A183" s="475" t="s">
        <v>5263</v>
      </c>
      <c r="B183" s="475" t="s">
        <v>5264</v>
      </c>
      <c r="C183" s="475" t="s">
        <v>5269</v>
      </c>
      <c r="D183" s="475" t="s">
        <v>5270</v>
      </c>
      <c r="E183" s="476" t="s">
        <v>34</v>
      </c>
      <c r="F183" s="475" t="s">
        <v>34</v>
      </c>
      <c r="G183" s="364">
        <v>92864</v>
      </c>
      <c r="H183" s="475" t="s">
        <v>261</v>
      </c>
      <c r="I183" s="475" t="s">
        <v>139</v>
      </c>
      <c r="J183" s="475" t="s">
        <v>140</v>
      </c>
      <c r="K183" s="365">
        <v>31.23</v>
      </c>
      <c r="L183" s="475" t="s">
        <v>141</v>
      </c>
      <c r="M183" s="473"/>
    </row>
    <row r="184" spans="1:13" ht="13.5">
      <c r="A184" s="475" t="s">
        <v>5263</v>
      </c>
      <c r="B184" s="475" t="s">
        <v>5264</v>
      </c>
      <c r="C184" s="475" t="s">
        <v>5271</v>
      </c>
      <c r="D184" s="475" t="s">
        <v>5272</v>
      </c>
      <c r="E184" s="476" t="s">
        <v>34</v>
      </c>
      <c r="F184" s="475" t="s">
        <v>34</v>
      </c>
      <c r="G184" s="364">
        <v>92210</v>
      </c>
      <c r="H184" s="475" t="s">
        <v>262</v>
      </c>
      <c r="I184" s="475" t="s">
        <v>139</v>
      </c>
      <c r="J184" s="475" t="s">
        <v>140</v>
      </c>
      <c r="K184" s="365">
        <v>104.47</v>
      </c>
      <c r="L184" s="475" t="s">
        <v>141</v>
      </c>
      <c r="M184" s="473"/>
    </row>
    <row r="185" spans="1:13" ht="13.5">
      <c r="A185" s="475" t="s">
        <v>5263</v>
      </c>
      <c r="B185" s="475" t="s">
        <v>5264</v>
      </c>
      <c r="C185" s="475" t="s">
        <v>5271</v>
      </c>
      <c r="D185" s="475" t="s">
        <v>5272</v>
      </c>
      <c r="E185" s="476" t="s">
        <v>34</v>
      </c>
      <c r="F185" s="475" t="s">
        <v>34</v>
      </c>
      <c r="G185" s="364">
        <v>92211</v>
      </c>
      <c r="H185" s="475" t="s">
        <v>263</v>
      </c>
      <c r="I185" s="475" t="s">
        <v>139</v>
      </c>
      <c r="J185" s="475" t="s">
        <v>140</v>
      </c>
      <c r="K185" s="365">
        <v>134.55000000000001</v>
      </c>
      <c r="L185" s="475" t="s">
        <v>141</v>
      </c>
      <c r="M185" s="473"/>
    </row>
    <row r="186" spans="1:13" ht="13.5">
      <c r="A186" s="475" t="s">
        <v>5263</v>
      </c>
      <c r="B186" s="475" t="s">
        <v>5264</v>
      </c>
      <c r="C186" s="475" t="s">
        <v>5271</v>
      </c>
      <c r="D186" s="475" t="s">
        <v>5272</v>
      </c>
      <c r="E186" s="476" t="s">
        <v>34</v>
      </c>
      <c r="F186" s="475" t="s">
        <v>34</v>
      </c>
      <c r="G186" s="364">
        <v>92212</v>
      </c>
      <c r="H186" s="475" t="s">
        <v>264</v>
      </c>
      <c r="I186" s="475" t="s">
        <v>139</v>
      </c>
      <c r="J186" s="475" t="s">
        <v>140</v>
      </c>
      <c r="K186" s="365">
        <v>172.74</v>
      </c>
      <c r="L186" s="475" t="s">
        <v>141</v>
      </c>
      <c r="M186" s="473"/>
    </row>
    <row r="187" spans="1:13" ht="13.5">
      <c r="A187" s="475" t="s">
        <v>5263</v>
      </c>
      <c r="B187" s="475" t="s">
        <v>5264</v>
      </c>
      <c r="C187" s="475" t="s">
        <v>5271</v>
      </c>
      <c r="D187" s="475" t="s">
        <v>5272</v>
      </c>
      <c r="E187" s="476" t="s">
        <v>34</v>
      </c>
      <c r="F187" s="475" t="s">
        <v>34</v>
      </c>
      <c r="G187" s="364">
        <v>92213</v>
      </c>
      <c r="H187" s="475" t="s">
        <v>265</v>
      </c>
      <c r="I187" s="475" t="s">
        <v>139</v>
      </c>
      <c r="J187" s="475" t="s">
        <v>140</v>
      </c>
      <c r="K187" s="365">
        <v>230.76</v>
      </c>
      <c r="L187" s="475" t="s">
        <v>141</v>
      </c>
      <c r="M187" s="473"/>
    </row>
    <row r="188" spans="1:13" ht="13.5">
      <c r="A188" s="475" t="s">
        <v>5263</v>
      </c>
      <c r="B188" s="475" t="s">
        <v>5264</v>
      </c>
      <c r="C188" s="475" t="s">
        <v>5271</v>
      </c>
      <c r="D188" s="475" t="s">
        <v>5272</v>
      </c>
      <c r="E188" s="476" t="s">
        <v>34</v>
      </c>
      <c r="F188" s="475" t="s">
        <v>34</v>
      </c>
      <c r="G188" s="364">
        <v>92214</v>
      </c>
      <c r="H188" s="475" t="s">
        <v>266</v>
      </c>
      <c r="I188" s="475" t="s">
        <v>139</v>
      </c>
      <c r="J188" s="475" t="s">
        <v>140</v>
      </c>
      <c r="K188" s="365">
        <v>263.18</v>
      </c>
      <c r="L188" s="475" t="s">
        <v>141</v>
      </c>
      <c r="M188" s="473"/>
    </row>
    <row r="189" spans="1:13" ht="13.5">
      <c r="A189" s="475" t="s">
        <v>5263</v>
      </c>
      <c r="B189" s="475" t="s">
        <v>5264</v>
      </c>
      <c r="C189" s="475" t="s">
        <v>5271</v>
      </c>
      <c r="D189" s="475" t="s">
        <v>5272</v>
      </c>
      <c r="E189" s="476" t="s">
        <v>34</v>
      </c>
      <c r="F189" s="475" t="s">
        <v>34</v>
      </c>
      <c r="G189" s="364">
        <v>92215</v>
      </c>
      <c r="H189" s="475" t="s">
        <v>267</v>
      </c>
      <c r="I189" s="475" t="s">
        <v>139</v>
      </c>
      <c r="J189" s="475" t="s">
        <v>140</v>
      </c>
      <c r="K189" s="365">
        <v>319.18</v>
      </c>
      <c r="L189" s="475" t="s">
        <v>141</v>
      </c>
      <c r="M189" s="473"/>
    </row>
    <row r="190" spans="1:13" ht="13.5">
      <c r="A190" s="475" t="s">
        <v>5263</v>
      </c>
      <c r="B190" s="475" t="s">
        <v>5264</v>
      </c>
      <c r="C190" s="475" t="s">
        <v>5271</v>
      </c>
      <c r="D190" s="475" t="s">
        <v>5272</v>
      </c>
      <c r="E190" s="476" t="s">
        <v>34</v>
      </c>
      <c r="F190" s="475" t="s">
        <v>34</v>
      </c>
      <c r="G190" s="364">
        <v>92216</v>
      </c>
      <c r="H190" s="475" t="s">
        <v>268</v>
      </c>
      <c r="I190" s="475" t="s">
        <v>139</v>
      </c>
      <c r="J190" s="475" t="s">
        <v>140</v>
      </c>
      <c r="K190" s="365">
        <v>357.38</v>
      </c>
      <c r="L190" s="475" t="s">
        <v>141</v>
      </c>
      <c r="M190" s="473"/>
    </row>
    <row r="191" spans="1:13" ht="13.5">
      <c r="A191" s="475" t="s">
        <v>5263</v>
      </c>
      <c r="B191" s="475" t="s">
        <v>5264</v>
      </c>
      <c r="C191" s="475" t="s">
        <v>5271</v>
      </c>
      <c r="D191" s="475" t="s">
        <v>5272</v>
      </c>
      <c r="E191" s="476" t="s">
        <v>34</v>
      </c>
      <c r="F191" s="475" t="s">
        <v>34</v>
      </c>
      <c r="G191" s="364">
        <v>92219</v>
      </c>
      <c r="H191" s="475" t="s">
        <v>269</v>
      </c>
      <c r="I191" s="475" t="s">
        <v>139</v>
      </c>
      <c r="J191" s="475" t="s">
        <v>140</v>
      </c>
      <c r="K191" s="365">
        <v>110.8</v>
      </c>
      <c r="L191" s="475" t="s">
        <v>141</v>
      </c>
      <c r="M191" s="473"/>
    </row>
    <row r="192" spans="1:13" ht="13.5">
      <c r="A192" s="475" t="s">
        <v>5263</v>
      </c>
      <c r="B192" s="475" t="s">
        <v>5264</v>
      </c>
      <c r="C192" s="475" t="s">
        <v>5271</v>
      </c>
      <c r="D192" s="475" t="s">
        <v>5272</v>
      </c>
      <c r="E192" s="476" t="s">
        <v>34</v>
      </c>
      <c r="F192" s="475" t="s">
        <v>34</v>
      </c>
      <c r="G192" s="364">
        <v>92220</v>
      </c>
      <c r="H192" s="475" t="s">
        <v>270</v>
      </c>
      <c r="I192" s="475" t="s">
        <v>139</v>
      </c>
      <c r="J192" s="475" t="s">
        <v>140</v>
      </c>
      <c r="K192" s="365">
        <v>142.38999999999999</v>
      </c>
      <c r="L192" s="475" t="s">
        <v>141</v>
      </c>
      <c r="M192" s="473"/>
    </row>
    <row r="193" spans="1:13" ht="13.5">
      <c r="A193" s="475" t="s">
        <v>5263</v>
      </c>
      <c r="B193" s="475" t="s">
        <v>5264</v>
      </c>
      <c r="C193" s="475" t="s">
        <v>5271</v>
      </c>
      <c r="D193" s="475" t="s">
        <v>5272</v>
      </c>
      <c r="E193" s="476" t="s">
        <v>34</v>
      </c>
      <c r="F193" s="475" t="s">
        <v>34</v>
      </c>
      <c r="G193" s="364">
        <v>92221</v>
      </c>
      <c r="H193" s="475" t="s">
        <v>271</v>
      </c>
      <c r="I193" s="475" t="s">
        <v>139</v>
      </c>
      <c r="J193" s="475" t="s">
        <v>140</v>
      </c>
      <c r="K193" s="365">
        <v>181.93</v>
      </c>
      <c r="L193" s="475" t="s">
        <v>141</v>
      </c>
      <c r="M193" s="473"/>
    </row>
    <row r="194" spans="1:13" ht="13.5">
      <c r="A194" s="475" t="s">
        <v>5263</v>
      </c>
      <c r="B194" s="475" t="s">
        <v>5264</v>
      </c>
      <c r="C194" s="475" t="s">
        <v>5271</v>
      </c>
      <c r="D194" s="475" t="s">
        <v>5272</v>
      </c>
      <c r="E194" s="476" t="s">
        <v>34</v>
      </c>
      <c r="F194" s="475" t="s">
        <v>34</v>
      </c>
      <c r="G194" s="364">
        <v>92222</v>
      </c>
      <c r="H194" s="475" t="s">
        <v>272</v>
      </c>
      <c r="I194" s="475" t="s">
        <v>139</v>
      </c>
      <c r="J194" s="475" t="s">
        <v>140</v>
      </c>
      <c r="K194" s="365">
        <v>241.43</v>
      </c>
      <c r="L194" s="475" t="s">
        <v>141</v>
      </c>
      <c r="M194" s="473"/>
    </row>
    <row r="195" spans="1:13" ht="13.5">
      <c r="A195" s="475" t="s">
        <v>5263</v>
      </c>
      <c r="B195" s="475" t="s">
        <v>5264</v>
      </c>
      <c r="C195" s="475" t="s">
        <v>5271</v>
      </c>
      <c r="D195" s="475" t="s">
        <v>5272</v>
      </c>
      <c r="E195" s="476" t="s">
        <v>34</v>
      </c>
      <c r="F195" s="475" t="s">
        <v>34</v>
      </c>
      <c r="G195" s="364">
        <v>92223</v>
      </c>
      <c r="H195" s="475" t="s">
        <v>273</v>
      </c>
      <c r="I195" s="475" t="s">
        <v>139</v>
      </c>
      <c r="J195" s="475" t="s">
        <v>140</v>
      </c>
      <c r="K195" s="365">
        <v>275.11</v>
      </c>
      <c r="L195" s="475" t="s">
        <v>141</v>
      </c>
      <c r="M195" s="473"/>
    </row>
    <row r="196" spans="1:13" ht="13.5">
      <c r="A196" s="475" t="s">
        <v>5263</v>
      </c>
      <c r="B196" s="475" t="s">
        <v>5264</v>
      </c>
      <c r="C196" s="475" t="s">
        <v>5271</v>
      </c>
      <c r="D196" s="475" t="s">
        <v>5272</v>
      </c>
      <c r="E196" s="476" t="s">
        <v>34</v>
      </c>
      <c r="F196" s="475" t="s">
        <v>34</v>
      </c>
      <c r="G196" s="364">
        <v>92224</v>
      </c>
      <c r="H196" s="475" t="s">
        <v>274</v>
      </c>
      <c r="I196" s="475" t="s">
        <v>139</v>
      </c>
      <c r="J196" s="475" t="s">
        <v>140</v>
      </c>
      <c r="K196" s="365">
        <v>332.42</v>
      </c>
      <c r="L196" s="475" t="s">
        <v>141</v>
      </c>
      <c r="M196" s="473"/>
    </row>
    <row r="197" spans="1:13" ht="13.5">
      <c r="A197" s="475" t="s">
        <v>5263</v>
      </c>
      <c r="B197" s="475" t="s">
        <v>5264</v>
      </c>
      <c r="C197" s="475" t="s">
        <v>5271</v>
      </c>
      <c r="D197" s="475" t="s">
        <v>5272</v>
      </c>
      <c r="E197" s="476" t="s">
        <v>34</v>
      </c>
      <c r="F197" s="475" t="s">
        <v>34</v>
      </c>
      <c r="G197" s="364">
        <v>92226</v>
      </c>
      <c r="H197" s="475" t="s">
        <v>275</v>
      </c>
      <c r="I197" s="475" t="s">
        <v>139</v>
      </c>
      <c r="J197" s="475" t="s">
        <v>140</v>
      </c>
      <c r="K197" s="365">
        <v>372.18</v>
      </c>
      <c r="L197" s="475" t="s">
        <v>141</v>
      </c>
      <c r="M197" s="473"/>
    </row>
    <row r="198" spans="1:13" ht="13.5">
      <c r="A198" s="475" t="s">
        <v>5263</v>
      </c>
      <c r="B198" s="475" t="s">
        <v>5264</v>
      </c>
      <c r="C198" s="475" t="s">
        <v>5271</v>
      </c>
      <c r="D198" s="475" t="s">
        <v>5272</v>
      </c>
      <c r="E198" s="476" t="s">
        <v>34</v>
      </c>
      <c r="F198" s="475" t="s">
        <v>34</v>
      </c>
      <c r="G198" s="364">
        <v>92808</v>
      </c>
      <c r="H198" s="475" t="s">
        <v>276</v>
      </c>
      <c r="I198" s="475" t="s">
        <v>139</v>
      </c>
      <c r="J198" s="475" t="s">
        <v>140</v>
      </c>
      <c r="K198" s="365">
        <v>25.62</v>
      </c>
      <c r="L198" s="475" t="s">
        <v>141</v>
      </c>
      <c r="M198" s="473"/>
    </row>
    <row r="199" spans="1:13" ht="13.5">
      <c r="A199" s="475" t="s">
        <v>5263</v>
      </c>
      <c r="B199" s="475" t="s">
        <v>5264</v>
      </c>
      <c r="C199" s="475" t="s">
        <v>5271</v>
      </c>
      <c r="D199" s="475" t="s">
        <v>5272</v>
      </c>
      <c r="E199" s="476" t="s">
        <v>34</v>
      </c>
      <c r="F199" s="475" t="s">
        <v>34</v>
      </c>
      <c r="G199" s="364">
        <v>92809</v>
      </c>
      <c r="H199" s="475" t="s">
        <v>277</v>
      </c>
      <c r="I199" s="475" t="s">
        <v>139</v>
      </c>
      <c r="J199" s="475" t="s">
        <v>140</v>
      </c>
      <c r="K199" s="365">
        <v>32.880000000000003</v>
      </c>
      <c r="L199" s="475" t="s">
        <v>141</v>
      </c>
      <c r="M199" s="473"/>
    </row>
    <row r="200" spans="1:13" ht="13.5">
      <c r="A200" s="475" t="s">
        <v>5263</v>
      </c>
      <c r="B200" s="475" t="s">
        <v>5264</v>
      </c>
      <c r="C200" s="475" t="s">
        <v>5271</v>
      </c>
      <c r="D200" s="475" t="s">
        <v>5272</v>
      </c>
      <c r="E200" s="476" t="s">
        <v>34</v>
      </c>
      <c r="F200" s="475" t="s">
        <v>34</v>
      </c>
      <c r="G200" s="364">
        <v>92810</v>
      </c>
      <c r="H200" s="475" t="s">
        <v>278</v>
      </c>
      <c r="I200" s="475" t="s">
        <v>139</v>
      </c>
      <c r="J200" s="475" t="s">
        <v>140</v>
      </c>
      <c r="K200" s="365">
        <v>40.01</v>
      </c>
      <c r="L200" s="475" t="s">
        <v>141</v>
      </c>
      <c r="M200" s="473"/>
    </row>
    <row r="201" spans="1:13" ht="13.5">
      <c r="A201" s="475" t="s">
        <v>5263</v>
      </c>
      <c r="B201" s="475" t="s">
        <v>5264</v>
      </c>
      <c r="C201" s="475" t="s">
        <v>5271</v>
      </c>
      <c r="D201" s="475" t="s">
        <v>5272</v>
      </c>
      <c r="E201" s="476" t="s">
        <v>34</v>
      </c>
      <c r="F201" s="475" t="s">
        <v>34</v>
      </c>
      <c r="G201" s="364">
        <v>92811</v>
      </c>
      <c r="H201" s="475" t="s">
        <v>279</v>
      </c>
      <c r="I201" s="475" t="s">
        <v>139</v>
      </c>
      <c r="J201" s="475" t="s">
        <v>140</v>
      </c>
      <c r="K201" s="365">
        <v>47.67</v>
      </c>
      <c r="L201" s="475" t="s">
        <v>141</v>
      </c>
      <c r="M201" s="473"/>
    </row>
    <row r="202" spans="1:13" ht="13.5">
      <c r="A202" s="475" t="s">
        <v>5263</v>
      </c>
      <c r="B202" s="475" t="s">
        <v>5264</v>
      </c>
      <c r="C202" s="475" t="s">
        <v>5271</v>
      </c>
      <c r="D202" s="475" t="s">
        <v>5272</v>
      </c>
      <c r="E202" s="476" t="s">
        <v>34</v>
      </c>
      <c r="F202" s="475" t="s">
        <v>34</v>
      </c>
      <c r="G202" s="364">
        <v>92812</v>
      </c>
      <c r="H202" s="475" t="s">
        <v>280</v>
      </c>
      <c r="I202" s="475" t="s">
        <v>139</v>
      </c>
      <c r="J202" s="475" t="s">
        <v>140</v>
      </c>
      <c r="K202" s="365">
        <v>55.21</v>
      </c>
      <c r="L202" s="475" t="s">
        <v>141</v>
      </c>
      <c r="M202" s="473"/>
    </row>
    <row r="203" spans="1:13" ht="13.5">
      <c r="A203" s="475" t="s">
        <v>5263</v>
      </c>
      <c r="B203" s="475" t="s">
        <v>5264</v>
      </c>
      <c r="C203" s="475" t="s">
        <v>5271</v>
      </c>
      <c r="D203" s="475" t="s">
        <v>5272</v>
      </c>
      <c r="E203" s="476" t="s">
        <v>34</v>
      </c>
      <c r="F203" s="475" t="s">
        <v>34</v>
      </c>
      <c r="G203" s="364">
        <v>92813</v>
      </c>
      <c r="H203" s="475" t="s">
        <v>281</v>
      </c>
      <c r="I203" s="475" t="s">
        <v>139</v>
      </c>
      <c r="J203" s="475" t="s">
        <v>140</v>
      </c>
      <c r="K203" s="365">
        <v>64.11</v>
      </c>
      <c r="L203" s="475" t="s">
        <v>141</v>
      </c>
      <c r="M203" s="473"/>
    </row>
    <row r="204" spans="1:13" ht="13.5">
      <c r="A204" s="475" t="s">
        <v>5263</v>
      </c>
      <c r="B204" s="475" t="s">
        <v>5264</v>
      </c>
      <c r="C204" s="475" t="s">
        <v>5271</v>
      </c>
      <c r="D204" s="475" t="s">
        <v>5272</v>
      </c>
      <c r="E204" s="476" t="s">
        <v>34</v>
      </c>
      <c r="F204" s="475" t="s">
        <v>34</v>
      </c>
      <c r="G204" s="364">
        <v>92814</v>
      </c>
      <c r="H204" s="475" t="s">
        <v>282</v>
      </c>
      <c r="I204" s="475" t="s">
        <v>139</v>
      </c>
      <c r="J204" s="475" t="s">
        <v>140</v>
      </c>
      <c r="K204" s="365">
        <v>73.41</v>
      </c>
      <c r="L204" s="475" t="s">
        <v>141</v>
      </c>
      <c r="M204" s="473"/>
    </row>
    <row r="205" spans="1:13" ht="13.5">
      <c r="A205" s="475" t="s">
        <v>5263</v>
      </c>
      <c r="B205" s="475" t="s">
        <v>5264</v>
      </c>
      <c r="C205" s="475" t="s">
        <v>5271</v>
      </c>
      <c r="D205" s="475" t="s">
        <v>5272</v>
      </c>
      <c r="E205" s="476" t="s">
        <v>34</v>
      </c>
      <c r="F205" s="475" t="s">
        <v>34</v>
      </c>
      <c r="G205" s="364">
        <v>92815</v>
      </c>
      <c r="H205" s="475" t="s">
        <v>283</v>
      </c>
      <c r="I205" s="475" t="s">
        <v>139</v>
      </c>
      <c r="J205" s="475" t="s">
        <v>140</v>
      </c>
      <c r="K205" s="365">
        <v>84.13</v>
      </c>
      <c r="L205" s="475" t="s">
        <v>141</v>
      </c>
      <c r="M205" s="473"/>
    </row>
    <row r="206" spans="1:13" ht="13.5">
      <c r="A206" s="475" t="s">
        <v>5263</v>
      </c>
      <c r="B206" s="475" t="s">
        <v>5264</v>
      </c>
      <c r="C206" s="475" t="s">
        <v>5271</v>
      </c>
      <c r="D206" s="475" t="s">
        <v>5272</v>
      </c>
      <c r="E206" s="476" t="s">
        <v>34</v>
      </c>
      <c r="F206" s="475" t="s">
        <v>34</v>
      </c>
      <c r="G206" s="364">
        <v>92816</v>
      </c>
      <c r="H206" s="475" t="s">
        <v>284</v>
      </c>
      <c r="I206" s="475" t="s">
        <v>139</v>
      </c>
      <c r="J206" s="475" t="s">
        <v>140</v>
      </c>
      <c r="K206" s="365">
        <v>492.52</v>
      </c>
      <c r="L206" s="475" t="s">
        <v>141</v>
      </c>
      <c r="M206" s="473"/>
    </row>
    <row r="207" spans="1:13" ht="13.5">
      <c r="A207" s="475" t="s">
        <v>5263</v>
      </c>
      <c r="B207" s="475" t="s">
        <v>5264</v>
      </c>
      <c r="C207" s="475" t="s">
        <v>5271</v>
      </c>
      <c r="D207" s="475" t="s">
        <v>5272</v>
      </c>
      <c r="E207" s="476" t="s">
        <v>34</v>
      </c>
      <c r="F207" s="475" t="s">
        <v>34</v>
      </c>
      <c r="G207" s="364">
        <v>92817</v>
      </c>
      <c r="H207" s="475" t="s">
        <v>285</v>
      </c>
      <c r="I207" s="475" t="s">
        <v>139</v>
      </c>
      <c r="J207" s="475" t="s">
        <v>140</v>
      </c>
      <c r="K207" s="365">
        <v>105.27</v>
      </c>
      <c r="L207" s="475" t="s">
        <v>141</v>
      </c>
      <c r="M207" s="473"/>
    </row>
    <row r="208" spans="1:13" ht="13.5">
      <c r="A208" s="475" t="s">
        <v>5263</v>
      </c>
      <c r="B208" s="475" t="s">
        <v>5264</v>
      </c>
      <c r="C208" s="475" t="s">
        <v>5271</v>
      </c>
      <c r="D208" s="475" t="s">
        <v>5272</v>
      </c>
      <c r="E208" s="476" t="s">
        <v>34</v>
      </c>
      <c r="F208" s="475" t="s">
        <v>34</v>
      </c>
      <c r="G208" s="364">
        <v>92818</v>
      </c>
      <c r="H208" s="475" t="s">
        <v>286</v>
      </c>
      <c r="I208" s="475" t="s">
        <v>139</v>
      </c>
      <c r="J208" s="475" t="s">
        <v>140</v>
      </c>
      <c r="K208" s="365">
        <v>717.72</v>
      </c>
      <c r="L208" s="475" t="s">
        <v>141</v>
      </c>
      <c r="M208" s="473"/>
    </row>
    <row r="209" spans="1:13" ht="13.5">
      <c r="A209" s="475" t="s">
        <v>5263</v>
      </c>
      <c r="B209" s="475" t="s">
        <v>5264</v>
      </c>
      <c r="C209" s="475" t="s">
        <v>5271</v>
      </c>
      <c r="D209" s="475" t="s">
        <v>5272</v>
      </c>
      <c r="E209" s="476" t="s">
        <v>34</v>
      </c>
      <c r="F209" s="475" t="s">
        <v>34</v>
      </c>
      <c r="G209" s="364">
        <v>92819</v>
      </c>
      <c r="H209" s="475" t="s">
        <v>287</v>
      </c>
      <c r="I209" s="475" t="s">
        <v>139</v>
      </c>
      <c r="J209" s="475" t="s">
        <v>140</v>
      </c>
      <c r="K209" s="365">
        <v>141.71</v>
      </c>
      <c r="L209" s="475" t="s">
        <v>141</v>
      </c>
      <c r="M209" s="473"/>
    </row>
    <row r="210" spans="1:13" ht="13.5">
      <c r="A210" s="475" t="s">
        <v>5263</v>
      </c>
      <c r="B210" s="475" t="s">
        <v>5264</v>
      </c>
      <c r="C210" s="475" t="s">
        <v>5271</v>
      </c>
      <c r="D210" s="475" t="s">
        <v>5272</v>
      </c>
      <c r="E210" s="476" t="s">
        <v>34</v>
      </c>
      <c r="F210" s="475" t="s">
        <v>34</v>
      </c>
      <c r="G210" s="364">
        <v>92820</v>
      </c>
      <c r="H210" s="475" t="s">
        <v>288</v>
      </c>
      <c r="I210" s="475" t="s">
        <v>139</v>
      </c>
      <c r="J210" s="475" t="s">
        <v>140</v>
      </c>
      <c r="K210" s="365">
        <v>30.58</v>
      </c>
      <c r="L210" s="475" t="s">
        <v>141</v>
      </c>
      <c r="M210" s="473"/>
    </row>
    <row r="211" spans="1:13" ht="13.5">
      <c r="A211" s="475" t="s">
        <v>5263</v>
      </c>
      <c r="B211" s="475" t="s">
        <v>5264</v>
      </c>
      <c r="C211" s="475" t="s">
        <v>5271</v>
      </c>
      <c r="D211" s="475" t="s">
        <v>5272</v>
      </c>
      <c r="E211" s="476" t="s">
        <v>34</v>
      </c>
      <c r="F211" s="475" t="s">
        <v>34</v>
      </c>
      <c r="G211" s="364">
        <v>92821</v>
      </c>
      <c r="H211" s="475" t="s">
        <v>289</v>
      </c>
      <c r="I211" s="475" t="s">
        <v>139</v>
      </c>
      <c r="J211" s="475" t="s">
        <v>140</v>
      </c>
      <c r="K211" s="365">
        <v>39.21</v>
      </c>
      <c r="L211" s="475" t="s">
        <v>141</v>
      </c>
      <c r="M211" s="473"/>
    </row>
    <row r="212" spans="1:13" ht="13.5">
      <c r="A212" s="475" t="s">
        <v>5263</v>
      </c>
      <c r="B212" s="475" t="s">
        <v>5264</v>
      </c>
      <c r="C212" s="475" t="s">
        <v>5271</v>
      </c>
      <c r="D212" s="475" t="s">
        <v>5272</v>
      </c>
      <c r="E212" s="476" t="s">
        <v>34</v>
      </c>
      <c r="F212" s="475" t="s">
        <v>34</v>
      </c>
      <c r="G212" s="364">
        <v>92822</v>
      </c>
      <c r="H212" s="475" t="s">
        <v>290</v>
      </c>
      <c r="I212" s="475" t="s">
        <v>139</v>
      </c>
      <c r="J212" s="475" t="s">
        <v>140</v>
      </c>
      <c r="K212" s="365">
        <v>47.85</v>
      </c>
      <c r="L212" s="475" t="s">
        <v>141</v>
      </c>
      <c r="M212" s="473"/>
    </row>
    <row r="213" spans="1:13" ht="13.5">
      <c r="A213" s="475" t="s">
        <v>5263</v>
      </c>
      <c r="B213" s="475" t="s">
        <v>5264</v>
      </c>
      <c r="C213" s="475" t="s">
        <v>5271</v>
      </c>
      <c r="D213" s="475" t="s">
        <v>5272</v>
      </c>
      <c r="E213" s="476" t="s">
        <v>34</v>
      </c>
      <c r="F213" s="475" t="s">
        <v>34</v>
      </c>
      <c r="G213" s="364">
        <v>92824</v>
      </c>
      <c r="H213" s="475" t="s">
        <v>291</v>
      </c>
      <c r="I213" s="475" t="s">
        <v>139</v>
      </c>
      <c r="J213" s="475" t="s">
        <v>140</v>
      </c>
      <c r="K213" s="365">
        <v>56.86</v>
      </c>
      <c r="L213" s="475" t="s">
        <v>141</v>
      </c>
      <c r="M213" s="473"/>
    </row>
    <row r="214" spans="1:13" ht="13.5">
      <c r="A214" s="475" t="s">
        <v>5263</v>
      </c>
      <c r="B214" s="475" t="s">
        <v>5264</v>
      </c>
      <c r="C214" s="475" t="s">
        <v>5271</v>
      </c>
      <c r="D214" s="475" t="s">
        <v>5272</v>
      </c>
      <c r="E214" s="476" t="s">
        <v>34</v>
      </c>
      <c r="F214" s="475" t="s">
        <v>34</v>
      </c>
      <c r="G214" s="364">
        <v>92825</v>
      </c>
      <c r="H214" s="475" t="s">
        <v>292</v>
      </c>
      <c r="I214" s="475" t="s">
        <v>139</v>
      </c>
      <c r="J214" s="475" t="s">
        <v>140</v>
      </c>
      <c r="K214" s="365">
        <v>65.88</v>
      </c>
      <c r="L214" s="475" t="s">
        <v>141</v>
      </c>
      <c r="M214" s="473"/>
    </row>
    <row r="215" spans="1:13" ht="13.5">
      <c r="A215" s="475" t="s">
        <v>5263</v>
      </c>
      <c r="B215" s="475" t="s">
        <v>5264</v>
      </c>
      <c r="C215" s="475" t="s">
        <v>5271</v>
      </c>
      <c r="D215" s="475" t="s">
        <v>5272</v>
      </c>
      <c r="E215" s="476" t="s">
        <v>34</v>
      </c>
      <c r="F215" s="475" t="s">
        <v>34</v>
      </c>
      <c r="G215" s="364">
        <v>92826</v>
      </c>
      <c r="H215" s="475" t="s">
        <v>293</v>
      </c>
      <c r="I215" s="475" t="s">
        <v>139</v>
      </c>
      <c r="J215" s="475" t="s">
        <v>140</v>
      </c>
      <c r="K215" s="365">
        <v>76.040000000000006</v>
      </c>
      <c r="L215" s="475" t="s">
        <v>141</v>
      </c>
      <c r="M215" s="473"/>
    </row>
    <row r="216" spans="1:13" ht="13.5">
      <c r="A216" s="475" t="s">
        <v>5263</v>
      </c>
      <c r="B216" s="475" t="s">
        <v>5264</v>
      </c>
      <c r="C216" s="475" t="s">
        <v>5271</v>
      </c>
      <c r="D216" s="475" t="s">
        <v>5272</v>
      </c>
      <c r="E216" s="476" t="s">
        <v>34</v>
      </c>
      <c r="F216" s="475" t="s">
        <v>34</v>
      </c>
      <c r="G216" s="364">
        <v>92827</v>
      </c>
      <c r="H216" s="475" t="s">
        <v>294</v>
      </c>
      <c r="I216" s="475" t="s">
        <v>139</v>
      </c>
      <c r="J216" s="475" t="s">
        <v>140</v>
      </c>
      <c r="K216" s="365">
        <v>86.65</v>
      </c>
      <c r="L216" s="475" t="s">
        <v>141</v>
      </c>
      <c r="M216" s="473"/>
    </row>
    <row r="217" spans="1:13" ht="13.5">
      <c r="A217" s="475" t="s">
        <v>5263</v>
      </c>
      <c r="B217" s="475" t="s">
        <v>5264</v>
      </c>
      <c r="C217" s="475" t="s">
        <v>5271</v>
      </c>
      <c r="D217" s="475" t="s">
        <v>5272</v>
      </c>
      <c r="E217" s="476" t="s">
        <v>34</v>
      </c>
      <c r="F217" s="475" t="s">
        <v>34</v>
      </c>
      <c r="G217" s="364">
        <v>92828</v>
      </c>
      <c r="H217" s="475" t="s">
        <v>295</v>
      </c>
      <c r="I217" s="475" t="s">
        <v>139</v>
      </c>
      <c r="J217" s="475" t="s">
        <v>140</v>
      </c>
      <c r="K217" s="365">
        <v>98.93</v>
      </c>
      <c r="L217" s="475" t="s">
        <v>141</v>
      </c>
      <c r="M217" s="473"/>
    </row>
    <row r="218" spans="1:13" ht="13.5">
      <c r="A218" s="475" t="s">
        <v>5263</v>
      </c>
      <c r="B218" s="475" t="s">
        <v>5264</v>
      </c>
      <c r="C218" s="475" t="s">
        <v>5271</v>
      </c>
      <c r="D218" s="475" t="s">
        <v>5272</v>
      </c>
      <c r="E218" s="476" t="s">
        <v>34</v>
      </c>
      <c r="F218" s="475" t="s">
        <v>34</v>
      </c>
      <c r="G218" s="364">
        <v>92829</v>
      </c>
      <c r="H218" s="475" t="s">
        <v>296</v>
      </c>
      <c r="I218" s="475" t="s">
        <v>139</v>
      </c>
      <c r="J218" s="475" t="s">
        <v>140</v>
      </c>
      <c r="K218" s="365">
        <v>510</v>
      </c>
      <c r="L218" s="475" t="s">
        <v>141</v>
      </c>
      <c r="M218" s="473"/>
    </row>
    <row r="219" spans="1:13" ht="13.5">
      <c r="A219" s="475" t="s">
        <v>5263</v>
      </c>
      <c r="B219" s="475" t="s">
        <v>5264</v>
      </c>
      <c r="C219" s="475" t="s">
        <v>5271</v>
      </c>
      <c r="D219" s="475" t="s">
        <v>5272</v>
      </c>
      <c r="E219" s="476" t="s">
        <v>34</v>
      </c>
      <c r="F219" s="475" t="s">
        <v>34</v>
      </c>
      <c r="G219" s="364">
        <v>92830</v>
      </c>
      <c r="H219" s="475" t="s">
        <v>297</v>
      </c>
      <c r="I219" s="475" t="s">
        <v>139</v>
      </c>
      <c r="J219" s="475" t="s">
        <v>140</v>
      </c>
      <c r="K219" s="365">
        <v>122.75</v>
      </c>
      <c r="L219" s="475" t="s">
        <v>141</v>
      </c>
      <c r="M219" s="473"/>
    </row>
    <row r="220" spans="1:13" ht="13.5">
      <c r="A220" s="475" t="s">
        <v>5263</v>
      </c>
      <c r="B220" s="475" t="s">
        <v>5264</v>
      </c>
      <c r="C220" s="475" t="s">
        <v>5271</v>
      </c>
      <c r="D220" s="475" t="s">
        <v>5272</v>
      </c>
      <c r="E220" s="476" t="s">
        <v>34</v>
      </c>
      <c r="F220" s="475" t="s">
        <v>34</v>
      </c>
      <c r="G220" s="364">
        <v>92831</v>
      </c>
      <c r="H220" s="475" t="s">
        <v>298</v>
      </c>
      <c r="I220" s="475" t="s">
        <v>139</v>
      </c>
      <c r="J220" s="475" t="s">
        <v>140</v>
      </c>
      <c r="K220" s="365">
        <v>739.18</v>
      </c>
      <c r="L220" s="475" t="s">
        <v>141</v>
      </c>
      <c r="M220" s="473"/>
    </row>
    <row r="221" spans="1:13" ht="13.5">
      <c r="A221" s="475" t="s">
        <v>5263</v>
      </c>
      <c r="B221" s="475" t="s">
        <v>5264</v>
      </c>
      <c r="C221" s="475" t="s">
        <v>5271</v>
      </c>
      <c r="D221" s="475" t="s">
        <v>5272</v>
      </c>
      <c r="E221" s="476" t="s">
        <v>34</v>
      </c>
      <c r="F221" s="475" t="s">
        <v>34</v>
      </c>
      <c r="G221" s="364">
        <v>92832</v>
      </c>
      <c r="H221" s="475" t="s">
        <v>299</v>
      </c>
      <c r="I221" s="475" t="s">
        <v>139</v>
      </c>
      <c r="J221" s="475" t="s">
        <v>140</v>
      </c>
      <c r="K221" s="365">
        <v>163.16999999999999</v>
      </c>
      <c r="L221" s="475" t="s">
        <v>141</v>
      </c>
      <c r="M221" s="473"/>
    </row>
    <row r="222" spans="1:13" ht="13.5">
      <c r="A222" s="475" t="s">
        <v>5263</v>
      </c>
      <c r="B222" s="475" t="s">
        <v>5264</v>
      </c>
      <c r="C222" s="475" t="s">
        <v>5271</v>
      </c>
      <c r="D222" s="475" t="s">
        <v>5272</v>
      </c>
      <c r="E222" s="476" t="s">
        <v>34</v>
      </c>
      <c r="F222" s="475" t="s">
        <v>34</v>
      </c>
      <c r="G222" s="364">
        <v>95565</v>
      </c>
      <c r="H222" s="475" t="s">
        <v>300</v>
      </c>
      <c r="I222" s="475" t="s">
        <v>139</v>
      </c>
      <c r="J222" s="475" t="s">
        <v>140</v>
      </c>
      <c r="K222" s="365">
        <v>93.41</v>
      </c>
      <c r="L222" s="475" t="s">
        <v>141</v>
      </c>
      <c r="M222" s="473"/>
    </row>
    <row r="223" spans="1:13" ht="13.5">
      <c r="A223" s="475" t="s">
        <v>5263</v>
      </c>
      <c r="B223" s="475" t="s">
        <v>5264</v>
      </c>
      <c r="C223" s="475" t="s">
        <v>5271</v>
      </c>
      <c r="D223" s="475" t="s">
        <v>5272</v>
      </c>
      <c r="E223" s="476" t="s">
        <v>34</v>
      </c>
      <c r="F223" s="475" t="s">
        <v>34</v>
      </c>
      <c r="G223" s="364">
        <v>95566</v>
      </c>
      <c r="H223" s="475" t="s">
        <v>301</v>
      </c>
      <c r="I223" s="475" t="s">
        <v>139</v>
      </c>
      <c r="J223" s="475" t="s">
        <v>140</v>
      </c>
      <c r="K223" s="365">
        <v>98.37</v>
      </c>
      <c r="L223" s="475" t="s">
        <v>141</v>
      </c>
      <c r="M223" s="473"/>
    </row>
    <row r="224" spans="1:13" ht="13.5">
      <c r="A224" s="475" t="s">
        <v>5263</v>
      </c>
      <c r="B224" s="475" t="s">
        <v>5264</v>
      </c>
      <c r="C224" s="475" t="s">
        <v>5271</v>
      </c>
      <c r="D224" s="475" t="s">
        <v>5272</v>
      </c>
      <c r="E224" s="476" t="s">
        <v>34</v>
      </c>
      <c r="F224" s="475" t="s">
        <v>34</v>
      </c>
      <c r="G224" s="364">
        <v>95567</v>
      </c>
      <c r="H224" s="475" t="s">
        <v>302</v>
      </c>
      <c r="I224" s="475" t="s">
        <v>139</v>
      </c>
      <c r="J224" s="475" t="s">
        <v>140</v>
      </c>
      <c r="K224" s="365">
        <v>59.65</v>
      </c>
      <c r="L224" s="475" t="s">
        <v>141</v>
      </c>
      <c r="M224" s="473"/>
    </row>
    <row r="225" spans="1:13" ht="13.5">
      <c r="A225" s="475" t="s">
        <v>5263</v>
      </c>
      <c r="B225" s="475" t="s">
        <v>5264</v>
      </c>
      <c r="C225" s="475" t="s">
        <v>5271</v>
      </c>
      <c r="D225" s="475" t="s">
        <v>5272</v>
      </c>
      <c r="E225" s="476" t="s">
        <v>34</v>
      </c>
      <c r="F225" s="475" t="s">
        <v>34</v>
      </c>
      <c r="G225" s="364">
        <v>95568</v>
      </c>
      <c r="H225" s="475" t="s">
        <v>303</v>
      </c>
      <c r="I225" s="475" t="s">
        <v>139</v>
      </c>
      <c r="J225" s="475" t="s">
        <v>140</v>
      </c>
      <c r="K225" s="365">
        <v>77.849999999999994</v>
      </c>
      <c r="L225" s="475" t="s">
        <v>141</v>
      </c>
      <c r="M225" s="473"/>
    </row>
    <row r="226" spans="1:13" ht="13.5">
      <c r="A226" s="475" t="s">
        <v>5263</v>
      </c>
      <c r="B226" s="475" t="s">
        <v>5264</v>
      </c>
      <c r="C226" s="475" t="s">
        <v>5271</v>
      </c>
      <c r="D226" s="475" t="s">
        <v>5272</v>
      </c>
      <c r="E226" s="476" t="s">
        <v>34</v>
      </c>
      <c r="F226" s="475" t="s">
        <v>34</v>
      </c>
      <c r="G226" s="364">
        <v>95569</v>
      </c>
      <c r="H226" s="475" t="s">
        <v>304</v>
      </c>
      <c r="I226" s="475" t="s">
        <v>139</v>
      </c>
      <c r="J226" s="475" t="s">
        <v>140</v>
      </c>
      <c r="K226" s="365">
        <v>105.16</v>
      </c>
      <c r="L226" s="475" t="s">
        <v>141</v>
      </c>
      <c r="M226" s="473"/>
    </row>
    <row r="227" spans="1:13" ht="13.5">
      <c r="A227" s="475" t="s">
        <v>5263</v>
      </c>
      <c r="B227" s="475" t="s">
        <v>5264</v>
      </c>
      <c r="C227" s="475" t="s">
        <v>5271</v>
      </c>
      <c r="D227" s="475" t="s">
        <v>5272</v>
      </c>
      <c r="E227" s="476" t="s">
        <v>34</v>
      </c>
      <c r="F227" s="475" t="s">
        <v>34</v>
      </c>
      <c r="G227" s="364">
        <v>95570</v>
      </c>
      <c r="H227" s="475" t="s">
        <v>305</v>
      </c>
      <c r="I227" s="475" t="s">
        <v>139</v>
      </c>
      <c r="J227" s="475" t="s">
        <v>140</v>
      </c>
      <c r="K227" s="365">
        <v>64.61</v>
      </c>
      <c r="L227" s="475" t="s">
        <v>141</v>
      </c>
      <c r="M227" s="473"/>
    </row>
    <row r="228" spans="1:13" ht="13.5">
      <c r="A228" s="475" t="s">
        <v>5263</v>
      </c>
      <c r="B228" s="475" t="s">
        <v>5264</v>
      </c>
      <c r="C228" s="475" t="s">
        <v>5271</v>
      </c>
      <c r="D228" s="475" t="s">
        <v>5272</v>
      </c>
      <c r="E228" s="476" t="s">
        <v>34</v>
      </c>
      <c r="F228" s="475" t="s">
        <v>34</v>
      </c>
      <c r="G228" s="364">
        <v>95571</v>
      </c>
      <c r="H228" s="475" t="s">
        <v>306</v>
      </c>
      <c r="I228" s="475" t="s">
        <v>139</v>
      </c>
      <c r="J228" s="475" t="s">
        <v>140</v>
      </c>
      <c r="K228" s="365">
        <v>84.18</v>
      </c>
      <c r="L228" s="475" t="s">
        <v>141</v>
      </c>
      <c r="M228" s="473"/>
    </row>
    <row r="229" spans="1:13" ht="13.5">
      <c r="A229" s="475" t="s">
        <v>5263</v>
      </c>
      <c r="B229" s="475" t="s">
        <v>5264</v>
      </c>
      <c r="C229" s="475" t="s">
        <v>5271</v>
      </c>
      <c r="D229" s="475" t="s">
        <v>5272</v>
      </c>
      <c r="E229" s="476" t="s">
        <v>34</v>
      </c>
      <c r="F229" s="475" t="s">
        <v>34</v>
      </c>
      <c r="G229" s="364">
        <v>95572</v>
      </c>
      <c r="H229" s="475" t="s">
        <v>307</v>
      </c>
      <c r="I229" s="475" t="s">
        <v>139</v>
      </c>
      <c r="J229" s="475" t="s">
        <v>140</v>
      </c>
      <c r="K229" s="365">
        <v>113.01</v>
      </c>
      <c r="L229" s="475" t="s">
        <v>141</v>
      </c>
      <c r="M229" s="473"/>
    </row>
    <row r="230" spans="1:13" ht="13.5">
      <c r="A230" s="475" t="s">
        <v>5263</v>
      </c>
      <c r="B230" s="475" t="s">
        <v>5264</v>
      </c>
      <c r="C230" s="475" t="s">
        <v>5273</v>
      </c>
      <c r="D230" s="475" t="s">
        <v>5274</v>
      </c>
      <c r="E230" s="476" t="s">
        <v>34</v>
      </c>
      <c r="F230" s="475" t="s">
        <v>34</v>
      </c>
      <c r="G230" s="364">
        <v>73606</v>
      </c>
      <c r="H230" s="475" t="s">
        <v>308</v>
      </c>
      <c r="I230" s="475" t="s">
        <v>171</v>
      </c>
      <c r="J230" s="475" t="s">
        <v>337</v>
      </c>
      <c r="K230" s="365">
        <v>114.85</v>
      </c>
      <c r="L230" s="475" t="s">
        <v>141</v>
      </c>
      <c r="M230" s="473"/>
    </row>
    <row r="231" spans="1:13" ht="13.5">
      <c r="A231" s="475" t="s">
        <v>5263</v>
      </c>
      <c r="B231" s="475" t="s">
        <v>5264</v>
      </c>
      <c r="C231" s="475" t="s">
        <v>5273</v>
      </c>
      <c r="D231" s="475" t="s">
        <v>5274</v>
      </c>
      <c r="E231" s="476" t="s">
        <v>34</v>
      </c>
      <c r="F231" s="475" t="s">
        <v>34</v>
      </c>
      <c r="G231" s="364">
        <v>73607</v>
      </c>
      <c r="H231" s="475" t="s">
        <v>309</v>
      </c>
      <c r="I231" s="475" t="s">
        <v>171</v>
      </c>
      <c r="J231" s="475" t="s">
        <v>337</v>
      </c>
      <c r="K231" s="365">
        <v>76.56</v>
      </c>
      <c r="L231" s="475" t="s">
        <v>141</v>
      </c>
      <c r="M231" s="473"/>
    </row>
    <row r="232" spans="1:13" ht="13.5">
      <c r="A232" s="475" t="s">
        <v>5263</v>
      </c>
      <c r="B232" s="475" t="s">
        <v>5264</v>
      </c>
      <c r="C232" s="475" t="s">
        <v>5273</v>
      </c>
      <c r="D232" s="475" t="s">
        <v>5274</v>
      </c>
      <c r="E232" s="476" t="s">
        <v>34</v>
      </c>
      <c r="F232" s="475" t="s">
        <v>34</v>
      </c>
      <c r="G232" s="364">
        <v>83623</v>
      </c>
      <c r="H232" s="475" t="s">
        <v>310</v>
      </c>
      <c r="I232" s="475" t="s">
        <v>139</v>
      </c>
      <c r="J232" s="475" t="s">
        <v>140</v>
      </c>
      <c r="K232" s="365">
        <v>197.87</v>
      </c>
      <c r="L232" s="475" t="s">
        <v>141</v>
      </c>
      <c r="M232" s="473"/>
    </row>
    <row r="233" spans="1:13" ht="13.5">
      <c r="A233" s="475" t="s">
        <v>5263</v>
      </c>
      <c r="B233" s="475" t="s">
        <v>5264</v>
      </c>
      <c r="C233" s="475" t="s">
        <v>5273</v>
      </c>
      <c r="D233" s="475" t="s">
        <v>5274</v>
      </c>
      <c r="E233" s="476" t="s">
        <v>34</v>
      </c>
      <c r="F233" s="475" t="s">
        <v>34</v>
      </c>
      <c r="G233" s="364">
        <v>83624</v>
      </c>
      <c r="H233" s="475" t="s">
        <v>311</v>
      </c>
      <c r="I233" s="475" t="s">
        <v>139</v>
      </c>
      <c r="J233" s="475" t="s">
        <v>140</v>
      </c>
      <c r="K233" s="365">
        <v>139.41999999999999</v>
      </c>
      <c r="L233" s="475" t="s">
        <v>141</v>
      </c>
      <c r="M233" s="473"/>
    </row>
    <row r="234" spans="1:13" ht="13.5">
      <c r="A234" s="475" t="s">
        <v>5263</v>
      </c>
      <c r="B234" s="475" t="s">
        <v>5264</v>
      </c>
      <c r="C234" s="475" t="s">
        <v>5273</v>
      </c>
      <c r="D234" s="475" t="s">
        <v>5274</v>
      </c>
      <c r="E234" s="476" t="s">
        <v>34</v>
      </c>
      <c r="F234" s="475" t="s">
        <v>34</v>
      </c>
      <c r="G234" s="364">
        <v>83626</v>
      </c>
      <c r="H234" s="475" t="s">
        <v>312</v>
      </c>
      <c r="I234" s="475" t="s">
        <v>139</v>
      </c>
      <c r="J234" s="475" t="s">
        <v>140</v>
      </c>
      <c r="K234" s="365">
        <v>110.19</v>
      </c>
      <c r="L234" s="475" t="s">
        <v>141</v>
      </c>
      <c r="M234" s="473"/>
    </row>
    <row r="235" spans="1:13" ht="13.5">
      <c r="A235" s="475" t="s">
        <v>5263</v>
      </c>
      <c r="B235" s="475" t="s">
        <v>5264</v>
      </c>
      <c r="C235" s="475" t="s">
        <v>5273</v>
      </c>
      <c r="D235" s="475" t="s">
        <v>5274</v>
      </c>
      <c r="E235" s="476" t="s">
        <v>34</v>
      </c>
      <c r="F235" s="475" t="s">
        <v>34</v>
      </c>
      <c r="G235" s="364">
        <v>83627</v>
      </c>
      <c r="H235" s="475" t="s">
        <v>313</v>
      </c>
      <c r="I235" s="475" t="s">
        <v>171</v>
      </c>
      <c r="J235" s="475" t="s">
        <v>140</v>
      </c>
      <c r="K235" s="365">
        <v>388.14</v>
      </c>
      <c r="L235" s="475" t="s">
        <v>141</v>
      </c>
      <c r="M235" s="473"/>
    </row>
    <row r="236" spans="1:13" ht="13.5">
      <c r="A236" s="475" t="s">
        <v>5263</v>
      </c>
      <c r="B236" s="475" t="s">
        <v>5264</v>
      </c>
      <c r="C236" s="475" t="s">
        <v>5273</v>
      </c>
      <c r="D236" s="475" t="s">
        <v>5274</v>
      </c>
      <c r="E236" s="476" t="s">
        <v>34</v>
      </c>
      <c r="F236" s="475" t="s">
        <v>34</v>
      </c>
      <c r="G236" s="364">
        <v>83724</v>
      </c>
      <c r="H236" s="475" t="s">
        <v>314</v>
      </c>
      <c r="I236" s="475" t="s">
        <v>315</v>
      </c>
      <c r="J236" s="475" t="s">
        <v>337</v>
      </c>
      <c r="K236" s="365">
        <v>1.31</v>
      </c>
      <c r="L236" s="475" t="s">
        <v>141</v>
      </c>
      <c r="M236" s="473"/>
    </row>
    <row r="237" spans="1:13" ht="13.5">
      <c r="A237" s="475" t="s">
        <v>5263</v>
      </c>
      <c r="B237" s="475" t="s">
        <v>5264</v>
      </c>
      <c r="C237" s="475" t="s">
        <v>5273</v>
      </c>
      <c r="D237" s="475" t="s">
        <v>5274</v>
      </c>
      <c r="E237" s="476" t="s">
        <v>34</v>
      </c>
      <c r="F237" s="475" t="s">
        <v>34</v>
      </c>
      <c r="G237" s="364">
        <v>83725</v>
      </c>
      <c r="H237" s="475" t="s">
        <v>316</v>
      </c>
      <c r="I237" s="475" t="s">
        <v>315</v>
      </c>
      <c r="J237" s="475" t="s">
        <v>140</v>
      </c>
      <c r="K237" s="365">
        <v>0.88</v>
      </c>
      <c r="L237" s="475" t="s">
        <v>141</v>
      </c>
      <c r="M237" s="473"/>
    </row>
    <row r="238" spans="1:13" ht="13.5">
      <c r="A238" s="475" t="s">
        <v>5263</v>
      </c>
      <c r="B238" s="475" t="s">
        <v>5264</v>
      </c>
      <c r="C238" s="475" t="s">
        <v>5273</v>
      </c>
      <c r="D238" s="475" t="s">
        <v>5274</v>
      </c>
      <c r="E238" s="476" t="s">
        <v>34</v>
      </c>
      <c r="F238" s="475" t="s">
        <v>34</v>
      </c>
      <c r="G238" s="364">
        <v>83726</v>
      </c>
      <c r="H238" s="475" t="s">
        <v>317</v>
      </c>
      <c r="I238" s="475" t="s">
        <v>315</v>
      </c>
      <c r="J238" s="475" t="s">
        <v>140</v>
      </c>
      <c r="K238" s="365">
        <v>0.63</v>
      </c>
      <c r="L238" s="475" t="s">
        <v>141</v>
      </c>
      <c r="M238" s="473"/>
    </row>
    <row r="239" spans="1:13" ht="13.5">
      <c r="A239" s="475" t="s">
        <v>5263</v>
      </c>
      <c r="B239" s="475" t="s">
        <v>5264</v>
      </c>
      <c r="C239" s="475" t="s">
        <v>5874</v>
      </c>
      <c r="D239" s="475" t="s">
        <v>5875</v>
      </c>
      <c r="E239" s="476" t="s">
        <v>34</v>
      </c>
      <c r="F239" s="475" t="s">
        <v>34</v>
      </c>
      <c r="G239" s="364">
        <v>97127</v>
      </c>
      <c r="H239" s="475" t="s">
        <v>5876</v>
      </c>
      <c r="I239" s="475" t="s">
        <v>139</v>
      </c>
      <c r="J239" s="475" t="s">
        <v>337</v>
      </c>
      <c r="K239" s="365">
        <v>3.38</v>
      </c>
      <c r="L239" s="475" t="s">
        <v>141</v>
      </c>
      <c r="M239" s="473"/>
    </row>
    <row r="240" spans="1:13" ht="13.5">
      <c r="A240" s="475" t="s">
        <v>5263</v>
      </c>
      <c r="B240" s="475" t="s">
        <v>5264</v>
      </c>
      <c r="C240" s="475" t="s">
        <v>5874</v>
      </c>
      <c r="D240" s="475" t="s">
        <v>5875</v>
      </c>
      <c r="E240" s="476" t="s">
        <v>34</v>
      </c>
      <c r="F240" s="475" t="s">
        <v>34</v>
      </c>
      <c r="G240" s="364">
        <v>97128</v>
      </c>
      <c r="H240" s="475" t="s">
        <v>5877</v>
      </c>
      <c r="I240" s="475" t="s">
        <v>139</v>
      </c>
      <c r="J240" s="475" t="s">
        <v>140</v>
      </c>
      <c r="K240" s="365">
        <v>6.7</v>
      </c>
      <c r="L240" s="475" t="s">
        <v>141</v>
      </c>
      <c r="M240" s="473"/>
    </row>
    <row r="241" spans="1:13" ht="13.5">
      <c r="A241" s="475" t="s">
        <v>5263</v>
      </c>
      <c r="B241" s="475" t="s">
        <v>5264</v>
      </c>
      <c r="C241" s="475" t="s">
        <v>5874</v>
      </c>
      <c r="D241" s="475" t="s">
        <v>5875</v>
      </c>
      <c r="E241" s="476" t="s">
        <v>34</v>
      </c>
      <c r="F241" s="475" t="s">
        <v>34</v>
      </c>
      <c r="G241" s="364">
        <v>97129</v>
      </c>
      <c r="H241" s="475" t="s">
        <v>5878</v>
      </c>
      <c r="I241" s="475" t="s">
        <v>139</v>
      </c>
      <c r="J241" s="475" t="s">
        <v>140</v>
      </c>
      <c r="K241" s="365">
        <v>8.23</v>
      </c>
      <c r="L241" s="475" t="s">
        <v>141</v>
      </c>
      <c r="M241" s="473"/>
    </row>
    <row r="242" spans="1:13" ht="13.5">
      <c r="A242" s="475" t="s">
        <v>5263</v>
      </c>
      <c r="B242" s="475" t="s">
        <v>5264</v>
      </c>
      <c r="C242" s="475" t="s">
        <v>5874</v>
      </c>
      <c r="D242" s="475" t="s">
        <v>5875</v>
      </c>
      <c r="E242" s="476" t="s">
        <v>34</v>
      </c>
      <c r="F242" s="475" t="s">
        <v>34</v>
      </c>
      <c r="G242" s="364">
        <v>97130</v>
      </c>
      <c r="H242" s="475" t="s">
        <v>5879</v>
      </c>
      <c r="I242" s="475" t="s">
        <v>139</v>
      </c>
      <c r="J242" s="475" t="s">
        <v>140</v>
      </c>
      <c r="K242" s="365">
        <v>9.7799999999999994</v>
      </c>
      <c r="L242" s="475" t="s">
        <v>141</v>
      </c>
      <c r="M242" s="473"/>
    </row>
    <row r="243" spans="1:13" ht="13.5">
      <c r="A243" s="475" t="s">
        <v>5263</v>
      </c>
      <c r="B243" s="475" t="s">
        <v>5264</v>
      </c>
      <c r="C243" s="475" t="s">
        <v>5874</v>
      </c>
      <c r="D243" s="475" t="s">
        <v>5875</v>
      </c>
      <c r="E243" s="476" t="s">
        <v>34</v>
      </c>
      <c r="F243" s="475" t="s">
        <v>34</v>
      </c>
      <c r="G243" s="364">
        <v>97131</v>
      </c>
      <c r="H243" s="475" t="s">
        <v>5880</v>
      </c>
      <c r="I243" s="475" t="s">
        <v>139</v>
      </c>
      <c r="J243" s="475" t="s">
        <v>140</v>
      </c>
      <c r="K243" s="365">
        <v>11.31</v>
      </c>
      <c r="L243" s="475" t="s">
        <v>141</v>
      </c>
      <c r="M243" s="473"/>
    </row>
    <row r="244" spans="1:13" ht="13.5">
      <c r="A244" s="475" t="s">
        <v>5263</v>
      </c>
      <c r="B244" s="475" t="s">
        <v>5264</v>
      </c>
      <c r="C244" s="475" t="s">
        <v>5874</v>
      </c>
      <c r="D244" s="475" t="s">
        <v>5875</v>
      </c>
      <c r="E244" s="476" t="s">
        <v>34</v>
      </c>
      <c r="F244" s="475" t="s">
        <v>34</v>
      </c>
      <c r="G244" s="364">
        <v>97132</v>
      </c>
      <c r="H244" s="475" t="s">
        <v>5881</v>
      </c>
      <c r="I244" s="475" t="s">
        <v>139</v>
      </c>
      <c r="J244" s="475" t="s">
        <v>140</v>
      </c>
      <c r="K244" s="365">
        <v>12.84</v>
      </c>
      <c r="L244" s="475" t="s">
        <v>141</v>
      </c>
      <c r="M244" s="473"/>
    </row>
    <row r="245" spans="1:13" ht="13.5">
      <c r="A245" s="475" t="s">
        <v>5263</v>
      </c>
      <c r="B245" s="475" t="s">
        <v>5264</v>
      </c>
      <c r="C245" s="475" t="s">
        <v>5874</v>
      </c>
      <c r="D245" s="475" t="s">
        <v>5875</v>
      </c>
      <c r="E245" s="476" t="s">
        <v>34</v>
      </c>
      <c r="F245" s="475" t="s">
        <v>34</v>
      </c>
      <c r="G245" s="364">
        <v>97133</v>
      </c>
      <c r="H245" s="475" t="s">
        <v>5882</v>
      </c>
      <c r="I245" s="475" t="s">
        <v>139</v>
      </c>
      <c r="J245" s="475" t="s">
        <v>140</v>
      </c>
      <c r="K245" s="365">
        <v>15.92</v>
      </c>
      <c r="L245" s="475" t="s">
        <v>141</v>
      </c>
      <c r="M245" s="473"/>
    </row>
    <row r="246" spans="1:13" ht="13.5">
      <c r="A246" s="475" t="s">
        <v>5263</v>
      </c>
      <c r="B246" s="475" t="s">
        <v>5264</v>
      </c>
      <c r="C246" s="475" t="s">
        <v>5874</v>
      </c>
      <c r="D246" s="475" t="s">
        <v>5875</v>
      </c>
      <c r="E246" s="476" t="s">
        <v>34</v>
      </c>
      <c r="F246" s="475" t="s">
        <v>34</v>
      </c>
      <c r="G246" s="364">
        <v>97134</v>
      </c>
      <c r="H246" s="475" t="s">
        <v>5883</v>
      </c>
      <c r="I246" s="475" t="s">
        <v>139</v>
      </c>
      <c r="J246" s="475" t="s">
        <v>337</v>
      </c>
      <c r="K246" s="365">
        <v>1.57</v>
      </c>
      <c r="L246" s="475" t="s">
        <v>141</v>
      </c>
      <c r="M246" s="473"/>
    </row>
    <row r="247" spans="1:13" ht="13.5">
      <c r="A247" s="475" t="s">
        <v>5263</v>
      </c>
      <c r="B247" s="475" t="s">
        <v>5264</v>
      </c>
      <c r="C247" s="475" t="s">
        <v>5874</v>
      </c>
      <c r="D247" s="475" t="s">
        <v>5875</v>
      </c>
      <c r="E247" s="476" t="s">
        <v>34</v>
      </c>
      <c r="F247" s="475" t="s">
        <v>34</v>
      </c>
      <c r="G247" s="364">
        <v>97135</v>
      </c>
      <c r="H247" s="475" t="s">
        <v>5884</v>
      </c>
      <c r="I247" s="475" t="s">
        <v>139</v>
      </c>
      <c r="J247" s="475" t="s">
        <v>140</v>
      </c>
      <c r="K247" s="365">
        <v>3.45</v>
      </c>
      <c r="L247" s="475" t="s">
        <v>141</v>
      </c>
      <c r="M247" s="473"/>
    </row>
    <row r="248" spans="1:13" ht="13.5">
      <c r="A248" s="475" t="s">
        <v>5263</v>
      </c>
      <c r="B248" s="475" t="s">
        <v>5264</v>
      </c>
      <c r="C248" s="475" t="s">
        <v>5874</v>
      </c>
      <c r="D248" s="475" t="s">
        <v>5875</v>
      </c>
      <c r="E248" s="476" t="s">
        <v>34</v>
      </c>
      <c r="F248" s="475" t="s">
        <v>34</v>
      </c>
      <c r="G248" s="364">
        <v>97136</v>
      </c>
      <c r="H248" s="475" t="s">
        <v>5885</v>
      </c>
      <c r="I248" s="475" t="s">
        <v>139</v>
      </c>
      <c r="J248" s="475" t="s">
        <v>140</v>
      </c>
      <c r="K248" s="365">
        <v>4.2699999999999996</v>
      </c>
      <c r="L248" s="475" t="s">
        <v>141</v>
      </c>
      <c r="M248" s="473"/>
    </row>
    <row r="249" spans="1:13" ht="13.5">
      <c r="A249" s="475" t="s">
        <v>5263</v>
      </c>
      <c r="B249" s="475" t="s">
        <v>5264</v>
      </c>
      <c r="C249" s="475" t="s">
        <v>5874</v>
      </c>
      <c r="D249" s="475" t="s">
        <v>5875</v>
      </c>
      <c r="E249" s="476" t="s">
        <v>34</v>
      </c>
      <c r="F249" s="475" t="s">
        <v>34</v>
      </c>
      <c r="G249" s="364">
        <v>97137</v>
      </c>
      <c r="H249" s="475" t="s">
        <v>5886</v>
      </c>
      <c r="I249" s="475" t="s">
        <v>139</v>
      </c>
      <c r="J249" s="475" t="s">
        <v>140</v>
      </c>
      <c r="K249" s="365">
        <v>5.0599999999999996</v>
      </c>
      <c r="L249" s="475" t="s">
        <v>141</v>
      </c>
      <c r="M249" s="473"/>
    </row>
    <row r="250" spans="1:13" ht="13.5">
      <c r="A250" s="475" t="s">
        <v>5263</v>
      </c>
      <c r="B250" s="475" t="s">
        <v>5264</v>
      </c>
      <c r="C250" s="475" t="s">
        <v>5874</v>
      </c>
      <c r="D250" s="475" t="s">
        <v>5875</v>
      </c>
      <c r="E250" s="476" t="s">
        <v>34</v>
      </c>
      <c r="F250" s="475" t="s">
        <v>34</v>
      </c>
      <c r="G250" s="364">
        <v>97138</v>
      </c>
      <c r="H250" s="475" t="s">
        <v>5887</v>
      </c>
      <c r="I250" s="475" t="s">
        <v>139</v>
      </c>
      <c r="J250" s="475" t="s">
        <v>140</v>
      </c>
      <c r="K250" s="365">
        <v>5.86</v>
      </c>
      <c r="L250" s="475" t="s">
        <v>141</v>
      </c>
      <c r="M250" s="473"/>
    </row>
    <row r="251" spans="1:13" ht="13.5">
      <c r="A251" s="475" t="s">
        <v>5263</v>
      </c>
      <c r="B251" s="475" t="s">
        <v>5264</v>
      </c>
      <c r="C251" s="475" t="s">
        <v>5874</v>
      </c>
      <c r="D251" s="475" t="s">
        <v>5875</v>
      </c>
      <c r="E251" s="476" t="s">
        <v>34</v>
      </c>
      <c r="F251" s="475" t="s">
        <v>34</v>
      </c>
      <c r="G251" s="364">
        <v>97139</v>
      </c>
      <c r="H251" s="475" t="s">
        <v>5888</v>
      </c>
      <c r="I251" s="475" t="s">
        <v>139</v>
      </c>
      <c r="J251" s="475" t="s">
        <v>140</v>
      </c>
      <c r="K251" s="365">
        <v>6.65</v>
      </c>
      <c r="L251" s="475" t="s">
        <v>141</v>
      </c>
      <c r="M251" s="473"/>
    </row>
    <row r="252" spans="1:13" ht="13.5">
      <c r="A252" s="475" t="s">
        <v>5263</v>
      </c>
      <c r="B252" s="475" t="s">
        <v>5264</v>
      </c>
      <c r="C252" s="475" t="s">
        <v>5874</v>
      </c>
      <c r="D252" s="475" t="s">
        <v>5875</v>
      </c>
      <c r="E252" s="476" t="s">
        <v>34</v>
      </c>
      <c r="F252" s="475" t="s">
        <v>34</v>
      </c>
      <c r="G252" s="364">
        <v>97140</v>
      </c>
      <c r="H252" s="475" t="s">
        <v>5889</v>
      </c>
      <c r="I252" s="475" t="s">
        <v>139</v>
      </c>
      <c r="J252" s="475" t="s">
        <v>140</v>
      </c>
      <c r="K252" s="365">
        <v>8.25</v>
      </c>
      <c r="L252" s="475" t="s">
        <v>141</v>
      </c>
      <c r="M252" s="473"/>
    </row>
    <row r="253" spans="1:13" ht="13.5">
      <c r="A253" s="475" t="s">
        <v>5263</v>
      </c>
      <c r="B253" s="475" t="s">
        <v>5264</v>
      </c>
      <c r="C253" s="475" t="s">
        <v>5275</v>
      </c>
      <c r="D253" s="475" t="s">
        <v>5276</v>
      </c>
      <c r="E253" s="476" t="s">
        <v>34</v>
      </c>
      <c r="F253" s="475" t="s">
        <v>34</v>
      </c>
      <c r="G253" s="364">
        <v>83520</v>
      </c>
      <c r="H253" s="475" t="s">
        <v>318</v>
      </c>
      <c r="I253" s="475" t="s">
        <v>171</v>
      </c>
      <c r="J253" s="475" t="s">
        <v>140</v>
      </c>
      <c r="K253" s="365">
        <v>80.81</v>
      </c>
      <c r="L253" s="475" t="s">
        <v>141</v>
      </c>
      <c r="M253" s="473"/>
    </row>
    <row r="254" spans="1:13" ht="13.5">
      <c r="A254" s="475" t="s">
        <v>5263</v>
      </c>
      <c r="B254" s="475" t="s">
        <v>5264</v>
      </c>
      <c r="C254" s="475" t="s">
        <v>5275</v>
      </c>
      <c r="D254" s="475" t="s">
        <v>5276</v>
      </c>
      <c r="E254" s="476" t="s">
        <v>34</v>
      </c>
      <c r="F254" s="475" t="s">
        <v>34</v>
      </c>
      <c r="G254" s="364">
        <v>83531</v>
      </c>
      <c r="H254" s="475" t="s">
        <v>319</v>
      </c>
      <c r="I254" s="475" t="s">
        <v>171</v>
      </c>
      <c r="J254" s="475" t="s">
        <v>140</v>
      </c>
      <c r="K254" s="365">
        <v>373.69</v>
      </c>
      <c r="L254" s="475" t="s">
        <v>141</v>
      </c>
      <c r="M254" s="473"/>
    </row>
    <row r="255" spans="1:13" ht="13.5">
      <c r="A255" s="475" t="s">
        <v>5263</v>
      </c>
      <c r="B255" s="475" t="s">
        <v>5264</v>
      </c>
      <c r="C255" s="475" t="s">
        <v>5275</v>
      </c>
      <c r="D255" s="475" t="s">
        <v>5276</v>
      </c>
      <c r="E255" s="476" t="s">
        <v>34</v>
      </c>
      <c r="F255" s="475" t="s">
        <v>34</v>
      </c>
      <c r="G255" s="364">
        <v>83535</v>
      </c>
      <c r="H255" s="475" t="s">
        <v>320</v>
      </c>
      <c r="I255" s="475" t="s">
        <v>171</v>
      </c>
      <c r="J255" s="475" t="s">
        <v>140</v>
      </c>
      <c r="K255" s="365">
        <v>307.85000000000002</v>
      </c>
      <c r="L255" s="475" t="s">
        <v>141</v>
      </c>
      <c r="M255" s="473"/>
    </row>
    <row r="256" spans="1:13" ht="13.5">
      <c r="A256" s="475" t="s">
        <v>5277</v>
      </c>
      <c r="B256" s="475" t="s">
        <v>5278</v>
      </c>
      <c r="C256" s="475" t="s">
        <v>5279</v>
      </c>
      <c r="D256" s="475" t="s">
        <v>5280</v>
      </c>
      <c r="E256" s="476" t="s">
        <v>34</v>
      </c>
      <c r="F256" s="475" t="s">
        <v>34</v>
      </c>
      <c r="G256" s="364">
        <v>92235</v>
      </c>
      <c r="H256" s="475" t="s">
        <v>321</v>
      </c>
      <c r="I256" s="475" t="s">
        <v>322</v>
      </c>
      <c r="J256" s="475" t="s">
        <v>337</v>
      </c>
      <c r="K256" s="365">
        <v>51.19</v>
      </c>
      <c r="L256" s="475" t="s">
        <v>141</v>
      </c>
      <c r="M256" s="473"/>
    </row>
    <row r="257" spans="1:13" ht="13.5">
      <c r="A257" s="475" t="s">
        <v>5277</v>
      </c>
      <c r="B257" s="475" t="s">
        <v>5278</v>
      </c>
      <c r="C257" s="475" t="s">
        <v>5279</v>
      </c>
      <c r="D257" s="475" t="s">
        <v>5280</v>
      </c>
      <c r="E257" s="476" t="s">
        <v>34</v>
      </c>
      <c r="F257" s="475" t="s">
        <v>34</v>
      </c>
      <c r="G257" s="364">
        <v>93206</v>
      </c>
      <c r="H257" s="475" t="s">
        <v>323</v>
      </c>
      <c r="I257" s="475" t="s">
        <v>322</v>
      </c>
      <c r="J257" s="475" t="s">
        <v>140</v>
      </c>
      <c r="K257" s="365">
        <v>781.87</v>
      </c>
      <c r="L257" s="475" t="s">
        <v>141</v>
      </c>
      <c r="M257" s="473"/>
    </row>
    <row r="258" spans="1:13" ht="13.5">
      <c r="A258" s="475" t="s">
        <v>5277</v>
      </c>
      <c r="B258" s="475" t="s">
        <v>5278</v>
      </c>
      <c r="C258" s="475" t="s">
        <v>5279</v>
      </c>
      <c r="D258" s="475" t="s">
        <v>5280</v>
      </c>
      <c r="E258" s="476" t="s">
        <v>34</v>
      </c>
      <c r="F258" s="475" t="s">
        <v>34</v>
      </c>
      <c r="G258" s="364">
        <v>93207</v>
      </c>
      <c r="H258" s="475" t="s">
        <v>324</v>
      </c>
      <c r="I258" s="475" t="s">
        <v>322</v>
      </c>
      <c r="J258" s="475" t="s">
        <v>140</v>
      </c>
      <c r="K258" s="365">
        <v>745.27</v>
      </c>
      <c r="L258" s="475" t="s">
        <v>141</v>
      </c>
      <c r="M258" s="473"/>
    </row>
    <row r="259" spans="1:13" ht="13.5">
      <c r="A259" s="475" t="s">
        <v>5277</v>
      </c>
      <c r="B259" s="475" t="s">
        <v>5278</v>
      </c>
      <c r="C259" s="475" t="s">
        <v>5279</v>
      </c>
      <c r="D259" s="475" t="s">
        <v>5280</v>
      </c>
      <c r="E259" s="476" t="s">
        <v>34</v>
      </c>
      <c r="F259" s="475" t="s">
        <v>34</v>
      </c>
      <c r="G259" s="364">
        <v>93208</v>
      </c>
      <c r="H259" s="475" t="s">
        <v>325</v>
      </c>
      <c r="I259" s="475" t="s">
        <v>322</v>
      </c>
      <c r="J259" s="475" t="s">
        <v>140</v>
      </c>
      <c r="K259" s="365">
        <v>572.58000000000004</v>
      </c>
      <c r="L259" s="475" t="s">
        <v>141</v>
      </c>
      <c r="M259" s="473"/>
    </row>
    <row r="260" spans="1:13" ht="13.5">
      <c r="A260" s="475" t="s">
        <v>5277</v>
      </c>
      <c r="B260" s="475" t="s">
        <v>5278</v>
      </c>
      <c r="C260" s="475" t="s">
        <v>5279</v>
      </c>
      <c r="D260" s="475" t="s">
        <v>5280</v>
      </c>
      <c r="E260" s="476" t="s">
        <v>34</v>
      </c>
      <c r="F260" s="475" t="s">
        <v>34</v>
      </c>
      <c r="G260" s="364">
        <v>93209</v>
      </c>
      <c r="H260" s="475" t="s">
        <v>326</v>
      </c>
      <c r="I260" s="475" t="s">
        <v>322</v>
      </c>
      <c r="J260" s="475" t="s">
        <v>140</v>
      </c>
      <c r="K260" s="365">
        <v>619.12</v>
      </c>
      <c r="L260" s="475" t="s">
        <v>141</v>
      </c>
      <c r="M260" s="473"/>
    </row>
    <row r="261" spans="1:13" ht="13.5">
      <c r="A261" s="475" t="s">
        <v>5277</v>
      </c>
      <c r="B261" s="475" t="s">
        <v>5278</v>
      </c>
      <c r="C261" s="475" t="s">
        <v>5279</v>
      </c>
      <c r="D261" s="475" t="s">
        <v>5280</v>
      </c>
      <c r="E261" s="476" t="s">
        <v>34</v>
      </c>
      <c r="F261" s="475" t="s">
        <v>34</v>
      </c>
      <c r="G261" s="364">
        <v>93210</v>
      </c>
      <c r="H261" s="475" t="s">
        <v>327</v>
      </c>
      <c r="I261" s="475" t="s">
        <v>322</v>
      </c>
      <c r="J261" s="475" t="s">
        <v>140</v>
      </c>
      <c r="K261" s="365">
        <v>372.77</v>
      </c>
      <c r="L261" s="475" t="s">
        <v>141</v>
      </c>
      <c r="M261" s="473"/>
    </row>
    <row r="262" spans="1:13" ht="13.5">
      <c r="A262" s="475" t="s">
        <v>5277</v>
      </c>
      <c r="B262" s="475" t="s">
        <v>5278</v>
      </c>
      <c r="C262" s="475" t="s">
        <v>5279</v>
      </c>
      <c r="D262" s="475" t="s">
        <v>5280</v>
      </c>
      <c r="E262" s="476" t="s">
        <v>34</v>
      </c>
      <c r="F262" s="475" t="s">
        <v>34</v>
      </c>
      <c r="G262" s="364">
        <v>93211</v>
      </c>
      <c r="H262" s="475" t="s">
        <v>328</v>
      </c>
      <c r="I262" s="475" t="s">
        <v>322</v>
      </c>
      <c r="J262" s="475" t="s">
        <v>140</v>
      </c>
      <c r="K262" s="365">
        <v>378.41</v>
      </c>
      <c r="L262" s="475" t="s">
        <v>141</v>
      </c>
      <c r="M262" s="473"/>
    </row>
    <row r="263" spans="1:13" ht="13.5">
      <c r="A263" s="475" t="s">
        <v>5277</v>
      </c>
      <c r="B263" s="475" t="s">
        <v>5278</v>
      </c>
      <c r="C263" s="475" t="s">
        <v>5279</v>
      </c>
      <c r="D263" s="475" t="s">
        <v>5280</v>
      </c>
      <c r="E263" s="476" t="s">
        <v>34</v>
      </c>
      <c r="F263" s="475" t="s">
        <v>34</v>
      </c>
      <c r="G263" s="364">
        <v>93212</v>
      </c>
      <c r="H263" s="475" t="s">
        <v>329</v>
      </c>
      <c r="I263" s="475" t="s">
        <v>322</v>
      </c>
      <c r="J263" s="475" t="s">
        <v>140</v>
      </c>
      <c r="K263" s="365">
        <v>653.57000000000005</v>
      </c>
      <c r="L263" s="475" t="s">
        <v>141</v>
      </c>
      <c r="M263" s="473"/>
    </row>
    <row r="264" spans="1:13" ht="13.5">
      <c r="A264" s="475" t="s">
        <v>5277</v>
      </c>
      <c r="B264" s="475" t="s">
        <v>5278</v>
      </c>
      <c r="C264" s="475" t="s">
        <v>5279</v>
      </c>
      <c r="D264" s="475" t="s">
        <v>5280</v>
      </c>
      <c r="E264" s="476" t="s">
        <v>34</v>
      </c>
      <c r="F264" s="475" t="s">
        <v>34</v>
      </c>
      <c r="G264" s="364">
        <v>93213</v>
      </c>
      <c r="H264" s="475" t="s">
        <v>330</v>
      </c>
      <c r="I264" s="475" t="s">
        <v>322</v>
      </c>
      <c r="J264" s="475" t="s">
        <v>140</v>
      </c>
      <c r="K264" s="365">
        <v>681.27</v>
      </c>
      <c r="L264" s="475" t="s">
        <v>141</v>
      </c>
      <c r="M264" s="473"/>
    </row>
    <row r="265" spans="1:13" ht="13.5">
      <c r="A265" s="475" t="s">
        <v>5277</v>
      </c>
      <c r="B265" s="475" t="s">
        <v>5278</v>
      </c>
      <c r="C265" s="475" t="s">
        <v>5279</v>
      </c>
      <c r="D265" s="475" t="s">
        <v>5280</v>
      </c>
      <c r="E265" s="476" t="s">
        <v>34</v>
      </c>
      <c r="F265" s="475" t="s">
        <v>34</v>
      </c>
      <c r="G265" s="364">
        <v>93214</v>
      </c>
      <c r="H265" s="475" t="s">
        <v>5966</v>
      </c>
      <c r="I265" s="475" t="s">
        <v>171</v>
      </c>
      <c r="J265" s="475" t="s">
        <v>140</v>
      </c>
      <c r="K265" s="365">
        <v>4471.75</v>
      </c>
      <c r="L265" s="475" t="s">
        <v>141</v>
      </c>
      <c r="M265" s="473"/>
    </row>
    <row r="266" spans="1:13" ht="13.5">
      <c r="A266" s="475" t="s">
        <v>5277</v>
      </c>
      <c r="B266" s="475" t="s">
        <v>5278</v>
      </c>
      <c r="C266" s="475" t="s">
        <v>5279</v>
      </c>
      <c r="D266" s="475" t="s">
        <v>5280</v>
      </c>
      <c r="E266" s="476" t="s">
        <v>34</v>
      </c>
      <c r="F266" s="475" t="s">
        <v>34</v>
      </c>
      <c r="G266" s="364">
        <v>93243</v>
      </c>
      <c r="H266" s="475" t="s">
        <v>5967</v>
      </c>
      <c r="I266" s="475" t="s">
        <v>171</v>
      </c>
      <c r="J266" s="475" t="s">
        <v>140</v>
      </c>
      <c r="K266" s="365">
        <v>6719.59</v>
      </c>
      <c r="L266" s="475" t="s">
        <v>141</v>
      </c>
      <c r="M266" s="473"/>
    </row>
    <row r="267" spans="1:13" ht="13.5">
      <c r="A267" s="475" t="s">
        <v>5277</v>
      </c>
      <c r="B267" s="475" t="s">
        <v>5278</v>
      </c>
      <c r="C267" s="475" t="s">
        <v>5279</v>
      </c>
      <c r="D267" s="475" t="s">
        <v>5280</v>
      </c>
      <c r="E267" s="476" t="s">
        <v>34</v>
      </c>
      <c r="F267" s="475" t="s">
        <v>34</v>
      </c>
      <c r="G267" s="364">
        <v>93582</v>
      </c>
      <c r="H267" s="475" t="s">
        <v>331</v>
      </c>
      <c r="I267" s="475" t="s">
        <v>322</v>
      </c>
      <c r="J267" s="475" t="s">
        <v>140</v>
      </c>
      <c r="K267" s="365">
        <v>187.31</v>
      </c>
      <c r="L267" s="475" t="s">
        <v>141</v>
      </c>
      <c r="M267" s="473"/>
    </row>
    <row r="268" spans="1:13" ht="13.5">
      <c r="A268" s="475" t="s">
        <v>5277</v>
      </c>
      <c r="B268" s="475" t="s">
        <v>5278</v>
      </c>
      <c r="C268" s="475" t="s">
        <v>5279</v>
      </c>
      <c r="D268" s="475" t="s">
        <v>5280</v>
      </c>
      <c r="E268" s="476" t="s">
        <v>34</v>
      </c>
      <c r="F268" s="475" t="s">
        <v>34</v>
      </c>
      <c r="G268" s="364">
        <v>93583</v>
      </c>
      <c r="H268" s="475" t="s">
        <v>332</v>
      </c>
      <c r="I268" s="475" t="s">
        <v>322</v>
      </c>
      <c r="J268" s="475" t="s">
        <v>140</v>
      </c>
      <c r="K268" s="365">
        <v>311.57</v>
      </c>
      <c r="L268" s="475" t="s">
        <v>141</v>
      </c>
      <c r="M268" s="473"/>
    </row>
    <row r="269" spans="1:13" ht="13.5">
      <c r="A269" s="475" t="s">
        <v>5277</v>
      </c>
      <c r="B269" s="475" t="s">
        <v>5278</v>
      </c>
      <c r="C269" s="475" t="s">
        <v>5279</v>
      </c>
      <c r="D269" s="475" t="s">
        <v>5280</v>
      </c>
      <c r="E269" s="476" t="s">
        <v>34</v>
      </c>
      <c r="F269" s="475" t="s">
        <v>34</v>
      </c>
      <c r="G269" s="364">
        <v>93584</v>
      </c>
      <c r="H269" s="475" t="s">
        <v>333</v>
      </c>
      <c r="I269" s="475" t="s">
        <v>322</v>
      </c>
      <c r="J269" s="475" t="s">
        <v>140</v>
      </c>
      <c r="K269" s="365">
        <v>586.91999999999996</v>
      </c>
      <c r="L269" s="475" t="s">
        <v>141</v>
      </c>
      <c r="M269" s="473"/>
    </row>
    <row r="270" spans="1:13" ht="13.5">
      <c r="A270" s="475" t="s">
        <v>5277</v>
      </c>
      <c r="B270" s="475" t="s">
        <v>5278</v>
      </c>
      <c r="C270" s="475" t="s">
        <v>5279</v>
      </c>
      <c r="D270" s="475" t="s">
        <v>5280</v>
      </c>
      <c r="E270" s="476" t="s">
        <v>34</v>
      </c>
      <c r="F270" s="475" t="s">
        <v>34</v>
      </c>
      <c r="G270" s="364">
        <v>93585</v>
      </c>
      <c r="H270" s="475" t="s">
        <v>334</v>
      </c>
      <c r="I270" s="475" t="s">
        <v>322</v>
      </c>
      <c r="J270" s="475" t="s">
        <v>140</v>
      </c>
      <c r="K270" s="365">
        <v>820.89</v>
      </c>
      <c r="L270" s="475" t="s">
        <v>141</v>
      </c>
      <c r="M270" s="473"/>
    </row>
    <row r="271" spans="1:13" ht="13.5">
      <c r="A271" s="475" t="s">
        <v>5277</v>
      </c>
      <c r="B271" s="475" t="s">
        <v>5278</v>
      </c>
      <c r="C271" s="475" t="s">
        <v>5279</v>
      </c>
      <c r="D271" s="475" t="s">
        <v>5280</v>
      </c>
      <c r="E271" s="476" t="s">
        <v>34</v>
      </c>
      <c r="F271" s="475" t="s">
        <v>34</v>
      </c>
      <c r="G271" s="364">
        <v>98441</v>
      </c>
      <c r="H271" s="475" t="s">
        <v>6342</v>
      </c>
      <c r="I271" s="475" t="s">
        <v>322</v>
      </c>
      <c r="J271" s="475" t="s">
        <v>337</v>
      </c>
      <c r="K271" s="365">
        <v>95.15</v>
      </c>
      <c r="L271" s="475" t="s">
        <v>141</v>
      </c>
      <c r="M271" s="473"/>
    </row>
    <row r="272" spans="1:13" ht="13.5">
      <c r="A272" s="475" t="s">
        <v>5277</v>
      </c>
      <c r="B272" s="475" t="s">
        <v>5278</v>
      </c>
      <c r="C272" s="475" t="s">
        <v>5279</v>
      </c>
      <c r="D272" s="475" t="s">
        <v>5280</v>
      </c>
      <c r="E272" s="476" t="s">
        <v>34</v>
      </c>
      <c r="F272" s="475" t="s">
        <v>34</v>
      </c>
      <c r="G272" s="364">
        <v>98442</v>
      </c>
      <c r="H272" s="475" t="s">
        <v>6343</v>
      </c>
      <c r="I272" s="475" t="s">
        <v>322</v>
      </c>
      <c r="J272" s="475" t="s">
        <v>337</v>
      </c>
      <c r="K272" s="365">
        <v>97.55</v>
      </c>
      <c r="L272" s="475" t="s">
        <v>141</v>
      </c>
      <c r="M272" s="473"/>
    </row>
    <row r="273" spans="1:13" ht="13.5">
      <c r="A273" s="475" t="s">
        <v>5277</v>
      </c>
      <c r="B273" s="475" t="s">
        <v>5278</v>
      </c>
      <c r="C273" s="475" t="s">
        <v>5279</v>
      </c>
      <c r="D273" s="475" t="s">
        <v>5280</v>
      </c>
      <c r="E273" s="476" t="s">
        <v>34</v>
      </c>
      <c r="F273" s="475" t="s">
        <v>34</v>
      </c>
      <c r="G273" s="364">
        <v>98443</v>
      </c>
      <c r="H273" s="475" t="s">
        <v>6344</v>
      </c>
      <c r="I273" s="475" t="s">
        <v>322</v>
      </c>
      <c r="J273" s="475" t="s">
        <v>337</v>
      </c>
      <c r="K273" s="365">
        <v>83.03</v>
      </c>
      <c r="L273" s="475" t="s">
        <v>141</v>
      </c>
      <c r="M273" s="473"/>
    </row>
    <row r="274" spans="1:13" ht="13.5">
      <c r="A274" s="475" t="s">
        <v>5277</v>
      </c>
      <c r="B274" s="475" t="s">
        <v>5278</v>
      </c>
      <c r="C274" s="475" t="s">
        <v>5279</v>
      </c>
      <c r="D274" s="475" t="s">
        <v>5280</v>
      </c>
      <c r="E274" s="476" t="s">
        <v>34</v>
      </c>
      <c r="F274" s="475" t="s">
        <v>34</v>
      </c>
      <c r="G274" s="364">
        <v>98444</v>
      </c>
      <c r="H274" s="475" t="s">
        <v>6345</v>
      </c>
      <c r="I274" s="475" t="s">
        <v>322</v>
      </c>
      <c r="J274" s="475" t="s">
        <v>337</v>
      </c>
      <c r="K274" s="365">
        <v>84.74</v>
      </c>
      <c r="L274" s="475" t="s">
        <v>141</v>
      </c>
      <c r="M274" s="473"/>
    </row>
    <row r="275" spans="1:13" ht="13.5">
      <c r="A275" s="475" t="s">
        <v>5277</v>
      </c>
      <c r="B275" s="475" t="s">
        <v>5278</v>
      </c>
      <c r="C275" s="475" t="s">
        <v>5279</v>
      </c>
      <c r="D275" s="475" t="s">
        <v>5280</v>
      </c>
      <c r="E275" s="476" t="s">
        <v>34</v>
      </c>
      <c r="F275" s="475" t="s">
        <v>34</v>
      </c>
      <c r="G275" s="364">
        <v>98445</v>
      </c>
      <c r="H275" s="475" t="s">
        <v>6346</v>
      </c>
      <c r="I275" s="475" t="s">
        <v>322</v>
      </c>
      <c r="J275" s="475" t="s">
        <v>337</v>
      </c>
      <c r="K275" s="365">
        <v>113.89</v>
      </c>
      <c r="L275" s="475" t="s">
        <v>141</v>
      </c>
      <c r="M275" s="473"/>
    </row>
    <row r="276" spans="1:13" ht="13.5">
      <c r="A276" s="475" t="s">
        <v>5277</v>
      </c>
      <c r="B276" s="475" t="s">
        <v>5278</v>
      </c>
      <c r="C276" s="475" t="s">
        <v>5279</v>
      </c>
      <c r="D276" s="475" t="s">
        <v>5280</v>
      </c>
      <c r="E276" s="476" t="s">
        <v>34</v>
      </c>
      <c r="F276" s="475" t="s">
        <v>34</v>
      </c>
      <c r="G276" s="364">
        <v>98446</v>
      </c>
      <c r="H276" s="475" t="s">
        <v>6347</v>
      </c>
      <c r="I276" s="475" t="s">
        <v>322</v>
      </c>
      <c r="J276" s="475" t="s">
        <v>337</v>
      </c>
      <c r="K276" s="365">
        <v>146.09</v>
      </c>
      <c r="L276" s="475" t="s">
        <v>141</v>
      </c>
      <c r="M276" s="473"/>
    </row>
    <row r="277" spans="1:13" ht="13.5">
      <c r="A277" s="475" t="s">
        <v>5277</v>
      </c>
      <c r="B277" s="475" t="s">
        <v>5278</v>
      </c>
      <c r="C277" s="475" t="s">
        <v>5279</v>
      </c>
      <c r="D277" s="475" t="s">
        <v>5280</v>
      </c>
      <c r="E277" s="476" t="s">
        <v>34</v>
      </c>
      <c r="F277" s="475" t="s">
        <v>34</v>
      </c>
      <c r="G277" s="364">
        <v>98447</v>
      </c>
      <c r="H277" s="475" t="s">
        <v>6348</v>
      </c>
      <c r="I277" s="475" t="s">
        <v>322</v>
      </c>
      <c r="J277" s="475" t="s">
        <v>337</v>
      </c>
      <c r="K277" s="365">
        <v>97.11</v>
      </c>
      <c r="L277" s="475" t="s">
        <v>141</v>
      </c>
      <c r="M277" s="473"/>
    </row>
    <row r="278" spans="1:13" ht="13.5">
      <c r="A278" s="475" t="s">
        <v>5277</v>
      </c>
      <c r="B278" s="475" t="s">
        <v>5278</v>
      </c>
      <c r="C278" s="475" t="s">
        <v>5279</v>
      </c>
      <c r="D278" s="475" t="s">
        <v>5280</v>
      </c>
      <c r="E278" s="476" t="s">
        <v>34</v>
      </c>
      <c r="F278" s="475" t="s">
        <v>34</v>
      </c>
      <c r="G278" s="364">
        <v>98448</v>
      </c>
      <c r="H278" s="475" t="s">
        <v>6349</v>
      </c>
      <c r="I278" s="475" t="s">
        <v>322</v>
      </c>
      <c r="J278" s="475" t="s">
        <v>337</v>
      </c>
      <c r="K278" s="365">
        <v>121.97</v>
      </c>
      <c r="L278" s="475" t="s">
        <v>141</v>
      </c>
      <c r="M278" s="473"/>
    </row>
    <row r="279" spans="1:13" ht="13.5">
      <c r="A279" s="475" t="s">
        <v>5277</v>
      </c>
      <c r="B279" s="475" t="s">
        <v>5278</v>
      </c>
      <c r="C279" s="475" t="s">
        <v>5279</v>
      </c>
      <c r="D279" s="475" t="s">
        <v>5280</v>
      </c>
      <c r="E279" s="476" t="s">
        <v>34</v>
      </c>
      <c r="F279" s="475" t="s">
        <v>34</v>
      </c>
      <c r="G279" s="364">
        <v>98449</v>
      </c>
      <c r="H279" s="475" t="s">
        <v>6350</v>
      </c>
      <c r="I279" s="475" t="s">
        <v>322</v>
      </c>
      <c r="J279" s="475" t="s">
        <v>337</v>
      </c>
      <c r="K279" s="365">
        <v>114.73</v>
      </c>
      <c r="L279" s="475" t="s">
        <v>141</v>
      </c>
      <c r="M279" s="473"/>
    </row>
    <row r="280" spans="1:13" ht="13.5">
      <c r="A280" s="475" t="s">
        <v>5277</v>
      </c>
      <c r="B280" s="475" t="s">
        <v>5278</v>
      </c>
      <c r="C280" s="475" t="s">
        <v>5279</v>
      </c>
      <c r="D280" s="475" t="s">
        <v>5280</v>
      </c>
      <c r="E280" s="476" t="s">
        <v>34</v>
      </c>
      <c r="F280" s="475" t="s">
        <v>34</v>
      </c>
      <c r="G280" s="364">
        <v>98450</v>
      </c>
      <c r="H280" s="475" t="s">
        <v>6351</v>
      </c>
      <c r="I280" s="475" t="s">
        <v>322</v>
      </c>
      <c r="J280" s="475" t="s">
        <v>337</v>
      </c>
      <c r="K280" s="365">
        <v>118.21</v>
      </c>
      <c r="L280" s="475" t="s">
        <v>141</v>
      </c>
      <c r="M280" s="473"/>
    </row>
    <row r="281" spans="1:13" ht="13.5">
      <c r="A281" s="475" t="s">
        <v>5277</v>
      </c>
      <c r="B281" s="475" t="s">
        <v>5278</v>
      </c>
      <c r="C281" s="475" t="s">
        <v>5279</v>
      </c>
      <c r="D281" s="475" t="s">
        <v>5280</v>
      </c>
      <c r="E281" s="476" t="s">
        <v>34</v>
      </c>
      <c r="F281" s="475" t="s">
        <v>34</v>
      </c>
      <c r="G281" s="364">
        <v>98451</v>
      </c>
      <c r="H281" s="475" t="s">
        <v>6352</v>
      </c>
      <c r="I281" s="475" t="s">
        <v>322</v>
      </c>
      <c r="J281" s="475" t="s">
        <v>337</v>
      </c>
      <c r="K281" s="365">
        <v>100.55</v>
      </c>
      <c r="L281" s="475" t="s">
        <v>141</v>
      </c>
      <c r="M281" s="473"/>
    </row>
    <row r="282" spans="1:13" ht="13.5">
      <c r="A282" s="475" t="s">
        <v>5277</v>
      </c>
      <c r="B282" s="475" t="s">
        <v>5278</v>
      </c>
      <c r="C282" s="475" t="s">
        <v>5279</v>
      </c>
      <c r="D282" s="475" t="s">
        <v>5280</v>
      </c>
      <c r="E282" s="476" t="s">
        <v>34</v>
      </c>
      <c r="F282" s="475" t="s">
        <v>34</v>
      </c>
      <c r="G282" s="364">
        <v>98452</v>
      </c>
      <c r="H282" s="475" t="s">
        <v>6353</v>
      </c>
      <c r="I282" s="475" t="s">
        <v>322</v>
      </c>
      <c r="J282" s="475" t="s">
        <v>337</v>
      </c>
      <c r="K282" s="365">
        <v>102.66</v>
      </c>
      <c r="L282" s="475" t="s">
        <v>141</v>
      </c>
      <c r="M282" s="473"/>
    </row>
    <row r="283" spans="1:13" ht="13.5">
      <c r="A283" s="475" t="s">
        <v>5277</v>
      </c>
      <c r="B283" s="475" t="s">
        <v>5278</v>
      </c>
      <c r="C283" s="475" t="s">
        <v>5279</v>
      </c>
      <c r="D283" s="475" t="s">
        <v>5280</v>
      </c>
      <c r="E283" s="476" t="s">
        <v>34</v>
      </c>
      <c r="F283" s="475" t="s">
        <v>34</v>
      </c>
      <c r="G283" s="364">
        <v>98453</v>
      </c>
      <c r="H283" s="475" t="s">
        <v>6354</v>
      </c>
      <c r="I283" s="475" t="s">
        <v>322</v>
      </c>
      <c r="J283" s="475" t="s">
        <v>337</v>
      </c>
      <c r="K283" s="365">
        <v>137.5</v>
      </c>
      <c r="L283" s="475" t="s">
        <v>141</v>
      </c>
      <c r="M283" s="473"/>
    </row>
    <row r="284" spans="1:13" ht="13.5">
      <c r="A284" s="475" t="s">
        <v>5277</v>
      </c>
      <c r="B284" s="475" t="s">
        <v>5278</v>
      </c>
      <c r="C284" s="475" t="s">
        <v>5279</v>
      </c>
      <c r="D284" s="475" t="s">
        <v>5280</v>
      </c>
      <c r="E284" s="476" t="s">
        <v>34</v>
      </c>
      <c r="F284" s="475" t="s">
        <v>34</v>
      </c>
      <c r="G284" s="364">
        <v>98454</v>
      </c>
      <c r="H284" s="475" t="s">
        <v>6355</v>
      </c>
      <c r="I284" s="475" t="s">
        <v>322</v>
      </c>
      <c r="J284" s="475" t="s">
        <v>337</v>
      </c>
      <c r="K284" s="365">
        <v>179.55</v>
      </c>
      <c r="L284" s="475" t="s">
        <v>141</v>
      </c>
      <c r="M284" s="473"/>
    </row>
    <row r="285" spans="1:13" ht="13.5">
      <c r="A285" s="475" t="s">
        <v>5277</v>
      </c>
      <c r="B285" s="475" t="s">
        <v>5278</v>
      </c>
      <c r="C285" s="475" t="s">
        <v>5279</v>
      </c>
      <c r="D285" s="475" t="s">
        <v>5280</v>
      </c>
      <c r="E285" s="476" t="s">
        <v>34</v>
      </c>
      <c r="F285" s="475" t="s">
        <v>34</v>
      </c>
      <c r="G285" s="364">
        <v>98455</v>
      </c>
      <c r="H285" s="475" t="s">
        <v>6356</v>
      </c>
      <c r="I285" s="475" t="s">
        <v>322</v>
      </c>
      <c r="J285" s="475" t="s">
        <v>337</v>
      </c>
      <c r="K285" s="365">
        <v>118.66</v>
      </c>
      <c r="L285" s="475" t="s">
        <v>141</v>
      </c>
      <c r="M285" s="473"/>
    </row>
    <row r="286" spans="1:13" ht="13.5">
      <c r="A286" s="475" t="s">
        <v>5277</v>
      </c>
      <c r="B286" s="475" t="s">
        <v>5278</v>
      </c>
      <c r="C286" s="475" t="s">
        <v>5279</v>
      </c>
      <c r="D286" s="475" t="s">
        <v>5280</v>
      </c>
      <c r="E286" s="476" t="s">
        <v>34</v>
      </c>
      <c r="F286" s="475" t="s">
        <v>34</v>
      </c>
      <c r="G286" s="364">
        <v>98456</v>
      </c>
      <c r="H286" s="475" t="s">
        <v>6357</v>
      </c>
      <c r="I286" s="475" t="s">
        <v>322</v>
      </c>
      <c r="J286" s="475" t="s">
        <v>337</v>
      </c>
      <c r="K286" s="365">
        <v>152.69</v>
      </c>
      <c r="L286" s="475" t="s">
        <v>141</v>
      </c>
      <c r="M286" s="473"/>
    </row>
    <row r="287" spans="1:13" ht="13.5">
      <c r="A287" s="475" t="s">
        <v>5277</v>
      </c>
      <c r="B287" s="475" t="s">
        <v>5278</v>
      </c>
      <c r="C287" s="475" t="s">
        <v>5279</v>
      </c>
      <c r="D287" s="475" t="s">
        <v>5280</v>
      </c>
      <c r="E287" s="476" t="s">
        <v>34</v>
      </c>
      <c r="F287" s="475" t="s">
        <v>34</v>
      </c>
      <c r="G287" s="364">
        <v>98458</v>
      </c>
      <c r="H287" s="475" t="s">
        <v>6358</v>
      </c>
      <c r="I287" s="475" t="s">
        <v>322</v>
      </c>
      <c r="J287" s="475" t="s">
        <v>337</v>
      </c>
      <c r="K287" s="365">
        <v>91.24</v>
      </c>
      <c r="L287" s="475" t="s">
        <v>141</v>
      </c>
      <c r="M287" s="473"/>
    </row>
    <row r="288" spans="1:13" ht="13.5">
      <c r="A288" s="475" t="s">
        <v>5277</v>
      </c>
      <c r="B288" s="475" t="s">
        <v>5278</v>
      </c>
      <c r="C288" s="475" t="s">
        <v>5279</v>
      </c>
      <c r="D288" s="475" t="s">
        <v>5280</v>
      </c>
      <c r="E288" s="476" t="s">
        <v>34</v>
      </c>
      <c r="F288" s="475" t="s">
        <v>34</v>
      </c>
      <c r="G288" s="364">
        <v>98459</v>
      </c>
      <c r="H288" s="475" t="s">
        <v>6359</v>
      </c>
      <c r="I288" s="475" t="s">
        <v>322</v>
      </c>
      <c r="J288" s="475" t="s">
        <v>140</v>
      </c>
      <c r="K288" s="365">
        <v>72.66</v>
      </c>
      <c r="L288" s="475" t="s">
        <v>141</v>
      </c>
      <c r="M288" s="473"/>
    </row>
    <row r="289" spans="1:13" ht="13.5">
      <c r="A289" s="475" t="s">
        <v>5277</v>
      </c>
      <c r="B289" s="475" t="s">
        <v>5278</v>
      </c>
      <c r="C289" s="475" t="s">
        <v>5279</v>
      </c>
      <c r="D289" s="475" t="s">
        <v>5280</v>
      </c>
      <c r="E289" s="476" t="s">
        <v>34</v>
      </c>
      <c r="F289" s="475" t="s">
        <v>34</v>
      </c>
      <c r="G289" s="364">
        <v>98460</v>
      </c>
      <c r="H289" s="475" t="s">
        <v>6360</v>
      </c>
      <c r="I289" s="475" t="s">
        <v>322</v>
      </c>
      <c r="J289" s="475" t="s">
        <v>337</v>
      </c>
      <c r="K289" s="365">
        <v>79.92</v>
      </c>
      <c r="L289" s="475" t="s">
        <v>141</v>
      </c>
      <c r="M289" s="473"/>
    </row>
    <row r="290" spans="1:13" ht="13.5">
      <c r="A290" s="475" t="s">
        <v>5277</v>
      </c>
      <c r="B290" s="475" t="s">
        <v>5278</v>
      </c>
      <c r="C290" s="475" t="s">
        <v>5279</v>
      </c>
      <c r="D290" s="475" t="s">
        <v>5280</v>
      </c>
      <c r="E290" s="476" t="s">
        <v>34</v>
      </c>
      <c r="F290" s="475" t="s">
        <v>34</v>
      </c>
      <c r="G290" s="364">
        <v>98461</v>
      </c>
      <c r="H290" s="475" t="s">
        <v>6361</v>
      </c>
      <c r="I290" s="475" t="s">
        <v>171</v>
      </c>
      <c r="J290" s="475" t="s">
        <v>337</v>
      </c>
      <c r="K290" s="365">
        <v>3879.17</v>
      </c>
      <c r="L290" s="475" t="s">
        <v>141</v>
      </c>
      <c r="M290" s="473"/>
    </row>
    <row r="291" spans="1:13" ht="13.5">
      <c r="A291" s="475" t="s">
        <v>5277</v>
      </c>
      <c r="B291" s="475" t="s">
        <v>5278</v>
      </c>
      <c r="C291" s="475" t="s">
        <v>5279</v>
      </c>
      <c r="D291" s="475" t="s">
        <v>5280</v>
      </c>
      <c r="E291" s="476" t="s">
        <v>34</v>
      </c>
      <c r="F291" s="475" t="s">
        <v>34</v>
      </c>
      <c r="G291" s="364">
        <v>98462</v>
      </c>
      <c r="H291" s="475" t="s">
        <v>6362</v>
      </c>
      <c r="I291" s="475" t="s">
        <v>171</v>
      </c>
      <c r="J291" s="475" t="s">
        <v>337</v>
      </c>
      <c r="K291" s="365">
        <v>5690.61</v>
      </c>
      <c r="L291" s="475" t="s">
        <v>141</v>
      </c>
      <c r="M291" s="473"/>
    </row>
    <row r="292" spans="1:13" ht="13.5">
      <c r="A292" s="475" t="s">
        <v>5277</v>
      </c>
      <c r="B292" s="475" t="s">
        <v>5278</v>
      </c>
      <c r="C292" s="475" t="s">
        <v>5281</v>
      </c>
      <c r="D292" s="475" t="s">
        <v>5282</v>
      </c>
      <c r="E292" s="476">
        <v>74209</v>
      </c>
      <c r="F292" s="475" t="s">
        <v>5283</v>
      </c>
      <c r="G292" s="364" t="s">
        <v>5890</v>
      </c>
      <c r="H292" s="475" t="s">
        <v>335</v>
      </c>
      <c r="I292" s="475" t="s">
        <v>322</v>
      </c>
      <c r="J292" s="475" t="s">
        <v>337</v>
      </c>
      <c r="K292" s="365">
        <v>336.2</v>
      </c>
      <c r="L292" s="475" t="s">
        <v>141</v>
      </c>
      <c r="M292" s="473"/>
    </row>
    <row r="293" spans="1:13" ht="13.5">
      <c r="A293" s="475" t="s">
        <v>5284</v>
      </c>
      <c r="B293" s="475" t="s">
        <v>5285</v>
      </c>
      <c r="C293" s="475" t="s">
        <v>5286</v>
      </c>
      <c r="D293" s="475" t="s">
        <v>5287</v>
      </c>
      <c r="E293" s="476" t="s">
        <v>34</v>
      </c>
      <c r="F293" s="475" t="s">
        <v>34</v>
      </c>
      <c r="G293" s="364">
        <v>5631</v>
      </c>
      <c r="H293" s="475" t="s">
        <v>338</v>
      </c>
      <c r="I293" s="475" t="s">
        <v>100</v>
      </c>
      <c r="J293" s="475" t="s">
        <v>140</v>
      </c>
      <c r="K293" s="365">
        <v>130.33000000000001</v>
      </c>
      <c r="L293" s="475" t="s">
        <v>141</v>
      </c>
      <c r="M293" s="473"/>
    </row>
    <row r="294" spans="1:13" ht="13.5">
      <c r="A294" s="475" t="s">
        <v>5284</v>
      </c>
      <c r="B294" s="475" t="s">
        <v>5285</v>
      </c>
      <c r="C294" s="475" t="s">
        <v>5286</v>
      </c>
      <c r="D294" s="475" t="s">
        <v>5287</v>
      </c>
      <c r="E294" s="476" t="s">
        <v>34</v>
      </c>
      <c r="F294" s="475" t="s">
        <v>34</v>
      </c>
      <c r="G294" s="364">
        <v>5678</v>
      </c>
      <c r="H294" s="475" t="s">
        <v>339</v>
      </c>
      <c r="I294" s="475" t="s">
        <v>100</v>
      </c>
      <c r="J294" s="475" t="s">
        <v>140</v>
      </c>
      <c r="K294" s="365">
        <v>98</v>
      </c>
      <c r="L294" s="475" t="s">
        <v>141</v>
      </c>
      <c r="M294" s="473"/>
    </row>
    <row r="295" spans="1:13" ht="13.5">
      <c r="A295" s="475" t="s">
        <v>5284</v>
      </c>
      <c r="B295" s="475" t="s">
        <v>5285</v>
      </c>
      <c r="C295" s="475" t="s">
        <v>5286</v>
      </c>
      <c r="D295" s="475" t="s">
        <v>5287</v>
      </c>
      <c r="E295" s="476" t="s">
        <v>34</v>
      </c>
      <c r="F295" s="475" t="s">
        <v>34</v>
      </c>
      <c r="G295" s="364">
        <v>5680</v>
      </c>
      <c r="H295" s="475" t="s">
        <v>340</v>
      </c>
      <c r="I295" s="475" t="s">
        <v>100</v>
      </c>
      <c r="J295" s="475" t="s">
        <v>140</v>
      </c>
      <c r="K295" s="365">
        <v>90.75</v>
      </c>
      <c r="L295" s="475" t="s">
        <v>141</v>
      </c>
      <c r="M295" s="473"/>
    </row>
    <row r="296" spans="1:13" ht="13.5">
      <c r="A296" s="475" t="s">
        <v>5284</v>
      </c>
      <c r="B296" s="475" t="s">
        <v>5285</v>
      </c>
      <c r="C296" s="475" t="s">
        <v>5286</v>
      </c>
      <c r="D296" s="475" t="s">
        <v>5287</v>
      </c>
      <c r="E296" s="476" t="s">
        <v>34</v>
      </c>
      <c r="F296" s="475" t="s">
        <v>34</v>
      </c>
      <c r="G296" s="364">
        <v>5684</v>
      </c>
      <c r="H296" s="475" t="s">
        <v>341</v>
      </c>
      <c r="I296" s="475" t="s">
        <v>100</v>
      </c>
      <c r="J296" s="475" t="s">
        <v>140</v>
      </c>
      <c r="K296" s="365">
        <v>91.27</v>
      </c>
      <c r="L296" s="475" t="s">
        <v>141</v>
      </c>
      <c r="M296" s="473"/>
    </row>
    <row r="297" spans="1:13" ht="13.5">
      <c r="A297" s="475" t="s">
        <v>5284</v>
      </c>
      <c r="B297" s="475" t="s">
        <v>5285</v>
      </c>
      <c r="C297" s="475" t="s">
        <v>5286</v>
      </c>
      <c r="D297" s="475" t="s">
        <v>5287</v>
      </c>
      <c r="E297" s="476" t="s">
        <v>34</v>
      </c>
      <c r="F297" s="475" t="s">
        <v>34</v>
      </c>
      <c r="G297" s="364">
        <v>5689</v>
      </c>
      <c r="H297" s="475" t="s">
        <v>342</v>
      </c>
      <c r="I297" s="475" t="s">
        <v>100</v>
      </c>
      <c r="J297" s="475" t="s">
        <v>140</v>
      </c>
      <c r="K297" s="365">
        <v>3.34</v>
      </c>
      <c r="L297" s="475" t="s">
        <v>141</v>
      </c>
      <c r="M297" s="473"/>
    </row>
    <row r="298" spans="1:13" ht="13.5">
      <c r="A298" s="475" t="s">
        <v>5284</v>
      </c>
      <c r="B298" s="475" t="s">
        <v>5285</v>
      </c>
      <c r="C298" s="475" t="s">
        <v>5286</v>
      </c>
      <c r="D298" s="475" t="s">
        <v>5287</v>
      </c>
      <c r="E298" s="476" t="s">
        <v>34</v>
      </c>
      <c r="F298" s="475" t="s">
        <v>34</v>
      </c>
      <c r="G298" s="364">
        <v>5795</v>
      </c>
      <c r="H298" s="475" t="s">
        <v>343</v>
      </c>
      <c r="I298" s="475" t="s">
        <v>100</v>
      </c>
      <c r="J298" s="475" t="s">
        <v>140</v>
      </c>
      <c r="K298" s="365">
        <v>17.45</v>
      </c>
      <c r="L298" s="475" t="s">
        <v>141</v>
      </c>
      <c r="M298" s="473"/>
    </row>
    <row r="299" spans="1:13" ht="13.5">
      <c r="A299" s="475" t="s">
        <v>5284</v>
      </c>
      <c r="B299" s="475" t="s">
        <v>5285</v>
      </c>
      <c r="C299" s="475" t="s">
        <v>5286</v>
      </c>
      <c r="D299" s="475" t="s">
        <v>5287</v>
      </c>
      <c r="E299" s="476" t="s">
        <v>34</v>
      </c>
      <c r="F299" s="475" t="s">
        <v>34</v>
      </c>
      <c r="G299" s="364">
        <v>5811</v>
      </c>
      <c r="H299" s="475" t="s">
        <v>344</v>
      </c>
      <c r="I299" s="475" t="s">
        <v>100</v>
      </c>
      <c r="J299" s="475" t="s">
        <v>140</v>
      </c>
      <c r="K299" s="365">
        <v>167.21</v>
      </c>
      <c r="L299" s="475" t="s">
        <v>141</v>
      </c>
      <c r="M299" s="473"/>
    </row>
    <row r="300" spans="1:13" ht="13.5">
      <c r="A300" s="475" t="s">
        <v>5284</v>
      </c>
      <c r="B300" s="475" t="s">
        <v>5285</v>
      </c>
      <c r="C300" s="475" t="s">
        <v>5286</v>
      </c>
      <c r="D300" s="475" t="s">
        <v>5287</v>
      </c>
      <c r="E300" s="476" t="s">
        <v>34</v>
      </c>
      <c r="F300" s="475" t="s">
        <v>34</v>
      </c>
      <c r="G300" s="364">
        <v>5823</v>
      </c>
      <c r="H300" s="475" t="s">
        <v>345</v>
      </c>
      <c r="I300" s="475" t="s">
        <v>100</v>
      </c>
      <c r="J300" s="475" t="s">
        <v>140</v>
      </c>
      <c r="K300" s="365">
        <v>165.64</v>
      </c>
      <c r="L300" s="475" t="s">
        <v>141</v>
      </c>
      <c r="M300" s="473"/>
    </row>
    <row r="301" spans="1:13" ht="13.5">
      <c r="A301" s="475" t="s">
        <v>5284</v>
      </c>
      <c r="B301" s="475" t="s">
        <v>5285</v>
      </c>
      <c r="C301" s="475" t="s">
        <v>5286</v>
      </c>
      <c r="D301" s="475" t="s">
        <v>5287</v>
      </c>
      <c r="E301" s="476" t="s">
        <v>34</v>
      </c>
      <c r="F301" s="475" t="s">
        <v>34</v>
      </c>
      <c r="G301" s="364">
        <v>5824</v>
      </c>
      <c r="H301" s="475" t="s">
        <v>346</v>
      </c>
      <c r="I301" s="475" t="s">
        <v>100</v>
      </c>
      <c r="J301" s="475" t="s">
        <v>140</v>
      </c>
      <c r="K301" s="365">
        <v>133.29</v>
      </c>
      <c r="L301" s="475" t="s">
        <v>141</v>
      </c>
      <c r="M301" s="473"/>
    </row>
    <row r="302" spans="1:13" ht="13.5">
      <c r="A302" s="475" t="s">
        <v>5284</v>
      </c>
      <c r="B302" s="475" t="s">
        <v>5285</v>
      </c>
      <c r="C302" s="475" t="s">
        <v>5286</v>
      </c>
      <c r="D302" s="475" t="s">
        <v>5287</v>
      </c>
      <c r="E302" s="476" t="s">
        <v>34</v>
      </c>
      <c r="F302" s="475" t="s">
        <v>34</v>
      </c>
      <c r="G302" s="364">
        <v>5835</v>
      </c>
      <c r="H302" s="475" t="s">
        <v>347</v>
      </c>
      <c r="I302" s="475" t="s">
        <v>100</v>
      </c>
      <c r="J302" s="475" t="s">
        <v>140</v>
      </c>
      <c r="K302" s="365">
        <v>243.49</v>
      </c>
      <c r="L302" s="475" t="s">
        <v>141</v>
      </c>
      <c r="M302" s="473"/>
    </row>
    <row r="303" spans="1:13" ht="13.5">
      <c r="A303" s="475" t="s">
        <v>5284</v>
      </c>
      <c r="B303" s="475" t="s">
        <v>5285</v>
      </c>
      <c r="C303" s="475" t="s">
        <v>5286</v>
      </c>
      <c r="D303" s="475" t="s">
        <v>5287</v>
      </c>
      <c r="E303" s="476" t="s">
        <v>34</v>
      </c>
      <c r="F303" s="475" t="s">
        <v>34</v>
      </c>
      <c r="G303" s="364">
        <v>5839</v>
      </c>
      <c r="H303" s="475" t="s">
        <v>348</v>
      </c>
      <c r="I303" s="475" t="s">
        <v>100</v>
      </c>
      <c r="J303" s="475" t="s">
        <v>140</v>
      </c>
      <c r="K303" s="365">
        <v>4.93</v>
      </c>
      <c r="L303" s="475" t="s">
        <v>141</v>
      </c>
      <c r="M303" s="473"/>
    </row>
    <row r="304" spans="1:13" ht="13.5">
      <c r="A304" s="475" t="s">
        <v>5284</v>
      </c>
      <c r="B304" s="475" t="s">
        <v>5285</v>
      </c>
      <c r="C304" s="475" t="s">
        <v>5286</v>
      </c>
      <c r="D304" s="475" t="s">
        <v>5287</v>
      </c>
      <c r="E304" s="476" t="s">
        <v>34</v>
      </c>
      <c r="F304" s="475" t="s">
        <v>34</v>
      </c>
      <c r="G304" s="364">
        <v>5843</v>
      </c>
      <c r="H304" s="475" t="s">
        <v>349</v>
      </c>
      <c r="I304" s="475" t="s">
        <v>100</v>
      </c>
      <c r="J304" s="475" t="s">
        <v>140</v>
      </c>
      <c r="K304" s="365">
        <v>97.24</v>
      </c>
      <c r="L304" s="475" t="s">
        <v>141</v>
      </c>
      <c r="M304" s="473"/>
    </row>
    <row r="305" spans="1:13" ht="13.5">
      <c r="A305" s="475" t="s">
        <v>5284</v>
      </c>
      <c r="B305" s="475" t="s">
        <v>5285</v>
      </c>
      <c r="C305" s="475" t="s">
        <v>5286</v>
      </c>
      <c r="D305" s="475" t="s">
        <v>5287</v>
      </c>
      <c r="E305" s="476" t="s">
        <v>34</v>
      </c>
      <c r="F305" s="475" t="s">
        <v>34</v>
      </c>
      <c r="G305" s="364">
        <v>5847</v>
      </c>
      <c r="H305" s="475" t="s">
        <v>350</v>
      </c>
      <c r="I305" s="475" t="s">
        <v>100</v>
      </c>
      <c r="J305" s="475" t="s">
        <v>140</v>
      </c>
      <c r="K305" s="365">
        <v>168.65</v>
      </c>
      <c r="L305" s="475" t="s">
        <v>141</v>
      </c>
      <c r="M305" s="473"/>
    </row>
    <row r="306" spans="1:13" ht="13.5">
      <c r="A306" s="475" t="s">
        <v>5284</v>
      </c>
      <c r="B306" s="475" t="s">
        <v>5285</v>
      </c>
      <c r="C306" s="475" t="s">
        <v>5286</v>
      </c>
      <c r="D306" s="475" t="s">
        <v>5287</v>
      </c>
      <c r="E306" s="476" t="s">
        <v>34</v>
      </c>
      <c r="F306" s="475" t="s">
        <v>34</v>
      </c>
      <c r="G306" s="364">
        <v>5851</v>
      </c>
      <c r="H306" s="475" t="s">
        <v>351</v>
      </c>
      <c r="I306" s="475" t="s">
        <v>100</v>
      </c>
      <c r="J306" s="475" t="s">
        <v>140</v>
      </c>
      <c r="K306" s="365">
        <v>159.19</v>
      </c>
      <c r="L306" s="475" t="s">
        <v>141</v>
      </c>
      <c r="M306" s="473"/>
    </row>
    <row r="307" spans="1:13" ht="13.5">
      <c r="A307" s="475" t="s">
        <v>5284</v>
      </c>
      <c r="B307" s="475" t="s">
        <v>5285</v>
      </c>
      <c r="C307" s="475" t="s">
        <v>5286</v>
      </c>
      <c r="D307" s="475" t="s">
        <v>5287</v>
      </c>
      <c r="E307" s="476" t="s">
        <v>34</v>
      </c>
      <c r="F307" s="475" t="s">
        <v>34</v>
      </c>
      <c r="G307" s="364">
        <v>5855</v>
      </c>
      <c r="H307" s="475" t="s">
        <v>352</v>
      </c>
      <c r="I307" s="475" t="s">
        <v>100</v>
      </c>
      <c r="J307" s="475" t="s">
        <v>140</v>
      </c>
      <c r="K307" s="365">
        <v>415.83</v>
      </c>
      <c r="L307" s="475" t="s">
        <v>141</v>
      </c>
      <c r="M307" s="473"/>
    </row>
    <row r="308" spans="1:13" ht="13.5">
      <c r="A308" s="475" t="s">
        <v>5284</v>
      </c>
      <c r="B308" s="475" t="s">
        <v>5285</v>
      </c>
      <c r="C308" s="475" t="s">
        <v>5286</v>
      </c>
      <c r="D308" s="475" t="s">
        <v>5287</v>
      </c>
      <c r="E308" s="476" t="s">
        <v>34</v>
      </c>
      <c r="F308" s="475" t="s">
        <v>34</v>
      </c>
      <c r="G308" s="364">
        <v>5863</v>
      </c>
      <c r="H308" s="475" t="s">
        <v>353</v>
      </c>
      <c r="I308" s="475" t="s">
        <v>100</v>
      </c>
      <c r="J308" s="475" t="s">
        <v>140</v>
      </c>
      <c r="K308" s="365">
        <v>11.05</v>
      </c>
      <c r="L308" s="475" t="s">
        <v>141</v>
      </c>
      <c r="M308" s="473"/>
    </row>
    <row r="309" spans="1:13" ht="13.5">
      <c r="A309" s="475" t="s">
        <v>5284</v>
      </c>
      <c r="B309" s="475" t="s">
        <v>5285</v>
      </c>
      <c r="C309" s="475" t="s">
        <v>5286</v>
      </c>
      <c r="D309" s="475" t="s">
        <v>5287</v>
      </c>
      <c r="E309" s="476" t="s">
        <v>34</v>
      </c>
      <c r="F309" s="475" t="s">
        <v>34</v>
      </c>
      <c r="G309" s="364">
        <v>5867</v>
      </c>
      <c r="H309" s="475" t="s">
        <v>354</v>
      </c>
      <c r="I309" s="475" t="s">
        <v>100</v>
      </c>
      <c r="J309" s="475" t="s">
        <v>140</v>
      </c>
      <c r="K309" s="365">
        <v>88.78</v>
      </c>
      <c r="L309" s="475" t="s">
        <v>141</v>
      </c>
      <c r="M309" s="473"/>
    </row>
    <row r="310" spans="1:13" ht="13.5">
      <c r="A310" s="475" t="s">
        <v>5284</v>
      </c>
      <c r="B310" s="475" t="s">
        <v>5285</v>
      </c>
      <c r="C310" s="475" t="s">
        <v>5286</v>
      </c>
      <c r="D310" s="475" t="s">
        <v>5287</v>
      </c>
      <c r="E310" s="476" t="s">
        <v>34</v>
      </c>
      <c r="F310" s="475" t="s">
        <v>34</v>
      </c>
      <c r="G310" s="364">
        <v>5875</v>
      </c>
      <c r="H310" s="475" t="s">
        <v>355</v>
      </c>
      <c r="I310" s="475" t="s">
        <v>100</v>
      </c>
      <c r="J310" s="475" t="s">
        <v>140</v>
      </c>
      <c r="K310" s="365">
        <v>89.88</v>
      </c>
      <c r="L310" s="475" t="s">
        <v>141</v>
      </c>
      <c r="M310" s="473"/>
    </row>
    <row r="311" spans="1:13" ht="13.5">
      <c r="A311" s="475" t="s">
        <v>5284</v>
      </c>
      <c r="B311" s="475" t="s">
        <v>5285</v>
      </c>
      <c r="C311" s="475" t="s">
        <v>5286</v>
      </c>
      <c r="D311" s="475" t="s">
        <v>5287</v>
      </c>
      <c r="E311" s="476" t="s">
        <v>34</v>
      </c>
      <c r="F311" s="475" t="s">
        <v>34</v>
      </c>
      <c r="G311" s="364">
        <v>5879</v>
      </c>
      <c r="H311" s="475" t="s">
        <v>356</v>
      </c>
      <c r="I311" s="475" t="s">
        <v>100</v>
      </c>
      <c r="J311" s="475" t="s">
        <v>140</v>
      </c>
      <c r="K311" s="365">
        <v>73.47</v>
      </c>
      <c r="L311" s="475" t="s">
        <v>141</v>
      </c>
      <c r="M311" s="473"/>
    </row>
    <row r="312" spans="1:13" ht="13.5">
      <c r="A312" s="475" t="s">
        <v>5284</v>
      </c>
      <c r="B312" s="475" t="s">
        <v>5285</v>
      </c>
      <c r="C312" s="475" t="s">
        <v>5286</v>
      </c>
      <c r="D312" s="475" t="s">
        <v>5287</v>
      </c>
      <c r="E312" s="476" t="s">
        <v>34</v>
      </c>
      <c r="F312" s="475" t="s">
        <v>34</v>
      </c>
      <c r="G312" s="364">
        <v>5882</v>
      </c>
      <c r="H312" s="475" t="s">
        <v>357</v>
      </c>
      <c r="I312" s="475" t="s">
        <v>100</v>
      </c>
      <c r="J312" s="475" t="s">
        <v>140</v>
      </c>
      <c r="K312" s="365">
        <v>78.09</v>
      </c>
      <c r="L312" s="475" t="s">
        <v>141</v>
      </c>
      <c r="M312" s="473"/>
    </row>
    <row r="313" spans="1:13" ht="13.5">
      <c r="A313" s="475" t="s">
        <v>5284</v>
      </c>
      <c r="B313" s="475" t="s">
        <v>5285</v>
      </c>
      <c r="C313" s="475" t="s">
        <v>5286</v>
      </c>
      <c r="D313" s="475" t="s">
        <v>5287</v>
      </c>
      <c r="E313" s="476" t="s">
        <v>34</v>
      </c>
      <c r="F313" s="475" t="s">
        <v>34</v>
      </c>
      <c r="G313" s="364">
        <v>5890</v>
      </c>
      <c r="H313" s="475" t="s">
        <v>358</v>
      </c>
      <c r="I313" s="475" t="s">
        <v>100</v>
      </c>
      <c r="J313" s="475" t="s">
        <v>140</v>
      </c>
      <c r="K313" s="365">
        <v>133.88</v>
      </c>
      <c r="L313" s="475" t="s">
        <v>141</v>
      </c>
      <c r="M313" s="473"/>
    </row>
    <row r="314" spans="1:13" ht="13.5">
      <c r="A314" s="475" t="s">
        <v>5284</v>
      </c>
      <c r="B314" s="475" t="s">
        <v>5285</v>
      </c>
      <c r="C314" s="475" t="s">
        <v>5286</v>
      </c>
      <c r="D314" s="475" t="s">
        <v>5287</v>
      </c>
      <c r="E314" s="476" t="s">
        <v>34</v>
      </c>
      <c r="F314" s="475" t="s">
        <v>34</v>
      </c>
      <c r="G314" s="364">
        <v>5894</v>
      </c>
      <c r="H314" s="475" t="s">
        <v>359</v>
      </c>
      <c r="I314" s="475" t="s">
        <v>100</v>
      </c>
      <c r="J314" s="475" t="s">
        <v>140</v>
      </c>
      <c r="K314" s="365">
        <v>131.44999999999999</v>
      </c>
      <c r="L314" s="475" t="s">
        <v>141</v>
      </c>
      <c r="M314" s="473"/>
    </row>
    <row r="315" spans="1:13" ht="13.5">
      <c r="A315" s="475" t="s">
        <v>5284</v>
      </c>
      <c r="B315" s="475" t="s">
        <v>5285</v>
      </c>
      <c r="C315" s="475" t="s">
        <v>5286</v>
      </c>
      <c r="D315" s="475" t="s">
        <v>5287</v>
      </c>
      <c r="E315" s="476" t="s">
        <v>34</v>
      </c>
      <c r="F315" s="475" t="s">
        <v>34</v>
      </c>
      <c r="G315" s="364">
        <v>5901</v>
      </c>
      <c r="H315" s="475" t="s">
        <v>360</v>
      </c>
      <c r="I315" s="475" t="s">
        <v>100</v>
      </c>
      <c r="J315" s="475" t="s">
        <v>140</v>
      </c>
      <c r="K315" s="365">
        <v>168.33</v>
      </c>
      <c r="L315" s="475" t="s">
        <v>141</v>
      </c>
      <c r="M315" s="473"/>
    </row>
    <row r="316" spans="1:13" ht="13.5">
      <c r="A316" s="475" t="s">
        <v>5284</v>
      </c>
      <c r="B316" s="475" t="s">
        <v>5285</v>
      </c>
      <c r="C316" s="475" t="s">
        <v>5286</v>
      </c>
      <c r="D316" s="475" t="s">
        <v>5287</v>
      </c>
      <c r="E316" s="476" t="s">
        <v>34</v>
      </c>
      <c r="F316" s="475" t="s">
        <v>34</v>
      </c>
      <c r="G316" s="364">
        <v>5909</v>
      </c>
      <c r="H316" s="475" t="s">
        <v>361</v>
      </c>
      <c r="I316" s="475" t="s">
        <v>100</v>
      </c>
      <c r="J316" s="475" t="s">
        <v>140</v>
      </c>
      <c r="K316" s="365">
        <v>21.7</v>
      </c>
      <c r="L316" s="475" t="s">
        <v>141</v>
      </c>
      <c r="M316" s="473"/>
    </row>
    <row r="317" spans="1:13" ht="13.5">
      <c r="A317" s="475" t="s">
        <v>5284</v>
      </c>
      <c r="B317" s="475" t="s">
        <v>5285</v>
      </c>
      <c r="C317" s="475" t="s">
        <v>5286</v>
      </c>
      <c r="D317" s="475" t="s">
        <v>5287</v>
      </c>
      <c r="E317" s="476" t="s">
        <v>34</v>
      </c>
      <c r="F317" s="475" t="s">
        <v>34</v>
      </c>
      <c r="G317" s="364">
        <v>5921</v>
      </c>
      <c r="H317" s="475" t="s">
        <v>362</v>
      </c>
      <c r="I317" s="475" t="s">
        <v>100</v>
      </c>
      <c r="J317" s="475" t="s">
        <v>140</v>
      </c>
      <c r="K317" s="365">
        <v>2.62</v>
      </c>
      <c r="L317" s="475" t="s">
        <v>141</v>
      </c>
      <c r="M317" s="473"/>
    </row>
    <row r="318" spans="1:13" ht="13.5">
      <c r="A318" s="475" t="s">
        <v>5284</v>
      </c>
      <c r="B318" s="475" t="s">
        <v>5285</v>
      </c>
      <c r="C318" s="475" t="s">
        <v>5286</v>
      </c>
      <c r="D318" s="475" t="s">
        <v>5287</v>
      </c>
      <c r="E318" s="476" t="s">
        <v>34</v>
      </c>
      <c r="F318" s="475" t="s">
        <v>34</v>
      </c>
      <c r="G318" s="364">
        <v>5928</v>
      </c>
      <c r="H318" s="475" t="s">
        <v>364</v>
      </c>
      <c r="I318" s="475" t="s">
        <v>100</v>
      </c>
      <c r="J318" s="475" t="s">
        <v>140</v>
      </c>
      <c r="K318" s="365">
        <v>138.72999999999999</v>
      </c>
      <c r="L318" s="475" t="s">
        <v>141</v>
      </c>
      <c r="M318" s="473"/>
    </row>
    <row r="319" spans="1:13" ht="13.5">
      <c r="A319" s="475" t="s">
        <v>5284</v>
      </c>
      <c r="B319" s="475" t="s">
        <v>5285</v>
      </c>
      <c r="C319" s="475" t="s">
        <v>5286</v>
      </c>
      <c r="D319" s="475" t="s">
        <v>5287</v>
      </c>
      <c r="E319" s="476" t="s">
        <v>34</v>
      </c>
      <c r="F319" s="475" t="s">
        <v>34</v>
      </c>
      <c r="G319" s="364">
        <v>5932</v>
      </c>
      <c r="H319" s="475" t="s">
        <v>365</v>
      </c>
      <c r="I319" s="475" t="s">
        <v>100</v>
      </c>
      <c r="J319" s="475" t="s">
        <v>140</v>
      </c>
      <c r="K319" s="365">
        <v>146.32</v>
      </c>
      <c r="L319" s="475" t="s">
        <v>141</v>
      </c>
      <c r="M319" s="473"/>
    </row>
    <row r="320" spans="1:13" ht="13.5">
      <c r="A320" s="475" t="s">
        <v>5284</v>
      </c>
      <c r="B320" s="475" t="s">
        <v>5285</v>
      </c>
      <c r="C320" s="475" t="s">
        <v>5286</v>
      </c>
      <c r="D320" s="475" t="s">
        <v>5287</v>
      </c>
      <c r="E320" s="476" t="s">
        <v>34</v>
      </c>
      <c r="F320" s="475" t="s">
        <v>34</v>
      </c>
      <c r="G320" s="364">
        <v>5940</v>
      </c>
      <c r="H320" s="475" t="s">
        <v>366</v>
      </c>
      <c r="I320" s="475" t="s">
        <v>100</v>
      </c>
      <c r="J320" s="475" t="s">
        <v>140</v>
      </c>
      <c r="K320" s="365">
        <v>131.24</v>
      </c>
      <c r="L320" s="475" t="s">
        <v>141</v>
      </c>
      <c r="M320" s="473"/>
    </row>
    <row r="321" spans="1:13" ht="13.5">
      <c r="A321" s="475" t="s">
        <v>5284</v>
      </c>
      <c r="B321" s="475" t="s">
        <v>5285</v>
      </c>
      <c r="C321" s="475" t="s">
        <v>5286</v>
      </c>
      <c r="D321" s="475" t="s">
        <v>5287</v>
      </c>
      <c r="E321" s="476" t="s">
        <v>34</v>
      </c>
      <c r="F321" s="475" t="s">
        <v>34</v>
      </c>
      <c r="G321" s="364">
        <v>5944</v>
      </c>
      <c r="H321" s="475" t="s">
        <v>367</v>
      </c>
      <c r="I321" s="475" t="s">
        <v>100</v>
      </c>
      <c r="J321" s="475" t="s">
        <v>140</v>
      </c>
      <c r="K321" s="365">
        <v>185.22</v>
      </c>
      <c r="L321" s="475" t="s">
        <v>141</v>
      </c>
      <c r="M321" s="473"/>
    </row>
    <row r="322" spans="1:13" ht="13.5">
      <c r="A322" s="475" t="s">
        <v>5284</v>
      </c>
      <c r="B322" s="475" t="s">
        <v>5285</v>
      </c>
      <c r="C322" s="475" t="s">
        <v>5286</v>
      </c>
      <c r="D322" s="475" t="s">
        <v>5287</v>
      </c>
      <c r="E322" s="476" t="s">
        <v>34</v>
      </c>
      <c r="F322" s="475" t="s">
        <v>34</v>
      </c>
      <c r="G322" s="364">
        <v>5953</v>
      </c>
      <c r="H322" s="475" t="s">
        <v>368</v>
      </c>
      <c r="I322" s="475" t="s">
        <v>100</v>
      </c>
      <c r="J322" s="475" t="s">
        <v>140</v>
      </c>
      <c r="K322" s="365">
        <v>36.58</v>
      </c>
      <c r="L322" s="475" t="s">
        <v>141</v>
      </c>
      <c r="M322" s="473"/>
    </row>
    <row r="323" spans="1:13" ht="13.5">
      <c r="A323" s="475" t="s">
        <v>5284</v>
      </c>
      <c r="B323" s="475" t="s">
        <v>5285</v>
      </c>
      <c r="C323" s="475" t="s">
        <v>5286</v>
      </c>
      <c r="D323" s="475" t="s">
        <v>5287</v>
      </c>
      <c r="E323" s="476" t="s">
        <v>34</v>
      </c>
      <c r="F323" s="475" t="s">
        <v>34</v>
      </c>
      <c r="G323" s="364">
        <v>6259</v>
      </c>
      <c r="H323" s="475" t="s">
        <v>369</v>
      </c>
      <c r="I323" s="475" t="s">
        <v>100</v>
      </c>
      <c r="J323" s="475" t="s">
        <v>140</v>
      </c>
      <c r="K323" s="365">
        <v>139.44</v>
      </c>
      <c r="L323" s="475" t="s">
        <v>141</v>
      </c>
      <c r="M323" s="473"/>
    </row>
    <row r="324" spans="1:13" ht="13.5">
      <c r="A324" s="475" t="s">
        <v>5284</v>
      </c>
      <c r="B324" s="475" t="s">
        <v>5285</v>
      </c>
      <c r="C324" s="475" t="s">
        <v>5286</v>
      </c>
      <c r="D324" s="475" t="s">
        <v>5287</v>
      </c>
      <c r="E324" s="476" t="s">
        <v>34</v>
      </c>
      <c r="F324" s="475" t="s">
        <v>34</v>
      </c>
      <c r="G324" s="364">
        <v>6879</v>
      </c>
      <c r="H324" s="475" t="s">
        <v>370</v>
      </c>
      <c r="I324" s="475" t="s">
        <v>100</v>
      </c>
      <c r="J324" s="475" t="s">
        <v>140</v>
      </c>
      <c r="K324" s="365">
        <v>127.25</v>
      </c>
      <c r="L324" s="475" t="s">
        <v>141</v>
      </c>
      <c r="M324" s="473"/>
    </row>
    <row r="325" spans="1:13" ht="13.5">
      <c r="A325" s="475" t="s">
        <v>5284</v>
      </c>
      <c r="B325" s="475" t="s">
        <v>5285</v>
      </c>
      <c r="C325" s="475" t="s">
        <v>5286</v>
      </c>
      <c r="D325" s="475" t="s">
        <v>5287</v>
      </c>
      <c r="E325" s="476" t="s">
        <v>34</v>
      </c>
      <c r="F325" s="475" t="s">
        <v>34</v>
      </c>
      <c r="G325" s="364">
        <v>7030</v>
      </c>
      <c r="H325" s="475" t="s">
        <v>371</v>
      </c>
      <c r="I325" s="475" t="s">
        <v>100</v>
      </c>
      <c r="J325" s="475" t="s">
        <v>140</v>
      </c>
      <c r="K325" s="365">
        <v>167.31</v>
      </c>
      <c r="L325" s="475" t="s">
        <v>141</v>
      </c>
      <c r="M325" s="473"/>
    </row>
    <row r="326" spans="1:13" ht="13.5">
      <c r="A326" s="475" t="s">
        <v>5284</v>
      </c>
      <c r="B326" s="475" t="s">
        <v>5285</v>
      </c>
      <c r="C326" s="475" t="s">
        <v>5286</v>
      </c>
      <c r="D326" s="475" t="s">
        <v>5287</v>
      </c>
      <c r="E326" s="476" t="s">
        <v>34</v>
      </c>
      <c r="F326" s="475" t="s">
        <v>34</v>
      </c>
      <c r="G326" s="364">
        <v>7042</v>
      </c>
      <c r="H326" s="475" t="s">
        <v>372</v>
      </c>
      <c r="I326" s="475" t="s">
        <v>100</v>
      </c>
      <c r="J326" s="475" t="s">
        <v>337</v>
      </c>
      <c r="K326" s="365">
        <v>4.4400000000000004</v>
      </c>
      <c r="L326" s="475" t="s">
        <v>141</v>
      </c>
      <c r="M326" s="473"/>
    </row>
    <row r="327" spans="1:13" ht="13.5">
      <c r="A327" s="475" t="s">
        <v>5284</v>
      </c>
      <c r="B327" s="475" t="s">
        <v>5285</v>
      </c>
      <c r="C327" s="475" t="s">
        <v>5286</v>
      </c>
      <c r="D327" s="475" t="s">
        <v>5287</v>
      </c>
      <c r="E327" s="476" t="s">
        <v>34</v>
      </c>
      <c r="F327" s="475" t="s">
        <v>34</v>
      </c>
      <c r="G327" s="364">
        <v>7049</v>
      </c>
      <c r="H327" s="475" t="s">
        <v>373</v>
      </c>
      <c r="I327" s="475" t="s">
        <v>100</v>
      </c>
      <c r="J327" s="475" t="s">
        <v>140</v>
      </c>
      <c r="K327" s="365">
        <v>127.7</v>
      </c>
      <c r="L327" s="475" t="s">
        <v>141</v>
      </c>
      <c r="M327" s="473"/>
    </row>
    <row r="328" spans="1:13" ht="13.5">
      <c r="A328" s="475" t="s">
        <v>5284</v>
      </c>
      <c r="B328" s="475" t="s">
        <v>5285</v>
      </c>
      <c r="C328" s="475" t="s">
        <v>5286</v>
      </c>
      <c r="D328" s="475" t="s">
        <v>5287</v>
      </c>
      <c r="E328" s="476" t="s">
        <v>34</v>
      </c>
      <c r="F328" s="475" t="s">
        <v>34</v>
      </c>
      <c r="G328" s="364">
        <v>67826</v>
      </c>
      <c r="H328" s="475" t="s">
        <v>374</v>
      </c>
      <c r="I328" s="475" t="s">
        <v>100</v>
      </c>
      <c r="J328" s="475" t="s">
        <v>140</v>
      </c>
      <c r="K328" s="365">
        <v>143.47</v>
      </c>
      <c r="L328" s="475" t="s">
        <v>141</v>
      </c>
      <c r="M328" s="473"/>
    </row>
    <row r="329" spans="1:13" ht="13.5">
      <c r="A329" s="475" t="s">
        <v>5284</v>
      </c>
      <c r="B329" s="475" t="s">
        <v>5285</v>
      </c>
      <c r="C329" s="475" t="s">
        <v>5286</v>
      </c>
      <c r="D329" s="475" t="s">
        <v>5287</v>
      </c>
      <c r="E329" s="476" t="s">
        <v>34</v>
      </c>
      <c r="F329" s="475" t="s">
        <v>34</v>
      </c>
      <c r="G329" s="364">
        <v>73417</v>
      </c>
      <c r="H329" s="475" t="s">
        <v>375</v>
      </c>
      <c r="I329" s="475" t="s">
        <v>100</v>
      </c>
      <c r="J329" s="475" t="s">
        <v>140</v>
      </c>
      <c r="K329" s="365">
        <v>111.51</v>
      </c>
      <c r="L329" s="475" t="s">
        <v>141</v>
      </c>
      <c r="M329" s="473"/>
    </row>
    <row r="330" spans="1:13" ht="13.5">
      <c r="A330" s="475" t="s">
        <v>5284</v>
      </c>
      <c r="B330" s="475" t="s">
        <v>5285</v>
      </c>
      <c r="C330" s="475" t="s">
        <v>5286</v>
      </c>
      <c r="D330" s="475" t="s">
        <v>5287</v>
      </c>
      <c r="E330" s="476" t="s">
        <v>34</v>
      </c>
      <c r="F330" s="475" t="s">
        <v>34</v>
      </c>
      <c r="G330" s="364">
        <v>73436</v>
      </c>
      <c r="H330" s="475" t="s">
        <v>376</v>
      </c>
      <c r="I330" s="475" t="s">
        <v>100</v>
      </c>
      <c r="J330" s="475" t="s">
        <v>140</v>
      </c>
      <c r="K330" s="365">
        <v>122.97</v>
      </c>
      <c r="L330" s="475" t="s">
        <v>141</v>
      </c>
      <c r="M330" s="473"/>
    </row>
    <row r="331" spans="1:13" ht="13.5">
      <c r="A331" s="475" t="s">
        <v>5284</v>
      </c>
      <c r="B331" s="475" t="s">
        <v>5285</v>
      </c>
      <c r="C331" s="475" t="s">
        <v>5286</v>
      </c>
      <c r="D331" s="475" t="s">
        <v>5287</v>
      </c>
      <c r="E331" s="476" t="s">
        <v>34</v>
      </c>
      <c r="F331" s="475" t="s">
        <v>34</v>
      </c>
      <c r="G331" s="364">
        <v>73467</v>
      </c>
      <c r="H331" s="475" t="s">
        <v>377</v>
      </c>
      <c r="I331" s="475" t="s">
        <v>100</v>
      </c>
      <c r="J331" s="475" t="s">
        <v>140</v>
      </c>
      <c r="K331" s="365">
        <v>136.09</v>
      </c>
      <c r="L331" s="475" t="s">
        <v>141</v>
      </c>
      <c r="M331" s="473"/>
    </row>
    <row r="332" spans="1:13" ht="13.5">
      <c r="A332" s="475" t="s">
        <v>5284</v>
      </c>
      <c r="B332" s="475" t="s">
        <v>5285</v>
      </c>
      <c r="C332" s="475" t="s">
        <v>5286</v>
      </c>
      <c r="D332" s="475" t="s">
        <v>5287</v>
      </c>
      <c r="E332" s="476" t="s">
        <v>34</v>
      </c>
      <c r="F332" s="475" t="s">
        <v>34</v>
      </c>
      <c r="G332" s="364">
        <v>73536</v>
      </c>
      <c r="H332" s="475" t="s">
        <v>378</v>
      </c>
      <c r="I332" s="475" t="s">
        <v>100</v>
      </c>
      <c r="J332" s="475" t="s">
        <v>337</v>
      </c>
      <c r="K332" s="365">
        <v>3.73</v>
      </c>
      <c r="L332" s="475" t="s">
        <v>141</v>
      </c>
      <c r="M332" s="473"/>
    </row>
    <row r="333" spans="1:13" ht="13.5">
      <c r="A333" s="475" t="s">
        <v>5284</v>
      </c>
      <c r="B333" s="475" t="s">
        <v>5285</v>
      </c>
      <c r="C333" s="475" t="s">
        <v>5286</v>
      </c>
      <c r="D333" s="475" t="s">
        <v>5287</v>
      </c>
      <c r="E333" s="476" t="s">
        <v>34</v>
      </c>
      <c r="F333" s="475" t="s">
        <v>34</v>
      </c>
      <c r="G333" s="364">
        <v>83362</v>
      </c>
      <c r="H333" s="475" t="s">
        <v>379</v>
      </c>
      <c r="I333" s="475" t="s">
        <v>100</v>
      </c>
      <c r="J333" s="475" t="s">
        <v>140</v>
      </c>
      <c r="K333" s="365">
        <v>171.92</v>
      </c>
      <c r="L333" s="475" t="s">
        <v>141</v>
      </c>
      <c r="M333" s="473"/>
    </row>
    <row r="334" spans="1:13" ht="13.5">
      <c r="A334" s="475" t="s">
        <v>5284</v>
      </c>
      <c r="B334" s="475" t="s">
        <v>5285</v>
      </c>
      <c r="C334" s="475" t="s">
        <v>5286</v>
      </c>
      <c r="D334" s="475" t="s">
        <v>5287</v>
      </c>
      <c r="E334" s="476" t="s">
        <v>34</v>
      </c>
      <c r="F334" s="475" t="s">
        <v>34</v>
      </c>
      <c r="G334" s="364">
        <v>83765</v>
      </c>
      <c r="H334" s="475" t="s">
        <v>380</v>
      </c>
      <c r="I334" s="475" t="s">
        <v>100</v>
      </c>
      <c r="J334" s="475" t="s">
        <v>140</v>
      </c>
      <c r="K334" s="365">
        <v>70.760000000000005</v>
      </c>
      <c r="L334" s="475" t="s">
        <v>141</v>
      </c>
      <c r="M334" s="473"/>
    </row>
    <row r="335" spans="1:13" ht="13.5">
      <c r="A335" s="475" t="s">
        <v>5284</v>
      </c>
      <c r="B335" s="475" t="s">
        <v>5285</v>
      </c>
      <c r="C335" s="475" t="s">
        <v>5286</v>
      </c>
      <c r="D335" s="475" t="s">
        <v>5287</v>
      </c>
      <c r="E335" s="476" t="s">
        <v>34</v>
      </c>
      <c r="F335" s="475" t="s">
        <v>34</v>
      </c>
      <c r="G335" s="364">
        <v>87445</v>
      </c>
      <c r="H335" s="475" t="s">
        <v>381</v>
      </c>
      <c r="I335" s="475" t="s">
        <v>100</v>
      </c>
      <c r="J335" s="475" t="s">
        <v>337</v>
      </c>
      <c r="K335" s="365">
        <v>3.1</v>
      </c>
      <c r="L335" s="475" t="s">
        <v>141</v>
      </c>
      <c r="M335" s="473"/>
    </row>
    <row r="336" spans="1:13" ht="13.5">
      <c r="A336" s="475" t="s">
        <v>5284</v>
      </c>
      <c r="B336" s="475" t="s">
        <v>5285</v>
      </c>
      <c r="C336" s="475" t="s">
        <v>5286</v>
      </c>
      <c r="D336" s="475" t="s">
        <v>5287</v>
      </c>
      <c r="E336" s="476" t="s">
        <v>34</v>
      </c>
      <c r="F336" s="475" t="s">
        <v>34</v>
      </c>
      <c r="G336" s="364">
        <v>88386</v>
      </c>
      <c r="H336" s="475" t="s">
        <v>382</v>
      </c>
      <c r="I336" s="475" t="s">
        <v>100</v>
      </c>
      <c r="J336" s="475" t="s">
        <v>337</v>
      </c>
      <c r="K336" s="365">
        <v>3.49</v>
      </c>
      <c r="L336" s="475" t="s">
        <v>141</v>
      </c>
      <c r="M336" s="473"/>
    </row>
    <row r="337" spans="1:13" ht="13.5">
      <c r="A337" s="475" t="s">
        <v>5284</v>
      </c>
      <c r="B337" s="475" t="s">
        <v>5285</v>
      </c>
      <c r="C337" s="475" t="s">
        <v>5286</v>
      </c>
      <c r="D337" s="475" t="s">
        <v>5287</v>
      </c>
      <c r="E337" s="476" t="s">
        <v>34</v>
      </c>
      <c r="F337" s="475" t="s">
        <v>34</v>
      </c>
      <c r="G337" s="364">
        <v>88393</v>
      </c>
      <c r="H337" s="475" t="s">
        <v>383</v>
      </c>
      <c r="I337" s="475" t="s">
        <v>100</v>
      </c>
      <c r="J337" s="475" t="s">
        <v>337</v>
      </c>
      <c r="K337" s="365">
        <v>4.79</v>
      </c>
      <c r="L337" s="475" t="s">
        <v>141</v>
      </c>
      <c r="M337" s="473"/>
    </row>
    <row r="338" spans="1:13" ht="13.5">
      <c r="A338" s="475" t="s">
        <v>5284</v>
      </c>
      <c r="B338" s="475" t="s">
        <v>5285</v>
      </c>
      <c r="C338" s="475" t="s">
        <v>5286</v>
      </c>
      <c r="D338" s="475" t="s">
        <v>5287</v>
      </c>
      <c r="E338" s="476" t="s">
        <v>34</v>
      </c>
      <c r="F338" s="475" t="s">
        <v>34</v>
      </c>
      <c r="G338" s="364">
        <v>88399</v>
      </c>
      <c r="H338" s="475" t="s">
        <v>384</v>
      </c>
      <c r="I338" s="475" t="s">
        <v>100</v>
      </c>
      <c r="J338" s="475" t="s">
        <v>337</v>
      </c>
      <c r="K338" s="365">
        <v>2.59</v>
      </c>
      <c r="L338" s="475" t="s">
        <v>141</v>
      </c>
      <c r="M338" s="473"/>
    </row>
    <row r="339" spans="1:13" ht="13.5">
      <c r="A339" s="475" t="s">
        <v>5284</v>
      </c>
      <c r="B339" s="475" t="s">
        <v>5285</v>
      </c>
      <c r="C339" s="475" t="s">
        <v>5286</v>
      </c>
      <c r="D339" s="475" t="s">
        <v>5287</v>
      </c>
      <c r="E339" s="476" t="s">
        <v>34</v>
      </c>
      <c r="F339" s="475" t="s">
        <v>34</v>
      </c>
      <c r="G339" s="364">
        <v>88418</v>
      </c>
      <c r="H339" s="475" t="s">
        <v>385</v>
      </c>
      <c r="I339" s="475" t="s">
        <v>100</v>
      </c>
      <c r="J339" s="475" t="s">
        <v>337</v>
      </c>
      <c r="K339" s="365">
        <v>11.44</v>
      </c>
      <c r="L339" s="475" t="s">
        <v>141</v>
      </c>
      <c r="M339" s="473"/>
    </row>
    <row r="340" spans="1:13" ht="13.5">
      <c r="A340" s="475" t="s">
        <v>5284</v>
      </c>
      <c r="B340" s="475" t="s">
        <v>5285</v>
      </c>
      <c r="C340" s="475" t="s">
        <v>5286</v>
      </c>
      <c r="D340" s="475" t="s">
        <v>5287</v>
      </c>
      <c r="E340" s="476" t="s">
        <v>34</v>
      </c>
      <c r="F340" s="475" t="s">
        <v>34</v>
      </c>
      <c r="G340" s="364">
        <v>88433</v>
      </c>
      <c r="H340" s="475" t="s">
        <v>386</v>
      </c>
      <c r="I340" s="475" t="s">
        <v>100</v>
      </c>
      <c r="J340" s="475" t="s">
        <v>337</v>
      </c>
      <c r="K340" s="365">
        <v>14.16</v>
      </c>
      <c r="L340" s="475" t="s">
        <v>141</v>
      </c>
      <c r="M340" s="473"/>
    </row>
    <row r="341" spans="1:13" ht="13.5">
      <c r="A341" s="475" t="s">
        <v>5284</v>
      </c>
      <c r="B341" s="475" t="s">
        <v>5285</v>
      </c>
      <c r="C341" s="475" t="s">
        <v>5286</v>
      </c>
      <c r="D341" s="475" t="s">
        <v>5287</v>
      </c>
      <c r="E341" s="476" t="s">
        <v>34</v>
      </c>
      <c r="F341" s="475" t="s">
        <v>34</v>
      </c>
      <c r="G341" s="364">
        <v>88830</v>
      </c>
      <c r="H341" s="475" t="s">
        <v>387</v>
      </c>
      <c r="I341" s="475" t="s">
        <v>100</v>
      </c>
      <c r="J341" s="475" t="s">
        <v>337</v>
      </c>
      <c r="K341" s="365">
        <v>1.28</v>
      </c>
      <c r="L341" s="475" t="s">
        <v>141</v>
      </c>
      <c r="M341" s="473"/>
    </row>
    <row r="342" spans="1:13" ht="13.5">
      <c r="A342" s="475" t="s">
        <v>5284</v>
      </c>
      <c r="B342" s="475" t="s">
        <v>5285</v>
      </c>
      <c r="C342" s="475" t="s">
        <v>5286</v>
      </c>
      <c r="D342" s="475" t="s">
        <v>5287</v>
      </c>
      <c r="E342" s="476" t="s">
        <v>34</v>
      </c>
      <c r="F342" s="475" t="s">
        <v>34</v>
      </c>
      <c r="G342" s="364">
        <v>88843</v>
      </c>
      <c r="H342" s="475" t="s">
        <v>388</v>
      </c>
      <c r="I342" s="475" t="s">
        <v>100</v>
      </c>
      <c r="J342" s="475" t="s">
        <v>140</v>
      </c>
      <c r="K342" s="365">
        <v>133.36000000000001</v>
      </c>
      <c r="L342" s="475" t="s">
        <v>141</v>
      </c>
      <c r="M342" s="473"/>
    </row>
    <row r="343" spans="1:13" ht="13.5">
      <c r="A343" s="475" t="s">
        <v>5284</v>
      </c>
      <c r="B343" s="475" t="s">
        <v>5285</v>
      </c>
      <c r="C343" s="475" t="s">
        <v>5286</v>
      </c>
      <c r="D343" s="475" t="s">
        <v>5287</v>
      </c>
      <c r="E343" s="476" t="s">
        <v>34</v>
      </c>
      <c r="F343" s="475" t="s">
        <v>34</v>
      </c>
      <c r="G343" s="364">
        <v>88907</v>
      </c>
      <c r="H343" s="475" t="s">
        <v>389</v>
      </c>
      <c r="I343" s="475" t="s">
        <v>100</v>
      </c>
      <c r="J343" s="475" t="s">
        <v>140</v>
      </c>
      <c r="K343" s="365">
        <v>158.47999999999999</v>
      </c>
      <c r="L343" s="475" t="s">
        <v>141</v>
      </c>
      <c r="M343" s="473"/>
    </row>
    <row r="344" spans="1:13" ht="13.5">
      <c r="A344" s="475" t="s">
        <v>5284</v>
      </c>
      <c r="B344" s="475" t="s">
        <v>5285</v>
      </c>
      <c r="C344" s="475" t="s">
        <v>5286</v>
      </c>
      <c r="D344" s="475" t="s">
        <v>5287</v>
      </c>
      <c r="E344" s="476" t="s">
        <v>34</v>
      </c>
      <c r="F344" s="475" t="s">
        <v>34</v>
      </c>
      <c r="G344" s="364">
        <v>89021</v>
      </c>
      <c r="H344" s="475" t="s">
        <v>390</v>
      </c>
      <c r="I344" s="475" t="s">
        <v>100</v>
      </c>
      <c r="J344" s="475" t="s">
        <v>337</v>
      </c>
      <c r="K344" s="365">
        <v>1.89</v>
      </c>
      <c r="L344" s="475" t="s">
        <v>141</v>
      </c>
      <c r="M344" s="473"/>
    </row>
    <row r="345" spans="1:13" ht="13.5">
      <c r="A345" s="475" t="s">
        <v>5284</v>
      </c>
      <c r="B345" s="475" t="s">
        <v>5285</v>
      </c>
      <c r="C345" s="475" t="s">
        <v>5286</v>
      </c>
      <c r="D345" s="475" t="s">
        <v>5287</v>
      </c>
      <c r="E345" s="476" t="s">
        <v>34</v>
      </c>
      <c r="F345" s="475" t="s">
        <v>34</v>
      </c>
      <c r="G345" s="364">
        <v>89028</v>
      </c>
      <c r="H345" s="475" t="s">
        <v>391</v>
      </c>
      <c r="I345" s="475" t="s">
        <v>100</v>
      </c>
      <c r="J345" s="475" t="s">
        <v>140</v>
      </c>
      <c r="K345" s="365">
        <v>154.77000000000001</v>
      </c>
      <c r="L345" s="475" t="s">
        <v>141</v>
      </c>
      <c r="M345" s="473"/>
    </row>
    <row r="346" spans="1:13" ht="13.5">
      <c r="A346" s="475" t="s">
        <v>5284</v>
      </c>
      <c r="B346" s="475" t="s">
        <v>5285</v>
      </c>
      <c r="C346" s="475" t="s">
        <v>5286</v>
      </c>
      <c r="D346" s="475" t="s">
        <v>5287</v>
      </c>
      <c r="E346" s="476" t="s">
        <v>34</v>
      </c>
      <c r="F346" s="475" t="s">
        <v>34</v>
      </c>
      <c r="G346" s="364">
        <v>89032</v>
      </c>
      <c r="H346" s="475" t="s">
        <v>392</v>
      </c>
      <c r="I346" s="475" t="s">
        <v>100</v>
      </c>
      <c r="J346" s="475" t="s">
        <v>140</v>
      </c>
      <c r="K346" s="365">
        <v>118.49</v>
      </c>
      <c r="L346" s="475" t="s">
        <v>141</v>
      </c>
      <c r="M346" s="473"/>
    </row>
    <row r="347" spans="1:13" ht="13.5">
      <c r="A347" s="475" t="s">
        <v>5284</v>
      </c>
      <c r="B347" s="475" t="s">
        <v>5285</v>
      </c>
      <c r="C347" s="475" t="s">
        <v>5286</v>
      </c>
      <c r="D347" s="475" t="s">
        <v>5287</v>
      </c>
      <c r="E347" s="476" t="s">
        <v>34</v>
      </c>
      <c r="F347" s="475" t="s">
        <v>34</v>
      </c>
      <c r="G347" s="364">
        <v>89035</v>
      </c>
      <c r="H347" s="475" t="s">
        <v>393</v>
      </c>
      <c r="I347" s="475" t="s">
        <v>100</v>
      </c>
      <c r="J347" s="475" t="s">
        <v>140</v>
      </c>
      <c r="K347" s="365">
        <v>73.14</v>
      </c>
      <c r="L347" s="475" t="s">
        <v>141</v>
      </c>
      <c r="M347" s="473"/>
    </row>
    <row r="348" spans="1:13" ht="13.5">
      <c r="A348" s="475" t="s">
        <v>5284</v>
      </c>
      <c r="B348" s="475" t="s">
        <v>5285</v>
      </c>
      <c r="C348" s="475" t="s">
        <v>5286</v>
      </c>
      <c r="D348" s="475" t="s">
        <v>5287</v>
      </c>
      <c r="E348" s="476" t="s">
        <v>34</v>
      </c>
      <c r="F348" s="475" t="s">
        <v>34</v>
      </c>
      <c r="G348" s="364">
        <v>89225</v>
      </c>
      <c r="H348" s="475" t="s">
        <v>394</v>
      </c>
      <c r="I348" s="475" t="s">
        <v>100</v>
      </c>
      <c r="J348" s="475" t="s">
        <v>337</v>
      </c>
      <c r="K348" s="365">
        <v>3.57</v>
      </c>
      <c r="L348" s="475" t="s">
        <v>141</v>
      </c>
      <c r="M348" s="473"/>
    </row>
    <row r="349" spans="1:13" ht="13.5">
      <c r="A349" s="475" t="s">
        <v>5284</v>
      </c>
      <c r="B349" s="475" t="s">
        <v>5285</v>
      </c>
      <c r="C349" s="475" t="s">
        <v>5286</v>
      </c>
      <c r="D349" s="475" t="s">
        <v>5287</v>
      </c>
      <c r="E349" s="476" t="s">
        <v>34</v>
      </c>
      <c r="F349" s="475" t="s">
        <v>34</v>
      </c>
      <c r="G349" s="364">
        <v>89234</v>
      </c>
      <c r="H349" s="475" t="s">
        <v>395</v>
      </c>
      <c r="I349" s="475" t="s">
        <v>100</v>
      </c>
      <c r="J349" s="475" t="s">
        <v>140</v>
      </c>
      <c r="K349" s="365">
        <v>374.03</v>
      </c>
      <c r="L349" s="475" t="s">
        <v>141</v>
      </c>
      <c r="M349" s="473"/>
    </row>
    <row r="350" spans="1:13" ht="13.5">
      <c r="A350" s="475" t="s">
        <v>5284</v>
      </c>
      <c r="B350" s="475" t="s">
        <v>5285</v>
      </c>
      <c r="C350" s="475" t="s">
        <v>5286</v>
      </c>
      <c r="D350" s="475" t="s">
        <v>5287</v>
      </c>
      <c r="E350" s="476" t="s">
        <v>34</v>
      </c>
      <c r="F350" s="475" t="s">
        <v>34</v>
      </c>
      <c r="G350" s="364">
        <v>89242</v>
      </c>
      <c r="H350" s="475" t="s">
        <v>396</v>
      </c>
      <c r="I350" s="475" t="s">
        <v>100</v>
      </c>
      <c r="J350" s="475" t="s">
        <v>140</v>
      </c>
      <c r="K350" s="365">
        <v>881.74</v>
      </c>
      <c r="L350" s="475" t="s">
        <v>141</v>
      </c>
      <c r="M350" s="473"/>
    </row>
    <row r="351" spans="1:13" ht="13.5">
      <c r="A351" s="475" t="s">
        <v>5284</v>
      </c>
      <c r="B351" s="475" t="s">
        <v>5285</v>
      </c>
      <c r="C351" s="475" t="s">
        <v>5286</v>
      </c>
      <c r="D351" s="475" t="s">
        <v>5287</v>
      </c>
      <c r="E351" s="476" t="s">
        <v>34</v>
      </c>
      <c r="F351" s="475" t="s">
        <v>34</v>
      </c>
      <c r="G351" s="364">
        <v>89250</v>
      </c>
      <c r="H351" s="475" t="s">
        <v>397</v>
      </c>
      <c r="I351" s="475" t="s">
        <v>100</v>
      </c>
      <c r="J351" s="475" t="s">
        <v>140</v>
      </c>
      <c r="K351" s="365">
        <v>740.87</v>
      </c>
      <c r="L351" s="475" t="s">
        <v>141</v>
      </c>
      <c r="M351" s="473"/>
    </row>
    <row r="352" spans="1:13" ht="13.5">
      <c r="A352" s="475" t="s">
        <v>5284</v>
      </c>
      <c r="B352" s="475" t="s">
        <v>5285</v>
      </c>
      <c r="C352" s="475" t="s">
        <v>5286</v>
      </c>
      <c r="D352" s="475" t="s">
        <v>5287</v>
      </c>
      <c r="E352" s="476" t="s">
        <v>34</v>
      </c>
      <c r="F352" s="475" t="s">
        <v>34</v>
      </c>
      <c r="G352" s="364">
        <v>89257</v>
      </c>
      <c r="H352" s="475" t="s">
        <v>398</v>
      </c>
      <c r="I352" s="475" t="s">
        <v>100</v>
      </c>
      <c r="J352" s="475" t="s">
        <v>140</v>
      </c>
      <c r="K352" s="365">
        <v>209.65</v>
      </c>
      <c r="L352" s="475" t="s">
        <v>141</v>
      </c>
      <c r="M352" s="473"/>
    </row>
    <row r="353" spans="1:13" ht="13.5">
      <c r="A353" s="475" t="s">
        <v>5284</v>
      </c>
      <c r="B353" s="475" t="s">
        <v>5285</v>
      </c>
      <c r="C353" s="475" t="s">
        <v>5286</v>
      </c>
      <c r="D353" s="475" t="s">
        <v>5287</v>
      </c>
      <c r="E353" s="476" t="s">
        <v>34</v>
      </c>
      <c r="F353" s="475" t="s">
        <v>34</v>
      </c>
      <c r="G353" s="364">
        <v>89272</v>
      </c>
      <c r="H353" s="475" t="s">
        <v>399</v>
      </c>
      <c r="I353" s="475" t="s">
        <v>100</v>
      </c>
      <c r="J353" s="475" t="s">
        <v>140</v>
      </c>
      <c r="K353" s="365">
        <v>155.55000000000001</v>
      </c>
      <c r="L353" s="475" t="s">
        <v>141</v>
      </c>
      <c r="M353" s="473"/>
    </row>
    <row r="354" spans="1:13" ht="13.5">
      <c r="A354" s="475" t="s">
        <v>5284</v>
      </c>
      <c r="B354" s="475" t="s">
        <v>5285</v>
      </c>
      <c r="C354" s="475" t="s">
        <v>5286</v>
      </c>
      <c r="D354" s="475" t="s">
        <v>5287</v>
      </c>
      <c r="E354" s="476" t="s">
        <v>34</v>
      </c>
      <c r="F354" s="475" t="s">
        <v>34</v>
      </c>
      <c r="G354" s="364">
        <v>89278</v>
      </c>
      <c r="H354" s="475" t="s">
        <v>400</v>
      </c>
      <c r="I354" s="475" t="s">
        <v>100</v>
      </c>
      <c r="J354" s="475" t="s">
        <v>337</v>
      </c>
      <c r="K354" s="365">
        <v>7.27</v>
      </c>
      <c r="L354" s="475" t="s">
        <v>141</v>
      </c>
      <c r="M354" s="473"/>
    </row>
    <row r="355" spans="1:13" ht="13.5">
      <c r="A355" s="475" t="s">
        <v>5284</v>
      </c>
      <c r="B355" s="475" t="s">
        <v>5285</v>
      </c>
      <c r="C355" s="475" t="s">
        <v>5286</v>
      </c>
      <c r="D355" s="475" t="s">
        <v>5287</v>
      </c>
      <c r="E355" s="476" t="s">
        <v>34</v>
      </c>
      <c r="F355" s="475" t="s">
        <v>34</v>
      </c>
      <c r="G355" s="364">
        <v>89843</v>
      </c>
      <c r="H355" s="475" t="s">
        <v>401</v>
      </c>
      <c r="I355" s="475" t="s">
        <v>100</v>
      </c>
      <c r="J355" s="475" t="s">
        <v>140</v>
      </c>
      <c r="K355" s="365">
        <v>144.21</v>
      </c>
      <c r="L355" s="475" t="s">
        <v>141</v>
      </c>
      <c r="M355" s="473"/>
    </row>
    <row r="356" spans="1:13" ht="13.5">
      <c r="A356" s="475" t="s">
        <v>5284</v>
      </c>
      <c r="B356" s="475" t="s">
        <v>5285</v>
      </c>
      <c r="C356" s="475" t="s">
        <v>5286</v>
      </c>
      <c r="D356" s="475" t="s">
        <v>5287</v>
      </c>
      <c r="E356" s="476" t="s">
        <v>34</v>
      </c>
      <c r="F356" s="475" t="s">
        <v>34</v>
      </c>
      <c r="G356" s="364">
        <v>89876</v>
      </c>
      <c r="H356" s="475" t="s">
        <v>402</v>
      </c>
      <c r="I356" s="475" t="s">
        <v>100</v>
      </c>
      <c r="J356" s="475" t="s">
        <v>140</v>
      </c>
      <c r="K356" s="365">
        <v>209.89</v>
      </c>
      <c r="L356" s="475" t="s">
        <v>141</v>
      </c>
      <c r="M356" s="473"/>
    </row>
    <row r="357" spans="1:13" ht="13.5">
      <c r="A357" s="475" t="s">
        <v>5284</v>
      </c>
      <c r="B357" s="475" t="s">
        <v>5285</v>
      </c>
      <c r="C357" s="475" t="s">
        <v>5286</v>
      </c>
      <c r="D357" s="475" t="s">
        <v>5287</v>
      </c>
      <c r="E357" s="476" t="s">
        <v>34</v>
      </c>
      <c r="F357" s="475" t="s">
        <v>34</v>
      </c>
      <c r="G357" s="364">
        <v>89883</v>
      </c>
      <c r="H357" s="475" t="s">
        <v>403</v>
      </c>
      <c r="I357" s="475" t="s">
        <v>100</v>
      </c>
      <c r="J357" s="475" t="s">
        <v>140</v>
      </c>
      <c r="K357" s="365">
        <v>234.58</v>
      </c>
      <c r="L357" s="475" t="s">
        <v>141</v>
      </c>
      <c r="M357" s="473"/>
    </row>
    <row r="358" spans="1:13" ht="13.5">
      <c r="A358" s="475" t="s">
        <v>5284</v>
      </c>
      <c r="B358" s="475" t="s">
        <v>5285</v>
      </c>
      <c r="C358" s="475" t="s">
        <v>5286</v>
      </c>
      <c r="D358" s="475" t="s">
        <v>5287</v>
      </c>
      <c r="E358" s="476" t="s">
        <v>34</v>
      </c>
      <c r="F358" s="475" t="s">
        <v>34</v>
      </c>
      <c r="G358" s="364">
        <v>90586</v>
      </c>
      <c r="H358" s="475" t="s">
        <v>404</v>
      </c>
      <c r="I358" s="475" t="s">
        <v>100</v>
      </c>
      <c r="J358" s="475" t="s">
        <v>140</v>
      </c>
      <c r="K358" s="365">
        <v>1.3</v>
      </c>
      <c r="L358" s="475" t="s">
        <v>141</v>
      </c>
      <c r="M358" s="473"/>
    </row>
    <row r="359" spans="1:13" ht="13.5">
      <c r="A359" s="475" t="s">
        <v>5284</v>
      </c>
      <c r="B359" s="475" t="s">
        <v>5285</v>
      </c>
      <c r="C359" s="475" t="s">
        <v>5286</v>
      </c>
      <c r="D359" s="475" t="s">
        <v>5287</v>
      </c>
      <c r="E359" s="476" t="s">
        <v>34</v>
      </c>
      <c r="F359" s="475" t="s">
        <v>34</v>
      </c>
      <c r="G359" s="364">
        <v>90625</v>
      </c>
      <c r="H359" s="475" t="s">
        <v>405</v>
      </c>
      <c r="I359" s="475" t="s">
        <v>100</v>
      </c>
      <c r="J359" s="475" t="s">
        <v>140</v>
      </c>
      <c r="K359" s="365">
        <v>4.8499999999999996</v>
      </c>
      <c r="L359" s="475" t="s">
        <v>141</v>
      </c>
      <c r="M359" s="473"/>
    </row>
    <row r="360" spans="1:13" ht="13.5">
      <c r="A360" s="475" t="s">
        <v>5284</v>
      </c>
      <c r="B360" s="475" t="s">
        <v>5285</v>
      </c>
      <c r="C360" s="475" t="s">
        <v>5286</v>
      </c>
      <c r="D360" s="475" t="s">
        <v>5287</v>
      </c>
      <c r="E360" s="476" t="s">
        <v>34</v>
      </c>
      <c r="F360" s="475" t="s">
        <v>34</v>
      </c>
      <c r="G360" s="364">
        <v>90631</v>
      </c>
      <c r="H360" s="475" t="s">
        <v>406</v>
      </c>
      <c r="I360" s="475" t="s">
        <v>100</v>
      </c>
      <c r="J360" s="475" t="s">
        <v>140</v>
      </c>
      <c r="K360" s="365">
        <v>81.73</v>
      </c>
      <c r="L360" s="475" t="s">
        <v>141</v>
      </c>
      <c r="M360" s="473"/>
    </row>
    <row r="361" spans="1:13" ht="13.5">
      <c r="A361" s="475" t="s">
        <v>5284</v>
      </c>
      <c r="B361" s="475" t="s">
        <v>5285</v>
      </c>
      <c r="C361" s="475" t="s">
        <v>5286</v>
      </c>
      <c r="D361" s="475" t="s">
        <v>5287</v>
      </c>
      <c r="E361" s="476" t="s">
        <v>34</v>
      </c>
      <c r="F361" s="475" t="s">
        <v>34</v>
      </c>
      <c r="G361" s="364">
        <v>90637</v>
      </c>
      <c r="H361" s="475" t="s">
        <v>407</v>
      </c>
      <c r="I361" s="475" t="s">
        <v>100</v>
      </c>
      <c r="J361" s="475" t="s">
        <v>337</v>
      </c>
      <c r="K361" s="365">
        <v>10.52</v>
      </c>
      <c r="L361" s="475" t="s">
        <v>141</v>
      </c>
      <c r="M361" s="473"/>
    </row>
    <row r="362" spans="1:13" ht="13.5">
      <c r="A362" s="475" t="s">
        <v>5284</v>
      </c>
      <c r="B362" s="475" t="s">
        <v>5285</v>
      </c>
      <c r="C362" s="475" t="s">
        <v>5286</v>
      </c>
      <c r="D362" s="475" t="s">
        <v>5287</v>
      </c>
      <c r="E362" s="476" t="s">
        <v>34</v>
      </c>
      <c r="F362" s="475" t="s">
        <v>34</v>
      </c>
      <c r="G362" s="364">
        <v>90643</v>
      </c>
      <c r="H362" s="475" t="s">
        <v>408</v>
      </c>
      <c r="I362" s="475" t="s">
        <v>100</v>
      </c>
      <c r="J362" s="475" t="s">
        <v>337</v>
      </c>
      <c r="K362" s="365">
        <v>14.91</v>
      </c>
      <c r="L362" s="475" t="s">
        <v>141</v>
      </c>
      <c r="M362" s="473"/>
    </row>
    <row r="363" spans="1:13" ht="13.5">
      <c r="A363" s="475" t="s">
        <v>5284</v>
      </c>
      <c r="B363" s="475" t="s">
        <v>5285</v>
      </c>
      <c r="C363" s="475" t="s">
        <v>5286</v>
      </c>
      <c r="D363" s="475" t="s">
        <v>5287</v>
      </c>
      <c r="E363" s="476" t="s">
        <v>34</v>
      </c>
      <c r="F363" s="475" t="s">
        <v>34</v>
      </c>
      <c r="G363" s="364">
        <v>90650</v>
      </c>
      <c r="H363" s="475" t="s">
        <v>409</v>
      </c>
      <c r="I363" s="475" t="s">
        <v>100</v>
      </c>
      <c r="J363" s="475" t="s">
        <v>337</v>
      </c>
      <c r="K363" s="365">
        <v>7.66</v>
      </c>
      <c r="L363" s="475" t="s">
        <v>141</v>
      </c>
      <c r="M363" s="473"/>
    </row>
    <row r="364" spans="1:13" ht="13.5">
      <c r="A364" s="475" t="s">
        <v>5284</v>
      </c>
      <c r="B364" s="475" t="s">
        <v>5285</v>
      </c>
      <c r="C364" s="475" t="s">
        <v>5286</v>
      </c>
      <c r="D364" s="475" t="s">
        <v>5287</v>
      </c>
      <c r="E364" s="476" t="s">
        <v>34</v>
      </c>
      <c r="F364" s="475" t="s">
        <v>34</v>
      </c>
      <c r="G364" s="364">
        <v>90656</v>
      </c>
      <c r="H364" s="475" t="s">
        <v>410</v>
      </c>
      <c r="I364" s="475" t="s">
        <v>100</v>
      </c>
      <c r="J364" s="475" t="s">
        <v>337</v>
      </c>
      <c r="K364" s="365">
        <v>10.46</v>
      </c>
      <c r="L364" s="475" t="s">
        <v>141</v>
      </c>
      <c r="M364" s="473"/>
    </row>
    <row r="365" spans="1:13" ht="13.5">
      <c r="A365" s="475" t="s">
        <v>5284</v>
      </c>
      <c r="B365" s="475" t="s">
        <v>5285</v>
      </c>
      <c r="C365" s="475" t="s">
        <v>5286</v>
      </c>
      <c r="D365" s="475" t="s">
        <v>5287</v>
      </c>
      <c r="E365" s="476" t="s">
        <v>34</v>
      </c>
      <c r="F365" s="475" t="s">
        <v>34</v>
      </c>
      <c r="G365" s="364">
        <v>90662</v>
      </c>
      <c r="H365" s="475" t="s">
        <v>411</v>
      </c>
      <c r="I365" s="475" t="s">
        <v>100</v>
      </c>
      <c r="J365" s="475" t="s">
        <v>337</v>
      </c>
      <c r="K365" s="365">
        <v>10.9</v>
      </c>
      <c r="L365" s="475" t="s">
        <v>141</v>
      </c>
      <c r="M365" s="473"/>
    </row>
    <row r="366" spans="1:13" ht="13.5">
      <c r="A366" s="475" t="s">
        <v>5284</v>
      </c>
      <c r="B366" s="475" t="s">
        <v>5285</v>
      </c>
      <c r="C366" s="475" t="s">
        <v>5286</v>
      </c>
      <c r="D366" s="475" t="s">
        <v>5287</v>
      </c>
      <c r="E366" s="476" t="s">
        <v>34</v>
      </c>
      <c r="F366" s="475" t="s">
        <v>34</v>
      </c>
      <c r="G366" s="364">
        <v>90668</v>
      </c>
      <c r="H366" s="475" t="s">
        <v>412</v>
      </c>
      <c r="I366" s="475" t="s">
        <v>100</v>
      </c>
      <c r="J366" s="475" t="s">
        <v>140</v>
      </c>
      <c r="K366" s="365">
        <v>18.47</v>
      </c>
      <c r="L366" s="475" t="s">
        <v>141</v>
      </c>
      <c r="M366" s="473"/>
    </row>
    <row r="367" spans="1:13" ht="13.5">
      <c r="A367" s="475" t="s">
        <v>5284</v>
      </c>
      <c r="B367" s="475" t="s">
        <v>5285</v>
      </c>
      <c r="C367" s="475" t="s">
        <v>5286</v>
      </c>
      <c r="D367" s="475" t="s">
        <v>5287</v>
      </c>
      <c r="E367" s="476" t="s">
        <v>34</v>
      </c>
      <c r="F367" s="475" t="s">
        <v>34</v>
      </c>
      <c r="G367" s="364">
        <v>90674</v>
      </c>
      <c r="H367" s="475" t="s">
        <v>413</v>
      </c>
      <c r="I367" s="475" t="s">
        <v>100</v>
      </c>
      <c r="J367" s="475" t="s">
        <v>140</v>
      </c>
      <c r="K367" s="365">
        <v>415.07</v>
      </c>
      <c r="L367" s="475" t="s">
        <v>141</v>
      </c>
      <c r="M367" s="473"/>
    </row>
    <row r="368" spans="1:13" ht="13.5">
      <c r="A368" s="475" t="s">
        <v>5284</v>
      </c>
      <c r="B368" s="475" t="s">
        <v>5285</v>
      </c>
      <c r="C368" s="475" t="s">
        <v>5286</v>
      </c>
      <c r="D368" s="475" t="s">
        <v>5287</v>
      </c>
      <c r="E368" s="476" t="s">
        <v>34</v>
      </c>
      <c r="F368" s="475" t="s">
        <v>34</v>
      </c>
      <c r="G368" s="364">
        <v>90680</v>
      </c>
      <c r="H368" s="475" t="s">
        <v>414</v>
      </c>
      <c r="I368" s="475" t="s">
        <v>100</v>
      </c>
      <c r="J368" s="475" t="s">
        <v>140</v>
      </c>
      <c r="K368" s="365">
        <v>227.34</v>
      </c>
      <c r="L368" s="475" t="s">
        <v>141</v>
      </c>
      <c r="M368" s="473"/>
    </row>
    <row r="369" spans="1:13" ht="13.5">
      <c r="A369" s="475" t="s">
        <v>5284</v>
      </c>
      <c r="B369" s="475" t="s">
        <v>5285</v>
      </c>
      <c r="C369" s="475" t="s">
        <v>5286</v>
      </c>
      <c r="D369" s="475" t="s">
        <v>5287</v>
      </c>
      <c r="E369" s="476" t="s">
        <v>34</v>
      </c>
      <c r="F369" s="475" t="s">
        <v>34</v>
      </c>
      <c r="G369" s="364">
        <v>90686</v>
      </c>
      <c r="H369" s="475" t="s">
        <v>415</v>
      </c>
      <c r="I369" s="475" t="s">
        <v>100</v>
      </c>
      <c r="J369" s="475" t="s">
        <v>140</v>
      </c>
      <c r="K369" s="365">
        <v>121.91</v>
      </c>
      <c r="L369" s="475" t="s">
        <v>141</v>
      </c>
      <c r="M369" s="473"/>
    </row>
    <row r="370" spans="1:13" ht="13.5">
      <c r="A370" s="475" t="s">
        <v>5284</v>
      </c>
      <c r="B370" s="475" t="s">
        <v>5285</v>
      </c>
      <c r="C370" s="475" t="s">
        <v>5286</v>
      </c>
      <c r="D370" s="475" t="s">
        <v>5287</v>
      </c>
      <c r="E370" s="476" t="s">
        <v>34</v>
      </c>
      <c r="F370" s="475" t="s">
        <v>34</v>
      </c>
      <c r="G370" s="364">
        <v>90692</v>
      </c>
      <c r="H370" s="475" t="s">
        <v>416</v>
      </c>
      <c r="I370" s="475" t="s">
        <v>100</v>
      </c>
      <c r="J370" s="475" t="s">
        <v>140</v>
      </c>
      <c r="K370" s="365">
        <v>70.78</v>
      </c>
      <c r="L370" s="475" t="s">
        <v>141</v>
      </c>
      <c r="M370" s="473"/>
    </row>
    <row r="371" spans="1:13" ht="13.5">
      <c r="A371" s="475" t="s">
        <v>5284</v>
      </c>
      <c r="B371" s="475" t="s">
        <v>5285</v>
      </c>
      <c r="C371" s="475" t="s">
        <v>5286</v>
      </c>
      <c r="D371" s="475" t="s">
        <v>5287</v>
      </c>
      <c r="E371" s="476" t="s">
        <v>34</v>
      </c>
      <c r="F371" s="475" t="s">
        <v>34</v>
      </c>
      <c r="G371" s="364">
        <v>90964</v>
      </c>
      <c r="H371" s="475" t="s">
        <v>417</v>
      </c>
      <c r="I371" s="475" t="s">
        <v>100</v>
      </c>
      <c r="J371" s="475" t="s">
        <v>140</v>
      </c>
      <c r="K371" s="365">
        <v>17.559999999999999</v>
      </c>
      <c r="L371" s="475" t="s">
        <v>141</v>
      </c>
      <c r="M371" s="473"/>
    </row>
    <row r="372" spans="1:13" ht="13.5">
      <c r="A372" s="475" t="s">
        <v>5284</v>
      </c>
      <c r="B372" s="475" t="s">
        <v>5285</v>
      </c>
      <c r="C372" s="475" t="s">
        <v>5286</v>
      </c>
      <c r="D372" s="475" t="s">
        <v>5287</v>
      </c>
      <c r="E372" s="476" t="s">
        <v>34</v>
      </c>
      <c r="F372" s="475" t="s">
        <v>34</v>
      </c>
      <c r="G372" s="364">
        <v>90972</v>
      </c>
      <c r="H372" s="475" t="s">
        <v>418</v>
      </c>
      <c r="I372" s="475" t="s">
        <v>100</v>
      </c>
      <c r="J372" s="475" t="s">
        <v>140</v>
      </c>
      <c r="K372" s="365">
        <v>47.33</v>
      </c>
      <c r="L372" s="475" t="s">
        <v>141</v>
      </c>
      <c r="M372" s="473"/>
    </row>
    <row r="373" spans="1:13" ht="13.5">
      <c r="A373" s="475" t="s">
        <v>5284</v>
      </c>
      <c r="B373" s="475" t="s">
        <v>5285</v>
      </c>
      <c r="C373" s="475" t="s">
        <v>5286</v>
      </c>
      <c r="D373" s="475" t="s">
        <v>5287</v>
      </c>
      <c r="E373" s="476" t="s">
        <v>34</v>
      </c>
      <c r="F373" s="475" t="s">
        <v>34</v>
      </c>
      <c r="G373" s="364">
        <v>90979</v>
      </c>
      <c r="H373" s="475" t="s">
        <v>419</v>
      </c>
      <c r="I373" s="475" t="s">
        <v>100</v>
      </c>
      <c r="J373" s="475" t="s">
        <v>140</v>
      </c>
      <c r="K373" s="365">
        <v>122.3</v>
      </c>
      <c r="L373" s="475" t="s">
        <v>141</v>
      </c>
      <c r="M373" s="473"/>
    </row>
    <row r="374" spans="1:13" ht="13.5">
      <c r="A374" s="475" t="s">
        <v>5284</v>
      </c>
      <c r="B374" s="475" t="s">
        <v>5285</v>
      </c>
      <c r="C374" s="475" t="s">
        <v>5286</v>
      </c>
      <c r="D374" s="475" t="s">
        <v>5287</v>
      </c>
      <c r="E374" s="476" t="s">
        <v>34</v>
      </c>
      <c r="F374" s="475" t="s">
        <v>34</v>
      </c>
      <c r="G374" s="364">
        <v>90991</v>
      </c>
      <c r="H374" s="475" t="s">
        <v>420</v>
      </c>
      <c r="I374" s="475" t="s">
        <v>100</v>
      </c>
      <c r="J374" s="475" t="s">
        <v>140</v>
      </c>
      <c r="K374" s="365">
        <v>127.2</v>
      </c>
      <c r="L374" s="475" t="s">
        <v>141</v>
      </c>
      <c r="M374" s="473"/>
    </row>
    <row r="375" spans="1:13" ht="13.5">
      <c r="A375" s="475" t="s">
        <v>5284</v>
      </c>
      <c r="B375" s="475" t="s">
        <v>5285</v>
      </c>
      <c r="C375" s="475" t="s">
        <v>5286</v>
      </c>
      <c r="D375" s="475" t="s">
        <v>5287</v>
      </c>
      <c r="E375" s="476" t="s">
        <v>34</v>
      </c>
      <c r="F375" s="475" t="s">
        <v>34</v>
      </c>
      <c r="G375" s="364">
        <v>90999</v>
      </c>
      <c r="H375" s="475" t="s">
        <v>421</v>
      </c>
      <c r="I375" s="475" t="s">
        <v>100</v>
      </c>
      <c r="J375" s="475" t="s">
        <v>140</v>
      </c>
      <c r="K375" s="365">
        <v>62.91</v>
      </c>
      <c r="L375" s="475" t="s">
        <v>141</v>
      </c>
      <c r="M375" s="473"/>
    </row>
    <row r="376" spans="1:13" ht="13.5">
      <c r="A376" s="475" t="s">
        <v>5284</v>
      </c>
      <c r="B376" s="475" t="s">
        <v>5285</v>
      </c>
      <c r="C376" s="475" t="s">
        <v>5286</v>
      </c>
      <c r="D376" s="475" t="s">
        <v>5287</v>
      </c>
      <c r="E376" s="476" t="s">
        <v>34</v>
      </c>
      <c r="F376" s="475" t="s">
        <v>34</v>
      </c>
      <c r="G376" s="364">
        <v>91031</v>
      </c>
      <c r="H376" s="475" t="s">
        <v>422</v>
      </c>
      <c r="I376" s="475" t="s">
        <v>100</v>
      </c>
      <c r="J376" s="475" t="s">
        <v>140</v>
      </c>
      <c r="K376" s="365">
        <v>164.24</v>
      </c>
      <c r="L376" s="475" t="s">
        <v>141</v>
      </c>
      <c r="M376" s="473"/>
    </row>
    <row r="377" spans="1:13" ht="13.5">
      <c r="A377" s="475" t="s">
        <v>5284</v>
      </c>
      <c r="B377" s="475" t="s">
        <v>5285</v>
      </c>
      <c r="C377" s="475" t="s">
        <v>5286</v>
      </c>
      <c r="D377" s="475" t="s">
        <v>5287</v>
      </c>
      <c r="E377" s="476" t="s">
        <v>34</v>
      </c>
      <c r="F377" s="475" t="s">
        <v>34</v>
      </c>
      <c r="G377" s="364">
        <v>91277</v>
      </c>
      <c r="H377" s="475" t="s">
        <v>423</v>
      </c>
      <c r="I377" s="475" t="s">
        <v>100</v>
      </c>
      <c r="J377" s="475" t="s">
        <v>337</v>
      </c>
      <c r="K377" s="365">
        <v>4.6100000000000003</v>
      </c>
      <c r="L377" s="475" t="s">
        <v>141</v>
      </c>
      <c r="M377" s="473"/>
    </row>
    <row r="378" spans="1:13" ht="13.5">
      <c r="A378" s="475" t="s">
        <v>5284</v>
      </c>
      <c r="B378" s="475" t="s">
        <v>5285</v>
      </c>
      <c r="C378" s="475" t="s">
        <v>5286</v>
      </c>
      <c r="D378" s="475" t="s">
        <v>5287</v>
      </c>
      <c r="E378" s="476" t="s">
        <v>34</v>
      </c>
      <c r="F378" s="475" t="s">
        <v>34</v>
      </c>
      <c r="G378" s="364">
        <v>91283</v>
      </c>
      <c r="H378" s="475" t="s">
        <v>424</v>
      </c>
      <c r="I378" s="475" t="s">
        <v>100</v>
      </c>
      <c r="J378" s="475" t="s">
        <v>337</v>
      </c>
      <c r="K378" s="365">
        <v>9.49</v>
      </c>
      <c r="L378" s="475" t="s">
        <v>141</v>
      </c>
      <c r="M378" s="473"/>
    </row>
    <row r="379" spans="1:13" ht="13.5">
      <c r="A379" s="475" t="s">
        <v>5284</v>
      </c>
      <c r="B379" s="475" t="s">
        <v>5285</v>
      </c>
      <c r="C379" s="475" t="s">
        <v>5286</v>
      </c>
      <c r="D379" s="475" t="s">
        <v>5287</v>
      </c>
      <c r="E379" s="476" t="s">
        <v>34</v>
      </c>
      <c r="F379" s="475" t="s">
        <v>34</v>
      </c>
      <c r="G379" s="364">
        <v>91386</v>
      </c>
      <c r="H379" s="475" t="s">
        <v>425</v>
      </c>
      <c r="I379" s="475" t="s">
        <v>100</v>
      </c>
      <c r="J379" s="475" t="s">
        <v>140</v>
      </c>
      <c r="K379" s="365">
        <v>172.36</v>
      </c>
      <c r="L379" s="475" t="s">
        <v>141</v>
      </c>
      <c r="M379" s="473"/>
    </row>
    <row r="380" spans="1:13" ht="13.5">
      <c r="A380" s="475" t="s">
        <v>5284</v>
      </c>
      <c r="B380" s="475" t="s">
        <v>5285</v>
      </c>
      <c r="C380" s="475" t="s">
        <v>5286</v>
      </c>
      <c r="D380" s="475" t="s">
        <v>5287</v>
      </c>
      <c r="E380" s="476" t="s">
        <v>34</v>
      </c>
      <c r="F380" s="475" t="s">
        <v>34</v>
      </c>
      <c r="G380" s="364">
        <v>91533</v>
      </c>
      <c r="H380" s="475" t="s">
        <v>426</v>
      </c>
      <c r="I380" s="475" t="s">
        <v>100</v>
      </c>
      <c r="J380" s="475" t="s">
        <v>337</v>
      </c>
      <c r="K380" s="365">
        <v>19.37</v>
      </c>
      <c r="L380" s="475" t="s">
        <v>141</v>
      </c>
      <c r="M380" s="473"/>
    </row>
    <row r="381" spans="1:13" ht="13.5">
      <c r="A381" s="475" t="s">
        <v>5284</v>
      </c>
      <c r="B381" s="475" t="s">
        <v>5285</v>
      </c>
      <c r="C381" s="475" t="s">
        <v>5286</v>
      </c>
      <c r="D381" s="475" t="s">
        <v>5287</v>
      </c>
      <c r="E381" s="476" t="s">
        <v>34</v>
      </c>
      <c r="F381" s="475" t="s">
        <v>34</v>
      </c>
      <c r="G381" s="364">
        <v>91634</v>
      </c>
      <c r="H381" s="475" t="s">
        <v>427</v>
      </c>
      <c r="I381" s="475" t="s">
        <v>100</v>
      </c>
      <c r="J381" s="475" t="s">
        <v>140</v>
      </c>
      <c r="K381" s="365">
        <v>122.26</v>
      </c>
      <c r="L381" s="475" t="s">
        <v>141</v>
      </c>
      <c r="M381" s="473"/>
    </row>
    <row r="382" spans="1:13" ht="13.5">
      <c r="A382" s="475" t="s">
        <v>5284</v>
      </c>
      <c r="B382" s="475" t="s">
        <v>5285</v>
      </c>
      <c r="C382" s="475" t="s">
        <v>5286</v>
      </c>
      <c r="D382" s="475" t="s">
        <v>5287</v>
      </c>
      <c r="E382" s="476" t="s">
        <v>34</v>
      </c>
      <c r="F382" s="475" t="s">
        <v>34</v>
      </c>
      <c r="G382" s="364">
        <v>91645</v>
      </c>
      <c r="H382" s="475" t="s">
        <v>428</v>
      </c>
      <c r="I382" s="475" t="s">
        <v>100</v>
      </c>
      <c r="J382" s="475" t="s">
        <v>140</v>
      </c>
      <c r="K382" s="365">
        <v>253.68</v>
      </c>
      <c r="L382" s="475" t="s">
        <v>141</v>
      </c>
      <c r="M382" s="473"/>
    </row>
    <row r="383" spans="1:13" ht="13.5">
      <c r="A383" s="475" t="s">
        <v>5284</v>
      </c>
      <c r="B383" s="475" t="s">
        <v>5285</v>
      </c>
      <c r="C383" s="475" t="s">
        <v>5286</v>
      </c>
      <c r="D383" s="475" t="s">
        <v>5287</v>
      </c>
      <c r="E383" s="476" t="s">
        <v>34</v>
      </c>
      <c r="F383" s="475" t="s">
        <v>34</v>
      </c>
      <c r="G383" s="364">
        <v>91692</v>
      </c>
      <c r="H383" s="475" t="s">
        <v>429</v>
      </c>
      <c r="I383" s="475" t="s">
        <v>100</v>
      </c>
      <c r="J383" s="475" t="s">
        <v>337</v>
      </c>
      <c r="K383" s="365">
        <v>17.29</v>
      </c>
      <c r="L383" s="475" t="s">
        <v>141</v>
      </c>
      <c r="M383" s="473"/>
    </row>
    <row r="384" spans="1:13" ht="13.5">
      <c r="A384" s="475" t="s">
        <v>5284</v>
      </c>
      <c r="B384" s="475" t="s">
        <v>5285</v>
      </c>
      <c r="C384" s="475" t="s">
        <v>5286</v>
      </c>
      <c r="D384" s="475" t="s">
        <v>5287</v>
      </c>
      <c r="E384" s="476" t="s">
        <v>34</v>
      </c>
      <c r="F384" s="475" t="s">
        <v>34</v>
      </c>
      <c r="G384" s="364">
        <v>92043</v>
      </c>
      <c r="H384" s="475" t="s">
        <v>430</v>
      </c>
      <c r="I384" s="475" t="s">
        <v>100</v>
      </c>
      <c r="J384" s="475" t="s">
        <v>140</v>
      </c>
      <c r="K384" s="365">
        <v>8.39</v>
      </c>
      <c r="L384" s="475" t="s">
        <v>141</v>
      </c>
      <c r="M384" s="473"/>
    </row>
    <row r="385" spans="1:13" ht="13.5">
      <c r="A385" s="475" t="s">
        <v>5284</v>
      </c>
      <c r="B385" s="475" t="s">
        <v>5285</v>
      </c>
      <c r="C385" s="475" t="s">
        <v>5286</v>
      </c>
      <c r="D385" s="475" t="s">
        <v>5287</v>
      </c>
      <c r="E385" s="476" t="s">
        <v>34</v>
      </c>
      <c r="F385" s="475" t="s">
        <v>34</v>
      </c>
      <c r="G385" s="364">
        <v>92106</v>
      </c>
      <c r="H385" s="475" t="s">
        <v>431</v>
      </c>
      <c r="I385" s="475" t="s">
        <v>100</v>
      </c>
      <c r="J385" s="475" t="s">
        <v>140</v>
      </c>
      <c r="K385" s="365">
        <v>173.9</v>
      </c>
      <c r="L385" s="475" t="s">
        <v>141</v>
      </c>
      <c r="M385" s="473"/>
    </row>
    <row r="386" spans="1:13" ht="13.5">
      <c r="A386" s="475" t="s">
        <v>5284</v>
      </c>
      <c r="B386" s="475" t="s">
        <v>5285</v>
      </c>
      <c r="C386" s="475" t="s">
        <v>5286</v>
      </c>
      <c r="D386" s="475" t="s">
        <v>5287</v>
      </c>
      <c r="E386" s="476" t="s">
        <v>34</v>
      </c>
      <c r="F386" s="475" t="s">
        <v>34</v>
      </c>
      <c r="G386" s="364">
        <v>92112</v>
      </c>
      <c r="H386" s="475" t="s">
        <v>432</v>
      </c>
      <c r="I386" s="475" t="s">
        <v>100</v>
      </c>
      <c r="J386" s="475" t="s">
        <v>337</v>
      </c>
      <c r="K386" s="365">
        <v>2.1</v>
      </c>
      <c r="L386" s="475" t="s">
        <v>141</v>
      </c>
      <c r="M386" s="473"/>
    </row>
    <row r="387" spans="1:13" ht="13.5">
      <c r="A387" s="475" t="s">
        <v>5284</v>
      </c>
      <c r="B387" s="475" t="s">
        <v>5285</v>
      </c>
      <c r="C387" s="475" t="s">
        <v>5286</v>
      </c>
      <c r="D387" s="475" t="s">
        <v>5287</v>
      </c>
      <c r="E387" s="476" t="s">
        <v>34</v>
      </c>
      <c r="F387" s="475" t="s">
        <v>34</v>
      </c>
      <c r="G387" s="364">
        <v>92118</v>
      </c>
      <c r="H387" s="475" t="s">
        <v>433</v>
      </c>
      <c r="I387" s="475" t="s">
        <v>100</v>
      </c>
      <c r="J387" s="475" t="s">
        <v>337</v>
      </c>
      <c r="K387" s="365">
        <v>0.17</v>
      </c>
      <c r="L387" s="475" t="s">
        <v>141</v>
      </c>
      <c r="M387" s="473"/>
    </row>
    <row r="388" spans="1:13" ht="13.5">
      <c r="A388" s="475" t="s">
        <v>5284</v>
      </c>
      <c r="B388" s="475" t="s">
        <v>5285</v>
      </c>
      <c r="C388" s="475" t="s">
        <v>5286</v>
      </c>
      <c r="D388" s="475" t="s">
        <v>5287</v>
      </c>
      <c r="E388" s="476" t="s">
        <v>34</v>
      </c>
      <c r="F388" s="475" t="s">
        <v>34</v>
      </c>
      <c r="G388" s="364">
        <v>92138</v>
      </c>
      <c r="H388" s="475" t="s">
        <v>434</v>
      </c>
      <c r="I388" s="475" t="s">
        <v>100</v>
      </c>
      <c r="J388" s="475" t="s">
        <v>337</v>
      </c>
      <c r="K388" s="365">
        <v>121.78</v>
      </c>
      <c r="L388" s="475" t="s">
        <v>141</v>
      </c>
      <c r="M388" s="473"/>
    </row>
    <row r="389" spans="1:13" ht="13.5">
      <c r="A389" s="475" t="s">
        <v>5284</v>
      </c>
      <c r="B389" s="475" t="s">
        <v>5285</v>
      </c>
      <c r="C389" s="475" t="s">
        <v>5286</v>
      </c>
      <c r="D389" s="475" t="s">
        <v>5287</v>
      </c>
      <c r="E389" s="476" t="s">
        <v>34</v>
      </c>
      <c r="F389" s="475" t="s">
        <v>34</v>
      </c>
      <c r="G389" s="364">
        <v>92145</v>
      </c>
      <c r="H389" s="475" t="s">
        <v>435</v>
      </c>
      <c r="I389" s="475" t="s">
        <v>100</v>
      </c>
      <c r="J389" s="475" t="s">
        <v>337</v>
      </c>
      <c r="K389" s="365">
        <v>83.1</v>
      </c>
      <c r="L389" s="475" t="s">
        <v>141</v>
      </c>
      <c r="M389" s="473"/>
    </row>
    <row r="390" spans="1:13" ht="13.5">
      <c r="A390" s="475" t="s">
        <v>5284</v>
      </c>
      <c r="B390" s="475" t="s">
        <v>5285</v>
      </c>
      <c r="C390" s="475" t="s">
        <v>5286</v>
      </c>
      <c r="D390" s="475" t="s">
        <v>5287</v>
      </c>
      <c r="E390" s="476" t="s">
        <v>34</v>
      </c>
      <c r="F390" s="475" t="s">
        <v>34</v>
      </c>
      <c r="G390" s="364">
        <v>92242</v>
      </c>
      <c r="H390" s="475" t="s">
        <v>436</v>
      </c>
      <c r="I390" s="475" t="s">
        <v>100</v>
      </c>
      <c r="J390" s="475" t="s">
        <v>140</v>
      </c>
      <c r="K390" s="365">
        <v>223.47</v>
      </c>
      <c r="L390" s="475" t="s">
        <v>141</v>
      </c>
      <c r="M390" s="473"/>
    </row>
    <row r="391" spans="1:13" ht="13.5">
      <c r="A391" s="475" t="s">
        <v>5284</v>
      </c>
      <c r="B391" s="475" t="s">
        <v>5285</v>
      </c>
      <c r="C391" s="475" t="s">
        <v>5286</v>
      </c>
      <c r="D391" s="475" t="s">
        <v>5287</v>
      </c>
      <c r="E391" s="476" t="s">
        <v>34</v>
      </c>
      <c r="F391" s="475" t="s">
        <v>34</v>
      </c>
      <c r="G391" s="364">
        <v>92716</v>
      </c>
      <c r="H391" s="475" t="s">
        <v>437</v>
      </c>
      <c r="I391" s="475" t="s">
        <v>100</v>
      </c>
      <c r="J391" s="475" t="s">
        <v>140</v>
      </c>
      <c r="K391" s="365">
        <v>16.38</v>
      </c>
      <c r="L391" s="475" t="s">
        <v>141</v>
      </c>
      <c r="M391" s="473"/>
    </row>
    <row r="392" spans="1:13" ht="13.5">
      <c r="A392" s="475" t="s">
        <v>5284</v>
      </c>
      <c r="B392" s="475" t="s">
        <v>5285</v>
      </c>
      <c r="C392" s="475" t="s">
        <v>5286</v>
      </c>
      <c r="D392" s="475" t="s">
        <v>5287</v>
      </c>
      <c r="E392" s="476" t="s">
        <v>34</v>
      </c>
      <c r="F392" s="475" t="s">
        <v>34</v>
      </c>
      <c r="G392" s="364">
        <v>92960</v>
      </c>
      <c r="H392" s="475" t="s">
        <v>438</v>
      </c>
      <c r="I392" s="475" t="s">
        <v>100</v>
      </c>
      <c r="J392" s="475" t="s">
        <v>140</v>
      </c>
      <c r="K392" s="365">
        <v>18.41</v>
      </c>
      <c r="L392" s="475" t="s">
        <v>141</v>
      </c>
      <c r="M392" s="473"/>
    </row>
    <row r="393" spans="1:13" ht="13.5">
      <c r="A393" s="475" t="s">
        <v>5284</v>
      </c>
      <c r="B393" s="475" t="s">
        <v>5285</v>
      </c>
      <c r="C393" s="475" t="s">
        <v>5286</v>
      </c>
      <c r="D393" s="475" t="s">
        <v>5287</v>
      </c>
      <c r="E393" s="476" t="s">
        <v>34</v>
      </c>
      <c r="F393" s="475" t="s">
        <v>34</v>
      </c>
      <c r="G393" s="364">
        <v>92966</v>
      </c>
      <c r="H393" s="475" t="s">
        <v>439</v>
      </c>
      <c r="I393" s="475" t="s">
        <v>100</v>
      </c>
      <c r="J393" s="475" t="s">
        <v>140</v>
      </c>
      <c r="K393" s="365">
        <v>17.5</v>
      </c>
      <c r="L393" s="475" t="s">
        <v>141</v>
      </c>
      <c r="M393" s="473"/>
    </row>
    <row r="394" spans="1:13" ht="13.5">
      <c r="A394" s="475" t="s">
        <v>5284</v>
      </c>
      <c r="B394" s="475" t="s">
        <v>5285</v>
      </c>
      <c r="C394" s="475" t="s">
        <v>5286</v>
      </c>
      <c r="D394" s="475" t="s">
        <v>5287</v>
      </c>
      <c r="E394" s="476" t="s">
        <v>34</v>
      </c>
      <c r="F394" s="475" t="s">
        <v>34</v>
      </c>
      <c r="G394" s="364">
        <v>93224</v>
      </c>
      <c r="H394" s="475" t="s">
        <v>440</v>
      </c>
      <c r="I394" s="475" t="s">
        <v>100</v>
      </c>
      <c r="J394" s="475" t="s">
        <v>140</v>
      </c>
      <c r="K394" s="365">
        <v>604.05999999999995</v>
      </c>
      <c r="L394" s="475" t="s">
        <v>141</v>
      </c>
      <c r="M394" s="473"/>
    </row>
    <row r="395" spans="1:13" ht="13.5">
      <c r="A395" s="475" t="s">
        <v>5284</v>
      </c>
      <c r="B395" s="475" t="s">
        <v>5285</v>
      </c>
      <c r="C395" s="475" t="s">
        <v>5286</v>
      </c>
      <c r="D395" s="475" t="s">
        <v>5287</v>
      </c>
      <c r="E395" s="476" t="s">
        <v>34</v>
      </c>
      <c r="F395" s="475" t="s">
        <v>34</v>
      </c>
      <c r="G395" s="364">
        <v>93233</v>
      </c>
      <c r="H395" s="475" t="s">
        <v>441</v>
      </c>
      <c r="I395" s="475" t="s">
        <v>100</v>
      </c>
      <c r="J395" s="475" t="s">
        <v>337</v>
      </c>
      <c r="K395" s="365">
        <v>4.01</v>
      </c>
      <c r="L395" s="475" t="s">
        <v>141</v>
      </c>
      <c r="M395" s="473"/>
    </row>
    <row r="396" spans="1:13" ht="13.5">
      <c r="A396" s="475" t="s">
        <v>5284</v>
      </c>
      <c r="B396" s="475" t="s">
        <v>5285</v>
      </c>
      <c r="C396" s="475" t="s">
        <v>5286</v>
      </c>
      <c r="D396" s="475" t="s">
        <v>5287</v>
      </c>
      <c r="E396" s="476" t="s">
        <v>34</v>
      </c>
      <c r="F396" s="475" t="s">
        <v>34</v>
      </c>
      <c r="G396" s="364">
        <v>93272</v>
      </c>
      <c r="H396" s="475" t="s">
        <v>442</v>
      </c>
      <c r="I396" s="475" t="s">
        <v>100</v>
      </c>
      <c r="J396" s="475" t="s">
        <v>140</v>
      </c>
      <c r="K396" s="365">
        <v>74.81</v>
      </c>
      <c r="L396" s="475" t="s">
        <v>141</v>
      </c>
      <c r="M396" s="473"/>
    </row>
    <row r="397" spans="1:13" ht="13.5">
      <c r="A397" s="475" t="s">
        <v>5284</v>
      </c>
      <c r="B397" s="475" t="s">
        <v>5285</v>
      </c>
      <c r="C397" s="475" t="s">
        <v>5286</v>
      </c>
      <c r="D397" s="475" t="s">
        <v>5287</v>
      </c>
      <c r="E397" s="476" t="s">
        <v>34</v>
      </c>
      <c r="F397" s="475" t="s">
        <v>34</v>
      </c>
      <c r="G397" s="364">
        <v>93281</v>
      </c>
      <c r="H397" s="475" t="s">
        <v>443</v>
      </c>
      <c r="I397" s="475" t="s">
        <v>100</v>
      </c>
      <c r="J397" s="475" t="s">
        <v>140</v>
      </c>
      <c r="K397" s="365">
        <v>16.21</v>
      </c>
      <c r="L397" s="475" t="s">
        <v>141</v>
      </c>
      <c r="M397" s="473"/>
    </row>
    <row r="398" spans="1:13" ht="13.5">
      <c r="A398" s="475" t="s">
        <v>5284</v>
      </c>
      <c r="B398" s="475" t="s">
        <v>5285</v>
      </c>
      <c r="C398" s="475" t="s">
        <v>5286</v>
      </c>
      <c r="D398" s="475" t="s">
        <v>5287</v>
      </c>
      <c r="E398" s="476" t="s">
        <v>34</v>
      </c>
      <c r="F398" s="475" t="s">
        <v>34</v>
      </c>
      <c r="G398" s="364">
        <v>93287</v>
      </c>
      <c r="H398" s="475" t="s">
        <v>444</v>
      </c>
      <c r="I398" s="475" t="s">
        <v>100</v>
      </c>
      <c r="J398" s="475" t="s">
        <v>140</v>
      </c>
      <c r="K398" s="365">
        <v>307.49</v>
      </c>
      <c r="L398" s="475" t="s">
        <v>141</v>
      </c>
      <c r="M398" s="473"/>
    </row>
    <row r="399" spans="1:13" ht="13.5">
      <c r="A399" s="475" t="s">
        <v>5284</v>
      </c>
      <c r="B399" s="475" t="s">
        <v>5285</v>
      </c>
      <c r="C399" s="475" t="s">
        <v>5286</v>
      </c>
      <c r="D399" s="475" t="s">
        <v>5287</v>
      </c>
      <c r="E399" s="476" t="s">
        <v>34</v>
      </c>
      <c r="F399" s="475" t="s">
        <v>34</v>
      </c>
      <c r="G399" s="364">
        <v>93402</v>
      </c>
      <c r="H399" s="475" t="s">
        <v>445</v>
      </c>
      <c r="I399" s="475" t="s">
        <v>100</v>
      </c>
      <c r="J399" s="475" t="s">
        <v>140</v>
      </c>
      <c r="K399" s="365">
        <v>136.38999999999999</v>
      </c>
      <c r="L399" s="475" t="s">
        <v>141</v>
      </c>
      <c r="M399" s="473"/>
    </row>
    <row r="400" spans="1:13" ht="13.5">
      <c r="A400" s="475" t="s">
        <v>5284</v>
      </c>
      <c r="B400" s="475" t="s">
        <v>5285</v>
      </c>
      <c r="C400" s="475" t="s">
        <v>5286</v>
      </c>
      <c r="D400" s="475" t="s">
        <v>5287</v>
      </c>
      <c r="E400" s="476" t="s">
        <v>34</v>
      </c>
      <c r="F400" s="475" t="s">
        <v>34</v>
      </c>
      <c r="G400" s="364">
        <v>93408</v>
      </c>
      <c r="H400" s="475" t="s">
        <v>446</v>
      </c>
      <c r="I400" s="475" t="s">
        <v>100</v>
      </c>
      <c r="J400" s="475" t="s">
        <v>140</v>
      </c>
      <c r="K400" s="365">
        <v>60.96</v>
      </c>
      <c r="L400" s="475" t="s">
        <v>141</v>
      </c>
      <c r="M400" s="473"/>
    </row>
    <row r="401" spans="1:13" ht="13.5">
      <c r="A401" s="475" t="s">
        <v>5284</v>
      </c>
      <c r="B401" s="475" t="s">
        <v>5285</v>
      </c>
      <c r="C401" s="475" t="s">
        <v>5286</v>
      </c>
      <c r="D401" s="475" t="s">
        <v>5287</v>
      </c>
      <c r="E401" s="476" t="s">
        <v>34</v>
      </c>
      <c r="F401" s="475" t="s">
        <v>34</v>
      </c>
      <c r="G401" s="364">
        <v>93415</v>
      </c>
      <c r="H401" s="475" t="s">
        <v>447</v>
      </c>
      <c r="I401" s="475" t="s">
        <v>100</v>
      </c>
      <c r="J401" s="475" t="s">
        <v>140</v>
      </c>
      <c r="K401" s="365">
        <v>8.42</v>
      </c>
      <c r="L401" s="475" t="s">
        <v>141</v>
      </c>
      <c r="M401" s="473"/>
    </row>
    <row r="402" spans="1:13" ht="13.5">
      <c r="A402" s="475" t="s">
        <v>5284</v>
      </c>
      <c r="B402" s="475" t="s">
        <v>5285</v>
      </c>
      <c r="C402" s="475" t="s">
        <v>5286</v>
      </c>
      <c r="D402" s="475" t="s">
        <v>5287</v>
      </c>
      <c r="E402" s="476" t="s">
        <v>34</v>
      </c>
      <c r="F402" s="475" t="s">
        <v>34</v>
      </c>
      <c r="G402" s="364">
        <v>93421</v>
      </c>
      <c r="H402" s="475" t="s">
        <v>448</v>
      </c>
      <c r="I402" s="475" t="s">
        <v>100</v>
      </c>
      <c r="J402" s="475" t="s">
        <v>140</v>
      </c>
      <c r="K402" s="365">
        <v>44.82</v>
      </c>
      <c r="L402" s="475" t="s">
        <v>141</v>
      </c>
      <c r="M402" s="473"/>
    </row>
    <row r="403" spans="1:13" ht="13.5">
      <c r="A403" s="475" t="s">
        <v>5284</v>
      </c>
      <c r="B403" s="475" t="s">
        <v>5285</v>
      </c>
      <c r="C403" s="475" t="s">
        <v>5286</v>
      </c>
      <c r="D403" s="475" t="s">
        <v>5287</v>
      </c>
      <c r="E403" s="476" t="s">
        <v>34</v>
      </c>
      <c r="F403" s="475" t="s">
        <v>34</v>
      </c>
      <c r="G403" s="364">
        <v>93427</v>
      </c>
      <c r="H403" s="475" t="s">
        <v>449</v>
      </c>
      <c r="I403" s="475" t="s">
        <v>100</v>
      </c>
      <c r="J403" s="475" t="s">
        <v>140</v>
      </c>
      <c r="K403" s="365">
        <v>101.52</v>
      </c>
      <c r="L403" s="475" t="s">
        <v>141</v>
      </c>
      <c r="M403" s="473"/>
    </row>
    <row r="404" spans="1:13" ht="13.5">
      <c r="A404" s="475" t="s">
        <v>5284</v>
      </c>
      <c r="B404" s="475" t="s">
        <v>5285</v>
      </c>
      <c r="C404" s="475" t="s">
        <v>5286</v>
      </c>
      <c r="D404" s="475" t="s">
        <v>5287</v>
      </c>
      <c r="E404" s="476" t="s">
        <v>34</v>
      </c>
      <c r="F404" s="475" t="s">
        <v>34</v>
      </c>
      <c r="G404" s="364">
        <v>93433</v>
      </c>
      <c r="H404" s="475" t="s">
        <v>450</v>
      </c>
      <c r="I404" s="475" t="s">
        <v>100</v>
      </c>
      <c r="J404" s="475" t="s">
        <v>140</v>
      </c>
      <c r="K404" s="365">
        <v>2021.47</v>
      </c>
      <c r="L404" s="475" t="s">
        <v>141</v>
      </c>
      <c r="M404" s="473"/>
    </row>
    <row r="405" spans="1:13" ht="13.5">
      <c r="A405" s="475" t="s">
        <v>5284</v>
      </c>
      <c r="B405" s="475" t="s">
        <v>5285</v>
      </c>
      <c r="C405" s="475" t="s">
        <v>5286</v>
      </c>
      <c r="D405" s="475" t="s">
        <v>5287</v>
      </c>
      <c r="E405" s="476" t="s">
        <v>34</v>
      </c>
      <c r="F405" s="475" t="s">
        <v>34</v>
      </c>
      <c r="G405" s="364">
        <v>93439</v>
      </c>
      <c r="H405" s="475" t="s">
        <v>451</v>
      </c>
      <c r="I405" s="475" t="s">
        <v>100</v>
      </c>
      <c r="J405" s="475" t="s">
        <v>140</v>
      </c>
      <c r="K405" s="365">
        <v>101.6</v>
      </c>
      <c r="L405" s="475" t="s">
        <v>141</v>
      </c>
      <c r="M405" s="473"/>
    </row>
    <row r="406" spans="1:13" ht="13.5">
      <c r="A406" s="475" t="s">
        <v>5284</v>
      </c>
      <c r="B406" s="475" t="s">
        <v>5285</v>
      </c>
      <c r="C406" s="475" t="s">
        <v>5286</v>
      </c>
      <c r="D406" s="475" t="s">
        <v>5287</v>
      </c>
      <c r="E406" s="476" t="s">
        <v>34</v>
      </c>
      <c r="F406" s="475" t="s">
        <v>34</v>
      </c>
      <c r="G406" s="364">
        <v>95121</v>
      </c>
      <c r="H406" s="475" t="s">
        <v>452</v>
      </c>
      <c r="I406" s="475" t="s">
        <v>100</v>
      </c>
      <c r="J406" s="475" t="s">
        <v>140</v>
      </c>
      <c r="K406" s="365">
        <v>197.8</v>
      </c>
      <c r="L406" s="475" t="s">
        <v>141</v>
      </c>
      <c r="M406" s="473"/>
    </row>
    <row r="407" spans="1:13" ht="13.5">
      <c r="A407" s="475" t="s">
        <v>5284</v>
      </c>
      <c r="B407" s="475" t="s">
        <v>5285</v>
      </c>
      <c r="C407" s="475" t="s">
        <v>5286</v>
      </c>
      <c r="D407" s="475" t="s">
        <v>5287</v>
      </c>
      <c r="E407" s="476" t="s">
        <v>34</v>
      </c>
      <c r="F407" s="475" t="s">
        <v>34</v>
      </c>
      <c r="G407" s="364">
        <v>95127</v>
      </c>
      <c r="H407" s="475" t="s">
        <v>453</v>
      </c>
      <c r="I407" s="475" t="s">
        <v>100</v>
      </c>
      <c r="J407" s="475" t="s">
        <v>140</v>
      </c>
      <c r="K407" s="365">
        <v>128.18</v>
      </c>
      <c r="L407" s="475" t="s">
        <v>141</v>
      </c>
      <c r="M407" s="473"/>
    </row>
    <row r="408" spans="1:13" ht="13.5">
      <c r="A408" s="475" t="s">
        <v>5284</v>
      </c>
      <c r="B408" s="475" t="s">
        <v>5285</v>
      </c>
      <c r="C408" s="475" t="s">
        <v>5286</v>
      </c>
      <c r="D408" s="475" t="s">
        <v>5287</v>
      </c>
      <c r="E408" s="476" t="s">
        <v>34</v>
      </c>
      <c r="F408" s="475" t="s">
        <v>34</v>
      </c>
      <c r="G408" s="364">
        <v>95133</v>
      </c>
      <c r="H408" s="475" t="s">
        <v>454</v>
      </c>
      <c r="I408" s="475" t="s">
        <v>100</v>
      </c>
      <c r="J408" s="475" t="s">
        <v>140</v>
      </c>
      <c r="K408" s="365">
        <v>101.16</v>
      </c>
      <c r="L408" s="475" t="s">
        <v>141</v>
      </c>
      <c r="M408" s="473"/>
    </row>
    <row r="409" spans="1:13" ht="13.5">
      <c r="A409" s="475" t="s">
        <v>5284</v>
      </c>
      <c r="B409" s="475" t="s">
        <v>5285</v>
      </c>
      <c r="C409" s="475" t="s">
        <v>5286</v>
      </c>
      <c r="D409" s="475" t="s">
        <v>5287</v>
      </c>
      <c r="E409" s="476" t="s">
        <v>34</v>
      </c>
      <c r="F409" s="475" t="s">
        <v>34</v>
      </c>
      <c r="G409" s="364">
        <v>95139</v>
      </c>
      <c r="H409" s="475" t="s">
        <v>455</v>
      </c>
      <c r="I409" s="475" t="s">
        <v>100</v>
      </c>
      <c r="J409" s="475" t="s">
        <v>140</v>
      </c>
      <c r="K409" s="365">
        <v>0.06</v>
      </c>
      <c r="L409" s="475" t="s">
        <v>141</v>
      </c>
      <c r="M409" s="473"/>
    </row>
    <row r="410" spans="1:13" ht="13.5">
      <c r="A410" s="475" t="s">
        <v>5284</v>
      </c>
      <c r="B410" s="475" t="s">
        <v>5285</v>
      </c>
      <c r="C410" s="475" t="s">
        <v>5286</v>
      </c>
      <c r="D410" s="475" t="s">
        <v>5287</v>
      </c>
      <c r="E410" s="476" t="s">
        <v>34</v>
      </c>
      <c r="F410" s="475" t="s">
        <v>34</v>
      </c>
      <c r="G410" s="364">
        <v>95212</v>
      </c>
      <c r="H410" s="475" t="s">
        <v>456</v>
      </c>
      <c r="I410" s="475" t="s">
        <v>100</v>
      </c>
      <c r="J410" s="475" t="s">
        <v>140</v>
      </c>
      <c r="K410" s="365">
        <v>81.92</v>
      </c>
      <c r="L410" s="475" t="s">
        <v>141</v>
      </c>
      <c r="M410" s="473"/>
    </row>
    <row r="411" spans="1:13" ht="13.5">
      <c r="A411" s="475" t="s">
        <v>5284</v>
      </c>
      <c r="B411" s="475" t="s">
        <v>5285</v>
      </c>
      <c r="C411" s="475" t="s">
        <v>5286</v>
      </c>
      <c r="D411" s="475" t="s">
        <v>5287</v>
      </c>
      <c r="E411" s="476" t="s">
        <v>34</v>
      </c>
      <c r="F411" s="475" t="s">
        <v>34</v>
      </c>
      <c r="G411" s="364">
        <v>95218</v>
      </c>
      <c r="H411" s="475" t="s">
        <v>457</v>
      </c>
      <c r="I411" s="475" t="s">
        <v>100</v>
      </c>
      <c r="J411" s="475" t="s">
        <v>337</v>
      </c>
      <c r="K411" s="365">
        <v>21.21</v>
      </c>
      <c r="L411" s="475" t="s">
        <v>141</v>
      </c>
      <c r="M411" s="473"/>
    </row>
    <row r="412" spans="1:13" ht="13.5">
      <c r="A412" s="475" t="s">
        <v>5284</v>
      </c>
      <c r="B412" s="475" t="s">
        <v>5285</v>
      </c>
      <c r="C412" s="475" t="s">
        <v>5286</v>
      </c>
      <c r="D412" s="475" t="s">
        <v>5287</v>
      </c>
      <c r="E412" s="476" t="s">
        <v>34</v>
      </c>
      <c r="F412" s="475" t="s">
        <v>34</v>
      </c>
      <c r="G412" s="364">
        <v>95258</v>
      </c>
      <c r="H412" s="475" t="s">
        <v>458</v>
      </c>
      <c r="I412" s="475" t="s">
        <v>100</v>
      </c>
      <c r="J412" s="475" t="s">
        <v>140</v>
      </c>
      <c r="K412" s="365">
        <v>17.21</v>
      </c>
      <c r="L412" s="475" t="s">
        <v>141</v>
      </c>
      <c r="M412" s="473"/>
    </row>
    <row r="413" spans="1:13" ht="13.5">
      <c r="A413" s="475" t="s">
        <v>5284</v>
      </c>
      <c r="B413" s="475" t="s">
        <v>5285</v>
      </c>
      <c r="C413" s="475" t="s">
        <v>5286</v>
      </c>
      <c r="D413" s="475" t="s">
        <v>5287</v>
      </c>
      <c r="E413" s="476" t="s">
        <v>34</v>
      </c>
      <c r="F413" s="475" t="s">
        <v>34</v>
      </c>
      <c r="G413" s="364">
        <v>95264</v>
      </c>
      <c r="H413" s="475" t="s">
        <v>459</v>
      </c>
      <c r="I413" s="475" t="s">
        <v>100</v>
      </c>
      <c r="J413" s="475" t="s">
        <v>140</v>
      </c>
      <c r="K413" s="365">
        <v>3.36</v>
      </c>
      <c r="L413" s="475" t="s">
        <v>141</v>
      </c>
      <c r="M413" s="473"/>
    </row>
    <row r="414" spans="1:13" ht="13.5">
      <c r="A414" s="475" t="s">
        <v>5284</v>
      </c>
      <c r="B414" s="475" t="s">
        <v>5285</v>
      </c>
      <c r="C414" s="475" t="s">
        <v>5286</v>
      </c>
      <c r="D414" s="475" t="s">
        <v>5287</v>
      </c>
      <c r="E414" s="476" t="s">
        <v>34</v>
      </c>
      <c r="F414" s="475" t="s">
        <v>34</v>
      </c>
      <c r="G414" s="364">
        <v>95270</v>
      </c>
      <c r="H414" s="475" t="s">
        <v>460</v>
      </c>
      <c r="I414" s="475" t="s">
        <v>100</v>
      </c>
      <c r="J414" s="475" t="s">
        <v>140</v>
      </c>
      <c r="K414" s="365">
        <v>4.32</v>
      </c>
      <c r="L414" s="475" t="s">
        <v>141</v>
      </c>
      <c r="M414" s="473"/>
    </row>
    <row r="415" spans="1:13" ht="13.5">
      <c r="A415" s="475" t="s">
        <v>5284</v>
      </c>
      <c r="B415" s="475" t="s">
        <v>5285</v>
      </c>
      <c r="C415" s="475" t="s">
        <v>5286</v>
      </c>
      <c r="D415" s="475" t="s">
        <v>5287</v>
      </c>
      <c r="E415" s="476" t="s">
        <v>34</v>
      </c>
      <c r="F415" s="475" t="s">
        <v>34</v>
      </c>
      <c r="G415" s="364">
        <v>95276</v>
      </c>
      <c r="H415" s="475" t="s">
        <v>461</v>
      </c>
      <c r="I415" s="475" t="s">
        <v>100</v>
      </c>
      <c r="J415" s="475" t="s">
        <v>140</v>
      </c>
      <c r="K415" s="365">
        <v>2.4700000000000002</v>
      </c>
      <c r="L415" s="475" t="s">
        <v>141</v>
      </c>
      <c r="M415" s="473"/>
    </row>
    <row r="416" spans="1:13" ht="13.5">
      <c r="A416" s="475" t="s">
        <v>5284</v>
      </c>
      <c r="B416" s="475" t="s">
        <v>5285</v>
      </c>
      <c r="C416" s="475" t="s">
        <v>5286</v>
      </c>
      <c r="D416" s="475" t="s">
        <v>5287</v>
      </c>
      <c r="E416" s="476" t="s">
        <v>34</v>
      </c>
      <c r="F416" s="475" t="s">
        <v>34</v>
      </c>
      <c r="G416" s="364">
        <v>95282</v>
      </c>
      <c r="H416" s="475" t="s">
        <v>462</v>
      </c>
      <c r="I416" s="475" t="s">
        <v>100</v>
      </c>
      <c r="J416" s="475" t="s">
        <v>140</v>
      </c>
      <c r="K416" s="365">
        <v>4.3</v>
      </c>
      <c r="L416" s="475" t="s">
        <v>141</v>
      </c>
      <c r="M416" s="473"/>
    </row>
    <row r="417" spans="1:13" ht="13.5">
      <c r="A417" s="475" t="s">
        <v>5284</v>
      </c>
      <c r="B417" s="475" t="s">
        <v>5285</v>
      </c>
      <c r="C417" s="475" t="s">
        <v>5286</v>
      </c>
      <c r="D417" s="475" t="s">
        <v>5287</v>
      </c>
      <c r="E417" s="476" t="s">
        <v>34</v>
      </c>
      <c r="F417" s="475" t="s">
        <v>34</v>
      </c>
      <c r="G417" s="364">
        <v>95620</v>
      </c>
      <c r="H417" s="475" t="s">
        <v>463</v>
      </c>
      <c r="I417" s="475" t="s">
        <v>100</v>
      </c>
      <c r="J417" s="475" t="s">
        <v>140</v>
      </c>
      <c r="K417" s="365">
        <v>16.87</v>
      </c>
      <c r="L417" s="475" t="s">
        <v>141</v>
      </c>
      <c r="M417" s="473"/>
    </row>
    <row r="418" spans="1:13" ht="13.5">
      <c r="A418" s="475" t="s">
        <v>5284</v>
      </c>
      <c r="B418" s="475" t="s">
        <v>5285</v>
      </c>
      <c r="C418" s="475" t="s">
        <v>5286</v>
      </c>
      <c r="D418" s="475" t="s">
        <v>5287</v>
      </c>
      <c r="E418" s="476" t="s">
        <v>34</v>
      </c>
      <c r="F418" s="475" t="s">
        <v>34</v>
      </c>
      <c r="G418" s="364">
        <v>95631</v>
      </c>
      <c r="H418" s="475" t="s">
        <v>464</v>
      </c>
      <c r="I418" s="475" t="s">
        <v>100</v>
      </c>
      <c r="J418" s="475" t="s">
        <v>140</v>
      </c>
      <c r="K418" s="365">
        <v>131.71</v>
      </c>
      <c r="L418" s="475" t="s">
        <v>141</v>
      </c>
      <c r="M418" s="473"/>
    </row>
    <row r="419" spans="1:13" ht="13.5">
      <c r="A419" s="475" t="s">
        <v>5284</v>
      </c>
      <c r="B419" s="475" t="s">
        <v>5285</v>
      </c>
      <c r="C419" s="475" t="s">
        <v>5286</v>
      </c>
      <c r="D419" s="475" t="s">
        <v>5287</v>
      </c>
      <c r="E419" s="476" t="s">
        <v>34</v>
      </c>
      <c r="F419" s="475" t="s">
        <v>34</v>
      </c>
      <c r="G419" s="364">
        <v>95702</v>
      </c>
      <c r="H419" s="475" t="s">
        <v>465</v>
      </c>
      <c r="I419" s="475" t="s">
        <v>100</v>
      </c>
      <c r="J419" s="475" t="s">
        <v>140</v>
      </c>
      <c r="K419" s="365">
        <v>23.36</v>
      </c>
      <c r="L419" s="475" t="s">
        <v>141</v>
      </c>
      <c r="M419" s="473"/>
    </row>
    <row r="420" spans="1:13" ht="13.5">
      <c r="A420" s="475" t="s">
        <v>5284</v>
      </c>
      <c r="B420" s="475" t="s">
        <v>5285</v>
      </c>
      <c r="C420" s="475" t="s">
        <v>5286</v>
      </c>
      <c r="D420" s="475" t="s">
        <v>5287</v>
      </c>
      <c r="E420" s="476" t="s">
        <v>34</v>
      </c>
      <c r="F420" s="475" t="s">
        <v>34</v>
      </c>
      <c r="G420" s="364">
        <v>95708</v>
      </c>
      <c r="H420" s="475" t="s">
        <v>466</v>
      </c>
      <c r="I420" s="475" t="s">
        <v>100</v>
      </c>
      <c r="J420" s="475" t="s">
        <v>140</v>
      </c>
      <c r="K420" s="365">
        <v>93.97</v>
      </c>
      <c r="L420" s="475" t="s">
        <v>141</v>
      </c>
      <c r="M420" s="473"/>
    </row>
    <row r="421" spans="1:13" ht="13.5">
      <c r="A421" s="475" t="s">
        <v>5284</v>
      </c>
      <c r="B421" s="475" t="s">
        <v>5285</v>
      </c>
      <c r="C421" s="475" t="s">
        <v>5286</v>
      </c>
      <c r="D421" s="475" t="s">
        <v>5287</v>
      </c>
      <c r="E421" s="476" t="s">
        <v>34</v>
      </c>
      <c r="F421" s="475" t="s">
        <v>34</v>
      </c>
      <c r="G421" s="364">
        <v>95714</v>
      </c>
      <c r="H421" s="475" t="s">
        <v>467</v>
      </c>
      <c r="I421" s="475" t="s">
        <v>100</v>
      </c>
      <c r="J421" s="475" t="s">
        <v>140</v>
      </c>
      <c r="K421" s="365">
        <v>161.91</v>
      </c>
      <c r="L421" s="475" t="s">
        <v>141</v>
      </c>
      <c r="M421" s="473"/>
    </row>
    <row r="422" spans="1:13" ht="13.5">
      <c r="A422" s="475" t="s">
        <v>5284</v>
      </c>
      <c r="B422" s="475" t="s">
        <v>5285</v>
      </c>
      <c r="C422" s="475" t="s">
        <v>5286</v>
      </c>
      <c r="D422" s="475" t="s">
        <v>5287</v>
      </c>
      <c r="E422" s="476" t="s">
        <v>34</v>
      </c>
      <c r="F422" s="475" t="s">
        <v>34</v>
      </c>
      <c r="G422" s="364">
        <v>95720</v>
      </c>
      <c r="H422" s="475" t="s">
        <v>468</v>
      </c>
      <c r="I422" s="475" t="s">
        <v>100</v>
      </c>
      <c r="J422" s="475" t="s">
        <v>140</v>
      </c>
      <c r="K422" s="365">
        <v>159.41</v>
      </c>
      <c r="L422" s="475" t="s">
        <v>141</v>
      </c>
      <c r="M422" s="473"/>
    </row>
    <row r="423" spans="1:13" ht="13.5">
      <c r="A423" s="475" t="s">
        <v>5284</v>
      </c>
      <c r="B423" s="475" t="s">
        <v>5285</v>
      </c>
      <c r="C423" s="475" t="s">
        <v>5286</v>
      </c>
      <c r="D423" s="475" t="s">
        <v>5287</v>
      </c>
      <c r="E423" s="476" t="s">
        <v>34</v>
      </c>
      <c r="F423" s="475" t="s">
        <v>34</v>
      </c>
      <c r="G423" s="364">
        <v>95872</v>
      </c>
      <c r="H423" s="475" t="s">
        <v>469</v>
      </c>
      <c r="I423" s="475" t="s">
        <v>100</v>
      </c>
      <c r="J423" s="475" t="s">
        <v>140</v>
      </c>
      <c r="K423" s="365">
        <v>172.12</v>
      </c>
      <c r="L423" s="475" t="s">
        <v>141</v>
      </c>
      <c r="M423" s="473"/>
    </row>
    <row r="424" spans="1:13" ht="13.5">
      <c r="A424" s="475" t="s">
        <v>5284</v>
      </c>
      <c r="B424" s="475" t="s">
        <v>5285</v>
      </c>
      <c r="C424" s="475" t="s">
        <v>5286</v>
      </c>
      <c r="D424" s="475" t="s">
        <v>5287</v>
      </c>
      <c r="E424" s="476" t="s">
        <v>34</v>
      </c>
      <c r="F424" s="475" t="s">
        <v>34</v>
      </c>
      <c r="G424" s="364">
        <v>96013</v>
      </c>
      <c r="H424" s="475" t="s">
        <v>470</v>
      </c>
      <c r="I424" s="475" t="s">
        <v>100</v>
      </c>
      <c r="J424" s="475" t="s">
        <v>140</v>
      </c>
      <c r="K424" s="365">
        <v>101.65</v>
      </c>
      <c r="L424" s="475" t="s">
        <v>141</v>
      </c>
      <c r="M424" s="473"/>
    </row>
    <row r="425" spans="1:13" ht="13.5">
      <c r="A425" s="475" t="s">
        <v>5284</v>
      </c>
      <c r="B425" s="475" t="s">
        <v>5285</v>
      </c>
      <c r="C425" s="475" t="s">
        <v>5286</v>
      </c>
      <c r="D425" s="475" t="s">
        <v>5287</v>
      </c>
      <c r="E425" s="476" t="s">
        <v>34</v>
      </c>
      <c r="F425" s="475" t="s">
        <v>34</v>
      </c>
      <c r="G425" s="364">
        <v>96020</v>
      </c>
      <c r="H425" s="475" t="s">
        <v>471</v>
      </c>
      <c r="I425" s="475" t="s">
        <v>100</v>
      </c>
      <c r="J425" s="475" t="s">
        <v>140</v>
      </c>
      <c r="K425" s="365">
        <v>101.4</v>
      </c>
      <c r="L425" s="475" t="s">
        <v>141</v>
      </c>
      <c r="M425" s="473"/>
    </row>
    <row r="426" spans="1:13" ht="13.5">
      <c r="A426" s="475" t="s">
        <v>5284</v>
      </c>
      <c r="B426" s="475" t="s">
        <v>5285</v>
      </c>
      <c r="C426" s="475" t="s">
        <v>5286</v>
      </c>
      <c r="D426" s="475" t="s">
        <v>5287</v>
      </c>
      <c r="E426" s="476" t="s">
        <v>34</v>
      </c>
      <c r="F426" s="475" t="s">
        <v>34</v>
      </c>
      <c r="G426" s="364">
        <v>96028</v>
      </c>
      <c r="H426" s="475" t="s">
        <v>472</v>
      </c>
      <c r="I426" s="475" t="s">
        <v>100</v>
      </c>
      <c r="J426" s="475" t="s">
        <v>140</v>
      </c>
      <c r="K426" s="365">
        <v>77.3</v>
      </c>
      <c r="L426" s="475" t="s">
        <v>141</v>
      </c>
      <c r="M426" s="473"/>
    </row>
    <row r="427" spans="1:13" ht="13.5">
      <c r="A427" s="475" t="s">
        <v>5284</v>
      </c>
      <c r="B427" s="475" t="s">
        <v>5285</v>
      </c>
      <c r="C427" s="475" t="s">
        <v>5286</v>
      </c>
      <c r="D427" s="475" t="s">
        <v>5287</v>
      </c>
      <c r="E427" s="476" t="s">
        <v>34</v>
      </c>
      <c r="F427" s="475" t="s">
        <v>34</v>
      </c>
      <c r="G427" s="364">
        <v>96035</v>
      </c>
      <c r="H427" s="475" t="s">
        <v>473</v>
      </c>
      <c r="I427" s="475" t="s">
        <v>100</v>
      </c>
      <c r="J427" s="475" t="s">
        <v>140</v>
      </c>
      <c r="K427" s="365">
        <v>179.91</v>
      </c>
      <c r="L427" s="475" t="s">
        <v>141</v>
      </c>
      <c r="M427" s="473"/>
    </row>
    <row r="428" spans="1:13" ht="13.5">
      <c r="A428" s="475" t="s">
        <v>5284</v>
      </c>
      <c r="B428" s="475" t="s">
        <v>5285</v>
      </c>
      <c r="C428" s="475" t="s">
        <v>5286</v>
      </c>
      <c r="D428" s="475" t="s">
        <v>5287</v>
      </c>
      <c r="E428" s="476" t="s">
        <v>34</v>
      </c>
      <c r="F428" s="475" t="s">
        <v>34</v>
      </c>
      <c r="G428" s="364">
        <v>96157</v>
      </c>
      <c r="H428" s="475" t="s">
        <v>474</v>
      </c>
      <c r="I428" s="475" t="s">
        <v>100</v>
      </c>
      <c r="J428" s="475" t="s">
        <v>140</v>
      </c>
      <c r="K428" s="365">
        <v>77.55</v>
      </c>
      <c r="L428" s="475" t="s">
        <v>141</v>
      </c>
      <c r="M428" s="473"/>
    </row>
    <row r="429" spans="1:13" ht="13.5">
      <c r="A429" s="475" t="s">
        <v>5284</v>
      </c>
      <c r="B429" s="475" t="s">
        <v>5285</v>
      </c>
      <c r="C429" s="475" t="s">
        <v>5286</v>
      </c>
      <c r="D429" s="475" t="s">
        <v>5287</v>
      </c>
      <c r="E429" s="476" t="s">
        <v>34</v>
      </c>
      <c r="F429" s="475" t="s">
        <v>34</v>
      </c>
      <c r="G429" s="364">
        <v>96158</v>
      </c>
      <c r="H429" s="475" t="s">
        <v>475</v>
      </c>
      <c r="I429" s="475" t="s">
        <v>100</v>
      </c>
      <c r="J429" s="475" t="s">
        <v>140</v>
      </c>
      <c r="K429" s="365">
        <v>77.66</v>
      </c>
      <c r="L429" s="475" t="s">
        <v>141</v>
      </c>
      <c r="M429" s="473"/>
    </row>
    <row r="430" spans="1:13" ht="13.5">
      <c r="A430" s="475" t="s">
        <v>5284</v>
      </c>
      <c r="B430" s="475" t="s">
        <v>5285</v>
      </c>
      <c r="C430" s="475" t="s">
        <v>5286</v>
      </c>
      <c r="D430" s="475" t="s">
        <v>5287</v>
      </c>
      <c r="E430" s="476" t="s">
        <v>34</v>
      </c>
      <c r="F430" s="475" t="s">
        <v>34</v>
      </c>
      <c r="G430" s="364">
        <v>96245</v>
      </c>
      <c r="H430" s="475" t="s">
        <v>476</v>
      </c>
      <c r="I430" s="475" t="s">
        <v>100</v>
      </c>
      <c r="J430" s="475" t="s">
        <v>140</v>
      </c>
      <c r="K430" s="365">
        <v>67.05</v>
      </c>
      <c r="L430" s="475" t="s">
        <v>141</v>
      </c>
      <c r="M430" s="473"/>
    </row>
    <row r="431" spans="1:13" ht="13.5">
      <c r="A431" s="475" t="s">
        <v>5284</v>
      </c>
      <c r="B431" s="475" t="s">
        <v>5285</v>
      </c>
      <c r="C431" s="475" t="s">
        <v>5286</v>
      </c>
      <c r="D431" s="475" t="s">
        <v>5287</v>
      </c>
      <c r="E431" s="476" t="s">
        <v>34</v>
      </c>
      <c r="F431" s="475" t="s">
        <v>34</v>
      </c>
      <c r="G431" s="364">
        <v>96303</v>
      </c>
      <c r="H431" s="475" t="s">
        <v>477</v>
      </c>
      <c r="I431" s="475" t="s">
        <v>100</v>
      </c>
      <c r="J431" s="475" t="s">
        <v>140</v>
      </c>
      <c r="K431" s="365">
        <v>156.66</v>
      </c>
      <c r="L431" s="475" t="s">
        <v>141</v>
      </c>
      <c r="M431" s="473"/>
    </row>
    <row r="432" spans="1:13" ht="13.5">
      <c r="A432" s="475" t="s">
        <v>5284</v>
      </c>
      <c r="B432" s="475" t="s">
        <v>5285</v>
      </c>
      <c r="C432" s="475" t="s">
        <v>5286</v>
      </c>
      <c r="D432" s="475" t="s">
        <v>5287</v>
      </c>
      <c r="E432" s="476" t="s">
        <v>34</v>
      </c>
      <c r="F432" s="475" t="s">
        <v>34</v>
      </c>
      <c r="G432" s="364">
        <v>96309</v>
      </c>
      <c r="H432" s="475" t="s">
        <v>478</v>
      </c>
      <c r="I432" s="475" t="s">
        <v>100</v>
      </c>
      <c r="J432" s="475" t="s">
        <v>140</v>
      </c>
      <c r="K432" s="365">
        <v>1.1100000000000001</v>
      </c>
      <c r="L432" s="475" t="s">
        <v>141</v>
      </c>
      <c r="M432" s="473"/>
    </row>
    <row r="433" spans="1:13" ht="13.5">
      <c r="A433" s="475" t="s">
        <v>5284</v>
      </c>
      <c r="B433" s="475" t="s">
        <v>5285</v>
      </c>
      <c r="C433" s="475" t="s">
        <v>5286</v>
      </c>
      <c r="D433" s="475" t="s">
        <v>5287</v>
      </c>
      <c r="E433" s="476" t="s">
        <v>34</v>
      </c>
      <c r="F433" s="475" t="s">
        <v>34</v>
      </c>
      <c r="G433" s="364">
        <v>96463</v>
      </c>
      <c r="H433" s="475" t="s">
        <v>479</v>
      </c>
      <c r="I433" s="475" t="s">
        <v>100</v>
      </c>
      <c r="J433" s="475" t="s">
        <v>140</v>
      </c>
      <c r="K433" s="365">
        <v>130.26</v>
      </c>
      <c r="L433" s="475" t="s">
        <v>141</v>
      </c>
      <c r="M433" s="473"/>
    </row>
    <row r="434" spans="1:13" ht="13.5">
      <c r="A434" s="475" t="s">
        <v>5284</v>
      </c>
      <c r="B434" s="475" t="s">
        <v>5285</v>
      </c>
      <c r="C434" s="475" t="s">
        <v>5286</v>
      </c>
      <c r="D434" s="475" t="s">
        <v>5287</v>
      </c>
      <c r="E434" s="476" t="s">
        <v>34</v>
      </c>
      <c r="F434" s="475" t="s">
        <v>34</v>
      </c>
      <c r="G434" s="364">
        <v>98764</v>
      </c>
      <c r="H434" s="475" t="s">
        <v>7447</v>
      </c>
      <c r="I434" s="475" t="s">
        <v>100</v>
      </c>
      <c r="J434" s="475" t="s">
        <v>140</v>
      </c>
      <c r="K434" s="365">
        <v>3.18</v>
      </c>
      <c r="L434" s="475" t="s">
        <v>141</v>
      </c>
      <c r="M434" s="473"/>
    </row>
    <row r="435" spans="1:13" ht="13.5">
      <c r="A435" s="475" t="s">
        <v>5284</v>
      </c>
      <c r="B435" s="475" t="s">
        <v>5285</v>
      </c>
      <c r="C435" s="475" t="s">
        <v>5286</v>
      </c>
      <c r="D435" s="475" t="s">
        <v>5287</v>
      </c>
      <c r="E435" s="476" t="s">
        <v>34</v>
      </c>
      <c r="F435" s="475" t="s">
        <v>34</v>
      </c>
      <c r="G435" s="364">
        <v>99833</v>
      </c>
      <c r="H435" s="475" t="s">
        <v>14984</v>
      </c>
      <c r="I435" s="475" t="s">
        <v>100</v>
      </c>
      <c r="J435" s="475" t="s">
        <v>337</v>
      </c>
      <c r="K435" s="365">
        <v>1.08</v>
      </c>
      <c r="L435" s="475" t="s">
        <v>141</v>
      </c>
      <c r="M435" s="473"/>
    </row>
    <row r="436" spans="1:13" ht="13.5">
      <c r="A436" s="475" t="s">
        <v>5284</v>
      </c>
      <c r="B436" s="475" t="s">
        <v>5285</v>
      </c>
      <c r="C436" s="475" t="s">
        <v>5288</v>
      </c>
      <c r="D436" s="475" t="s">
        <v>5289</v>
      </c>
      <c r="E436" s="476" t="s">
        <v>34</v>
      </c>
      <c r="F436" s="475" t="s">
        <v>34</v>
      </c>
      <c r="G436" s="364">
        <v>5632</v>
      </c>
      <c r="H436" s="475" t="s">
        <v>480</v>
      </c>
      <c r="I436" s="475" t="s">
        <v>101</v>
      </c>
      <c r="J436" s="475" t="s">
        <v>140</v>
      </c>
      <c r="K436" s="365">
        <v>47</v>
      </c>
      <c r="L436" s="475" t="s">
        <v>141</v>
      </c>
      <c r="M436" s="473"/>
    </row>
    <row r="437" spans="1:13" ht="13.5">
      <c r="A437" s="475" t="s">
        <v>5284</v>
      </c>
      <c r="B437" s="475" t="s">
        <v>5285</v>
      </c>
      <c r="C437" s="475" t="s">
        <v>5288</v>
      </c>
      <c r="D437" s="475" t="s">
        <v>5289</v>
      </c>
      <c r="E437" s="476" t="s">
        <v>34</v>
      </c>
      <c r="F437" s="475" t="s">
        <v>34</v>
      </c>
      <c r="G437" s="364">
        <v>5679</v>
      </c>
      <c r="H437" s="475" t="s">
        <v>481</v>
      </c>
      <c r="I437" s="475" t="s">
        <v>101</v>
      </c>
      <c r="J437" s="475" t="s">
        <v>140</v>
      </c>
      <c r="K437" s="365">
        <v>35.51</v>
      </c>
      <c r="L437" s="475" t="s">
        <v>141</v>
      </c>
      <c r="M437" s="473"/>
    </row>
    <row r="438" spans="1:13" ht="13.5">
      <c r="A438" s="475" t="s">
        <v>5284</v>
      </c>
      <c r="B438" s="475" t="s">
        <v>5285</v>
      </c>
      <c r="C438" s="475" t="s">
        <v>5288</v>
      </c>
      <c r="D438" s="475" t="s">
        <v>5289</v>
      </c>
      <c r="E438" s="476" t="s">
        <v>34</v>
      </c>
      <c r="F438" s="475" t="s">
        <v>34</v>
      </c>
      <c r="G438" s="364">
        <v>5681</v>
      </c>
      <c r="H438" s="475" t="s">
        <v>482</v>
      </c>
      <c r="I438" s="475" t="s">
        <v>101</v>
      </c>
      <c r="J438" s="475" t="s">
        <v>140</v>
      </c>
      <c r="K438" s="365">
        <v>33.61</v>
      </c>
      <c r="L438" s="475" t="s">
        <v>141</v>
      </c>
      <c r="M438" s="473"/>
    </row>
    <row r="439" spans="1:13" ht="13.5">
      <c r="A439" s="475" t="s">
        <v>5284</v>
      </c>
      <c r="B439" s="475" t="s">
        <v>5285</v>
      </c>
      <c r="C439" s="475" t="s">
        <v>5288</v>
      </c>
      <c r="D439" s="475" t="s">
        <v>5289</v>
      </c>
      <c r="E439" s="476" t="s">
        <v>34</v>
      </c>
      <c r="F439" s="475" t="s">
        <v>34</v>
      </c>
      <c r="G439" s="364">
        <v>5685</v>
      </c>
      <c r="H439" s="475" t="s">
        <v>483</v>
      </c>
      <c r="I439" s="475" t="s">
        <v>101</v>
      </c>
      <c r="J439" s="475" t="s">
        <v>140</v>
      </c>
      <c r="K439" s="365">
        <v>33.51</v>
      </c>
      <c r="L439" s="475" t="s">
        <v>141</v>
      </c>
      <c r="M439" s="473"/>
    </row>
    <row r="440" spans="1:13" ht="13.5">
      <c r="A440" s="475" t="s">
        <v>5284</v>
      </c>
      <c r="B440" s="475" t="s">
        <v>5285</v>
      </c>
      <c r="C440" s="475" t="s">
        <v>5288</v>
      </c>
      <c r="D440" s="475" t="s">
        <v>5289</v>
      </c>
      <c r="E440" s="476" t="s">
        <v>34</v>
      </c>
      <c r="F440" s="475" t="s">
        <v>34</v>
      </c>
      <c r="G440" s="364">
        <v>5690</v>
      </c>
      <c r="H440" s="475" t="s">
        <v>484</v>
      </c>
      <c r="I440" s="475" t="s">
        <v>101</v>
      </c>
      <c r="J440" s="475" t="s">
        <v>140</v>
      </c>
      <c r="K440" s="365">
        <v>2.16</v>
      </c>
      <c r="L440" s="475" t="s">
        <v>141</v>
      </c>
      <c r="M440" s="473"/>
    </row>
    <row r="441" spans="1:13" ht="13.5">
      <c r="A441" s="475" t="s">
        <v>5284</v>
      </c>
      <c r="B441" s="475" t="s">
        <v>5285</v>
      </c>
      <c r="C441" s="475" t="s">
        <v>5288</v>
      </c>
      <c r="D441" s="475" t="s">
        <v>5289</v>
      </c>
      <c r="E441" s="476" t="s">
        <v>34</v>
      </c>
      <c r="F441" s="475" t="s">
        <v>34</v>
      </c>
      <c r="G441" s="364">
        <v>5806</v>
      </c>
      <c r="H441" s="475" t="s">
        <v>485</v>
      </c>
      <c r="I441" s="475" t="s">
        <v>101</v>
      </c>
      <c r="J441" s="475" t="s">
        <v>337</v>
      </c>
      <c r="K441" s="365">
        <v>0.18</v>
      </c>
      <c r="L441" s="475" t="s">
        <v>141</v>
      </c>
      <c r="M441" s="473"/>
    </row>
    <row r="442" spans="1:13" ht="13.5">
      <c r="A442" s="475" t="s">
        <v>5284</v>
      </c>
      <c r="B442" s="475" t="s">
        <v>5285</v>
      </c>
      <c r="C442" s="475" t="s">
        <v>5288</v>
      </c>
      <c r="D442" s="475" t="s">
        <v>5289</v>
      </c>
      <c r="E442" s="476" t="s">
        <v>34</v>
      </c>
      <c r="F442" s="475" t="s">
        <v>34</v>
      </c>
      <c r="G442" s="364">
        <v>5826</v>
      </c>
      <c r="H442" s="475" t="s">
        <v>486</v>
      </c>
      <c r="I442" s="475" t="s">
        <v>101</v>
      </c>
      <c r="J442" s="475" t="s">
        <v>140</v>
      </c>
      <c r="K442" s="365">
        <v>27.03</v>
      </c>
      <c r="L442" s="475" t="s">
        <v>141</v>
      </c>
      <c r="M442" s="473"/>
    </row>
    <row r="443" spans="1:13" ht="13.5">
      <c r="A443" s="475" t="s">
        <v>5284</v>
      </c>
      <c r="B443" s="475" t="s">
        <v>5285</v>
      </c>
      <c r="C443" s="475" t="s">
        <v>5288</v>
      </c>
      <c r="D443" s="475" t="s">
        <v>5289</v>
      </c>
      <c r="E443" s="476" t="s">
        <v>34</v>
      </c>
      <c r="F443" s="475" t="s">
        <v>34</v>
      </c>
      <c r="G443" s="364">
        <v>5829</v>
      </c>
      <c r="H443" s="475" t="s">
        <v>487</v>
      </c>
      <c r="I443" s="475" t="s">
        <v>101</v>
      </c>
      <c r="J443" s="475" t="s">
        <v>140</v>
      </c>
      <c r="K443" s="365">
        <v>114.94</v>
      </c>
      <c r="L443" s="475" t="s">
        <v>141</v>
      </c>
      <c r="M443" s="473"/>
    </row>
    <row r="444" spans="1:13" ht="13.5">
      <c r="A444" s="475" t="s">
        <v>5284</v>
      </c>
      <c r="B444" s="475" t="s">
        <v>5285</v>
      </c>
      <c r="C444" s="475" t="s">
        <v>5288</v>
      </c>
      <c r="D444" s="475" t="s">
        <v>5289</v>
      </c>
      <c r="E444" s="476" t="s">
        <v>34</v>
      </c>
      <c r="F444" s="475" t="s">
        <v>34</v>
      </c>
      <c r="G444" s="364">
        <v>5837</v>
      </c>
      <c r="H444" s="475" t="s">
        <v>488</v>
      </c>
      <c r="I444" s="475" t="s">
        <v>101</v>
      </c>
      <c r="J444" s="475" t="s">
        <v>140</v>
      </c>
      <c r="K444" s="365">
        <v>96.87</v>
      </c>
      <c r="L444" s="475" t="s">
        <v>141</v>
      </c>
      <c r="M444" s="473"/>
    </row>
    <row r="445" spans="1:13" ht="13.5">
      <c r="A445" s="475" t="s">
        <v>5284</v>
      </c>
      <c r="B445" s="475" t="s">
        <v>5285</v>
      </c>
      <c r="C445" s="475" t="s">
        <v>5288</v>
      </c>
      <c r="D445" s="475" t="s">
        <v>5289</v>
      </c>
      <c r="E445" s="476" t="s">
        <v>34</v>
      </c>
      <c r="F445" s="475" t="s">
        <v>34</v>
      </c>
      <c r="G445" s="364">
        <v>5841</v>
      </c>
      <c r="H445" s="475" t="s">
        <v>489</v>
      </c>
      <c r="I445" s="475" t="s">
        <v>101</v>
      </c>
      <c r="J445" s="475" t="s">
        <v>140</v>
      </c>
      <c r="K445" s="365">
        <v>2.4700000000000002</v>
      </c>
      <c r="L445" s="475" t="s">
        <v>141</v>
      </c>
      <c r="M445" s="473"/>
    </row>
    <row r="446" spans="1:13" ht="13.5">
      <c r="A446" s="475" t="s">
        <v>5284</v>
      </c>
      <c r="B446" s="475" t="s">
        <v>5285</v>
      </c>
      <c r="C446" s="475" t="s">
        <v>5288</v>
      </c>
      <c r="D446" s="475" t="s">
        <v>5289</v>
      </c>
      <c r="E446" s="476" t="s">
        <v>34</v>
      </c>
      <c r="F446" s="475" t="s">
        <v>34</v>
      </c>
      <c r="G446" s="364">
        <v>5845</v>
      </c>
      <c r="H446" s="475" t="s">
        <v>490</v>
      </c>
      <c r="I446" s="475" t="s">
        <v>101</v>
      </c>
      <c r="J446" s="475" t="s">
        <v>140</v>
      </c>
      <c r="K446" s="365">
        <v>27.24</v>
      </c>
      <c r="L446" s="475" t="s">
        <v>141</v>
      </c>
      <c r="M446" s="473"/>
    </row>
    <row r="447" spans="1:13" ht="13.5">
      <c r="A447" s="475" t="s">
        <v>5284</v>
      </c>
      <c r="B447" s="475" t="s">
        <v>5285</v>
      </c>
      <c r="C447" s="475" t="s">
        <v>5288</v>
      </c>
      <c r="D447" s="475" t="s">
        <v>5289</v>
      </c>
      <c r="E447" s="476" t="s">
        <v>34</v>
      </c>
      <c r="F447" s="475" t="s">
        <v>34</v>
      </c>
      <c r="G447" s="364">
        <v>5849</v>
      </c>
      <c r="H447" s="475" t="s">
        <v>491</v>
      </c>
      <c r="I447" s="475" t="s">
        <v>101</v>
      </c>
      <c r="J447" s="475" t="s">
        <v>140</v>
      </c>
      <c r="K447" s="365">
        <v>45.96</v>
      </c>
      <c r="L447" s="475" t="s">
        <v>141</v>
      </c>
      <c r="M447" s="473"/>
    </row>
    <row r="448" spans="1:13" ht="13.5">
      <c r="A448" s="475" t="s">
        <v>5284</v>
      </c>
      <c r="B448" s="475" t="s">
        <v>5285</v>
      </c>
      <c r="C448" s="475" t="s">
        <v>5288</v>
      </c>
      <c r="D448" s="475" t="s">
        <v>5289</v>
      </c>
      <c r="E448" s="476" t="s">
        <v>34</v>
      </c>
      <c r="F448" s="475" t="s">
        <v>34</v>
      </c>
      <c r="G448" s="364">
        <v>5853</v>
      </c>
      <c r="H448" s="475" t="s">
        <v>492</v>
      </c>
      <c r="I448" s="475" t="s">
        <v>101</v>
      </c>
      <c r="J448" s="475" t="s">
        <v>140</v>
      </c>
      <c r="K448" s="365">
        <v>46.16</v>
      </c>
      <c r="L448" s="475" t="s">
        <v>141</v>
      </c>
      <c r="M448" s="473"/>
    </row>
    <row r="449" spans="1:13" ht="13.5">
      <c r="A449" s="475" t="s">
        <v>5284</v>
      </c>
      <c r="B449" s="475" t="s">
        <v>5285</v>
      </c>
      <c r="C449" s="475" t="s">
        <v>5288</v>
      </c>
      <c r="D449" s="475" t="s">
        <v>5289</v>
      </c>
      <c r="E449" s="476" t="s">
        <v>34</v>
      </c>
      <c r="F449" s="475" t="s">
        <v>34</v>
      </c>
      <c r="G449" s="364">
        <v>5857</v>
      </c>
      <c r="H449" s="475" t="s">
        <v>493</v>
      </c>
      <c r="I449" s="475" t="s">
        <v>101</v>
      </c>
      <c r="J449" s="475" t="s">
        <v>140</v>
      </c>
      <c r="K449" s="365">
        <v>116.87</v>
      </c>
      <c r="L449" s="475" t="s">
        <v>141</v>
      </c>
      <c r="M449" s="473"/>
    </row>
    <row r="450" spans="1:13" ht="13.5">
      <c r="A450" s="475" t="s">
        <v>5284</v>
      </c>
      <c r="B450" s="475" t="s">
        <v>5285</v>
      </c>
      <c r="C450" s="475" t="s">
        <v>5288</v>
      </c>
      <c r="D450" s="475" t="s">
        <v>5289</v>
      </c>
      <c r="E450" s="476" t="s">
        <v>34</v>
      </c>
      <c r="F450" s="475" t="s">
        <v>34</v>
      </c>
      <c r="G450" s="364">
        <v>5865</v>
      </c>
      <c r="H450" s="475" t="s">
        <v>494</v>
      </c>
      <c r="I450" s="475" t="s">
        <v>101</v>
      </c>
      <c r="J450" s="475" t="s">
        <v>140</v>
      </c>
      <c r="K450" s="365">
        <v>5.55</v>
      </c>
      <c r="L450" s="475" t="s">
        <v>141</v>
      </c>
      <c r="M450" s="473"/>
    </row>
    <row r="451" spans="1:13" ht="13.5">
      <c r="A451" s="475" t="s">
        <v>5284</v>
      </c>
      <c r="B451" s="475" t="s">
        <v>5285</v>
      </c>
      <c r="C451" s="475" t="s">
        <v>5288</v>
      </c>
      <c r="D451" s="475" t="s">
        <v>5289</v>
      </c>
      <c r="E451" s="476" t="s">
        <v>34</v>
      </c>
      <c r="F451" s="475" t="s">
        <v>34</v>
      </c>
      <c r="G451" s="364">
        <v>5869</v>
      </c>
      <c r="H451" s="475" t="s">
        <v>495</v>
      </c>
      <c r="I451" s="475" t="s">
        <v>101</v>
      </c>
      <c r="J451" s="475" t="s">
        <v>140</v>
      </c>
      <c r="K451" s="365">
        <v>37.72</v>
      </c>
      <c r="L451" s="475" t="s">
        <v>141</v>
      </c>
      <c r="M451" s="473"/>
    </row>
    <row r="452" spans="1:13" ht="13.5">
      <c r="A452" s="475" t="s">
        <v>5284</v>
      </c>
      <c r="B452" s="475" t="s">
        <v>5285</v>
      </c>
      <c r="C452" s="475" t="s">
        <v>5288</v>
      </c>
      <c r="D452" s="475" t="s">
        <v>5289</v>
      </c>
      <c r="E452" s="476" t="s">
        <v>34</v>
      </c>
      <c r="F452" s="475" t="s">
        <v>34</v>
      </c>
      <c r="G452" s="364">
        <v>5877</v>
      </c>
      <c r="H452" s="475" t="s">
        <v>496</v>
      </c>
      <c r="I452" s="475" t="s">
        <v>101</v>
      </c>
      <c r="J452" s="475" t="s">
        <v>140</v>
      </c>
      <c r="K452" s="365">
        <v>34.909999999999997</v>
      </c>
      <c r="L452" s="475" t="s">
        <v>141</v>
      </c>
      <c r="M452" s="473"/>
    </row>
    <row r="453" spans="1:13" ht="13.5">
      <c r="A453" s="475" t="s">
        <v>5284</v>
      </c>
      <c r="B453" s="475" t="s">
        <v>5285</v>
      </c>
      <c r="C453" s="475" t="s">
        <v>5288</v>
      </c>
      <c r="D453" s="475" t="s">
        <v>5289</v>
      </c>
      <c r="E453" s="476" t="s">
        <v>34</v>
      </c>
      <c r="F453" s="475" t="s">
        <v>34</v>
      </c>
      <c r="G453" s="364">
        <v>5881</v>
      </c>
      <c r="H453" s="475" t="s">
        <v>497</v>
      </c>
      <c r="I453" s="475" t="s">
        <v>101</v>
      </c>
      <c r="J453" s="475" t="s">
        <v>140</v>
      </c>
      <c r="K453" s="365">
        <v>40.270000000000003</v>
      </c>
      <c r="L453" s="475" t="s">
        <v>141</v>
      </c>
      <c r="M453" s="473"/>
    </row>
    <row r="454" spans="1:13" ht="13.5">
      <c r="A454" s="475" t="s">
        <v>5284</v>
      </c>
      <c r="B454" s="475" t="s">
        <v>5285</v>
      </c>
      <c r="C454" s="475" t="s">
        <v>5288</v>
      </c>
      <c r="D454" s="475" t="s">
        <v>5289</v>
      </c>
      <c r="E454" s="476" t="s">
        <v>34</v>
      </c>
      <c r="F454" s="475" t="s">
        <v>34</v>
      </c>
      <c r="G454" s="364">
        <v>5884</v>
      </c>
      <c r="H454" s="475" t="s">
        <v>498</v>
      </c>
      <c r="I454" s="475" t="s">
        <v>101</v>
      </c>
      <c r="J454" s="475" t="s">
        <v>140</v>
      </c>
      <c r="K454" s="365">
        <v>34.72</v>
      </c>
      <c r="L454" s="475" t="s">
        <v>141</v>
      </c>
      <c r="M454" s="473"/>
    </row>
    <row r="455" spans="1:13" ht="13.5">
      <c r="A455" s="475" t="s">
        <v>5284</v>
      </c>
      <c r="B455" s="475" t="s">
        <v>5285</v>
      </c>
      <c r="C455" s="475" t="s">
        <v>5288</v>
      </c>
      <c r="D455" s="475" t="s">
        <v>5289</v>
      </c>
      <c r="E455" s="476" t="s">
        <v>34</v>
      </c>
      <c r="F455" s="475" t="s">
        <v>34</v>
      </c>
      <c r="G455" s="364">
        <v>5892</v>
      </c>
      <c r="H455" s="475" t="s">
        <v>499</v>
      </c>
      <c r="I455" s="475" t="s">
        <v>101</v>
      </c>
      <c r="J455" s="475" t="s">
        <v>140</v>
      </c>
      <c r="K455" s="365">
        <v>28.15</v>
      </c>
      <c r="L455" s="475" t="s">
        <v>141</v>
      </c>
      <c r="M455" s="473"/>
    </row>
    <row r="456" spans="1:13" ht="13.5">
      <c r="A456" s="475" t="s">
        <v>5284</v>
      </c>
      <c r="B456" s="475" t="s">
        <v>5285</v>
      </c>
      <c r="C456" s="475" t="s">
        <v>5288</v>
      </c>
      <c r="D456" s="475" t="s">
        <v>5289</v>
      </c>
      <c r="E456" s="476" t="s">
        <v>34</v>
      </c>
      <c r="F456" s="475" t="s">
        <v>34</v>
      </c>
      <c r="G456" s="364">
        <v>5896</v>
      </c>
      <c r="H456" s="475" t="s">
        <v>500</v>
      </c>
      <c r="I456" s="475" t="s">
        <v>101</v>
      </c>
      <c r="J456" s="475" t="s">
        <v>140</v>
      </c>
      <c r="K456" s="365">
        <v>26.22</v>
      </c>
      <c r="L456" s="475" t="s">
        <v>141</v>
      </c>
      <c r="M456" s="473"/>
    </row>
    <row r="457" spans="1:13" ht="13.5">
      <c r="A457" s="475" t="s">
        <v>5284</v>
      </c>
      <c r="B457" s="475" t="s">
        <v>5285</v>
      </c>
      <c r="C457" s="475" t="s">
        <v>5288</v>
      </c>
      <c r="D457" s="475" t="s">
        <v>5289</v>
      </c>
      <c r="E457" s="476" t="s">
        <v>34</v>
      </c>
      <c r="F457" s="475" t="s">
        <v>34</v>
      </c>
      <c r="G457" s="364">
        <v>5903</v>
      </c>
      <c r="H457" s="475" t="s">
        <v>501</v>
      </c>
      <c r="I457" s="475" t="s">
        <v>101</v>
      </c>
      <c r="J457" s="475" t="s">
        <v>140</v>
      </c>
      <c r="K457" s="365">
        <v>33.67</v>
      </c>
      <c r="L457" s="475" t="s">
        <v>141</v>
      </c>
      <c r="M457" s="473"/>
    </row>
    <row r="458" spans="1:13" ht="13.5">
      <c r="A458" s="475" t="s">
        <v>5284</v>
      </c>
      <c r="B458" s="475" t="s">
        <v>5285</v>
      </c>
      <c r="C458" s="475" t="s">
        <v>5288</v>
      </c>
      <c r="D458" s="475" t="s">
        <v>5289</v>
      </c>
      <c r="E458" s="476" t="s">
        <v>34</v>
      </c>
      <c r="F458" s="475" t="s">
        <v>34</v>
      </c>
      <c r="G458" s="364">
        <v>5911</v>
      </c>
      <c r="H458" s="475" t="s">
        <v>502</v>
      </c>
      <c r="I458" s="475" t="s">
        <v>101</v>
      </c>
      <c r="J458" s="475" t="s">
        <v>140</v>
      </c>
      <c r="K458" s="365">
        <v>17.649999999999999</v>
      </c>
      <c r="L458" s="475" t="s">
        <v>141</v>
      </c>
      <c r="M458" s="473"/>
    </row>
    <row r="459" spans="1:13" ht="13.5">
      <c r="A459" s="475" t="s">
        <v>5284</v>
      </c>
      <c r="B459" s="475" t="s">
        <v>5285</v>
      </c>
      <c r="C459" s="475" t="s">
        <v>5288</v>
      </c>
      <c r="D459" s="475" t="s">
        <v>5289</v>
      </c>
      <c r="E459" s="476" t="s">
        <v>34</v>
      </c>
      <c r="F459" s="475" t="s">
        <v>34</v>
      </c>
      <c r="G459" s="364">
        <v>5923</v>
      </c>
      <c r="H459" s="475" t="s">
        <v>503</v>
      </c>
      <c r="I459" s="475" t="s">
        <v>101</v>
      </c>
      <c r="J459" s="475" t="s">
        <v>140</v>
      </c>
      <c r="K459" s="365">
        <v>1.69</v>
      </c>
      <c r="L459" s="475" t="s">
        <v>141</v>
      </c>
      <c r="M459" s="473"/>
    </row>
    <row r="460" spans="1:13" ht="13.5">
      <c r="A460" s="475" t="s">
        <v>5284</v>
      </c>
      <c r="B460" s="475" t="s">
        <v>5285</v>
      </c>
      <c r="C460" s="475" t="s">
        <v>5288</v>
      </c>
      <c r="D460" s="475" t="s">
        <v>5289</v>
      </c>
      <c r="E460" s="476" t="s">
        <v>34</v>
      </c>
      <c r="F460" s="475" t="s">
        <v>34</v>
      </c>
      <c r="G460" s="364">
        <v>5930</v>
      </c>
      <c r="H460" s="475" t="s">
        <v>504</v>
      </c>
      <c r="I460" s="475" t="s">
        <v>101</v>
      </c>
      <c r="J460" s="475" t="s">
        <v>140</v>
      </c>
      <c r="K460" s="365">
        <v>29</v>
      </c>
      <c r="L460" s="475" t="s">
        <v>141</v>
      </c>
      <c r="M460" s="473"/>
    </row>
    <row r="461" spans="1:13" ht="13.5">
      <c r="A461" s="475" t="s">
        <v>5284</v>
      </c>
      <c r="B461" s="475" t="s">
        <v>5285</v>
      </c>
      <c r="C461" s="475" t="s">
        <v>5288</v>
      </c>
      <c r="D461" s="475" t="s">
        <v>5289</v>
      </c>
      <c r="E461" s="476" t="s">
        <v>34</v>
      </c>
      <c r="F461" s="475" t="s">
        <v>34</v>
      </c>
      <c r="G461" s="364">
        <v>5934</v>
      </c>
      <c r="H461" s="475" t="s">
        <v>505</v>
      </c>
      <c r="I461" s="475" t="s">
        <v>101</v>
      </c>
      <c r="J461" s="475" t="s">
        <v>140</v>
      </c>
      <c r="K461" s="365">
        <v>49.5</v>
      </c>
      <c r="L461" s="475" t="s">
        <v>141</v>
      </c>
      <c r="M461" s="473"/>
    </row>
    <row r="462" spans="1:13" ht="13.5">
      <c r="A462" s="475" t="s">
        <v>5284</v>
      </c>
      <c r="B462" s="475" t="s">
        <v>5285</v>
      </c>
      <c r="C462" s="475" t="s">
        <v>5288</v>
      </c>
      <c r="D462" s="475" t="s">
        <v>5289</v>
      </c>
      <c r="E462" s="476" t="s">
        <v>34</v>
      </c>
      <c r="F462" s="475" t="s">
        <v>34</v>
      </c>
      <c r="G462" s="364">
        <v>5942</v>
      </c>
      <c r="H462" s="475" t="s">
        <v>506</v>
      </c>
      <c r="I462" s="475" t="s">
        <v>101</v>
      </c>
      <c r="J462" s="475" t="s">
        <v>140</v>
      </c>
      <c r="K462" s="365">
        <v>42.33</v>
      </c>
      <c r="L462" s="475" t="s">
        <v>141</v>
      </c>
      <c r="M462" s="473"/>
    </row>
    <row r="463" spans="1:13" ht="13.5">
      <c r="A463" s="475" t="s">
        <v>5284</v>
      </c>
      <c r="B463" s="475" t="s">
        <v>5285</v>
      </c>
      <c r="C463" s="475" t="s">
        <v>5288</v>
      </c>
      <c r="D463" s="475" t="s">
        <v>5289</v>
      </c>
      <c r="E463" s="476" t="s">
        <v>34</v>
      </c>
      <c r="F463" s="475" t="s">
        <v>34</v>
      </c>
      <c r="G463" s="364">
        <v>5946</v>
      </c>
      <c r="H463" s="475" t="s">
        <v>507</v>
      </c>
      <c r="I463" s="475" t="s">
        <v>101</v>
      </c>
      <c r="J463" s="475" t="s">
        <v>140</v>
      </c>
      <c r="K463" s="365">
        <v>52.31</v>
      </c>
      <c r="L463" s="475" t="s">
        <v>141</v>
      </c>
      <c r="M463" s="473"/>
    </row>
    <row r="464" spans="1:13" ht="13.5">
      <c r="A464" s="475" t="s">
        <v>5284</v>
      </c>
      <c r="B464" s="475" t="s">
        <v>5285</v>
      </c>
      <c r="C464" s="475" t="s">
        <v>5288</v>
      </c>
      <c r="D464" s="475" t="s">
        <v>5289</v>
      </c>
      <c r="E464" s="476" t="s">
        <v>34</v>
      </c>
      <c r="F464" s="475" t="s">
        <v>34</v>
      </c>
      <c r="G464" s="364">
        <v>5952</v>
      </c>
      <c r="H464" s="475" t="s">
        <v>508</v>
      </c>
      <c r="I464" s="475" t="s">
        <v>101</v>
      </c>
      <c r="J464" s="475" t="s">
        <v>140</v>
      </c>
      <c r="K464" s="365">
        <v>16.39</v>
      </c>
      <c r="L464" s="475" t="s">
        <v>141</v>
      </c>
      <c r="M464" s="473"/>
    </row>
    <row r="465" spans="1:13" ht="13.5">
      <c r="A465" s="475" t="s">
        <v>5284</v>
      </c>
      <c r="B465" s="475" t="s">
        <v>5285</v>
      </c>
      <c r="C465" s="475" t="s">
        <v>5288</v>
      </c>
      <c r="D465" s="475" t="s">
        <v>5289</v>
      </c>
      <c r="E465" s="476" t="s">
        <v>34</v>
      </c>
      <c r="F465" s="475" t="s">
        <v>34</v>
      </c>
      <c r="G465" s="364">
        <v>5954</v>
      </c>
      <c r="H465" s="475" t="s">
        <v>509</v>
      </c>
      <c r="I465" s="475" t="s">
        <v>101</v>
      </c>
      <c r="J465" s="475" t="s">
        <v>140</v>
      </c>
      <c r="K465" s="365">
        <v>2.94</v>
      </c>
      <c r="L465" s="475" t="s">
        <v>141</v>
      </c>
      <c r="M465" s="473"/>
    </row>
    <row r="466" spans="1:13" ht="13.5">
      <c r="A466" s="475" t="s">
        <v>5284</v>
      </c>
      <c r="B466" s="475" t="s">
        <v>5285</v>
      </c>
      <c r="C466" s="475" t="s">
        <v>5288</v>
      </c>
      <c r="D466" s="475" t="s">
        <v>5289</v>
      </c>
      <c r="E466" s="476" t="s">
        <v>34</v>
      </c>
      <c r="F466" s="475" t="s">
        <v>34</v>
      </c>
      <c r="G466" s="364">
        <v>5961</v>
      </c>
      <c r="H466" s="475" t="s">
        <v>510</v>
      </c>
      <c r="I466" s="475" t="s">
        <v>101</v>
      </c>
      <c r="J466" s="475" t="s">
        <v>140</v>
      </c>
      <c r="K466" s="365">
        <v>32.42</v>
      </c>
      <c r="L466" s="475" t="s">
        <v>141</v>
      </c>
      <c r="M466" s="473"/>
    </row>
    <row r="467" spans="1:13" ht="13.5">
      <c r="A467" s="475" t="s">
        <v>5284</v>
      </c>
      <c r="B467" s="475" t="s">
        <v>5285</v>
      </c>
      <c r="C467" s="475" t="s">
        <v>5288</v>
      </c>
      <c r="D467" s="475" t="s">
        <v>5289</v>
      </c>
      <c r="E467" s="476" t="s">
        <v>34</v>
      </c>
      <c r="F467" s="475" t="s">
        <v>34</v>
      </c>
      <c r="G467" s="364">
        <v>6260</v>
      </c>
      <c r="H467" s="475" t="s">
        <v>511</v>
      </c>
      <c r="I467" s="475" t="s">
        <v>101</v>
      </c>
      <c r="J467" s="475" t="s">
        <v>140</v>
      </c>
      <c r="K467" s="365">
        <v>29.74</v>
      </c>
      <c r="L467" s="475" t="s">
        <v>141</v>
      </c>
      <c r="M467" s="473"/>
    </row>
    <row r="468" spans="1:13" ht="13.5">
      <c r="A468" s="475" t="s">
        <v>5284</v>
      </c>
      <c r="B468" s="475" t="s">
        <v>5285</v>
      </c>
      <c r="C468" s="475" t="s">
        <v>5288</v>
      </c>
      <c r="D468" s="475" t="s">
        <v>5289</v>
      </c>
      <c r="E468" s="476" t="s">
        <v>34</v>
      </c>
      <c r="F468" s="475" t="s">
        <v>34</v>
      </c>
      <c r="G468" s="364">
        <v>6880</v>
      </c>
      <c r="H468" s="475" t="s">
        <v>512</v>
      </c>
      <c r="I468" s="475" t="s">
        <v>101</v>
      </c>
      <c r="J468" s="475" t="s">
        <v>140</v>
      </c>
      <c r="K468" s="365">
        <v>43.88</v>
      </c>
      <c r="L468" s="475" t="s">
        <v>141</v>
      </c>
      <c r="M468" s="473"/>
    </row>
    <row r="469" spans="1:13" ht="13.5">
      <c r="A469" s="475" t="s">
        <v>5284</v>
      </c>
      <c r="B469" s="475" t="s">
        <v>5285</v>
      </c>
      <c r="C469" s="475" t="s">
        <v>5288</v>
      </c>
      <c r="D469" s="475" t="s">
        <v>5289</v>
      </c>
      <c r="E469" s="476" t="s">
        <v>34</v>
      </c>
      <c r="F469" s="475" t="s">
        <v>34</v>
      </c>
      <c r="G469" s="364">
        <v>7031</v>
      </c>
      <c r="H469" s="475" t="s">
        <v>513</v>
      </c>
      <c r="I469" s="475" t="s">
        <v>101</v>
      </c>
      <c r="J469" s="475" t="s">
        <v>140</v>
      </c>
      <c r="K469" s="365">
        <v>4.0999999999999996</v>
      </c>
      <c r="L469" s="475" t="s">
        <v>141</v>
      </c>
      <c r="M469" s="473"/>
    </row>
    <row r="470" spans="1:13" ht="13.5">
      <c r="A470" s="475" t="s">
        <v>5284</v>
      </c>
      <c r="B470" s="475" t="s">
        <v>5285</v>
      </c>
      <c r="C470" s="475" t="s">
        <v>5288</v>
      </c>
      <c r="D470" s="475" t="s">
        <v>5289</v>
      </c>
      <c r="E470" s="476" t="s">
        <v>34</v>
      </c>
      <c r="F470" s="475" t="s">
        <v>34</v>
      </c>
      <c r="G470" s="364">
        <v>7043</v>
      </c>
      <c r="H470" s="475" t="s">
        <v>514</v>
      </c>
      <c r="I470" s="475" t="s">
        <v>101</v>
      </c>
      <c r="J470" s="475" t="s">
        <v>337</v>
      </c>
      <c r="K470" s="365">
        <v>0.22</v>
      </c>
      <c r="L470" s="475" t="s">
        <v>141</v>
      </c>
      <c r="M470" s="473"/>
    </row>
    <row r="471" spans="1:13" ht="13.5">
      <c r="A471" s="475" t="s">
        <v>5284</v>
      </c>
      <c r="B471" s="475" t="s">
        <v>5285</v>
      </c>
      <c r="C471" s="475" t="s">
        <v>5288</v>
      </c>
      <c r="D471" s="475" t="s">
        <v>5289</v>
      </c>
      <c r="E471" s="476" t="s">
        <v>34</v>
      </c>
      <c r="F471" s="475" t="s">
        <v>34</v>
      </c>
      <c r="G471" s="364">
        <v>7050</v>
      </c>
      <c r="H471" s="475" t="s">
        <v>515</v>
      </c>
      <c r="I471" s="475" t="s">
        <v>101</v>
      </c>
      <c r="J471" s="475" t="s">
        <v>140</v>
      </c>
      <c r="K471" s="365">
        <v>40.630000000000003</v>
      </c>
      <c r="L471" s="475" t="s">
        <v>141</v>
      </c>
      <c r="M471" s="473"/>
    </row>
    <row r="472" spans="1:13" ht="13.5">
      <c r="A472" s="475" t="s">
        <v>5284</v>
      </c>
      <c r="B472" s="475" t="s">
        <v>5285</v>
      </c>
      <c r="C472" s="475" t="s">
        <v>5288</v>
      </c>
      <c r="D472" s="475" t="s">
        <v>5289</v>
      </c>
      <c r="E472" s="476" t="s">
        <v>34</v>
      </c>
      <c r="F472" s="475" t="s">
        <v>34</v>
      </c>
      <c r="G472" s="364">
        <v>67827</v>
      </c>
      <c r="H472" s="475" t="s">
        <v>516</v>
      </c>
      <c r="I472" s="475" t="s">
        <v>101</v>
      </c>
      <c r="J472" s="475" t="s">
        <v>140</v>
      </c>
      <c r="K472" s="365">
        <v>31.64</v>
      </c>
      <c r="L472" s="475" t="s">
        <v>141</v>
      </c>
      <c r="M472" s="473"/>
    </row>
    <row r="473" spans="1:13" ht="13.5">
      <c r="A473" s="475" t="s">
        <v>5284</v>
      </c>
      <c r="B473" s="475" t="s">
        <v>5285</v>
      </c>
      <c r="C473" s="475" t="s">
        <v>5288</v>
      </c>
      <c r="D473" s="475" t="s">
        <v>5289</v>
      </c>
      <c r="E473" s="476" t="s">
        <v>34</v>
      </c>
      <c r="F473" s="475" t="s">
        <v>34</v>
      </c>
      <c r="G473" s="364">
        <v>73395</v>
      </c>
      <c r="H473" s="475" t="s">
        <v>517</v>
      </c>
      <c r="I473" s="475" t="s">
        <v>101</v>
      </c>
      <c r="J473" s="475" t="s">
        <v>140</v>
      </c>
      <c r="K473" s="365">
        <v>5.49</v>
      </c>
      <c r="L473" s="475" t="s">
        <v>141</v>
      </c>
      <c r="M473" s="473"/>
    </row>
    <row r="474" spans="1:13" ht="13.5">
      <c r="A474" s="475" t="s">
        <v>5284</v>
      </c>
      <c r="B474" s="475" t="s">
        <v>5285</v>
      </c>
      <c r="C474" s="475" t="s">
        <v>5288</v>
      </c>
      <c r="D474" s="475" t="s">
        <v>5289</v>
      </c>
      <c r="E474" s="476" t="s">
        <v>34</v>
      </c>
      <c r="F474" s="475" t="s">
        <v>34</v>
      </c>
      <c r="G474" s="364">
        <v>83766</v>
      </c>
      <c r="H474" s="475" t="s">
        <v>518</v>
      </c>
      <c r="I474" s="475" t="s">
        <v>101</v>
      </c>
      <c r="J474" s="475" t="s">
        <v>140</v>
      </c>
      <c r="K474" s="365">
        <v>30.61</v>
      </c>
      <c r="L474" s="475" t="s">
        <v>141</v>
      </c>
      <c r="M474" s="473"/>
    </row>
    <row r="475" spans="1:13" ht="13.5">
      <c r="A475" s="475" t="s">
        <v>5284</v>
      </c>
      <c r="B475" s="475" t="s">
        <v>5285</v>
      </c>
      <c r="C475" s="475" t="s">
        <v>5288</v>
      </c>
      <c r="D475" s="475" t="s">
        <v>5289</v>
      </c>
      <c r="E475" s="476" t="s">
        <v>34</v>
      </c>
      <c r="F475" s="475" t="s">
        <v>34</v>
      </c>
      <c r="G475" s="364">
        <v>84013</v>
      </c>
      <c r="H475" s="475" t="s">
        <v>519</v>
      </c>
      <c r="I475" s="475" t="s">
        <v>101</v>
      </c>
      <c r="J475" s="475" t="s">
        <v>140</v>
      </c>
      <c r="K475" s="365">
        <v>45.68</v>
      </c>
      <c r="L475" s="475" t="s">
        <v>141</v>
      </c>
      <c r="M475" s="473"/>
    </row>
    <row r="476" spans="1:13" ht="13.5">
      <c r="A476" s="475" t="s">
        <v>5284</v>
      </c>
      <c r="B476" s="475" t="s">
        <v>5285</v>
      </c>
      <c r="C476" s="475" t="s">
        <v>5288</v>
      </c>
      <c r="D476" s="475" t="s">
        <v>5289</v>
      </c>
      <c r="E476" s="476" t="s">
        <v>34</v>
      </c>
      <c r="F476" s="475" t="s">
        <v>34</v>
      </c>
      <c r="G476" s="364">
        <v>87446</v>
      </c>
      <c r="H476" s="475" t="s">
        <v>520</v>
      </c>
      <c r="I476" s="475" t="s">
        <v>101</v>
      </c>
      <c r="J476" s="475" t="s">
        <v>337</v>
      </c>
      <c r="K476" s="365">
        <v>0.36</v>
      </c>
      <c r="L476" s="475" t="s">
        <v>141</v>
      </c>
      <c r="M476" s="473"/>
    </row>
    <row r="477" spans="1:13" ht="13.5">
      <c r="A477" s="475" t="s">
        <v>5284</v>
      </c>
      <c r="B477" s="475" t="s">
        <v>5285</v>
      </c>
      <c r="C477" s="475" t="s">
        <v>5288</v>
      </c>
      <c r="D477" s="475" t="s">
        <v>5289</v>
      </c>
      <c r="E477" s="476" t="s">
        <v>34</v>
      </c>
      <c r="F477" s="475" t="s">
        <v>34</v>
      </c>
      <c r="G477" s="364">
        <v>88392</v>
      </c>
      <c r="H477" s="475" t="s">
        <v>521</v>
      </c>
      <c r="I477" s="475" t="s">
        <v>101</v>
      </c>
      <c r="J477" s="475" t="s">
        <v>337</v>
      </c>
      <c r="K477" s="365">
        <v>0.71</v>
      </c>
      <c r="L477" s="475" t="s">
        <v>141</v>
      </c>
      <c r="M477" s="473"/>
    </row>
    <row r="478" spans="1:13" ht="13.5">
      <c r="A478" s="475" t="s">
        <v>5284</v>
      </c>
      <c r="B478" s="475" t="s">
        <v>5285</v>
      </c>
      <c r="C478" s="475" t="s">
        <v>5288</v>
      </c>
      <c r="D478" s="475" t="s">
        <v>5289</v>
      </c>
      <c r="E478" s="476" t="s">
        <v>34</v>
      </c>
      <c r="F478" s="475" t="s">
        <v>34</v>
      </c>
      <c r="G478" s="364">
        <v>88398</v>
      </c>
      <c r="H478" s="475" t="s">
        <v>522</v>
      </c>
      <c r="I478" s="475" t="s">
        <v>101</v>
      </c>
      <c r="J478" s="475" t="s">
        <v>337</v>
      </c>
      <c r="K478" s="365">
        <v>0.84</v>
      </c>
      <c r="L478" s="475" t="s">
        <v>141</v>
      </c>
      <c r="M478" s="473"/>
    </row>
    <row r="479" spans="1:13" ht="13.5">
      <c r="A479" s="475" t="s">
        <v>5284</v>
      </c>
      <c r="B479" s="475" t="s">
        <v>5285</v>
      </c>
      <c r="C479" s="475" t="s">
        <v>5288</v>
      </c>
      <c r="D479" s="475" t="s">
        <v>5289</v>
      </c>
      <c r="E479" s="476" t="s">
        <v>34</v>
      </c>
      <c r="F479" s="475" t="s">
        <v>34</v>
      </c>
      <c r="G479" s="364">
        <v>88404</v>
      </c>
      <c r="H479" s="475" t="s">
        <v>523</v>
      </c>
      <c r="I479" s="475" t="s">
        <v>101</v>
      </c>
      <c r="J479" s="475" t="s">
        <v>337</v>
      </c>
      <c r="K479" s="365">
        <v>0.67</v>
      </c>
      <c r="L479" s="475" t="s">
        <v>141</v>
      </c>
      <c r="M479" s="473"/>
    </row>
    <row r="480" spans="1:13" ht="13.5">
      <c r="A480" s="475" t="s">
        <v>5284</v>
      </c>
      <c r="B480" s="475" t="s">
        <v>5285</v>
      </c>
      <c r="C480" s="475" t="s">
        <v>5288</v>
      </c>
      <c r="D480" s="475" t="s">
        <v>5289</v>
      </c>
      <c r="E480" s="476" t="s">
        <v>34</v>
      </c>
      <c r="F480" s="475" t="s">
        <v>34</v>
      </c>
      <c r="G480" s="364">
        <v>88430</v>
      </c>
      <c r="H480" s="475" t="s">
        <v>524</v>
      </c>
      <c r="I480" s="475" t="s">
        <v>101</v>
      </c>
      <c r="J480" s="475" t="s">
        <v>337</v>
      </c>
      <c r="K480" s="365">
        <v>4.38</v>
      </c>
      <c r="L480" s="475" t="s">
        <v>141</v>
      </c>
      <c r="M480" s="473"/>
    </row>
    <row r="481" spans="1:13" ht="13.5">
      <c r="A481" s="475" t="s">
        <v>5284</v>
      </c>
      <c r="B481" s="475" t="s">
        <v>5285</v>
      </c>
      <c r="C481" s="475" t="s">
        <v>5288</v>
      </c>
      <c r="D481" s="475" t="s">
        <v>5289</v>
      </c>
      <c r="E481" s="476" t="s">
        <v>34</v>
      </c>
      <c r="F481" s="475" t="s">
        <v>34</v>
      </c>
      <c r="G481" s="364">
        <v>88438</v>
      </c>
      <c r="H481" s="475" t="s">
        <v>525</v>
      </c>
      <c r="I481" s="475" t="s">
        <v>101</v>
      </c>
      <c r="J481" s="475" t="s">
        <v>337</v>
      </c>
      <c r="K481" s="365">
        <v>5.82</v>
      </c>
      <c r="L481" s="475" t="s">
        <v>141</v>
      </c>
      <c r="M481" s="473"/>
    </row>
    <row r="482" spans="1:13" ht="13.5">
      <c r="A482" s="475" t="s">
        <v>5284</v>
      </c>
      <c r="B482" s="475" t="s">
        <v>5285</v>
      </c>
      <c r="C482" s="475" t="s">
        <v>5288</v>
      </c>
      <c r="D482" s="475" t="s">
        <v>5289</v>
      </c>
      <c r="E482" s="476" t="s">
        <v>34</v>
      </c>
      <c r="F482" s="475" t="s">
        <v>34</v>
      </c>
      <c r="G482" s="364">
        <v>88831</v>
      </c>
      <c r="H482" s="475" t="s">
        <v>526</v>
      </c>
      <c r="I482" s="475" t="s">
        <v>101</v>
      </c>
      <c r="J482" s="475" t="s">
        <v>363</v>
      </c>
      <c r="K482" s="365">
        <v>0.26</v>
      </c>
      <c r="L482" s="475" t="s">
        <v>141</v>
      </c>
      <c r="M482" s="473"/>
    </row>
    <row r="483" spans="1:13" ht="13.5">
      <c r="A483" s="475" t="s">
        <v>5284</v>
      </c>
      <c r="B483" s="475" t="s">
        <v>5285</v>
      </c>
      <c r="C483" s="475" t="s">
        <v>5288</v>
      </c>
      <c r="D483" s="475" t="s">
        <v>5289</v>
      </c>
      <c r="E483" s="476" t="s">
        <v>34</v>
      </c>
      <c r="F483" s="475" t="s">
        <v>34</v>
      </c>
      <c r="G483" s="364">
        <v>88844</v>
      </c>
      <c r="H483" s="475" t="s">
        <v>527</v>
      </c>
      <c r="I483" s="475" t="s">
        <v>101</v>
      </c>
      <c r="J483" s="475" t="s">
        <v>140</v>
      </c>
      <c r="K483" s="365">
        <v>40.159999999999997</v>
      </c>
      <c r="L483" s="475" t="s">
        <v>141</v>
      </c>
      <c r="M483" s="473"/>
    </row>
    <row r="484" spans="1:13" ht="13.5">
      <c r="A484" s="475" t="s">
        <v>5284</v>
      </c>
      <c r="B484" s="475" t="s">
        <v>5285</v>
      </c>
      <c r="C484" s="475" t="s">
        <v>5288</v>
      </c>
      <c r="D484" s="475" t="s">
        <v>5289</v>
      </c>
      <c r="E484" s="476" t="s">
        <v>34</v>
      </c>
      <c r="F484" s="475" t="s">
        <v>34</v>
      </c>
      <c r="G484" s="364">
        <v>88908</v>
      </c>
      <c r="H484" s="475" t="s">
        <v>528</v>
      </c>
      <c r="I484" s="475" t="s">
        <v>101</v>
      </c>
      <c r="J484" s="475" t="s">
        <v>140</v>
      </c>
      <c r="K484" s="365">
        <v>50.22</v>
      </c>
      <c r="L484" s="475" t="s">
        <v>141</v>
      </c>
      <c r="M484" s="473"/>
    </row>
    <row r="485" spans="1:13" ht="13.5">
      <c r="A485" s="475" t="s">
        <v>5284</v>
      </c>
      <c r="B485" s="475" t="s">
        <v>5285</v>
      </c>
      <c r="C485" s="475" t="s">
        <v>5288</v>
      </c>
      <c r="D485" s="475" t="s">
        <v>5289</v>
      </c>
      <c r="E485" s="476" t="s">
        <v>34</v>
      </c>
      <c r="F485" s="475" t="s">
        <v>34</v>
      </c>
      <c r="G485" s="364">
        <v>89022</v>
      </c>
      <c r="H485" s="475" t="s">
        <v>529</v>
      </c>
      <c r="I485" s="475" t="s">
        <v>101</v>
      </c>
      <c r="J485" s="475" t="s">
        <v>337</v>
      </c>
      <c r="K485" s="365">
        <v>0.33</v>
      </c>
      <c r="L485" s="475" t="s">
        <v>141</v>
      </c>
      <c r="M485" s="473"/>
    </row>
    <row r="486" spans="1:13" ht="13.5">
      <c r="A486" s="475" t="s">
        <v>5284</v>
      </c>
      <c r="B486" s="475" t="s">
        <v>5285</v>
      </c>
      <c r="C486" s="475" t="s">
        <v>5288</v>
      </c>
      <c r="D486" s="475" t="s">
        <v>5289</v>
      </c>
      <c r="E486" s="476" t="s">
        <v>34</v>
      </c>
      <c r="F486" s="475" t="s">
        <v>34</v>
      </c>
      <c r="G486" s="364">
        <v>89027</v>
      </c>
      <c r="H486" s="475" t="s">
        <v>530</v>
      </c>
      <c r="I486" s="475" t="s">
        <v>101</v>
      </c>
      <c r="J486" s="475" t="s">
        <v>140</v>
      </c>
      <c r="K486" s="365">
        <v>3.33</v>
      </c>
      <c r="L486" s="475" t="s">
        <v>141</v>
      </c>
      <c r="M486" s="473"/>
    </row>
    <row r="487" spans="1:13" ht="13.5">
      <c r="A487" s="475" t="s">
        <v>5284</v>
      </c>
      <c r="B487" s="475" t="s">
        <v>5285</v>
      </c>
      <c r="C487" s="475" t="s">
        <v>5288</v>
      </c>
      <c r="D487" s="475" t="s">
        <v>5289</v>
      </c>
      <c r="E487" s="476" t="s">
        <v>34</v>
      </c>
      <c r="F487" s="475" t="s">
        <v>34</v>
      </c>
      <c r="G487" s="364">
        <v>89031</v>
      </c>
      <c r="H487" s="475" t="s">
        <v>531</v>
      </c>
      <c r="I487" s="475" t="s">
        <v>101</v>
      </c>
      <c r="J487" s="475" t="s">
        <v>140</v>
      </c>
      <c r="K487" s="365">
        <v>39.049999999999997</v>
      </c>
      <c r="L487" s="475" t="s">
        <v>141</v>
      </c>
      <c r="M487" s="473"/>
    </row>
    <row r="488" spans="1:13" ht="13.5">
      <c r="A488" s="475" t="s">
        <v>5284</v>
      </c>
      <c r="B488" s="475" t="s">
        <v>5285</v>
      </c>
      <c r="C488" s="475" t="s">
        <v>5288</v>
      </c>
      <c r="D488" s="475" t="s">
        <v>5289</v>
      </c>
      <c r="E488" s="476" t="s">
        <v>34</v>
      </c>
      <c r="F488" s="475" t="s">
        <v>34</v>
      </c>
      <c r="G488" s="364">
        <v>89036</v>
      </c>
      <c r="H488" s="475" t="s">
        <v>532</v>
      </c>
      <c r="I488" s="475" t="s">
        <v>101</v>
      </c>
      <c r="J488" s="475" t="s">
        <v>140</v>
      </c>
      <c r="K488" s="365">
        <v>23.99</v>
      </c>
      <c r="L488" s="475" t="s">
        <v>141</v>
      </c>
      <c r="M488" s="473"/>
    </row>
    <row r="489" spans="1:13" ht="13.5">
      <c r="A489" s="475" t="s">
        <v>5284</v>
      </c>
      <c r="B489" s="475" t="s">
        <v>5285</v>
      </c>
      <c r="C489" s="475" t="s">
        <v>5288</v>
      </c>
      <c r="D489" s="475" t="s">
        <v>5289</v>
      </c>
      <c r="E489" s="476" t="s">
        <v>34</v>
      </c>
      <c r="F489" s="475" t="s">
        <v>34</v>
      </c>
      <c r="G489" s="364">
        <v>89218</v>
      </c>
      <c r="H489" s="475" t="s">
        <v>533</v>
      </c>
      <c r="I489" s="475" t="s">
        <v>101</v>
      </c>
      <c r="J489" s="475" t="s">
        <v>140</v>
      </c>
      <c r="K489" s="365">
        <v>51.53</v>
      </c>
      <c r="L489" s="475" t="s">
        <v>141</v>
      </c>
      <c r="M489" s="473"/>
    </row>
    <row r="490" spans="1:13" ht="13.5">
      <c r="A490" s="475" t="s">
        <v>5284</v>
      </c>
      <c r="B490" s="475" t="s">
        <v>5285</v>
      </c>
      <c r="C490" s="475" t="s">
        <v>5288</v>
      </c>
      <c r="D490" s="475" t="s">
        <v>5289</v>
      </c>
      <c r="E490" s="476" t="s">
        <v>34</v>
      </c>
      <c r="F490" s="475" t="s">
        <v>34</v>
      </c>
      <c r="G490" s="364">
        <v>89226</v>
      </c>
      <c r="H490" s="475" t="s">
        <v>534</v>
      </c>
      <c r="I490" s="475" t="s">
        <v>101</v>
      </c>
      <c r="J490" s="475" t="s">
        <v>337</v>
      </c>
      <c r="K490" s="365">
        <v>1.0900000000000001</v>
      </c>
      <c r="L490" s="475" t="s">
        <v>141</v>
      </c>
      <c r="M490" s="473"/>
    </row>
    <row r="491" spans="1:13" ht="13.5">
      <c r="A491" s="475" t="s">
        <v>5284</v>
      </c>
      <c r="B491" s="475" t="s">
        <v>5285</v>
      </c>
      <c r="C491" s="475" t="s">
        <v>5288</v>
      </c>
      <c r="D491" s="475" t="s">
        <v>5289</v>
      </c>
      <c r="E491" s="476" t="s">
        <v>34</v>
      </c>
      <c r="F491" s="475" t="s">
        <v>34</v>
      </c>
      <c r="G491" s="364">
        <v>89235</v>
      </c>
      <c r="H491" s="475" t="s">
        <v>535</v>
      </c>
      <c r="I491" s="475" t="s">
        <v>101</v>
      </c>
      <c r="J491" s="475" t="s">
        <v>140</v>
      </c>
      <c r="K491" s="365">
        <v>124.61</v>
      </c>
      <c r="L491" s="475" t="s">
        <v>141</v>
      </c>
      <c r="M491" s="473"/>
    </row>
    <row r="492" spans="1:13" ht="13.5">
      <c r="A492" s="475" t="s">
        <v>5284</v>
      </c>
      <c r="B492" s="475" t="s">
        <v>5285</v>
      </c>
      <c r="C492" s="475" t="s">
        <v>5288</v>
      </c>
      <c r="D492" s="475" t="s">
        <v>5289</v>
      </c>
      <c r="E492" s="476" t="s">
        <v>34</v>
      </c>
      <c r="F492" s="475" t="s">
        <v>34</v>
      </c>
      <c r="G492" s="364">
        <v>89243</v>
      </c>
      <c r="H492" s="475" t="s">
        <v>536</v>
      </c>
      <c r="I492" s="475" t="s">
        <v>101</v>
      </c>
      <c r="J492" s="475" t="s">
        <v>140</v>
      </c>
      <c r="K492" s="365">
        <v>267.38</v>
      </c>
      <c r="L492" s="475" t="s">
        <v>141</v>
      </c>
      <c r="M492" s="473"/>
    </row>
    <row r="493" spans="1:13" ht="13.5">
      <c r="A493" s="475" t="s">
        <v>5284</v>
      </c>
      <c r="B493" s="475" t="s">
        <v>5285</v>
      </c>
      <c r="C493" s="475" t="s">
        <v>5288</v>
      </c>
      <c r="D493" s="475" t="s">
        <v>5289</v>
      </c>
      <c r="E493" s="476" t="s">
        <v>34</v>
      </c>
      <c r="F493" s="475" t="s">
        <v>34</v>
      </c>
      <c r="G493" s="364">
        <v>89251</v>
      </c>
      <c r="H493" s="475" t="s">
        <v>537</v>
      </c>
      <c r="I493" s="475" t="s">
        <v>101</v>
      </c>
      <c r="J493" s="475" t="s">
        <v>140</v>
      </c>
      <c r="K493" s="365">
        <v>234.66</v>
      </c>
      <c r="L493" s="475" t="s">
        <v>141</v>
      </c>
      <c r="M493" s="473"/>
    </row>
    <row r="494" spans="1:13" ht="13.5">
      <c r="A494" s="475" t="s">
        <v>5284</v>
      </c>
      <c r="B494" s="475" t="s">
        <v>5285</v>
      </c>
      <c r="C494" s="475" t="s">
        <v>5288</v>
      </c>
      <c r="D494" s="475" t="s">
        <v>5289</v>
      </c>
      <c r="E494" s="476" t="s">
        <v>34</v>
      </c>
      <c r="F494" s="475" t="s">
        <v>34</v>
      </c>
      <c r="G494" s="364">
        <v>89258</v>
      </c>
      <c r="H494" s="475" t="s">
        <v>538</v>
      </c>
      <c r="I494" s="475" t="s">
        <v>101</v>
      </c>
      <c r="J494" s="475" t="s">
        <v>140</v>
      </c>
      <c r="K494" s="365">
        <v>82.59</v>
      </c>
      <c r="L494" s="475" t="s">
        <v>141</v>
      </c>
      <c r="M494" s="473"/>
    </row>
    <row r="495" spans="1:13" ht="13.5">
      <c r="A495" s="475" t="s">
        <v>5284</v>
      </c>
      <c r="B495" s="475" t="s">
        <v>5285</v>
      </c>
      <c r="C495" s="475" t="s">
        <v>5288</v>
      </c>
      <c r="D495" s="475" t="s">
        <v>5289</v>
      </c>
      <c r="E495" s="476" t="s">
        <v>34</v>
      </c>
      <c r="F495" s="475" t="s">
        <v>34</v>
      </c>
      <c r="G495" s="364">
        <v>89273</v>
      </c>
      <c r="H495" s="475" t="s">
        <v>539</v>
      </c>
      <c r="I495" s="475" t="s">
        <v>101</v>
      </c>
      <c r="J495" s="475" t="s">
        <v>140</v>
      </c>
      <c r="K495" s="365">
        <v>50.75</v>
      </c>
      <c r="L495" s="475" t="s">
        <v>141</v>
      </c>
      <c r="M495" s="473"/>
    </row>
    <row r="496" spans="1:13" ht="13.5">
      <c r="A496" s="475" t="s">
        <v>5284</v>
      </c>
      <c r="B496" s="475" t="s">
        <v>5285</v>
      </c>
      <c r="C496" s="475" t="s">
        <v>5288</v>
      </c>
      <c r="D496" s="475" t="s">
        <v>5289</v>
      </c>
      <c r="E496" s="476" t="s">
        <v>34</v>
      </c>
      <c r="F496" s="475" t="s">
        <v>34</v>
      </c>
      <c r="G496" s="364">
        <v>89279</v>
      </c>
      <c r="H496" s="475" t="s">
        <v>540</v>
      </c>
      <c r="I496" s="475" t="s">
        <v>101</v>
      </c>
      <c r="J496" s="475" t="s">
        <v>337</v>
      </c>
      <c r="K496" s="365">
        <v>1.32</v>
      </c>
      <c r="L496" s="475" t="s">
        <v>141</v>
      </c>
      <c r="M496" s="473"/>
    </row>
    <row r="497" spans="1:13" ht="13.5">
      <c r="A497" s="475" t="s">
        <v>5284</v>
      </c>
      <c r="B497" s="475" t="s">
        <v>5285</v>
      </c>
      <c r="C497" s="475" t="s">
        <v>5288</v>
      </c>
      <c r="D497" s="475" t="s">
        <v>5289</v>
      </c>
      <c r="E497" s="476" t="s">
        <v>34</v>
      </c>
      <c r="F497" s="475" t="s">
        <v>34</v>
      </c>
      <c r="G497" s="364">
        <v>89877</v>
      </c>
      <c r="H497" s="475" t="s">
        <v>541</v>
      </c>
      <c r="I497" s="475" t="s">
        <v>101</v>
      </c>
      <c r="J497" s="475" t="s">
        <v>140</v>
      </c>
      <c r="K497" s="365">
        <v>39.06</v>
      </c>
      <c r="L497" s="475" t="s">
        <v>141</v>
      </c>
      <c r="M497" s="473"/>
    </row>
    <row r="498" spans="1:13" ht="13.5">
      <c r="A498" s="475" t="s">
        <v>5284</v>
      </c>
      <c r="B498" s="475" t="s">
        <v>5285</v>
      </c>
      <c r="C498" s="475" t="s">
        <v>5288</v>
      </c>
      <c r="D498" s="475" t="s">
        <v>5289</v>
      </c>
      <c r="E498" s="476" t="s">
        <v>34</v>
      </c>
      <c r="F498" s="475" t="s">
        <v>34</v>
      </c>
      <c r="G498" s="364">
        <v>89884</v>
      </c>
      <c r="H498" s="475" t="s">
        <v>542</v>
      </c>
      <c r="I498" s="475" t="s">
        <v>101</v>
      </c>
      <c r="J498" s="475" t="s">
        <v>140</v>
      </c>
      <c r="K498" s="365">
        <v>40.46</v>
      </c>
      <c r="L498" s="475" t="s">
        <v>141</v>
      </c>
      <c r="M498" s="473"/>
    </row>
    <row r="499" spans="1:13" ht="13.5">
      <c r="A499" s="475" t="s">
        <v>5284</v>
      </c>
      <c r="B499" s="475" t="s">
        <v>5285</v>
      </c>
      <c r="C499" s="475" t="s">
        <v>5288</v>
      </c>
      <c r="D499" s="475" t="s">
        <v>5289</v>
      </c>
      <c r="E499" s="476" t="s">
        <v>34</v>
      </c>
      <c r="F499" s="475" t="s">
        <v>34</v>
      </c>
      <c r="G499" s="364">
        <v>90587</v>
      </c>
      <c r="H499" s="475" t="s">
        <v>543</v>
      </c>
      <c r="I499" s="475" t="s">
        <v>101</v>
      </c>
      <c r="J499" s="475" t="s">
        <v>140</v>
      </c>
      <c r="K499" s="365">
        <v>0.28999999999999998</v>
      </c>
      <c r="L499" s="475" t="s">
        <v>141</v>
      </c>
      <c r="M499" s="473"/>
    </row>
    <row r="500" spans="1:13" ht="13.5">
      <c r="A500" s="475" t="s">
        <v>5284</v>
      </c>
      <c r="B500" s="475" t="s">
        <v>5285</v>
      </c>
      <c r="C500" s="475" t="s">
        <v>5288</v>
      </c>
      <c r="D500" s="475" t="s">
        <v>5289</v>
      </c>
      <c r="E500" s="476" t="s">
        <v>34</v>
      </c>
      <c r="F500" s="475" t="s">
        <v>34</v>
      </c>
      <c r="G500" s="364">
        <v>90626</v>
      </c>
      <c r="H500" s="475" t="s">
        <v>544</v>
      </c>
      <c r="I500" s="475" t="s">
        <v>101</v>
      </c>
      <c r="J500" s="475" t="s">
        <v>140</v>
      </c>
      <c r="K500" s="365">
        <v>1.38</v>
      </c>
      <c r="L500" s="475" t="s">
        <v>141</v>
      </c>
      <c r="M500" s="473"/>
    </row>
    <row r="501" spans="1:13" ht="13.5">
      <c r="A501" s="475" t="s">
        <v>5284</v>
      </c>
      <c r="B501" s="475" t="s">
        <v>5285</v>
      </c>
      <c r="C501" s="475" t="s">
        <v>5288</v>
      </c>
      <c r="D501" s="475" t="s">
        <v>5289</v>
      </c>
      <c r="E501" s="476" t="s">
        <v>34</v>
      </c>
      <c r="F501" s="475" t="s">
        <v>34</v>
      </c>
      <c r="G501" s="364">
        <v>90632</v>
      </c>
      <c r="H501" s="475" t="s">
        <v>545</v>
      </c>
      <c r="I501" s="475" t="s">
        <v>101</v>
      </c>
      <c r="J501" s="475" t="s">
        <v>140</v>
      </c>
      <c r="K501" s="365">
        <v>44.36</v>
      </c>
      <c r="L501" s="475" t="s">
        <v>141</v>
      </c>
      <c r="M501" s="473"/>
    </row>
    <row r="502" spans="1:13" ht="13.5">
      <c r="A502" s="475" t="s">
        <v>5284</v>
      </c>
      <c r="B502" s="475" t="s">
        <v>5285</v>
      </c>
      <c r="C502" s="475" t="s">
        <v>5288</v>
      </c>
      <c r="D502" s="475" t="s">
        <v>5289</v>
      </c>
      <c r="E502" s="476" t="s">
        <v>34</v>
      </c>
      <c r="F502" s="475" t="s">
        <v>34</v>
      </c>
      <c r="G502" s="364">
        <v>90638</v>
      </c>
      <c r="H502" s="475" t="s">
        <v>546</v>
      </c>
      <c r="I502" s="475" t="s">
        <v>101</v>
      </c>
      <c r="J502" s="475" t="s">
        <v>337</v>
      </c>
      <c r="K502" s="365">
        <v>3.38</v>
      </c>
      <c r="L502" s="475" t="s">
        <v>141</v>
      </c>
      <c r="M502" s="473"/>
    </row>
    <row r="503" spans="1:13" ht="13.5">
      <c r="A503" s="475" t="s">
        <v>5284</v>
      </c>
      <c r="B503" s="475" t="s">
        <v>5285</v>
      </c>
      <c r="C503" s="475" t="s">
        <v>5288</v>
      </c>
      <c r="D503" s="475" t="s">
        <v>5289</v>
      </c>
      <c r="E503" s="476" t="s">
        <v>34</v>
      </c>
      <c r="F503" s="475" t="s">
        <v>34</v>
      </c>
      <c r="G503" s="364">
        <v>90644</v>
      </c>
      <c r="H503" s="475" t="s">
        <v>547</v>
      </c>
      <c r="I503" s="475" t="s">
        <v>101</v>
      </c>
      <c r="J503" s="475" t="s">
        <v>337</v>
      </c>
      <c r="K503" s="365">
        <v>5.04</v>
      </c>
      <c r="L503" s="475" t="s">
        <v>141</v>
      </c>
      <c r="M503" s="473"/>
    </row>
    <row r="504" spans="1:13" ht="13.5">
      <c r="A504" s="475" t="s">
        <v>5284</v>
      </c>
      <c r="B504" s="475" t="s">
        <v>5285</v>
      </c>
      <c r="C504" s="475" t="s">
        <v>5288</v>
      </c>
      <c r="D504" s="475" t="s">
        <v>5289</v>
      </c>
      <c r="E504" s="476" t="s">
        <v>34</v>
      </c>
      <c r="F504" s="475" t="s">
        <v>34</v>
      </c>
      <c r="G504" s="364">
        <v>90651</v>
      </c>
      <c r="H504" s="475" t="s">
        <v>548</v>
      </c>
      <c r="I504" s="475" t="s">
        <v>101</v>
      </c>
      <c r="J504" s="475" t="s">
        <v>337</v>
      </c>
      <c r="K504" s="365">
        <v>0.63</v>
      </c>
      <c r="L504" s="475" t="s">
        <v>141</v>
      </c>
      <c r="M504" s="473"/>
    </row>
    <row r="505" spans="1:13" ht="13.5">
      <c r="A505" s="475" t="s">
        <v>5284</v>
      </c>
      <c r="B505" s="475" t="s">
        <v>5285</v>
      </c>
      <c r="C505" s="475" t="s">
        <v>5288</v>
      </c>
      <c r="D505" s="475" t="s">
        <v>5289</v>
      </c>
      <c r="E505" s="476" t="s">
        <v>34</v>
      </c>
      <c r="F505" s="475" t="s">
        <v>34</v>
      </c>
      <c r="G505" s="364">
        <v>90657</v>
      </c>
      <c r="H505" s="475" t="s">
        <v>549</v>
      </c>
      <c r="I505" s="475" t="s">
        <v>101</v>
      </c>
      <c r="J505" s="475" t="s">
        <v>337</v>
      </c>
      <c r="K505" s="365">
        <v>3.28</v>
      </c>
      <c r="L505" s="475" t="s">
        <v>141</v>
      </c>
      <c r="M505" s="473"/>
    </row>
    <row r="506" spans="1:13" ht="13.5">
      <c r="A506" s="475" t="s">
        <v>5284</v>
      </c>
      <c r="B506" s="475" t="s">
        <v>5285</v>
      </c>
      <c r="C506" s="475" t="s">
        <v>5288</v>
      </c>
      <c r="D506" s="475" t="s">
        <v>5289</v>
      </c>
      <c r="E506" s="476" t="s">
        <v>34</v>
      </c>
      <c r="F506" s="475" t="s">
        <v>34</v>
      </c>
      <c r="G506" s="364">
        <v>90663</v>
      </c>
      <c r="H506" s="475" t="s">
        <v>550</v>
      </c>
      <c r="I506" s="475" t="s">
        <v>101</v>
      </c>
      <c r="J506" s="475" t="s">
        <v>337</v>
      </c>
      <c r="K506" s="365">
        <v>3.51</v>
      </c>
      <c r="L506" s="475" t="s">
        <v>141</v>
      </c>
      <c r="M506" s="473"/>
    </row>
    <row r="507" spans="1:13" ht="13.5">
      <c r="A507" s="475" t="s">
        <v>5284</v>
      </c>
      <c r="B507" s="475" t="s">
        <v>5285</v>
      </c>
      <c r="C507" s="475" t="s">
        <v>5288</v>
      </c>
      <c r="D507" s="475" t="s">
        <v>5289</v>
      </c>
      <c r="E507" s="476" t="s">
        <v>34</v>
      </c>
      <c r="F507" s="475" t="s">
        <v>34</v>
      </c>
      <c r="G507" s="364">
        <v>90669</v>
      </c>
      <c r="H507" s="475" t="s">
        <v>551</v>
      </c>
      <c r="I507" s="475" t="s">
        <v>101</v>
      </c>
      <c r="J507" s="475" t="s">
        <v>140</v>
      </c>
      <c r="K507" s="365">
        <v>4.5999999999999996</v>
      </c>
      <c r="L507" s="475" t="s">
        <v>141</v>
      </c>
      <c r="M507" s="473"/>
    </row>
    <row r="508" spans="1:13" ht="13.5">
      <c r="A508" s="475" t="s">
        <v>5284</v>
      </c>
      <c r="B508" s="475" t="s">
        <v>5285</v>
      </c>
      <c r="C508" s="475" t="s">
        <v>5288</v>
      </c>
      <c r="D508" s="475" t="s">
        <v>5289</v>
      </c>
      <c r="E508" s="476" t="s">
        <v>34</v>
      </c>
      <c r="F508" s="475" t="s">
        <v>34</v>
      </c>
      <c r="G508" s="364">
        <v>90675</v>
      </c>
      <c r="H508" s="475" t="s">
        <v>552</v>
      </c>
      <c r="I508" s="475" t="s">
        <v>101</v>
      </c>
      <c r="J508" s="475" t="s">
        <v>140</v>
      </c>
      <c r="K508" s="365">
        <v>149.46</v>
      </c>
      <c r="L508" s="475" t="s">
        <v>141</v>
      </c>
      <c r="M508" s="473"/>
    </row>
    <row r="509" spans="1:13" ht="13.5">
      <c r="A509" s="475" t="s">
        <v>5284</v>
      </c>
      <c r="B509" s="475" t="s">
        <v>5285</v>
      </c>
      <c r="C509" s="475" t="s">
        <v>5288</v>
      </c>
      <c r="D509" s="475" t="s">
        <v>5289</v>
      </c>
      <c r="E509" s="476" t="s">
        <v>34</v>
      </c>
      <c r="F509" s="475" t="s">
        <v>34</v>
      </c>
      <c r="G509" s="364">
        <v>90681</v>
      </c>
      <c r="H509" s="475" t="s">
        <v>553</v>
      </c>
      <c r="I509" s="475" t="s">
        <v>101</v>
      </c>
      <c r="J509" s="475" t="s">
        <v>140</v>
      </c>
      <c r="K509" s="365">
        <v>89.2</v>
      </c>
      <c r="L509" s="475" t="s">
        <v>141</v>
      </c>
      <c r="M509" s="473"/>
    </row>
    <row r="510" spans="1:13" ht="13.5">
      <c r="A510" s="475" t="s">
        <v>5284</v>
      </c>
      <c r="B510" s="475" t="s">
        <v>5285</v>
      </c>
      <c r="C510" s="475" t="s">
        <v>5288</v>
      </c>
      <c r="D510" s="475" t="s">
        <v>5289</v>
      </c>
      <c r="E510" s="476" t="s">
        <v>34</v>
      </c>
      <c r="F510" s="475" t="s">
        <v>34</v>
      </c>
      <c r="G510" s="364">
        <v>90687</v>
      </c>
      <c r="H510" s="475" t="s">
        <v>554</v>
      </c>
      <c r="I510" s="475" t="s">
        <v>101</v>
      </c>
      <c r="J510" s="475" t="s">
        <v>140</v>
      </c>
      <c r="K510" s="365">
        <v>50.02</v>
      </c>
      <c r="L510" s="475" t="s">
        <v>141</v>
      </c>
      <c r="M510" s="473"/>
    </row>
    <row r="511" spans="1:13" ht="13.5">
      <c r="A511" s="475" t="s">
        <v>5284</v>
      </c>
      <c r="B511" s="475" t="s">
        <v>5285</v>
      </c>
      <c r="C511" s="475" t="s">
        <v>5288</v>
      </c>
      <c r="D511" s="475" t="s">
        <v>5289</v>
      </c>
      <c r="E511" s="476" t="s">
        <v>34</v>
      </c>
      <c r="F511" s="475" t="s">
        <v>34</v>
      </c>
      <c r="G511" s="364">
        <v>90693</v>
      </c>
      <c r="H511" s="475" t="s">
        <v>555</v>
      </c>
      <c r="I511" s="475" t="s">
        <v>101</v>
      </c>
      <c r="J511" s="475" t="s">
        <v>140</v>
      </c>
      <c r="K511" s="365">
        <v>31.68</v>
      </c>
      <c r="L511" s="475" t="s">
        <v>141</v>
      </c>
      <c r="M511" s="473"/>
    </row>
    <row r="512" spans="1:13" ht="13.5">
      <c r="A512" s="475" t="s">
        <v>5284</v>
      </c>
      <c r="B512" s="475" t="s">
        <v>5285</v>
      </c>
      <c r="C512" s="475" t="s">
        <v>5288</v>
      </c>
      <c r="D512" s="475" t="s">
        <v>5289</v>
      </c>
      <c r="E512" s="476" t="s">
        <v>34</v>
      </c>
      <c r="F512" s="475" t="s">
        <v>34</v>
      </c>
      <c r="G512" s="364">
        <v>90965</v>
      </c>
      <c r="H512" s="475" t="s">
        <v>556</v>
      </c>
      <c r="I512" s="475" t="s">
        <v>101</v>
      </c>
      <c r="J512" s="475" t="s">
        <v>140</v>
      </c>
      <c r="K512" s="365">
        <v>3.92</v>
      </c>
      <c r="L512" s="475" t="s">
        <v>141</v>
      </c>
      <c r="M512" s="473"/>
    </row>
    <row r="513" spans="1:13" ht="13.5">
      <c r="A513" s="475" t="s">
        <v>5284</v>
      </c>
      <c r="B513" s="475" t="s">
        <v>5285</v>
      </c>
      <c r="C513" s="475" t="s">
        <v>5288</v>
      </c>
      <c r="D513" s="475" t="s">
        <v>5289</v>
      </c>
      <c r="E513" s="476" t="s">
        <v>34</v>
      </c>
      <c r="F513" s="475" t="s">
        <v>34</v>
      </c>
      <c r="G513" s="364">
        <v>90973</v>
      </c>
      <c r="H513" s="475" t="s">
        <v>557</v>
      </c>
      <c r="I513" s="475" t="s">
        <v>101</v>
      </c>
      <c r="J513" s="475" t="s">
        <v>140</v>
      </c>
      <c r="K513" s="365">
        <v>3.94</v>
      </c>
      <c r="L513" s="475" t="s">
        <v>141</v>
      </c>
      <c r="M513" s="473"/>
    </row>
    <row r="514" spans="1:13" ht="13.5">
      <c r="A514" s="475" t="s">
        <v>5284</v>
      </c>
      <c r="B514" s="475" t="s">
        <v>5285</v>
      </c>
      <c r="C514" s="475" t="s">
        <v>5288</v>
      </c>
      <c r="D514" s="475" t="s">
        <v>5289</v>
      </c>
      <c r="E514" s="476" t="s">
        <v>34</v>
      </c>
      <c r="F514" s="475" t="s">
        <v>34</v>
      </c>
      <c r="G514" s="364">
        <v>90982</v>
      </c>
      <c r="H514" s="475" t="s">
        <v>558</v>
      </c>
      <c r="I514" s="475" t="s">
        <v>101</v>
      </c>
      <c r="J514" s="475" t="s">
        <v>140</v>
      </c>
      <c r="K514" s="365">
        <v>10.01</v>
      </c>
      <c r="L514" s="475" t="s">
        <v>141</v>
      </c>
      <c r="M514" s="473"/>
    </row>
    <row r="515" spans="1:13" ht="13.5">
      <c r="A515" s="475" t="s">
        <v>5284</v>
      </c>
      <c r="B515" s="475" t="s">
        <v>5285</v>
      </c>
      <c r="C515" s="475" t="s">
        <v>5288</v>
      </c>
      <c r="D515" s="475" t="s">
        <v>5289</v>
      </c>
      <c r="E515" s="476" t="s">
        <v>34</v>
      </c>
      <c r="F515" s="475" t="s">
        <v>34</v>
      </c>
      <c r="G515" s="364">
        <v>91001</v>
      </c>
      <c r="H515" s="475" t="s">
        <v>559</v>
      </c>
      <c r="I515" s="475" t="s">
        <v>101</v>
      </c>
      <c r="J515" s="475" t="s">
        <v>140</v>
      </c>
      <c r="K515" s="365">
        <v>4.67</v>
      </c>
      <c r="L515" s="475" t="s">
        <v>141</v>
      </c>
      <c r="M515" s="473"/>
    </row>
    <row r="516" spans="1:13" ht="13.5">
      <c r="A516" s="475" t="s">
        <v>5284</v>
      </c>
      <c r="B516" s="475" t="s">
        <v>5285</v>
      </c>
      <c r="C516" s="475" t="s">
        <v>5288</v>
      </c>
      <c r="D516" s="475" t="s">
        <v>5289</v>
      </c>
      <c r="E516" s="476" t="s">
        <v>34</v>
      </c>
      <c r="F516" s="475" t="s">
        <v>34</v>
      </c>
      <c r="G516" s="364">
        <v>91032</v>
      </c>
      <c r="H516" s="475" t="s">
        <v>560</v>
      </c>
      <c r="I516" s="475" t="s">
        <v>101</v>
      </c>
      <c r="J516" s="475" t="s">
        <v>140</v>
      </c>
      <c r="K516" s="365">
        <v>31.65</v>
      </c>
      <c r="L516" s="475" t="s">
        <v>141</v>
      </c>
      <c r="M516" s="473"/>
    </row>
    <row r="517" spans="1:13" ht="13.5">
      <c r="A517" s="475" t="s">
        <v>5284</v>
      </c>
      <c r="B517" s="475" t="s">
        <v>5285</v>
      </c>
      <c r="C517" s="475" t="s">
        <v>5288</v>
      </c>
      <c r="D517" s="475" t="s">
        <v>5289</v>
      </c>
      <c r="E517" s="476" t="s">
        <v>34</v>
      </c>
      <c r="F517" s="475" t="s">
        <v>34</v>
      </c>
      <c r="G517" s="364">
        <v>91278</v>
      </c>
      <c r="H517" s="475" t="s">
        <v>561</v>
      </c>
      <c r="I517" s="475" t="s">
        <v>101</v>
      </c>
      <c r="J517" s="475" t="s">
        <v>337</v>
      </c>
      <c r="K517" s="365">
        <v>0.61</v>
      </c>
      <c r="L517" s="475" t="s">
        <v>141</v>
      </c>
      <c r="M517" s="473"/>
    </row>
    <row r="518" spans="1:13" ht="13.5">
      <c r="A518" s="475" t="s">
        <v>5284</v>
      </c>
      <c r="B518" s="475" t="s">
        <v>5285</v>
      </c>
      <c r="C518" s="475" t="s">
        <v>5288</v>
      </c>
      <c r="D518" s="475" t="s">
        <v>5289</v>
      </c>
      <c r="E518" s="476" t="s">
        <v>34</v>
      </c>
      <c r="F518" s="475" t="s">
        <v>34</v>
      </c>
      <c r="G518" s="364">
        <v>91285</v>
      </c>
      <c r="H518" s="475" t="s">
        <v>562</v>
      </c>
      <c r="I518" s="475" t="s">
        <v>101</v>
      </c>
      <c r="J518" s="475" t="s">
        <v>337</v>
      </c>
      <c r="K518" s="365">
        <v>0.67</v>
      </c>
      <c r="L518" s="475" t="s">
        <v>141</v>
      </c>
      <c r="M518" s="473"/>
    </row>
    <row r="519" spans="1:13" ht="13.5">
      <c r="A519" s="475" t="s">
        <v>5284</v>
      </c>
      <c r="B519" s="475" t="s">
        <v>5285</v>
      </c>
      <c r="C519" s="475" t="s">
        <v>5288</v>
      </c>
      <c r="D519" s="475" t="s">
        <v>5289</v>
      </c>
      <c r="E519" s="476" t="s">
        <v>34</v>
      </c>
      <c r="F519" s="475" t="s">
        <v>34</v>
      </c>
      <c r="G519" s="364">
        <v>91387</v>
      </c>
      <c r="H519" s="475" t="s">
        <v>563</v>
      </c>
      <c r="I519" s="475" t="s">
        <v>101</v>
      </c>
      <c r="J519" s="475" t="s">
        <v>140</v>
      </c>
      <c r="K519" s="365">
        <v>34.65</v>
      </c>
      <c r="L519" s="475" t="s">
        <v>141</v>
      </c>
      <c r="M519" s="473"/>
    </row>
    <row r="520" spans="1:13" ht="13.5">
      <c r="A520" s="475" t="s">
        <v>5284</v>
      </c>
      <c r="B520" s="475" t="s">
        <v>5285</v>
      </c>
      <c r="C520" s="475" t="s">
        <v>5288</v>
      </c>
      <c r="D520" s="475" t="s">
        <v>5289</v>
      </c>
      <c r="E520" s="476" t="s">
        <v>34</v>
      </c>
      <c r="F520" s="475" t="s">
        <v>34</v>
      </c>
      <c r="G520" s="364">
        <v>91395</v>
      </c>
      <c r="H520" s="475" t="s">
        <v>564</v>
      </c>
      <c r="I520" s="475" t="s">
        <v>101</v>
      </c>
      <c r="J520" s="475" t="s">
        <v>140</v>
      </c>
      <c r="K520" s="365">
        <v>29.12</v>
      </c>
      <c r="L520" s="475" t="s">
        <v>141</v>
      </c>
      <c r="M520" s="473"/>
    </row>
    <row r="521" spans="1:13" ht="13.5">
      <c r="A521" s="475" t="s">
        <v>5284</v>
      </c>
      <c r="B521" s="475" t="s">
        <v>5285</v>
      </c>
      <c r="C521" s="475" t="s">
        <v>5288</v>
      </c>
      <c r="D521" s="475" t="s">
        <v>5289</v>
      </c>
      <c r="E521" s="476" t="s">
        <v>34</v>
      </c>
      <c r="F521" s="475" t="s">
        <v>34</v>
      </c>
      <c r="G521" s="364">
        <v>91486</v>
      </c>
      <c r="H521" s="475" t="s">
        <v>565</v>
      </c>
      <c r="I521" s="475" t="s">
        <v>101</v>
      </c>
      <c r="J521" s="475" t="s">
        <v>140</v>
      </c>
      <c r="K521" s="365">
        <v>34.57</v>
      </c>
      <c r="L521" s="475" t="s">
        <v>141</v>
      </c>
      <c r="M521" s="473"/>
    </row>
    <row r="522" spans="1:13" ht="13.5">
      <c r="A522" s="475" t="s">
        <v>5284</v>
      </c>
      <c r="B522" s="475" t="s">
        <v>5285</v>
      </c>
      <c r="C522" s="475" t="s">
        <v>5288</v>
      </c>
      <c r="D522" s="475" t="s">
        <v>5289</v>
      </c>
      <c r="E522" s="476" t="s">
        <v>34</v>
      </c>
      <c r="F522" s="475" t="s">
        <v>34</v>
      </c>
      <c r="G522" s="364">
        <v>91534</v>
      </c>
      <c r="H522" s="475" t="s">
        <v>566</v>
      </c>
      <c r="I522" s="475" t="s">
        <v>101</v>
      </c>
      <c r="J522" s="475" t="s">
        <v>337</v>
      </c>
      <c r="K522" s="365">
        <v>16</v>
      </c>
      <c r="L522" s="475" t="s">
        <v>141</v>
      </c>
      <c r="M522" s="473"/>
    </row>
    <row r="523" spans="1:13" ht="13.5">
      <c r="A523" s="475" t="s">
        <v>5284</v>
      </c>
      <c r="B523" s="475" t="s">
        <v>5285</v>
      </c>
      <c r="C523" s="475" t="s">
        <v>5288</v>
      </c>
      <c r="D523" s="475" t="s">
        <v>5289</v>
      </c>
      <c r="E523" s="476" t="s">
        <v>34</v>
      </c>
      <c r="F523" s="475" t="s">
        <v>34</v>
      </c>
      <c r="G523" s="364">
        <v>91635</v>
      </c>
      <c r="H523" s="475" t="s">
        <v>567</v>
      </c>
      <c r="I523" s="475" t="s">
        <v>101</v>
      </c>
      <c r="J523" s="475" t="s">
        <v>140</v>
      </c>
      <c r="K523" s="365">
        <v>27.97</v>
      </c>
      <c r="L523" s="475" t="s">
        <v>141</v>
      </c>
      <c r="M523" s="473"/>
    </row>
    <row r="524" spans="1:13" ht="13.5">
      <c r="A524" s="475" t="s">
        <v>5284</v>
      </c>
      <c r="B524" s="475" t="s">
        <v>5285</v>
      </c>
      <c r="C524" s="475" t="s">
        <v>5288</v>
      </c>
      <c r="D524" s="475" t="s">
        <v>5289</v>
      </c>
      <c r="E524" s="476" t="s">
        <v>34</v>
      </c>
      <c r="F524" s="475" t="s">
        <v>34</v>
      </c>
      <c r="G524" s="364">
        <v>91646</v>
      </c>
      <c r="H524" s="475" t="s">
        <v>568</v>
      </c>
      <c r="I524" s="475" t="s">
        <v>101</v>
      </c>
      <c r="J524" s="475" t="s">
        <v>140</v>
      </c>
      <c r="K524" s="365">
        <v>45.47</v>
      </c>
      <c r="L524" s="475" t="s">
        <v>141</v>
      </c>
      <c r="M524" s="473"/>
    </row>
    <row r="525" spans="1:13" ht="13.5">
      <c r="A525" s="475" t="s">
        <v>5284</v>
      </c>
      <c r="B525" s="475" t="s">
        <v>5285</v>
      </c>
      <c r="C525" s="475" t="s">
        <v>5288</v>
      </c>
      <c r="D525" s="475" t="s">
        <v>5289</v>
      </c>
      <c r="E525" s="476" t="s">
        <v>34</v>
      </c>
      <c r="F525" s="475" t="s">
        <v>34</v>
      </c>
      <c r="G525" s="364">
        <v>91693</v>
      </c>
      <c r="H525" s="475" t="s">
        <v>569</v>
      </c>
      <c r="I525" s="475" t="s">
        <v>101</v>
      </c>
      <c r="J525" s="475" t="s">
        <v>337</v>
      </c>
      <c r="K525" s="365">
        <v>15.16</v>
      </c>
      <c r="L525" s="475" t="s">
        <v>141</v>
      </c>
      <c r="M525" s="473"/>
    </row>
    <row r="526" spans="1:13" ht="13.5">
      <c r="A526" s="475" t="s">
        <v>5284</v>
      </c>
      <c r="B526" s="475" t="s">
        <v>5285</v>
      </c>
      <c r="C526" s="475" t="s">
        <v>5288</v>
      </c>
      <c r="D526" s="475" t="s">
        <v>5289</v>
      </c>
      <c r="E526" s="476" t="s">
        <v>34</v>
      </c>
      <c r="F526" s="475" t="s">
        <v>34</v>
      </c>
      <c r="G526" s="364">
        <v>92044</v>
      </c>
      <c r="H526" s="475" t="s">
        <v>570</v>
      </c>
      <c r="I526" s="475" t="s">
        <v>101</v>
      </c>
      <c r="J526" s="475" t="s">
        <v>140</v>
      </c>
      <c r="K526" s="365">
        <v>4.95</v>
      </c>
      <c r="L526" s="475" t="s">
        <v>141</v>
      </c>
      <c r="M526" s="473"/>
    </row>
    <row r="527" spans="1:13" ht="13.5">
      <c r="A527" s="475" t="s">
        <v>5284</v>
      </c>
      <c r="B527" s="475" t="s">
        <v>5285</v>
      </c>
      <c r="C527" s="475" t="s">
        <v>5288</v>
      </c>
      <c r="D527" s="475" t="s">
        <v>5289</v>
      </c>
      <c r="E527" s="476" t="s">
        <v>34</v>
      </c>
      <c r="F527" s="475" t="s">
        <v>34</v>
      </c>
      <c r="G527" s="364">
        <v>92107</v>
      </c>
      <c r="H527" s="475" t="s">
        <v>571</v>
      </c>
      <c r="I527" s="475" t="s">
        <v>101</v>
      </c>
      <c r="J527" s="475" t="s">
        <v>140</v>
      </c>
      <c r="K527" s="365">
        <v>36.119999999999997</v>
      </c>
      <c r="L527" s="475" t="s">
        <v>141</v>
      </c>
      <c r="M527" s="473"/>
    </row>
    <row r="528" spans="1:13" ht="13.5">
      <c r="A528" s="475" t="s">
        <v>5284</v>
      </c>
      <c r="B528" s="475" t="s">
        <v>5285</v>
      </c>
      <c r="C528" s="475" t="s">
        <v>5288</v>
      </c>
      <c r="D528" s="475" t="s">
        <v>5289</v>
      </c>
      <c r="E528" s="476" t="s">
        <v>34</v>
      </c>
      <c r="F528" s="475" t="s">
        <v>34</v>
      </c>
      <c r="G528" s="364">
        <v>92113</v>
      </c>
      <c r="H528" s="475" t="s">
        <v>572</v>
      </c>
      <c r="I528" s="475" t="s">
        <v>101</v>
      </c>
      <c r="J528" s="475" t="s">
        <v>337</v>
      </c>
      <c r="K528" s="365">
        <v>0.78</v>
      </c>
      <c r="L528" s="475" t="s">
        <v>141</v>
      </c>
      <c r="M528" s="473"/>
    </row>
    <row r="529" spans="1:13" ht="13.5">
      <c r="A529" s="475" t="s">
        <v>5284</v>
      </c>
      <c r="B529" s="475" t="s">
        <v>5285</v>
      </c>
      <c r="C529" s="475" t="s">
        <v>5288</v>
      </c>
      <c r="D529" s="475" t="s">
        <v>5289</v>
      </c>
      <c r="E529" s="476" t="s">
        <v>34</v>
      </c>
      <c r="F529" s="475" t="s">
        <v>34</v>
      </c>
      <c r="G529" s="364">
        <v>92119</v>
      </c>
      <c r="H529" s="475" t="s">
        <v>573</v>
      </c>
      <c r="I529" s="475" t="s">
        <v>101</v>
      </c>
      <c r="J529" s="475" t="s">
        <v>337</v>
      </c>
      <c r="K529" s="365">
        <v>0.08</v>
      </c>
      <c r="L529" s="475" t="s">
        <v>141</v>
      </c>
      <c r="M529" s="473"/>
    </row>
    <row r="530" spans="1:13" ht="13.5">
      <c r="A530" s="475" t="s">
        <v>5284</v>
      </c>
      <c r="B530" s="475" t="s">
        <v>5285</v>
      </c>
      <c r="C530" s="475" t="s">
        <v>5288</v>
      </c>
      <c r="D530" s="475" t="s">
        <v>5289</v>
      </c>
      <c r="E530" s="476" t="s">
        <v>34</v>
      </c>
      <c r="F530" s="475" t="s">
        <v>34</v>
      </c>
      <c r="G530" s="364">
        <v>92139</v>
      </c>
      <c r="H530" s="475" t="s">
        <v>574</v>
      </c>
      <c r="I530" s="475" t="s">
        <v>101</v>
      </c>
      <c r="J530" s="475" t="s">
        <v>337</v>
      </c>
      <c r="K530" s="365">
        <v>24.93</v>
      </c>
      <c r="L530" s="475" t="s">
        <v>141</v>
      </c>
      <c r="M530" s="473"/>
    </row>
    <row r="531" spans="1:13" ht="13.5">
      <c r="A531" s="475" t="s">
        <v>5284</v>
      </c>
      <c r="B531" s="475" t="s">
        <v>5285</v>
      </c>
      <c r="C531" s="475" t="s">
        <v>5288</v>
      </c>
      <c r="D531" s="475" t="s">
        <v>5289</v>
      </c>
      <c r="E531" s="476" t="s">
        <v>34</v>
      </c>
      <c r="F531" s="475" t="s">
        <v>34</v>
      </c>
      <c r="G531" s="364">
        <v>92146</v>
      </c>
      <c r="H531" s="475" t="s">
        <v>575</v>
      </c>
      <c r="I531" s="475" t="s">
        <v>101</v>
      </c>
      <c r="J531" s="475" t="s">
        <v>337</v>
      </c>
      <c r="K531" s="365">
        <v>18.03</v>
      </c>
      <c r="L531" s="475" t="s">
        <v>141</v>
      </c>
      <c r="M531" s="473"/>
    </row>
    <row r="532" spans="1:13" ht="13.5">
      <c r="A532" s="475" t="s">
        <v>5284</v>
      </c>
      <c r="B532" s="475" t="s">
        <v>5285</v>
      </c>
      <c r="C532" s="475" t="s">
        <v>5288</v>
      </c>
      <c r="D532" s="475" t="s">
        <v>5289</v>
      </c>
      <c r="E532" s="476" t="s">
        <v>34</v>
      </c>
      <c r="F532" s="475" t="s">
        <v>34</v>
      </c>
      <c r="G532" s="364">
        <v>92243</v>
      </c>
      <c r="H532" s="475" t="s">
        <v>576</v>
      </c>
      <c r="I532" s="475" t="s">
        <v>101</v>
      </c>
      <c r="J532" s="475" t="s">
        <v>140</v>
      </c>
      <c r="K532" s="365">
        <v>38.590000000000003</v>
      </c>
      <c r="L532" s="475" t="s">
        <v>141</v>
      </c>
      <c r="M532" s="473"/>
    </row>
    <row r="533" spans="1:13" ht="13.5">
      <c r="A533" s="475" t="s">
        <v>5284</v>
      </c>
      <c r="B533" s="475" t="s">
        <v>5285</v>
      </c>
      <c r="C533" s="475" t="s">
        <v>5288</v>
      </c>
      <c r="D533" s="475" t="s">
        <v>5289</v>
      </c>
      <c r="E533" s="476" t="s">
        <v>34</v>
      </c>
      <c r="F533" s="475" t="s">
        <v>34</v>
      </c>
      <c r="G533" s="364">
        <v>92717</v>
      </c>
      <c r="H533" s="475" t="s">
        <v>577</v>
      </c>
      <c r="I533" s="475" t="s">
        <v>101</v>
      </c>
      <c r="J533" s="475" t="s">
        <v>140</v>
      </c>
      <c r="K533" s="365">
        <v>0.22</v>
      </c>
      <c r="L533" s="475" t="s">
        <v>141</v>
      </c>
      <c r="M533" s="473"/>
    </row>
    <row r="534" spans="1:13" ht="13.5">
      <c r="A534" s="475" t="s">
        <v>5284</v>
      </c>
      <c r="B534" s="475" t="s">
        <v>5285</v>
      </c>
      <c r="C534" s="475" t="s">
        <v>5288</v>
      </c>
      <c r="D534" s="475" t="s">
        <v>5289</v>
      </c>
      <c r="E534" s="476" t="s">
        <v>34</v>
      </c>
      <c r="F534" s="475" t="s">
        <v>34</v>
      </c>
      <c r="G534" s="364">
        <v>92961</v>
      </c>
      <c r="H534" s="475" t="s">
        <v>578</v>
      </c>
      <c r="I534" s="475" t="s">
        <v>101</v>
      </c>
      <c r="J534" s="475" t="s">
        <v>140</v>
      </c>
      <c r="K534" s="365">
        <v>6.13</v>
      </c>
      <c r="L534" s="475" t="s">
        <v>141</v>
      </c>
      <c r="M534" s="473"/>
    </row>
    <row r="535" spans="1:13" ht="13.5">
      <c r="A535" s="475" t="s">
        <v>5284</v>
      </c>
      <c r="B535" s="475" t="s">
        <v>5285</v>
      </c>
      <c r="C535" s="475" t="s">
        <v>5288</v>
      </c>
      <c r="D535" s="475" t="s">
        <v>5289</v>
      </c>
      <c r="E535" s="476" t="s">
        <v>34</v>
      </c>
      <c r="F535" s="475" t="s">
        <v>34</v>
      </c>
      <c r="G535" s="364">
        <v>92967</v>
      </c>
      <c r="H535" s="475" t="s">
        <v>579</v>
      </c>
      <c r="I535" s="475" t="s">
        <v>101</v>
      </c>
      <c r="J535" s="475" t="s">
        <v>140</v>
      </c>
      <c r="K535" s="365">
        <v>16.41</v>
      </c>
      <c r="L535" s="475" t="s">
        <v>141</v>
      </c>
      <c r="M535" s="473"/>
    </row>
    <row r="536" spans="1:13" ht="13.5">
      <c r="A536" s="475" t="s">
        <v>5284</v>
      </c>
      <c r="B536" s="475" t="s">
        <v>5285</v>
      </c>
      <c r="C536" s="475" t="s">
        <v>5288</v>
      </c>
      <c r="D536" s="475" t="s">
        <v>5289</v>
      </c>
      <c r="E536" s="476" t="s">
        <v>34</v>
      </c>
      <c r="F536" s="475" t="s">
        <v>34</v>
      </c>
      <c r="G536" s="364">
        <v>93225</v>
      </c>
      <c r="H536" s="475" t="s">
        <v>580</v>
      </c>
      <c r="I536" s="475" t="s">
        <v>101</v>
      </c>
      <c r="J536" s="475" t="s">
        <v>140</v>
      </c>
      <c r="K536" s="365">
        <v>224.02</v>
      </c>
      <c r="L536" s="475" t="s">
        <v>141</v>
      </c>
      <c r="M536" s="473"/>
    </row>
    <row r="537" spans="1:13" ht="13.5">
      <c r="A537" s="475" t="s">
        <v>5284</v>
      </c>
      <c r="B537" s="475" t="s">
        <v>5285</v>
      </c>
      <c r="C537" s="475" t="s">
        <v>5288</v>
      </c>
      <c r="D537" s="475" t="s">
        <v>5289</v>
      </c>
      <c r="E537" s="476" t="s">
        <v>34</v>
      </c>
      <c r="F537" s="475" t="s">
        <v>34</v>
      </c>
      <c r="G537" s="364">
        <v>93234</v>
      </c>
      <c r="H537" s="475" t="s">
        <v>581</v>
      </c>
      <c r="I537" s="475" t="s">
        <v>101</v>
      </c>
      <c r="J537" s="475" t="s">
        <v>337</v>
      </c>
      <c r="K537" s="365">
        <v>0.33</v>
      </c>
      <c r="L537" s="475" t="s">
        <v>141</v>
      </c>
      <c r="M537" s="473"/>
    </row>
    <row r="538" spans="1:13" ht="13.5">
      <c r="A538" s="475" t="s">
        <v>5284</v>
      </c>
      <c r="B538" s="475" t="s">
        <v>5285</v>
      </c>
      <c r="C538" s="475" t="s">
        <v>5288</v>
      </c>
      <c r="D538" s="475" t="s">
        <v>5289</v>
      </c>
      <c r="E538" s="476" t="s">
        <v>34</v>
      </c>
      <c r="F538" s="475" t="s">
        <v>34</v>
      </c>
      <c r="G538" s="364">
        <v>93244</v>
      </c>
      <c r="H538" s="475" t="s">
        <v>582</v>
      </c>
      <c r="I538" s="475" t="s">
        <v>101</v>
      </c>
      <c r="J538" s="475" t="s">
        <v>140</v>
      </c>
      <c r="K538" s="365">
        <v>34.25</v>
      </c>
      <c r="L538" s="475" t="s">
        <v>141</v>
      </c>
      <c r="M538" s="473"/>
    </row>
    <row r="539" spans="1:13" ht="13.5">
      <c r="A539" s="475" t="s">
        <v>5284</v>
      </c>
      <c r="B539" s="475" t="s">
        <v>5285</v>
      </c>
      <c r="C539" s="475" t="s">
        <v>5288</v>
      </c>
      <c r="D539" s="475" t="s">
        <v>5289</v>
      </c>
      <c r="E539" s="476" t="s">
        <v>34</v>
      </c>
      <c r="F539" s="475" t="s">
        <v>34</v>
      </c>
      <c r="G539" s="364">
        <v>93274</v>
      </c>
      <c r="H539" s="475" t="s">
        <v>583</v>
      </c>
      <c r="I539" s="475" t="s">
        <v>101</v>
      </c>
      <c r="J539" s="475" t="s">
        <v>140</v>
      </c>
      <c r="K539" s="365">
        <v>43.39</v>
      </c>
      <c r="L539" s="475" t="s">
        <v>141</v>
      </c>
      <c r="M539" s="473"/>
    </row>
    <row r="540" spans="1:13" ht="13.5">
      <c r="A540" s="475" t="s">
        <v>5284</v>
      </c>
      <c r="B540" s="475" t="s">
        <v>5285</v>
      </c>
      <c r="C540" s="475" t="s">
        <v>5288</v>
      </c>
      <c r="D540" s="475" t="s">
        <v>5289</v>
      </c>
      <c r="E540" s="476" t="s">
        <v>34</v>
      </c>
      <c r="F540" s="475" t="s">
        <v>34</v>
      </c>
      <c r="G540" s="364">
        <v>93282</v>
      </c>
      <c r="H540" s="475" t="s">
        <v>584</v>
      </c>
      <c r="I540" s="475" t="s">
        <v>101</v>
      </c>
      <c r="J540" s="475" t="s">
        <v>140</v>
      </c>
      <c r="K540" s="365">
        <v>15.45</v>
      </c>
      <c r="L540" s="475" t="s">
        <v>141</v>
      </c>
      <c r="M540" s="473"/>
    </row>
    <row r="541" spans="1:13" ht="13.5">
      <c r="A541" s="475" t="s">
        <v>5284</v>
      </c>
      <c r="B541" s="475" t="s">
        <v>5285</v>
      </c>
      <c r="C541" s="475" t="s">
        <v>5288</v>
      </c>
      <c r="D541" s="475" t="s">
        <v>5289</v>
      </c>
      <c r="E541" s="476" t="s">
        <v>34</v>
      </c>
      <c r="F541" s="475" t="s">
        <v>34</v>
      </c>
      <c r="G541" s="364">
        <v>93288</v>
      </c>
      <c r="H541" s="475" t="s">
        <v>585</v>
      </c>
      <c r="I541" s="475" t="s">
        <v>101</v>
      </c>
      <c r="J541" s="475" t="s">
        <v>140</v>
      </c>
      <c r="K541" s="365">
        <v>83.64</v>
      </c>
      <c r="L541" s="475" t="s">
        <v>141</v>
      </c>
      <c r="M541" s="473"/>
    </row>
    <row r="542" spans="1:13" ht="13.5">
      <c r="A542" s="475" t="s">
        <v>5284</v>
      </c>
      <c r="B542" s="475" t="s">
        <v>5285</v>
      </c>
      <c r="C542" s="475" t="s">
        <v>5288</v>
      </c>
      <c r="D542" s="475" t="s">
        <v>5289</v>
      </c>
      <c r="E542" s="476" t="s">
        <v>34</v>
      </c>
      <c r="F542" s="475" t="s">
        <v>34</v>
      </c>
      <c r="G542" s="364">
        <v>93403</v>
      </c>
      <c r="H542" s="475" t="s">
        <v>586</v>
      </c>
      <c r="I542" s="475" t="s">
        <v>101</v>
      </c>
      <c r="J542" s="475" t="s">
        <v>140</v>
      </c>
      <c r="K542" s="365">
        <v>27.97</v>
      </c>
      <c r="L542" s="475" t="s">
        <v>141</v>
      </c>
      <c r="M542" s="473"/>
    </row>
    <row r="543" spans="1:13" ht="13.5">
      <c r="A543" s="475" t="s">
        <v>5284</v>
      </c>
      <c r="B543" s="475" t="s">
        <v>5285</v>
      </c>
      <c r="C543" s="475" t="s">
        <v>5288</v>
      </c>
      <c r="D543" s="475" t="s">
        <v>5289</v>
      </c>
      <c r="E543" s="476" t="s">
        <v>34</v>
      </c>
      <c r="F543" s="475" t="s">
        <v>34</v>
      </c>
      <c r="G543" s="364">
        <v>93409</v>
      </c>
      <c r="H543" s="475" t="s">
        <v>587</v>
      </c>
      <c r="I543" s="475" t="s">
        <v>101</v>
      </c>
      <c r="J543" s="475" t="s">
        <v>140</v>
      </c>
      <c r="K543" s="365">
        <v>24.75</v>
      </c>
      <c r="L543" s="475" t="s">
        <v>141</v>
      </c>
      <c r="M543" s="473"/>
    </row>
    <row r="544" spans="1:13" ht="13.5">
      <c r="A544" s="475" t="s">
        <v>5284</v>
      </c>
      <c r="B544" s="475" t="s">
        <v>5285</v>
      </c>
      <c r="C544" s="475" t="s">
        <v>5288</v>
      </c>
      <c r="D544" s="475" t="s">
        <v>5289</v>
      </c>
      <c r="E544" s="476" t="s">
        <v>34</v>
      </c>
      <c r="F544" s="475" t="s">
        <v>34</v>
      </c>
      <c r="G544" s="364">
        <v>93416</v>
      </c>
      <c r="H544" s="475" t="s">
        <v>588</v>
      </c>
      <c r="I544" s="475" t="s">
        <v>101</v>
      </c>
      <c r="J544" s="475" t="s">
        <v>140</v>
      </c>
      <c r="K544" s="365">
        <v>0.25</v>
      </c>
      <c r="L544" s="475" t="s">
        <v>141</v>
      </c>
      <c r="M544" s="473"/>
    </row>
    <row r="545" spans="1:13" ht="13.5">
      <c r="A545" s="475" t="s">
        <v>5284</v>
      </c>
      <c r="B545" s="475" t="s">
        <v>5285</v>
      </c>
      <c r="C545" s="475" t="s">
        <v>5288</v>
      </c>
      <c r="D545" s="475" t="s">
        <v>5289</v>
      </c>
      <c r="E545" s="476" t="s">
        <v>34</v>
      </c>
      <c r="F545" s="475" t="s">
        <v>34</v>
      </c>
      <c r="G545" s="364">
        <v>93422</v>
      </c>
      <c r="H545" s="475" t="s">
        <v>589</v>
      </c>
      <c r="I545" s="475" t="s">
        <v>101</v>
      </c>
      <c r="J545" s="475" t="s">
        <v>140</v>
      </c>
      <c r="K545" s="365">
        <v>3.45</v>
      </c>
      <c r="L545" s="475" t="s">
        <v>141</v>
      </c>
      <c r="M545" s="473"/>
    </row>
    <row r="546" spans="1:13" ht="13.5">
      <c r="A546" s="475" t="s">
        <v>5284</v>
      </c>
      <c r="B546" s="475" t="s">
        <v>5285</v>
      </c>
      <c r="C546" s="475" t="s">
        <v>5288</v>
      </c>
      <c r="D546" s="475" t="s">
        <v>5289</v>
      </c>
      <c r="E546" s="476" t="s">
        <v>34</v>
      </c>
      <c r="F546" s="475" t="s">
        <v>34</v>
      </c>
      <c r="G546" s="364">
        <v>93428</v>
      </c>
      <c r="H546" s="475" t="s">
        <v>590</v>
      </c>
      <c r="I546" s="475" t="s">
        <v>101</v>
      </c>
      <c r="J546" s="475" t="s">
        <v>140</v>
      </c>
      <c r="K546" s="365">
        <v>4.88</v>
      </c>
      <c r="L546" s="475" t="s">
        <v>141</v>
      </c>
      <c r="M546" s="473"/>
    </row>
    <row r="547" spans="1:13" ht="13.5">
      <c r="A547" s="475" t="s">
        <v>5284</v>
      </c>
      <c r="B547" s="475" t="s">
        <v>5285</v>
      </c>
      <c r="C547" s="475" t="s">
        <v>5288</v>
      </c>
      <c r="D547" s="475" t="s">
        <v>5289</v>
      </c>
      <c r="E547" s="476" t="s">
        <v>34</v>
      </c>
      <c r="F547" s="475" t="s">
        <v>34</v>
      </c>
      <c r="G547" s="364">
        <v>93434</v>
      </c>
      <c r="H547" s="475" t="s">
        <v>591</v>
      </c>
      <c r="I547" s="475" t="s">
        <v>101</v>
      </c>
      <c r="J547" s="475" t="s">
        <v>140</v>
      </c>
      <c r="K547" s="365">
        <v>156.05000000000001</v>
      </c>
      <c r="L547" s="475" t="s">
        <v>141</v>
      </c>
      <c r="M547" s="473"/>
    </row>
    <row r="548" spans="1:13" ht="13.5">
      <c r="A548" s="475" t="s">
        <v>5284</v>
      </c>
      <c r="B548" s="475" t="s">
        <v>5285</v>
      </c>
      <c r="C548" s="475" t="s">
        <v>5288</v>
      </c>
      <c r="D548" s="475" t="s">
        <v>5289</v>
      </c>
      <c r="E548" s="476" t="s">
        <v>34</v>
      </c>
      <c r="F548" s="475" t="s">
        <v>34</v>
      </c>
      <c r="G548" s="364">
        <v>93440</v>
      </c>
      <c r="H548" s="475" t="s">
        <v>592</v>
      </c>
      <c r="I548" s="475" t="s">
        <v>101</v>
      </c>
      <c r="J548" s="475" t="s">
        <v>140</v>
      </c>
      <c r="K548" s="365">
        <v>78.02</v>
      </c>
      <c r="L548" s="475" t="s">
        <v>141</v>
      </c>
      <c r="M548" s="473"/>
    </row>
    <row r="549" spans="1:13" ht="13.5">
      <c r="A549" s="475" t="s">
        <v>5284</v>
      </c>
      <c r="B549" s="475" t="s">
        <v>5285</v>
      </c>
      <c r="C549" s="475" t="s">
        <v>5288</v>
      </c>
      <c r="D549" s="475" t="s">
        <v>5289</v>
      </c>
      <c r="E549" s="476" t="s">
        <v>34</v>
      </c>
      <c r="F549" s="475" t="s">
        <v>34</v>
      </c>
      <c r="G549" s="364">
        <v>95122</v>
      </c>
      <c r="H549" s="475" t="s">
        <v>593</v>
      </c>
      <c r="I549" s="475" t="s">
        <v>101</v>
      </c>
      <c r="J549" s="475" t="s">
        <v>140</v>
      </c>
      <c r="K549" s="365">
        <v>116.01</v>
      </c>
      <c r="L549" s="475" t="s">
        <v>141</v>
      </c>
      <c r="M549" s="473"/>
    </row>
    <row r="550" spans="1:13" ht="13.5">
      <c r="A550" s="475" t="s">
        <v>5284</v>
      </c>
      <c r="B550" s="475" t="s">
        <v>5285</v>
      </c>
      <c r="C550" s="475" t="s">
        <v>5288</v>
      </c>
      <c r="D550" s="475" t="s">
        <v>5289</v>
      </c>
      <c r="E550" s="476" t="s">
        <v>34</v>
      </c>
      <c r="F550" s="475" t="s">
        <v>34</v>
      </c>
      <c r="G550" s="364">
        <v>95128</v>
      </c>
      <c r="H550" s="475" t="s">
        <v>594</v>
      </c>
      <c r="I550" s="475" t="s">
        <v>101</v>
      </c>
      <c r="J550" s="475" t="s">
        <v>140</v>
      </c>
      <c r="K550" s="365">
        <v>29.9</v>
      </c>
      <c r="L550" s="475" t="s">
        <v>141</v>
      </c>
      <c r="M550" s="473"/>
    </row>
    <row r="551" spans="1:13" ht="13.5">
      <c r="A551" s="475" t="s">
        <v>5284</v>
      </c>
      <c r="B551" s="475" t="s">
        <v>5285</v>
      </c>
      <c r="C551" s="475" t="s">
        <v>5288</v>
      </c>
      <c r="D551" s="475" t="s">
        <v>5289</v>
      </c>
      <c r="E551" s="476" t="s">
        <v>34</v>
      </c>
      <c r="F551" s="475" t="s">
        <v>34</v>
      </c>
      <c r="G551" s="364">
        <v>95140</v>
      </c>
      <c r="H551" s="475" t="s">
        <v>595</v>
      </c>
      <c r="I551" s="475" t="s">
        <v>101</v>
      </c>
      <c r="J551" s="475" t="s">
        <v>140</v>
      </c>
      <c r="K551" s="365">
        <v>0.04</v>
      </c>
      <c r="L551" s="475" t="s">
        <v>141</v>
      </c>
      <c r="M551" s="473"/>
    </row>
    <row r="552" spans="1:13" ht="13.5">
      <c r="A552" s="475" t="s">
        <v>5284</v>
      </c>
      <c r="B552" s="475" t="s">
        <v>5285</v>
      </c>
      <c r="C552" s="475" t="s">
        <v>5288</v>
      </c>
      <c r="D552" s="475" t="s">
        <v>5289</v>
      </c>
      <c r="E552" s="476" t="s">
        <v>34</v>
      </c>
      <c r="F552" s="475" t="s">
        <v>34</v>
      </c>
      <c r="G552" s="364">
        <v>95213</v>
      </c>
      <c r="H552" s="475" t="s">
        <v>596</v>
      </c>
      <c r="I552" s="475" t="s">
        <v>101</v>
      </c>
      <c r="J552" s="475" t="s">
        <v>140</v>
      </c>
      <c r="K552" s="365">
        <v>47.15</v>
      </c>
      <c r="L552" s="475" t="s">
        <v>141</v>
      </c>
      <c r="M552" s="473"/>
    </row>
    <row r="553" spans="1:13" ht="13.5">
      <c r="A553" s="475" t="s">
        <v>5284</v>
      </c>
      <c r="B553" s="475" t="s">
        <v>5285</v>
      </c>
      <c r="C553" s="475" t="s">
        <v>5288</v>
      </c>
      <c r="D553" s="475" t="s">
        <v>5289</v>
      </c>
      <c r="E553" s="476" t="s">
        <v>34</v>
      </c>
      <c r="F553" s="475" t="s">
        <v>34</v>
      </c>
      <c r="G553" s="364">
        <v>95219</v>
      </c>
      <c r="H553" s="475" t="s">
        <v>597</v>
      </c>
      <c r="I553" s="475" t="s">
        <v>101</v>
      </c>
      <c r="J553" s="475" t="s">
        <v>337</v>
      </c>
      <c r="K553" s="365">
        <v>20.65</v>
      </c>
      <c r="L553" s="475" t="s">
        <v>141</v>
      </c>
      <c r="M553" s="473"/>
    </row>
    <row r="554" spans="1:13" ht="13.5">
      <c r="A554" s="475" t="s">
        <v>5284</v>
      </c>
      <c r="B554" s="475" t="s">
        <v>5285</v>
      </c>
      <c r="C554" s="475" t="s">
        <v>5288</v>
      </c>
      <c r="D554" s="475" t="s">
        <v>5289</v>
      </c>
      <c r="E554" s="476" t="s">
        <v>34</v>
      </c>
      <c r="F554" s="475" t="s">
        <v>34</v>
      </c>
      <c r="G554" s="364">
        <v>95259</v>
      </c>
      <c r="H554" s="475" t="s">
        <v>598</v>
      </c>
      <c r="I554" s="475" t="s">
        <v>101</v>
      </c>
      <c r="J554" s="475" t="s">
        <v>140</v>
      </c>
      <c r="K554" s="365">
        <v>16.27</v>
      </c>
      <c r="L554" s="475" t="s">
        <v>141</v>
      </c>
      <c r="M554" s="473"/>
    </row>
    <row r="555" spans="1:13" ht="13.5">
      <c r="A555" s="475" t="s">
        <v>5284</v>
      </c>
      <c r="B555" s="475" t="s">
        <v>5285</v>
      </c>
      <c r="C555" s="475" t="s">
        <v>5288</v>
      </c>
      <c r="D555" s="475" t="s">
        <v>5289</v>
      </c>
      <c r="E555" s="476" t="s">
        <v>34</v>
      </c>
      <c r="F555" s="475" t="s">
        <v>34</v>
      </c>
      <c r="G555" s="364">
        <v>95265</v>
      </c>
      <c r="H555" s="475" t="s">
        <v>599</v>
      </c>
      <c r="I555" s="475" t="s">
        <v>101</v>
      </c>
      <c r="J555" s="475" t="s">
        <v>140</v>
      </c>
      <c r="K555" s="365">
        <v>0.74</v>
      </c>
      <c r="L555" s="475" t="s">
        <v>141</v>
      </c>
      <c r="M555" s="473"/>
    </row>
    <row r="556" spans="1:13" ht="13.5">
      <c r="A556" s="475" t="s">
        <v>5284</v>
      </c>
      <c r="B556" s="475" t="s">
        <v>5285</v>
      </c>
      <c r="C556" s="475" t="s">
        <v>5288</v>
      </c>
      <c r="D556" s="475" t="s">
        <v>5289</v>
      </c>
      <c r="E556" s="476" t="s">
        <v>34</v>
      </c>
      <c r="F556" s="475" t="s">
        <v>34</v>
      </c>
      <c r="G556" s="364">
        <v>95271</v>
      </c>
      <c r="H556" s="475" t="s">
        <v>600</v>
      </c>
      <c r="I556" s="475" t="s">
        <v>101</v>
      </c>
      <c r="J556" s="475" t="s">
        <v>140</v>
      </c>
      <c r="K556" s="365">
        <v>0.49</v>
      </c>
      <c r="L556" s="475" t="s">
        <v>141</v>
      </c>
      <c r="M556" s="473"/>
    </row>
    <row r="557" spans="1:13" ht="13.5">
      <c r="A557" s="475" t="s">
        <v>5284</v>
      </c>
      <c r="B557" s="475" t="s">
        <v>5285</v>
      </c>
      <c r="C557" s="475" t="s">
        <v>5288</v>
      </c>
      <c r="D557" s="475" t="s">
        <v>5289</v>
      </c>
      <c r="E557" s="476" t="s">
        <v>34</v>
      </c>
      <c r="F557" s="475" t="s">
        <v>34</v>
      </c>
      <c r="G557" s="364">
        <v>95277</v>
      </c>
      <c r="H557" s="475" t="s">
        <v>601</v>
      </c>
      <c r="I557" s="475" t="s">
        <v>101</v>
      </c>
      <c r="J557" s="475" t="s">
        <v>140</v>
      </c>
      <c r="K557" s="365">
        <v>0.49</v>
      </c>
      <c r="L557" s="475" t="s">
        <v>141</v>
      </c>
      <c r="M557" s="473"/>
    </row>
    <row r="558" spans="1:13" ht="13.5">
      <c r="A558" s="475" t="s">
        <v>5284</v>
      </c>
      <c r="B558" s="475" t="s">
        <v>5285</v>
      </c>
      <c r="C558" s="475" t="s">
        <v>5288</v>
      </c>
      <c r="D558" s="475" t="s">
        <v>5289</v>
      </c>
      <c r="E558" s="476" t="s">
        <v>34</v>
      </c>
      <c r="F558" s="475" t="s">
        <v>34</v>
      </c>
      <c r="G558" s="364">
        <v>95283</v>
      </c>
      <c r="H558" s="475" t="s">
        <v>602</v>
      </c>
      <c r="I558" s="475" t="s">
        <v>101</v>
      </c>
      <c r="J558" s="475" t="s">
        <v>140</v>
      </c>
      <c r="K558" s="365">
        <v>0.53</v>
      </c>
      <c r="L558" s="475" t="s">
        <v>141</v>
      </c>
      <c r="M558" s="473"/>
    </row>
    <row r="559" spans="1:13" ht="13.5">
      <c r="A559" s="475" t="s">
        <v>5284</v>
      </c>
      <c r="B559" s="475" t="s">
        <v>5285</v>
      </c>
      <c r="C559" s="475" t="s">
        <v>5288</v>
      </c>
      <c r="D559" s="475" t="s">
        <v>5289</v>
      </c>
      <c r="E559" s="476" t="s">
        <v>34</v>
      </c>
      <c r="F559" s="475" t="s">
        <v>34</v>
      </c>
      <c r="G559" s="364">
        <v>95621</v>
      </c>
      <c r="H559" s="475" t="s">
        <v>603</v>
      </c>
      <c r="I559" s="475" t="s">
        <v>101</v>
      </c>
      <c r="J559" s="475" t="s">
        <v>140</v>
      </c>
      <c r="K559" s="365">
        <v>16.100000000000001</v>
      </c>
      <c r="L559" s="475" t="s">
        <v>141</v>
      </c>
      <c r="M559" s="473"/>
    </row>
    <row r="560" spans="1:13" ht="13.5">
      <c r="A560" s="475" t="s">
        <v>5284</v>
      </c>
      <c r="B560" s="475" t="s">
        <v>5285</v>
      </c>
      <c r="C560" s="475" t="s">
        <v>5288</v>
      </c>
      <c r="D560" s="475" t="s">
        <v>5289</v>
      </c>
      <c r="E560" s="476" t="s">
        <v>34</v>
      </c>
      <c r="F560" s="475" t="s">
        <v>34</v>
      </c>
      <c r="G560" s="364">
        <v>95632</v>
      </c>
      <c r="H560" s="475" t="s">
        <v>604</v>
      </c>
      <c r="I560" s="475" t="s">
        <v>101</v>
      </c>
      <c r="J560" s="475" t="s">
        <v>140</v>
      </c>
      <c r="K560" s="365">
        <v>42.64</v>
      </c>
      <c r="L560" s="475" t="s">
        <v>141</v>
      </c>
      <c r="M560" s="473"/>
    </row>
    <row r="561" spans="1:13" ht="13.5">
      <c r="A561" s="475" t="s">
        <v>5284</v>
      </c>
      <c r="B561" s="475" t="s">
        <v>5285</v>
      </c>
      <c r="C561" s="475" t="s">
        <v>5288</v>
      </c>
      <c r="D561" s="475" t="s">
        <v>5289</v>
      </c>
      <c r="E561" s="476" t="s">
        <v>34</v>
      </c>
      <c r="F561" s="475" t="s">
        <v>34</v>
      </c>
      <c r="G561" s="364">
        <v>95703</v>
      </c>
      <c r="H561" s="475" t="s">
        <v>605</v>
      </c>
      <c r="I561" s="475" t="s">
        <v>101</v>
      </c>
      <c r="J561" s="475" t="s">
        <v>140</v>
      </c>
      <c r="K561" s="365">
        <v>18.16</v>
      </c>
      <c r="L561" s="475" t="s">
        <v>141</v>
      </c>
      <c r="M561" s="473"/>
    </row>
    <row r="562" spans="1:13" ht="13.5">
      <c r="A562" s="475" t="s">
        <v>5284</v>
      </c>
      <c r="B562" s="475" t="s">
        <v>5285</v>
      </c>
      <c r="C562" s="475" t="s">
        <v>5288</v>
      </c>
      <c r="D562" s="475" t="s">
        <v>5289</v>
      </c>
      <c r="E562" s="476" t="s">
        <v>34</v>
      </c>
      <c r="F562" s="475" t="s">
        <v>34</v>
      </c>
      <c r="G562" s="364">
        <v>95709</v>
      </c>
      <c r="H562" s="475" t="s">
        <v>606</v>
      </c>
      <c r="I562" s="475" t="s">
        <v>101</v>
      </c>
      <c r="J562" s="475" t="s">
        <v>140</v>
      </c>
      <c r="K562" s="365">
        <v>43.14</v>
      </c>
      <c r="L562" s="475" t="s">
        <v>141</v>
      </c>
      <c r="M562" s="473"/>
    </row>
    <row r="563" spans="1:13" ht="13.5">
      <c r="A563" s="475" t="s">
        <v>5284</v>
      </c>
      <c r="B563" s="475" t="s">
        <v>5285</v>
      </c>
      <c r="C563" s="475" t="s">
        <v>5288</v>
      </c>
      <c r="D563" s="475" t="s">
        <v>5289</v>
      </c>
      <c r="E563" s="476" t="s">
        <v>34</v>
      </c>
      <c r="F563" s="475" t="s">
        <v>34</v>
      </c>
      <c r="G563" s="364">
        <v>95715</v>
      </c>
      <c r="H563" s="475" t="s">
        <v>607</v>
      </c>
      <c r="I563" s="475" t="s">
        <v>101</v>
      </c>
      <c r="J563" s="475" t="s">
        <v>140</v>
      </c>
      <c r="K563" s="365">
        <v>51.94</v>
      </c>
      <c r="L563" s="475" t="s">
        <v>141</v>
      </c>
      <c r="M563" s="473"/>
    </row>
    <row r="564" spans="1:13" ht="13.5">
      <c r="A564" s="475" t="s">
        <v>5284</v>
      </c>
      <c r="B564" s="475" t="s">
        <v>5285</v>
      </c>
      <c r="C564" s="475" t="s">
        <v>5288</v>
      </c>
      <c r="D564" s="475" t="s">
        <v>5289</v>
      </c>
      <c r="E564" s="476" t="s">
        <v>34</v>
      </c>
      <c r="F564" s="475" t="s">
        <v>34</v>
      </c>
      <c r="G564" s="364">
        <v>95721</v>
      </c>
      <c r="H564" s="475" t="s">
        <v>608</v>
      </c>
      <c r="I564" s="475" t="s">
        <v>101</v>
      </c>
      <c r="J564" s="475" t="s">
        <v>140</v>
      </c>
      <c r="K564" s="365">
        <v>50.69</v>
      </c>
      <c r="L564" s="475" t="s">
        <v>141</v>
      </c>
      <c r="M564" s="473"/>
    </row>
    <row r="565" spans="1:13" ht="13.5">
      <c r="A565" s="475" t="s">
        <v>5284</v>
      </c>
      <c r="B565" s="475" t="s">
        <v>5285</v>
      </c>
      <c r="C565" s="475" t="s">
        <v>5288</v>
      </c>
      <c r="D565" s="475" t="s">
        <v>5289</v>
      </c>
      <c r="E565" s="476" t="s">
        <v>34</v>
      </c>
      <c r="F565" s="475" t="s">
        <v>34</v>
      </c>
      <c r="G565" s="364">
        <v>95873</v>
      </c>
      <c r="H565" s="475" t="s">
        <v>609</v>
      </c>
      <c r="I565" s="475" t="s">
        <v>101</v>
      </c>
      <c r="J565" s="475" t="s">
        <v>140</v>
      </c>
      <c r="K565" s="365">
        <v>7.81</v>
      </c>
      <c r="L565" s="475" t="s">
        <v>141</v>
      </c>
      <c r="M565" s="473"/>
    </row>
    <row r="566" spans="1:13" ht="13.5">
      <c r="A566" s="475" t="s">
        <v>5284</v>
      </c>
      <c r="B566" s="475" t="s">
        <v>5285</v>
      </c>
      <c r="C566" s="475" t="s">
        <v>5288</v>
      </c>
      <c r="D566" s="475" t="s">
        <v>5289</v>
      </c>
      <c r="E566" s="476" t="s">
        <v>34</v>
      </c>
      <c r="F566" s="475" t="s">
        <v>34</v>
      </c>
      <c r="G566" s="364">
        <v>96014</v>
      </c>
      <c r="H566" s="475" t="s">
        <v>610</v>
      </c>
      <c r="I566" s="475" t="s">
        <v>101</v>
      </c>
      <c r="J566" s="475" t="s">
        <v>140</v>
      </c>
      <c r="K566" s="365">
        <v>29.6</v>
      </c>
      <c r="L566" s="475" t="s">
        <v>141</v>
      </c>
      <c r="M566" s="473"/>
    </row>
    <row r="567" spans="1:13" ht="13.5">
      <c r="A567" s="475" t="s">
        <v>5284</v>
      </c>
      <c r="B567" s="475" t="s">
        <v>5285</v>
      </c>
      <c r="C567" s="475" t="s">
        <v>5288</v>
      </c>
      <c r="D567" s="475" t="s">
        <v>5289</v>
      </c>
      <c r="E567" s="476" t="s">
        <v>34</v>
      </c>
      <c r="F567" s="475" t="s">
        <v>34</v>
      </c>
      <c r="G567" s="364">
        <v>96021</v>
      </c>
      <c r="H567" s="475" t="s">
        <v>611</v>
      </c>
      <c r="I567" s="475" t="s">
        <v>101</v>
      </c>
      <c r="J567" s="475" t="s">
        <v>140</v>
      </c>
      <c r="K567" s="365">
        <v>29.47</v>
      </c>
      <c r="L567" s="475" t="s">
        <v>141</v>
      </c>
      <c r="M567" s="473"/>
    </row>
    <row r="568" spans="1:13" ht="13.5">
      <c r="A568" s="475" t="s">
        <v>5284</v>
      </c>
      <c r="B568" s="475" t="s">
        <v>5285</v>
      </c>
      <c r="C568" s="475" t="s">
        <v>5288</v>
      </c>
      <c r="D568" s="475" t="s">
        <v>5289</v>
      </c>
      <c r="E568" s="476" t="s">
        <v>34</v>
      </c>
      <c r="F568" s="475" t="s">
        <v>34</v>
      </c>
      <c r="G568" s="364">
        <v>96029</v>
      </c>
      <c r="H568" s="475" t="s">
        <v>612</v>
      </c>
      <c r="I568" s="475" t="s">
        <v>101</v>
      </c>
      <c r="J568" s="475" t="s">
        <v>140</v>
      </c>
      <c r="K568" s="365">
        <v>26.22</v>
      </c>
      <c r="L568" s="475" t="s">
        <v>141</v>
      </c>
      <c r="M568" s="473"/>
    </row>
    <row r="569" spans="1:13" ht="13.5">
      <c r="A569" s="475" t="s">
        <v>5284</v>
      </c>
      <c r="B569" s="475" t="s">
        <v>5285</v>
      </c>
      <c r="C569" s="475" t="s">
        <v>5288</v>
      </c>
      <c r="D569" s="475" t="s">
        <v>5289</v>
      </c>
      <c r="E569" s="476" t="s">
        <v>34</v>
      </c>
      <c r="F569" s="475" t="s">
        <v>34</v>
      </c>
      <c r="G569" s="364">
        <v>96036</v>
      </c>
      <c r="H569" s="475" t="s">
        <v>613</v>
      </c>
      <c r="I569" s="475" t="s">
        <v>101</v>
      </c>
      <c r="J569" s="475" t="s">
        <v>140</v>
      </c>
      <c r="K569" s="365">
        <v>37.9</v>
      </c>
      <c r="L569" s="475" t="s">
        <v>141</v>
      </c>
      <c r="M569" s="473"/>
    </row>
    <row r="570" spans="1:13" ht="13.5">
      <c r="A570" s="475" t="s">
        <v>5284</v>
      </c>
      <c r="B570" s="475" t="s">
        <v>5285</v>
      </c>
      <c r="C570" s="475" t="s">
        <v>5288</v>
      </c>
      <c r="D570" s="475" t="s">
        <v>5289</v>
      </c>
      <c r="E570" s="476" t="s">
        <v>34</v>
      </c>
      <c r="F570" s="475" t="s">
        <v>34</v>
      </c>
      <c r="G570" s="364">
        <v>96155</v>
      </c>
      <c r="H570" s="475" t="s">
        <v>614</v>
      </c>
      <c r="I570" s="475" t="s">
        <v>101</v>
      </c>
      <c r="J570" s="475" t="s">
        <v>140</v>
      </c>
      <c r="K570" s="365">
        <v>26.35</v>
      </c>
      <c r="L570" s="475" t="s">
        <v>141</v>
      </c>
      <c r="M570" s="473"/>
    </row>
    <row r="571" spans="1:13" ht="13.5">
      <c r="A571" s="475" t="s">
        <v>5284</v>
      </c>
      <c r="B571" s="475" t="s">
        <v>5285</v>
      </c>
      <c r="C571" s="475" t="s">
        <v>5288</v>
      </c>
      <c r="D571" s="475" t="s">
        <v>5289</v>
      </c>
      <c r="E571" s="476" t="s">
        <v>34</v>
      </c>
      <c r="F571" s="475" t="s">
        <v>34</v>
      </c>
      <c r="G571" s="364">
        <v>96156</v>
      </c>
      <c r="H571" s="475" t="s">
        <v>615</v>
      </c>
      <c r="I571" s="475" t="s">
        <v>101</v>
      </c>
      <c r="J571" s="475" t="s">
        <v>140</v>
      </c>
      <c r="K571" s="365">
        <v>35.04</v>
      </c>
      <c r="L571" s="475" t="s">
        <v>141</v>
      </c>
      <c r="M571" s="473"/>
    </row>
    <row r="572" spans="1:13" ht="13.5">
      <c r="A572" s="475" t="s">
        <v>5284</v>
      </c>
      <c r="B572" s="475" t="s">
        <v>5285</v>
      </c>
      <c r="C572" s="475" t="s">
        <v>5288</v>
      </c>
      <c r="D572" s="475" t="s">
        <v>5289</v>
      </c>
      <c r="E572" s="476" t="s">
        <v>34</v>
      </c>
      <c r="F572" s="475" t="s">
        <v>34</v>
      </c>
      <c r="G572" s="364">
        <v>96159</v>
      </c>
      <c r="H572" s="475" t="s">
        <v>616</v>
      </c>
      <c r="I572" s="475" t="s">
        <v>101</v>
      </c>
      <c r="J572" s="475" t="s">
        <v>140</v>
      </c>
      <c r="K572" s="365">
        <v>44.46</v>
      </c>
      <c r="L572" s="475" t="s">
        <v>141</v>
      </c>
      <c r="M572" s="473"/>
    </row>
    <row r="573" spans="1:13" ht="13.5">
      <c r="A573" s="475" t="s">
        <v>5284</v>
      </c>
      <c r="B573" s="475" t="s">
        <v>5285</v>
      </c>
      <c r="C573" s="475" t="s">
        <v>5288</v>
      </c>
      <c r="D573" s="475" t="s">
        <v>5289</v>
      </c>
      <c r="E573" s="476" t="s">
        <v>34</v>
      </c>
      <c r="F573" s="475" t="s">
        <v>34</v>
      </c>
      <c r="G573" s="364">
        <v>96246</v>
      </c>
      <c r="H573" s="475" t="s">
        <v>617</v>
      </c>
      <c r="I573" s="475" t="s">
        <v>101</v>
      </c>
      <c r="J573" s="475" t="s">
        <v>140</v>
      </c>
      <c r="K573" s="365">
        <v>35.340000000000003</v>
      </c>
      <c r="L573" s="475" t="s">
        <v>141</v>
      </c>
      <c r="M573" s="473"/>
    </row>
    <row r="574" spans="1:13" ht="13.5">
      <c r="A574" s="475" t="s">
        <v>5284</v>
      </c>
      <c r="B574" s="475" t="s">
        <v>5285</v>
      </c>
      <c r="C574" s="475" t="s">
        <v>5288</v>
      </c>
      <c r="D574" s="475" t="s">
        <v>5289</v>
      </c>
      <c r="E574" s="476" t="s">
        <v>34</v>
      </c>
      <c r="F574" s="475" t="s">
        <v>34</v>
      </c>
      <c r="G574" s="364">
        <v>96302</v>
      </c>
      <c r="H574" s="475" t="s">
        <v>618</v>
      </c>
      <c r="I574" s="475" t="s">
        <v>101</v>
      </c>
      <c r="J574" s="475" t="s">
        <v>140</v>
      </c>
      <c r="K574" s="365">
        <v>58.89</v>
      </c>
      <c r="L574" s="475" t="s">
        <v>141</v>
      </c>
      <c r="M574" s="473"/>
    </row>
    <row r="575" spans="1:13" ht="13.5">
      <c r="A575" s="475" t="s">
        <v>5284</v>
      </c>
      <c r="B575" s="475" t="s">
        <v>5285</v>
      </c>
      <c r="C575" s="475" t="s">
        <v>5288</v>
      </c>
      <c r="D575" s="475" t="s">
        <v>5289</v>
      </c>
      <c r="E575" s="476" t="s">
        <v>34</v>
      </c>
      <c r="F575" s="475" t="s">
        <v>34</v>
      </c>
      <c r="G575" s="364">
        <v>96308</v>
      </c>
      <c r="H575" s="475" t="s">
        <v>619</v>
      </c>
      <c r="I575" s="475" t="s">
        <v>101</v>
      </c>
      <c r="J575" s="475" t="s">
        <v>140</v>
      </c>
      <c r="K575" s="365">
        <v>0.14000000000000001</v>
      </c>
      <c r="L575" s="475" t="s">
        <v>141</v>
      </c>
      <c r="M575" s="473"/>
    </row>
    <row r="576" spans="1:13" ht="13.5">
      <c r="A576" s="475" t="s">
        <v>5284</v>
      </c>
      <c r="B576" s="475" t="s">
        <v>5285</v>
      </c>
      <c r="C576" s="475" t="s">
        <v>5288</v>
      </c>
      <c r="D576" s="475" t="s">
        <v>5289</v>
      </c>
      <c r="E576" s="476" t="s">
        <v>34</v>
      </c>
      <c r="F576" s="475" t="s">
        <v>34</v>
      </c>
      <c r="G576" s="364">
        <v>96464</v>
      </c>
      <c r="H576" s="475" t="s">
        <v>620</v>
      </c>
      <c r="I576" s="475" t="s">
        <v>101</v>
      </c>
      <c r="J576" s="475" t="s">
        <v>140</v>
      </c>
      <c r="K576" s="365">
        <v>45.65</v>
      </c>
      <c r="L576" s="475" t="s">
        <v>141</v>
      </c>
      <c r="M576" s="473"/>
    </row>
    <row r="577" spans="1:13" ht="13.5">
      <c r="A577" s="475" t="s">
        <v>5284</v>
      </c>
      <c r="B577" s="475" t="s">
        <v>5285</v>
      </c>
      <c r="C577" s="475" t="s">
        <v>5288</v>
      </c>
      <c r="D577" s="475" t="s">
        <v>5289</v>
      </c>
      <c r="E577" s="476" t="s">
        <v>34</v>
      </c>
      <c r="F577" s="475" t="s">
        <v>34</v>
      </c>
      <c r="G577" s="364">
        <v>98765</v>
      </c>
      <c r="H577" s="475" t="s">
        <v>7448</v>
      </c>
      <c r="I577" s="475" t="s">
        <v>101</v>
      </c>
      <c r="J577" s="475" t="s">
        <v>140</v>
      </c>
      <c r="K577" s="365">
        <v>0.08</v>
      </c>
      <c r="L577" s="475" t="s">
        <v>141</v>
      </c>
      <c r="M577" s="473"/>
    </row>
    <row r="578" spans="1:13" ht="13.5">
      <c r="A578" s="475" t="s">
        <v>5284</v>
      </c>
      <c r="B578" s="475" t="s">
        <v>5285</v>
      </c>
      <c r="C578" s="475" t="s">
        <v>5288</v>
      </c>
      <c r="D578" s="475" t="s">
        <v>5289</v>
      </c>
      <c r="E578" s="476" t="s">
        <v>34</v>
      </c>
      <c r="F578" s="475" t="s">
        <v>34</v>
      </c>
      <c r="G578" s="364">
        <v>99834</v>
      </c>
      <c r="H578" s="475" t="s">
        <v>14985</v>
      </c>
      <c r="I578" s="475" t="s">
        <v>101</v>
      </c>
      <c r="J578" s="475" t="s">
        <v>363</v>
      </c>
      <c r="K578" s="365">
        <v>0.14000000000000001</v>
      </c>
      <c r="L578" s="475" t="s">
        <v>141</v>
      </c>
      <c r="M578" s="473"/>
    </row>
    <row r="579" spans="1:13" ht="13.5">
      <c r="A579" s="475" t="s">
        <v>5284</v>
      </c>
      <c r="B579" s="475" t="s">
        <v>5285</v>
      </c>
      <c r="C579" s="475" t="s">
        <v>5290</v>
      </c>
      <c r="D579" s="475" t="s">
        <v>5291</v>
      </c>
      <c r="E579" s="476" t="s">
        <v>34</v>
      </c>
      <c r="F579" s="475" t="s">
        <v>34</v>
      </c>
      <c r="G579" s="364">
        <v>5089</v>
      </c>
      <c r="H579" s="475" t="s">
        <v>621</v>
      </c>
      <c r="I579" s="475" t="s">
        <v>67</v>
      </c>
      <c r="J579" s="475" t="s">
        <v>140</v>
      </c>
      <c r="K579" s="365">
        <v>18.96</v>
      </c>
      <c r="L579" s="475" t="s">
        <v>141</v>
      </c>
      <c r="M579" s="473"/>
    </row>
    <row r="580" spans="1:13" ht="13.5">
      <c r="A580" s="475" t="s">
        <v>5284</v>
      </c>
      <c r="B580" s="475" t="s">
        <v>5285</v>
      </c>
      <c r="C580" s="475" t="s">
        <v>5290</v>
      </c>
      <c r="D580" s="475" t="s">
        <v>5291</v>
      </c>
      <c r="E580" s="476" t="s">
        <v>34</v>
      </c>
      <c r="F580" s="475" t="s">
        <v>34</v>
      </c>
      <c r="G580" s="364">
        <v>5627</v>
      </c>
      <c r="H580" s="475" t="s">
        <v>622</v>
      </c>
      <c r="I580" s="475" t="s">
        <v>67</v>
      </c>
      <c r="J580" s="475" t="s">
        <v>140</v>
      </c>
      <c r="K580" s="365">
        <v>22.78</v>
      </c>
      <c r="L580" s="475" t="s">
        <v>141</v>
      </c>
      <c r="M580" s="473"/>
    </row>
    <row r="581" spans="1:13" ht="13.5">
      <c r="A581" s="475" t="s">
        <v>5284</v>
      </c>
      <c r="B581" s="475" t="s">
        <v>5285</v>
      </c>
      <c r="C581" s="475" t="s">
        <v>5290</v>
      </c>
      <c r="D581" s="475" t="s">
        <v>5291</v>
      </c>
      <c r="E581" s="476" t="s">
        <v>34</v>
      </c>
      <c r="F581" s="475" t="s">
        <v>34</v>
      </c>
      <c r="G581" s="364">
        <v>5628</v>
      </c>
      <c r="H581" s="475" t="s">
        <v>623</v>
      </c>
      <c r="I581" s="475" t="s">
        <v>67</v>
      </c>
      <c r="J581" s="475" t="s">
        <v>140</v>
      </c>
      <c r="K581" s="365">
        <v>5.85</v>
      </c>
      <c r="L581" s="475" t="s">
        <v>141</v>
      </c>
      <c r="M581" s="473"/>
    </row>
    <row r="582" spans="1:13" ht="13.5">
      <c r="A582" s="475" t="s">
        <v>5284</v>
      </c>
      <c r="B582" s="475" t="s">
        <v>5285</v>
      </c>
      <c r="C582" s="475" t="s">
        <v>5290</v>
      </c>
      <c r="D582" s="475" t="s">
        <v>5291</v>
      </c>
      <c r="E582" s="476" t="s">
        <v>34</v>
      </c>
      <c r="F582" s="475" t="s">
        <v>34</v>
      </c>
      <c r="G582" s="364">
        <v>5629</v>
      </c>
      <c r="H582" s="475" t="s">
        <v>624</v>
      </c>
      <c r="I582" s="475" t="s">
        <v>67</v>
      </c>
      <c r="J582" s="475" t="s">
        <v>140</v>
      </c>
      <c r="K582" s="365">
        <v>28.47</v>
      </c>
      <c r="L582" s="475" t="s">
        <v>141</v>
      </c>
      <c r="M582" s="473"/>
    </row>
    <row r="583" spans="1:13" ht="13.5">
      <c r="A583" s="475" t="s">
        <v>5284</v>
      </c>
      <c r="B583" s="475" t="s">
        <v>5285</v>
      </c>
      <c r="C583" s="475" t="s">
        <v>5290</v>
      </c>
      <c r="D583" s="475" t="s">
        <v>5291</v>
      </c>
      <c r="E583" s="476" t="s">
        <v>34</v>
      </c>
      <c r="F583" s="475" t="s">
        <v>34</v>
      </c>
      <c r="G583" s="364">
        <v>5630</v>
      </c>
      <c r="H583" s="475" t="s">
        <v>625</v>
      </c>
      <c r="I583" s="475" t="s">
        <v>67</v>
      </c>
      <c r="J583" s="475" t="s">
        <v>363</v>
      </c>
      <c r="K583" s="365">
        <v>54.86</v>
      </c>
      <c r="L583" s="475" t="s">
        <v>141</v>
      </c>
      <c r="M583" s="473"/>
    </row>
    <row r="584" spans="1:13" ht="13.5">
      <c r="A584" s="475" t="s">
        <v>5284</v>
      </c>
      <c r="B584" s="475" t="s">
        <v>5285</v>
      </c>
      <c r="C584" s="475" t="s">
        <v>5290</v>
      </c>
      <c r="D584" s="475" t="s">
        <v>5291</v>
      </c>
      <c r="E584" s="476" t="s">
        <v>34</v>
      </c>
      <c r="F584" s="475" t="s">
        <v>34</v>
      </c>
      <c r="G584" s="364">
        <v>5658</v>
      </c>
      <c r="H584" s="475" t="s">
        <v>626</v>
      </c>
      <c r="I584" s="475" t="s">
        <v>67</v>
      </c>
      <c r="J584" s="475" t="s">
        <v>140</v>
      </c>
      <c r="K584" s="365">
        <v>1.18</v>
      </c>
      <c r="L584" s="475" t="s">
        <v>141</v>
      </c>
      <c r="M584" s="473"/>
    </row>
    <row r="585" spans="1:13" ht="13.5">
      <c r="A585" s="475" t="s">
        <v>5284</v>
      </c>
      <c r="B585" s="475" t="s">
        <v>5285</v>
      </c>
      <c r="C585" s="475" t="s">
        <v>5290</v>
      </c>
      <c r="D585" s="475" t="s">
        <v>5291</v>
      </c>
      <c r="E585" s="476" t="s">
        <v>34</v>
      </c>
      <c r="F585" s="475" t="s">
        <v>34</v>
      </c>
      <c r="G585" s="364">
        <v>5664</v>
      </c>
      <c r="H585" s="475" t="s">
        <v>627</v>
      </c>
      <c r="I585" s="475" t="s">
        <v>67</v>
      </c>
      <c r="J585" s="475" t="s">
        <v>140</v>
      </c>
      <c r="K585" s="365">
        <v>17.05</v>
      </c>
      <c r="L585" s="475" t="s">
        <v>141</v>
      </c>
      <c r="M585" s="473"/>
    </row>
    <row r="586" spans="1:13" ht="13.5">
      <c r="A586" s="475" t="s">
        <v>5284</v>
      </c>
      <c r="B586" s="475" t="s">
        <v>5285</v>
      </c>
      <c r="C586" s="475" t="s">
        <v>5290</v>
      </c>
      <c r="D586" s="475" t="s">
        <v>5291</v>
      </c>
      <c r="E586" s="476" t="s">
        <v>34</v>
      </c>
      <c r="F586" s="475" t="s">
        <v>34</v>
      </c>
      <c r="G586" s="364">
        <v>5667</v>
      </c>
      <c r="H586" s="475" t="s">
        <v>628</v>
      </c>
      <c r="I586" s="475" t="s">
        <v>67</v>
      </c>
      <c r="J586" s="475" t="s">
        <v>140</v>
      </c>
      <c r="K586" s="365">
        <v>15.16</v>
      </c>
      <c r="L586" s="475" t="s">
        <v>141</v>
      </c>
      <c r="M586" s="473"/>
    </row>
    <row r="587" spans="1:13" ht="13.5">
      <c r="A587" s="475" t="s">
        <v>5284</v>
      </c>
      <c r="B587" s="475" t="s">
        <v>5285</v>
      </c>
      <c r="C587" s="475" t="s">
        <v>5290</v>
      </c>
      <c r="D587" s="475" t="s">
        <v>5291</v>
      </c>
      <c r="E587" s="476" t="s">
        <v>34</v>
      </c>
      <c r="F587" s="475" t="s">
        <v>34</v>
      </c>
      <c r="G587" s="364">
        <v>5668</v>
      </c>
      <c r="H587" s="475" t="s">
        <v>629</v>
      </c>
      <c r="I587" s="475" t="s">
        <v>67</v>
      </c>
      <c r="J587" s="475" t="s">
        <v>363</v>
      </c>
      <c r="K587" s="365">
        <v>41.98</v>
      </c>
      <c r="L587" s="475" t="s">
        <v>141</v>
      </c>
      <c r="M587" s="473"/>
    </row>
    <row r="588" spans="1:13" ht="13.5">
      <c r="A588" s="475" t="s">
        <v>5284</v>
      </c>
      <c r="B588" s="475" t="s">
        <v>5285</v>
      </c>
      <c r="C588" s="475" t="s">
        <v>5290</v>
      </c>
      <c r="D588" s="475" t="s">
        <v>5291</v>
      </c>
      <c r="E588" s="476" t="s">
        <v>34</v>
      </c>
      <c r="F588" s="475" t="s">
        <v>34</v>
      </c>
      <c r="G588" s="364">
        <v>5674</v>
      </c>
      <c r="H588" s="475" t="s">
        <v>630</v>
      </c>
      <c r="I588" s="475" t="s">
        <v>67</v>
      </c>
      <c r="J588" s="475" t="s">
        <v>140</v>
      </c>
      <c r="K588" s="365">
        <v>18.239999999999998</v>
      </c>
      <c r="L588" s="475" t="s">
        <v>141</v>
      </c>
      <c r="M588" s="473"/>
    </row>
    <row r="589" spans="1:13" ht="13.5">
      <c r="A589" s="475" t="s">
        <v>5284</v>
      </c>
      <c r="B589" s="475" t="s">
        <v>5285</v>
      </c>
      <c r="C589" s="475" t="s">
        <v>5290</v>
      </c>
      <c r="D589" s="475" t="s">
        <v>5291</v>
      </c>
      <c r="E589" s="476" t="s">
        <v>34</v>
      </c>
      <c r="F589" s="475" t="s">
        <v>34</v>
      </c>
      <c r="G589" s="364">
        <v>5692</v>
      </c>
      <c r="H589" s="475" t="s">
        <v>631</v>
      </c>
      <c r="I589" s="475" t="s">
        <v>67</v>
      </c>
      <c r="J589" s="475" t="s">
        <v>337</v>
      </c>
      <c r="K589" s="365">
        <v>0.16</v>
      </c>
      <c r="L589" s="475" t="s">
        <v>141</v>
      </c>
      <c r="M589" s="473"/>
    </row>
    <row r="590" spans="1:13" ht="13.5">
      <c r="A590" s="475" t="s">
        <v>5284</v>
      </c>
      <c r="B590" s="475" t="s">
        <v>5285</v>
      </c>
      <c r="C590" s="475" t="s">
        <v>5290</v>
      </c>
      <c r="D590" s="475" t="s">
        <v>5291</v>
      </c>
      <c r="E590" s="476" t="s">
        <v>34</v>
      </c>
      <c r="F590" s="475" t="s">
        <v>34</v>
      </c>
      <c r="G590" s="364">
        <v>5693</v>
      </c>
      <c r="H590" s="475" t="s">
        <v>632</v>
      </c>
      <c r="I590" s="475" t="s">
        <v>67</v>
      </c>
      <c r="J590" s="475" t="s">
        <v>363</v>
      </c>
      <c r="K590" s="365">
        <v>3.39</v>
      </c>
      <c r="L590" s="475" t="s">
        <v>141</v>
      </c>
      <c r="M590" s="473"/>
    </row>
    <row r="591" spans="1:13" ht="13.5">
      <c r="A591" s="475" t="s">
        <v>5284</v>
      </c>
      <c r="B591" s="475" t="s">
        <v>5285</v>
      </c>
      <c r="C591" s="475" t="s">
        <v>5290</v>
      </c>
      <c r="D591" s="475" t="s">
        <v>5291</v>
      </c>
      <c r="E591" s="476" t="s">
        <v>34</v>
      </c>
      <c r="F591" s="475" t="s">
        <v>34</v>
      </c>
      <c r="G591" s="364">
        <v>5695</v>
      </c>
      <c r="H591" s="475" t="s">
        <v>633</v>
      </c>
      <c r="I591" s="475" t="s">
        <v>67</v>
      </c>
      <c r="J591" s="475" t="s">
        <v>140</v>
      </c>
      <c r="K591" s="365">
        <v>22.67</v>
      </c>
      <c r="L591" s="475" t="s">
        <v>141</v>
      </c>
      <c r="M591" s="473"/>
    </row>
    <row r="592" spans="1:13" ht="13.5">
      <c r="A592" s="475" t="s">
        <v>5284</v>
      </c>
      <c r="B592" s="475" t="s">
        <v>5285</v>
      </c>
      <c r="C592" s="475" t="s">
        <v>5290</v>
      </c>
      <c r="D592" s="475" t="s">
        <v>5291</v>
      </c>
      <c r="E592" s="476" t="s">
        <v>34</v>
      </c>
      <c r="F592" s="475" t="s">
        <v>34</v>
      </c>
      <c r="G592" s="364">
        <v>5703</v>
      </c>
      <c r="H592" s="475" t="s">
        <v>634</v>
      </c>
      <c r="I592" s="475" t="s">
        <v>67</v>
      </c>
      <c r="J592" s="475" t="s">
        <v>337</v>
      </c>
      <c r="K592" s="365">
        <v>15.7</v>
      </c>
      <c r="L592" s="475" t="s">
        <v>141</v>
      </c>
      <c r="M592" s="473"/>
    </row>
    <row r="593" spans="1:13" ht="13.5">
      <c r="A593" s="475" t="s">
        <v>5284</v>
      </c>
      <c r="B593" s="475" t="s">
        <v>5285</v>
      </c>
      <c r="C593" s="475" t="s">
        <v>5290</v>
      </c>
      <c r="D593" s="475" t="s">
        <v>5291</v>
      </c>
      <c r="E593" s="476" t="s">
        <v>34</v>
      </c>
      <c r="F593" s="475" t="s">
        <v>34</v>
      </c>
      <c r="G593" s="364">
        <v>5705</v>
      </c>
      <c r="H593" s="475" t="s">
        <v>635</v>
      </c>
      <c r="I593" s="475" t="s">
        <v>67</v>
      </c>
      <c r="J593" s="475" t="s">
        <v>140</v>
      </c>
      <c r="K593" s="365">
        <v>14.12</v>
      </c>
      <c r="L593" s="475" t="s">
        <v>141</v>
      </c>
      <c r="M593" s="473"/>
    </row>
    <row r="594" spans="1:13" ht="13.5">
      <c r="A594" s="475" t="s">
        <v>5284</v>
      </c>
      <c r="B594" s="475" t="s">
        <v>5285</v>
      </c>
      <c r="C594" s="475" t="s">
        <v>5290</v>
      </c>
      <c r="D594" s="475" t="s">
        <v>5291</v>
      </c>
      <c r="E594" s="476" t="s">
        <v>34</v>
      </c>
      <c r="F594" s="475" t="s">
        <v>34</v>
      </c>
      <c r="G594" s="364">
        <v>5707</v>
      </c>
      <c r="H594" s="475" t="s">
        <v>636</v>
      </c>
      <c r="I594" s="475" t="s">
        <v>67</v>
      </c>
      <c r="J594" s="475" t="s">
        <v>140</v>
      </c>
      <c r="K594" s="365">
        <v>39.72</v>
      </c>
      <c r="L594" s="475" t="s">
        <v>141</v>
      </c>
      <c r="M594" s="473"/>
    </row>
    <row r="595" spans="1:13" ht="13.5">
      <c r="A595" s="475" t="s">
        <v>5284</v>
      </c>
      <c r="B595" s="475" t="s">
        <v>5285</v>
      </c>
      <c r="C595" s="475" t="s">
        <v>5290</v>
      </c>
      <c r="D595" s="475" t="s">
        <v>5291</v>
      </c>
      <c r="E595" s="476" t="s">
        <v>34</v>
      </c>
      <c r="F595" s="475" t="s">
        <v>34</v>
      </c>
      <c r="G595" s="364">
        <v>5710</v>
      </c>
      <c r="H595" s="475" t="s">
        <v>637</v>
      </c>
      <c r="I595" s="475" t="s">
        <v>67</v>
      </c>
      <c r="J595" s="475" t="s">
        <v>140</v>
      </c>
      <c r="K595" s="365">
        <v>94.74</v>
      </c>
      <c r="L595" s="475" t="s">
        <v>141</v>
      </c>
      <c r="M595" s="473"/>
    </row>
    <row r="596" spans="1:13" ht="13.5">
      <c r="A596" s="475" t="s">
        <v>5284</v>
      </c>
      <c r="B596" s="475" t="s">
        <v>5285</v>
      </c>
      <c r="C596" s="475" t="s">
        <v>5290</v>
      </c>
      <c r="D596" s="475" t="s">
        <v>5291</v>
      </c>
      <c r="E596" s="476" t="s">
        <v>34</v>
      </c>
      <c r="F596" s="475" t="s">
        <v>34</v>
      </c>
      <c r="G596" s="364">
        <v>5711</v>
      </c>
      <c r="H596" s="475" t="s">
        <v>638</v>
      </c>
      <c r="I596" s="475" t="s">
        <v>67</v>
      </c>
      <c r="J596" s="475" t="s">
        <v>363</v>
      </c>
      <c r="K596" s="365">
        <v>51.88</v>
      </c>
      <c r="L596" s="475" t="s">
        <v>141</v>
      </c>
      <c r="M596" s="473"/>
    </row>
    <row r="597" spans="1:13" ht="13.5">
      <c r="A597" s="475" t="s">
        <v>5284</v>
      </c>
      <c r="B597" s="475" t="s">
        <v>5285</v>
      </c>
      <c r="C597" s="475" t="s">
        <v>5290</v>
      </c>
      <c r="D597" s="475" t="s">
        <v>5291</v>
      </c>
      <c r="E597" s="476" t="s">
        <v>34</v>
      </c>
      <c r="F597" s="475" t="s">
        <v>34</v>
      </c>
      <c r="G597" s="364">
        <v>5714</v>
      </c>
      <c r="H597" s="475" t="s">
        <v>639</v>
      </c>
      <c r="I597" s="475" t="s">
        <v>67</v>
      </c>
      <c r="J597" s="475" t="s">
        <v>140</v>
      </c>
      <c r="K597" s="365">
        <v>7.72</v>
      </c>
      <c r="L597" s="475" t="s">
        <v>141</v>
      </c>
      <c r="M597" s="473"/>
    </row>
    <row r="598" spans="1:13" ht="13.5">
      <c r="A598" s="475" t="s">
        <v>5284</v>
      </c>
      <c r="B598" s="475" t="s">
        <v>5285</v>
      </c>
      <c r="C598" s="475" t="s">
        <v>5290</v>
      </c>
      <c r="D598" s="475" t="s">
        <v>5291</v>
      </c>
      <c r="E598" s="476" t="s">
        <v>34</v>
      </c>
      <c r="F598" s="475" t="s">
        <v>34</v>
      </c>
      <c r="G598" s="364">
        <v>5715</v>
      </c>
      <c r="H598" s="475" t="s">
        <v>640</v>
      </c>
      <c r="I598" s="475" t="s">
        <v>67</v>
      </c>
      <c r="J598" s="475" t="s">
        <v>363</v>
      </c>
      <c r="K598" s="365">
        <v>41.43</v>
      </c>
      <c r="L598" s="475" t="s">
        <v>141</v>
      </c>
      <c r="M598" s="473"/>
    </row>
    <row r="599" spans="1:13" ht="13.5">
      <c r="A599" s="475" t="s">
        <v>5284</v>
      </c>
      <c r="B599" s="475" t="s">
        <v>5285</v>
      </c>
      <c r="C599" s="475" t="s">
        <v>5290</v>
      </c>
      <c r="D599" s="475" t="s">
        <v>5291</v>
      </c>
      <c r="E599" s="476" t="s">
        <v>34</v>
      </c>
      <c r="F599" s="475" t="s">
        <v>34</v>
      </c>
      <c r="G599" s="364">
        <v>5718</v>
      </c>
      <c r="H599" s="475" t="s">
        <v>641</v>
      </c>
      <c r="I599" s="475" t="s">
        <v>67</v>
      </c>
      <c r="J599" s="475" t="s">
        <v>363</v>
      </c>
      <c r="K599" s="365">
        <v>84.01</v>
      </c>
      <c r="L599" s="475" t="s">
        <v>141</v>
      </c>
      <c r="M599" s="473"/>
    </row>
    <row r="600" spans="1:13" ht="13.5">
      <c r="A600" s="475" t="s">
        <v>5284</v>
      </c>
      <c r="B600" s="475" t="s">
        <v>5285</v>
      </c>
      <c r="C600" s="475" t="s">
        <v>5290</v>
      </c>
      <c r="D600" s="475" t="s">
        <v>5291</v>
      </c>
      <c r="E600" s="476" t="s">
        <v>34</v>
      </c>
      <c r="F600" s="475" t="s">
        <v>34</v>
      </c>
      <c r="G600" s="364">
        <v>5721</v>
      </c>
      <c r="H600" s="475" t="s">
        <v>642</v>
      </c>
      <c r="I600" s="475" t="s">
        <v>67</v>
      </c>
      <c r="J600" s="475" t="s">
        <v>363</v>
      </c>
      <c r="K600" s="365">
        <v>74.11</v>
      </c>
      <c r="L600" s="475" t="s">
        <v>141</v>
      </c>
      <c r="M600" s="473"/>
    </row>
    <row r="601" spans="1:13" ht="13.5">
      <c r="A601" s="475" t="s">
        <v>5284</v>
      </c>
      <c r="B601" s="475" t="s">
        <v>5285</v>
      </c>
      <c r="C601" s="475" t="s">
        <v>5290</v>
      </c>
      <c r="D601" s="475" t="s">
        <v>5291</v>
      </c>
      <c r="E601" s="476" t="s">
        <v>34</v>
      </c>
      <c r="F601" s="475" t="s">
        <v>34</v>
      </c>
      <c r="G601" s="364">
        <v>5722</v>
      </c>
      <c r="H601" s="475" t="s">
        <v>643</v>
      </c>
      <c r="I601" s="475" t="s">
        <v>67</v>
      </c>
      <c r="J601" s="475" t="s">
        <v>363</v>
      </c>
      <c r="K601" s="365">
        <v>171.48</v>
      </c>
      <c r="L601" s="475" t="s">
        <v>141</v>
      </c>
      <c r="M601" s="473"/>
    </row>
    <row r="602" spans="1:13" ht="13.5">
      <c r="A602" s="475" t="s">
        <v>5284</v>
      </c>
      <c r="B602" s="475" t="s">
        <v>5285</v>
      </c>
      <c r="C602" s="475" t="s">
        <v>5290</v>
      </c>
      <c r="D602" s="475" t="s">
        <v>5291</v>
      </c>
      <c r="E602" s="476" t="s">
        <v>34</v>
      </c>
      <c r="F602" s="475" t="s">
        <v>34</v>
      </c>
      <c r="G602" s="364">
        <v>5724</v>
      </c>
      <c r="H602" s="475" t="s">
        <v>644</v>
      </c>
      <c r="I602" s="475" t="s">
        <v>67</v>
      </c>
      <c r="J602" s="475" t="s">
        <v>140</v>
      </c>
      <c r="K602" s="365">
        <v>30.02</v>
      </c>
      <c r="L602" s="475" t="s">
        <v>141</v>
      </c>
      <c r="M602" s="473"/>
    </row>
    <row r="603" spans="1:13" ht="13.5">
      <c r="A603" s="475" t="s">
        <v>5284</v>
      </c>
      <c r="B603" s="475" t="s">
        <v>5285</v>
      </c>
      <c r="C603" s="475" t="s">
        <v>5290</v>
      </c>
      <c r="D603" s="475" t="s">
        <v>5291</v>
      </c>
      <c r="E603" s="476" t="s">
        <v>34</v>
      </c>
      <c r="F603" s="475" t="s">
        <v>34</v>
      </c>
      <c r="G603" s="364">
        <v>5727</v>
      </c>
      <c r="H603" s="475" t="s">
        <v>645</v>
      </c>
      <c r="I603" s="475" t="s">
        <v>67</v>
      </c>
      <c r="J603" s="475" t="s">
        <v>140</v>
      </c>
      <c r="K603" s="365">
        <v>5.5</v>
      </c>
      <c r="L603" s="475" t="s">
        <v>141</v>
      </c>
      <c r="M603" s="473"/>
    </row>
    <row r="604" spans="1:13" ht="13.5">
      <c r="A604" s="475" t="s">
        <v>5284</v>
      </c>
      <c r="B604" s="475" t="s">
        <v>5285</v>
      </c>
      <c r="C604" s="475" t="s">
        <v>5290</v>
      </c>
      <c r="D604" s="475" t="s">
        <v>5291</v>
      </c>
      <c r="E604" s="476" t="s">
        <v>34</v>
      </c>
      <c r="F604" s="475" t="s">
        <v>34</v>
      </c>
      <c r="G604" s="364">
        <v>5729</v>
      </c>
      <c r="H604" s="475" t="s">
        <v>646</v>
      </c>
      <c r="I604" s="475" t="s">
        <v>67</v>
      </c>
      <c r="J604" s="475" t="s">
        <v>140</v>
      </c>
      <c r="K604" s="365">
        <v>22.4</v>
      </c>
      <c r="L604" s="475" t="s">
        <v>141</v>
      </c>
      <c r="M604" s="473"/>
    </row>
    <row r="605" spans="1:13" ht="13.5">
      <c r="A605" s="475" t="s">
        <v>5284</v>
      </c>
      <c r="B605" s="475" t="s">
        <v>5285</v>
      </c>
      <c r="C605" s="475" t="s">
        <v>5290</v>
      </c>
      <c r="D605" s="475" t="s">
        <v>5291</v>
      </c>
      <c r="E605" s="476" t="s">
        <v>34</v>
      </c>
      <c r="F605" s="475" t="s">
        <v>34</v>
      </c>
      <c r="G605" s="364">
        <v>5730</v>
      </c>
      <c r="H605" s="475" t="s">
        <v>647</v>
      </c>
      <c r="I605" s="475" t="s">
        <v>67</v>
      </c>
      <c r="J605" s="475" t="s">
        <v>363</v>
      </c>
      <c r="K605" s="365">
        <v>28.66</v>
      </c>
      <c r="L605" s="475" t="s">
        <v>141</v>
      </c>
      <c r="M605" s="473"/>
    </row>
    <row r="606" spans="1:13" ht="13.5">
      <c r="A606" s="475" t="s">
        <v>5284</v>
      </c>
      <c r="B606" s="475" t="s">
        <v>5285</v>
      </c>
      <c r="C606" s="475" t="s">
        <v>5290</v>
      </c>
      <c r="D606" s="475" t="s">
        <v>5291</v>
      </c>
      <c r="E606" s="476" t="s">
        <v>34</v>
      </c>
      <c r="F606" s="475" t="s">
        <v>34</v>
      </c>
      <c r="G606" s="364">
        <v>5735</v>
      </c>
      <c r="H606" s="475" t="s">
        <v>648</v>
      </c>
      <c r="I606" s="475" t="s">
        <v>67</v>
      </c>
      <c r="J606" s="475" t="s">
        <v>140</v>
      </c>
      <c r="K606" s="365">
        <v>16.45</v>
      </c>
      <c r="L606" s="475" t="s">
        <v>141</v>
      </c>
      <c r="M606" s="473"/>
    </row>
    <row r="607" spans="1:13" ht="13.5">
      <c r="A607" s="475" t="s">
        <v>5284</v>
      </c>
      <c r="B607" s="475" t="s">
        <v>5285</v>
      </c>
      <c r="C607" s="475" t="s">
        <v>5290</v>
      </c>
      <c r="D607" s="475" t="s">
        <v>5291</v>
      </c>
      <c r="E607" s="476" t="s">
        <v>34</v>
      </c>
      <c r="F607" s="475" t="s">
        <v>34</v>
      </c>
      <c r="G607" s="364">
        <v>5736</v>
      </c>
      <c r="H607" s="475" t="s">
        <v>649</v>
      </c>
      <c r="I607" s="475" t="s">
        <v>67</v>
      </c>
      <c r="J607" s="475" t="s">
        <v>363</v>
      </c>
      <c r="K607" s="365">
        <v>38.520000000000003</v>
      </c>
      <c r="L607" s="475" t="s">
        <v>141</v>
      </c>
      <c r="M607" s="473"/>
    </row>
    <row r="608" spans="1:13" ht="13.5">
      <c r="A608" s="475" t="s">
        <v>5284</v>
      </c>
      <c r="B608" s="475" t="s">
        <v>5285</v>
      </c>
      <c r="C608" s="475" t="s">
        <v>5290</v>
      </c>
      <c r="D608" s="475" t="s">
        <v>5291</v>
      </c>
      <c r="E608" s="476" t="s">
        <v>34</v>
      </c>
      <c r="F608" s="475" t="s">
        <v>34</v>
      </c>
      <c r="G608" s="364">
        <v>5738</v>
      </c>
      <c r="H608" s="475" t="s">
        <v>650</v>
      </c>
      <c r="I608" s="475" t="s">
        <v>67</v>
      </c>
      <c r="J608" s="475" t="s">
        <v>140</v>
      </c>
      <c r="K608" s="365">
        <v>19.920000000000002</v>
      </c>
      <c r="L608" s="475" t="s">
        <v>141</v>
      </c>
      <c r="M608" s="473"/>
    </row>
    <row r="609" spans="1:13" ht="13.5">
      <c r="A609" s="475" t="s">
        <v>5284</v>
      </c>
      <c r="B609" s="475" t="s">
        <v>5285</v>
      </c>
      <c r="C609" s="475" t="s">
        <v>5290</v>
      </c>
      <c r="D609" s="475" t="s">
        <v>5291</v>
      </c>
      <c r="E609" s="476" t="s">
        <v>34</v>
      </c>
      <c r="F609" s="475" t="s">
        <v>34</v>
      </c>
      <c r="G609" s="364">
        <v>5739</v>
      </c>
      <c r="H609" s="475" t="s">
        <v>651</v>
      </c>
      <c r="I609" s="475" t="s">
        <v>67</v>
      </c>
      <c r="J609" s="475" t="s">
        <v>140</v>
      </c>
      <c r="K609" s="365">
        <v>24.92</v>
      </c>
      <c r="L609" s="475" t="s">
        <v>141</v>
      </c>
      <c r="M609" s="473"/>
    </row>
    <row r="610" spans="1:13" ht="13.5">
      <c r="A610" s="475" t="s">
        <v>5284</v>
      </c>
      <c r="B610" s="475" t="s">
        <v>5285</v>
      </c>
      <c r="C610" s="475" t="s">
        <v>5290</v>
      </c>
      <c r="D610" s="475" t="s">
        <v>5291</v>
      </c>
      <c r="E610" s="476" t="s">
        <v>34</v>
      </c>
      <c r="F610" s="475" t="s">
        <v>34</v>
      </c>
      <c r="G610" s="364">
        <v>5741</v>
      </c>
      <c r="H610" s="475" t="s">
        <v>652</v>
      </c>
      <c r="I610" s="475" t="s">
        <v>67</v>
      </c>
      <c r="J610" s="475" t="s">
        <v>140</v>
      </c>
      <c r="K610" s="365">
        <v>27.29</v>
      </c>
      <c r="L610" s="475" t="s">
        <v>141</v>
      </c>
      <c r="M610" s="473"/>
    </row>
    <row r="611" spans="1:13" ht="13.5">
      <c r="A611" s="475" t="s">
        <v>5284</v>
      </c>
      <c r="B611" s="475" t="s">
        <v>5285</v>
      </c>
      <c r="C611" s="475" t="s">
        <v>5290</v>
      </c>
      <c r="D611" s="475" t="s">
        <v>5291</v>
      </c>
      <c r="E611" s="476" t="s">
        <v>34</v>
      </c>
      <c r="F611" s="475" t="s">
        <v>34</v>
      </c>
      <c r="G611" s="364">
        <v>5742</v>
      </c>
      <c r="H611" s="475" t="s">
        <v>653</v>
      </c>
      <c r="I611" s="475" t="s">
        <v>67</v>
      </c>
      <c r="J611" s="475" t="s">
        <v>363</v>
      </c>
      <c r="K611" s="365">
        <v>16.079999999999998</v>
      </c>
      <c r="L611" s="475" t="s">
        <v>141</v>
      </c>
      <c r="M611" s="473"/>
    </row>
    <row r="612" spans="1:13" ht="13.5">
      <c r="A612" s="475" t="s">
        <v>5284</v>
      </c>
      <c r="B612" s="475" t="s">
        <v>5285</v>
      </c>
      <c r="C612" s="475" t="s">
        <v>5290</v>
      </c>
      <c r="D612" s="475" t="s">
        <v>5291</v>
      </c>
      <c r="E612" s="476" t="s">
        <v>34</v>
      </c>
      <c r="F612" s="475" t="s">
        <v>34</v>
      </c>
      <c r="G612" s="364">
        <v>5747</v>
      </c>
      <c r="H612" s="475" t="s">
        <v>654</v>
      </c>
      <c r="I612" s="475" t="s">
        <v>67</v>
      </c>
      <c r="J612" s="475" t="s">
        <v>363</v>
      </c>
      <c r="K612" s="365">
        <v>92.14</v>
      </c>
      <c r="L612" s="475" t="s">
        <v>141</v>
      </c>
      <c r="M612" s="473"/>
    </row>
    <row r="613" spans="1:13" ht="13.5">
      <c r="A613" s="475" t="s">
        <v>5284</v>
      </c>
      <c r="B613" s="475" t="s">
        <v>5285</v>
      </c>
      <c r="C613" s="475" t="s">
        <v>5290</v>
      </c>
      <c r="D613" s="475" t="s">
        <v>5291</v>
      </c>
      <c r="E613" s="476" t="s">
        <v>34</v>
      </c>
      <c r="F613" s="475" t="s">
        <v>34</v>
      </c>
      <c r="G613" s="364">
        <v>5751</v>
      </c>
      <c r="H613" s="475" t="s">
        <v>655</v>
      </c>
      <c r="I613" s="475" t="s">
        <v>67</v>
      </c>
      <c r="J613" s="475" t="s">
        <v>140</v>
      </c>
      <c r="K613" s="365">
        <v>15.54</v>
      </c>
      <c r="L613" s="475" t="s">
        <v>141</v>
      </c>
      <c r="M613" s="473"/>
    </row>
    <row r="614" spans="1:13" ht="13.5">
      <c r="A614" s="475" t="s">
        <v>5284</v>
      </c>
      <c r="B614" s="475" t="s">
        <v>5285</v>
      </c>
      <c r="C614" s="475" t="s">
        <v>5290</v>
      </c>
      <c r="D614" s="475" t="s">
        <v>5291</v>
      </c>
      <c r="E614" s="476" t="s">
        <v>34</v>
      </c>
      <c r="F614" s="475" t="s">
        <v>34</v>
      </c>
      <c r="G614" s="364">
        <v>5754</v>
      </c>
      <c r="H614" s="475" t="s">
        <v>656</v>
      </c>
      <c r="I614" s="475" t="s">
        <v>67</v>
      </c>
      <c r="J614" s="475" t="s">
        <v>140</v>
      </c>
      <c r="K614" s="365">
        <v>13.09</v>
      </c>
      <c r="L614" s="475" t="s">
        <v>141</v>
      </c>
      <c r="M614" s="473"/>
    </row>
    <row r="615" spans="1:13" ht="13.5">
      <c r="A615" s="475" t="s">
        <v>5284</v>
      </c>
      <c r="B615" s="475" t="s">
        <v>5285</v>
      </c>
      <c r="C615" s="475" t="s">
        <v>5290</v>
      </c>
      <c r="D615" s="475" t="s">
        <v>5291</v>
      </c>
      <c r="E615" s="476" t="s">
        <v>34</v>
      </c>
      <c r="F615" s="475" t="s">
        <v>34</v>
      </c>
      <c r="G615" s="364">
        <v>5763</v>
      </c>
      <c r="H615" s="475" t="s">
        <v>657</v>
      </c>
      <c r="I615" s="475" t="s">
        <v>67</v>
      </c>
      <c r="J615" s="475" t="s">
        <v>140</v>
      </c>
      <c r="K615" s="365">
        <v>22.54</v>
      </c>
      <c r="L615" s="475" t="s">
        <v>141</v>
      </c>
      <c r="M615" s="473"/>
    </row>
    <row r="616" spans="1:13" ht="13.5">
      <c r="A616" s="475" t="s">
        <v>5284</v>
      </c>
      <c r="B616" s="475" t="s">
        <v>5285</v>
      </c>
      <c r="C616" s="475" t="s">
        <v>5290</v>
      </c>
      <c r="D616" s="475" t="s">
        <v>5291</v>
      </c>
      <c r="E616" s="476" t="s">
        <v>34</v>
      </c>
      <c r="F616" s="475" t="s">
        <v>34</v>
      </c>
      <c r="G616" s="364">
        <v>5765</v>
      </c>
      <c r="H616" s="475" t="s">
        <v>658</v>
      </c>
      <c r="I616" s="475" t="s">
        <v>67</v>
      </c>
      <c r="J616" s="475" t="s">
        <v>140</v>
      </c>
      <c r="K616" s="365">
        <v>1.92</v>
      </c>
      <c r="L616" s="475" t="s">
        <v>141</v>
      </c>
      <c r="M616" s="473"/>
    </row>
    <row r="617" spans="1:13" ht="13.5">
      <c r="A617" s="475" t="s">
        <v>5284</v>
      </c>
      <c r="B617" s="475" t="s">
        <v>5285</v>
      </c>
      <c r="C617" s="475" t="s">
        <v>5290</v>
      </c>
      <c r="D617" s="475" t="s">
        <v>5291</v>
      </c>
      <c r="E617" s="476" t="s">
        <v>34</v>
      </c>
      <c r="F617" s="475" t="s">
        <v>34</v>
      </c>
      <c r="G617" s="364">
        <v>5766</v>
      </c>
      <c r="H617" s="475" t="s">
        <v>659</v>
      </c>
      <c r="I617" s="475" t="s">
        <v>67</v>
      </c>
      <c r="J617" s="475" t="s">
        <v>363</v>
      </c>
      <c r="K617" s="365">
        <v>2.13</v>
      </c>
      <c r="L617" s="475" t="s">
        <v>141</v>
      </c>
      <c r="M617" s="473"/>
    </row>
    <row r="618" spans="1:13" ht="13.5">
      <c r="A618" s="475" t="s">
        <v>5284</v>
      </c>
      <c r="B618" s="475" t="s">
        <v>5285</v>
      </c>
      <c r="C618" s="475" t="s">
        <v>5290</v>
      </c>
      <c r="D618" s="475" t="s">
        <v>5291</v>
      </c>
      <c r="E618" s="476" t="s">
        <v>34</v>
      </c>
      <c r="F618" s="475" t="s">
        <v>34</v>
      </c>
      <c r="G618" s="364">
        <v>5779</v>
      </c>
      <c r="H618" s="475" t="s">
        <v>660</v>
      </c>
      <c r="I618" s="475" t="s">
        <v>67</v>
      </c>
      <c r="J618" s="475" t="s">
        <v>140</v>
      </c>
      <c r="K618" s="365">
        <v>35.04</v>
      </c>
      <c r="L618" s="475" t="s">
        <v>141</v>
      </c>
      <c r="M618" s="473"/>
    </row>
    <row r="619" spans="1:13" ht="13.5">
      <c r="A619" s="475" t="s">
        <v>5284</v>
      </c>
      <c r="B619" s="475" t="s">
        <v>5285</v>
      </c>
      <c r="C619" s="475" t="s">
        <v>5290</v>
      </c>
      <c r="D619" s="475" t="s">
        <v>5291</v>
      </c>
      <c r="E619" s="476" t="s">
        <v>34</v>
      </c>
      <c r="F619" s="475" t="s">
        <v>34</v>
      </c>
      <c r="G619" s="364">
        <v>5787</v>
      </c>
      <c r="H619" s="475" t="s">
        <v>661</v>
      </c>
      <c r="I619" s="475" t="s">
        <v>67</v>
      </c>
      <c r="J619" s="475" t="s">
        <v>363</v>
      </c>
      <c r="K619" s="365">
        <v>97.33</v>
      </c>
      <c r="L619" s="475" t="s">
        <v>141</v>
      </c>
      <c r="M619" s="473"/>
    </row>
    <row r="620" spans="1:13" ht="13.5">
      <c r="A620" s="475" t="s">
        <v>5284</v>
      </c>
      <c r="B620" s="475" t="s">
        <v>5285</v>
      </c>
      <c r="C620" s="475" t="s">
        <v>5290</v>
      </c>
      <c r="D620" s="475" t="s">
        <v>5291</v>
      </c>
      <c r="E620" s="476" t="s">
        <v>34</v>
      </c>
      <c r="F620" s="475" t="s">
        <v>34</v>
      </c>
      <c r="G620" s="364">
        <v>5797</v>
      </c>
      <c r="H620" s="475" t="s">
        <v>662</v>
      </c>
      <c r="I620" s="475" t="s">
        <v>67</v>
      </c>
      <c r="J620" s="475" t="s">
        <v>140</v>
      </c>
      <c r="K620" s="365">
        <v>2.92</v>
      </c>
      <c r="L620" s="475" t="s">
        <v>141</v>
      </c>
      <c r="M620" s="473"/>
    </row>
    <row r="621" spans="1:13" ht="13.5">
      <c r="A621" s="475" t="s">
        <v>5284</v>
      </c>
      <c r="B621" s="475" t="s">
        <v>5285</v>
      </c>
      <c r="C621" s="475" t="s">
        <v>5290</v>
      </c>
      <c r="D621" s="475" t="s">
        <v>5291</v>
      </c>
      <c r="E621" s="476" t="s">
        <v>34</v>
      </c>
      <c r="F621" s="475" t="s">
        <v>34</v>
      </c>
      <c r="G621" s="364">
        <v>5800</v>
      </c>
      <c r="H621" s="475" t="s">
        <v>663</v>
      </c>
      <c r="I621" s="475" t="s">
        <v>67</v>
      </c>
      <c r="J621" s="475" t="s">
        <v>337</v>
      </c>
      <c r="K621" s="365">
        <v>0.28999999999999998</v>
      </c>
      <c r="L621" s="475" t="s">
        <v>141</v>
      </c>
      <c r="M621" s="473"/>
    </row>
    <row r="622" spans="1:13" ht="13.5">
      <c r="A622" s="475" t="s">
        <v>5284</v>
      </c>
      <c r="B622" s="475" t="s">
        <v>5285</v>
      </c>
      <c r="C622" s="475" t="s">
        <v>5290</v>
      </c>
      <c r="D622" s="475" t="s">
        <v>5291</v>
      </c>
      <c r="E622" s="476" t="s">
        <v>34</v>
      </c>
      <c r="F622" s="475" t="s">
        <v>34</v>
      </c>
      <c r="G622" s="364">
        <v>7032</v>
      </c>
      <c r="H622" s="475" t="s">
        <v>664</v>
      </c>
      <c r="I622" s="475" t="s">
        <v>67</v>
      </c>
      <c r="J622" s="475" t="s">
        <v>140</v>
      </c>
      <c r="K622" s="365">
        <v>2.93</v>
      </c>
      <c r="L622" s="475" t="s">
        <v>141</v>
      </c>
      <c r="M622" s="473"/>
    </row>
    <row r="623" spans="1:13" ht="13.5">
      <c r="A623" s="475" t="s">
        <v>5284</v>
      </c>
      <c r="B623" s="475" t="s">
        <v>5285</v>
      </c>
      <c r="C623" s="475" t="s">
        <v>5290</v>
      </c>
      <c r="D623" s="475" t="s">
        <v>5291</v>
      </c>
      <c r="E623" s="476" t="s">
        <v>34</v>
      </c>
      <c r="F623" s="475" t="s">
        <v>34</v>
      </c>
      <c r="G623" s="364">
        <v>7033</v>
      </c>
      <c r="H623" s="475" t="s">
        <v>665</v>
      </c>
      <c r="I623" s="475" t="s">
        <v>67</v>
      </c>
      <c r="J623" s="475" t="s">
        <v>140</v>
      </c>
      <c r="K623" s="365">
        <v>1.17</v>
      </c>
      <c r="L623" s="475" t="s">
        <v>141</v>
      </c>
      <c r="M623" s="473"/>
    </row>
    <row r="624" spans="1:13" ht="13.5">
      <c r="A624" s="475" t="s">
        <v>5284</v>
      </c>
      <c r="B624" s="475" t="s">
        <v>5285</v>
      </c>
      <c r="C624" s="475" t="s">
        <v>5290</v>
      </c>
      <c r="D624" s="475" t="s">
        <v>5291</v>
      </c>
      <c r="E624" s="476" t="s">
        <v>34</v>
      </c>
      <c r="F624" s="475" t="s">
        <v>34</v>
      </c>
      <c r="G624" s="364">
        <v>7034</v>
      </c>
      <c r="H624" s="475" t="s">
        <v>666</v>
      </c>
      <c r="I624" s="475" t="s">
        <v>67</v>
      </c>
      <c r="J624" s="475" t="s">
        <v>140</v>
      </c>
      <c r="K624" s="365">
        <v>5.49</v>
      </c>
      <c r="L624" s="475" t="s">
        <v>141</v>
      </c>
      <c r="M624" s="473"/>
    </row>
    <row r="625" spans="1:13" ht="13.5">
      <c r="A625" s="475" t="s">
        <v>5284</v>
      </c>
      <c r="B625" s="475" t="s">
        <v>5285</v>
      </c>
      <c r="C625" s="475" t="s">
        <v>5290</v>
      </c>
      <c r="D625" s="475" t="s">
        <v>5291</v>
      </c>
      <c r="E625" s="476" t="s">
        <v>34</v>
      </c>
      <c r="F625" s="475" t="s">
        <v>34</v>
      </c>
      <c r="G625" s="364">
        <v>7035</v>
      </c>
      <c r="H625" s="475" t="s">
        <v>667</v>
      </c>
      <c r="I625" s="475" t="s">
        <v>67</v>
      </c>
      <c r="J625" s="475" t="s">
        <v>363</v>
      </c>
      <c r="K625" s="365">
        <v>157.72</v>
      </c>
      <c r="L625" s="475" t="s">
        <v>141</v>
      </c>
      <c r="M625" s="473"/>
    </row>
    <row r="626" spans="1:13" ht="13.5">
      <c r="A626" s="475" t="s">
        <v>5284</v>
      </c>
      <c r="B626" s="475" t="s">
        <v>5285</v>
      </c>
      <c r="C626" s="475" t="s">
        <v>5290</v>
      </c>
      <c r="D626" s="475" t="s">
        <v>5291</v>
      </c>
      <c r="E626" s="476" t="s">
        <v>34</v>
      </c>
      <c r="F626" s="475" t="s">
        <v>34</v>
      </c>
      <c r="G626" s="364">
        <v>7038</v>
      </c>
      <c r="H626" s="475" t="s">
        <v>668</v>
      </c>
      <c r="I626" s="475" t="s">
        <v>67</v>
      </c>
      <c r="J626" s="475" t="s">
        <v>140</v>
      </c>
      <c r="K626" s="365">
        <v>22.78</v>
      </c>
      <c r="L626" s="475" t="s">
        <v>141</v>
      </c>
      <c r="M626" s="473"/>
    </row>
    <row r="627" spans="1:13" ht="13.5">
      <c r="A627" s="475" t="s">
        <v>5284</v>
      </c>
      <c r="B627" s="475" t="s">
        <v>5285</v>
      </c>
      <c r="C627" s="475" t="s">
        <v>5290</v>
      </c>
      <c r="D627" s="475" t="s">
        <v>5291</v>
      </c>
      <c r="E627" s="476" t="s">
        <v>34</v>
      </c>
      <c r="F627" s="475" t="s">
        <v>34</v>
      </c>
      <c r="G627" s="364">
        <v>7039</v>
      </c>
      <c r="H627" s="475" t="s">
        <v>669</v>
      </c>
      <c r="I627" s="475" t="s">
        <v>67</v>
      </c>
      <c r="J627" s="475" t="s">
        <v>140</v>
      </c>
      <c r="K627" s="365">
        <v>5.98</v>
      </c>
      <c r="L627" s="475" t="s">
        <v>141</v>
      </c>
      <c r="M627" s="473"/>
    </row>
    <row r="628" spans="1:13" ht="13.5">
      <c r="A628" s="475" t="s">
        <v>5284</v>
      </c>
      <c r="B628" s="475" t="s">
        <v>5285</v>
      </c>
      <c r="C628" s="475" t="s">
        <v>5290</v>
      </c>
      <c r="D628" s="475" t="s">
        <v>5291</v>
      </c>
      <c r="E628" s="476" t="s">
        <v>34</v>
      </c>
      <c r="F628" s="475" t="s">
        <v>34</v>
      </c>
      <c r="G628" s="364">
        <v>7040</v>
      </c>
      <c r="H628" s="475" t="s">
        <v>670</v>
      </c>
      <c r="I628" s="475" t="s">
        <v>67</v>
      </c>
      <c r="J628" s="475" t="s">
        <v>140</v>
      </c>
      <c r="K628" s="365">
        <v>28.51</v>
      </c>
      <c r="L628" s="475" t="s">
        <v>141</v>
      </c>
      <c r="M628" s="473"/>
    </row>
    <row r="629" spans="1:13" ht="13.5">
      <c r="A629" s="475" t="s">
        <v>5284</v>
      </c>
      <c r="B629" s="475" t="s">
        <v>5285</v>
      </c>
      <c r="C629" s="475" t="s">
        <v>5290</v>
      </c>
      <c r="D629" s="475" t="s">
        <v>5291</v>
      </c>
      <c r="E629" s="476" t="s">
        <v>34</v>
      </c>
      <c r="F629" s="475" t="s">
        <v>34</v>
      </c>
      <c r="G629" s="364">
        <v>7044</v>
      </c>
      <c r="H629" s="475" t="s">
        <v>671</v>
      </c>
      <c r="I629" s="475" t="s">
        <v>67</v>
      </c>
      <c r="J629" s="475" t="s">
        <v>337</v>
      </c>
      <c r="K629" s="365">
        <v>0.18</v>
      </c>
      <c r="L629" s="475" t="s">
        <v>141</v>
      </c>
      <c r="M629" s="473"/>
    </row>
    <row r="630" spans="1:13" ht="13.5">
      <c r="A630" s="475" t="s">
        <v>5284</v>
      </c>
      <c r="B630" s="475" t="s">
        <v>5285</v>
      </c>
      <c r="C630" s="475" t="s">
        <v>5290</v>
      </c>
      <c r="D630" s="475" t="s">
        <v>5291</v>
      </c>
      <c r="E630" s="476" t="s">
        <v>34</v>
      </c>
      <c r="F630" s="475" t="s">
        <v>34</v>
      </c>
      <c r="G630" s="364">
        <v>7045</v>
      </c>
      <c r="H630" s="475" t="s">
        <v>672</v>
      </c>
      <c r="I630" s="475" t="s">
        <v>67</v>
      </c>
      <c r="J630" s="475" t="s">
        <v>337</v>
      </c>
      <c r="K630" s="365">
        <v>0.04</v>
      </c>
      <c r="L630" s="475" t="s">
        <v>141</v>
      </c>
      <c r="M630" s="473"/>
    </row>
    <row r="631" spans="1:13" ht="13.5">
      <c r="A631" s="475" t="s">
        <v>5284</v>
      </c>
      <c r="B631" s="475" t="s">
        <v>5285</v>
      </c>
      <c r="C631" s="475" t="s">
        <v>5290</v>
      </c>
      <c r="D631" s="475" t="s">
        <v>5291</v>
      </c>
      <c r="E631" s="476" t="s">
        <v>34</v>
      </c>
      <c r="F631" s="475" t="s">
        <v>34</v>
      </c>
      <c r="G631" s="364">
        <v>7046</v>
      </c>
      <c r="H631" s="475" t="s">
        <v>673</v>
      </c>
      <c r="I631" s="475" t="s">
        <v>67</v>
      </c>
      <c r="J631" s="475" t="s">
        <v>337</v>
      </c>
      <c r="K631" s="365">
        <v>0.2</v>
      </c>
      <c r="L631" s="475" t="s">
        <v>141</v>
      </c>
      <c r="M631" s="473"/>
    </row>
    <row r="632" spans="1:13" ht="13.5">
      <c r="A632" s="475" t="s">
        <v>5284</v>
      </c>
      <c r="B632" s="475" t="s">
        <v>5285</v>
      </c>
      <c r="C632" s="475" t="s">
        <v>5290</v>
      </c>
      <c r="D632" s="475" t="s">
        <v>5291</v>
      </c>
      <c r="E632" s="476" t="s">
        <v>34</v>
      </c>
      <c r="F632" s="475" t="s">
        <v>34</v>
      </c>
      <c r="G632" s="364">
        <v>7047</v>
      </c>
      <c r="H632" s="475" t="s">
        <v>674</v>
      </c>
      <c r="I632" s="475" t="s">
        <v>67</v>
      </c>
      <c r="J632" s="475" t="s">
        <v>363</v>
      </c>
      <c r="K632" s="365">
        <v>4.0199999999999996</v>
      </c>
      <c r="L632" s="475" t="s">
        <v>141</v>
      </c>
      <c r="M632" s="473"/>
    </row>
    <row r="633" spans="1:13" ht="13.5">
      <c r="A633" s="475" t="s">
        <v>5284</v>
      </c>
      <c r="B633" s="475" t="s">
        <v>5285</v>
      </c>
      <c r="C633" s="475" t="s">
        <v>5290</v>
      </c>
      <c r="D633" s="475" t="s">
        <v>5291</v>
      </c>
      <c r="E633" s="476" t="s">
        <v>34</v>
      </c>
      <c r="F633" s="475" t="s">
        <v>34</v>
      </c>
      <c r="G633" s="364">
        <v>7051</v>
      </c>
      <c r="H633" s="475" t="s">
        <v>675</v>
      </c>
      <c r="I633" s="475" t="s">
        <v>67</v>
      </c>
      <c r="J633" s="475" t="s">
        <v>140</v>
      </c>
      <c r="K633" s="365">
        <v>20.21</v>
      </c>
      <c r="L633" s="475" t="s">
        <v>141</v>
      </c>
      <c r="M633" s="473"/>
    </row>
    <row r="634" spans="1:13" ht="13.5">
      <c r="A634" s="475" t="s">
        <v>5284</v>
      </c>
      <c r="B634" s="475" t="s">
        <v>5285</v>
      </c>
      <c r="C634" s="475" t="s">
        <v>5290</v>
      </c>
      <c r="D634" s="475" t="s">
        <v>5291</v>
      </c>
      <c r="E634" s="476" t="s">
        <v>34</v>
      </c>
      <c r="F634" s="475" t="s">
        <v>34</v>
      </c>
      <c r="G634" s="364">
        <v>7052</v>
      </c>
      <c r="H634" s="475" t="s">
        <v>676</v>
      </c>
      <c r="I634" s="475" t="s">
        <v>67</v>
      </c>
      <c r="J634" s="475" t="s">
        <v>140</v>
      </c>
      <c r="K634" s="365">
        <v>5.3</v>
      </c>
      <c r="L634" s="475" t="s">
        <v>141</v>
      </c>
      <c r="M634" s="473"/>
    </row>
    <row r="635" spans="1:13" ht="13.5">
      <c r="A635" s="475" t="s">
        <v>5284</v>
      </c>
      <c r="B635" s="475" t="s">
        <v>5285</v>
      </c>
      <c r="C635" s="475" t="s">
        <v>5290</v>
      </c>
      <c r="D635" s="475" t="s">
        <v>5291</v>
      </c>
      <c r="E635" s="476" t="s">
        <v>34</v>
      </c>
      <c r="F635" s="475" t="s">
        <v>34</v>
      </c>
      <c r="G635" s="364">
        <v>7053</v>
      </c>
      <c r="H635" s="475" t="s">
        <v>677</v>
      </c>
      <c r="I635" s="475" t="s">
        <v>67</v>
      </c>
      <c r="J635" s="475" t="s">
        <v>140</v>
      </c>
      <c r="K635" s="365">
        <v>25.29</v>
      </c>
      <c r="L635" s="475" t="s">
        <v>141</v>
      </c>
      <c r="M635" s="473"/>
    </row>
    <row r="636" spans="1:13" ht="13.5">
      <c r="A636" s="475" t="s">
        <v>5284</v>
      </c>
      <c r="B636" s="475" t="s">
        <v>5285</v>
      </c>
      <c r="C636" s="475" t="s">
        <v>5290</v>
      </c>
      <c r="D636" s="475" t="s">
        <v>5291</v>
      </c>
      <c r="E636" s="476" t="s">
        <v>34</v>
      </c>
      <c r="F636" s="475" t="s">
        <v>34</v>
      </c>
      <c r="G636" s="364">
        <v>7054</v>
      </c>
      <c r="H636" s="475" t="s">
        <v>678</v>
      </c>
      <c r="I636" s="475" t="s">
        <v>67</v>
      </c>
      <c r="J636" s="475" t="s">
        <v>363</v>
      </c>
      <c r="K636" s="365">
        <v>61.78</v>
      </c>
      <c r="L636" s="475" t="s">
        <v>141</v>
      </c>
      <c r="M636" s="473"/>
    </row>
    <row r="637" spans="1:13" ht="13.5">
      <c r="A637" s="475" t="s">
        <v>5284</v>
      </c>
      <c r="B637" s="475" t="s">
        <v>5285</v>
      </c>
      <c r="C637" s="475" t="s">
        <v>5290</v>
      </c>
      <c r="D637" s="475" t="s">
        <v>5291</v>
      </c>
      <c r="E637" s="476" t="s">
        <v>34</v>
      </c>
      <c r="F637" s="475" t="s">
        <v>34</v>
      </c>
      <c r="G637" s="364">
        <v>7058</v>
      </c>
      <c r="H637" s="475" t="s">
        <v>679</v>
      </c>
      <c r="I637" s="475" t="s">
        <v>67</v>
      </c>
      <c r="J637" s="475" t="s">
        <v>140</v>
      </c>
      <c r="K637" s="365">
        <v>11.54</v>
      </c>
      <c r="L637" s="475" t="s">
        <v>141</v>
      </c>
      <c r="M637" s="473"/>
    </row>
    <row r="638" spans="1:13" ht="13.5">
      <c r="A638" s="475" t="s">
        <v>5284</v>
      </c>
      <c r="B638" s="475" t="s">
        <v>5285</v>
      </c>
      <c r="C638" s="475" t="s">
        <v>5290</v>
      </c>
      <c r="D638" s="475" t="s">
        <v>5291</v>
      </c>
      <c r="E638" s="476" t="s">
        <v>34</v>
      </c>
      <c r="F638" s="475" t="s">
        <v>34</v>
      </c>
      <c r="G638" s="364">
        <v>7059</v>
      </c>
      <c r="H638" s="475" t="s">
        <v>680</v>
      </c>
      <c r="I638" s="475" t="s">
        <v>67</v>
      </c>
      <c r="J638" s="475" t="s">
        <v>140</v>
      </c>
      <c r="K638" s="365">
        <v>4.03</v>
      </c>
      <c r="L638" s="475" t="s">
        <v>141</v>
      </c>
      <c r="M638" s="473"/>
    </row>
    <row r="639" spans="1:13" ht="13.5">
      <c r="A639" s="475" t="s">
        <v>5284</v>
      </c>
      <c r="B639" s="475" t="s">
        <v>5285</v>
      </c>
      <c r="C639" s="475" t="s">
        <v>5290</v>
      </c>
      <c r="D639" s="475" t="s">
        <v>5291</v>
      </c>
      <c r="E639" s="476" t="s">
        <v>34</v>
      </c>
      <c r="F639" s="475" t="s">
        <v>34</v>
      </c>
      <c r="G639" s="364">
        <v>7060</v>
      </c>
      <c r="H639" s="475" t="s">
        <v>681</v>
      </c>
      <c r="I639" s="475" t="s">
        <v>67</v>
      </c>
      <c r="J639" s="475" t="s">
        <v>140</v>
      </c>
      <c r="K639" s="365">
        <v>21.64</v>
      </c>
      <c r="L639" s="475" t="s">
        <v>141</v>
      </c>
      <c r="M639" s="473"/>
    </row>
    <row r="640" spans="1:13" ht="13.5">
      <c r="A640" s="475" t="s">
        <v>5284</v>
      </c>
      <c r="B640" s="475" t="s">
        <v>5285</v>
      </c>
      <c r="C640" s="475" t="s">
        <v>5290</v>
      </c>
      <c r="D640" s="475" t="s">
        <v>5291</v>
      </c>
      <c r="E640" s="476" t="s">
        <v>34</v>
      </c>
      <c r="F640" s="475" t="s">
        <v>34</v>
      </c>
      <c r="G640" s="364">
        <v>7061</v>
      </c>
      <c r="H640" s="475" t="s">
        <v>682</v>
      </c>
      <c r="I640" s="475" t="s">
        <v>67</v>
      </c>
      <c r="J640" s="475" t="s">
        <v>363</v>
      </c>
      <c r="K640" s="365">
        <v>90.19</v>
      </c>
      <c r="L640" s="475" t="s">
        <v>141</v>
      </c>
      <c r="M640" s="473"/>
    </row>
    <row r="641" spans="1:13" ht="13.5">
      <c r="A641" s="475" t="s">
        <v>5284</v>
      </c>
      <c r="B641" s="475" t="s">
        <v>5285</v>
      </c>
      <c r="C641" s="475" t="s">
        <v>5290</v>
      </c>
      <c r="D641" s="475" t="s">
        <v>5291</v>
      </c>
      <c r="E641" s="476" t="s">
        <v>34</v>
      </c>
      <c r="F641" s="475" t="s">
        <v>34</v>
      </c>
      <c r="G641" s="364">
        <v>7063</v>
      </c>
      <c r="H641" s="475" t="s">
        <v>683</v>
      </c>
      <c r="I641" s="475" t="s">
        <v>67</v>
      </c>
      <c r="J641" s="475" t="s">
        <v>140</v>
      </c>
      <c r="K641" s="365">
        <v>9.6300000000000008</v>
      </c>
      <c r="L641" s="475" t="s">
        <v>141</v>
      </c>
      <c r="M641" s="473"/>
    </row>
    <row r="642" spans="1:13" ht="13.5">
      <c r="A642" s="475" t="s">
        <v>5284</v>
      </c>
      <c r="B642" s="475" t="s">
        <v>5285</v>
      </c>
      <c r="C642" s="475" t="s">
        <v>5290</v>
      </c>
      <c r="D642" s="475" t="s">
        <v>5291</v>
      </c>
      <c r="E642" s="476" t="s">
        <v>34</v>
      </c>
      <c r="F642" s="475" t="s">
        <v>34</v>
      </c>
      <c r="G642" s="364">
        <v>7064</v>
      </c>
      <c r="H642" s="475" t="s">
        <v>684</v>
      </c>
      <c r="I642" s="475" t="s">
        <v>67</v>
      </c>
      <c r="J642" s="475" t="s">
        <v>140</v>
      </c>
      <c r="K642" s="365">
        <v>2.5299999999999998</v>
      </c>
      <c r="L642" s="475" t="s">
        <v>141</v>
      </c>
      <c r="M642" s="473"/>
    </row>
    <row r="643" spans="1:13" ht="13.5">
      <c r="A643" s="475" t="s">
        <v>5284</v>
      </c>
      <c r="B643" s="475" t="s">
        <v>5285</v>
      </c>
      <c r="C643" s="475" t="s">
        <v>5290</v>
      </c>
      <c r="D643" s="475" t="s">
        <v>5291</v>
      </c>
      <c r="E643" s="476" t="s">
        <v>34</v>
      </c>
      <c r="F643" s="475" t="s">
        <v>34</v>
      </c>
      <c r="G643" s="364">
        <v>7065</v>
      </c>
      <c r="H643" s="475" t="s">
        <v>685</v>
      </c>
      <c r="I643" s="475" t="s">
        <v>67</v>
      </c>
      <c r="J643" s="475" t="s">
        <v>140</v>
      </c>
      <c r="K643" s="365">
        <v>10.54</v>
      </c>
      <c r="L643" s="475" t="s">
        <v>141</v>
      </c>
      <c r="M643" s="473"/>
    </row>
    <row r="644" spans="1:13" ht="13.5">
      <c r="A644" s="475" t="s">
        <v>5284</v>
      </c>
      <c r="B644" s="475" t="s">
        <v>5285</v>
      </c>
      <c r="C644" s="475" t="s">
        <v>5290</v>
      </c>
      <c r="D644" s="475" t="s">
        <v>5291</v>
      </c>
      <c r="E644" s="476" t="s">
        <v>34</v>
      </c>
      <c r="F644" s="475" t="s">
        <v>34</v>
      </c>
      <c r="G644" s="364">
        <v>7066</v>
      </c>
      <c r="H644" s="475" t="s">
        <v>686</v>
      </c>
      <c r="I644" s="475" t="s">
        <v>67</v>
      </c>
      <c r="J644" s="475" t="s">
        <v>363</v>
      </c>
      <c r="K644" s="365">
        <v>59.46</v>
      </c>
      <c r="L644" s="475" t="s">
        <v>141</v>
      </c>
      <c r="M644" s="473"/>
    </row>
    <row r="645" spans="1:13" ht="13.5">
      <c r="A645" s="475" t="s">
        <v>5284</v>
      </c>
      <c r="B645" s="475" t="s">
        <v>5285</v>
      </c>
      <c r="C645" s="475" t="s">
        <v>5290</v>
      </c>
      <c r="D645" s="475" t="s">
        <v>5291</v>
      </c>
      <c r="E645" s="476" t="s">
        <v>34</v>
      </c>
      <c r="F645" s="475" t="s">
        <v>34</v>
      </c>
      <c r="G645" s="364">
        <v>53786</v>
      </c>
      <c r="H645" s="475" t="s">
        <v>687</v>
      </c>
      <c r="I645" s="475" t="s">
        <v>67</v>
      </c>
      <c r="J645" s="475" t="s">
        <v>363</v>
      </c>
      <c r="K645" s="365">
        <v>45.44</v>
      </c>
      <c r="L645" s="475" t="s">
        <v>141</v>
      </c>
      <c r="M645" s="473"/>
    </row>
    <row r="646" spans="1:13" ht="13.5">
      <c r="A646" s="475" t="s">
        <v>5284</v>
      </c>
      <c r="B646" s="475" t="s">
        <v>5285</v>
      </c>
      <c r="C646" s="475" t="s">
        <v>5290</v>
      </c>
      <c r="D646" s="475" t="s">
        <v>5291</v>
      </c>
      <c r="E646" s="476" t="s">
        <v>34</v>
      </c>
      <c r="F646" s="475" t="s">
        <v>34</v>
      </c>
      <c r="G646" s="364">
        <v>53788</v>
      </c>
      <c r="H646" s="475" t="s">
        <v>688</v>
      </c>
      <c r="I646" s="475" t="s">
        <v>67</v>
      </c>
      <c r="J646" s="475" t="s">
        <v>363</v>
      </c>
      <c r="K646" s="365">
        <v>39.520000000000003</v>
      </c>
      <c r="L646" s="475" t="s">
        <v>141</v>
      </c>
      <c r="M646" s="473"/>
    </row>
    <row r="647" spans="1:13" ht="13.5">
      <c r="A647" s="475" t="s">
        <v>5284</v>
      </c>
      <c r="B647" s="475" t="s">
        <v>5285</v>
      </c>
      <c r="C647" s="475" t="s">
        <v>5290</v>
      </c>
      <c r="D647" s="475" t="s">
        <v>5291</v>
      </c>
      <c r="E647" s="476" t="s">
        <v>34</v>
      </c>
      <c r="F647" s="475" t="s">
        <v>34</v>
      </c>
      <c r="G647" s="364">
        <v>53792</v>
      </c>
      <c r="H647" s="475" t="s">
        <v>689</v>
      </c>
      <c r="I647" s="475" t="s">
        <v>67</v>
      </c>
      <c r="J647" s="475" t="s">
        <v>363</v>
      </c>
      <c r="K647" s="365">
        <v>112.12</v>
      </c>
      <c r="L647" s="475" t="s">
        <v>141</v>
      </c>
      <c r="M647" s="473"/>
    </row>
    <row r="648" spans="1:13" ht="13.5">
      <c r="A648" s="475" t="s">
        <v>5284</v>
      </c>
      <c r="B648" s="475" t="s">
        <v>5285</v>
      </c>
      <c r="C648" s="475" t="s">
        <v>5290</v>
      </c>
      <c r="D648" s="475" t="s">
        <v>5291</v>
      </c>
      <c r="E648" s="476" t="s">
        <v>34</v>
      </c>
      <c r="F648" s="475" t="s">
        <v>34</v>
      </c>
      <c r="G648" s="364">
        <v>53794</v>
      </c>
      <c r="H648" s="475" t="s">
        <v>690</v>
      </c>
      <c r="I648" s="475" t="s">
        <v>67</v>
      </c>
      <c r="J648" s="475" t="s">
        <v>140</v>
      </c>
      <c r="K648" s="365">
        <v>35</v>
      </c>
      <c r="L648" s="475" t="s">
        <v>141</v>
      </c>
      <c r="M648" s="473"/>
    </row>
    <row r="649" spans="1:13" ht="13.5">
      <c r="A649" s="475" t="s">
        <v>5284</v>
      </c>
      <c r="B649" s="475" t="s">
        <v>5285</v>
      </c>
      <c r="C649" s="475" t="s">
        <v>5290</v>
      </c>
      <c r="D649" s="475" t="s">
        <v>5291</v>
      </c>
      <c r="E649" s="476" t="s">
        <v>34</v>
      </c>
      <c r="F649" s="475" t="s">
        <v>34</v>
      </c>
      <c r="G649" s="364">
        <v>53797</v>
      </c>
      <c r="H649" s="475" t="s">
        <v>691</v>
      </c>
      <c r="I649" s="475" t="s">
        <v>67</v>
      </c>
      <c r="J649" s="475" t="s">
        <v>363</v>
      </c>
      <c r="K649" s="365">
        <v>92.14</v>
      </c>
      <c r="L649" s="475" t="s">
        <v>141</v>
      </c>
      <c r="M649" s="473"/>
    </row>
    <row r="650" spans="1:13" ht="13.5">
      <c r="A650" s="475" t="s">
        <v>5284</v>
      </c>
      <c r="B650" s="475" t="s">
        <v>5285</v>
      </c>
      <c r="C650" s="475" t="s">
        <v>5290</v>
      </c>
      <c r="D650" s="475" t="s">
        <v>5291</v>
      </c>
      <c r="E650" s="476" t="s">
        <v>34</v>
      </c>
      <c r="F650" s="475" t="s">
        <v>34</v>
      </c>
      <c r="G650" s="364">
        <v>53804</v>
      </c>
      <c r="H650" s="475" t="s">
        <v>692</v>
      </c>
      <c r="I650" s="475" t="s">
        <v>67</v>
      </c>
      <c r="J650" s="475" t="s">
        <v>140</v>
      </c>
      <c r="K650" s="365">
        <v>2.46</v>
      </c>
      <c r="L650" s="475" t="s">
        <v>141</v>
      </c>
      <c r="M650" s="473"/>
    </row>
    <row r="651" spans="1:13" ht="13.5">
      <c r="A651" s="475" t="s">
        <v>5284</v>
      </c>
      <c r="B651" s="475" t="s">
        <v>5285</v>
      </c>
      <c r="C651" s="475" t="s">
        <v>5290</v>
      </c>
      <c r="D651" s="475" t="s">
        <v>5291</v>
      </c>
      <c r="E651" s="476" t="s">
        <v>34</v>
      </c>
      <c r="F651" s="475" t="s">
        <v>34</v>
      </c>
      <c r="G651" s="364">
        <v>53806</v>
      </c>
      <c r="H651" s="475" t="s">
        <v>693</v>
      </c>
      <c r="I651" s="475" t="s">
        <v>67</v>
      </c>
      <c r="J651" s="475" t="s">
        <v>140</v>
      </c>
      <c r="K651" s="365">
        <v>38.68</v>
      </c>
      <c r="L651" s="475" t="s">
        <v>141</v>
      </c>
      <c r="M651" s="473"/>
    </row>
    <row r="652" spans="1:13" ht="13.5">
      <c r="A652" s="475" t="s">
        <v>5284</v>
      </c>
      <c r="B652" s="475" t="s">
        <v>5285</v>
      </c>
      <c r="C652" s="475" t="s">
        <v>5290</v>
      </c>
      <c r="D652" s="475" t="s">
        <v>5291</v>
      </c>
      <c r="E652" s="476" t="s">
        <v>34</v>
      </c>
      <c r="F652" s="475" t="s">
        <v>34</v>
      </c>
      <c r="G652" s="364">
        <v>53810</v>
      </c>
      <c r="H652" s="475" t="s">
        <v>694</v>
      </c>
      <c r="I652" s="475" t="s">
        <v>67</v>
      </c>
      <c r="J652" s="475" t="s">
        <v>140</v>
      </c>
      <c r="K652" s="365">
        <v>38.92</v>
      </c>
      <c r="L652" s="475" t="s">
        <v>141</v>
      </c>
      <c r="M652" s="473"/>
    </row>
    <row r="653" spans="1:13" ht="13.5">
      <c r="A653" s="475" t="s">
        <v>5284</v>
      </c>
      <c r="B653" s="475" t="s">
        <v>5285</v>
      </c>
      <c r="C653" s="475" t="s">
        <v>5290</v>
      </c>
      <c r="D653" s="475" t="s">
        <v>5291</v>
      </c>
      <c r="E653" s="476" t="s">
        <v>34</v>
      </c>
      <c r="F653" s="475" t="s">
        <v>34</v>
      </c>
      <c r="G653" s="364">
        <v>53814</v>
      </c>
      <c r="H653" s="475" t="s">
        <v>695</v>
      </c>
      <c r="I653" s="475" t="s">
        <v>67</v>
      </c>
      <c r="J653" s="475" t="s">
        <v>140</v>
      </c>
      <c r="K653" s="365">
        <v>127.48</v>
      </c>
      <c r="L653" s="475" t="s">
        <v>141</v>
      </c>
      <c r="M653" s="473"/>
    </row>
    <row r="654" spans="1:13" ht="13.5">
      <c r="A654" s="475" t="s">
        <v>5284</v>
      </c>
      <c r="B654" s="475" t="s">
        <v>5285</v>
      </c>
      <c r="C654" s="475" t="s">
        <v>5290</v>
      </c>
      <c r="D654" s="475" t="s">
        <v>5291</v>
      </c>
      <c r="E654" s="476" t="s">
        <v>34</v>
      </c>
      <c r="F654" s="475" t="s">
        <v>34</v>
      </c>
      <c r="G654" s="364">
        <v>53817</v>
      </c>
      <c r="H654" s="475" t="s">
        <v>696</v>
      </c>
      <c r="I654" s="475" t="s">
        <v>67</v>
      </c>
      <c r="J654" s="475" t="s">
        <v>363</v>
      </c>
      <c r="K654" s="365">
        <v>49.42</v>
      </c>
      <c r="L654" s="475" t="s">
        <v>141</v>
      </c>
      <c r="M654" s="473"/>
    </row>
    <row r="655" spans="1:13" ht="13.5">
      <c r="A655" s="475" t="s">
        <v>5284</v>
      </c>
      <c r="B655" s="475" t="s">
        <v>5285</v>
      </c>
      <c r="C655" s="475" t="s">
        <v>5290</v>
      </c>
      <c r="D655" s="475" t="s">
        <v>5291</v>
      </c>
      <c r="E655" s="476" t="s">
        <v>34</v>
      </c>
      <c r="F655" s="475" t="s">
        <v>34</v>
      </c>
      <c r="G655" s="364">
        <v>53818</v>
      </c>
      <c r="H655" s="475" t="s">
        <v>697</v>
      </c>
      <c r="I655" s="475" t="s">
        <v>67</v>
      </c>
      <c r="J655" s="475" t="s">
        <v>140</v>
      </c>
      <c r="K655" s="365">
        <v>4.4000000000000004</v>
      </c>
      <c r="L655" s="475" t="s">
        <v>141</v>
      </c>
      <c r="M655" s="473"/>
    </row>
    <row r="656" spans="1:13" ht="13.5">
      <c r="A656" s="475" t="s">
        <v>5284</v>
      </c>
      <c r="B656" s="475" t="s">
        <v>5285</v>
      </c>
      <c r="C656" s="475" t="s">
        <v>5290</v>
      </c>
      <c r="D656" s="475" t="s">
        <v>5291</v>
      </c>
      <c r="E656" s="476" t="s">
        <v>34</v>
      </c>
      <c r="F656" s="475" t="s">
        <v>34</v>
      </c>
      <c r="G656" s="364">
        <v>53827</v>
      </c>
      <c r="H656" s="475" t="s">
        <v>698</v>
      </c>
      <c r="I656" s="475" t="s">
        <v>67</v>
      </c>
      <c r="J656" s="475" t="s">
        <v>363</v>
      </c>
      <c r="K656" s="365">
        <v>90.19</v>
      </c>
      <c r="L656" s="475" t="s">
        <v>141</v>
      </c>
      <c r="M656" s="473"/>
    </row>
    <row r="657" spans="1:13" ht="13.5">
      <c r="A657" s="475" t="s">
        <v>5284</v>
      </c>
      <c r="B657" s="475" t="s">
        <v>5285</v>
      </c>
      <c r="C657" s="475" t="s">
        <v>5290</v>
      </c>
      <c r="D657" s="475" t="s">
        <v>5291</v>
      </c>
      <c r="E657" s="476" t="s">
        <v>34</v>
      </c>
      <c r="F657" s="475" t="s">
        <v>34</v>
      </c>
      <c r="G657" s="364">
        <v>53829</v>
      </c>
      <c r="H657" s="475" t="s">
        <v>699</v>
      </c>
      <c r="I657" s="475" t="s">
        <v>67</v>
      </c>
      <c r="J657" s="475" t="s">
        <v>363</v>
      </c>
      <c r="K657" s="365">
        <v>92.14</v>
      </c>
      <c r="L657" s="475" t="s">
        <v>141</v>
      </c>
      <c r="M657" s="473"/>
    </row>
    <row r="658" spans="1:13" ht="13.5">
      <c r="A658" s="475" t="s">
        <v>5284</v>
      </c>
      <c r="B658" s="475" t="s">
        <v>5285</v>
      </c>
      <c r="C658" s="475" t="s">
        <v>5290</v>
      </c>
      <c r="D658" s="475" t="s">
        <v>5291</v>
      </c>
      <c r="E658" s="476" t="s">
        <v>34</v>
      </c>
      <c r="F658" s="475" t="s">
        <v>34</v>
      </c>
      <c r="G658" s="364">
        <v>53831</v>
      </c>
      <c r="H658" s="475" t="s">
        <v>700</v>
      </c>
      <c r="I658" s="475" t="s">
        <v>67</v>
      </c>
      <c r="J658" s="475" t="s">
        <v>363</v>
      </c>
      <c r="K658" s="365">
        <v>112.12</v>
      </c>
      <c r="L658" s="475" t="s">
        <v>141</v>
      </c>
      <c r="M658" s="473"/>
    </row>
    <row r="659" spans="1:13" ht="13.5">
      <c r="A659" s="475" t="s">
        <v>5284</v>
      </c>
      <c r="B659" s="475" t="s">
        <v>5285</v>
      </c>
      <c r="C659" s="475" t="s">
        <v>5290</v>
      </c>
      <c r="D659" s="475" t="s">
        <v>5291</v>
      </c>
      <c r="E659" s="476" t="s">
        <v>34</v>
      </c>
      <c r="F659" s="475" t="s">
        <v>34</v>
      </c>
      <c r="G659" s="364">
        <v>53840</v>
      </c>
      <c r="H659" s="475" t="s">
        <v>701</v>
      </c>
      <c r="I659" s="475" t="s">
        <v>67</v>
      </c>
      <c r="J659" s="475" t="s">
        <v>140</v>
      </c>
      <c r="K659" s="365">
        <v>1.34</v>
      </c>
      <c r="L659" s="475" t="s">
        <v>141</v>
      </c>
      <c r="M659" s="473"/>
    </row>
    <row r="660" spans="1:13" ht="13.5">
      <c r="A660" s="475" t="s">
        <v>5284</v>
      </c>
      <c r="B660" s="475" t="s">
        <v>5285</v>
      </c>
      <c r="C660" s="475" t="s">
        <v>5290</v>
      </c>
      <c r="D660" s="475" t="s">
        <v>5291</v>
      </c>
      <c r="E660" s="476" t="s">
        <v>34</v>
      </c>
      <c r="F660" s="475" t="s">
        <v>34</v>
      </c>
      <c r="G660" s="364">
        <v>53841</v>
      </c>
      <c r="H660" s="475" t="s">
        <v>702</v>
      </c>
      <c r="I660" s="475" t="s">
        <v>67</v>
      </c>
      <c r="J660" s="475" t="s">
        <v>140</v>
      </c>
      <c r="K660" s="365">
        <v>0.93</v>
      </c>
      <c r="L660" s="475" t="s">
        <v>141</v>
      </c>
      <c r="M660" s="473"/>
    </row>
    <row r="661" spans="1:13" ht="13.5">
      <c r="A661" s="475" t="s">
        <v>5284</v>
      </c>
      <c r="B661" s="475" t="s">
        <v>5285</v>
      </c>
      <c r="C661" s="475" t="s">
        <v>5290</v>
      </c>
      <c r="D661" s="475" t="s">
        <v>5291</v>
      </c>
      <c r="E661" s="476" t="s">
        <v>34</v>
      </c>
      <c r="F661" s="475" t="s">
        <v>34</v>
      </c>
      <c r="G661" s="364">
        <v>53849</v>
      </c>
      <c r="H661" s="475" t="s">
        <v>703</v>
      </c>
      <c r="I661" s="475" t="s">
        <v>67</v>
      </c>
      <c r="J661" s="475" t="s">
        <v>363</v>
      </c>
      <c r="K661" s="365">
        <v>61.78</v>
      </c>
      <c r="L661" s="475" t="s">
        <v>141</v>
      </c>
      <c r="M661" s="473"/>
    </row>
    <row r="662" spans="1:13" ht="13.5">
      <c r="A662" s="475" t="s">
        <v>5284</v>
      </c>
      <c r="B662" s="475" t="s">
        <v>5285</v>
      </c>
      <c r="C662" s="475" t="s">
        <v>5290</v>
      </c>
      <c r="D662" s="475" t="s">
        <v>5291</v>
      </c>
      <c r="E662" s="476" t="s">
        <v>34</v>
      </c>
      <c r="F662" s="475" t="s">
        <v>34</v>
      </c>
      <c r="G662" s="364">
        <v>53857</v>
      </c>
      <c r="H662" s="475" t="s">
        <v>704</v>
      </c>
      <c r="I662" s="475" t="s">
        <v>67</v>
      </c>
      <c r="J662" s="475" t="s">
        <v>140</v>
      </c>
      <c r="K662" s="365">
        <v>25.66</v>
      </c>
      <c r="L662" s="475" t="s">
        <v>141</v>
      </c>
      <c r="M662" s="473"/>
    </row>
    <row r="663" spans="1:13" ht="13.5">
      <c r="A663" s="475" t="s">
        <v>5284</v>
      </c>
      <c r="B663" s="475" t="s">
        <v>5285</v>
      </c>
      <c r="C663" s="475" t="s">
        <v>5290</v>
      </c>
      <c r="D663" s="475" t="s">
        <v>5291</v>
      </c>
      <c r="E663" s="476" t="s">
        <v>34</v>
      </c>
      <c r="F663" s="475" t="s">
        <v>34</v>
      </c>
      <c r="G663" s="364">
        <v>53858</v>
      </c>
      <c r="H663" s="475" t="s">
        <v>705</v>
      </c>
      <c r="I663" s="475" t="s">
        <v>67</v>
      </c>
      <c r="J663" s="475" t="s">
        <v>363</v>
      </c>
      <c r="K663" s="365">
        <v>63.25</v>
      </c>
      <c r="L663" s="475" t="s">
        <v>141</v>
      </c>
      <c r="M663" s="473"/>
    </row>
    <row r="664" spans="1:13" ht="13.5">
      <c r="A664" s="475" t="s">
        <v>5284</v>
      </c>
      <c r="B664" s="475" t="s">
        <v>5285</v>
      </c>
      <c r="C664" s="475" t="s">
        <v>5290</v>
      </c>
      <c r="D664" s="475" t="s">
        <v>5291</v>
      </c>
      <c r="E664" s="476" t="s">
        <v>34</v>
      </c>
      <c r="F664" s="475" t="s">
        <v>34</v>
      </c>
      <c r="G664" s="364">
        <v>53861</v>
      </c>
      <c r="H664" s="475" t="s">
        <v>706</v>
      </c>
      <c r="I664" s="475" t="s">
        <v>67</v>
      </c>
      <c r="J664" s="475" t="s">
        <v>140</v>
      </c>
      <c r="K664" s="365">
        <v>35.58</v>
      </c>
      <c r="L664" s="475" t="s">
        <v>141</v>
      </c>
      <c r="M664" s="473"/>
    </row>
    <row r="665" spans="1:13" ht="13.5">
      <c r="A665" s="475" t="s">
        <v>5284</v>
      </c>
      <c r="B665" s="475" t="s">
        <v>5285</v>
      </c>
      <c r="C665" s="475" t="s">
        <v>5290</v>
      </c>
      <c r="D665" s="475" t="s">
        <v>5291</v>
      </c>
      <c r="E665" s="476" t="s">
        <v>34</v>
      </c>
      <c r="F665" s="475" t="s">
        <v>34</v>
      </c>
      <c r="G665" s="364">
        <v>53863</v>
      </c>
      <c r="H665" s="475" t="s">
        <v>707</v>
      </c>
      <c r="I665" s="475" t="s">
        <v>67</v>
      </c>
      <c r="J665" s="475" t="s">
        <v>140</v>
      </c>
      <c r="K665" s="365">
        <v>1.06</v>
      </c>
      <c r="L665" s="475" t="s">
        <v>141</v>
      </c>
      <c r="M665" s="473"/>
    </row>
    <row r="666" spans="1:13" ht="13.5">
      <c r="A666" s="475" t="s">
        <v>5284</v>
      </c>
      <c r="B666" s="475" t="s">
        <v>5285</v>
      </c>
      <c r="C666" s="475" t="s">
        <v>5290</v>
      </c>
      <c r="D666" s="475" t="s">
        <v>5291</v>
      </c>
      <c r="E666" s="476" t="s">
        <v>34</v>
      </c>
      <c r="F666" s="475" t="s">
        <v>34</v>
      </c>
      <c r="G666" s="364">
        <v>53865</v>
      </c>
      <c r="H666" s="475" t="s">
        <v>708</v>
      </c>
      <c r="I666" s="475" t="s">
        <v>67</v>
      </c>
      <c r="J666" s="475" t="s">
        <v>363</v>
      </c>
      <c r="K666" s="365">
        <v>30.72</v>
      </c>
      <c r="L666" s="475" t="s">
        <v>141</v>
      </c>
      <c r="M666" s="473"/>
    </row>
    <row r="667" spans="1:13" ht="13.5">
      <c r="A667" s="475" t="s">
        <v>5284</v>
      </c>
      <c r="B667" s="475" t="s">
        <v>5285</v>
      </c>
      <c r="C667" s="475" t="s">
        <v>5290</v>
      </c>
      <c r="D667" s="475" t="s">
        <v>5291</v>
      </c>
      <c r="E667" s="476" t="s">
        <v>34</v>
      </c>
      <c r="F667" s="475" t="s">
        <v>34</v>
      </c>
      <c r="G667" s="364">
        <v>53866</v>
      </c>
      <c r="H667" s="475" t="s">
        <v>709</v>
      </c>
      <c r="I667" s="475" t="s">
        <v>67</v>
      </c>
      <c r="J667" s="475" t="s">
        <v>363</v>
      </c>
      <c r="K667" s="365">
        <v>1.27</v>
      </c>
      <c r="L667" s="475" t="s">
        <v>141</v>
      </c>
      <c r="M667" s="473"/>
    </row>
    <row r="668" spans="1:13" ht="13.5">
      <c r="A668" s="475" t="s">
        <v>5284</v>
      </c>
      <c r="B668" s="475" t="s">
        <v>5285</v>
      </c>
      <c r="C668" s="475" t="s">
        <v>5290</v>
      </c>
      <c r="D668" s="475" t="s">
        <v>5291</v>
      </c>
      <c r="E668" s="476" t="s">
        <v>34</v>
      </c>
      <c r="F668" s="475" t="s">
        <v>34</v>
      </c>
      <c r="G668" s="364">
        <v>53882</v>
      </c>
      <c r="H668" s="475" t="s">
        <v>710</v>
      </c>
      <c r="I668" s="475" t="s">
        <v>67</v>
      </c>
      <c r="J668" s="475" t="s">
        <v>140</v>
      </c>
      <c r="K668" s="365">
        <v>17.559999999999999</v>
      </c>
      <c r="L668" s="475" t="s">
        <v>141</v>
      </c>
      <c r="M668" s="473"/>
    </row>
    <row r="669" spans="1:13" ht="13.5">
      <c r="A669" s="475" t="s">
        <v>5284</v>
      </c>
      <c r="B669" s="475" t="s">
        <v>5285</v>
      </c>
      <c r="C669" s="475" t="s">
        <v>5290</v>
      </c>
      <c r="D669" s="475" t="s">
        <v>5291</v>
      </c>
      <c r="E669" s="476" t="s">
        <v>34</v>
      </c>
      <c r="F669" s="475" t="s">
        <v>34</v>
      </c>
      <c r="G669" s="364">
        <v>55263</v>
      </c>
      <c r="H669" s="475" t="s">
        <v>711</v>
      </c>
      <c r="I669" s="475" t="s">
        <v>67</v>
      </c>
      <c r="J669" s="475" t="s">
        <v>363</v>
      </c>
      <c r="K669" s="365">
        <v>54.86</v>
      </c>
      <c r="L669" s="475" t="s">
        <v>141</v>
      </c>
      <c r="M669" s="473"/>
    </row>
    <row r="670" spans="1:13" ht="13.5">
      <c r="A670" s="475" t="s">
        <v>5284</v>
      </c>
      <c r="B670" s="475" t="s">
        <v>5285</v>
      </c>
      <c r="C670" s="475" t="s">
        <v>5290</v>
      </c>
      <c r="D670" s="475" t="s">
        <v>5291</v>
      </c>
      <c r="E670" s="476" t="s">
        <v>34</v>
      </c>
      <c r="F670" s="475" t="s">
        <v>34</v>
      </c>
      <c r="G670" s="364">
        <v>73303</v>
      </c>
      <c r="H670" s="475" t="s">
        <v>712</v>
      </c>
      <c r="I670" s="475" t="s">
        <v>67</v>
      </c>
      <c r="J670" s="475" t="s">
        <v>140</v>
      </c>
      <c r="K670" s="365">
        <v>4.09</v>
      </c>
      <c r="L670" s="475" t="s">
        <v>141</v>
      </c>
      <c r="M670" s="473"/>
    </row>
    <row r="671" spans="1:13" ht="13.5">
      <c r="A671" s="475" t="s">
        <v>5284</v>
      </c>
      <c r="B671" s="475" t="s">
        <v>5285</v>
      </c>
      <c r="C671" s="475" t="s">
        <v>5290</v>
      </c>
      <c r="D671" s="475" t="s">
        <v>5291</v>
      </c>
      <c r="E671" s="476" t="s">
        <v>34</v>
      </c>
      <c r="F671" s="475" t="s">
        <v>34</v>
      </c>
      <c r="G671" s="364">
        <v>73307</v>
      </c>
      <c r="H671" s="475" t="s">
        <v>713</v>
      </c>
      <c r="I671" s="475" t="s">
        <v>67</v>
      </c>
      <c r="J671" s="475" t="s">
        <v>140</v>
      </c>
      <c r="K671" s="365">
        <v>3.65</v>
      </c>
      <c r="L671" s="475" t="s">
        <v>141</v>
      </c>
      <c r="M671" s="473"/>
    </row>
    <row r="672" spans="1:13" ht="13.5">
      <c r="A672" s="475" t="s">
        <v>5284</v>
      </c>
      <c r="B672" s="475" t="s">
        <v>5285</v>
      </c>
      <c r="C672" s="475" t="s">
        <v>5290</v>
      </c>
      <c r="D672" s="475" t="s">
        <v>5291</v>
      </c>
      <c r="E672" s="476" t="s">
        <v>34</v>
      </c>
      <c r="F672" s="475" t="s">
        <v>34</v>
      </c>
      <c r="G672" s="364">
        <v>73309</v>
      </c>
      <c r="H672" s="475" t="s">
        <v>714</v>
      </c>
      <c r="I672" s="475" t="s">
        <v>67</v>
      </c>
      <c r="J672" s="475" t="s">
        <v>140</v>
      </c>
      <c r="K672" s="365">
        <v>15.15</v>
      </c>
      <c r="L672" s="475" t="s">
        <v>141</v>
      </c>
      <c r="M672" s="473"/>
    </row>
    <row r="673" spans="1:13" ht="13.5">
      <c r="A673" s="475" t="s">
        <v>5284</v>
      </c>
      <c r="B673" s="475" t="s">
        <v>5285</v>
      </c>
      <c r="C673" s="475" t="s">
        <v>5290</v>
      </c>
      <c r="D673" s="475" t="s">
        <v>5291</v>
      </c>
      <c r="E673" s="476" t="s">
        <v>34</v>
      </c>
      <c r="F673" s="475" t="s">
        <v>34</v>
      </c>
      <c r="G673" s="364">
        <v>73311</v>
      </c>
      <c r="H673" s="475" t="s">
        <v>715</v>
      </c>
      <c r="I673" s="475" t="s">
        <v>67</v>
      </c>
      <c r="J673" s="475" t="s">
        <v>363</v>
      </c>
      <c r="K673" s="365">
        <v>103.77</v>
      </c>
      <c r="L673" s="475" t="s">
        <v>141</v>
      </c>
      <c r="M673" s="473"/>
    </row>
    <row r="674" spans="1:13" ht="13.5">
      <c r="A674" s="475" t="s">
        <v>5284</v>
      </c>
      <c r="B674" s="475" t="s">
        <v>5285</v>
      </c>
      <c r="C674" s="475" t="s">
        <v>5290</v>
      </c>
      <c r="D674" s="475" t="s">
        <v>5291</v>
      </c>
      <c r="E674" s="476" t="s">
        <v>34</v>
      </c>
      <c r="F674" s="475" t="s">
        <v>34</v>
      </c>
      <c r="G674" s="364">
        <v>73313</v>
      </c>
      <c r="H674" s="475" t="s">
        <v>716</v>
      </c>
      <c r="I674" s="475" t="s">
        <v>67</v>
      </c>
      <c r="J674" s="475" t="s">
        <v>140</v>
      </c>
      <c r="K674" s="365">
        <v>3.98</v>
      </c>
      <c r="L674" s="475" t="s">
        <v>141</v>
      </c>
      <c r="M674" s="473"/>
    </row>
    <row r="675" spans="1:13" ht="13.5">
      <c r="A675" s="475" t="s">
        <v>5284</v>
      </c>
      <c r="B675" s="475" t="s">
        <v>5285</v>
      </c>
      <c r="C675" s="475" t="s">
        <v>5290</v>
      </c>
      <c r="D675" s="475" t="s">
        <v>5291</v>
      </c>
      <c r="E675" s="476" t="s">
        <v>34</v>
      </c>
      <c r="F675" s="475" t="s">
        <v>34</v>
      </c>
      <c r="G675" s="364">
        <v>73315</v>
      </c>
      <c r="H675" s="475" t="s">
        <v>717</v>
      </c>
      <c r="I675" s="475" t="s">
        <v>67</v>
      </c>
      <c r="J675" s="475" t="s">
        <v>363</v>
      </c>
      <c r="K675" s="365">
        <v>39.520000000000003</v>
      </c>
      <c r="L675" s="475" t="s">
        <v>141</v>
      </c>
      <c r="M675" s="473"/>
    </row>
    <row r="676" spans="1:13" ht="13.5">
      <c r="A676" s="475" t="s">
        <v>5284</v>
      </c>
      <c r="B676" s="475" t="s">
        <v>5285</v>
      </c>
      <c r="C676" s="475" t="s">
        <v>5290</v>
      </c>
      <c r="D676" s="475" t="s">
        <v>5291</v>
      </c>
      <c r="E676" s="476" t="s">
        <v>34</v>
      </c>
      <c r="F676" s="475" t="s">
        <v>34</v>
      </c>
      <c r="G676" s="364">
        <v>73335</v>
      </c>
      <c r="H676" s="475" t="s">
        <v>718</v>
      </c>
      <c r="I676" s="475" t="s">
        <v>67</v>
      </c>
      <c r="J676" s="475" t="s">
        <v>140</v>
      </c>
      <c r="K676" s="365">
        <v>16.78</v>
      </c>
      <c r="L676" s="475" t="s">
        <v>141</v>
      </c>
      <c r="M676" s="473"/>
    </row>
    <row r="677" spans="1:13" ht="13.5">
      <c r="A677" s="475" t="s">
        <v>5284</v>
      </c>
      <c r="B677" s="475" t="s">
        <v>5285</v>
      </c>
      <c r="C677" s="475" t="s">
        <v>5290</v>
      </c>
      <c r="D677" s="475" t="s">
        <v>5291</v>
      </c>
      <c r="E677" s="476" t="s">
        <v>34</v>
      </c>
      <c r="F677" s="475" t="s">
        <v>34</v>
      </c>
      <c r="G677" s="364">
        <v>73340</v>
      </c>
      <c r="H677" s="475" t="s">
        <v>719</v>
      </c>
      <c r="I677" s="475" t="s">
        <v>67</v>
      </c>
      <c r="J677" s="475" t="s">
        <v>363</v>
      </c>
      <c r="K677" s="365">
        <v>90.19</v>
      </c>
      <c r="L677" s="475" t="s">
        <v>141</v>
      </c>
      <c r="M677" s="473"/>
    </row>
    <row r="678" spans="1:13" ht="13.5">
      <c r="A678" s="475" t="s">
        <v>5284</v>
      </c>
      <c r="B678" s="475" t="s">
        <v>5285</v>
      </c>
      <c r="C678" s="475" t="s">
        <v>5290</v>
      </c>
      <c r="D678" s="475" t="s">
        <v>5291</v>
      </c>
      <c r="E678" s="476" t="s">
        <v>34</v>
      </c>
      <c r="F678" s="475" t="s">
        <v>34</v>
      </c>
      <c r="G678" s="364">
        <v>83361</v>
      </c>
      <c r="H678" s="475" t="s">
        <v>720</v>
      </c>
      <c r="I678" s="475" t="s">
        <v>67</v>
      </c>
      <c r="J678" s="475" t="s">
        <v>140</v>
      </c>
      <c r="K678" s="365">
        <v>10.36</v>
      </c>
      <c r="L678" s="475" t="s">
        <v>141</v>
      </c>
      <c r="M678" s="473"/>
    </row>
    <row r="679" spans="1:13" ht="13.5">
      <c r="A679" s="475" t="s">
        <v>5284</v>
      </c>
      <c r="B679" s="475" t="s">
        <v>5285</v>
      </c>
      <c r="C679" s="475" t="s">
        <v>5290</v>
      </c>
      <c r="D679" s="475" t="s">
        <v>5291</v>
      </c>
      <c r="E679" s="476" t="s">
        <v>34</v>
      </c>
      <c r="F679" s="475" t="s">
        <v>34</v>
      </c>
      <c r="G679" s="364">
        <v>83761</v>
      </c>
      <c r="H679" s="475" t="s">
        <v>721</v>
      </c>
      <c r="I679" s="475" t="s">
        <v>67</v>
      </c>
      <c r="J679" s="475" t="s">
        <v>140</v>
      </c>
      <c r="K679" s="365">
        <v>8.7200000000000006</v>
      </c>
      <c r="L679" s="475" t="s">
        <v>141</v>
      </c>
      <c r="M679" s="473"/>
    </row>
    <row r="680" spans="1:13" ht="13.5">
      <c r="A680" s="475" t="s">
        <v>5284</v>
      </c>
      <c r="B680" s="475" t="s">
        <v>5285</v>
      </c>
      <c r="C680" s="475" t="s">
        <v>5290</v>
      </c>
      <c r="D680" s="475" t="s">
        <v>5291</v>
      </c>
      <c r="E680" s="476" t="s">
        <v>34</v>
      </c>
      <c r="F680" s="475" t="s">
        <v>34</v>
      </c>
      <c r="G680" s="364">
        <v>83762</v>
      </c>
      <c r="H680" s="475" t="s">
        <v>722</v>
      </c>
      <c r="I680" s="475" t="s">
        <v>67</v>
      </c>
      <c r="J680" s="475" t="s">
        <v>140</v>
      </c>
      <c r="K680" s="365">
        <v>10.9</v>
      </c>
      <c r="L680" s="475" t="s">
        <v>141</v>
      </c>
      <c r="M680" s="473"/>
    </row>
    <row r="681" spans="1:13" ht="13.5">
      <c r="A681" s="475" t="s">
        <v>5284</v>
      </c>
      <c r="B681" s="475" t="s">
        <v>5285</v>
      </c>
      <c r="C681" s="475" t="s">
        <v>5290</v>
      </c>
      <c r="D681" s="475" t="s">
        <v>5291</v>
      </c>
      <c r="E681" s="476" t="s">
        <v>34</v>
      </c>
      <c r="F681" s="475" t="s">
        <v>34</v>
      </c>
      <c r="G681" s="364">
        <v>83763</v>
      </c>
      <c r="H681" s="475" t="s">
        <v>723</v>
      </c>
      <c r="I681" s="475" t="s">
        <v>67</v>
      </c>
      <c r="J681" s="475" t="s">
        <v>363</v>
      </c>
      <c r="K681" s="365">
        <v>29.25</v>
      </c>
      <c r="L681" s="475" t="s">
        <v>141</v>
      </c>
      <c r="M681" s="473"/>
    </row>
    <row r="682" spans="1:13" ht="13.5">
      <c r="A682" s="475" t="s">
        <v>5284</v>
      </c>
      <c r="B682" s="475" t="s">
        <v>5285</v>
      </c>
      <c r="C682" s="475" t="s">
        <v>5290</v>
      </c>
      <c r="D682" s="475" t="s">
        <v>5291</v>
      </c>
      <c r="E682" s="476" t="s">
        <v>34</v>
      </c>
      <c r="F682" s="475" t="s">
        <v>34</v>
      </c>
      <c r="G682" s="364">
        <v>83764</v>
      </c>
      <c r="H682" s="475" t="s">
        <v>724</v>
      </c>
      <c r="I682" s="475" t="s">
        <v>67</v>
      </c>
      <c r="J682" s="475" t="s">
        <v>140</v>
      </c>
      <c r="K682" s="365">
        <v>1.96</v>
      </c>
      <c r="L682" s="475" t="s">
        <v>141</v>
      </c>
      <c r="M682" s="473"/>
    </row>
    <row r="683" spans="1:13" ht="13.5">
      <c r="A683" s="475" t="s">
        <v>5284</v>
      </c>
      <c r="B683" s="475" t="s">
        <v>5285</v>
      </c>
      <c r="C683" s="475" t="s">
        <v>5290</v>
      </c>
      <c r="D683" s="475" t="s">
        <v>5291</v>
      </c>
      <c r="E683" s="476" t="s">
        <v>34</v>
      </c>
      <c r="F683" s="475" t="s">
        <v>34</v>
      </c>
      <c r="G683" s="364">
        <v>87026</v>
      </c>
      <c r="H683" s="475" t="s">
        <v>725</v>
      </c>
      <c r="I683" s="475" t="s">
        <v>67</v>
      </c>
      <c r="J683" s="475" t="s">
        <v>140</v>
      </c>
      <c r="K683" s="365">
        <v>0.35</v>
      </c>
      <c r="L683" s="475" t="s">
        <v>141</v>
      </c>
      <c r="M683" s="473"/>
    </row>
    <row r="684" spans="1:13" ht="13.5">
      <c r="A684" s="475" t="s">
        <v>5284</v>
      </c>
      <c r="B684" s="475" t="s">
        <v>5285</v>
      </c>
      <c r="C684" s="475" t="s">
        <v>5290</v>
      </c>
      <c r="D684" s="475" t="s">
        <v>5291</v>
      </c>
      <c r="E684" s="476" t="s">
        <v>34</v>
      </c>
      <c r="F684" s="475" t="s">
        <v>34</v>
      </c>
      <c r="G684" s="364">
        <v>87441</v>
      </c>
      <c r="H684" s="475" t="s">
        <v>726</v>
      </c>
      <c r="I684" s="475" t="s">
        <v>67</v>
      </c>
      <c r="J684" s="475" t="s">
        <v>337</v>
      </c>
      <c r="K684" s="365">
        <v>0.3</v>
      </c>
      <c r="L684" s="475" t="s">
        <v>141</v>
      </c>
      <c r="M684" s="473"/>
    </row>
    <row r="685" spans="1:13" ht="13.5">
      <c r="A685" s="475" t="s">
        <v>5284</v>
      </c>
      <c r="B685" s="475" t="s">
        <v>5285</v>
      </c>
      <c r="C685" s="475" t="s">
        <v>5290</v>
      </c>
      <c r="D685" s="475" t="s">
        <v>5291</v>
      </c>
      <c r="E685" s="476" t="s">
        <v>34</v>
      </c>
      <c r="F685" s="475" t="s">
        <v>34</v>
      </c>
      <c r="G685" s="364">
        <v>87442</v>
      </c>
      <c r="H685" s="475" t="s">
        <v>727</v>
      </c>
      <c r="I685" s="475" t="s">
        <v>67</v>
      </c>
      <c r="J685" s="475" t="s">
        <v>337</v>
      </c>
      <c r="K685" s="365">
        <v>0.06</v>
      </c>
      <c r="L685" s="475" t="s">
        <v>141</v>
      </c>
      <c r="M685" s="473"/>
    </row>
    <row r="686" spans="1:13" ht="13.5">
      <c r="A686" s="475" t="s">
        <v>5284</v>
      </c>
      <c r="B686" s="475" t="s">
        <v>5285</v>
      </c>
      <c r="C686" s="475" t="s">
        <v>5290</v>
      </c>
      <c r="D686" s="475" t="s">
        <v>5291</v>
      </c>
      <c r="E686" s="476" t="s">
        <v>34</v>
      </c>
      <c r="F686" s="475" t="s">
        <v>34</v>
      </c>
      <c r="G686" s="364">
        <v>87443</v>
      </c>
      <c r="H686" s="475" t="s">
        <v>728</v>
      </c>
      <c r="I686" s="475" t="s">
        <v>67</v>
      </c>
      <c r="J686" s="475" t="s">
        <v>337</v>
      </c>
      <c r="K686" s="365">
        <v>0.28000000000000003</v>
      </c>
      <c r="L686" s="475" t="s">
        <v>141</v>
      </c>
      <c r="M686" s="473"/>
    </row>
    <row r="687" spans="1:13" ht="13.5">
      <c r="A687" s="475" t="s">
        <v>5284</v>
      </c>
      <c r="B687" s="475" t="s">
        <v>5285</v>
      </c>
      <c r="C687" s="475" t="s">
        <v>5290</v>
      </c>
      <c r="D687" s="475" t="s">
        <v>5291</v>
      </c>
      <c r="E687" s="476" t="s">
        <v>34</v>
      </c>
      <c r="F687" s="475" t="s">
        <v>34</v>
      </c>
      <c r="G687" s="364">
        <v>87444</v>
      </c>
      <c r="H687" s="475" t="s">
        <v>729</v>
      </c>
      <c r="I687" s="475" t="s">
        <v>67</v>
      </c>
      <c r="J687" s="475" t="s">
        <v>363</v>
      </c>
      <c r="K687" s="365">
        <v>2.46</v>
      </c>
      <c r="L687" s="475" t="s">
        <v>141</v>
      </c>
      <c r="M687" s="473"/>
    </row>
    <row r="688" spans="1:13" ht="13.5">
      <c r="A688" s="475" t="s">
        <v>5284</v>
      </c>
      <c r="B688" s="475" t="s">
        <v>5285</v>
      </c>
      <c r="C688" s="475" t="s">
        <v>5290</v>
      </c>
      <c r="D688" s="475" t="s">
        <v>5291</v>
      </c>
      <c r="E688" s="476" t="s">
        <v>34</v>
      </c>
      <c r="F688" s="475" t="s">
        <v>34</v>
      </c>
      <c r="G688" s="364">
        <v>88387</v>
      </c>
      <c r="H688" s="475" t="s">
        <v>730</v>
      </c>
      <c r="I688" s="475" t="s">
        <v>67</v>
      </c>
      <c r="J688" s="475" t="s">
        <v>337</v>
      </c>
      <c r="K688" s="365">
        <v>0.57999999999999996</v>
      </c>
      <c r="L688" s="475" t="s">
        <v>141</v>
      </c>
      <c r="M688" s="473"/>
    </row>
    <row r="689" spans="1:13" ht="13.5">
      <c r="A689" s="475" t="s">
        <v>5284</v>
      </c>
      <c r="B689" s="475" t="s">
        <v>5285</v>
      </c>
      <c r="C689" s="475" t="s">
        <v>5290</v>
      </c>
      <c r="D689" s="475" t="s">
        <v>5291</v>
      </c>
      <c r="E689" s="476" t="s">
        <v>34</v>
      </c>
      <c r="F689" s="475" t="s">
        <v>34</v>
      </c>
      <c r="G689" s="364">
        <v>88389</v>
      </c>
      <c r="H689" s="475" t="s">
        <v>731</v>
      </c>
      <c r="I689" s="475" t="s">
        <v>67</v>
      </c>
      <c r="J689" s="475" t="s">
        <v>337</v>
      </c>
      <c r="K689" s="365">
        <v>0.13</v>
      </c>
      <c r="L689" s="475" t="s">
        <v>141</v>
      </c>
      <c r="M689" s="473"/>
    </row>
    <row r="690" spans="1:13" ht="13.5">
      <c r="A690" s="475" t="s">
        <v>5284</v>
      </c>
      <c r="B690" s="475" t="s">
        <v>5285</v>
      </c>
      <c r="C690" s="475" t="s">
        <v>5290</v>
      </c>
      <c r="D690" s="475" t="s">
        <v>5291</v>
      </c>
      <c r="E690" s="476" t="s">
        <v>34</v>
      </c>
      <c r="F690" s="475" t="s">
        <v>34</v>
      </c>
      <c r="G690" s="364">
        <v>88390</v>
      </c>
      <c r="H690" s="475" t="s">
        <v>732</v>
      </c>
      <c r="I690" s="475" t="s">
        <v>67</v>
      </c>
      <c r="J690" s="475" t="s">
        <v>337</v>
      </c>
      <c r="K690" s="365">
        <v>0.72</v>
      </c>
      <c r="L690" s="475" t="s">
        <v>141</v>
      </c>
      <c r="M690" s="473"/>
    </row>
    <row r="691" spans="1:13" ht="13.5">
      <c r="A691" s="475" t="s">
        <v>5284</v>
      </c>
      <c r="B691" s="475" t="s">
        <v>5285</v>
      </c>
      <c r="C691" s="475" t="s">
        <v>5290</v>
      </c>
      <c r="D691" s="475" t="s">
        <v>5291</v>
      </c>
      <c r="E691" s="476" t="s">
        <v>34</v>
      </c>
      <c r="F691" s="475" t="s">
        <v>34</v>
      </c>
      <c r="G691" s="364">
        <v>88391</v>
      </c>
      <c r="H691" s="475" t="s">
        <v>733</v>
      </c>
      <c r="I691" s="475" t="s">
        <v>67</v>
      </c>
      <c r="J691" s="475" t="s">
        <v>337</v>
      </c>
      <c r="K691" s="365">
        <v>2.06</v>
      </c>
      <c r="L691" s="475" t="s">
        <v>141</v>
      </c>
      <c r="M691" s="473"/>
    </row>
    <row r="692" spans="1:13" ht="13.5">
      <c r="A692" s="475" t="s">
        <v>5284</v>
      </c>
      <c r="B692" s="475" t="s">
        <v>5285</v>
      </c>
      <c r="C692" s="475" t="s">
        <v>5290</v>
      </c>
      <c r="D692" s="475" t="s">
        <v>5291</v>
      </c>
      <c r="E692" s="476" t="s">
        <v>34</v>
      </c>
      <c r="F692" s="475" t="s">
        <v>34</v>
      </c>
      <c r="G692" s="364">
        <v>88394</v>
      </c>
      <c r="H692" s="475" t="s">
        <v>734</v>
      </c>
      <c r="I692" s="475" t="s">
        <v>67</v>
      </c>
      <c r="J692" s="475" t="s">
        <v>337</v>
      </c>
      <c r="K692" s="365">
        <v>0.69</v>
      </c>
      <c r="L692" s="475" t="s">
        <v>141</v>
      </c>
      <c r="M692" s="473"/>
    </row>
    <row r="693" spans="1:13" ht="13.5">
      <c r="A693" s="475" t="s">
        <v>5284</v>
      </c>
      <c r="B693" s="475" t="s">
        <v>5285</v>
      </c>
      <c r="C693" s="475" t="s">
        <v>5290</v>
      </c>
      <c r="D693" s="475" t="s">
        <v>5291</v>
      </c>
      <c r="E693" s="476" t="s">
        <v>34</v>
      </c>
      <c r="F693" s="475" t="s">
        <v>34</v>
      </c>
      <c r="G693" s="364">
        <v>88395</v>
      </c>
      <c r="H693" s="475" t="s">
        <v>735</v>
      </c>
      <c r="I693" s="475" t="s">
        <v>67</v>
      </c>
      <c r="J693" s="475" t="s">
        <v>337</v>
      </c>
      <c r="K693" s="365">
        <v>0.15</v>
      </c>
      <c r="L693" s="475" t="s">
        <v>141</v>
      </c>
      <c r="M693" s="473"/>
    </row>
    <row r="694" spans="1:13" ht="13.5">
      <c r="A694" s="475" t="s">
        <v>5284</v>
      </c>
      <c r="B694" s="475" t="s">
        <v>5285</v>
      </c>
      <c r="C694" s="475" t="s">
        <v>5290</v>
      </c>
      <c r="D694" s="475" t="s">
        <v>5291</v>
      </c>
      <c r="E694" s="476" t="s">
        <v>34</v>
      </c>
      <c r="F694" s="475" t="s">
        <v>34</v>
      </c>
      <c r="G694" s="364">
        <v>88396</v>
      </c>
      <c r="H694" s="475" t="s">
        <v>736</v>
      </c>
      <c r="I694" s="475" t="s">
        <v>67</v>
      </c>
      <c r="J694" s="475" t="s">
        <v>337</v>
      </c>
      <c r="K694" s="365">
        <v>0.86</v>
      </c>
      <c r="L694" s="475" t="s">
        <v>141</v>
      </c>
      <c r="M694" s="473"/>
    </row>
    <row r="695" spans="1:13" ht="13.5">
      <c r="A695" s="475" t="s">
        <v>5284</v>
      </c>
      <c r="B695" s="475" t="s">
        <v>5285</v>
      </c>
      <c r="C695" s="475" t="s">
        <v>5290</v>
      </c>
      <c r="D695" s="475" t="s">
        <v>5291</v>
      </c>
      <c r="E695" s="476" t="s">
        <v>34</v>
      </c>
      <c r="F695" s="475" t="s">
        <v>34</v>
      </c>
      <c r="G695" s="364">
        <v>88397</v>
      </c>
      <c r="H695" s="475" t="s">
        <v>737</v>
      </c>
      <c r="I695" s="475" t="s">
        <v>67</v>
      </c>
      <c r="J695" s="475" t="s">
        <v>337</v>
      </c>
      <c r="K695" s="365">
        <v>3.09</v>
      </c>
      <c r="L695" s="475" t="s">
        <v>141</v>
      </c>
      <c r="M695" s="473"/>
    </row>
    <row r="696" spans="1:13" ht="13.5">
      <c r="A696" s="475" t="s">
        <v>5284</v>
      </c>
      <c r="B696" s="475" t="s">
        <v>5285</v>
      </c>
      <c r="C696" s="475" t="s">
        <v>5290</v>
      </c>
      <c r="D696" s="475" t="s">
        <v>5291</v>
      </c>
      <c r="E696" s="476" t="s">
        <v>34</v>
      </c>
      <c r="F696" s="475" t="s">
        <v>34</v>
      </c>
      <c r="G696" s="364">
        <v>88400</v>
      </c>
      <c r="H696" s="475" t="s">
        <v>738</v>
      </c>
      <c r="I696" s="475" t="s">
        <v>67</v>
      </c>
      <c r="J696" s="475" t="s">
        <v>337</v>
      </c>
      <c r="K696" s="365">
        <v>0.55000000000000004</v>
      </c>
      <c r="L696" s="475" t="s">
        <v>141</v>
      </c>
      <c r="M696" s="473"/>
    </row>
    <row r="697" spans="1:13" ht="13.5">
      <c r="A697" s="475" t="s">
        <v>5284</v>
      </c>
      <c r="B697" s="475" t="s">
        <v>5285</v>
      </c>
      <c r="C697" s="475" t="s">
        <v>5290</v>
      </c>
      <c r="D697" s="475" t="s">
        <v>5291</v>
      </c>
      <c r="E697" s="476" t="s">
        <v>34</v>
      </c>
      <c r="F697" s="475" t="s">
        <v>34</v>
      </c>
      <c r="G697" s="364">
        <v>88401</v>
      </c>
      <c r="H697" s="475" t="s">
        <v>739</v>
      </c>
      <c r="I697" s="475" t="s">
        <v>67</v>
      </c>
      <c r="J697" s="475" t="s">
        <v>337</v>
      </c>
      <c r="K697" s="365">
        <v>0.12</v>
      </c>
      <c r="L697" s="475" t="s">
        <v>141</v>
      </c>
      <c r="M697" s="473"/>
    </row>
    <row r="698" spans="1:13" ht="13.5">
      <c r="A698" s="475" t="s">
        <v>5284</v>
      </c>
      <c r="B698" s="475" t="s">
        <v>5285</v>
      </c>
      <c r="C698" s="475" t="s">
        <v>5290</v>
      </c>
      <c r="D698" s="475" t="s">
        <v>5291</v>
      </c>
      <c r="E698" s="476" t="s">
        <v>34</v>
      </c>
      <c r="F698" s="475" t="s">
        <v>34</v>
      </c>
      <c r="G698" s="364">
        <v>88402</v>
      </c>
      <c r="H698" s="475" t="s">
        <v>740</v>
      </c>
      <c r="I698" s="475" t="s">
        <v>67</v>
      </c>
      <c r="J698" s="475" t="s">
        <v>337</v>
      </c>
      <c r="K698" s="365">
        <v>0.68</v>
      </c>
      <c r="L698" s="475" t="s">
        <v>141</v>
      </c>
      <c r="M698" s="473"/>
    </row>
    <row r="699" spans="1:13" ht="13.5">
      <c r="A699" s="475" t="s">
        <v>5284</v>
      </c>
      <c r="B699" s="475" t="s">
        <v>5285</v>
      </c>
      <c r="C699" s="475" t="s">
        <v>5290</v>
      </c>
      <c r="D699" s="475" t="s">
        <v>5291</v>
      </c>
      <c r="E699" s="476" t="s">
        <v>34</v>
      </c>
      <c r="F699" s="475" t="s">
        <v>34</v>
      </c>
      <c r="G699" s="364">
        <v>88403</v>
      </c>
      <c r="H699" s="475" t="s">
        <v>741</v>
      </c>
      <c r="I699" s="475" t="s">
        <v>67</v>
      </c>
      <c r="J699" s="475" t="s">
        <v>337</v>
      </c>
      <c r="K699" s="365">
        <v>1.24</v>
      </c>
      <c r="L699" s="475" t="s">
        <v>141</v>
      </c>
      <c r="M699" s="473"/>
    </row>
    <row r="700" spans="1:13" ht="13.5">
      <c r="A700" s="475" t="s">
        <v>5284</v>
      </c>
      <c r="B700" s="475" t="s">
        <v>5285</v>
      </c>
      <c r="C700" s="475" t="s">
        <v>5290</v>
      </c>
      <c r="D700" s="475" t="s">
        <v>5291</v>
      </c>
      <c r="E700" s="476" t="s">
        <v>34</v>
      </c>
      <c r="F700" s="475" t="s">
        <v>34</v>
      </c>
      <c r="G700" s="364">
        <v>88419</v>
      </c>
      <c r="H700" s="475" t="s">
        <v>742</v>
      </c>
      <c r="I700" s="475" t="s">
        <v>67</v>
      </c>
      <c r="J700" s="475" t="s">
        <v>337</v>
      </c>
      <c r="K700" s="365">
        <v>3.58</v>
      </c>
      <c r="L700" s="475" t="s">
        <v>141</v>
      </c>
      <c r="M700" s="473"/>
    </row>
    <row r="701" spans="1:13" ht="13.5">
      <c r="A701" s="475" t="s">
        <v>5284</v>
      </c>
      <c r="B701" s="475" t="s">
        <v>5285</v>
      </c>
      <c r="C701" s="475" t="s">
        <v>5290</v>
      </c>
      <c r="D701" s="475" t="s">
        <v>5291</v>
      </c>
      <c r="E701" s="476" t="s">
        <v>34</v>
      </c>
      <c r="F701" s="475" t="s">
        <v>34</v>
      </c>
      <c r="G701" s="364">
        <v>88422</v>
      </c>
      <c r="H701" s="475" t="s">
        <v>743</v>
      </c>
      <c r="I701" s="475" t="s">
        <v>67</v>
      </c>
      <c r="J701" s="475" t="s">
        <v>337</v>
      </c>
      <c r="K701" s="365">
        <v>0.8</v>
      </c>
      <c r="L701" s="475" t="s">
        <v>141</v>
      </c>
      <c r="M701" s="473"/>
    </row>
    <row r="702" spans="1:13" ht="13.5">
      <c r="A702" s="475" t="s">
        <v>5284</v>
      </c>
      <c r="B702" s="475" t="s">
        <v>5285</v>
      </c>
      <c r="C702" s="475" t="s">
        <v>5290</v>
      </c>
      <c r="D702" s="475" t="s">
        <v>5291</v>
      </c>
      <c r="E702" s="476" t="s">
        <v>34</v>
      </c>
      <c r="F702" s="475" t="s">
        <v>34</v>
      </c>
      <c r="G702" s="364">
        <v>88425</v>
      </c>
      <c r="H702" s="475" t="s">
        <v>744</v>
      </c>
      <c r="I702" s="475" t="s">
        <v>67</v>
      </c>
      <c r="J702" s="475" t="s">
        <v>337</v>
      </c>
      <c r="K702" s="365">
        <v>3.92</v>
      </c>
      <c r="L702" s="475" t="s">
        <v>141</v>
      </c>
      <c r="M702" s="473"/>
    </row>
    <row r="703" spans="1:13" ht="13.5">
      <c r="A703" s="475" t="s">
        <v>5284</v>
      </c>
      <c r="B703" s="475" t="s">
        <v>5285</v>
      </c>
      <c r="C703" s="475" t="s">
        <v>5290</v>
      </c>
      <c r="D703" s="475" t="s">
        <v>5291</v>
      </c>
      <c r="E703" s="476" t="s">
        <v>34</v>
      </c>
      <c r="F703" s="475" t="s">
        <v>34</v>
      </c>
      <c r="G703" s="364">
        <v>88427</v>
      </c>
      <c r="H703" s="475" t="s">
        <v>745</v>
      </c>
      <c r="I703" s="475" t="s">
        <v>67</v>
      </c>
      <c r="J703" s="475" t="s">
        <v>337</v>
      </c>
      <c r="K703" s="365">
        <v>3.14</v>
      </c>
      <c r="L703" s="475" t="s">
        <v>141</v>
      </c>
      <c r="M703" s="473"/>
    </row>
    <row r="704" spans="1:13" ht="13.5">
      <c r="A704" s="475" t="s">
        <v>5284</v>
      </c>
      <c r="B704" s="475" t="s">
        <v>5285</v>
      </c>
      <c r="C704" s="475" t="s">
        <v>5290</v>
      </c>
      <c r="D704" s="475" t="s">
        <v>5291</v>
      </c>
      <c r="E704" s="476" t="s">
        <v>34</v>
      </c>
      <c r="F704" s="475" t="s">
        <v>34</v>
      </c>
      <c r="G704" s="364">
        <v>88434</v>
      </c>
      <c r="H704" s="475" t="s">
        <v>746</v>
      </c>
      <c r="I704" s="475" t="s">
        <v>67</v>
      </c>
      <c r="J704" s="475" t="s">
        <v>337</v>
      </c>
      <c r="K704" s="365">
        <v>4.75</v>
      </c>
      <c r="L704" s="475" t="s">
        <v>141</v>
      </c>
      <c r="M704" s="473"/>
    </row>
    <row r="705" spans="1:13" ht="13.5">
      <c r="A705" s="475" t="s">
        <v>5284</v>
      </c>
      <c r="B705" s="475" t="s">
        <v>5285</v>
      </c>
      <c r="C705" s="475" t="s">
        <v>5290</v>
      </c>
      <c r="D705" s="475" t="s">
        <v>5291</v>
      </c>
      <c r="E705" s="476" t="s">
        <v>34</v>
      </c>
      <c r="F705" s="475" t="s">
        <v>34</v>
      </c>
      <c r="G705" s="364">
        <v>88435</v>
      </c>
      <c r="H705" s="475" t="s">
        <v>747</v>
      </c>
      <c r="I705" s="475" t="s">
        <v>67</v>
      </c>
      <c r="J705" s="475" t="s">
        <v>337</v>
      </c>
      <c r="K705" s="365">
        <v>1.07</v>
      </c>
      <c r="L705" s="475" t="s">
        <v>141</v>
      </c>
      <c r="M705" s="473"/>
    </row>
    <row r="706" spans="1:13" ht="13.5">
      <c r="A706" s="475" t="s">
        <v>5284</v>
      </c>
      <c r="B706" s="475" t="s">
        <v>5285</v>
      </c>
      <c r="C706" s="475" t="s">
        <v>5290</v>
      </c>
      <c r="D706" s="475" t="s">
        <v>5291</v>
      </c>
      <c r="E706" s="476" t="s">
        <v>34</v>
      </c>
      <c r="F706" s="475" t="s">
        <v>34</v>
      </c>
      <c r="G706" s="364">
        <v>88436</v>
      </c>
      <c r="H706" s="475" t="s">
        <v>748</v>
      </c>
      <c r="I706" s="475" t="s">
        <v>67</v>
      </c>
      <c r="J706" s="475" t="s">
        <v>337</v>
      </c>
      <c r="K706" s="365">
        <v>5.2</v>
      </c>
      <c r="L706" s="475" t="s">
        <v>141</v>
      </c>
      <c r="M706" s="473"/>
    </row>
    <row r="707" spans="1:13" ht="13.5">
      <c r="A707" s="475" t="s">
        <v>5284</v>
      </c>
      <c r="B707" s="475" t="s">
        <v>5285</v>
      </c>
      <c r="C707" s="475" t="s">
        <v>5290</v>
      </c>
      <c r="D707" s="475" t="s">
        <v>5291</v>
      </c>
      <c r="E707" s="476" t="s">
        <v>34</v>
      </c>
      <c r="F707" s="475" t="s">
        <v>34</v>
      </c>
      <c r="G707" s="364">
        <v>88437</v>
      </c>
      <c r="H707" s="475" t="s">
        <v>749</v>
      </c>
      <c r="I707" s="475" t="s">
        <v>67</v>
      </c>
      <c r="J707" s="475" t="s">
        <v>337</v>
      </c>
      <c r="K707" s="365">
        <v>3.14</v>
      </c>
      <c r="L707" s="475" t="s">
        <v>141</v>
      </c>
      <c r="M707" s="473"/>
    </row>
    <row r="708" spans="1:13" ht="13.5">
      <c r="A708" s="475" t="s">
        <v>5284</v>
      </c>
      <c r="B708" s="475" t="s">
        <v>5285</v>
      </c>
      <c r="C708" s="475" t="s">
        <v>5290</v>
      </c>
      <c r="D708" s="475" t="s">
        <v>5291</v>
      </c>
      <c r="E708" s="476" t="s">
        <v>34</v>
      </c>
      <c r="F708" s="475" t="s">
        <v>34</v>
      </c>
      <c r="G708" s="364">
        <v>88569</v>
      </c>
      <c r="H708" s="475" t="s">
        <v>750</v>
      </c>
      <c r="I708" s="475" t="s">
        <v>67</v>
      </c>
      <c r="J708" s="475" t="s">
        <v>140</v>
      </c>
      <c r="K708" s="365">
        <v>2.46</v>
      </c>
      <c r="L708" s="475" t="s">
        <v>141</v>
      </c>
      <c r="M708" s="473"/>
    </row>
    <row r="709" spans="1:13" ht="13.5">
      <c r="A709" s="475" t="s">
        <v>5284</v>
      </c>
      <c r="B709" s="475" t="s">
        <v>5285</v>
      </c>
      <c r="C709" s="475" t="s">
        <v>5290</v>
      </c>
      <c r="D709" s="475" t="s">
        <v>5291</v>
      </c>
      <c r="E709" s="476" t="s">
        <v>34</v>
      </c>
      <c r="F709" s="475" t="s">
        <v>34</v>
      </c>
      <c r="G709" s="364">
        <v>88570</v>
      </c>
      <c r="H709" s="475" t="s">
        <v>751</v>
      </c>
      <c r="I709" s="475" t="s">
        <v>67</v>
      </c>
      <c r="J709" s="475" t="s">
        <v>140</v>
      </c>
      <c r="K709" s="365">
        <v>0.83</v>
      </c>
      <c r="L709" s="475" t="s">
        <v>141</v>
      </c>
      <c r="M709" s="473"/>
    </row>
    <row r="710" spans="1:13" ht="13.5">
      <c r="A710" s="475" t="s">
        <v>5284</v>
      </c>
      <c r="B710" s="475" t="s">
        <v>5285</v>
      </c>
      <c r="C710" s="475" t="s">
        <v>5290</v>
      </c>
      <c r="D710" s="475" t="s">
        <v>5291</v>
      </c>
      <c r="E710" s="476" t="s">
        <v>34</v>
      </c>
      <c r="F710" s="475" t="s">
        <v>34</v>
      </c>
      <c r="G710" s="364">
        <v>88826</v>
      </c>
      <c r="H710" s="475" t="s">
        <v>752</v>
      </c>
      <c r="I710" s="475" t="s">
        <v>67</v>
      </c>
      <c r="J710" s="475" t="s">
        <v>363</v>
      </c>
      <c r="K710" s="365">
        <v>0.22</v>
      </c>
      <c r="L710" s="475" t="s">
        <v>141</v>
      </c>
      <c r="M710" s="473"/>
    </row>
    <row r="711" spans="1:13" ht="13.5">
      <c r="A711" s="475" t="s">
        <v>5284</v>
      </c>
      <c r="B711" s="475" t="s">
        <v>5285</v>
      </c>
      <c r="C711" s="475" t="s">
        <v>5290</v>
      </c>
      <c r="D711" s="475" t="s">
        <v>5291</v>
      </c>
      <c r="E711" s="476" t="s">
        <v>34</v>
      </c>
      <c r="F711" s="475" t="s">
        <v>34</v>
      </c>
      <c r="G711" s="364">
        <v>88827</v>
      </c>
      <c r="H711" s="475" t="s">
        <v>753</v>
      </c>
      <c r="I711" s="475" t="s">
        <v>67</v>
      </c>
      <c r="J711" s="475" t="s">
        <v>363</v>
      </c>
      <c r="K711" s="365">
        <v>0.04</v>
      </c>
      <c r="L711" s="475" t="s">
        <v>141</v>
      </c>
      <c r="M711" s="473"/>
    </row>
    <row r="712" spans="1:13" ht="13.5">
      <c r="A712" s="475" t="s">
        <v>5284</v>
      </c>
      <c r="B712" s="475" t="s">
        <v>5285</v>
      </c>
      <c r="C712" s="475" t="s">
        <v>5290</v>
      </c>
      <c r="D712" s="475" t="s">
        <v>5291</v>
      </c>
      <c r="E712" s="476" t="s">
        <v>34</v>
      </c>
      <c r="F712" s="475" t="s">
        <v>34</v>
      </c>
      <c r="G712" s="364">
        <v>88828</v>
      </c>
      <c r="H712" s="475" t="s">
        <v>754</v>
      </c>
      <c r="I712" s="475" t="s">
        <v>67</v>
      </c>
      <c r="J712" s="475" t="s">
        <v>363</v>
      </c>
      <c r="K712" s="365">
        <v>0.2</v>
      </c>
      <c r="L712" s="475" t="s">
        <v>141</v>
      </c>
      <c r="M712" s="473"/>
    </row>
    <row r="713" spans="1:13" ht="13.5">
      <c r="A713" s="475" t="s">
        <v>5284</v>
      </c>
      <c r="B713" s="475" t="s">
        <v>5285</v>
      </c>
      <c r="C713" s="475" t="s">
        <v>5290</v>
      </c>
      <c r="D713" s="475" t="s">
        <v>5291</v>
      </c>
      <c r="E713" s="476" t="s">
        <v>34</v>
      </c>
      <c r="F713" s="475" t="s">
        <v>34</v>
      </c>
      <c r="G713" s="364">
        <v>88829</v>
      </c>
      <c r="H713" s="475" t="s">
        <v>755</v>
      </c>
      <c r="I713" s="475" t="s">
        <v>67</v>
      </c>
      <c r="J713" s="475" t="s">
        <v>337</v>
      </c>
      <c r="K713" s="365">
        <v>0.82</v>
      </c>
      <c r="L713" s="475" t="s">
        <v>141</v>
      </c>
      <c r="M713" s="473"/>
    </row>
    <row r="714" spans="1:13" ht="13.5">
      <c r="A714" s="475" t="s">
        <v>5284</v>
      </c>
      <c r="B714" s="475" t="s">
        <v>5285</v>
      </c>
      <c r="C714" s="475" t="s">
        <v>5290</v>
      </c>
      <c r="D714" s="475" t="s">
        <v>5291</v>
      </c>
      <c r="E714" s="476" t="s">
        <v>34</v>
      </c>
      <c r="F714" s="475" t="s">
        <v>34</v>
      </c>
      <c r="G714" s="364">
        <v>88832</v>
      </c>
      <c r="H714" s="475" t="s">
        <v>756</v>
      </c>
      <c r="I714" s="475" t="s">
        <v>67</v>
      </c>
      <c r="J714" s="475" t="s">
        <v>140</v>
      </c>
      <c r="K714" s="365">
        <v>21.73</v>
      </c>
      <c r="L714" s="475" t="s">
        <v>141</v>
      </c>
      <c r="M714" s="473"/>
    </row>
    <row r="715" spans="1:13" ht="13.5">
      <c r="A715" s="475" t="s">
        <v>5284</v>
      </c>
      <c r="B715" s="475" t="s">
        <v>5285</v>
      </c>
      <c r="C715" s="475" t="s">
        <v>5290</v>
      </c>
      <c r="D715" s="475" t="s">
        <v>5291</v>
      </c>
      <c r="E715" s="476" t="s">
        <v>34</v>
      </c>
      <c r="F715" s="475" t="s">
        <v>34</v>
      </c>
      <c r="G715" s="364">
        <v>88834</v>
      </c>
      <c r="H715" s="475" t="s">
        <v>757</v>
      </c>
      <c r="I715" s="475" t="s">
        <v>67</v>
      </c>
      <c r="J715" s="475" t="s">
        <v>140</v>
      </c>
      <c r="K715" s="365">
        <v>5.58</v>
      </c>
      <c r="L715" s="475" t="s">
        <v>141</v>
      </c>
      <c r="M715" s="473"/>
    </row>
    <row r="716" spans="1:13" ht="13.5">
      <c r="A716" s="475" t="s">
        <v>5284</v>
      </c>
      <c r="B716" s="475" t="s">
        <v>5285</v>
      </c>
      <c r="C716" s="475" t="s">
        <v>5290</v>
      </c>
      <c r="D716" s="475" t="s">
        <v>5291</v>
      </c>
      <c r="E716" s="476" t="s">
        <v>34</v>
      </c>
      <c r="F716" s="475" t="s">
        <v>34</v>
      </c>
      <c r="G716" s="364">
        <v>88835</v>
      </c>
      <c r="H716" s="475" t="s">
        <v>758</v>
      </c>
      <c r="I716" s="475" t="s">
        <v>67</v>
      </c>
      <c r="J716" s="475" t="s">
        <v>140</v>
      </c>
      <c r="K716" s="365">
        <v>27.17</v>
      </c>
      <c r="L716" s="475" t="s">
        <v>141</v>
      </c>
      <c r="M716" s="473"/>
    </row>
    <row r="717" spans="1:13" ht="13.5">
      <c r="A717" s="475" t="s">
        <v>5284</v>
      </c>
      <c r="B717" s="475" t="s">
        <v>5285</v>
      </c>
      <c r="C717" s="475" t="s">
        <v>5290</v>
      </c>
      <c r="D717" s="475" t="s">
        <v>5291</v>
      </c>
      <c r="E717" s="476" t="s">
        <v>34</v>
      </c>
      <c r="F717" s="475" t="s">
        <v>34</v>
      </c>
      <c r="G717" s="364">
        <v>88836</v>
      </c>
      <c r="H717" s="475" t="s">
        <v>759</v>
      </c>
      <c r="I717" s="475" t="s">
        <v>67</v>
      </c>
      <c r="J717" s="475" t="s">
        <v>363</v>
      </c>
      <c r="K717" s="365">
        <v>54.35</v>
      </c>
      <c r="L717" s="475" t="s">
        <v>141</v>
      </c>
      <c r="M717" s="473"/>
    </row>
    <row r="718" spans="1:13" ht="13.5">
      <c r="A718" s="475" t="s">
        <v>5284</v>
      </c>
      <c r="B718" s="475" t="s">
        <v>5285</v>
      </c>
      <c r="C718" s="475" t="s">
        <v>5290</v>
      </c>
      <c r="D718" s="475" t="s">
        <v>5291</v>
      </c>
      <c r="E718" s="476" t="s">
        <v>34</v>
      </c>
      <c r="F718" s="475" t="s">
        <v>34</v>
      </c>
      <c r="G718" s="364">
        <v>88839</v>
      </c>
      <c r="H718" s="475" t="s">
        <v>760</v>
      </c>
      <c r="I718" s="475" t="s">
        <v>67</v>
      </c>
      <c r="J718" s="475" t="s">
        <v>140</v>
      </c>
      <c r="K718" s="365">
        <v>17.57</v>
      </c>
      <c r="L718" s="475" t="s">
        <v>141</v>
      </c>
      <c r="M718" s="473"/>
    </row>
    <row r="719" spans="1:13" ht="13.5">
      <c r="A719" s="475" t="s">
        <v>5284</v>
      </c>
      <c r="B719" s="475" t="s">
        <v>5285</v>
      </c>
      <c r="C719" s="475" t="s">
        <v>5290</v>
      </c>
      <c r="D719" s="475" t="s">
        <v>5291</v>
      </c>
      <c r="E719" s="476" t="s">
        <v>34</v>
      </c>
      <c r="F719" s="475" t="s">
        <v>34</v>
      </c>
      <c r="G719" s="364">
        <v>88840</v>
      </c>
      <c r="H719" s="475" t="s">
        <v>761</v>
      </c>
      <c r="I719" s="475" t="s">
        <v>67</v>
      </c>
      <c r="J719" s="475" t="s">
        <v>140</v>
      </c>
      <c r="K719" s="365">
        <v>7.51</v>
      </c>
      <c r="L719" s="475" t="s">
        <v>141</v>
      </c>
      <c r="M719" s="473"/>
    </row>
    <row r="720" spans="1:13" ht="13.5">
      <c r="A720" s="475" t="s">
        <v>5284</v>
      </c>
      <c r="B720" s="475" t="s">
        <v>5285</v>
      </c>
      <c r="C720" s="475" t="s">
        <v>5290</v>
      </c>
      <c r="D720" s="475" t="s">
        <v>5291</v>
      </c>
      <c r="E720" s="476" t="s">
        <v>34</v>
      </c>
      <c r="F720" s="475" t="s">
        <v>34</v>
      </c>
      <c r="G720" s="364">
        <v>88841</v>
      </c>
      <c r="H720" s="475" t="s">
        <v>762</v>
      </c>
      <c r="I720" s="475" t="s">
        <v>67</v>
      </c>
      <c r="J720" s="475" t="s">
        <v>140</v>
      </c>
      <c r="K720" s="365">
        <v>31.42</v>
      </c>
      <c r="L720" s="475" t="s">
        <v>141</v>
      </c>
      <c r="M720" s="473"/>
    </row>
    <row r="721" spans="1:13" ht="13.5">
      <c r="A721" s="475" t="s">
        <v>5284</v>
      </c>
      <c r="B721" s="475" t="s">
        <v>5285</v>
      </c>
      <c r="C721" s="475" t="s">
        <v>5290</v>
      </c>
      <c r="D721" s="475" t="s">
        <v>5291</v>
      </c>
      <c r="E721" s="476" t="s">
        <v>34</v>
      </c>
      <c r="F721" s="475" t="s">
        <v>34</v>
      </c>
      <c r="G721" s="364">
        <v>88842</v>
      </c>
      <c r="H721" s="475" t="s">
        <v>763</v>
      </c>
      <c r="I721" s="475" t="s">
        <v>67</v>
      </c>
      <c r="J721" s="475" t="s">
        <v>363</v>
      </c>
      <c r="K721" s="365">
        <v>61.78</v>
      </c>
      <c r="L721" s="475" t="s">
        <v>141</v>
      </c>
      <c r="M721" s="473"/>
    </row>
    <row r="722" spans="1:13" ht="13.5">
      <c r="A722" s="475" t="s">
        <v>5284</v>
      </c>
      <c r="B722" s="475" t="s">
        <v>5285</v>
      </c>
      <c r="C722" s="475" t="s">
        <v>5290</v>
      </c>
      <c r="D722" s="475" t="s">
        <v>5291</v>
      </c>
      <c r="E722" s="476" t="s">
        <v>34</v>
      </c>
      <c r="F722" s="475" t="s">
        <v>34</v>
      </c>
      <c r="G722" s="364">
        <v>88847</v>
      </c>
      <c r="H722" s="475" t="s">
        <v>764</v>
      </c>
      <c r="I722" s="475" t="s">
        <v>67</v>
      </c>
      <c r="J722" s="475" t="s">
        <v>140</v>
      </c>
      <c r="K722" s="365">
        <v>14.55</v>
      </c>
      <c r="L722" s="475" t="s">
        <v>141</v>
      </c>
      <c r="M722" s="473"/>
    </row>
    <row r="723" spans="1:13" ht="13.5">
      <c r="A723" s="475" t="s">
        <v>5284</v>
      </c>
      <c r="B723" s="475" t="s">
        <v>5285</v>
      </c>
      <c r="C723" s="475" t="s">
        <v>5290</v>
      </c>
      <c r="D723" s="475" t="s">
        <v>5291</v>
      </c>
      <c r="E723" s="476" t="s">
        <v>34</v>
      </c>
      <c r="F723" s="475" t="s">
        <v>34</v>
      </c>
      <c r="G723" s="364">
        <v>88848</v>
      </c>
      <c r="H723" s="475" t="s">
        <v>765</v>
      </c>
      <c r="I723" s="475" t="s">
        <v>67</v>
      </c>
      <c r="J723" s="475" t="s">
        <v>140</v>
      </c>
      <c r="K723" s="365">
        <v>5.81</v>
      </c>
      <c r="L723" s="475" t="s">
        <v>141</v>
      </c>
      <c r="M723" s="473"/>
    </row>
    <row r="724" spans="1:13" ht="13.5">
      <c r="A724" s="475" t="s">
        <v>5284</v>
      </c>
      <c r="B724" s="475" t="s">
        <v>5285</v>
      </c>
      <c r="C724" s="475" t="s">
        <v>5290</v>
      </c>
      <c r="D724" s="475" t="s">
        <v>5291</v>
      </c>
      <c r="E724" s="476" t="s">
        <v>34</v>
      </c>
      <c r="F724" s="475" t="s">
        <v>34</v>
      </c>
      <c r="G724" s="364">
        <v>88853</v>
      </c>
      <c r="H724" s="475" t="s">
        <v>766</v>
      </c>
      <c r="I724" s="475" t="s">
        <v>67</v>
      </c>
      <c r="J724" s="475" t="s">
        <v>337</v>
      </c>
      <c r="K724" s="365">
        <v>0.15</v>
      </c>
      <c r="L724" s="475" t="s">
        <v>141</v>
      </c>
      <c r="M724" s="473"/>
    </row>
    <row r="725" spans="1:13" ht="13.5">
      <c r="A725" s="475" t="s">
        <v>5284</v>
      </c>
      <c r="B725" s="475" t="s">
        <v>5285</v>
      </c>
      <c r="C725" s="475" t="s">
        <v>5290</v>
      </c>
      <c r="D725" s="475" t="s">
        <v>5291</v>
      </c>
      <c r="E725" s="476" t="s">
        <v>34</v>
      </c>
      <c r="F725" s="475" t="s">
        <v>34</v>
      </c>
      <c r="G725" s="364">
        <v>88854</v>
      </c>
      <c r="H725" s="475" t="s">
        <v>767</v>
      </c>
      <c r="I725" s="475" t="s">
        <v>67</v>
      </c>
      <c r="J725" s="475" t="s">
        <v>337</v>
      </c>
      <c r="K725" s="365">
        <v>0.03</v>
      </c>
      <c r="L725" s="475" t="s">
        <v>141</v>
      </c>
      <c r="M725" s="473"/>
    </row>
    <row r="726" spans="1:13" ht="13.5">
      <c r="A726" s="475" t="s">
        <v>5284</v>
      </c>
      <c r="B726" s="475" t="s">
        <v>5285</v>
      </c>
      <c r="C726" s="475" t="s">
        <v>5290</v>
      </c>
      <c r="D726" s="475" t="s">
        <v>5291</v>
      </c>
      <c r="E726" s="476" t="s">
        <v>34</v>
      </c>
      <c r="F726" s="475" t="s">
        <v>34</v>
      </c>
      <c r="G726" s="364">
        <v>88855</v>
      </c>
      <c r="H726" s="475" t="s">
        <v>768</v>
      </c>
      <c r="I726" s="475" t="s">
        <v>67</v>
      </c>
      <c r="J726" s="475" t="s">
        <v>140</v>
      </c>
      <c r="K726" s="365">
        <v>1.71</v>
      </c>
      <c r="L726" s="475" t="s">
        <v>141</v>
      </c>
      <c r="M726" s="473"/>
    </row>
    <row r="727" spans="1:13" ht="13.5">
      <c r="A727" s="475" t="s">
        <v>5284</v>
      </c>
      <c r="B727" s="475" t="s">
        <v>5285</v>
      </c>
      <c r="C727" s="475" t="s">
        <v>5290</v>
      </c>
      <c r="D727" s="475" t="s">
        <v>5291</v>
      </c>
      <c r="E727" s="476" t="s">
        <v>34</v>
      </c>
      <c r="F727" s="475" t="s">
        <v>34</v>
      </c>
      <c r="G727" s="364">
        <v>88856</v>
      </c>
      <c r="H727" s="475" t="s">
        <v>769</v>
      </c>
      <c r="I727" s="475" t="s">
        <v>67</v>
      </c>
      <c r="J727" s="475" t="s">
        <v>140</v>
      </c>
      <c r="K727" s="365">
        <v>0.45</v>
      </c>
      <c r="L727" s="475" t="s">
        <v>141</v>
      </c>
      <c r="M727" s="473"/>
    </row>
    <row r="728" spans="1:13" ht="13.5">
      <c r="A728" s="475" t="s">
        <v>5284</v>
      </c>
      <c r="B728" s="475" t="s">
        <v>5285</v>
      </c>
      <c r="C728" s="475" t="s">
        <v>5290</v>
      </c>
      <c r="D728" s="475" t="s">
        <v>5291</v>
      </c>
      <c r="E728" s="476" t="s">
        <v>34</v>
      </c>
      <c r="F728" s="475" t="s">
        <v>34</v>
      </c>
      <c r="G728" s="364">
        <v>88857</v>
      </c>
      <c r="H728" s="475" t="s">
        <v>770</v>
      </c>
      <c r="I728" s="475" t="s">
        <v>67</v>
      </c>
      <c r="J728" s="475" t="s">
        <v>140</v>
      </c>
      <c r="K728" s="365">
        <v>13.64</v>
      </c>
      <c r="L728" s="475" t="s">
        <v>141</v>
      </c>
      <c r="M728" s="473"/>
    </row>
    <row r="729" spans="1:13" ht="13.5">
      <c r="A729" s="475" t="s">
        <v>5284</v>
      </c>
      <c r="B729" s="475" t="s">
        <v>5285</v>
      </c>
      <c r="C729" s="475" t="s">
        <v>5290</v>
      </c>
      <c r="D729" s="475" t="s">
        <v>5291</v>
      </c>
      <c r="E729" s="476" t="s">
        <v>34</v>
      </c>
      <c r="F729" s="475" t="s">
        <v>34</v>
      </c>
      <c r="G729" s="364">
        <v>88858</v>
      </c>
      <c r="H729" s="475" t="s">
        <v>771</v>
      </c>
      <c r="I729" s="475" t="s">
        <v>67</v>
      </c>
      <c r="J729" s="475" t="s">
        <v>140</v>
      </c>
      <c r="K729" s="365">
        <v>3.5</v>
      </c>
      <c r="L729" s="475" t="s">
        <v>141</v>
      </c>
      <c r="M729" s="473"/>
    </row>
    <row r="730" spans="1:13" ht="13.5">
      <c r="A730" s="475" t="s">
        <v>5284</v>
      </c>
      <c r="B730" s="475" t="s">
        <v>5285</v>
      </c>
      <c r="C730" s="475" t="s">
        <v>5290</v>
      </c>
      <c r="D730" s="475" t="s">
        <v>5291</v>
      </c>
      <c r="E730" s="476" t="s">
        <v>34</v>
      </c>
      <c r="F730" s="475" t="s">
        <v>34</v>
      </c>
      <c r="G730" s="364">
        <v>88859</v>
      </c>
      <c r="H730" s="475" t="s">
        <v>772</v>
      </c>
      <c r="I730" s="475" t="s">
        <v>67</v>
      </c>
      <c r="J730" s="475" t="s">
        <v>140</v>
      </c>
      <c r="K730" s="365">
        <v>12.13</v>
      </c>
      <c r="L730" s="475" t="s">
        <v>141</v>
      </c>
      <c r="M730" s="473"/>
    </row>
    <row r="731" spans="1:13" ht="13.5">
      <c r="A731" s="475" t="s">
        <v>5284</v>
      </c>
      <c r="B731" s="475" t="s">
        <v>5285</v>
      </c>
      <c r="C731" s="475" t="s">
        <v>5290</v>
      </c>
      <c r="D731" s="475" t="s">
        <v>5291</v>
      </c>
      <c r="E731" s="476" t="s">
        <v>34</v>
      </c>
      <c r="F731" s="475" t="s">
        <v>34</v>
      </c>
      <c r="G731" s="364">
        <v>88860</v>
      </c>
      <c r="H731" s="475" t="s">
        <v>773</v>
      </c>
      <c r="I731" s="475" t="s">
        <v>67</v>
      </c>
      <c r="J731" s="475" t="s">
        <v>140</v>
      </c>
      <c r="K731" s="365">
        <v>3.11</v>
      </c>
      <c r="L731" s="475" t="s">
        <v>141</v>
      </c>
      <c r="M731" s="473"/>
    </row>
    <row r="732" spans="1:13" ht="13.5">
      <c r="A732" s="475" t="s">
        <v>5284</v>
      </c>
      <c r="B732" s="475" t="s">
        <v>5285</v>
      </c>
      <c r="C732" s="475" t="s">
        <v>5290</v>
      </c>
      <c r="D732" s="475" t="s">
        <v>5291</v>
      </c>
      <c r="E732" s="476" t="s">
        <v>34</v>
      </c>
      <c r="F732" s="475" t="s">
        <v>34</v>
      </c>
      <c r="G732" s="364">
        <v>88900</v>
      </c>
      <c r="H732" s="475" t="s">
        <v>774</v>
      </c>
      <c r="I732" s="475" t="s">
        <v>67</v>
      </c>
      <c r="J732" s="475" t="s">
        <v>140</v>
      </c>
      <c r="K732" s="365">
        <v>25.34</v>
      </c>
      <c r="L732" s="475" t="s">
        <v>141</v>
      </c>
      <c r="M732" s="473"/>
    </row>
    <row r="733" spans="1:13" ht="13.5">
      <c r="A733" s="475" t="s">
        <v>5284</v>
      </c>
      <c r="B733" s="475" t="s">
        <v>5285</v>
      </c>
      <c r="C733" s="475" t="s">
        <v>5290</v>
      </c>
      <c r="D733" s="475" t="s">
        <v>5291</v>
      </c>
      <c r="E733" s="476" t="s">
        <v>34</v>
      </c>
      <c r="F733" s="475" t="s">
        <v>34</v>
      </c>
      <c r="G733" s="364">
        <v>88902</v>
      </c>
      <c r="H733" s="475" t="s">
        <v>775</v>
      </c>
      <c r="I733" s="475" t="s">
        <v>67</v>
      </c>
      <c r="J733" s="475" t="s">
        <v>140</v>
      </c>
      <c r="K733" s="365">
        <v>6.51</v>
      </c>
      <c r="L733" s="475" t="s">
        <v>141</v>
      </c>
      <c r="M733" s="473"/>
    </row>
    <row r="734" spans="1:13" ht="13.5">
      <c r="A734" s="475" t="s">
        <v>5284</v>
      </c>
      <c r="B734" s="475" t="s">
        <v>5285</v>
      </c>
      <c r="C734" s="475" t="s">
        <v>5290</v>
      </c>
      <c r="D734" s="475" t="s">
        <v>5291</v>
      </c>
      <c r="E734" s="476" t="s">
        <v>34</v>
      </c>
      <c r="F734" s="475" t="s">
        <v>34</v>
      </c>
      <c r="G734" s="364">
        <v>88903</v>
      </c>
      <c r="H734" s="475" t="s">
        <v>776</v>
      </c>
      <c r="I734" s="475" t="s">
        <v>67</v>
      </c>
      <c r="J734" s="475" t="s">
        <v>140</v>
      </c>
      <c r="K734" s="365">
        <v>31.68</v>
      </c>
      <c r="L734" s="475" t="s">
        <v>141</v>
      </c>
      <c r="M734" s="473"/>
    </row>
    <row r="735" spans="1:13" ht="13.5">
      <c r="A735" s="475" t="s">
        <v>5284</v>
      </c>
      <c r="B735" s="475" t="s">
        <v>5285</v>
      </c>
      <c r="C735" s="475" t="s">
        <v>5290</v>
      </c>
      <c r="D735" s="475" t="s">
        <v>5291</v>
      </c>
      <c r="E735" s="476" t="s">
        <v>34</v>
      </c>
      <c r="F735" s="475" t="s">
        <v>34</v>
      </c>
      <c r="G735" s="364">
        <v>88904</v>
      </c>
      <c r="H735" s="475" t="s">
        <v>777</v>
      </c>
      <c r="I735" s="475" t="s">
        <v>67</v>
      </c>
      <c r="J735" s="475" t="s">
        <v>363</v>
      </c>
      <c r="K735" s="365">
        <v>76.58</v>
      </c>
      <c r="L735" s="475" t="s">
        <v>141</v>
      </c>
      <c r="M735" s="473"/>
    </row>
    <row r="736" spans="1:13" ht="13.5">
      <c r="A736" s="475" t="s">
        <v>5284</v>
      </c>
      <c r="B736" s="475" t="s">
        <v>5285</v>
      </c>
      <c r="C736" s="475" t="s">
        <v>5290</v>
      </c>
      <c r="D736" s="475" t="s">
        <v>5291</v>
      </c>
      <c r="E736" s="476" t="s">
        <v>34</v>
      </c>
      <c r="F736" s="475" t="s">
        <v>34</v>
      </c>
      <c r="G736" s="364">
        <v>89009</v>
      </c>
      <c r="H736" s="475" t="s">
        <v>778</v>
      </c>
      <c r="I736" s="475" t="s">
        <v>67</v>
      </c>
      <c r="J736" s="475" t="s">
        <v>140</v>
      </c>
      <c r="K736" s="365">
        <v>21.77</v>
      </c>
      <c r="L736" s="475" t="s">
        <v>141</v>
      </c>
      <c r="M736" s="473"/>
    </row>
    <row r="737" spans="1:13" ht="13.5">
      <c r="A737" s="475" t="s">
        <v>5284</v>
      </c>
      <c r="B737" s="475" t="s">
        <v>5285</v>
      </c>
      <c r="C737" s="475" t="s">
        <v>5290</v>
      </c>
      <c r="D737" s="475" t="s">
        <v>5291</v>
      </c>
      <c r="E737" s="476" t="s">
        <v>34</v>
      </c>
      <c r="F737" s="475" t="s">
        <v>34</v>
      </c>
      <c r="G737" s="364">
        <v>89010</v>
      </c>
      <c r="H737" s="475" t="s">
        <v>779</v>
      </c>
      <c r="I737" s="475" t="s">
        <v>67</v>
      </c>
      <c r="J737" s="475" t="s">
        <v>140</v>
      </c>
      <c r="K737" s="365">
        <v>9.31</v>
      </c>
      <c r="L737" s="475" t="s">
        <v>141</v>
      </c>
      <c r="M737" s="473"/>
    </row>
    <row r="738" spans="1:13" ht="13.5">
      <c r="A738" s="475" t="s">
        <v>5284</v>
      </c>
      <c r="B738" s="475" t="s">
        <v>5285</v>
      </c>
      <c r="C738" s="475" t="s">
        <v>5290</v>
      </c>
      <c r="D738" s="475" t="s">
        <v>5291</v>
      </c>
      <c r="E738" s="476" t="s">
        <v>34</v>
      </c>
      <c r="F738" s="475" t="s">
        <v>34</v>
      </c>
      <c r="G738" s="364">
        <v>89011</v>
      </c>
      <c r="H738" s="475" t="s">
        <v>780</v>
      </c>
      <c r="I738" s="475" t="s">
        <v>67</v>
      </c>
      <c r="J738" s="475" t="s">
        <v>140</v>
      </c>
      <c r="K738" s="365">
        <v>13.16</v>
      </c>
      <c r="L738" s="475" t="s">
        <v>141</v>
      </c>
      <c r="M738" s="473"/>
    </row>
    <row r="739" spans="1:13" ht="13.5">
      <c r="A739" s="475" t="s">
        <v>5284</v>
      </c>
      <c r="B739" s="475" t="s">
        <v>5285</v>
      </c>
      <c r="C739" s="475" t="s">
        <v>5290</v>
      </c>
      <c r="D739" s="475" t="s">
        <v>5291</v>
      </c>
      <c r="E739" s="476" t="s">
        <v>34</v>
      </c>
      <c r="F739" s="475" t="s">
        <v>34</v>
      </c>
      <c r="G739" s="364">
        <v>89012</v>
      </c>
      <c r="H739" s="475" t="s">
        <v>781</v>
      </c>
      <c r="I739" s="475" t="s">
        <v>67</v>
      </c>
      <c r="J739" s="475" t="s">
        <v>140</v>
      </c>
      <c r="K739" s="365">
        <v>3.38</v>
      </c>
      <c r="L739" s="475" t="s">
        <v>141</v>
      </c>
      <c r="M739" s="473"/>
    </row>
    <row r="740" spans="1:13" ht="13.5">
      <c r="A740" s="475" t="s">
        <v>5284</v>
      </c>
      <c r="B740" s="475" t="s">
        <v>5285</v>
      </c>
      <c r="C740" s="475" t="s">
        <v>5290</v>
      </c>
      <c r="D740" s="475" t="s">
        <v>5291</v>
      </c>
      <c r="E740" s="476" t="s">
        <v>34</v>
      </c>
      <c r="F740" s="475" t="s">
        <v>34</v>
      </c>
      <c r="G740" s="364">
        <v>89013</v>
      </c>
      <c r="H740" s="475" t="s">
        <v>782</v>
      </c>
      <c r="I740" s="475" t="s">
        <v>67</v>
      </c>
      <c r="J740" s="475" t="s">
        <v>140</v>
      </c>
      <c r="K740" s="365">
        <v>71.3</v>
      </c>
      <c r="L740" s="475" t="s">
        <v>141</v>
      </c>
      <c r="M740" s="473"/>
    </row>
    <row r="741" spans="1:13" ht="13.5">
      <c r="A741" s="475" t="s">
        <v>5284</v>
      </c>
      <c r="B741" s="475" t="s">
        <v>5285</v>
      </c>
      <c r="C741" s="475" t="s">
        <v>5290</v>
      </c>
      <c r="D741" s="475" t="s">
        <v>5291</v>
      </c>
      <c r="E741" s="476" t="s">
        <v>34</v>
      </c>
      <c r="F741" s="475" t="s">
        <v>34</v>
      </c>
      <c r="G741" s="364">
        <v>89014</v>
      </c>
      <c r="H741" s="475" t="s">
        <v>783</v>
      </c>
      <c r="I741" s="475" t="s">
        <v>67</v>
      </c>
      <c r="J741" s="475" t="s">
        <v>140</v>
      </c>
      <c r="K741" s="365">
        <v>30.49</v>
      </c>
      <c r="L741" s="475" t="s">
        <v>141</v>
      </c>
      <c r="M741" s="473"/>
    </row>
    <row r="742" spans="1:13" ht="13.5">
      <c r="A742" s="475" t="s">
        <v>5284</v>
      </c>
      <c r="B742" s="475" t="s">
        <v>5285</v>
      </c>
      <c r="C742" s="475" t="s">
        <v>5290</v>
      </c>
      <c r="D742" s="475" t="s">
        <v>5291</v>
      </c>
      <c r="E742" s="476" t="s">
        <v>34</v>
      </c>
      <c r="F742" s="475" t="s">
        <v>34</v>
      </c>
      <c r="G742" s="364">
        <v>89015</v>
      </c>
      <c r="H742" s="475" t="s">
        <v>784</v>
      </c>
      <c r="I742" s="475" t="s">
        <v>67</v>
      </c>
      <c r="J742" s="475" t="s">
        <v>140</v>
      </c>
      <c r="K742" s="365">
        <v>1.97</v>
      </c>
      <c r="L742" s="475" t="s">
        <v>141</v>
      </c>
      <c r="M742" s="473"/>
    </row>
    <row r="743" spans="1:13" ht="13.5">
      <c r="A743" s="475" t="s">
        <v>5284</v>
      </c>
      <c r="B743" s="475" t="s">
        <v>5285</v>
      </c>
      <c r="C743" s="475" t="s">
        <v>5290</v>
      </c>
      <c r="D743" s="475" t="s">
        <v>5291</v>
      </c>
      <c r="E743" s="476" t="s">
        <v>34</v>
      </c>
      <c r="F743" s="475" t="s">
        <v>34</v>
      </c>
      <c r="G743" s="364">
        <v>89016</v>
      </c>
      <c r="H743" s="475" t="s">
        <v>785</v>
      </c>
      <c r="I743" s="475" t="s">
        <v>67</v>
      </c>
      <c r="J743" s="475" t="s">
        <v>140</v>
      </c>
      <c r="K743" s="365">
        <v>0.5</v>
      </c>
      <c r="L743" s="475" t="s">
        <v>141</v>
      </c>
      <c r="M743" s="473"/>
    </row>
    <row r="744" spans="1:13" ht="13.5">
      <c r="A744" s="475" t="s">
        <v>5284</v>
      </c>
      <c r="B744" s="475" t="s">
        <v>5285</v>
      </c>
      <c r="C744" s="475" t="s">
        <v>5290</v>
      </c>
      <c r="D744" s="475" t="s">
        <v>5291</v>
      </c>
      <c r="E744" s="476" t="s">
        <v>34</v>
      </c>
      <c r="F744" s="475" t="s">
        <v>34</v>
      </c>
      <c r="G744" s="364">
        <v>89017</v>
      </c>
      <c r="H744" s="475" t="s">
        <v>786</v>
      </c>
      <c r="I744" s="475" t="s">
        <v>67</v>
      </c>
      <c r="J744" s="475" t="s">
        <v>140</v>
      </c>
      <c r="K744" s="365">
        <v>21.63</v>
      </c>
      <c r="L744" s="475" t="s">
        <v>141</v>
      </c>
      <c r="M744" s="473"/>
    </row>
    <row r="745" spans="1:13" ht="13.5">
      <c r="A745" s="475" t="s">
        <v>5284</v>
      </c>
      <c r="B745" s="475" t="s">
        <v>5285</v>
      </c>
      <c r="C745" s="475" t="s">
        <v>5290</v>
      </c>
      <c r="D745" s="475" t="s">
        <v>5291</v>
      </c>
      <c r="E745" s="476" t="s">
        <v>34</v>
      </c>
      <c r="F745" s="475" t="s">
        <v>34</v>
      </c>
      <c r="G745" s="364">
        <v>89018</v>
      </c>
      <c r="H745" s="475" t="s">
        <v>787</v>
      </c>
      <c r="I745" s="475" t="s">
        <v>67</v>
      </c>
      <c r="J745" s="475" t="s">
        <v>140</v>
      </c>
      <c r="K745" s="365">
        <v>9.25</v>
      </c>
      <c r="L745" s="475" t="s">
        <v>141</v>
      </c>
      <c r="M745" s="473"/>
    </row>
    <row r="746" spans="1:13" ht="13.5">
      <c r="A746" s="475" t="s">
        <v>5284</v>
      </c>
      <c r="B746" s="475" t="s">
        <v>5285</v>
      </c>
      <c r="C746" s="475" t="s">
        <v>5290</v>
      </c>
      <c r="D746" s="475" t="s">
        <v>5291</v>
      </c>
      <c r="E746" s="476" t="s">
        <v>34</v>
      </c>
      <c r="F746" s="475" t="s">
        <v>34</v>
      </c>
      <c r="G746" s="364">
        <v>89019</v>
      </c>
      <c r="H746" s="475" t="s">
        <v>788</v>
      </c>
      <c r="I746" s="475" t="s">
        <v>67</v>
      </c>
      <c r="J746" s="475" t="s">
        <v>337</v>
      </c>
      <c r="K746" s="365">
        <v>0.27</v>
      </c>
      <c r="L746" s="475" t="s">
        <v>141</v>
      </c>
      <c r="M746" s="473"/>
    </row>
    <row r="747" spans="1:13" ht="13.5">
      <c r="A747" s="475" t="s">
        <v>5284</v>
      </c>
      <c r="B747" s="475" t="s">
        <v>5285</v>
      </c>
      <c r="C747" s="475" t="s">
        <v>5290</v>
      </c>
      <c r="D747" s="475" t="s">
        <v>5291</v>
      </c>
      <c r="E747" s="476" t="s">
        <v>34</v>
      </c>
      <c r="F747" s="475" t="s">
        <v>34</v>
      </c>
      <c r="G747" s="364">
        <v>89020</v>
      </c>
      <c r="H747" s="475" t="s">
        <v>789</v>
      </c>
      <c r="I747" s="475" t="s">
        <v>67</v>
      </c>
      <c r="J747" s="475" t="s">
        <v>337</v>
      </c>
      <c r="K747" s="365">
        <v>0.06</v>
      </c>
      <c r="L747" s="475" t="s">
        <v>141</v>
      </c>
      <c r="M747" s="473"/>
    </row>
    <row r="748" spans="1:13" ht="13.5">
      <c r="A748" s="475" t="s">
        <v>5284</v>
      </c>
      <c r="B748" s="475" t="s">
        <v>5285</v>
      </c>
      <c r="C748" s="475" t="s">
        <v>5290</v>
      </c>
      <c r="D748" s="475" t="s">
        <v>5291</v>
      </c>
      <c r="E748" s="476" t="s">
        <v>34</v>
      </c>
      <c r="F748" s="475" t="s">
        <v>34</v>
      </c>
      <c r="G748" s="364">
        <v>89023</v>
      </c>
      <c r="H748" s="475" t="s">
        <v>790</v>
      </c>
      <c r="I748" s="475" t="s">
        <v>67</v>
      </c>
      <c r="J748" s="475" t="s">
        <v>140</v>
      </c>
      <c r="K748" s="365">
        <v>2.38</v>
      </c>
      <c r="L748" s="475" t="s">
        <v>141</v>
      </c>
      <c r="M748" s="473"/>
    </row>
    <row r="749" spans="1:13" ht="13.5">
      <c r="A749" s="475" t="s">
        <v>5284</v>
      </c>
      <c r="B749" s="475" t="s">
        <v>5285</v>
      </c>
      <c r="C749" s="475" t="s">
        <v>5290</v>
      </c>
      <c r="D749" s="475" t="s">
        <v>5291</v>
      </c>
      <c r="E749" s="476" t="s">
        <v>34</v>
      </c>
      <c r="F749" s="475" t="s">
        <v>34</v>
      </c>
      <c r="G749" s="364">
        <v>89024</v>
      </c>
      <c r="H749" s="475" t="s">
        <v>791</v>
      </c>
      <c r="I749" s="475" t="s">
        <v>67</v>
      </c>
      <c r="J749" s="475" t="s">
        <v>140</v>
      </c>
      <c r="K749" s="365">
        <v>0.95</v>
      </c>
      <c r="L749" s="475" t="s">
        <v>141</v>
      </c>
      <c r="M749" s="473"/>
    </row>
    <row r="750" spans="1:13" ht="13.5">
      <c r="A750" s="475" t="s">
        <v>5284</v>
      </c>
      <c r="B750" s="475" t="s">
        <v>5285</v>
      </c>
      <c r="C750" s="475" t="s">
        <v>5290</v>
      </c>
      <c r="D750" s="475" t="s">
        <v>5291</v>
      </c>
      <c r="E750" s="476" t="s">
        <v>34</v>
      </c>
      <c r="F750" s="475" t="s">
        <v>34</v>
      </c>
      <c r="G750" s="364">
        <v>89025</v>
      </c>
      <c r="H750" s="475" t="s">
        <v>792</v>
      </c>
      <c r="I750" s="475" t="s">
        <v>67</v>
      </c>
      <c r="J750" s="475" t="s">
        <v>140</v>
      </c>
      <c r="K750" s="365">
        <v>4.47</v>
      </c>
      <c r="L750" s="475" t="s">
        <v>141</v>
      </c>
      <c r="M750" s="473"/>
    </row>
    <row r="751" spans="1:13" ht="13.5">
      <c r="A751" s="475" t="s">
        <v>5284</v>
      </c>
      <c r="B751" s="475" t="s">
        <v>5285</v>
      </c>
      <c r="C751" s="475" t="s">
        <v>5290</v>
      </c>
      <c r="D751" s="475" t="s">
        <v>5291</v>
      </c>
      <c r="E751" s="476" t="s">
        <v>34</v>
      </c>
      <c r="F751" s="475" t="s">
        <v>34</v>
      </c>
      <c r="G751" s="364">
        <v>89026</v>
      </c>
      <c r="H751" s="475" t="s">
        <v>793</v>
      </c>
      <c r="I751" s="475" t="s">
        <v>67</v>
      </c>
      <c r="J751" s="475" t="s">
        <v>363</v>
      </c>
      <c r="K751" s="365">
        <v>146.97</v>
      </c>
      <c r="L751" s="475" t="s">
        <v>141</v>
      </c>
      <c r="M751" s="473"/>
    </row>
    <row r="752" spans="1:13" ht="13.5">
      <c r="A752" s="475" t="s">
        <v>5284</v>
      </c>
      <c r="B752" s="475" t="s">
        <v>5285</v>
      </c>
      <c r="C752" s="475" t="s">
        <v>5290</v>
      </c>
      <c r="D752" s="475" t="s">
        <v>5291</v>
      </c>
      <c r="E752" s="476" t="s">
        <v>34</v>
      </c>
      <c r="F752" s="475" t="s">
        <v>34</v>
      </c>
      <c r="G752" s="364">
        <v>89029</v>
      </c>
      <c r="H752" s="475" t="s">
        <v>794</v>
      </c>
      <c r="I752" s="475" t="s">
        <v>67</v>
      </c>
      <c r="J752" s="475" t="s">
        <v>140</v>
      </c>
      <c r="K752" s="365">
        <v>16.79</v>
      </c>
      <c r="L752" s="475" t="s">
        <v>141</v>
      </c>
      <c r="M752" s="473"/>
    </row>
    <row r="753" spans="1:13" ht="13.5">
      <c r="A753" s="475" t="s">
        <v>5284</v>
      </c>
      <c r="B753" s="475" t="s">
        <v>5285</v>
      </c>
      <c r="C753" s="475" t="s">
        <v>5290</v>
      </c>
      <c r="D753" s="475" t="s">
        <v>5291</v>
      </c>
      <c r="E753" s="476" t="s">
        <v>34</v>
      </c>
      <c r="F753" s="475" t="s">
        <v>34</v>
      </c>
      <c r="G753" s="364">
        <v>89030</v>
      </c>
      <c r="H753" s="475" t="s">
        <v>795</v>
      </c>
      <c r="I753" s="475" t="s">
        <v>67</v>
      </c>
      <c r="J753" s="475" t="s">
        <v>140</v>
      </c>
      <c r="K753" s="365">
        <v>7.18</v>
      </c>
      <c r="L753" s="475" t="s">
        <v>141</v>
      </c>
      <c r="M753" s="473"/>
    </row>
    <row r="754" spans="1:13" ht="13.5">
      <c r="A754" s="475" t="s">
        <v>5284</v>
      </c>
      <c r="B754" s="475" t="s">
        <v>5285</v>
      </c>
      <c r="C754" s="475" t="s">
        <v>5290</v>
      </c>
      <c r="D754" s="475" t="s">
        <v>5291</v>
      </c>
      <c r="E754" s="476" t="s">
        <v>34</v>
      </c>
      <c r="F754" s="475" t="s">
        <v>34</v>
      </c>
      <c r="G754" s="364">
        <v>89033</v>
      </c>
      <c r="H754" s="475" t="s">
        <v>796</v>
      </c>
      <c r="I754" s="475" t="s">
        <v>67</v>
      </c>
      <c r="J754" s="475" t="s">
        <v>140</v>
      </c>
      <c r="K754" s="365">
        <v>7.06</v>
      </c>
      <c r="L754" s="475" t="s">
        <v>141</v>
      </c>
      <c r="M754" s="473"/>
    </row>
    <row r="755" spans="1:13" ht="13.5">
      <c r="A755" s="475" t="s">
        <v>5284</v>
      </c>
      <c r="B755" s="475" t="s">
        <v>5285</v>
      </c>
      <c r="C755" s="475" t="s">
        <v>5290</v>
      </c>
      <c r="D755" s="475" t="s">
        <v>5291</v>
      </c>
      <c r="E755" s="476" t="s">
        <v>34</v>
      </c>
      <c r="F755" s="475" t="s">
        <v>34</v>
      </c>
      <c r="G755" s="364">
        <v>89034</v>
      </c>
      <c r="H755" s="475" t="s">
        <v>797</v>
      </c>
      <c r="I755" s="475" t="s">
        <v>67</v>
      </c>
      <c r="J755" s="475" t="s">
        <v>140</v>
      </c>
      <c r="K755" s="365">
        <v>1.85</v>
      </c>
      <c r="L755" s="475" t="s">
        <v>141</v>
      </c>
      <c r="M755" s="473"/>
    </row>
    <row r="756" spans="1:13" ht="13.5">
      <c r="A756" s="475" t="s">
        <v>5284</v>
      </c>
      <c r="B756" s="475" t="s">
        <v>5285</v>
      </c>
      <c r="C756" s="475" t="s">
        <v>5290</v>
      </c>
      <c r="D756" s="475" t="s">
        <v>5291</v>
      </c>
      <c r="E756" s="476" t="s">
        <v>34</v>
      </c>
      <c r="F756" s="475" t="s">
        <v>34</v>
      </c>
      <c r="G756" s="364">
        <v>89128</v>
      </c>
      <c r="H756" s="475" t="s">
        <v>798</v>
      </c>
      <c r="I756" s="475" t="s">
        <v>67</v>
      </c>
      <c r="J756" s="475" t="s">
        <v>140</v>
      </c>
      <c r="K756" s="365">
        <v>20.53</v>
      </c>
      <c r="L756" s="475" t="s">
        <v>141</v>
      </c>
      <c r="M756" s="473"/>
    </row>
    <row r="757" spans="1:13" ht="13.5">
      <c r="A757" s="475" t="s">
        <v>5284</v>
      </c>
      <c r="B757" s="475" t="s">
        <v>5285</v>
      </c>
      <c r="C757" s="475" t="s">
        <v>5290</v>
      </c>
      <c r="D757" s="475" t="s">
        <v>5291</v>
      </c>
      <c r="E757" s="476" t="s">
        <v>34</v>
      </c>
      <c r="F757" s="475" t="s">
        <v>34</v>
      </c>
      <c r="G757" s="364">
        <v>89129</v>
      </c>
      <c r="H757" s="475" t="s">
        <v>799</v>
      </c>
      <c r="I757" s="475" t="s">
        <v>67</v>
      </c>
      <c r="J757" s="475" t="s">
        <v>140</v>
      </c>
      <c r="K757" s="365">
        <v>5.27</v>
      </c>
      <c r="L757" s="475" t="s">
        <v>141</v>
      </c>
      <c r="M757" s="473"/>
    </row>
    <row r="758" spans="1:13" ht="13.5">
      <c r="A758" s="475" t="s">
        <v>5284</v>
      </c>
      <c r="B758" s="475" t="s">
        <v>5285</v>
      </c>
      <c r="C758" s="475" t="s">
        <v>5290</v>
      </c>
      <c r="D758" s="475" t="s">
        <v>5291</v>
      </c>
      <c r="E758" s="476" t="s">
        <v>34</v>
      </c>
      <c r="F758" s="475" t="s">
        <v>34</v>
      </c>
      <c r="G758" s="364">
        <v>89130</v>
      </c>
      <c r="H758" s="475" t="s">
        <v>800</v>
      </c>
      <c r="I758" s="475" t="s">
        <v>67</v>
      </c>
      <c r="J758" s="475" t="s">
        <v>140</v>
      </c>
      <c r="K758" s="365">
        <v>28.46</v>
      </c>
      <c r="L758" s="475" t="s">
        <v>141</v>
      </c>
      <c r="M758" s="473"/>
    </row>
    <row r="759" spans="1:13" ht="13.5">
      <c r="A759" s="475" t="s">
        <v>5284</v>
      </c>
      <c r="B759" s="475" t="s">
        <v>5285</v>
      </c>
      <c r="C759" s="475" t="s">
        <v>5290</v>
      </c>
      <c r="D759" s="475" t="s">
        <v>5291</v>
      </c>
      <c r="E759" s="476" t="s">
        <v>34</v>
      </c>
      <c r="F759" s="475" t="s">
        <v>34</v>
      </c>
      <c r="G759" s="364">
        <v>89131</v>
      </c>
      <c r="H759" s="475" t="s">
        <v>801</v>
      </c>
      <c r="I759" s="475" t="s">
        <v>67</v>
      </c>
      <c r="J759" s="475" t="s">
        <v>140</v>
      </c>
      <c r="K759" s="365">
        <v>7.32</v>
      </c>
      <c r="L759" s="475" t="s">
        <v>141</v>
      </c>
      <c r="M759" s="473"/>
    </row>
    <row r="760" spans="1:13" ht="13.5">
      <c r="A760" s="475" t="s">
        <v>5284</v>
      </c>
      <c r="B760" s="475" t="s">
        <v>5285</v>
      </c>
      <c r="C760" s="475" t="s">
        <v>5290</v>
      </c>
      <c r="D760" s="475" t="s">
        <v>5291</v>
      </c>
      <c r="E760" s="476" t="s">
        <v>34</v>
      </c>
      <c r="F760" s="475" t="s">
        <v>34</v>
      </c>
      <c r="G760" s="364">
        <v>89210</v>
      </c>
      <c r="H760" s="475" t="s">
        <v>802</v>
      </c>
      <c r="I760" s="475" t="s">
        <v>67</v>
      </c>
      <c r="J760" s="475" t="s">
        <v>140</v>
      </c>
      <c r="K760" s="365">
        <v>14.57</v>
      </c>
      <c r="L760" s="475" t="s">
        <v>141</v>
      </c>
      <c r="M760" s="473"/>
    </row>
    <row r="761" spans="1:13" ht="13.5">
      <c r="A761" s="475" t="s">
        <v>5284</v>
      </c>
      <c r="B761" s="475" t="s">
        <v>5285</v>
      </c>
      <c r="C761" s="475" t="s">
        <v>5290</v>
      </c>
      <c r="D761" s="475" t="s">
        <v>5291</v>
      </c>
      <c r="E761" s="476" t="s">
        <v>34</v>
      </c>
      <c r="F761" s="475" t="s">
        <v>34</v>
      </c>
      <c r="G761" s="364">
        <v>89211</v>
      </c>
      <c r="H761" s="475" t="s">
        <v>803</v>
      </c>
      <c r="I761" s="475" t="s">
        <v>67</v>
      </c>
      <c r="J761" s="475" t="s">
        <v>140</v>
      </c>
      <c r="K761" s="365">
        <v>3.82</v>
      </c>
      <c r="L761" s="475" t="s">
        <v>141</v>
      </c>
      <c r="M761" s="473"/>
    </row>
    <row r="762" spans="1:13" ht="13.5">
      <c r="A762" s="475" t="s">
        <v>5284</v>
      </c>
      <c r="B762" s="475" t="s">
        <v>5285</v>
      </c>
      <c r="C762" s="475" t="s">
        <v>5290</v>
      </c>
      <c r="D762" s="475" t="s">
        <v>5291</v>
      </c>
      <c r="E762" s="476" t="s">
        <v>34</v>
      </c>
      <c r="F762" s="475" t="s">
        <v>34</v>
      </c>
      <c r="G762" s="364">
        <v>89212</v>
      </c>
      <c r="H762" s="475" t="s">
        <v>804</v>
      </c>
      <c r="I762" s="475" t="s">
        <v>67</v>
      </c>
      <c r="J762" s="475" t="s">
        <v>140</v>
      </c>
      <c r="K762" s="365">
        <v>14.49</v>
      </c>
      <c r="L762" s="475" t="s">
        <v>141</v>
      </c>
      <c r="M762" s="473"/>
    </row>
    <row r="763" spans="1:13" ht="13.5">
      <c r="A763" s="475" t="s">
        <v>5284</v>
      </c>
      <c r="B763" s="475" t="s">
        <v>5285</v>
      </c>
      <c r="C763" s="475" t="s">
        <v>5290</v>
      </c>
      <c r="D763" s="475" t="s">
        <v>5291</v>
      </c>
      <c r="E763" s="476" t="s">
        <v>34</v>
      </c>
      <c r="F763" s="475" t="s">
        <v>34</v>
      </c>
      <c r="G763" s="364">
        <v>89213</v>
      </c>
      <c r="H763" s="475" t="s">
        <v>805</v>
      </c>
      <c r="I763" s="475" t="s">
        <v>67</v>
      </c>
      <c r="J763" s="475" t="s">
        <v>140</v>
      </c>
      <c r="K763" s="365">
        <v>4.34</v>
      </c>
      <c r="L763" s="475" t="s">
        <v>141</v>
      </c>
      <c r="M763" s="473"/>
    </row>
    <row r="764" spans="1:13" ht="13.5">
      <c r="A764" s="475" t="s">
        <v>5284</v>
      </c>
      <c r="B764" s="475" t="s">
        <v>5285</v>
      </c>
      <c r="C764" s="475" t="s">
        <v>5290</v>
      </c>
      <c r="D764" s="475" t="s">
        <v>5291</v>
      </c>
      <c r="E764" s="476" t="s">
        <v>34</v>
      </c>
      <c r="F764" s="475" t="s">
        <v>34</v>
      </c>
      <c r="G764" s="364">
        <v>89214</v>
      </c>
      <c r="H764" s="475" t="s">
        <v>806</v>
      </c>
      <c r="I764" s="475" t="s">
        <v>67</v>
      </c>
      <c r="J764" s="475" t="s">
        <v>140</v>
      </c>
      <c r="K764" s="365">
        <v>13.6</v>
      </c>
      <c r="L764" s="475" t="s">
        <v>141</v>
      </c>
      <c r="M764" s="473"/>
    </row>
    <row r="765" spans="1:13" ht="13.5">
      <c r="A765" s="475" t="s">
        <v>5284</v>
      </c>
      <c r="B765" s="475" t="s">
        <v>5285</v>
      </c>
      <c r="C765" s="475" t="s">
        <v>5290</v>
      </c>
      <c r="D765" s="475" t="s">
        <v>5291</v>
      </c>
      <c r="E765" s="476" t="s">
        <v>34</v>
      </c>
      <c r="F765" s="475" t="s">
        <v>34</v>
      </c>
      <c r="G765" s="364">
        <v>89215</v>
      </c>
      <c r="H765" s="475" t="s">
        <v>807</v>
      </c>
      <c r="I765" s="475" t="s">
        <v>67</v>
      </c>
      <c r="J765" s="475" t="s">
        <v>363</v>
      </c>
      <c r="K765" s="365">
        <v>79.08</v>
      </c>
      <c r="L765" s="475" t="s">
        <v>141</v>
      </c>
      <c r="M765" s="473"/>
    </row>
    <row r="766" spans="1:13" ht="13.5">
      <c r="A766" s="475" t="s">
        <v>5284</v>
      </c>
      <c r="B766" s="475" t="s">
        <v>5285</v>
      </c>
      <c r="C766" s="475" t="s">
        <v>5290</v>
      </c>
      <c r="D766" s="475" t="s">
        <v>5291</v>
      </c>
      <c r="E766" s="476" t="s">
        <v>34</v>
      </c>
      <c r="F766" s="475" t="s">
        <v>34</v>
      </c>
      <c r="G766" s="364">
        <v>89221</v>
      </c>
      <c r="H766" s="475" t="s">
        <v>808</v>
      </c>
      <c r="I766" s="475" t="s">
        <v>67</v>
      </c>
      <c r="J766" s="475" t="s">
        <v>337</v>
      </c>
      <c r="K766" s="365">
        <v>0.89</v>
      </c>
      <c r="L766" s="475" t="s">
        <v>141</v>
      </c>
      <c r="M766" s="473"/>
    </row>
    <row r="767" spans="1:13" ht="13.5">
      <c r="A767" s="475" t="s">
        <v>5284</v>
      </c>
      <c r="B767" s="475" t="s">
        <v>5285</v>
      </c>
      <c r="C767" s="475" t="s">
        <v>5290</v>
      </c>
      <c r="D767" s="475" t="s">
        <v>5291</v>
      </c>
      <c r="E767" s="476" t="s">
        <v>34</v>
      </c>
      <c r="F767" s="475" t="s">
        <v>34</v>
      </c>
      <c r="G767" s="364">
        <v>89222</v>
      </c>
      <c r="H767" s="475" t="s">
        <v>809</v>
      </c>
      <c r="I767" s="475" t="s">
        <v>67</v>
      </c>
      <c r="J767" s="475" t="s">
        <v>337</v>
      </c>
      <c r="K767" s="365">
        <v>0.2</v>
      </c>
      <c r="L767" s="475" t="s">
        <v>141</v>
      </c>
      <c r="M767" s="473"/>
    </row>
    <row r="768" spans="1:13" ht="13.5">
      <c r="A768" s="475" t="s">
        <v>5284</v>
      </c>
      <c r="B768" s="475" t="s">
        <v>5285</v>
      </c>
      <c r="C768" s="475" t="s">
        <v>5290</v>
      </c>
      <c r="D768" s="475" t="s">
        <v>5291</v>
      </c>
      <c r="E768" s="476" t="s">
        <v>34</v>
      </c>
      <c r="F768" s="475" t="s">
        <v>34</v>
      </c>
      <c r="G768" s="364">
        <v>89223</v>
      </c>
      <c r="H768" s="475" t="s">
        <v>810</v>
      </c>
      <c r="I768" s="475" t="s">
        <v>67</v>
      </c>
      <c r="J768" s="475" t="s">
        <v>337</v>
      </c>
      <c r="K768" s="365">
        <v>0.83</v>
      </c>
      <c r="L768" s="475" t="s">
        <v>141</v>
      </c>
      <c r="M768" s="473"/>
    </row>
    <row r="769" spans="1:13" ht="13.5">
      <c r="A769" s="475" t="s">
        <v>5284</v>
      </c>
      <c r="B769" s="475" t="s">
        <v>5285</v>
      </c>
      <c r="C769" s="475" t="s">
        <v>5290</v>
      </c>
      <c r="D769" s="475" t="s">
        <v>5291</v>
      </c>
      <c r="E769" s="476" t="s">
        <v>34</v>
      </c>
      <c r="F769" s="475" t="s">
        <v>34</v>
      </c>
      <c r="G769" s="364">
        <v>89224</v>
      </c>
      <c r="H769" s="475" t="s">
        <v>811</v>
      </c>
      <c r="I769" s="475" t="s">
        <v>67</v>
      </c>
      <c r="J769" s="475" t="s">
        <v>337</v>
      </c>
      <c r="K769" s="365">
        <v>1.65</v>
      </c>
      <c r="L769" s="475" t="s">
        <v>141</v>
      </c>
      <c r="M769" s="473"/>
    </row>
    <row r="770" spans="1:13" ht="13.5">
      <c r="A770" s="475" t="s">
        <v>5284</v>
      </c>
      <c r="B770" s="475" t="s">
        <v>5285</v>
      </c>
      <c r="C770" s="475" t="s">
        <v>5290</v>
      </c>
      <c r="D770" s="475" t="s">
        <v>5291</v>
      </c>
      <c r="E770" s="476" t="s">
        <v>34</v>
      </c>
      <c r="F770" s="475" t="s">
        <v>34</v>
      </c>
      <c r="G770" s="364">
        <v>89228</v>
      </c>
      <c r="H770" s="475" t="s">
        <v>812</v>
      </c>
      <c r="I770" s="475" t="s">
        <v>67</v>
      </c>
      <c r="J770" s="475" t="s">
        <v>140</v>
      </c>
      <c r="K770" s="365">
        <v>21.8</v>
      </c>
      <c r="L770" s="475" t="s">
        <v>141</v>
      </c>
      <c r="M770" s="473"/>
    </row>
    <row r="771" spans="1:13" ht="13.5">
      <c r="A771" s="475" t="s">
        <v>5284</v>
      </c>
      <c r="B771" s="475" t="s">
        <v>5285</v>
      </c>
      <c r="C771" s="475" t="s">
        <v>5290</v>
      </c>
      <c r="D771" s="475" t="s">
        <v>5291</v>
      </c>
      <c r="E771" s="476" t="s">
        <v>34</v>
      </c>
      <c r="F771" s="475" t="s">
        <v>34</v>
      </c>
      <c r="G771" s="364">
        <v>89229</v>
      </c>
      <c r="H771" s="475" t="s">
        <v>813</v>
      </c>
      <c r="I771" s="475" t="s">
        <v>67</v>
      </c>
      <c r="J771" s="475" t="s">
        <v>140</v>
      </c>
      <c r="K771" s="365">
        <v>7.46</v>
      </c>
      <c r="L771" s="475" t="s">
        <v>141</v>
      </c>
      <c r="M771" s="473"/>
    </row>
    <row r="772" spans="1:13" ht="13.5">
      <c r="A772" s="475" t="s">
        <v>5284</v>
      </c>
      <c r="B772" s="475" t="s">
        <v>5285</v>
      </c>
      <c r="C772" s="475" t="s">
        <v>5290</v>
      </c>
      <c r="D772" s="475" t="s">
        <v>5291</v>
      </c>
      <c r="E772" s="476" t="s">
        <v>34</v>
      </c>
      <c r="F772" s="475" t="s">
        <v>34</v>
      </c>
      <c r="G772" s="364">
        <v>89230</v>
      </c>
      <c r="H772" s="475" t="s">
        <v>814</v>
      </c>
      <c r="I772" s="475" t="s">
        <v>67</v>
      </c>
      <c r="J772" s="475" t="s">
        <v>140</v>
      </c>
      <c r="K772" s="365">
        <v>82.21</v>
      </c>
      <c r="L772" s="475" t="s">
        <v>141</v>
      </c>
      <c r="M772" s="473"/>
    </row>
    <row r="773" spans="1:13" ht="13.5">
      <c r="A773" s="475" t="s">
        <v>5284</v>
      </c>
      <c r="B773" s="475" t="s">
        <v>5285</v>
      </c>
      <c r="C773" s="475" t="s">
        <v>5290</v>
      </c>
      <c r="D773" s="475" t="s">
        <v>5291</v>
      </c>
      <c r="E773" s="476" t="s">
        <v>34</v>
      </c>
      <c r="F773" s="475" t="s">
        <v>34</v>
      </c>
      <c r="G773" s="364">
        <v>89231</v>
      </c>
      <c r="H773" s="475" t="s">
        <v>815</v>
      </c>
      <c r="I773" s="475" t="s">
        <v>67</v>
      </c>
      <c r="J773" s="475" t="s">
        <v>140</v>
      </c>
      <c r="K773" s="365">
        <v>24.64</v>
      </c>
      <c r="L773" s="475" t="s">
        <v>141</v>
      </c>
      <c r="M773" s="473"/>
    </row>
    <row r="774" spans="1:13" ht="13.5">
      <c r="A774" s="475" t="s">
        <v>5284</v>
      </c>
      <c r="B774" s="475" t="s">
        <v>5285</v>
      </c>
      <c r="C774" s="475" t="s">
        <v>5290</v>
      </c>
      <c r="D774" s="475" t="s">
        <v>5291</v>
      </c>
      <c r="E774" s="476" t="s">
        <v>34</v>
      </c>
      <c r="F774" s="475" t="s">
        <v>34</v>
      </c>
      <c r="G774" s="364">
        <v>89232</v>
      </c>
      <c r="H774" s="475" t="s">
        <v>816</v>
      </c>
      <c r="I774" s="475" t="s">
        <v>67</v>
      </c>
      <c r="J774" s="475" t="s">
        <v>140</v>
      </c>
      <c r="K774" s="365">
        <v>146.63999999999999</v>
      </c>
      <c r="L774" s="475" t="s">
        <v>141</v>
      </c>
      <c r="M774" s="473"/>
    </row>
    <row r="775" spans="1:13" ht="13.5">
      <c r="A775" s="475" t="s">
        <v>5284</v>
      </c>
      <c r="B775" s="475" t="s">
        <v>5285</v>
      </c>
      <c r="C775" s="475" t="s">
        <v>5290</v>
      </c>
      <c r="D775" s="475" t="s">
        <v>5291</v>
      </c>
      <c r="E775" s="476" t="s">
        <v>34</v>
      </c>
      <c r="F775" s="475" t="s">
        <v>34</v>
      </c>
      <c r="G775" s="364">
        <v>89233</v>
      </c>
      <c r="H775" s="475" t="s">
        <v>817</v>
      </c>
      <c r="I775" s="475" t="s">
        <v>67</v>
      </c>
      <c r="J775" s="475" t="s">
        <v>363</v>
      </c>
      <c r="K775" s="365">
        <v>102.78</v>
      </c>
      <c r="L775" s="475" t="s">
        <v>141</v>
      </c>
      <c r="M775" s="473"/>
    </row>
    <row r="776" spans="1:13" ht="13.5">
      <c r="A776" s="475" t="s">
        <v>5284</v>
      </c>
      <c r="B776" s="475" t="s">
        <v>5285</v>
      </c>
      <c r="C776" s="475" t="s">
        <v>5290</v>
      </c>
      <c r="D776" s="475" t="s">
        <v>5291</v>
      </c>
      <c r="E776" s="476" t="s">
        <v>34</v>
      </c>
      <c r="F776" s="475" t="s">
        <v>34</v>
      </c>
      <c r="G776" s="364">
        <v>89236</v>
      </c>
      <c r="H776" s="475" t="s">
        <v>818</v>
      </c>
      <c r="I776" s="475" t="s">
        <v>67</v>
      </c>
      <c r="J776" s="475" t="s">
        <v>140</v>
      </c>
      <c r="K776" s="365">
        <v>192.05</v>
      </c>
      <c r="L776" s="475" t="s">
        <v>141</v>
      </c>
      <c r="M776" s="473"/>
    </row>
    <row r="777" spans="1:13" ht="13.5">
      <c r="A777" s="475" t="s">
        <v>5284</v>
      </c>
      <c r="B777" s="475" t="s">
        <v>5285</v>
      </c>
      <c r="C777" s="475" t="s">
        <v>5290</v>
      </c>
      <c r="D777" s="475" t="s">
        <v>5291</v>
      </c>
      <c r="E777" s="476" t="s">
        <v>34</v>
      </c>
      <c r="F777" s="475" t="s">
        <v>34</v>
      </c>
      <c r="G777" s="364">
        <v>89237</v>
      </c>
      <c r="H777" s="475" t="s">
        <v>819</v>
      </c>
      <c r="I777" s="475" t="s">
        <v>67</v>
      </c>
      <c r="J777" s="475" t="s">
        <v>140</v>
      </c>
      <c r="K777" s="365">
        <v>57.57</v>
      </c>
      <c r="L777" s="475" t="s">
        <v>141</v>
      </c>
      <c r="M777" s="473"/>
    </row>
    <row r="778" spans="1:13" ht="13.5">
      <c r="A778" s="475" t="s">
        <v>5284</v>
      </c>
      <c r="B778" s="475" t="s">
        <v>5285</v>
      </c>
      <c r="C778" s="475" t="s">
        <v>5290</v>
      </c>
      <c r="D778" s="475" t="s">
        <v>5291</v>
      </c>
      <c r="E778" s="476" t="s">
        <v>34</v>
      </c>
      <c r="F778" s="475" t="s">
        <v>34</v>
      </c>
      <c r="G778" s="364">
        <v>89238</v>
      </c>
      <c r="H778" s="475" t="s">
        <v>820</v>
      </c>
      <c r="I778" s="475" t="s">
        <v>67</v>
      </c>
      <c r="J778" s="475" t="s">
        <v>140</v>
      </c>
      <c r="K778" s="365">
        <v>342.56</v>
      </c>
      <c r="L778" s="475" t="s">
        <v>141</v>
      </c>
      <c r="M778" s="473"/>
    </row>
    <row r="779" spans="1:13" ht="13.5">
      <c r="A779" s="475" t="s">
        <v>5284</v>
      </c>
      <c r="B779" s="475" t="s">
        <v>5285</v>
      </c>
      <c r="C779" s="475" t="s">
        <v>5290</v>
      </c>
      <c r="D779" s="475" t="s">
        <v>5291</v>
      </c>
      <c r="E779" s="476" t="s">
        <v>34</v>
      </c>
      <c r="F779" s="475" t="s">
        <v>34</v>
      </c>
      <c r="G779" s="364">
        <v>89239</v>
      </c>
      <c r="H779" s="475" t="s">
        <v>821</v>
      </c>
      <c r="I779" s="475" t="s">
        <v>67</v>
      </c>
      <c r="J779" s="475" t="s">
        <v>363</v>
      </c>
      <c r="K779" s="365">
        <v>271.8</v>
      </c>
      <c r="L779" s="475" t="s">
        <v>141</v>
      </c>
      <c r="M779" s="473"/>
    </row>
    <row r="780" spans="1:13" ht="13.5">
      <c r="A780" s="475" t="s">
        <v>5284</v>
      </c>
      <c r="B780" s="475" t="s">
        <v>5285</v>
      </c>
      <c r="C780" s="475" t="s">
        <v>5290</v>
      </c>
      <c r="D780" s="475" t="s">
        <v>5291</v>
      </c>
      <c r="E780" s="476" t="s">
        <v>34</v>
      </c>
      <c r="F780" s="475" t="s">
        <v>34</v>
      </c>
      <c r="G780" s="364">
        <v>89240</v>
      </c>
      <c r="H780" s="475" t="s">
        <v>822</v>
      </c>
      <c r="I780" s="475" t="s">
        <v>67</v>
      </c>
      <c r="J780" s="475" t="s">
        <v>140</v>
      </c>
      <c r="K780" s="365">
        <v>58.93</v>
      </c>
      <c r="L780" s="475" t="s">
        <v>141</v>
      </c>
      <c r="M780" s="473"/>
    </row>
    <row r="781" spans="1:13" ht="13.5">
      <c r="A781" s="475" t="s">
        <v>5284</v>
      </c>
      <c r="B781" s="475" t="s">
        <v>5285</v>
      </c>
      <c r="C781" s="475" t="s">
        <v>5290</v>
      </c>
      <c r="D781" s="475" t="s">
        <v>5291</v>
      </c>
      <c r="E781" s="476" t="s">
        <v>34</v>
      </c>
      <c r="F781" s="475" t="s">
        <v>34</v>
      </c>
      <c r="G781" s="364">
        <v>89241</v>
      </c>
      <c r="H781" s="475" t="s">
        <v>823</v>
      </c>
      <c r="I781" s="475" t="s">
        <v>67</v>
      </c>
      <c r="J781" s="475" t="s">
        <v>140</v>
      </c>
      <c r="K781" s="365">
        <v>20.18</v>
      </c>
      <c r="L781" s="475" t="s">
        <v>141</v>
      </c>
      <c r="M781" s="473"/>
    </row>
    <row r="782" spans="1:13" ht="13.5">
      <c r="A782" s="475" t="s">
        <v>5284</v>
      </c>
      <c r="B782" s="475" t="s">
        <v>5285</v>
      </c>
      <c r="C782" s="475" t="s">
        <v>5290</v>
      </c>
      <c r="D782" s="475" t="s">
        <v>5291</v>
      </c>
      <c r="E782" s="476" t="s">
        <v>34</v>
      </c>
      <c r="F782" s="475" t="s">
        <v>34</v>
      </c>
      <c r="G782" s="364">
        <v>89246</v>
      </c>
      <c r="H782" s="475" t="s">
        <v>824</v>
      </c>
      <c r="I782" s="475" t="s">
        <v>67</v>
      </c>
      <c r="J782" s="475" t="s">
        <v>140</v>
      </c>
      <c r="K782" s="365">
        <v>166.88</v>
      </c>
      <c r="L782" s="475" t="s">
        <v>141</v>
      </c>
      <c r="M782" s="473"/>
    </row>
    <row r="783" spans="1:13" ht="13.5">
      <c r="A783" s="475" t="s">
        <v>5284</v>
      </c>
      <c r="B783" s="475" t="s">
        <v>5285</v>
      </c>
      <c r="C783" s="475" t="s">
        <v>5290</v>
      </c>
      <c r="D783" s="475" t="s">
        <v>5291</v>
      </c>
      <c r="E783" s="476" t="s">
        <v>34</v>
      </c>
      <c r="F783" s="475" t="s">
        <v>34</v>
      </c>
      <c r="G783" s="364">
        <v>89247</v>
      </c>
      <c r="H783" s="475" t="s">
        <v>825</v>
      </c>
      <c r="I783" s="475" t="s">
        <v>67</v>
      </c>
      <c r="J783" s="475" t="s">
        <v>140</v>
      </c>
      <c r="K783" s="365">
        <v>50.02</v>
      </c>
      <c r="L783" s="475" t="s">
        <v>141</v>
      </c>
      <c r="M783" s="473"/>
    </row>
    <row r="784" spans="1:13" ht="13.5">
      <c r="A784" s="475" t="s">
        <v>5284</v>
      </c>
      <c r="B784" s="475" t="s">
        <v>5285</v>
      </c>
      <c r="C784" s="475" t="s">
        <v>5290</v>
      </c>
      <c r="D784" s="475" t="s">
        <v>5291</v>
      </c>
      <c r="E784" s="476" t="s">
        <v>34</v>
      </c>
      <c r="F784" s="475" t="s">
        <v>34</v>
      </c>
      <c r="G784" s="364">
        <v>89248</v>
      </c>
      <c r="H784" s="475" t="s">
        <v>826</v>
      </c>
      <c r="I784" s="475" t="s">
        <v>67</v>
      </c>
      <c r="J784" s="475" t="s">
        <v>140</v>
      </c>
      <c r="K784" s="365">
        <v>297.67</v>
      </c>
      <c r="L784" s="475" t="s">
        <v>141</v>
      </c>
      <c r="M784" s="473"/>
    </row>
    <row r="785" spans="1:13" ht="13.5">
      <c r="A785" s="475" t="s">
        <v>5284</v>
      </c>
      <c r="B785" s="475" t="s">
        <v>5285</v>
      </c>
      <c r="C785" s="475" t="s">
        <v>5290</v>
      </c>
      <c r="D785" s="475" t="s">
        <v>5291</v>
      </c>
      <c r="E785" s="476" t="s">
        <v>34</v>
      </c>
      <c r="F785" s="475" t="s">
        <v>34</v>
      </c>
      <c r="G785" s="364">
        <v>89249</v>
      </c>
      <c r="H785" s="475" t="s">
        <v>827</v>
      </c>
      <c r="I785" s="475" t="s">
        <v>67</v>
      </c>
      <c r="J785" s="475" t="s">
        <v>363</v>
      </c>
      <c r="K785" s="365">
        <v>208.54</v>
      </c>
      <c r="L785" s="475" t="s">
        <v>141</v>
      </c>
      <c r="M785" s="473"/>
    </row>
    <row r="786" spans="1:13" ht="13.5">
      <c r="A786" s="475" t="s">
        <v>5284</v>
      </c>
      <c r="B786" s="475" t="s">
        <v>5285</v>
      </c>
      <c r="C786" s="475" t="s">
        <v>5290</v>
      </c>
      <c r="D786" s="475" t="s">
        <v>5291</v>
      </c>
      <c r="E786" s="476" t="s">
        <v>34</v>
      </c>
      <c r="F786" s="475" t="s">
        <v>34</v>
      </c>
      <c r="G786" s="364">
        <v>89253</v>
      </c>
      <c r="H786" s="475" t="s">
        <v>828</v>
      </c>
      <c r="I786" s="475" t="s">
        <v>67</v>
      </c>
      <c r="J786" s="475" t="s">
        <v>140</v>
      </c>
      <c r="K786" s="365">
        <v>48.29</v>
      </c>
      <c r="L786" s="475" t="s">
        <v>141</v>
      </c>
      <c r="M786" s="473"/>
    </row>
    <row r="787" spans="1:13" ht="13.5">
      <c r="A787" s="475" t="s">
        <v>5284</v>
      </c>
      <c r="B787" s="475" t="s">
        <v>5285</v>
      </c>
      <c r="C787" s="475" t="s">
        <v>5290</v>
      </c>
      <c r="D787" s="475" t="s">
        <v>5291</v>
      </c>
      <c r="E787" s="476" t="s">
        <v>34</v>
      </c>
      <c r="F787" s="475" t="s">
        <v>34</v>
      </c>
      <c r="G787" s="364">
        <v>89254</v>
      </c>
      <c r="H787" s="475" t="s">
        <v>829</v>
      </c>
      <c r="I787" s="475" t="s">
        <v>67</v>
      </c>
      <c r="J787" s="475" t="s">
        <v>140</v>
      </c>
      <c r="K787" s="365">
        <v>16.54</v>
      </c>
      <c r="L787" s="475" t="s">
        <v>141</v>
      </c>
      <c r="M787" s="473"/>
    </row>
    <row r="788" spans="1:13" ht="13.5">
      <c r="A788" s="475" t="s">
        <v>5284</v>
      </c>
      <c r="B788" s="475" t="s">
        <v>5285</v>
      </c>
      <c r="C788" s="475" t="s">
        <v>5290</v>
      </c>
      <c r="D788" s="475" t="s">
        <v>5291</v>
      </c>
      <c r="E788" s="476" t="s">
        <v>34</v>
      </c>
      <c r="F788" s="475" t="s">
        <v>34</v>
      </c>
      <c r="G788" s="364">
        <v>89255</v>
      </c>
      <c r="H788" s="475" t="s">
        <v>830</v>
      </c>
      <c r="I788" s="475" t="s">
        <v>67</v>
      </c>
      <c r="J788" s="475" t="s">
        <v>140</v>
      </c>
      <c r="K788" s="365">
        <v>77.64</v>
      </c>
      <c r="L788" s="475" t="s">
        <v>141</v>
      </c>
      <c r="M788" s="473"/>
    </row>
    <row r="789" spans="1:13" ht="13.5">
      <c r="A789" s="475" t="s">
        <v>5284</v>
      </c>
      <c r="B789" s="475" t="s">
        <v>5285</v>
      </c>
      <c r="C789" s="475" t="s">
        <v>5290</v>
      </c>
      <c r="D789" s="475" t="s">
        <v>5291</v>
      </c>
      <c r="E789" s="476" t="s">
        <v>34</v>
      </c>
      <c r="F789" s="475" t="s">
        <v>34</v>
      </c>
      <c r="G789" s="364">
        <v>89256</v>
      </c>
      <c r="H789" s="475" t="s">
        <v>831</v>
      </c>
      <c r="I789" s="475" t="s">
        <v>67</v>
      </c>
      <c r="J789" s="475" t="s">
        <v>363</v>
      </c>
      <c r="K789" s="365">
        <v>49.42</v>
      </c>
      <c r="L789" s="475" t="s">
        <v>141</v>
      </c>
      <c r="M789" s="473"/>
    </row>
    <row r="790" spans="1:13" ht="13.5">
      <c r="A790" s="475" t="s">
        <v>5284</v>
      </c>
      <c r="B790" s="475" t="s">
        <v>5285</v>
      </c>
      <c r="C790" s="475" t="s">
        <v>5290</v>
      </c>
      <c r="D790" s="475" t="s">
        <v>5291</v>
      </c>
      <c r="E790" s="476" t="s">
        <v>34</v>
      </c>
      <c r="F790" s="475" t="s">
        <v>34</v>
      </c>
      <c r="G790" s="364">
        <v>89259</v>
      </c>
      <c r="H790" s="475" t="s">
        <v>832</v>
      </c>
      <c r="I790" s="475" t="s">
        <v>67</v>
      </c>
      <c r="J790" s="475" t="s">
        <v>140</v>
      </c>
      <c r="K790" s="365">
        <v>9.3800000000000008</v>
      </c>
      <c r="L790" s="475" t="s">
        <v>141</v>
      </c>
      <c r="M790" s="473"/>
    </row>
    <row r="791" spans="1:13" ht="13.5">
      <c r="A791" s="475" t="s">
        <v>5284</v>
      </c>
      <c r="B791" s="475" t="s">
        <v>5285</v>
      </c>
      <c r="C791" s="475" t="s">
        <v>5290</v>
      </c>
      <c r="D791" s="475" t="s">
        <v>5291</v>
      </c>
      <c r="E791" s="476" t="s">
        <v>34</v>
      </c>
      <c r="F791" s="475" t="s">
        <v>34</v>
      </c>
      <c r="G791" s="364">
        <v>89260</v>
      </c>
      <c r="H791" s="475" t="s">
        <v>833</v>
      </c>
      <c r="I791" s="475" t="s">
        <v>67</v>
      </c>
      <c r="J791" s="475" t="s">
        <v>140</v>
      </c>
      <c r="K791" s="365">
        <v>3.74</v>
      </c>
      <c r="L791" s="475" t="s">
        <v>141</v>
      </c>
      <c r="M791" s="473"/>
    </row>
    <row r="792" spans="1:13" ht="13.5">
      <c r="A792" s="475" t="s">
        <v>5284</v>
      </c>
      <c r="B792" s="475" t="s">
        <v>5285</v>
      </c>
      <c r="C792" s="475" t="s">
        <v>5290</v>
      </c>
      <c r="D792" s="475" t="s">
        <v>5291</v>
      </c>
      <c r="E792" s="476" t="s">
        <v>34</v>
      </c>
      <c r="F792" s="475" t="s">
        <v>34</v>
      </c>
      <c r="G792" s="364">
        <v>89262</v>
      </c>
      <c r="H792" s="475" t="s">
        <v>834</v>
      </c>
      <c r="I792" s="475" t="s">
        <v>67</v>
      </c>
      <c r="J792" s="475" t="s">
        <v>140</v>
      </c>
      <c r="K792" s="365">
        <v>17.59</v>
      </c>
      <c r="L792" s="475" t="s">
        <v>141</v>
      </c>
      <c r="M792" s="473"/>
    </row>
    <row r="793" spans="1:13" ht="13.5">
      <c r="A793" s="475" t="s">
        <v>5284</v>
      </c>
      <c r="B793" s="475" t="s">
        <v>5285</v>
      </c>
      <c r="C793" s="475" t="s">
        <v>5290</v>
      </c>
      <c r="D793" s="475" t="s">
        <v>5291</v>
      </c>
      <c r="E793" s="476" t="s">
        <v>34</v>
      </c>
      <c r="F793" s="475" t="s">
        <v>34</v>
      </c>
      <c r="G793" s="364">
        <v>89264</v>
      </c>
      <c r="H793" s="475" t="s">
        <v>835</v>
      </c>
      <c r="I793" s="475" t="s">
        <v>67</v>
      </c>
      <c r="J793" s="475" t="s">
        <v>140</v>
      </c>
      <c r="K793" s="365">
        <v>7.53</v>
      </c>
      <c r="L793" s="475" t="s">
        <v>141</v>
      </c>
      <c r="M793" s="473"/>
    </row>
    <row r="794" spans="1:13" ht="13.5">
      <c r="A794" s="475" t="s">
        <v>5284</v>
      </c>
      <c r="B794" s="475" t="s">
        <v>5285</v>
      </c>
      <c r="C794" s="475" t="s">
        <v>5290</v>
      </c>
      <c r="D794" s="475" t="s">
        <v>5291</v>
      </c>
      <c r="E794" s="476" t="s">
        <v>34</v>
      </c>
      <c r="F794" s="475" t="s">
        <v>34</v>
      </c>
      <c r="G794" s="364">
        <v>89265</v>
      </c>
      <c r="H794" s="475" t="s">
        <v>836</v>
      </c>
      <c r="I794" s="475" t="s">
        <v>67</v>
      </c>
      <c r="J794" s="475" t="s">
        <v>140</v>
      </c>
      <c r="K794" s="365">
        <v>3.01</v>
      </c>
      <c r="L794" s="475" t="s">
        <v>141</v>
      </c>
      <c r="M794" s="473"/>
    </row>
    <row r="795" spans="1:13" ht="13.5">
      <c r="A795" s="475" t="s">
        <v>5284</v>
      </c>
      <c r="B795" s="475" t="s">
        <v>5285</v>
      </c>
      <c r="C795" s="475" t="s">
        <v>5290</v>
      </c>
      <c r="D795" s="475" t="s">
        <v>5291</v>
      </c>
      <c r="E795" s="476" t="s">
        <v>34</v>
      </c>
      <c r="F795" s="475" t="s">
        <v>34</v>
      </c>
      <c r="G795" s="364">
        <v>89266</v>
      </c>
      <c r="H795" s="475" t="s">
        <v>837</v>
      </c>
      <c r="I795" s="475" t="s">
        <v>67</v>
      </c>
      <c r="J795" s="475" t="s">
        <v>140</v>
      </c>
      <c r="K795" s="365">
        <v>0.61</v>
      </c>
      <c r="L795" s="475" t="s">
        <v>141</v>
      </c>
      <c r="M795" s="473"/>
    </row>
    <row r="796" spans="1:13" ht="13.5">
      <c r="A796" s="475" t="s">
        <v>5284</v>
      </c>
      <c r="B796" s="475" t="s">
        <v>5285</v>
      </c>
      <c r="C796" s="475" t="s">
        <v>5290</v>
      </c>
      <c r="D796" s="475" t="s">
        <v>5291</v>
      </c>
      <c r="E796" s="476" t="s">
        <v>34</v>
      </c>
      <c r="F796" s="475" t="s">
        <v>34</v>
      </c>
      <c r="G796" s="364">
        <v>89267</v>
      </c>
      <c r="H796" s="475" t="s">
        <v>838</v>
      </c>
      <c r="I796" s="475" t="s">
        <v>67</v>
      </c>
      <c r="J796" s="475" t="s">
        <v>140</v>
      </c>
      <c r="K796" s="365">
        <v>25.23</v>
      </c>
      <c r="L796" s="475" t="s">
        <v>141</v>
      </c>
      <c r="M796" s="473"/>
    </row>
    <row r="797" spans="1:13" ht="13.5">
      <c r="A797" s="475" t="s">
        <v>5284</v>
      </c>
      <c r="B797" s="475" t="s">
        <v>5285</v>
      </c>
      <c r="C797" s="475" t="s">
        <v>5290</v>
      </c>
      <c r="D797" s="475" t="s">
        <v>5291</v>
      </c>
      <c r="E797" s="476" t="s">
        <v>34</v>
      </c>
      <c r="F797" s="475" t="s">
        <v>34</v>
      </c>
      <c r="G797" s="364">
        <v>89268</v>
      </c>
      <c r="H797" s="475" t="s">
        <v>839</v>
      </c>
      <c r="I797" s="475" t="s">
        <v>67</v>
      </c>
      <c r="J797" s="475" t="s">
        <v>140</v>
      </c>
      <c r="K797" s="365">
        <v>8.64</v>
      </c>
      <c r="L797" s="475" t="s">
        <v>141</v>
      </c>
      <c r="M797" s="473"/>
    </row>
    <row r="798" spans="1:13" ht="13.5">
      <c r="A798" s="475" t="s">
        <v>5284</v>
      </c>
      <c r="B798" s="475" t="s">
        <v>5285</v>
      </c>
      <c r="C798" s="475" t="s">
        <v>5290</v>
      </c>
      <c r="D798" s="475" t="s">
        <v>5291</v>
      </c>
      <c r="E798" s="476" t="s">
        <v>34</v>
      </c>
      <c r="F798" s="475" t="s">
        <v>34</v>
      </c>
      <c r="G798" s="364">
        <v>89269</v>
      </c>
      <c r="H798" s="475" t="s">
        <v>840</v>
      </c>
      <c r="I798" s="475" t="s">
        <v>67</v>
      </c>
      <c r="J798" s="475" t="s">
        <v>140</v>
      </c>
      <c r="K798" s="365">
        <v>1.76</v>
      </c>
      <c r="L798" s="475" t="s">
        <v>141</v>
      </c>
      <c r="M798" s="473"/>
    </row>
    <row r="799" spans="1:13" ht="13.5">
      <c r="A799" s="475" t="s">
        <v>5284</v>
      </c>
      <c r="B799" s="475" t="s">
        <v>5285</v>
      </c>
      <c r="C799" s="475" t="s">
        <v>5290</v>
      </c>
      <c r="D799" s="475" t="s">
        <v>5291</v>
      </c>
      <c r="E799" s="476" t="s">
        <v>34</v>
      </c>
      <c r="F799" s="475" t="s">
        <v>34</v>
      </c>
      <c r="G799" s="364">
        <v>89270</v>
      </c>
      <c r="H799" s="475" t="s">
        <v>841</v>
      </c>
      <c r="I799" s="475" t="s">
        <v>67</v>
      </c>
      <c r="J799" s="475" t="s">
        <v>140</v>
      </c>
      <c r="K799" s="365">
        <v>40.549999999999997</v>
      </c>
      <c r="L799" s="475" t="s">
        <v>141</v>
      </c>
      <c r="M799" s="473"/>
    </row>
    <row r="800" spans="1:13" ht="13.5">
      <c r="A800" s="475" t="s">
        <v>5284</v>
      </c>
      <c r="B800" s="475" t="s">
        <v>5285</v>
      </c>
      <c r="C800" s="475" t="s">
        <v>5290</v>
      </c>
      <c r="D800" s="475" t="s">
        <v>5291</v>
      </c>
      <c r="E800" s="476" t="s">
        <v>34</v>
      </c>
      <c r="F800" s="475" t="s">
        <v>34</v>
      </c>
      <c r="G800" s="364">
        <v>89271</v>
      </c>
      <c r="H800" s="475" t="s">
        <v>842</v>
      </c>
      <c r="I800" s="475" t="s">
        <v>67</v>
      </c>
      <c r="J800" s="475" t="s">
        <v>363</v>
      </c>
      <c r="K800" s="365">
        <v>64.25</v>
      </c>
      <c r="L800" s="475" t="s">
        <v>141</v>
      </c>
      <c r="M800" s="473"/>
    </row>
    <row r="801" spans="1:13" ht="13.5">
      <c r="A801" s="475" t="s">
        <v>5284</v>
      </c>
      <c r="B801" s="475" t="s">
        <v>5285</v>
      </c>
      <c r="C801" s="475" t="s">
        <v>5290</v>
      </c>
      <c r="D801" s="475" t="s">
        <v>5291</v>
      </c>
      <c r="E801" s="476" t="s">
        <v>34</v>
      </c>
      <c r="F801" s="475" t="s">
        <v>34</v>
      </c>
      <c r="G801" s="364">
        <v>89274</v>
      </c>
      <c r="H801" s="475" t="s">
        <v>843</v>
      </c>
      <c r="I801" s="475" t="s">
        <v>67</v>
      </c>
      <c r="J801" s="475" t="s">
        <v>337</v>
      </c>
      <c r="K801" s="365">
        <v>1.08</v>
      </c>
      <c r="L801" s="475" t="s">
        <v>141</v>
      </c>
      <c r="M801" s="473"/>
    </row>
    <row r="802" spans="1:13" ht="13.5">
      <c r="A802" s="475" t="s">
        <v>5284</v>
      </c>
      <c r="B802" s="475" t="s">
        <v>5285</v>
      </c>
      <c r="C802" s="475" t="s">
        <v>5290</v>
      </c>
      <c r="D802" s="475" t="s">
        <v>5291</v>
      </c>
      <c r="E802" s="476" t="s">
        <v>34</v>
      </c>
      <c r="F802" s="475" t="s">
        <v>34</v>
      </c>
      <c r="G802" s="364">
        <v>89275</v>
      </c>
      <c r="H802" s="475" t="s">
        <v>844</v>
      </c>
      <c r="I802" s="475" t="s">
        <v>67</v>
      </c>
      <c r="J802" s="475" t="s">
        <v>337</v>
      </c>
      <c r="K802" s="365">
        <v>0.24</v>
      </c>
      <c r="L802" s="475" t="s">
        <v>141</v>
      </c>
      <c r="M802" s="473"/>
    </row>
    <row r="803" spans="1:13" ht="13.5">
      <c r="A803" s="475" t="s">
        <v>5284</v>
      </c>
      <c r="B803" s="475" t="s">
        <v>5285</v>
      </c>
      <c r="C803" s="475" t="s">
        <v>5290</v>
      </c>
      <c r="D803" s="475" t="s">
        <v>5291</v>
      </c>
      <c r="E803" s="476" t="s">
        <v>34</v>
      </c>
      <c r="F803" s="475" t="s">
        <v>34</v>
      </c>
      <c r="G803" s="364">
        <v>89276</v>
      </c>
      <c r="H803" s="475" t="s">
        <v>845</v>
      </c>
      <c r="I803" s="475" t="s">
        <v>67</v>
      </c>
      <c r="J803" s="475" t="s">
        <v>337</v>
      </c>
      <c r="K803" s="365">
        <v>1.02</v>
      </c>
      <c r="L803" s="475" t="s">
        <v>141</v>
      </c>
      <c r="M803" s="473"/>
    </row>
    <row r="804" spans="1:13" ht="13.5">
      <c r="A804" s="475" t="s">
        <v>5284</v>
      </c>
      <c r="B804" s="475" t="s">
        <v>5285</v>
      </c>
      <c r="C804" s="475" t="s">
        <v>5290</v>
      </c>
      <c r="D804" s="475" t="s">
        <v>5291</v>
      </c>
      <c r="E804" s="476" t="s">
        <v>34</v>
      </c>
      <c r="F804" s="475" t="s">
        <v>34</v>
      </c>
      <c r="G804" s="364">
        <v>89277</v>
      </c>
      <c r="H804" s="475" t="s">
        <v>846</v>
      </c>
      <c r="I804" s="475" t="s">
        <v>67</v>
      </c>
      <c r="J804" s="475" t="s">
        <v>363</v>
      </c>
      <c r="K804" s="365">
        <v>4.93</v>
      </c>
      <c r="L804" s="475" t="s">
        <v>141</v>
      </c>
      <c r="M804" s="473"/>
    </row>
    <row r="805" spans="1:13" ht="13.5">
      <c r="A805" s="475" t="s">
        <v>5284</v>
      </c>
      <c r="B805" s="475" t="s">
        <v>5285</v>
      </c>
      <c r="C805" s="475" t="s">
        <v>5290</v>
      </c>
      <c r="D805" s="475" t="s">
        <v>5291</v>
      </c>
      <c r="E805" s="476" t="s">
        <v>34</v>
      </c>
      <c r="F805" s="475" t="s">
        <v>34</v>
      </c>
      <c r="G805" s="364">
        <v>89280</v>
      </c>
      <c r="H805" s="475" t="s">
        <v>847</v>
      </c>
      <c r="I805" s="475" t="s">
        <v>67</v>
      </c>
      <c r="J805" s="475" t="s">
        <v>140</v>
      </c>
      <c r="K805" s="365">
        <v>17.899999999999999</v>
      </c>
      <c r="L805" s="475" t="s">
        <v>141</v>
      </c>
      <c r="M805" s="473"/>
    </row>
    <row r="806" spans="1:13" ht="13.5">
      <c r="A806" s="475" t="s">
        <v>5284</v>
      </c>
      <c r="B806" s="475" t="s">
        <v>5285</v>
      </c>
      <c r="C806" s="475" t="s">
        <v>5290</v>
      </c>
      <c r="D806" s="475" t="s">
        <v>5291</v>
      </c>
      <c r="E806" s="476" t="s">
        <v>34</v>
      </c>
      <c r="F806" s="475" t="s">
        <v>34</v>
      </c>
      <c r="G806" s="364">
        <v>89281</v>
      </c>
      <c r="H806" s="475" t="s">
        <v>848</v>
      </c>
      <c r="I806" s="475" t="s">
        <v>67</v>
      </c>
      <c r="J806" s="475" t="s">
        <v>140</v>
      </c>
      <c r="K806" s="365">
        <v>4.7</v>
      </c>
      <c r="L806" s="475" t="s">
        <v>141</v>
      </c>
      <c r="M806" s="473"/>
    </row>
    <row r="807" spans="1:13" ht="13.5">
      <c r="A807" s="475" t="s">
        <v>5284</v>
      </c>
      <c r="B807" s="475" t="s">
        <v>5285</v>
      </c>
      <c r="C807" s="475" t="s">
        <v>5290</v>
      </c>
      <c r="D807" s="475" t="s">
        <v>5291</v>
      </c>
      <c r="E807" s="476" t="s">
        <v>34</v>
      </c>
      <c r="F807" s="475" t="s">
        <v>34</v>
      </c>
      <c r="G807" s="364">
        <v>89870</v>
      </c>
      <c r="H807" s="475" t="s">
        <v>849</v>
      </c>
      <c r="I807" s="475" t="s">
        <v>67</v>
      </c>
      <c r="J807" s="475" t="s">
        <v>140</v>
      </c>
      <c r="K807" s="365">
        <v>16.739999999999998</v>
      </c>
      <c r="L807" s="475" t="s">
        <v>141</v>
      </c>
      <c r="M807" s="473"/>
    </row>
    <row r="808" spans="1:13" ht="13.5">
      <c r="A808" s="475" t="s">
        <v>5284</v>
      </c>
      <c r="B808" s="475" t="s">
        <v>5285</v>
      </c>
      <c r="C808" s="475" t="s">
        <v>5290</v>
      </c>
      <c r="D808" s="475" t="s">
        <v>5291</v>
      </c>
      <c r="E808" s="476" t="s">
        <v>34</v>
      </c>
      <c r="F808" s="475" t="s">
        <v>34</v>
      </c>
      <c r="G808" s="364">
        <v>89871</v>
      </c>
      <c r="H808" s="475" t="s">
        <v>850</v>
      </c>
      <c r="I808" s="475" t="s">
        <v>67</v>
      </c>
      <c r="J808" s="475" t="s">
        <v>140</v>
      </c>
      <c r="K808" s="365">
        <v>5.86</v>
      </c>
      <c r="L808" s="475" t="s">
        <v>141</v>
      </c>
      <c r="M808" s="473"/>
    </row>
    <row r="809" spans="1:13" ht="13.5">
      <c r="A809" s="475" t="s">
        <v>5284</v>
      </c>
      <c r="B809" s="475" t="s">
        <v>5285</v>
      </c>
      <c r="C809" s="475" t="s">
        <v>5290</v>
      </c>
      <c r="D809" s="475" t="s">
        <v>5291</v>
      </c>
      <c r="E809" s="476" t="s">
        <v>34</v>
      </c>
      <c r="F809" s="475" t="s">
        <v>34</v>
      </c>
      <c r="G809" s="364">
        <v>89872</v>
      </c>
      <c r="H809" s="475" t="s">
        <v>851</v>
      </c>
      <c r="I809" s="475" t="s">
        <v>67</v>
      </c>
      <c r="J809" s="475" t="s">
        <v>140</v>
      </c>
      <c r="K809" s="365">
        <v>1.21</v>
      </c>
      <c r="L809" s="475" t="s">
        <v>141</v>
      </c>
      <c r="M809" s="473"/>
    </row>
    <row r="810" spans="1:13" ht="13.5">
      <c r="A810" s="475" t="s">
        <v>5284</v>
      </c>
      <c r="B810" s="475" t="s">
        <v>5285</v>
      </c>
      <c r="C810" s="475" t="s">
        <v>5290</v>
      </c>
      <c r="D810" s="475" t="s">
        <v>5291</v>
      </c>
      <c r="E810" s="476" t="s">
        <v>34</v>
      </c>
      <c r="F810" s="475" t="s">
        <v>34</v>
      </c>
      <c r="G810" s="364">
        <v>89873</v>
      </c>
      <c r="H810" s="475" t="s">
        <v>852</v>
      </c>
      <c r="I810" s="475" t="s">
        <v>67</v>
      </c>
      <c r="J810" s="475" t="s">
        <v>140</v>
      </c>
      <c r="K810" s="365">
        <v>31.4</v>
      </c>
      <c r="L810" s="475" t="s">
        <v>141</v>
      </c>
      <c r="M810" s="473"/>
    </row>
    <row r="811" spans="1:13" ht="13.5">
      <c r="A811" s="475" t="s">
        <v>5284</v>
      </c>
      <c r="B811" s="475" t="s">
        <v>5285</v>
      </c>
      <c r="C811" s="475" t="s">
        <v>5290</v>
      </c>
      <c r="D811" s="475" t="s">
        <v>5291</v>
      </c>
      <c r="E811" s="476" t="s">
        <v>34</v>
      </c>
      <c r="F811" s="475" t="s">
        <v>34</v>
      </c>
      <c r="G811" s="364">
        <v>89874</v>
      </c>
      <c r="H811" s="475" t="s">
        <v>853</v>
      </c>
      <c r="I811" s="475" t="s">
        <v>67</v>
      </c>
      <c r="J811" s="475" t="s">
        <v>363</v>
      </c>
      <c r="K811" s="365">
        <v>139.43</v>
      </c>
      <c r="L811" s="475" t="s">
        <v>141</v>
      </c>
      <c r="M811" s="473"/>
    </row>
    <row r="812" spans="1:13" ht="13.5">
      <c r="A812" s="475" t="s">
        <v>5284</v>
      </c>
      <c r="B812" s="475" t="s">
        <v>5285</v>
      </c>
      <c r="C812" s="475" t="s">
        <v>5290</v>
      </c>
      <c r="D812" s="475" t="s">
        <v>5291</v>
      </c>
      <c r="E812" s="476" t="s">
        <v>34</v>
      </c>
      <c r="F812" s="475" t="s">
        <v>34</v>
      </c>
      <c r="G812" s="364">
        <v>89878</v>
      </c>
      <c r="H812" s="475" t="s">
        <v>854</v>
      </c>
      <c r="I812" s="475" t="s">
        <v>67</v>
      </c>
      <c r="J812" s="475" t="s">
        <v>140</v>
      </c>
      <c r="K812" s="365">
        <v>17.73</v>
      </c>
      <c r="L812" s="475" t="s">
        <v>141</v>
      </c>
      <c r="M812" s="473"/>
    </row>
    <row r="813" spans="1:13" ht="13.5">
      <c r="A813" s="475" t="s">
        <v>5284</v>
      </c>
      <c r="B813" s="475" t="s">
        <v>5285</v>
      </c>
      <c r="C813" s="475" t="s">
        <v>5290</v>
      </c>
      <c r="D813" s="475" t="s">
        <v>5291</v>
      </c>
      <c r="E813" s="476" t="s">
        <v>34</v>
      </c>
      <c r="F813" s="475" t="s">
        <v>34</v>
      </c>
      <c r="G813" s="364">
        <v>89879</v>
      </c>
      <c r="H813" s="475" t="s">
        <v>855</v>
      </c>
      <c r="I813" s="475" t="s">
        <v>67</v>
      </c>
      <c r="J813" s="475" t="s">
        <v>140</v>
      </c>
      <c r="K813" s="365">
        <v>6.2</v>
      </c>
      <c r="L813" s="475" t="s">
        <v>141</v>
      </c>
      <c r="M813" s="473"/>
    </row>
    <row r="814" spans="1:13" ht="13.5">
      <c r="A814" s="475" t="s">
        <v>5284</v>
      </c>
      <c r="B814" s="475" t="s">
        <v>5285</v>
      </c>
      <c r="C814" s="475" t="s">
        <v>5290</v>
      </c>
      <c r="D814" s="475" t="s">
        <v>5291</v>
      </c>
      <c r="E814" s="476" t="s">
        <v>34</v>
      </c>
      <c r="F814" s="475" t="s">
        <v>34</v>
      </c>
      <c r="G814" s="364">
        <v>89880</v>
      </c>
      <c r="H814" s="475" t="s">
        <v>856</v>
      </c>
      <c r="I814" s="475" t="s">
        <v>67</v>
      </c>
      <c r="J814" s="475" t="s">
        <v>140</v>
      </c>
      <c r="K814" s="365">
        <v>1.28</v>
      </c>
      <c r="L814" s="475" t="s">
        <v>141</v>
      </c>
      <c r="M814" s="473"/>
    </row>
    <row r="815" spans="1:13" ht="13.5">
      <c r="A815" s="475" t="s">
        <v>5284</v>
      </c>
      <c r="B815" s="475" t="s">
        <v>5285</v>
      </c>
      <c r="C815" s="475" t="s">
        <v>5290</v>
      </c>
      <c r="D815" s="475" t="s">
        <v>5291</v>
      </c>
      <c r="E815" s="476" t="s">
        <v>34</v>
      </c>
      <c r="F815" s="475" t="s">
        <v>34</v>
      </c>
      <c r="G815" s="364">
        <v>89881</v>
      </c>
      <c r="H815" s="475" t="s">
        <v>857</v>
      </c>
      <c r="I815" s="475" t="s">
        <v>67</v>
      </c>
      <c r="J815" s="475" t="s">
        <v>140</v>
      </c>
      <c r="K815" s="365">
        <v>33.24</v>
      </c>
      <c r="L815" s="475" t="s">
        <v>141</v>
      </c>
      <c r="M815" s="473"/>
    </row>
    <row r="816" spans="1:13" ht="13.5">
      <c r="A816" s="475" t="s">
        <v>5284</v>
      </c>
      <c r="B816" s="475" t="s">
        <v>5285</v>
      </c>
      <c r="C816" s="475" t="s">
        <v>5290</v>
      </c>
      <c r="D816" s="475" t="s">
        <v>5291</v>
      </c>
      <c r="E816" s="476" t="s">
        <v>34</v>
      </c>
      <c r="F816" s="475" t="s">
        <v>34</v>
      </c>
      <c r="G816" s="364">
        <v>89882</v>
      </c>
      <c r="H816" s="475" t="s">
        <v>858</v>
      </c>
      <c r="I816" s="475" t="s">
        <v>67</v>
      </c>
      <c r="J816" s="475" t="s">
        <v>363</v>
      </c>
      <c r="K816" s="365">
        <v>160.88</v>
      </c>
      <c r="L816" s="475" t="s">
        <v>141</v>
      </c>
      <c r="M816" s="473"/>
    </row>
    <row r="817" spans="1:13" ht="13.5">
      <c r="A817" s="475" t="s">
        <v>5284</v>
      </c>
      <c r="B817" s="475" t="s">
        <v>5285</v>
      </c>
      <c r="C817" s="475" t="s">
        <v>5290</v>
      </c>
      <c r="D817" s="475" t="s">
        <v>5291</v>
      </c>
      <c r="E817" s="476" t="s">
        <v>34</v>
      </c>
      <c r="F817" s="475" t="s">
        <v>34</v>
      </c>
      <c r="G817" s="364">
        <v>90582</v>
      </c>
      <c r="H817" s="475" t="s">
        <v>859</v>
      </c>
      <c r="I817" s="475" t="s">
        <v>67</v>
      </c>
      <c r="J817" s="475" t="s">
        <v>140</v>
      </c>
      <c r="K817" s="365">
        <v>0.24</v>
      </c>
      <c r="L817" s="475" t="s">
        <v>141</v>
      </c>
      <c r="M817" s="473"/>
    </row>
    <row r="818" spans="1:13" ht="13.5">
      <c r="A818" s="475" t="s">
        <v>5284</v>
      </c>
      <c r="B818" s="475" t="s">
        <v>5285</v>
      </c>
      <c r="C818" s="475" t="s">
        <v>5290</v>
      </c>
      <c r="D818" s="475" t="s">
        <v>5291</v>
      </c>
      <c r="E818" s="476" t="s">
        <v>34</v>
      </c>
      <c r="F818" s="475" t="s">
        <v>34</v>
      </c>
      <c r="G818" s="364">
        <v>90583</v>
      </c>
      <c r="H818" s="475" t="s">
        <v>860</v>
      </c>
      <c r="I818" s="475" t="s">
        <v>67</v>
      </c>
      <c r="J818" s="475" t="s">
        <v>140</v>
      </c>
      <c r="K818" s="365">
        <v>0.05</v>
      </c>
      <c r="L818" s="475" t="s">
        <v>141</v>
      </c>
      <c r="M818" s="473"/>
    </row>
    <row r="819" spans="1:13" ht="13.5">
      <c r="A819" s="475" t="s">
        <v>5284</v>
      </c>
      <c r="B819" s="475" t="s">
        <v>5285</v>
      </c>
      <c r="C819" s="475" t="s">
        <v>5290</v>
      </c>
      <c r="D819" s="475" t="s">
        <v>5291</v>
      </c>
      <c r="E819" s="476" t="s">
        <v>34</v>
      </c>
      <c r="F819" s="475" t="s">
        <v>34</v>
      </c>
      <c r="G819" s="364">
        <v>90584</v>
      </c>
      <c r="H819" s="475" t="s">
        <v>861</v>
      </c>
      <c r="I819" s="475" t="s">
        <v>67</v>
      </c>
      <c r="J819" s="475" t="s">
        <v>140</v>
      </c>
      <c r="K819" s="365">
        <v>0.19</v>
      </c>
      <c r="L819" s="475" t="s">
        <v>141</v>
      </c>
      <c r="M819" s="473"/>
    </row>
    <row r="820" spans="1:13" ht="13.5">
      <c r="A820" s="475" t="s">
        <v>5284</v>
      </c>
      <c r="B820" s="475" t="s">
        <v>5285</v>
      </c>
      <c r="C820" s="475" t="s">
        <v>5290</v>
      </c>
      <c r="D820" s="475" t="s">
        <v>5291</v>
      </c>
      <c r="E820" s="476" t="s">
        <v>34</v>
      </c>
      <c r="F820" s="475" t="s">
        <v>34</v>
      </c>
      <c r="G820" s="364">
        <v>90585</v>
      </c>
      <c r="H820" s="475" t="s">
        <v>862</v>
      </c>
      <c r="I820" s="475" t="s">
        <v>67</v>
      </c>
      <c r="J820" s="475" t="s">
        <v>337</v>
      </c>
      <c r="K820" s="365">
        <v>0.82</v>
      </c>
      <c r="L820" s="475" t="s">
        <v>141</v>
      </c>
      <c r="M820" s="473"/>
    </row>
    <row r="821" spans="1:13" ht="13.5">
      <c r="A821" s="475" t="s">
        <v>5284</v>
      </c>
      <c r="B821" s="475" t="s">
        <v>5285</v>
      </c>
      <c r="C821" s="475" t="s">
        <v>5290</v>
      </c>
      <c r="D821" s="475" t="s">
        <v>5291</v>
      </c>
      <c r="E821" s="476" t="s">
        <v>34</v>
      </c>
      <c r="F821" s="475" t="s">
        <v>34</v>
      </c>
      <c r="G821" s="364">
        <v>90621</v>
      </c>
      <c r="H821" s="475" t="s">
        <v>863</v>
      </c>
      <c r="I821" s="475" t="s">
        <v>67</v>
      </c>
      <c r="J821" s="475" t="s">
        <v>140</v>
      </c>
      <c r="K821" s="365">
        <v>1.1299999999999999</v>
      </c>
      <c r="L821" s="475" t="s">
        <v>141</v>
      </c>
      <c r="M821" s="473"/>
    </row>
    <row r="822" spans="1:13" ht="13.5">
      <c r="A822" s="475" t="s">
        <v>5284</v>
      </c>
      <c r="B822" s="475" t="s">
        <v>5285</v>
      </c>
      <c r="C822" s="475" t="s">
        <v>5290</v>
      </c>
      <c r="D822" s="475" t="s">
        <v>5291</v>
      </c>
      <c r="E822" s="476" t="s">
        <v>34</v>
      </c>
      <c r="F822" s="475" t="s">
        <v>34</v>
      </c>
      <c r="G822" s="364">
        <v>90622</v>
      </c>
      <c r="H822" s="475" t="s">
        <v>864</v>
      </c>
      <c r="I822" s="475" t="s">
        <v>67</v>
      </c>
      <c r="J822" s="475" t="s">
        <v>140</v>
      </c>
      <c r="K822" s="365">
        <v>0.25</v>
      </c>
      <c r="L822" s="475" t="s">
        <v>141</v>
      </c>
      <c r="M822" s="473"/>
    </row>
    <row r="823" spans="1:13" ht="13.5">
      <c r="A823" s="475" t="s">
        <v>5284</v>
      </c>
      <c r="B823" s="475" t="s">
        <v>5285</v>
      </c>
      <c r="C823" s="475" t="s">
        <v>5290</v>
      </c>
      <c r="D823" s="475" t="s">
        <v>5291</v>
      </c>
      <c r="E823" s="476" t="s">
        <v>34</v>
      </c>
      <c r="F823" s="475" t="s">
        <v>34</v>
      </c>
      <c r="G823" s="364">
        <v>90623</v>
      </c>
      <c r="H823" s="475" t="s">
        <v>865</v>
      </c>
      <c r="I823" s="475" t="s">
        <v>67</v>
      </c>
      <c r="J823" s="475" t="s">
        <v>140</v>
      </c>
      <c r="K823" s="365">
        <v>1.41</v>
      </c>
      <c r="L823" s="475" t="s">
        <v>141</v>
      </c>
      <c r="M823" s="473"/>
    </row>
    <row r="824" spans="1:13" ht="13.5">
      <c r="A824" s="475" t="s">
        <v>5284</v>
      </c>
      <c r="B824" s="475" t="s">
        <v>5285</v>
      </c>
      <c r="C824" s="475" t="s">
        <v>5290</v>
      </c>
      <c r="D824" s="475" t="s">
        <v>5291</v>
      </c>
      <c r="E824" s="476" t="s">
        <v>34</v>
      </c>
      <c r="F824" s="475" t="s">
        <v>34</v>
      </c>
      <c r="G824" s="364">
        <v>90624</v>
      </c>
      <c r="H824" s="475" t="s">
        <v>866</v>
      </c>
      <c r="I824" s="475" t="s">
        <v>67</v>
      </c>
      <c r="J824" s="475" t="s">
        <v>337</v>
      </c>
      <c r="K824" s="365">
        <v>2.06</v>
      </c>
      <c r="L824" s="475" t="s">
        <v>141</v>
      </c>
      <c r="M824" s="473"/>
    </row>
    <row r="825" spans="1:13" ht="13.5">
      <c r="A825" s="475" t="s">
        <v>5284</v>
      </c>
      <c r="B825" s="475" t="s">
        <v>5285</v>
      </c>
      <c r="C825" s="475" t="s">
        <v>5290</v>
      </c>
      <c r="D825" s="475" t="s">
        <v>5291</v>
      </c>
      <c r="E825" s="476" t="s">
        <v>34</v>
      </c>
      <c r="F825" s="475" t="s">
        <v>34</v>
      </c>
      <c r="G825" s="364">
        <v>90627</v>
      </c>
      <c r="H825" s="475" t="s">
        <v>867</v>
      </c>
      <c r="I825" s="475" t="s">
        <v>67</v>
      </c>
      <c r="J825" s="475" t="s">
        <v>140</v>
      </c>
      <c r="K825" s="365">
        <v>23.18</v>
      </c>
      <c r="L825" s="475" t="s">
        <v>141</v>
      </c>
      <c r="M825" s="473"/>
    </row>
    <row r="826" spans="1:13" ht="13.5">
      <c r="A826" s="475" t="s">
        <v>5284</v>
      </c>
      <c r="B826" s="475" t="s">
        <v>5285</v>
      </c>
      <c r="C826" s="475" t="s">
        <v>5290</v>
      </c>
      <c r="D826" s="475" t="s">
        <v>5291</v>
      </c>
      <c r="E826" s="476" t="s">
        <v>34</v>
      </c>
      <c r="F826" s="475" t="s">
        <v>34</v>
      </c>
      <c r="G826" s="364">
        <v>90628</v>
      </c>
      <c r="H826" s="475" t="s">
        <v>868</v>
      </c>
      <c r="I826" s="475" t="s">
        <v>67</v>
      </c>
      <c r="J826" s="475" t="s">
        <v>140</v>
      </c>
      <c r="K826" s="365">
        <v>6.09</v>
      </c>
      <c r="L826" s="475" t="s">
        <v>141</v>
      </c>
      <c r="M826" s="473"/>
    </row>
    <row r="827" spans="1:13" ht="13.5">
      <c r="A827" s="475" t="s">
        <v>5284</v>
      </c>
      <c r="B827" s="475" t="s">
        <v>5285</v>
      </c>
      <c r="C827" s="475" t="s">
        <v>5290</v>
      </c>
      <c r="D827" s="475" t="s">
        <v>5291</v>
      </c>
      <c r="E827" s="476" t="s">
        <v>34</v>
      </c>
      <c r="F827" s="475" t="s">
        <v>34</v>
      </c>
      <c r="G827" s="364">
        <v>90629</v>
      </c>
      <c r="H827" s="475" t="s">
        <v>869</v>
      </c>
      <c r="I827" s="475" t="s">
        <v>67</v>
      </c>
      <c r="J827" s="475" t="s">
        <v>140</v>
      </c>
      <c r="K827" s="365">
        <v>29.01</v>
      </c>
      <c r="L827" s="475" t="s">
        <v>141</v>
      </c>
      <c r="M827" s="473"/>
    </row>
    <row r="828" spans="1:13" ht="13.5">
      <c r="A828" s="475" t="s">
        <v>5284</v>
      </c>
      <c r="B828" s="475" t="s">
        <v>5285</v>
      </c>
      <c r="C828" s="475" t="s">
        <v>5290</v>
      </c>
      <c r="D828" s="475" t="s">
        <v>5291</v>
      </c>
      <c r="E828" s="476" t="s">
        <v>34</v>
      </c>
      <c r="F828" s="475" t="s">
        <v>34</v>
      </c>
      <c r="G828" s="364">
        <v>90630</v>
      </c>
      <c r="H828" s="475" t="s">
        <v>870</v>
      </c>
      <c r="I828" s="475" t="s">
        <v>67</v>
      </c>
      <c r="J828" s="475" t="s">
        <v>337</v>
      </c>
      <c r="K828" s="365">
        <v>8.36</v>
      </c>
      <c r="L828" s="475" t="s">
        <v>141</v>
      </c>
      <c r="M828" s="473"/>
    </row>
    <row r="829" spans="1:13" ht="13.5">
      <c r="A829" s="475" t="s">
        <v>5284</v>
      </c>
      <c r="B829" s="475" t="s">
        <v>5285</v>
      </c>
      <c r="C829" s="475" t="s">
        <v>5290</v>
      </c>
      <c r="D829" s="475" t="s">
        <v>5291</v>
      </c>
      <c r="E829" s="476" t="s">
        <v>34</v>
      </c>
      <c r="F829" s="475" t="s">
        <v>34</v>
      </c>
      <c r="G829" s="364">
        <v>90633</v>
      </c>
      <c r="H829" s="475" t="s">
        <v>871</v>
      </c>
      <c r="I829" s="475" t="s">
        <v>67</v>
      </c>
      <c r="J829" s="475" t="s">
        <v>337</v>
      </c>
      <c r="K829" s="365">
        <v>2.76</v>
      </c>
      <c r="L829" s="475" t="s">
        <v>141</v>
      </c>
      <c r="M829" s="473"/>
    </row>
    <row r="830" spans="1:13" ht="13.5">
      <c r="A830" s="475" t="s">
        <v>5284</v>
      </c>
      <c r="B830" s="475" t="s">
        <v>5285</v>
      </c>
      <c r="C830" s="475" t="s">
        <v>5290</v>
      </c>
      <c r="D830" s="475" t="s">
        <v>5291</v>
      </c>
      <c r="E830" s="476" t="s">
        <v>34</v>
      </c>
      <c r="F830" s="475" t="s">
        <v>34</v>
      </c>
      <c r="G830" s="364">
        <v>90634</v>
      </c>
      <c r="H830" s="475" t="s">
        <v>872</v>
      </c>
      <c r="I830" s="475" t="s">
        <v>67</v>
      </c>
      <c r="J830" s="475" t="s">
        <v>337</v>
      </c>
      <c r="K830" s="365">
        <v>0.62</v>
      </c>
      <c r="L830" s="475" t="s">
        <v>141</v>
      </c>
      <c r="M830" s="473"/>
    </row>
    <row r="831" spans="1:13" ht="13.5">
      <c r="A831" s="475" t="s">
        <v>5284</v>
      </c>
      <c r="B831" s="475" t="s">
        <v>5285</v>
      </c>
      <c r="C831" s="475" t="s">
        <v>5290</v>
      </c>
      <c r="D831" s="475" t="s">
        <v>5291</v>
      </c>
      <c r="E831" s="476" t="s">
        <v>34</v>
      </c>
      <c r="F831" s="475" t="s">
        <v>34</v>
      </c>
      <c r="G831" s="364">
        <v>90635</v>
      </c>
      <c r="H831" s="475" t="s">
        <v>873</v>
      </c>
      <c r="I831" s="475" t="s">
        <v>67</v>
      </c>
      <c r="J831" s="475" t="s">
        <v>337</v>
      </c>
      <c r="K831" s="365">
        <v>3.01</v>
      </c>
      <c r="L831" s="475" t="s">
        <v>141</v>
      </c>
      <c r="M831" s="473"/>
    </row>
    <row r="832" spans="1:13" ht="13.5">
      <c r="A832" s="475" t="s">
        <v>5284</v>
      </c>
      <c r="B832" s="475" t="s">
        <v>5285</v>
      </c>
      <c r="C832" s="475" t="s">
        <v>5290</v>
      </c>
      <c r="D832" s="475" t="s">
        <v>5291</v>
      </c>
      <c r="E832" s="476" t="s">
        <v>34</v>
      </c>
      <c r="F832" s="475" t="s">
        <v>34</v>
      </c>
      <c r="G832" s="364">
        <v>90636</v>
      </c>
      <c r="H832" s="475" t="s">
        <v>874</v>
      </c>
      <c r="I832" s="475" t="s">
        <v>67</v>
      </c>
      <c r="J832" s="475" t="s">
        <v>337</v>
      </c>
      <c r="K832" s="365">
        <v>4.13</v>
      </c>
      <c r="L832" s="475" t="s">
        <v>141</v>
      </c>
      <c r="M832" s="473"/>
    </row>
    <row r="833" spans="1:13" ht="13.5">
      <c r="A833" s="475" t="s">
        <v>5284</v>
      </c>
      <c r="B833" s="475" t="s">
        <v>5285</v>
      </c>
      <c r="C833" s="475" t="s">
        <v>5290</v>
      </c>
      <c r="D833" s="475" t="s">
        <v>5291</v>
      </c>
      <c r="E833" s="476" t="s">
        <v>34</v>
      </c>
      <c r="F833" s="475" t="s">
        <v>34</v>
      </c>
      <c r="G833" s="364">
        <v>90639</v>
      </c>
      <c r="H833" s="475" t="s">
        <v>875</v>
      </c>
      <c r="I833" s="475" t="s">
        <v>67</v>
      </c>
      <c r="J833" s="475" t="s">
        <v>337</v>
      </c>
      <c r="K833" s="365">
        <v>4.12</v>
      </c>
      <c r="L833" s="475" t="s">
        <v>141</v>
      </c>
      <c r="M833" s="473"/>
    </row>
    <row r="834" spans="1:13" ht="13.5">
      <c r="A834" s="475" t="s">
        <v>5284</v>
      </c>
      <c r="B834" s="475" t="s">
        <v>5285</v>
      </c>
      <c r="C834" s="475" t="s">
        <v>5290</v>
      </c>
      <c r="D834" s="475" t="s">
        <v>5291</v>
      </c>
      <c r="E834" s="476" t="s">
        <v>34</v>
      </c>
      <c r="F834" s="475" t="s">
        <v>34</v>
      </c>
      <c r="G834" s="364">
        <v>90640</v>
      </c>
      <c r="H834" s="475" t="s">
        <v>876</v>
      </c>
      <c r="I834" s="475" t="s">
        <v>67</v>
      </c>
      <c r="J834" s="475" t="s">
        <v>337</v>
      </c>
      <c r="K834" s="365">
        <v>0.92</v>
      </c>
      <c r="L834" s="475" t="s">
        <v>141</v>
      </c>
      <c r="M834" s="473"/>
    </row>
    <row r="835" spans="1:13" ht="13.5">
      <c r="A835" s="475" t="s">
        <v>5284</v>
      </c>
      <c r="B835" s="475" t="s">
        <v>5285</v>
      </c>
      <c r="C835" s="475" t="s">
        <v>5290</v>
      </c>
      <c r="D835" s="475" t="s">
        <v>5291</v>
      </c>
      <c r="E835" s="476" t="s">
        <v>34</v>
      </c>
      <c r="F835" s="475" t="s">
        <v>34</v>
      </c>
      <c r="G835" s="364">
        <v>90641</v>
      </c>
      <c r="H835" s="475" t="s">
        <v>877</v>
      </c>
      <c r="I835" s="475" t="s">
        <v>67</v>
      </c>
      <c r="J835" s="475" t="s">
        <v>337</v>
      </c>
      <c r="K835" s="365">
        <v>4.5</v>
      </c>
      <c r="L835" s="475" t="s">
        <v>141</v>
      </c>
      <c r="M835" s="473"/>
    </row>
    <row r="836" spans="1:13" ht="13.5">
      <c r="A836" s="475" t="s">
        <v>5284</v>
      </c>
      <c r="B836" s="475" t="s">
        <v>5285</v>
      </c>
      <c r="C836" s="475" t="s">
        <v>5290</v>
      </c>
      <c r="D836" s="475" t="s">
        <v>5291</v>
      </c>
      <c r="E836" s="476" t="s">
        <v>34</v>
      </c>
      <c r="F836" s="475" t="s">
        <v>34</v>
      </c>
      <c r="G836" s="364">
        <v>90642</v>
      </c>
      <c r="H836" s="475" t="s">
        <v>878</v>
      </c>
      <c r="I836" s="475" t="s">
        <v>67</v>
      </c>
      <c r="J836" s="475" t="s">
        <v>363</v>
      </c>
      <c r="K836" s="365">
        <v>5.37</v>
      </c>
      <c r="L836" s="475" t="s">
        <v>141</v>
      </c>
      <c r="M836" s="473"/>
    </row>
    <row r="837" spans="1:13" ht="13.5">
      <c r="A837" s="475" t="s">
        <v>5284</v>
      </c>
      <c r="B837" s="475" t="s">
        <v>5285</v>
      </c>
      <c r="C837" s="475" t="s">
        <v>5290</v>
      </c>
      <c r="D837" s="475" t="s">
        <v>5291</v>
      </c>
      <c r="E837" s="476" t="s">
        <v>34</v>
      </c>
      <c r="F837" s="475" t="s">
        <v>34</v>
      </c>
      <c r="G837" s="364">
        <v>90646</v>
      </c>
      <c r="H837" s="475" t="s">
        <v>879</v>
      </c>
      <c r="I837" s="475" t="s">
        <v>67</v>
      </c>
      <c r="J837" s="475" t="s">
        <v>337</v>
      </c>
      <c r="K837" s="365">
        <v>0.52</v>
      </c>
      <c r="L837" s="475" t="s">
        <v>141</v>
      </c>
      <c r="M837" s="473"/>
    </row>
    <row r="838" spans="1:13" ht="13.5">
      <c r="A838" s="475" t="s">
        <v>5284</v>
      </c>
      <c r="B838" s="475" t="s">
        <v>5285</v>
      </c>
      <c r="C838" s="475" t="s">
        <v>5290</v>
      </c>
      <c r="D838" s="475" t="s">
        <v>5291</v>
      </c>
      <c r="E838" s="476" t="s">
        <v>34</v>
      </c>
      <c r="F838" s="475" t="s">
        <v>34</v>
      </c>
      <c r="G838" s="364">
        <v>90647</v>
      </c>
      <c r="H838" s="475" t="s">
        <v>880</v>
      </c>
      <c r="I838" s="475" t="s">
        <v>67</v>
      </c>
      <c r="J838" s="475" t="s">
        <v>337</v>
      </c>
      <c r="K838" s="365">
        <v>0.11</v>
      </c>
      <c r="L838" s="475" t="s">
        <v>141</v>
      </c>
      <c r="M838" s="473"/>
    </row>
    <row r="839" spans="1:13" ht="13.5">
      <c r="A839" s="475" t="s">
        <v>5284</v>
      </c>
      <c r="B839" s="475" t="s">
        <v>5285</v>
      </c>
      <c r="C839" s="475" t="s">
        <v>5290</v>
      </c>
      <c r="D839" s="475" t="s">
        <v>5291</v>
      </c>
      <c r="E839" s="476" t="s">
        <v>34</v>
      </c>
      <c r="F839" s="475" t="s">
        <v>34</v>
      </c>
      <c r="G839" s="364">
        <v>90648</v>
      </c>
      <c r="H839" s="475" t="s">
        <v>881</v>
      </c>
      <c r="I839" s="475" t="s">
        <v>67</v>
      </c>
      <c r="J839" s="475" t="s">
        <v>337</v>
      </c>
      <c r="K839" s="365">
        <v>0.56999999999999995</v>
      </c>
      <c r="L839" s="475" t="s">
        <v>141</v>
      </c>
      <c r="M839" s="473"/>
    </row>
    <row r="840" spans="1:13" ht="13.5">
      <c r="A840" s="475" t="s">
        <v>5284</v>
      </c>
      <c r="B840" s="475" t="s">
        <v>5285</v>
      </c>
      <c r="C840" s="475" t="s">
        <v>5290</v>
      </c>
      <c r="D840" s="475" t="s">
        <v>5291</v>
      </c>
      <c r="E840" s="476" t="s">
        <v>34</v>
      </c>
      <c r="F840" s="475" t="s">
        <v>34</v>
      </c>
      <c r="G840" s="364">
        <v>90649</v>
      </c>
      <c r="H840" s="475" t="s">
        <v>882</v>
      </c>
      <c r="I840" s="475" t="s">
        <v>67</v>
      </c>
      <c r="J840" s="475" t="s">
        <v>363</v>
      </c>
      <c r="K840" s="365">
        <v>6.46</v>
      </c>
      <c r="L840" s="475" t="s">
        <v>141</v>
      </c>
      <c r="M840" s="473"/>
    </row>
    <row r="841" spans="1:13" ht="13.5">
      <c r="A841" s="475" t="s">
        <v>5284</v>
      </c>
      <c r="B841" s="475" t="s">
        <v>5285</v>
      </c>
      <c r="C841" s="475" t="s">
        <v>5290</v>
      </c>
      <c r="D841" s="475" t="s">
        <v>5291</v>
      </c>
      <c r="E841" s="476" t="s">
        <v>34</v>
      </c>
      <c r="F841" s="475" t="s">
        <v>34</v>
      </c>
      <c r="G841" s="364">
        <v>90652</v>
      </c>
      <c r="H841" s="475" t="s">
        <v>883</v>
      </c>
      <c r="I841" s="475" t="s">
        <v>67</v>
      </c>
      <c r="J841" s="475" t="s">
        <v>337</v>
      </c>
      <c r="K841" s="365">
        <v>2.68</v>
      </c>
      <c r="L841" s="475" t="s">
        <v>141</v>
      </c>
      <c r="M841" s="473"/>
    </row>
    <row r="842" spans="1:13" ht="13.5">
      <c r="A842" s="475" t="s">
        <v>5284</v>
      </c>
      <c r="B842" s="475" t="s">
        <v>5285</v>
      </c>
      <c r="C842" s="475" t="s">
        <v>5290</v>
      </c>
      <c r="D842" s="475" t="s">
        <v>5291</v>
      </c>
      <c r="E842" s="476" t="s">
        <v>34</v>
      </c>
      <c r="F842" s="475" t="s">
        <v>34</v>
      </c>
      <c r="G842" s="364">
        <v>90653</v>
      </c>
      <c r="H842" s="475" t="s">
        <v>884</v>
      </c>
      <c r="I842" s="475" t="s">
        <v>67</v>
      </c>
      <c r="J842" s="475" t="s">
        <v>337</v>
      </c>
      <c r="K842" s="365">
        <v>0.6</v>
      </c>
      <c r="L842" s="475" t="s">
        <v>141</v>
      </c>
      <c r="M842" s="473"/>
    </row>
    <row r="843" spans="1:13" ht="13.5">
      <c r="A843" s="475" t="s">
        <v>5284</v>
      </c>
      <c r="B843" s="475" t="s">
        <v>5285</v>
      </c>
      <c r="C843" s="475" t="s">
        <v>5290</v>
      </c>
      <c r="D843" s="475" t="s">
        <v>5291</v>
      </c>
      <c r="E843" s="476" t="s">
        <v>34</v>
      </c>
      <c r="F843" s="475" t="s">
        <v>34</v>
      </c>
      <c r="G843" s="364">
        <v>90654</v>
      </c>
      <c r="H843" s="475" t="s">
        <v>885</v>
      </c>
      <c r="I843" s="475" t="s">
        <v>67</v>
      </c>
      <c r="J843" s="475" t="s">
        <v>337</v>
      </c>
      <c r="K843" s="365">
        <v>2.93</v>
      </c>
      <c r="L843" s="475" t="s">
        <v>141</v>
      </c>
      <c r="M843" s="473"/>
    </row>
    <row r="844" spans="1:13" ht="13.5">
      <c r="A844" s="475" t="s">
        <v>5284</v>
      </c>
      <c r="B844" s="475" t="s">
        <v>5285</v>
      </c>
      <c r="C844" s="475" t="s">
        <v>5290</v>
      </c>
      <c r="D844" s="475" t="s">
        <v>5291</v>
      </c>
      <c r="E844" s="476" t="s">
        <v>34</v>
      </c>
      <c r="F844" s="475" t="s">
        <v>34</v>
      </c>
      <c r="G844" s="364">
        <v>90655</v>
      </c>
      <c r="H844" s="475" t="s">
        <v>886</v>
      </c>
      <c r="I844" s="475" t="s">
        <v>67</v>
      </c>
      <c r="J844" s="475" t="s">
        <v>363</v>
      </c>
      <c r="K844" s="365">
        <v>4.25</v>
      </c>
      <c r="L844" s="475" t="s">
        <v>141</v>
      </c>
      <c r="M844" s="473"/>
    </row>
    <row r="845" spans="1:13" ht="13.5">
      <c r="A845" s="475" t="s">
        <v>5284</v>
      </c>
      <c r="B845" s="475" t="s">
        <v>5285</v>
      </c>
      <c r="C845" s="475" t="s">
        <v>5290</v>
      </c>
      <c r="D845" s="475" t="s">
        <v>5291</v>
      </c>
      <c r="E845" s="476" t="s">
        <v>34</v>
      </c>
      <c r="F845" s="475" t="s">
        <v>34</v>
      </c>
      <c r="G845" s="364">
        <v>90658</v>
      </c>
      <c r="H845" s="475" t="s">
        <v>887</v>
      </c>
      <c r="I845" s="475" t="s">
        <v>67</v>
      </c>
      <c r="J845" s="475" t="s">
        <v>337</v>
      </c>
      <c r="K845" s="365">
        <v>2.87</v>
      </c>
      <c r="L845" s="475" t="s">
        <v>141</v>
      </c>
      <c r="M845" s="473"/>
    </row>
    <row r="846" spans="1:13" ht="13.5">
      <c r="A846" s="475" t="s">
        <v>5284</v>
      </c>
      <c r="B846" s="475" t="s">
        <v>5285</v>
      </c>
      <c r="C846" s="475" t="s">
        <v>5290</v>
      </c>
      <c r="D846" s="475" t="s">
        <v>5291</v>
      </c>
      <c r="E846" s="476" t="s">
        <v>34</v>
      </c>
      <c r="F846" s="475" t="s">
        <v>34</v>
      </c>
      <c r="G846" s="364">
        <v>90659</v>
      </c>
      <c r="H846" s="475" t="s">
        <v>888</v>
      </c>
      <c r="I846" s="475" t="s">
        <v>67</v>
      </c>
      <c r="J846" s="475" t="s">
        <v>337</v>
      </c>
      <c r="K846" s="365">
        <v>0.64</v>
      </c>
      <c r="L846" s="475" t="s">
        <v>141</v>
      </c>
      <c r="M846" s="473"/>
    </row>
    <row r="847" spans="1:13" ht="13.5">
      <c r="A847" s="475" t="s">
        <v>5284</v>
      </c>
      <c r="B847" s="475" t="s">
        <v>5285</v>
      </c>
      <c r="C847" s="475" t="s">
        <v>5290</v>
      </c>
      <c r="D847" s="475" t="s">
        <v>5291</v>
      </c>
      <c r="E847" s="476" t="s">
        <v>34</v>
      </c>
      <c r="F847" s="475" t="s">
        <v>34</v>
      </c>
      <c r="G847" s="364">
        <v>90660</v>
      </c>
      <c r="H847" s="475" t="s">
        <v>889</v>
      </c>
      <c r="I847" s="475" t="s">
        <v>67</v>
      </c>
      <c r="J847" s="475" t="s">
        <v>337</v>
      </c>
      <c r="K847" s="365">
        <v>3.14</v>
      </c>
      <c r="L847" s="475" t="s">
        <v>141</v>
      </c>
      <c r="M847" s="473"/>
    </row>
    <row r="848" spans="1:13" ht="13.5">
      <c r="A848" s="475" t="s">
        <v>5284</v>
      </c>
      <c r="B848" s="475" t="s">
        <v>5285</v>
      </c>
      <c r="C848" s="475" t="s">
        <v>5290</v>
      </c>
      <c r="D848" s="475" t="s">
        <v>5291</v>
      </c>
      <c r="E848" s="476" t="s">
        <v>34</v>
      </c>
      <c r="F848" s="475" t="s">
        <v>34</v>
      </c>
      <c r="G848" s="364">
        <v>90661</v>
      </c>
      <c r="H848" s="475" t="s">
        <v>890</v>
      </c>
      <c r="I848" s="475" t="s">
        <v>67</v>
      </c>
      <c r="J848" s="475" t="s">
        <v>363</v>
      </c>
      <c r="K848" s="365">
        <v>4.25</v>
      </c>
      <c r="L848" s="475" t="s">
        <v>141</v>
      </c>
      <c r="M848" s="473"/>
    </row>
    <row r="849" spans="1:13" ht="13.5">
      <c r="A849" s="475" t="s">
        <v>5284</v>
      </c>
      <c r="B849" s="475" t="s">
        <v>5285</v>
      </c>
      <c r="C849" s="475" t="s">
        <v>5290</v>
      </c>
      <c r="D849" s="475" t="s">
        <v>5291</v>
      </c>
      <c r="E849" s="476" t="s">
        <v>34</v>
      </c>
      <c r="F849" s="475" t="s">
        <v>34</v>
      </c>
      <c r="G849" s="364">
        <v>90664</v>
      </c>
      <c r="H849" s="475" t="s">
        <v>891</v>
      </c>
      <c r="I849" s="475" t="s">
        <v>67</v>
      </c>
      <c r="J849" s="475" t="s">
        <v>140</v>
      </c>
      <c r="K849" s="365">
        <v>3.76</v>
      </c>
      <c r="L849" s="475" t="s">
        <v>141</v>
      </c>
      <c r="M849" s="473"/>
    </row>
    <row r="850" spans="1:13" ht="13.5">
      <c r="A850" s="475" t="s">
        <v>5284</v>
      </c>
      <c r="B850" s="475" t="s">
        <v>5285</v>
      </c>
      <c r="C850" s="475" t="s">
        <v>5290</v>
      </c>
      <c r="D850" s="475" t="s">
        <v>5291</v>
      </c>
      <c r="E850" s="476" t="s">
        <v>34</v>
      </c>
      <c r="F850" s="475" t="s">
        <v>34</v>
      </c>
      <c r="G850" s="364">
        <v>90665</v>
      </c>
      <c r="H850" s="475" t="s">
        <v>892</v>
      </c>
      <c r="I850" s="475" t="s">
        <v>67</v>
      </c>
      <c r="J850" s="475" t="s">
        <v>140</v>
      </c>
      <c r="K850" s="365">
        <v>0.84</v>
      </c>
      <c r="L850" s="475" t="s">
        <v>141</v>
      </c>
      <c r="M850" s="473"/>
    </row>
    <row r="851" spans="1:13" ht="13.5">
      <c r="A851" s="475" t="s">
        <v>5284</v>
      </c>
      <c r="B851" s="475" t="s">
        <v>5285</v>
      </c>
      <c r="C851" s="475" t="s">
        <v>5290</v>
      </c>
      <c r="D851" s="475" t="s">
        <v>5291</v>
      </c>
      <c r="E851" s="476" t="s">
        <v>34</v>
      </c>
      <c r="F851" s="475" t="s">
        <v>34</v>
      </c>
      <c r="G851" s="364">
        <v>90666</v>
      </c>
      <c r="H851" s="475" t="s">
        <v>893</v>
      </c>
      <c r="I851" s="475" t="s">
        <v>67</v>
      </c>
      <c r="J851" s="475" t="s">
        <v>140</v>
      </c>
      <c r="K851" s="365">
        <v>4.12</v>
      </c>
      <c r="L851" s="475" t="s">
        <v>141</v>
      </c>
      <c r="M851" s="473"/>
    </row>
    <row r="852" spans="1:13" ht="13.5">
      <c r="A852" s="475" t="s">
        <v>5284</v>
      </c>
      <c r="B852" s="475" t="s">
        <v>5285</v>
      </c>
      <c r="C852" s="475" t="s">
        <v>5290</v>
      </c>
      <c r="D852" s="475" t="s">
        <v>5291</v>
      </c>
      <c r="E852" s="476" t="s">
        <v>34</v>
      </c>
      <c r="F852" s="475" t="s">
        <v>34</v>
      </c>
      <c r="G852" s="364">
        <v>90667</v>
      </c>
      <c r="H852" s="475" t="s">
        <v>894</v>
      </c>
      <c r="I852" s="475" t="s">
        <v>67</v>
      </c>
      <c r="J852" s="475" t="s">
        <v>363</v>
      </c>
      <c r="K852" s="365">
        <v>9.75</v>
      </c>
      <c r="L852" s="475" t="s">
        <v>141</v>
      </c>
      <c r="M852" s="473"/>
    </row>
    <row r="853" spans="1:13" ht="13.5">
      <c r="A853" s="475" t="s">
        <v>5284</v>
      </c>
      <c r="B853" s="475" t="s">
        <v>5285</v>
      </c>
      <c r="C853" s="475" t="s">
        <v>5290</v>
      </c>
      <c r="D853" s="475" t="s">
        <v>5291</v>
      </c>
      <c r="E853" s="476" t="s">
        <v>34</v>
      </c>
      <c r="F853" s="475" t="s">
        <v>34</v>
      </c>
      <c r="G853" s="364">
        <v>90670</v>
      </c>
      <c r="H853" s="475" t="s">
        <v>895</v>
      </c>
      <c r="I853" s="475" t="s">
        <v>67</v>
      </c>
      <c r="J853" s="475" t="s">
        <v>140</v>
      </c>
      <c r="K853" s="365">
        <v>106.42</v>
      </c>
      <c r="L853" s="475" t="s">
        <v>141</v>
      </c>
      <c r="M853" s="473"/>
    </row>
    <row r="854" spans="1:13" ht="13.5">
      <c r="A854" s="475" t="s">
        <v>5284</v>
      </c>
      <c r="B854" s="475" t="s">
        <v>5285</v>
      </c>
      <c r="C854" s="475" t="s">
        <v>5290</v>
      </c>
      <c r="D854" s="475" t="s">
        <v>5291</v>
      </c>
      <c r="E854" s="476" t="s">
        <v>34</v>
      </c>
      <c r="F854" s="475" t="s">
        <v>34</v>
      </c>
      <c r="G854" s="364">
        <v>90671</v>
      </c>
      <c r="H854" s="475" t="s">
        <v>896</v>
      </c>
      <c r="I854" s="475" t="s">
        <v>67</v>
      </c>
      <c r="J854" s="475" t="s">
        <v>140</v>
      </c>
      <c r="K854" s="365">
        <v>27.95</v>
      </c>
      <c r="L854" s="475" t="s">
        <v>141</v>
      </c>
      <c r="M854" s="473"/>
    </row>
    <row r="855" spans="1:13" ht="13.5">
      <c r="A855" s="475" t="s">
        <v>5284</v>
      </c>
      <c r="B855" s="475" t="s">
        <v>5285</v>
      </c>
      <c r="C855" s="475" t="s">
        <v>5290</v>
      </c>
      <c r="D855" s="475" t="s">
        <v>5291</v>
      </c>
      <c r="E855" s="476" t="s">
        <v>34</v>
      </c>
      <c r="F855" s="475" t="s">
        <v>34</v>
      </c>
      <c r="G855" s="364">
        <v>90672</v>
      </c>
      <c r="H855" s="475" t="s">
        <v>897</v>
      </c>
      <c r="I855" s="475" t="s">
        <v>67</v>
      </c>
      <c r="J855" s="475" t="s">
        <v>140</v>
      </c>
      <c r="K855" s="365">
        <v>133.16999999999999</v>
      </c>
      <c r="L855" s="475" t="s">
        <v>141</v>
      </c>
      <c r="M855" s="473"/>
    </row>
    <row r="856" spans="1:13" ht="13.5">
      <c r="A856" s="475" t="s">
        <v>5284</v>
      </c>
      <c r="B856" s="475" t="s">
        <v>5285</v>
      </c>
      <c r="C856" s="475" t="s">
        <v>5290</v>
      </c>
      <c r="D856" s="475" t="s">
        <v>5291</v>
      </c>
      <c r="E856" s="476" t="s">
        <v>34</v>
      </c>
      <c r="F856" s="475" t="s">
        <v>34</v>
      </c>
      <c r="G856" s="364">
        <v>90673</v>
      </c>
      <c r="H856" s="475" t="s">
        <v>898</v>
      </c>
      <c r="I856" s="475" t="s">
        <v>67</v>
      </c>
      <c r="J856" s="475" t="s">
        <v>363</v>
      </c>
      <c r="K856" s="365">
        <v>132.44</v>
      </c>
      <c r="L856" s="475" t="s">
        <v>141</v>
      </c>
      <c r="M856" s="473"/>
    </row>
    <row r="857" spans="1:13" ht="13.5">
      <c r="A857" s="475" t="s">
        <v>5284</v>
      </c>
      <c r="B857" s="475" t="s">
        <v>5285</v>
      </c>
      <c r="C857" s="475" t="s">
        <v>5290</v>
      </c>
      <c r="D857" s="475" t="s">
        <v>5291</v>
      </c>
      <c r="E857" s="476" t="s">
        <v>34</v>
      </c>
      <c r="F857" s="475" t="s">
        <v>34</v>
      </c>
      <c r="G857" s="364">
        <v>90676</v>
      </c>
      <c r="H857" s="475" t="s">
        <v>899</v>
      </c>
      <c r="I857" s="475" t="s">
        <v>67</v>
      </c>
      <c r="J857" s="475" t="s">
        <v>140</v>
      </c>
      <c r="K857" s="365">
        <v>56.28</v>
      </c>
      <c r="L857" s="475" t="s">
        <v>141</v>
      </c>
      <c r="M857" s="473"/>
    </row>
    <row r="858" spans="1:13" ht="13.5">
      <c r="A858" s="475" t="s">
        <v>5284</v>
      </c>
      <c r="B858" s="475" t="s">
        <v>5285</v>
      </c>
      <c r="C858" s="475" t="s">
        <v>5290</v>
      </c>
      <c r="D858" s="475" t="s">
        <v>5291</v>
      </c>
      <c r="E858" s="476" t="s">
        <v>34</v>
      </c>
      <c r="F858" s="475" t="s">
        <v>34</v>
      </c>
      <c r="G858" s="364">
        <v>90677</v>
      </c>
      <c r="H858" s="475" t="s">
        <v>900</v>
      </c>
      <c r="I858" s="475" t="s">
        <v>67</v>
      </c>
      <c r="J858" s="475" t="s">
        <v>140</v>
      </c>
      <c r="K858" s="365">
        <v>14.78</v>
      </c>
      <c r="L858" s="475" t="s">
        <v>141</v>
      </c>
      <c r="M858" s="473"/>
    </row>
    <row r="859" spans="1:13" ht="13.5">
      <c r="A859" s="475" t="s">
        <v>5284</v>
      </c>
      <c r="B859" s="475" t="s">
        <v>5285</v>
      </c>
      <c r="C859" s="475" t="s">
        <v>5290</v>
      </c>
      <c r="D859" s="475" t="s">
        <v>5291</v>
      </c>
      <c r="E859" s="476" t="s">
        <v>34</v>
      </c>
      <c r="F859" s="475" t="s">
        <v>34</v>
      </c>
      <c r="G859" s="364">
        <v>90678</v>
      </c>
      <c r="H859" s="475" t="s">
        <v>901</v>
      </c>
      <c r="I859" s="475" t="s">
        <v>67</v>
      </c>
      <c r="J859" s="475" t="s">
        <v>140</v>
      </c>
      <c r="K859" s="365">
        <v>70.430000000000007</v>
      </c>
      <c r="L859" s="475" t="s">
        <v>141</v>
      </c>
      <c r="M859" s="473"/>
    </row>
    <row r="860" spans="1:13" ht="13.5">
      <c r="A860" s="475" t="s">
        <v>5284</v>
      </c>
      <c r="B860" s="475" t="s">
        <v>5285</v>
      </c>
      <c r="C860" s="475" t="s">
        <v>5290</v>
      </c>
      <c r="D860" s="475" t="s">
        <v>5291</v>
      </c>
      <c r="E860" s="476" t="s">
        <v>34</v>
      </c>
      <c r="F860" s="475" t="s">
        <v>34</v>
      </c>
      <c r="G860" s="364">
        <v>90679</v>
      </c>
      <c r="H860" s="475" t="s">
        <v>902</v>
      </c>
      <c r="I860" s="475" t="s">
        <v>67</v>
      </c>
      <c r="J860" s="475" t="s">
        <v>363</v>
      </c>
      <c r="K860" s="365">
        <v>67.709999999999994</v>
      </c>
      <c r="L860" s="475" t="s">
        <v>141</v>
      </c>
      <c r="M860" s="473"/>
    </row>
    <row r="861" spans="1:13" ht="13.5">
      <c r="A861" s="475" t="s">
        <v>5284</v>
      </c>
      <c r="B861" s="475" t="s">
        <v>5285</v>
      </c>
      <c r="C861" s="475" t="s">
        <v>5290</v>
      </c>
      <c r="D861" s="475" t="s">
        <v>5291</v>
      </c>
      <c r="E861" s="476" t="s">
        <v>34</v>
      </c>
      <c r="F861" s="475" t="s">
        <v>34</v>
      </c>
      <c r="G861" s="364">
        <v>90682</v>
      </c>
      <c r="H861" s="475" t="s">
        <v>903</v>
      </c>
      <c r="I861" s="475" t="s">
        <v>67</v>
      </c>
      <c r="J861" s="475" t="s">
        <v>140</v>
      </c>
      <c r="K861" s="365">
        <v>27.34</v>
      </c>
      <c r="L861" s="475" t="s">
        <v>141</v>
      </c>
      <c r="M861" s="473"/>
    </row>
    <row r="862" spans="1:13" ht="13.5">
      <c r="A862" s="475" t="s">
        <v>5284</v>
      </c>
      <c r="B862" s="475" t="s">
        <v>5285</v>
      </c>
      <c r="C862" s="475" t="s">
        <v>5290</v>
      </c>
      <c r="D862" s="475" t="s">
        <v>5291</v>
      </c>
      <c r="E862" s="476" t="s">
        <v>34</v>
      </c>
      <c r="F862" s="475" t="s">
        <v>34</v>
      </c>
      <c r="G862" s="364">
        <v>90683</v>
      </c>
      <c r="H862" s="475" t="s">
        <v>904</v>
      </c>
      <c r="I862" s="475" t="s">
        <v>67</v>
      </c>
      <c r="J862" s="475" t="s">
        <v>140</v>
      </c>
      <c r="K862" s="365">
        <v>6.15</v>
      </c>
      <c r="L862" s="475" t="s">
        <v>141</v>
      </c>
      <c r="M862" s="473"/>
    </row>
    <row r="863" spans="1:13" ht="13.5">
      <c r="A863" s="475" t="s">
        <v>5284</v>
      </c>
      <c r="B863" s="475" t="s">
        <v>5285</v>
      </c>
      <c r="C863" s="475" t="s">
        <v>5290</v>
      </c>
      <c r="D863" s="475" t="s">
        <v>5291</v>
      </c>
      <c r="E863" s="476" t="s">
        <v>34</v>
      </c>
      <c r="F863" s="475" t="s">
        <v>34</v>
      </c>
      <c r="G863" s="364">
        <v>90684</v>
      </c>
      <c r="H863" s="475" t="s">
        <v>905</v>
      </c>
      <c r="I863" s="475" t="s">
        <v>67</v>
      </c>
      <c r="J863" s="475" t="s">
        <v>140</v>
      </c>
      <c r="K863" s="365">
        <v>29.91</v>
      </c>
      <c r="L863" s="475" t="s">
        <v>141</v>
      </c>
      <c r="M863" s="473"/>
    </row>
    <row r="864" spans="1:13" ht="13.5">
      <c r="A864" s="475" t="s">
        <v>5284</v>
      </c>
      <c r="B864" s="475" t="s">
        <v>5285</v>
      </c>
      <c r="C864" s="475" t="s">
        <v>5290</v>
      </c>
      <c r="D864" s="475" t="s">
        <v>5291</v>
      </c>
      <c r="E864" s="476" t="s">
        <v>34</v>
      </c>
      <c r="F864" s="475" t="s">
        <v>34</v>
      </c>
      <c r="G864" s="364">
        <v>90685</v>
      </c>
      <c r="H864" s="475" t="s">
        <v>906</v>
      </c>
      <c r="I864" s="475" t="s">
        <v>67</v>
      </c>
      <c r="J864" s="475" t="s">
        <v>363</v>
      </c>
      <c r="K864" s="365">
        <v>41.98</v>
      </c>
      <c r="L864" s="475" t="s">
        <v>141</v>
      </c>
      <c r="M864" s="473"/>
    </row>
    <row r="865" spans="1:13" ht="13.5">
      <c r="A865" s="475" t="s">
        <v>5284</v>
      </c>
      <c r="B865" s="475" t="s">
        <v>5285</v>
      </c>
      <c r="C865" s="475" t="s">
        <v>5290</v>
      </c>
      <c r="D865" s="475" t="s">
        <v>5291</v>
      </c>
      <c r="E865" s="476" t="s">
        <v>34</v>
      </c>
      <c r="F865" s="475" t="s">
        <v>34</v>
      </c>
      <c r="G865" s="364">
        <v>90688</v>
      </c>
      <c r="H865" s="475" t="s">
        <v>907</v>
      </c>
      <c r="I865" s="475" t="s">
        <v>67</v>
      </c>
      <c r="J865" s="475" t="s">
        <v>140</v>
      </c>
      <c r="K865" s="365">
        <v>12.71</v>
      </c>
      <c r="L865" s="475" t="s">
        <v>141</v>
      </c>
      <c r="M865" s="473"/>
    </row>
    <row r="866" spans="1:13" ht="13.5">
      <c r="A866" s="475" t="s">
        <v>5284</v>
      </c>
      <c r="B866" s="475" t="s">
        <v>5285</v>
      </c>
      <c r="C866" s="475" t="s">
        <v>5290</v>
      </c>
      <c r="D866" s="475" t="s">
        <v>5291</v>
      </c>
      <c r="E866" s="476" t="s">
        <v>34</v>
      </c>
      <c r="F866" s="475" t="s">
        <v>34</v>
      </c>
      <c r="G866" s="364">
        <v>90689</v>
      </c>
      <c r="H866" s="475" t="s">
        <v>908</v>
      </c>
      <c r="I866" s="475" t="s">
        <v>67</v>
      </c>
      <c r="J866" s="475" t="s">
        <v>140</v>
      </c>
      <c r="K866" s="365">
        <v>2.44</v>
      </c>
      <c r="L866" s="475" t="s">
        <v>141</v>
      </c>
      <c r="M866" s="473"/>
    </row>
    <row r="867" spans="1:13" ht="13.5">
      <c r="A867" s="475" t="s">
        <v>5284</v>
      </c>
      <c r="B867" s="475" t="s">
        <v>5285</v>
      </c>
      <c r="C867" s="475" t="s">
        <v>5290</v>
      </c>
      <c r="D867" s="475" t="s">
        <v>5291</v>
      </c>
      <c r="E867" s="476" t="s">
        <v>34</v>
      </c>
      <c r="F867" s="475" t="s">
        <v>34</v>
      </c>
      <c r="G867" s="364">
        <v>90690</v>
      </c>
      <c r="H867" s="475" t="s">
        <v>909</v>
      </c>
      <c r="I867" s="475" t="s">
        <v>67</v>
      </c>
      <c r="J867" s="475" t="s">
        <v>140</v>
      </c>
      <c r="K867" s="365">
        <v>15.88</v>
      </c>
      <c r="L867" s="475" t="s">
        <v>141</v>
      </c>
      <c r="M867" s="473"/>
    </row>
    <row r="868" spans="1:13" ht="13.5">
      <c r="A868" s="475" t="s">
        <v>5284</v>
      </c>
      <c r="B868" s="475" t="s">
        <v>5285</v>
      </c>
      <c r="C868" s="475" t="s">
        <v>5290</v>
      </c>
      <c r="D868" s="475" t="s">
        <v>5291</v>
      </c>
      <c r="E868" s="476" t="s">
        <v>34</v>
      </c>
      <c r="F868" s="475" t="s">
        <v>34</v>
      </c>
      <c r="G868" s="364">
        <v>90691</v>
      </c>
      <c r="H868" s="475" t="s">
        <v>910</v>
      </c>
      <c r="I868" s="475" t="s">
        <v>67</v>
      </c>
      <c r="J868" s="475" t="s">
        <v>363</v>
      </c>
      <c r="K868" s="365">
        <v>23.22</v>
      </c>
      <c r="L868" s="475" t="s">
        <v>141</v>
      </c>
      <c r="M868" s="473"/>
    </row>
    <row r="869" spans="1:13" ht="13.5">
      <c r="A869" s="475" t="s">
        <v>5284</v>
      </c>
      <c r="B869" s="475" t="s">
        <v>5285</v>
      </c>
      <c r="C869" s="475" t="s">
        <v>5290</v>
      </c>
      <c r="D869" s="475" t="s">
        <v>5291</v>
      </c>
      <c r="E869" s="476" t="s">
        <v>34</v>
      </c>
      <c r="F869" s="475" t="s">
        <v>34</v>
      </c>
      <c r="G869" s="364">
        <v>90957</v>
      </c>
      <c r="H869" s="475" t="s">
        <v>911</v>
      </c>
      <c r="I869" s="475" t="s">
        <v>67</v>
      </c>
      <c r="J869" s="475" t="s">
        <v>140</v>
      </c>
      <c r="K869" s="365">
        <v>2.33</v>
      </c>
      <c r="L869" s="475" t="s">
        <v>141</v>
      </c>
      <c r="M869" s="473"/>
    </row>
    <row r="870" spans="1:13" ht="13.5">
      <c r="A870" s="475" t="s">
        <v>5284</v>
      </c>
      <c r="B870" s="475" t="s">
        <v>5285</v>
      </c>
      <c r="C870" s="475" t="s">
        <v>5290</v>
      </c>
      <c r="D870" s="475" t="s">
        <v>5291</v>
      </c>
      <c r="E870" s="476" t="s">
        <v>34</v>
      </c>
      <c r="F870" s="475" t="s">
        <v>34</v>
      </c>
      <c r="G870" s="364">
        <v>90958</v>
      </c>
      <c r="H870" s="475" t="s">
        <v>912</v>
      </c>
      <c r="I870" s="475" t="s">
        <v>67</v>
      </c>
      <c r="J870" s="475" t="s">
        <v>140</v>
      </c>
      <c r="K870" s="365">
        <v>0.61</v>
      </c>
      <c r="L870" s="475" t="s">
        <v>141</v>
      </c>
      <c r="M870" s="473"/>
    </row>
    <row r="871" spans="1:13" ht="13.5">
      <c r="A871" s="475" t="s">
        <v>5284</v>
      </c>
      <c r="B871" s="475" t="s">
        <v>5285</v>
      </c>
      <c r="C871" s="475" t="s">
        <v>5290</v>
      </c>
      <c r="D871" s="475" t="s">
        <v>5291</v>
      </c>
      <c r="E871" s="476" t="s">
        <v>34</v>
      </c>
      <c r="F871" s="475" t="s">
        <v>34</v>
      </c>
      <c r="G871" s="364">
        <v>90960</v>
      </c>
      <c r="H871" s="475" t="s">
        <v>913</v>
      </c>
      <c r="I871" s="475" t="s">
        <v>67</v>
      </c>
      <c r="J871" s="475" t="s">
        <v>140</v>
      </c>
      <c r="K871" s="365">
        <v>3.11</v>
      </c>
      <c r="L871" s="475" t="s">
        <v>141</v>
      </c>
      <c r="M871" s="473"/>
    </row>
    <row r="872" spans="1:13" ht="13.5">
      <c r="A872" s="475" t="s">
        <v>5284</v>
      </c>
      <c r="B872" s="475" t="s">
        <v>5285</v>
      </c>
      <c r="C872" s="475" t="s">
        <v>5290</v>
      </c>
      <c r="D872" s="475" t="s">
        <v>5291</v>
      </c>
      <c r="E872" s="476" t="s">
        <v>34</v>
      </c>
      <c r="F872" s="475" t="s">
        <v>34</v>
      </c>
      <c r="G872" s="364">
        <v>90961</v>
      </c>
      <c r="H872" s="475" t="s">
        <v>914</v>
      </c>
      <c r="I872" s="475" t="s">
        <v>67</v>
      </c>
      <c r="J872" s="475" t="s">
        <v>140</v>
      </c>
      <c r="K872" s="365">
        <v>0.81</v>
      </c>
      <c r="L872" s="475" t="s">
        <v>141</v>
      </c>
      <c r="M872" s="473"/>
    </row>
    <row r="873" spans="1:13" ht="13.5">
      <c r="A873" s="475" t="s">
        <v>5284</v>
      </c>
      <c r="B873" s="475" t="s">
        <v>5285</v>
      </c>
      <c r="C873" s="475" t="s">
        <v>5290</v>
      </c>
      <c r="D873" s="475" t="s">
        <v>5291</v>
      </c>
      <c r="E873" s="476" t="s">
        <v>34</v>
      </c>
      <c r="F873" s="475" t="s">
        <v>34</v>
      </c>
      <c r="G873" s="364">
        <v>90962</v>
      </c>
      <c r="H873" s="475" t="s">
        <v>915</v>
      </c>
      <c r="I873" s="475" t="s">
        <v>67</v>
      </c>
      <c r="J873" s="475" t="s">
        <v>140</v>
      </c>
      <c r="K873" s="365">
        <v>3.89</v>
      </c>
      <c r="L873" s="475" t="s">
        <v>141</v>
      </c>
      <c r="M873" s="473"/>
    </row>
    <row r="874" spans="1:13" ht="13.5">
      <c r="A874" s="475" t="s">
        <v>5284</v>
      </c>
      <c r="B874" s="475" t="s">
        <v>5285</v>
      </c>
      <c r="C874" s="475" t="s">
        <v>5290</v>
      </c>
      <c r="D874" s="475" t="s">
        <v>5291</v>
      </c>
      <c r="E874" s="476" t="s">
        <v>34</v>
      </c>
      <c r="F874" s="475" t="s">
        <v>34</v>
      </c>
      <c r="G874" s="364">
        <v>90963</v>
      </c>
      <c r="H874" s="475" t="s">
        <v>916</v>
      </c>
      <c r="I874" s="475" t="s">
        <v>67</v>
      </c>
      <c r="J874" s="475" t="s">
        <v>363</v>
      </c>
      <c r="K874" s="365">
        <v>9.75</v>
      </c>
      <c r="L874" s="475" t="s">
        <v>141</v>
      </c>
      <c r="M874" s="473"/>
    </row>
    <row r="875" spans="1:13" ht="13.5">
      <c r="A875" s="475" t="s">
        <v>5284</v>
      </c>
      <c r="B875" s="475" t="s">
        <v>5285</v>
      </c>
      <c r="C875" s="475" t="s">
        <v>5290</v>
      </c>
      <c r="D875" s="475" t="s">
        <v>5291</v>
      </c>
      <c r="E875" s="476" t="s">
        <v>34</v>
      </c>
      <c r="F875" s="475" t="s">
        <v>34</v>
      </c>
      <c r="G875" s="364">
        <v>90968</v>
      </c>
      <c r="H875" s="475" t="s">
        <v>917</v>
      </c>
      <c r="I875" s="475" t="s">
        <v>67</v>
      </c>
      <c r="J875" s="475" t="s">
        <v>140</v>
      </c>
      <c r="K875" s="365">
        <v>3.12</v>
      </c>
      <c r="L875" s="475" t="s">
        <v>141</v>
      </c>
      <c r="M875" s="473"/>
    </row>
    <row r="876" spans="1:13" ht="13.5">
      <c r="A876" s="475" t="s">
        <v>5284</v>
      </c>
      <c r="B876" s="475" t="s">
        <v>5285</v>
      </c>
      <c r="C876" s="475" t="s">
        <v>5290</v>
      </c>
      <c r="D876" s="475" t="s">
        <v>5291</v>
      </c>
      <c r="E876" s="476" t="s">
        <v>34</v>
      </c>
      <c r="F876" s="475" t="s">
        <v>34</v>
      </c>
      <c r="G876" s="364">
        <v>90969</v>
      </c>
      <c r="H876" s="475" t="s">
        <v>918</v>
      </c>
      <c r="I876" s="475" t="s">
        <v>67</v>
      </c>
      <c r="J876" s="475" t="s">
        <v>140</v>
      </c>
      <c r="K876" s="365">
        <v>0.82</v>
      </c>
      <c r="L876" s="475" t="s">
        <v>141</v>
      </c>
      <c r="M876" s="473"/>
    </row>
    <row r="877" spans="1:13" ht="13.5">
      <c r="A877" s="475" t="s">
        <v>5284</v>
      </c>
      <c r="B877" s="475" t="s">
        <v>5285</v>
      </c>
      <c r="C877" s="475" t="s">
        <v>5290</v>
      </c>
      <c r="D877" s="475" t="s">
        <v>5291</v>
      </c>
      <c r="E877" s="476" t="s">
        <v>34</v>
      </c>
      <c r="F877" s="475" t="s">
        <v>34</v>
      </c>
      <c r="G877" s="364">
        <v>90970</v>
      </c>
      <c r="H877" s="475" t="s">
        <v>919</v>
      </c>
      <c r="I877" s="475" t="s">
        <v>67</v>
      </c>
      <c r="J877" s="475" t="s">
        <v>140</v>
      </c>
      <c r="K877" s="365">
        <v>3.91</v>
      </c>
      <c r="L877" s="475" t="s">
        <v>141</v>
      </c>
      <c r="M877" s="473"/>
    </row>
    <row r="878" spans="1:13" ht="13.5">
      <c r="A878" s="475" t="s">
        <v>5284</v>
      </c>
      <c r="B878" s="475" t="s">
        <v>5285</v>
      </c>
      <c r="C878" s="475" t="s">
        <v>5290</v>
      </c>
      <c r="D878" s="475" t="s">
        <v>5291</v>
      </c>
      <c r="E878" s="476" t="s">
        <v>34</v>
      </c>
      <c r="F878" s="475" t="s">
        <v>34</v>
      </c>
      <c r="G878" s="364">
        <v>90971</v>
      </c>
      <c r="H878" s="475" t="s">
        <v>920</v>
      </c>
      <c r="I878" s="475" t="s">
        <v>67</v>
      </c>
      <c r="J878" s="475" t="s">
        <v>363</v>
      </c>
      <c r="K878" s="365">
        <v>39.479999999999997</v>
      </c>
      <c r="L878" s="475" t="s">
        <v>141</v>
      </c>
      <c r="M878" s="473"/>
    </row>
    <row r="879" spans="1:13" ht="13.5">
      <c r="A879" s="475" t="s">
        <v>5284</v>
      </c>
      <c r="B879" s="475" t="s">
        <v>5285</v>
      </c>
      <c r="C879" s="475" t="s">
        <v>5290</v>
      </c>
      <c r="D879" s="475" t="s">
        <v>5291</v>
      </c>
      <c r="E879" s="476" t="s">
        <v>34</v>
      </c>
      <c r="F879" s="475" t="s">
        <v>34</v>
      </c>
      <c r="G879" s="364">
        <v>90975</v>
      </c>
      <c r="H879" s="475" t="s">
        <v>921</v>
      </c>
      <c r="I879" s="475" t="s">
        <v>67</v>
      </c>
      <c r="J879" s="475" t="s">
        <v>140</v>
      </c>
      <c r="K879" s="365">
        <v>7.93</v>
      </c>
      <c r="L879" s="475" t="s">
        <v>141</v>
      </c>
      <c r="M879" s="473"/>
    </row>
    <row r="880" spans="1:13" ht="13.5">
      <c r="A880" s="475" t="s">
        <v>5284</v>
      </c>
      <c r="B880" s="475" t="s">
        <v>5285</v>
      </c>
      <c r="C880" s="475" t="s">
        <v>5290</v>
      </c>
      <c r="D880" s="475" t="s">
        <v>5291</v>
      </c>
      <c r="E880" s="476" t="s">
        <v>34</v>
      </c>
      <c r="F880" s="475" t="s">
        <v>34</v>
      </c>
      <c r="G880" s="364">
        <v>90976</v>
      </c>
      <c r="H880" s="475" t="s">
        <v>922</v>
      </c>
      <c r="I880" s="475" t="s">
        <v>67</v>
      </c>
      <c r="J880" s="475" t="s">
        <v>140</v>
      </c>
      <c r="K880" s="365">
        <v>2.08</v>
      </c>
      <c r="L880" s="475" t="s">
        <v>141</v>
      </c>
      <c r="M880" s="473"/>
    </row>
    <row r="881" spans="1:13" ht="13.5">
      <c r="A881" s="475" t="s">
        <v>5284</v>
      </c>
      <c r="B881" s="475" t="s">
        <v>5285</v>
      </c>
      <c r="C881" s="475" t="s">
        <v>5290</v>
      </c>
      <c r="D881" s="475" t="s">
        <v>5291</v>
      </c>
      <c r="E881" s="476" t="s">
        <v>34</v>
      </c>
      <c r="F881" s="475" t="s">
        <v>34</v>
      </c>
      <c r="G881" s="364">
        <v>90977</v>
      </c>
      <c r="H881" s="475" t="s">
        <v>923</v>
      </c>
      <c r="I881" s="475" t="s">
        <v>67</v>
      </c>
      <c r="J881" s="475" t="s">
        <v>140</v>
      </c>
      <c r="K881" s="365">
        <v>9.92</v>
      </c>
      <c r="L881" s="475" t="s">
        <v>141</v>
      </c>
      <c r="M881" s="473"/>
    </row>
    <row r="882" spans="1:13" ht="13.5">
      <c r="A882" s="475" t="s">
        <v>5284</v>
      </c>
      <c r="B882" s="475" t="s">
        <v>5285</v>
      </c>
      <c r="C882" s="475" t="s">
        <v>5290</v>
      </c>
      <c r="D882" s="475" t="s">
        <v>5291</v>
      </c>
      <c r="E882" s="476" t="s">
        <v>34</v>
      </c>
      <c r="F882" s="475" t="s">
        <v>34</v>
      </c>
      <c r="G882" s="364">
        <v>90978</v>
      </c>
      <c r="H882" s="475" t="s">
        <v>924</v>
      </c>
      <c r="I882" s="475" t="s">
        <v>67</v>
      </c>
      <c r="J882" s="475" t="s">
        <v>363</v>
      </c>
      <c r="K882" s="365">
        <v>102.37</v>
      </c>
      <c r="L882" s="475" t="s">
        <v>141</v>
      </c>
      <c r="M882" s="473"/>
    </row>
    <row r="883" spans="1:13" ht="13.5">
      <c r="A883" s="475" t="s">
        <v>5284</v>
      </c>
      <c r="B883" s="475" t="s">
        <v>5285</v>
      </c>
      <c r="C883" s="475" t="s">
        <v>5290</v>
      </c>
      <c r="D883" s="475" t="s">
        <v>5291</v>
      </c>
      <c r="E883" s="476" t="s">
        <v>34</v>
      </c>
      <c r="F883" s="475" t="s">
        <v>34</v>
      </c>
      <c r="G883" s="364">
        <v>90992</v>
      </c>
      <c r="H883" s="475" t="s">
        <v>925</v>
      </c>
      <c r="I883" s="475" t="s">
        <v>67</v>
      </c>
      <c r="J883" s="475" t="s">
        <v>140</v>
      </c>
      <c r="K883" s="365">
        <v>3.7</v>
      </c>
      <c r="L883" s="475" t="s">
        <v>141</v>
      </c>
      <c r="M883" s="473"/>
    </row>
    <row r="884" spans="1:13" ht="13.5">
      <c r="A884" s="475" t="s">
        <v>5284</v>
      </c>
      <c r="B884" s="475" t="s">
        <v>5285</v>
      </c>
      <c r="C884" s="475" t="s">
        <v>5290</v>
      </c>
      <c r="D884" s="475" t="s">
        <v>5291</v>
      </c>
      <c r="E884" s="476" t="s">
        <v>34</v>
      </c>
      <c r="F884" s="475" t="s">
        <v>34</v>
      </c>
      <c r="G884" s="364">
        <v>90993</v>
      </c>
      <c r="H884" s="475" t="s">
        <v>926</v>
      </c>
      <c r="I884" s="475" t="s">
        <v>67</v>
      </c>
      <c r="J884" s="475" t="s">
        <v>140</v>
      </c>
      <c r="K884" s="365">
        <v>0.97</v>
      </c>
      <c r="L884" s="475" t="s">
        <v>141</v>
      </c>
      <c r="M884" s="473"/>
    </row>
    <row r="885" spans="1:13" ht="13.5">
      <c r="A885" s="475" t="s">
        <v>5284</v>
      </c>
      <c r="B885" s="475" t="s">
        <v>5285</v>
      </c>
      <c r="C885" s="475" t="s">
        <v>5290</v>
      </c>
      <c r="D885" s="475" t="s">
        <v>5291</v>
      </c>
      <c r="E885" s="476" t="s">
        <v>34</v>
      </c>
      <c r="F885" s="475" t="s">
        <v>34</v>
      </c>
      <c r="G885" s="364">
        <v>90994</v>
      </c>
      <c r="H885" s="475" t="s">
        <v>927</v>
      </c>
      <c r="I885" s="475" t="s">
        <v>67</v>
      </c>
      <c r="J885" s="475" t="s">
        <v>140</v>
      </c>
      <c r="K885" s="365">
        <v>4.63</v>
      </c>
      <c r="L885" s="475" t="s">
        <v>141</v>
      </c>
      <c r="M885" s="473"/>
    </row>
    <row r="886" spans="1:13" ht="13.5">
      <c r="A886" s="475" t="s">
        <v>5284</v>
      </c>
      <c r="B886" s="475" t="s">
        <v>5285</v>
      </c>
      <c r="C886" s="475" t="s">
        <v>5290</v>
      </c>
      <c r="D886" s="475" t="s">
        <v>5291</v>
      </c>
      <c r="E886" s="476" t="s">
        <v>34</v>
      </c>
      <c r="F886" s="475" t="s">
        <v>34</v>
      </c>
      <c r="G886" s="364">
        <v>90995</v>
      </c>
      <c r="H886" s="475" t="s">
        <v>928</v>
      </c>
      <c r="I886" s="475" t="s">
        <v>67</v>
      </c>
      <c r="J886" s="475" t="s">
        <v>363</v>
      </c>
      <c r="K886" s="365">
        <v>53.61</v>
      </c>
      <c r="L886" s="475" t="s">
        <v>141</v>
      </c>
      <c r="M886" s="473"/>
    </row>
    <row r="887" spans="1:13" ht="13.5">
      <c r="A887" s="475" t="s">
        <v>5284</v>
      </c>
      <c r="B887" s="475" t="s">
        <v>5285</v>
      </c>
      <c r="C887" s="475" t="s">
        <v>5290</v>
      </c>
      <c r="D887" s="475" t="s">
        <v>5291</v>
      </c>
      <c r="E887" s="476" t="s">
        <v>34</v>
      </c>
      <c r="F887" s="475" t="s">
        <v>34</v>
      </c>
      <c r="G887" s="364">
        <v>91021</v>
      </c>
      <c r="H887" s="475" t="s">
        <v>929</v>
      </c>
      <c r="I887" s="475" t="s">
        <v>67</v>
      </c>
      <c r="J887" s="475" t="s">
        <v>140</v>
      </c>
      <c r="K887" s="365">
        <v>3.05</v>
      </c>
      <c r="L887" s="475" t="s">
        <v>141</v>
      </c>
      <c r="M887" s="473"/>
    </row>
    <row r="888" spans="1:13" ht="13.5">
      <c r="A888" s="475" t="s">
        <v>5284</v>
      </c>
      <c r="B888" s="475" t="s">
        <v>5285</v>
      </c>
      <c r="C888" s="475" t="s">
        <v>5290</v>
      </c>
      <c r="D888" s="475" t="s">
        <v>5291</v>
      </c>
      <c r="E888" s="476" t="s">
        <v>34</v>
      </c>
      <c r="F888" s="475" t="s">
        <v>34</v>
      </c>
      <c r="G888" s="364">
        <v>91026</v>
      </c>
      <c r="H888" s="475" t="s">
        <v>930</v>
      </c>
      <c r="I888" s="475" t="s">
        <v>67</v>
      </c>
      <c r="J888" s="475" t="s">
        <v>140</v>
      </c>
      <c r="K888" s="365">
        <v>10.66</v>
      </c>
      <c r="L888" s="475" t="s">
        <v>141</v>
      </c>
      <c r="M888" s="473"/>
    </row>
    <row r="889" spans="1:13" ht="13.5">
      <c r="A889" s="475" t="s">
        <v>5284</v>
      </c>
      <c r="B889" s="475" t="s">
        <v>5285</v>
      </c>
      <c r="C889" s="475" t="s">
        <v>5290</v>
      </c>
      <c r="D889" s="475" t="s">
        <v>5291</v>
      </c>
      <c r="E889" s="476" t="s">
        <v>34</v>
      </c>
      <c r="F889" s="475" t="s">
        <v>34</v>
      </c>
      <c r="G889" s="364">
        <v>91027</v>
      </c>
      <c r="H889" s="475" t="s">
        <v>931</v>
      </c>
      <c r="I889" s="475" t="s">
        <v>67</v>
      </c>
      <c r="J889" s="475" t="s">
        <v>140</v>
      </c>
      <c r="K889" s="365">
        <v>4.25</v>
      </c>
      <c r="L889" s="475" t="s">
        <v>141</v>
      </c>
      <c r="M889" s="473"/>
    </row>
    <row r="890" spans="1:13" ht="13.5">
      <c r="A890" s="475" t="s">
        <v>5284</v>
      </c>
      <c r="B890" s="475" t="s">
        <v>5285</v>
      </c>
      <c r="C890" s="475" t="s">
        <v>5290</v>
      </c>
      <c r="D890" s="475" t="s">
        <v>5291</v>
      </c>
      <c r="E890" s="476" t="s">
        <v>34</v>
      </c>
      <c r="F890" s="475" t="s">
        <v>34</v>
      </c>
      <c r="G890" s="364">
        <v>91028</v>
      </c>
      <c r="H890" s="475" t="s">
        <v>932</v>
      </c>
      <c r="I890" s="475" t="s">
        <v>67</v>
      </c>
      <c r="J890" s="475" t="s">
        <v>140</v>
      </c>
      <c r="K890" s="365">
        <v>0.86</v>
      </c>
      <c r="L890" s="475" t="s">
        <v>141</v>
      </c>
      <c r="M890" s="473"/>
    </row>
    <row r="891" spans="1:13" ht="13.5">
      <c r="A891" s="475" t="s">
        <v>5284</v>
      </c>
      <c r="B891" s="475" t="s">
        <v>5285</v>
      </c>
      <c r="C891" s="475" t="s">
        <v>5290</v>
      </c>
      <c r="D891" s="475" t="s">
        <v>5291</v>
      </c>
      <c r="E891" s="476" t="s">
        <v>34</v>
      </c>
      <c r="F891" s="475" t="s">
        <v>34</v>
      </c>
      <c r="G891" s="364">
        <v>91029</v>
      </c>
      <c r="H891" s="475" t="s">
        <v>933</v>
      </c>
      <c r="I891" s="475" t="s">
        <v>67</v>
      </c>
      <c r="J891" s="475" t="s">
        <v>140</v>
      </c>
      <c r="K891" s="365">
        <v>19.989999999999998</v>
      </c>
      <c r="L891" s="475" t="s">
        <v>141</v>
      </c>
      <c r="M891" s="473"/>
    </row>
    <row r="892" spans="1:13" ht="13.5">
      <c r="A892" s="475" t="s">
        <v>5284</v>
      </c>
      <c r="B892" s="475" t="s">
        <v>5285</v>
      </c>
      <c r="C892" s="475" t="s">
        <v>5290</v>
      </c>
      <c r="D892" s="475" t="s">
        <v>5291</v>
      </c>
      <c r="E892" s="476" t="s">
        <v>34</v>
      </c>
      <c r="F892" s="475" t="s">
        <v>34</v>
      </c>
      <c r="G892" s="364">
        <v>91030</v>
      </c>
      <c r="H892" s="475" t="s">
        <v>934</v>
      </c>
      <c r="I892" s="475" t="s">
        <v>67</v>
      </c>
      <c r="J892" s="475" t="s">
        <v>363</v>
      </c>
      <c r="K892" s="365">
        <v>112.6</v>
      </c>
      <c r="L892" s="475" t="s">
        <v>141</v>
      </c>
      <c r="M892" s="473"/>
    </row>
    <row r="893" spans="1:13" ht="13.5">
      <c r="A893" s="475" t="s">
        <v>5284</v>
      </c>
      <c r="B893" s="475" t="s">
        <v>5285</v>
      </c>
      <c r="C893" s="475" t="s">
        <v>5290</v>
      </c>
      <c r="D893" s="475" t="s">
        <v>5291</v>
      </c>
      <c r="E893" s="476" t="s">
        <v>34</v>
      </c>
      <c r="F893" s="475" t="s">
        <v>34</v>
      </c>
      <c r="G893" s="364">
        <v>91273</v>
      </c>
      <c r="H893" s="475" t="s">
        <v>935</v>
      </c>
      <c r="I893" s="475" t="s">
        <v>67</v>
      </c>
      <c r="J893" s="475" t="s">
        <v>337</v>
      </c>
      <c r="K893" s="365">
        <v>0.49</v>
      </c>
      <c r="L893" s="475" t="s">
        <v>141</v>
      </c>
      <c r="M893" s="473"/>
    </row>
    <row r="894" spans="1:13" ht="13.5">
      <c r="A894" s="475" t="s">
        <v>5284</v>
      </c>
      <c r="B894" s="475" t="s">
        <v>5285</v>
      </c>
      <c r="C894" s="475" t="s">
        <v>5290</v>
      </c>
      <c r="D894" s="475" t="s">
        <v>5291</v>
      </c>
      <c r="E894" s="476" t="s">
        <v>34</v>
      </c>
      <c r="F894" s="475" t="s">
        <v>34</v>
      </c>
      <c r="G894" s="364">
        <v>91274</v>
      </c>
      <c r="H894" s="475" t="s">
        <v>936</v>
      </c>
      <c r="I894" s="475" t="s">
        <v>67</v>
      </c>
      <c r="J894" s="475" t="s">
        <v>337</v>
      </c>
      <c r="K894" s="365">
        <v>0.12</v>
      </c>
      <c r="L894" s="475" t="s">
        <v>141</v>
      </c>
      <c r="M894" s="473"/>
    </row>
    <row r="895" spans="1:13" ht="13.5">
      <c r="A895" s="475" t="s">
        <v>5284</v>
      </c>
      <c r="B895" s="475" t="s">
        <v>5285</v>
      </c>
      <c r="C895" s="475" t="s">
        <v>5290</v>
      </c>
      <c r="D895" s="475" t="s">
        <v>5291</v>
      </c>
      <c r="E895" s="476" t="s">
        <v>34</v>
      </c>
      <c r="F895" s="475" t="s">
        <v>34</v>
      </c>
      <c r="G895" s="364">
        <v>91275</v>
      </c>
      <c r="H895" s="475" t="s">
        <v>937</v>
      </c>
      <c r="I895" s="475" t="s">
        <v>67</v>
      </c>
      <c r="J895" s="475" t="s">
        <v>337</v>
      </c>
      <c r="K895" s="365">
        <v>0.61</v>
      </c>
      <c r="L895" s="475" t="s">
        <v>141</v>
      </c>
      <c r="M895" s="473"/>
    </row>
    <row r="896" spans="1:13" ht="13.5">
      <c r="A896" s="475" t="s">
        <v>5284</v>
      </c>
      <c r="B896" s="475" t="s">
        <v>5285</v>
      </c>
      <c r="C896" s="475" t="s">
        <v>5290</v>
      </c>
      <c r="D896" s="475" t="s">
        <v>5291</v>
      </c>
      <c r="E896" s="476" t="s">
        <v>34</v>
      </c>
      <c r="F896" s="475" t="s">
        <v>34</v>
      </c>
      <c r="G896" s="364">
        <v>91276</v>
      </c>
      <c r="H896" s="475" t="s">
        <v>938</v>
      </c>
      <c r="I896" s="475" t="s">
        <v>67</v>
      </c>
      <c r="J896" s="475" t="s">
        <v>363</v>
      </c>
      <c r="K896" s="365">
        <v>3.39</v>
      </c>
      <c r="L896" s="475" t="s">
        <v>141</v>
      </c>
      <c r="M896" s="473"/>
    </row>
    <row r="897" spans="1:13" ht="13.5">
      <c r="A897" s="475" t="s">
        <v>5284</v>
      </c>
      <c r="B897" s="475" t="s">
        <v>5285</v>
      </c>
      <c r="C897" s="475" t="s">
        <v>5290</v>
      </c>
      <c r="D897" s="475" t="s">
        <v>5291</v>
      </c>
      <c r="E897" s="476" t="s">
        <v>34</v>
      </c>
      <c r="F897" s="475" t="s">
        <v>34</v>
      </c>
      <c r="G897" s="364">
        <v>91279</v>
      </c>
      <c r="H897" s="475" t="s">
        <v>939</v>
      </c>
      <c r="I897" s="475" t="s">
        <v>67</v>
      </c>
      <c r="J897" s="475" t="s">
        <v>337</v>
      </c>
      <c r="K897" s="365">
        <v>0.56000000000000005</v>
      </c>
      <c r="L897" s="475" t="s">
        <v>141</v>
      </c>
      <c r="M897" s="473"/>
    </row>
    <row r="898" spans="1:13" ht="13.5">
      <c r="A898" s="475" t="s">
        <v>5284</v>
      </c>
      <c r="B898" s="475" t="s">
        <v>5285</v>
      </c>
      <c r="C898" s="475" t="s">
        <v>5290</v>
      </c>
      <c r="D898" s="475" t="s">
        <v>5291</v>
      </c>
      <c r="E898" s="476" t="s">
        <v>34</v>
      </c>
      <c r="F898" s="475" t="s">
        <v>34</v>
      </c>
      <c r="G898" s="364">
        <v>91280</v>
      </c>
      <c r="H898" s="475" t="s">
        <v>940</v>
      </c>
      <c r="I898" s="475" t="s">
        <v>67</v>
      </c>
      <c r="J898" s="475" t="s">
        <v>337</v>
      </c>
      <c r="K898" s="365">
        <v>0.11</v>
      </c>
      <c r="L898" s="475" t="s">
        <v>141</v>
      </c>
      <c r="M898" s="473"/>
    </row>
    <row r="899" spans="1:13" ht="13.5">
      <c r="A899" s="475" t="s">
        <v>5284</v>
      </c>
      <c r="B899" s="475" t="s">
        <v>5285</v>
      </c>
      <c r="C899" s="475" t="s">
        <v>5290</v>
      </c>
      <c r="D899" s="475" t="s">
        <v>5291</v>
      </c>
      <c r="E899" s="476" t="s">
        <v>34</v>
      </c>
      <c r="F899" s="475" t="s">
        <v>34</v>
      </c>
      <c r="G899" s="364">
        <v>91281</v>
      </c>
      <c r="H899" s="475" t="s">
        <v>941</v>
      </c>
      <c r="I899" s="475" t="s">
        <v>67</v>
      </c>
      <c r="J899" s="475" t="s">
        <v>337</v>
      </c>
      <c r="K899" s="365">
        <v>0.7</v>
      </c>
      <c r="L899" s="475" t="s">
        <v>141</v>
      </c>
      <c r="M899" s="473"/>
    </row>
    <row r="900" spans="1:13" ht="13.5">
      <c r="A900" s="475" t="s">
        <v>5284</v>
      </c>
      <c r="B900" s="475" t="s">
        <v>5285</v>
      </c>
      <c r="C900" s="475" t="s">
        <v>5290</v>
      </c>
      <c r="D900" s="475" t="s">
        <v>5291</v>
      </c>
      <c r="E900" s="476" t="s">
        <v>34</v>
      </c>
      <c r="F900" s="475" t="s">
        <v>34</v>
      </c>
      <c r="G900" s="364">
        <v>91282</v>
      </c>
      <c r="H900" s="475" t="s">
        <v>942</v>
      </c>
      <c r="I900" s="475" t="s">
        <v>67</v>
      </c>
      <c r="J900" s="475" t="s">
        <v>363</v>
      </c>
      <c r="K900" s="365">
        <v>8.1199999999999992</v>
      </c>
      <c r="L900" s="475" t="s">
        <v>141</v>
      </c>
      <c r="M900" s="473"/>
    </row>
    <row r="901" spans="1:13" ht="13.5">
      <c r="A901" s="475" t="s">
        <v>5284</v>
      </c>
      <c r="B901" s="475" t="s">
        <v>5285</v>
      </c>
      <c r="C901" s="475" t="s">
        <v>5290</v>
      </c>
      <c r="D901" s="475" t="s">
        <v>5291</v>
      </c>
      <c r="E901" s="476" t="s">
        <v>34</v>
      </c>
      <c r="F901" s="475" t="s">
        <v>34</v>
      </c>
      <c r="G901" s="364">
        <v>91354</v>
      </c>
      <c r="H901" s="475" t="s">
        <v>943</v>
      </c>
      <c r="I901" s="475" t="s">
        <v>67</v>
      </c>
      <c r="J901" s="475" t="s">
        <v>140</v>
      </c>
      <c r="K901" s="365">
        <v>8.2899999999999991</v>
      </c>
      <c r="L901" s="475" t="s">
        <v>141</v>
      </c>
      <c r="M901" s="473"/>
    </row>
    <row r="902" spans="1:13" ht="13.5">
      <c r="A902" s="475" t="s">
        <v>5284</v>
      </c>
      <c r="B902" s="475" t="s">
        <v>5285</v>
      </c>
      <c r="C902" s="475" t="s">
        <v>5290</v>
      </c>
      <c r="D902" s="475" t="s">
        <v>5291</v>
      </c>
      <c r="E902" s="476" t="s">
        <v>34</v>
      </c>
      <c r="F902" s="475" t="s">
        <v>34</v>
      </c>
      <c r="G902" s="364">
        <v>91355</v>
      </c>
      <c r="H902" s="475" t="s">
        <v>944</v>
      </c>
      <c r="I902" s="475" t="s">
        <v>67</v>
      </c>
      <c r="J902" s="475" t="s">
        <v>140</v>
      </c>
      <c r="K902" s="365">
        <v>3.31</v>
      </c>
      <c r="L902" s="475" t="s">
        <v>141</v>
      </c>
      <c r="M902" s="473"/>
    </row>
    <row r="903" spans="1:13" ht="13.5">
      <c r="A903" s="475" t="s">
        <v>5284</v>
      </c>
      <c r="B903" s="475" t="s">
        <v>5285</v>
      </c>
      <c r="C903" s="475" t="s">
        <v>5290</v>
      </c>
      <c r="D903" s="475" t="s">
        <v>5291</v>
      </c>
      <c r="E903" s="476" t="s">
        <v>34</v>
      </c>
      <c r="F903" s="475" t="s">
        <v>34</v>
      </c>
      <c r="G903" s="364">
        <v>91356</v>
      </c>
      <c r="H903" s="475" t="s">
        <v>945</v>
      </c>
      <c r="I903" s="475" t="s">
        <v>67</v>
      </c>
      <c r="J903" s="475" t="s">
        <v>140</v>
      </c>
      <c r="K903" s="365">
        <v>0.67</v>
      </c>
      <c r="L903" s="475" t="s">
        <v>141</v>
      </c>
      <c r="M903" s="473"/>
    </row>
    <row r="904" spans="1:13" ht="13.5">
      <c r="A904" s="475" t="s">
        <v>5284</v>
      </c>
      <c r="B904" s="475" t="s">
        <v>5285</v>
      </c>
      <c r="C904" s="475" t="s">
        <v>5290</v>
      </c>
      <c r="D904" s="475" t="s">
        <v>5291</v>
      </c>
      <c r="E904" s="476" t="s">
        <v>34</v>
      </c>
      <c r="F904" s="475" t="s">
        <v>34</v>
      </c>
      <c r="G904" s="364">
        <v>91359</v>
      </c>
      <c r="H904" s="475" t="s">
        <v>946</v>
      </c>
      <c r="I904" s="475" t="s">
        <v>67</v>
      </c>
      <c r="J904" s="475" t="s">
        <v>140</v>
      </c>
      <c r="K904" s="365">
        <v>9.3699999999999992</v>
      </c>
      <c r="L904" s="475" t="s">
        <v>141</v>
      </c>
      <c r="M904" s="473"/>
    </row>
    <row r="905" spans="1:13" ht="13.5">
      <c r="A905" s="475" t="s">
        <v>5284</v>
      </c>
      <c r="B905" s="475" t="s">
        <v>5285</v>
      </c>
      <c r="C905" s="475" t="s">
        <v>5290</v>
      </c>
      <c r="D905" s="475" t="s">
        <v>5291</v>
      </c>
      <c r="E905" s="476" t="s">
        <v>34</v>
      </c>
      <c r="F905" s="475" t="s">
        <v>34</v>
      </c>
      <c r="G905" s="364">
        <v>91360</v>
      </c>
      <c r="H905" s="475" t="s">
        <v>947</v>
      </c>
      <c r="I905" s="475" t="s">
        <v>67</v>
      </c>
      <c r="J905" s="475" t="s">
        <v>140</v>
      </c>
      <c r="K905" s="365">
        <v>3.74</v>
      </c>
      <c r="L905" s="475" t="s">
        <v>141</v>
      </c>
      <c r="M905" s="473"/>
    </row>
    <row r="906" spans="1:13" ht="13.5">
      <c r="A906" s="475" t="s">
        <v>5284</v>
      </c>
      <c r="B906" s="475" t="s">
        <v>5285</v>
      </c>
      <c r="C906" s="475" t="s">
        <v>5290</v>
      </c>
      <c r="D906" s="475" t="s">
        <v>5291</v>
      </c>
      <c r="E906" s="476" t="s">
        <v>34</v>
      </c>
      <c r="F906" s="475" t="s">
        <v>34</v>
      </c>
      <c r="G906" s="364">
        <v>91361</v>
      </c>
      <c r="H906" s="475" t="s">
        <v>948</v>
      </c>
      <c r="I906" s="475" t="s">
        <v>67</v>
      </c>
      <c r="J906" s="475" t="s">
        <v>140</v>
      </c>
      <c r="K906" s="365">
        <v>0.75</v>
      </c>
      <c r="L906" s="475" t="s">
        <v>141</v>
      </c>
      <c r="M906" s="473"/>
    </row>
    <row r="907" spans="1:13" ht="13.5">
      <c r="A907" s="475" t="s">
        <v>5284</v>
      </c>
      <c r="B907" s="475" t="s">
        <v>5285</v>
      </c>
      <c r="C907" s="475" t="s">
        <v>5290</v>
      </c>
      <c r="D907" s="475" t="s">
        <v>5291</v>
      </c>
      <c r="E907" s="476" t="s">
        <v>34</v>
      </c>
      <c r="F907" s="475" t="s">
        <v>34</v>
      </c>
      <c r="G907" s="364">
        <v>91367</v>
      </c>
      <c r="H907" s="475" t="s">
        <v>949</v>
      </c>
      <c r="I907" s="475" t="s">
        <v>67</v>
      </c>
      <c r="J907" s="475" t="s">
        <v>140</v>
      </c>
      <c r="K907" s="365">
        <v>12.09</v>
      </c>
      <c r="L907" s="475" t="s">
        <v>141</v>
      </c>
      <c r="M907" s="473"/>
    </row>
    <row r="908" spans="1:13" ht="13.5">
      <c r="A908" s="475" t="s">
        <v>5284</v>
      </c>
      <c r="B908" s="475" t="s">
        <v>5285</v>
      </c>
      <c r="C908" s="475" t="s">
        <v>5290</v>
      </c>
      <c r="D908" s="475" t="s">
        <v>5291</v>
      </c>
      <c r="E908" s="476" t="s">
        <v>34</v>
      </c>
      <c r="F908" s="475" t="s">
        <v>34</v>
      </c>
      <c r="G908" s="364">
        <v>91368</v>
      </c>
      <c r="H908" s="475" t="s">
        <v>950</v>
      </c>
      <c r="I908" s="475" t="s">
        <v>67</v>
      </c>
      <c r="J908" s="475" t="s">
        <v>140</v>
      </c>
      <c r="K908" s="365">
        <v>4.22</v>
      </c>
      <c r="L908" s="475" t="s">
        <v>141</v>
      </c>
      <c r="M908" s="473"/>
    </row>
    <row r="909" spans="1:13" ht="13.5">
      <c r="A909" s="475" t="s">
        <v>5284</v>
      </c>
      <c r="B909" s="475" t="s">
        <v>5285</v>
      </c>
      <c r="C909" s="475" t="s">
        <v>5290</v>
      </c>
      <c r="D909" s="475" t="s">
        <v>5291</v>
      </c>
      <c r="E909" s="476" t="s">
        <v>34</v>
      </c>
      <c r="F909" s="475" t="s">
        <v>34</v>
      </c>
      <c r="G909" s="364">
        <v>91369</v>
      </c>
      <c r="H909" s="475" t="s">
        <v>951</v>
      </c>
      <c r="I909" s="475" t="s">
        <v>67</v>
      </c>
      <c r="J909" s="475" t="s">
        <v>140</v>
      </c>
      <c r="K909" s="365">
        <v>0.86</v>
      </c>
      <c r="L909" s="475" t="s">
        <v>141</v>
      </c>
      <c r="M909" s="473"/>
    </row>
    <row r="910" spans="1:13" ht="13.5">
      <c r="A910" s="475" t="s">
        <v>5284</v>
      </c>
      <c r="B910" s="475" t="s">
        <v>5285</v>
      </c>
      <c r="C910" s="475" t="s">
        <v>5290</v>
      </c>
      <c r="D910" s="475" t="s">
        <v>5291</v>
      </c>
      <c r="E910" s="476" t="s">
        <v>34</v>
      </c>
      <c r="F910" s="475" t="s">
        <v>34</v>
      </c>
      <c r="G910" s="364">
        <v>91375</v>
      </c>
      <c r="H910" s="475" t="s">
        <v>952</v>
      </c>
      <c r="I910" s="475" t="s">
        <v>67</v>
      </c>
      <c r="J910" s="475" t="s">
        <v>140</v>
      </c>
      <c r="K910" s="365">
        <v>6.98</v>
      </c>
      <c r="L910" s="475" t="s">
        <v>141</v>
      </c>
      <c r="M910" s="473"/>
    </row>
    <row r="911" spans="1:13" ht="13.5">
      <c r="A911" s="475" t="s">
        <v>5284</v>
      </c>
      <c r="B911" s="475" t="s">
        <v>5285</v>
      </c>
      <c r="C911" s="475" t="s">
        <v>5290</v>
      </c>
      <c r="D911" s="475" t="s">
        <v>5291</v>
      </c>
      <c r="E911" s="476" t="s">
        <v>34</v>
      </c>
      <c r="F911" s="475" t="s">
        <v>34</v>
      </c>
      <c r="G911" s="364">
        <v>91376</v>
      </c>
      <c r="H911" s="475" t="s">
        <v>953</v>
      </c>
      <c r="I911" s="475" t="s">
        <v>67</v>
      </c>
      <c r="J911" s="475" t="s">
        <v>140</v>
      </c>
      <c r="K911" s="365">
        <v>2.79</v>
      </c>
      <c r="L911" s="475" t="s">
        <v>141</v>
      </c>
      <c r="M911" s="473"/>
    </row>
    <row r="912" spans="1:13" ht="13.5">
      <c r="A912" s="475" t="s">
        <v>5284</v>
      </c>
      <c r="B912" s="475" t="s">
        <v>5285</v>
      </c>
      <c r="C912" s="475" t="s">
        <v>5290</v>
      </c>
      <c r="D912" s="475" t="s">
        <v>5291</v>
      </c>
      <c r="E912" s="476" t="s">
        <v>34</v>
      </c>
      <c r="F912" s="475" t="s">
        <v>34</v>
      </c>
      <c r="G912" s="364">
        <v>91377</v>
      </c>
      <c r="H912" s="475" t="s">
        <v>954</v>
      </c>
      <c r="I912" s="475" t="s">
        <v>67</v>
      </c>
      <c r="J912" s="475" t="s">
        <v>140</v>
      </c>
      <c r="K912" s="365">
        <v>0.56999999999999995</v>
      </c>
      <c r="L912" s="475" t="s">
        <v>141</v>
      </c>
      <c r="M912" s="473"/>
    </row>
    <row r="913" spans="1:13" ht="13.5">
      <c r="A913" s="475" t="s">
        <v>5284</v>
      </c>
      <c r="B913" s="475" t="s">
        <v>5285</v>
      </c>
      <c r="C913" s="475" t="s">
        <v>5290</v>
      </c>
      <c r="D913" s="475" t="s">
        <v>5291</v>
      </c>
      <c r="E913" s="476" t="s">
        <v>34</v>
      </c>
      <c r="F913" s="475" t="s">
        <v>34</v>
      </c>
      <c r="G913" s="364">
        <v>91380</v>
      </c>
      <c r="H913" s="475" t="s">
        <v>955</v>
      </c>
      <c r="I913" s="475" t="s">
        <v>67</v>
      </c>
      <c r="J913" s="475" t="s">
        <v>140</v>
      </c>
      <c r="K913" s="365">
        <v>13.65</v>
      </c>
      <c r="L913" s="475" t="s">
        <v>141</v>
      </c>
      <c r="M913" s="473"/>
    </row>
    <row r="914" spans="1:13" ht="13.5">
      <c r="A914" s="475" t="s">
        <v>5284</v>
      </c>
      <c r="B914" s="475" t="s">
        <v>5285</v>
      </c>
      <c r="C914" s="475" t="s">
        <v>5290</v>
      </c>
      <c r="D914" s="475" t="s">
        <v>5291</v>
      </c>
      <c r="E914" s="476" t="s">
        <v>34</v>
      </c>
      <c r="F914" s="475" t="s">
        <v>34</v>
      </c>
      <c r="G914" s="364">
        <v>91381</v>
      </c>
      <c r="H914" s="475" t="s">
        <v>956</v>
      </c>
      <c r="I914" s="475" t="s">
        <v>67</v>
      </c>
      <c r="J914" s="475" t="s">
        <v>140</v>
      </c>
      <c r="K914" s="365">
        <v>4.7699999999999996</v>
      </c>
      <c r="L914" s="475" t="s">
        <v>141</v>
      </c>
      <c r="M914" s="473"/>
    </row>
    <row r="915" spans="1:13" ht="13.5">
      <c r="A915" s="475" t="s">
        <v>5284</v>
      </c>
      <c r="B915" s="475" t="s">
        <v>5285</v>
      </c>
      <c r="C915" s="475" t="s">
        <v>5290</v>
      </c>
      <c r="D915" s="475" t="s">
        <v>5291</v>
      </c>
      <c r="E915" s="476" t="s">
        <v>34</v>
      </c>
      <c r="F915" s="475" t="s">
        <v>34</v>
      </c>
      <c r="G915" s="364">
        <v>91382</v>
      </c>
      <c r="H915" s="475" t="s">
        <v>957</v>
      </c>
      <c r="I915" s="475" t="s">
        <v>67</v>
      </c>
      <c r="J915" s="475" t="s">
        <v>140</v>
      </c>
      <c r="K915" s="365">
        <v>0.98</v>
      </c>
      <c r="L915" s="475" t="s">
        <v>141</v>
      </c>
      <c r="M915" s="473"/>
    </row>
    <row r="916" spans="1:13" ht="13.5">
      <c r="A916" s="475" t="s">
        <v>5284</v>
      </c>
      <c r="B916" s="475" t="s">
        <v>5285</v>
      </c>
      <c r="C916" s="475" t="s">
        <v>5290</v>
      </c>
      <c r="D916" s="475" t="s">
        <v>5291</v>
      </c>
      <c r="E916" s="476" t="s">
        <v>34</v>
      </c>
      <c r="F916" s="475" t="s">
        <v>34</v>
      </c>
      <c r="G916" s="364">
        <v>91383</v>
      </c>
      <c r="H916" s="475" t="s">
        <v>958</v>
      </c>
      <c r="I916" s="475" t="s">
        <v>67</v>
      </c>
      <c r="J916" s="475" t="s">
        <v>140</v>
      </c>
      <c r="K916" s="365">
        <v>25.59</v>
      </c>
      <c r="L916" s="475" t="s">
        <v>141</v>
      </c>
      <c r="M916" s="473"/>
    </row>
    <row r="917" spans="1:13" ht="13.5">
      <c r="A917" s="475" t="s">
        <v>5284</v>
      </c>
      <c r="B917" s="475" t="s">
        <v>5285</v>
      </c>
      <c r="C917" s="475" t="s">
        <v>5290</v>
      </c>
      <c r="D917" s="475" t="s">
        <v>5291</v>
      </c>
      <c r="E917" s="476" t="s">
        <v>34</v>
      </c>
      <c r="F917" s="475" t="s">
        <v>34</v>
      </c>
      <c r="G917" s="364">
        <v>91384</v>
      </c>
      <c r="H917" s="475" t="s">
        <v>959</v>
      </c>
      <c r="I917" s="475" t="s">
        <v>67</v>
      </c>
      <c r="J917" s="475" t="s">
        <v>363</v>
      </c>
      <c r="K917" s="365">
        <v>112.12</v>
      </c>
      <c r="L917" s="475" t="s">
        <v>141</v>
      </c>
      <c r="M917" s="473"/>
    </row>
    <row r="918" spans="1:13" ht="13.5">
      <c r="A918" s="475" t="s">
        <v>5284</v>
      </c>
      <c r="B918" s="475" t="s">
        <v>5285</v>
      </c>
      <c r="C918" s="475" t="s">
        <v>5290</v>
      </c>
      <c r="D918" s="475" t="s">
        <v>5291</v>
      </c>
      <c r="E918" s="476" t="s">
        <v>34</v>
      </c>
      <c r="F918" s="475" t="s">
        <v>34</v>
      </c>
      <c r="G918" s="364">
        <v>91390</v>
      </c>
      <c r="H918" s="475" t="s">
        <v>960</v>
      </c>
      <c r="I918" s="475" t="s">
        <v>67</v>
      </c>
      <c r="J918" s="475" t="s">
        <v>140</v>
      </c>
      <c r="K918" s="365">
        <v>8.9499999999999993</v>
      </c>
      <c r="L918" s="475" t="s">
        <v>141</v>
      </c>
      <c r="M918" s="473"/>
    </row>
    <row r="919" spans="1:13" ht="13.5">
      <c r="A919" s="475" t="s">
        <v>5284</v>
      </c>
      <c r="B919" s="475" t="s">
        <v>5285</v>
      </c>
      <c r="C919" s="475" t="s">
        <v>5290</v>
      </c>
      <c r="D919" s="475" t="s">
        <v>5291</v>
      </c>
      <c r="E919" s="476" t="s">
        <v>34</v>
      </c>
      <c r="F919" s="475" t="s">
        <v>34</v>
      </c>
      <c r="G919" s="364">
        <v>91391</v>
      </c>
      <c r="H919" s="475" t="s">
        <v>961</v>
      </c>
      <c r="I919" s="475" t="s">
        <v>67</v>
      </c>
      <c r="J919" s="475" t="s">
        <v>140</v>
      </c>
      <c r="K919" s="365">
        <v>3.57</v>
      </c>
      <c r="L919" s="475" t="s">
        <v>141</v>
      </c>
      <c r="M919" s="473"/>
    </row>
    <row r="920" spans="1:13" ht="13.5">
      <c r="A920" s="475" t="s">
        <v>5284</v>
      </c>
      <c r="B920" s="475" t="s">
        <v>5285</v>
      </c>
      <c r="C920" s="475" t="s">
        <v>5290</v>
      </c>
      <c r="D920" s="475" t="s">
        <v>5291</v>
      </c>
      <c r="E920" s="476" t="s">
        <v>34</v>
      </c>
      <c r="F920" s="475" t="s">
        <v>34</v>
      </c>
      <c r="G920" s="364">
        <v>91392</v>
      </c>
      <c r="H920" s="475" t="s">
        <v>962</v>
      </c>
      <c r="I920" s="475" t="s">
        <v>67</v>
      </c>
      <c r="J920" s="475" t="s">
        <v>140</v>
      </c>
      <c r="K920" s="365">
        <v>0.72</v>
      </c>
      <c r="L920" s="475" t="s">
        <v>141</v>
      </c>
      <c r="M920" s="473"/>
    </row>
    <row r="921" spans="1:13" ht="13.5">
      <c r="A921" s="475" t="s">
        <v>5284</v>
      </c>
      <c r="B921" s="475" t="s">
        <v>5285</v>
      </c>
      <c r="C921" s="475" t="s">
        <v>5290</v>
      </c>
      <c r="D921" s="475" t="s">
        <v>5291</v>
      </c>
      <c r="E921" s="476" t="s">
        <v>34</v>
      </c>
      <c r="F921" s="475" t="s">
        <v>34</v>
      </c>
      <c r="G921" s="364">
        <v>91396</v>
      </c>
      <c r="H921" s="475" t="s">
        <v>963</v>
      </c>
      <c r="I921" s="475" t="s">
        <v>67</v>
      </c>
      <c r="J921" s="475" t="s">
        <v>140</v>
      </c>
      <c r="K921" s="365">
        <v>12.02</v>
      </c>
      <c r="L921" s="475" t="s">
        <v>141</v>
      </c>
      <c r="M921" s="473"/>
    </row>
    <row r="922" spans="1:13" ht="13.5">
      <c r="A922" s="475" t="s">
        <v>5284</v>
      </c>
      <c r="B922" s="475" t="s">
        <v>5285</v>
      </c>
      <c r="C922" s="475" t="s">
        <v>5290</v>
      </c>
      <c r="D922" s="475" t="s">
        <v>5291</v>
      </c>
      <c r="E922" s="476" t="s">
        <v>34</v>
      </c>
      <c r="F922" s="475" t="s">
        <v>34</v>
      </c>
      <c r="G922" s="364">
        <v>91397</v>
      </c>
      <c r="H922" s="475" t="s">
        <v>964</v>
      </c>
      <c r="I922" s="475" t="s">
        <v>67</v>
      </c>
      <c r="J922" s="475" t="s">
        <v>140</v>
      </c>
      <c r="K922" s="365">
        <v>4.79</v>
      </c>
      <c r="L922" s="475" t="s">
        <v>141</v>
      </c>
      <c r="M922" s="473"/>
    </row>
    <row r="923" spans="1:13" ht="13.5">
      <c r="A923" s="475" t="s">
        <v>5284</v>
      </c>
      <c r="B923" s="475" t="s">
        <v>5285</v>
      </c>
      <c r="C923" s="475" t="s">
        <v>5290</v>
      </c>
      <c r="D923" s="475" t="s">
        <v>5291</v>
      </c>
      <c r="E923" s="476" t="s">
        <v>34</v>
      </c>
      <c r="F923" s="475" t="s">
        <v>34</v>
      </c>
      <c r="G923" s="364">
        <v>91398</v>
      </c>
      <c r="H923" s="475" t="s">
        <v>965</v>
      </c>
      <c r="I923" s="475" t="s">
        <v>67</v>
      </c>
      <c r="J923" s="475" t="s">
        <v>140</v>
      </c>
      <c r="K923" s="365">
        <v>0.98</v>
      </c>
      <c r="L923" s="475" t="s">
        <v>141</v>
      </c>
      <c r="M923" s="473"/>
    </row>
    <row r="924" spans="1:13" ht="13.5">
      <c r="A924" s="475" t="s">
        <v>5284</v>
      </c>
      <c r="B924" s="475" t="s">
        <v>5285</v>
      </c>
      <c r="C924" s="475" t="s">
        <v>5290</v>
      </c>
      <c r="D924" s="475" t="s">
        <v>5291</v>
      </c>
      <c r="E924" s="476" t="s">
        <v>34</v>
      </c>
      <c r="F924" s="475" t="s">
        <v>34</v>
      </c>
      <c r="G924" s="364">
        <v>91402</v>
      </c>
      <c r="H924" s="475" t="s">
        <v>966</v>
      </c>
      <c r="I924" s="475" t="s">
        <v>67</v>
      </c>
      <c r="J924" s="475" t="s">
        <v>140</v>
      </c>
      <c r="K924" s="365">
        <v>0.82</v>
      </c>
      <c r="L924" s="475" t="s">
        <v>141</v>
      </c>
      <c r="M924" s="473"/>
    </row>
    <row r="925" spans="1:13" ht="13.5">
      <c r="A925" s="475" t="s">
        <v>5284</v>
      </c>
      <c r="B925" s="475" t="s">
        <v>5285</v>
      </c>
      <c r="C925" s="475" t="s">
        <v>5290</v>
      </c>
      <c r="D925" s="475" t="s">
        <v>5291</v>
      </c>
      <c r="E925" s="476" t="s">
        <v>34</v>
      </c>
      <c r="F925" s="475" t="s">
        <v>34</v>
      </c>
      <c r="G925" s="364">
        <v>91466</v>
      </c>
      <c r="H925" s="475" t="s">
        <v>967</v>
      </c>
      <c r="I925" s="475" t="s">
        <v>67</v>
      </c>
      <c r="J925" s="475" t="s">
        <v>140</v>
      </c>
      <c r="K925" s="365">
        <v>0.76</v>
      </c>
      <c r="L925" s="475" t="s">
        <v>141</v>
      </c>
      <c r="M925" s="473"/>
    </row>
    <row r="926" spans="1:13" ht="13.5">
      <c r="A926" s="475" t="s">
        <v>5284</v>
      </c>
      <c r="B926" s="475" t="s">
        <v>5285</v>
      </c>
      <c r="C926" s="475" t="s">
        <v>5290</v>
      </c>
      <c r="D926" s="475" t="s">
        <v>5291</v>
      </c>
      <c r="E926" s="476" t="s">
        <v>34</v>
      </c>
      <c r="F926" s="475" t="s">
        <v>34</v>
      </c>
      <c r="G926" s="364">
        <v>91467</v>
      </c>
      <c r="H926" s="475" t="s">
        <v>968</v>
      </c>
      <c r="I926" s="475" t="s">
        <v>67</v>
      </c>
      <c r="J926" s="475" t="s">
        <v>363</v>
      </c>
      <c r="K926" s="365">
        <v>92.14</v>
      </c>
      <c r="L926" s="475" t="s">
        <v>141</v>
      </c>
      <c r="M926" s="473"/>
    </row>
    <row r="927" spans="1:13" ht="13.5">
      <c r="A927" s="475" t="s">
        <v>5284</v>
      </c>
      <c r="B927" s="475" t="s">
        <v>5285</v>
      </c>
      <c r="C927" s="475" t="s">
        <v>5290</v>
      </c>
      <c r="D927" s="475" t="s">
        <v>5291</v>
      </c>
      <c r="E927" s="476" t="s">
        <v>34</v>
      </c>
      <c r="F927" s="475" t="s">
        <v>34</v>
      </c>
      <c r="G927" s="364">
        <v>91468</v>
      </c>
      <c r="H927" s="475" t="s">
        <v>969</v>
      </c>
      <c r="I927" s="475" t="s">
        <v>67</v>
      </c>
      <c r="J927" s="475" t="s">
        <v>140</v>
      </c>
      <c r="K927" s="365">
        <v>13.28</v>
      </c>
      <c r="L927" s="475" t="s">
        <v>141</v>
      </c>
      <c r="M927" s="473"/>
    </row>
    <row r="928" spans="1:13" ht="13.5">
      <c r="A928" s="475" t="s">
        <v>5284</v>
      </c>
      <c r="B928" s="475" t="s">
        <v>5285</v>
      </c>
      <c r="C928" s="475" t="s">
        <v>5290</v>
      </c>
      <c r="D928" s="475" t="s">
        <v>5291</v>
      </c>
      <c r="E928" s="476" t="s">
        <v>34</v>
      </c>
      <c r="F928" s="475" t="s">
        <v>34</v>
      </c>
      <c r="G928" s="364">
        <v>91469</v>
      </c>
      <c r="H928" s="475" t="s">
        <v>970</v>
      </c>
      <c r="I928" s="475" t="s">
        <v>67</v>
      </c>
      <c r="J928" s="475" t="s">
        <v>140</v>
      </c>
      <c r="K928" s="365">
        <v>4.5</v>
      </c>
      <c r="L928" s="475" t="s">
        <v>141</v>
      </c>
      <c r="M928" s="473"/>
    </row>
    <row r="929" spans="1:13" ht="13.5">
      <c r="A929" s="475" t="s">
        <v>5284</v>
      </c>
      <c r="B929" s="475" t="s">
        <v>5285</v>
      </c>
      <c r="C929" s="475" t="s">
        <v>5290</v>
      </c>
      <c r="D929" s="475" t="s">
        <v>5291</v>
      </c>
      <c r="E929" s="476" t="s">
        <v>34</v>
      </c>
      <c r="F929" s="475" t="s">
        <v>34</v>
      </c>
      <c r="G929" s="364">
        <v>91484</v>
      </c>
      <c r="H929" s="475" t="s">
        <v>971</v>
      </c>
      <c r="I929" s="475" t="s">
        <v>67</v>
      </c>
      <c r="J929" s="475" t="s">
        <v>140</v>
      </c>
      <c r="K929" s="365">
        <v>0.91</v>
      </c>
      <c r="L929" s="475" t="s">
        <v>141</v>
      </c>
      <c r="M929" s="473"/>
    </row>
    <row r="930" spans="1:13" ht="13.5">
      <c r="A930" s="475" t="s">
        <v>5284</v>
      </c>
      <c r="B930" s="475" t="s">
        <v>5285</v>
      </c>
      <c r="C930" s="475" t="s">
        <v>5290</v>
      </c>
      <c r="D930" s="475" t="s">
        <v>5291</v>
      </c>
      <c r="E930" s="476" t="s">
        <v>34</v>
      </c>
      <c r="F930" s="475" t="s">
        <v>34</v>
      </c>
      <c r="G930" s="364">
        <v>91485</v>
      </c>
      <c r="H930" s="475" t="s">
        <v>972</v>
      </c>
      <c r="I930" s="475" t="s">
        <v>67</v>
      </c>
      <c r="J930" s="475" t="s">
        <v>363</v>
      </c>
      <c r="K930" s="365">
        <v>126.99</v>
      </c>
      <c r="L930" s="475" t="s">
        <v>141</v>
      </c>
      <c r="M930" s="473"/>
    </row>
    <row r="931" spans="1:13" ht="13.5">
      <c r="A931" s="475" t="s">
        <v>5284</v>
      </c>
      <c r="B931" s="475" t="s">
        <v>5285</v>
      </c>
      <c r="C931" s="475" t="s">
        <v>5290</v>
      </c>
      <c r="D931" s="475" t="s">
        <v>5291</v>
      </c>
      <c r="E931" s="476" t="s">
        <v>34</v>
      </c>
      <c r="F931" s="475" t="s">
        <v>34</v>
      </c>
      <c r="G931" s="364">
        <v>91529</v>
      </c>
      <c r="H931" s="475" t="s">
        <v>973</v>
      </c>
      <c r="I931" s="475" t="s">
        <v>67</v>
      </c>
      <c r="J931" s="475" t="s">
        <v>337</v>
      </c>
      <c r="K931" s="365">
        <v>0.72</v>
      </c>
      <c r="L931" s="475" t="s">
        <v>141</v>
      </c>
      <c r="M931" s="473"/>
    </row>
    <row r="932" spans="1:13" ht="13.5">
      <c r="A932" s="475" t="s">
        <v>5284</v>
      </c>
      <c r="B932" s="475" t="s">
        <v>5285</v>
      </c>
      <c r="C932" s="475" t="s">
        <v>5290</v>
      </c>
      <c r="D932" s="475" t="s">
        <v>5291</v>
      </c>
      <c r="E932" s="476" t="s">
        <v>34</v>
      </c>
      <c r="F932" s="475" t="s">
        <v>34</v>
      </c>
      <c r="G932" s="364">
        <v>91530</v>
      </c>
      <c r="H932" s="475" t="s">
        <v>974</v>
      </c>
      <c r="I932" s="475" t="s">
        <v>67</v>
      </c>
      <c r="J932" s="475" t="s">
        <v>337</v>
      </c>
      <c r="K932" s="365">
        <v>0.19</v>
      </c>
      <c r="L932" s="475" t="s">
        <v>141</v>
      </c>
      <c r="M932" s="473"/>
    </row>
    <row r="933" spans="1:13" ht="13.5">
      <c r="A933" s="475" t="s">
        <v>5284</v>
      </c>
      <c r="B933" s="475" t="s">
        <v>5285</v>
      </c>
      <c r="C933" s="475" t="s">
        <v>5290</v>
      </c>
      <c r="D933" s="475" t="s">
        <v>5291</v>
      </c>
      <c r="E933" s="476" t="s">
        <v>34</v>
      </c>
      <c r="F933" s="475" t="s">
        <v>34</v>
      </c>
      <c r="G933" s="364">
        <v>91531</v>
      </c>
      <c r="H933" s="475" t="s">
        <v>975</v>
      </c>
      <c r="I933" s="475" t="s">
        <v>67</v>
      </c>
      <c r="J933" s="475" t="s">
        <v>337</v>
      </c>
      <c r="K933" s="365">
        <v>0.9</v>
      </c>
      <c r="L933" s="475" t="s">
        <v>141</v>
      </c>
      <c r="M933" s="473"/>
    </row>
    <row r="934" spans="1:13" ht="13.5">
      <c r="A934" s="475" t="s">
        <v>5284</v>
      </c>
      <c r="B934" s="475" t="s">
        <v>5285</v>
      </c>
      <c r="C934" s="475" t="s">
        <v>5290</v>
      </c>
      <c r="D934" s="475" t="s">
        <v>5291</v>
      </c>
      <c r="E934" s="476" t="s">
        <v>34</v>
      </c>
      <c r="F934" s="475" t="s">
        <v>34</v>
      </c>
      <c r="G934" s="364">
        <v>91532</v>
      </c>
      <c r="H934" s="475" t="s">
        <v>976</v>
      </c>
      <c r="I934" s="475" t="s">
        <v>67</v>
      </c>
      <c r="J934" s="475" t="s">
        <v>363</v>
      </c>
      <c r="K934" s="365">
        <v>2.4700000000000002</v>
      </c>
      <c r="L934" s="475" t="s">
        <v>141</v>
      </c>
      <c r="M934" s="473"/>
    </row>
    <row r="935" spans="1:13" ht="13.5">
      <c r="A935" s="475" t="s">
        <v>5284</v>
      </c>
      <c r="B935" s="475" t="s">
        <v>5285</v>
      </c>
      <c r="C935" s="475" t="s">
        <v>5290</v>
      </c>
      <c r="D935" s="475" t="s">
        <v>5291</v>
      </c>
      <c r="E935" s="476" t="s">
        <v>34</v>
      </c>
      <c r="F935" s="475" t="s">
        <v>34</v>
      </c>
      <c r="G935" s="364">
        <v>91629</v>
      </c>
      <c r="H935" s="475" t="s">
        <v>977</v>
      </c>
      <c r="I935" s="475" t="s">
        <v>67</v>
      </c>
      <c r="J935" s="475" t="s">
        <v>140</v>
      </c>
      <c r="K935" s="365">
        <v>8.68</v>
      </c>
      <c r="L935" s="475" t="s">
        <v>141</v>
      </c>
      <c r="M935" s="473"/>
    </row>
    <row r="936" spans="1:13" ht="13.5">
      <c r="A936" s="475" t="s">
        <v>5284</v>
      </c>
      <c r="B936" s="475" t="s">
        <v>5285</v>
      </c>
      <c r="C936" s="475" t="s">
        <v>5290</v>
      </c>
      <c r="D936" s="475" t="s">
        <v>5291</v>
      </c>
      <c r="E936" s="476" t="s">
        <v>34</v>
      </c>
      <c r="F936" s="475" t="s">
        <v>34</v>
      </c>
      <c r="G936" s="364">
        <v>91630</v>
      </c>
      <c r="H936" s="475" t="s">
        <v>978</v>
      </c>
      <c r="I936" s="475" t="s">
        <v>67</v>
      </c>
      <c r="J936" s="475" t="s">
        <v>140</v>
      </c>
      <c r="K936" s="365">
        <v>3.47</v>
      </c>
      <c r="L936" s="475" t="s">
        <v>141</v>
      </c>
      <c r="M936" s="473"/>
    </row>
    <row r="937" spans="1:13" ht="13.5">
      <c r="A937" s="475" t="s">
        <v>5284</v>
      </c>
      <c r="B937" s="475" t="s">
        <v>5285</v>
      </c>
      <c r="C937" s="475" t="s">
        <v>5290</v>
      </c>
      <c r="D937" s="475" t="s">
        <v>5291</v>
      </c>
      <c r="E937" s="476" t="s">
        <v>34</v>
      </c>
      <c r="F937" s="475" t="s">
        <v>34</v>
      </c>
      <c r="G937" s="364">
        <v>91631</v>
      </c>
      <c r="H937" s="475" t="s">
        <v>979</v>
      </c>
      <c r="I937" s="475" t="s">
        <v>67</v>
      </c>
      <c r="J937" s="475" t="s">
        <v>140</v>
      </c>
      <c r="K937" s="365">
        <v>0.7</v>
      </c>
      <c r="L937" s="475" t="s">
        <v>141</v>
      </c>
      <c r="M937" s="473"/>
    </row>
    <row r="938" spans="1:13" ht="13.5">
      <c r="A938" s="475" t="s">
        <v>5284</v>
      </c>
      <c r="B938" s="475" t="s">
        <v>5285</v>
      </c>
      <c r="C938" s="475" t="s">
        <v>5290</v>
      </c>
      <c r="D938" s="475" t="s">
        <v>5291</v>
      </c>
      <c r="E938" s="476" t="s">
        <v>34</v>
      </c>
      <c r="F938" s="475" t="s">
        <v>34</v>
      </c>
      <c r="G938" s="364">
        <v>91632</v>
      </c>
      <c r="H938" s="475" t="s">
        <v>980</v>
      </c>
      <c r="I938" s="475" t="s">
        <v>67</v>
      </c>
      <c r="J938" s="475" t="s">
        <v>140</v>
      </c>
      <c r="K938" s="365">
        <v>16.28</v>
      </c>
      <c r="L938" s="475" t="s">
        <v>141</v>
      </c>
      <c r="M938" s="473"/>
    </row>
    <row r="939" spans="1:13" ht="13.5">
      <c r="A939" s="475" t="s">
        <v>5284</v>
      </c>
      <c r="B939" s="475" t="s">
        <v>5285</v>
      </c>
      <c r="C939" s="475" t="s">
        <v>5290</v>
      </c>
      <c r="D939" s="475" t="s">
        <v>5291</v>
      </c>
      <c r="E939" s="476" t="s">
        <v>34</v>
      </c>
      <c r="F939" s="475" t="s">
        <v>34</v>
      </c>
      <c r="G939" s="364">
        <v>91633</v>
      </c>
      <c r="H939" s="475" t="s">
        <v>981</v>
      </c>
      <c r="I939" s="475" t="s">
        <v>67</v>
      </c>
      <c r="J939" s="475" t="s">
        <v>363</v>
      </c>
      <c r="K939" s="365">
        <v>78.010000000000005</v>
      </c>
      <c r="L939" s="475" t="s">
        <v>141</v>
      </c>
      <c r="M939" s="473"/>
    </row>
    <row r="940" spans="1:13" ht="13.5">
      <c r="A940" s="475" t="s">
        <v>5284</v>
      </c>
      <c r="B940" s="475" t="s">
        <v>5285</v>
      </c>
      <c r="C940" s="475" t="s">
        <v>5290</v>
      </c>
      <c r="D940" s="475" t="s">
        <v>5291</v>
      </c>
      <c r="E940" s="476" t="s">
        <v>34</v>
      </c>
      <c r="F940" s="475" t="s">
        <v>34</v>
      </c>
      <c r="G940" s="364">
        <v>91640</v>
      </c>
      <c r="H940" s="475" t="s">
        <v>982</v>
      </c>
      <c r="I940" s="475" t="s">
        <v>67</v>
      </c>
      <c r="J940" s="475" t="s">
        <v>140</v>
      </c>
      <c r="K940" s="365">
        <v>17.45</v>
      </c>
      <c r="L940" s="475" t="s">
        <v>141</v>
      </c>
      <c r="M940" s="473"/>
    </row>
    <row r="941" spans="1:13" ht="13.5">
      <c r="A941" s="475" t="s">
        <v>5284</v>
      </c>
      <c r="B941" s="475" t="s">
        <v>5285</v>
      </c>
      <c r="C941" s="475" t="s">
        <v>5290</v>
      </c>
      <c r="D941" s="475" t="s">
        <v>5291</v>
      </c>
      <c r="E941" s="476" t="s">
        <v>34</v>
      </c>
      <c r="F941" s="475" t="s">
        <v>34</v>
      </c>
      <c r="G941" s="364">
        <v>91641</v>
      </c>
      <c r="H941" s="475" t="s">
        <v>983</v>
      </c>
      <c r="I941" s="475" t="s">
        <v>67</v>
      </c>
      <c r="J941" s="475" t="s">
        <v>140</v>
      </c>
      <c r="K941" s="365">
        <v>6.97</v>
      </c>
      <c r="L941" s="475" t="s">
        <v>141</v>
      </c>
      <c r="M941" s="473"/>
    </row>
    <row r="942" spans="1:13" ht="13.5">
      <c r="A942" s="475" t="s">
        <v>5284</v>
      </c>
      <c r="B942" s="475" t="s">
        <v>5285</v>
      </c>
      <c r="C942" s="475" t="s">
        <v>5290</v>
      </c>
      <c r="D942" s="475" t="s">
        <v>5291</v>
      </c>
      <c r="E942" s="476" t="s">
        <v>34</v>
      </c>
      <c r="F942" s="475" t="s">
        <v>34</v>
      </c>
      <c r="G942" s="364">
        <v>91642</v>
      </c>
      <c r="H942" s="475" t="s">
        <v>984</v>
      </c>
      <c r="I942" s="475" t="s">
        <v>67</v>
      </c>
      <c r="J942" s="475" t="s">
        <v>140</v>
      </c>
      <c r="K942" s="365">
        <v>1.41</v>
      </c>
      <c r="L942" s="475" t="s">
        <v>141</v>
      </c>
      <c r="M942" s="473"/>
    </row>
    <row r="943" spans="1:13" ht="13.5">
      <c r="A943" s="475" t="s">
        <v>5284</v>
      </c>
      <c r="B943" s="475" t="s">
        <v>5285</v>
      </c>
      <c r="C943" s="475" t="s">
        <v>5290</v>
      </c>
      <c r="D943" s="475" t="s">
        <v>5291</v>
      </c>
      <c r="E943" s="476" t="s">
        <v>34</v>
      </c>
      <c r="F943" s="475" t="s">
        <v>34</v>
      </c>
      <c r="G943" s="364">
        <v>91643</v>
      </c>
      <c r="H943" s="475" t="s">
        <v>985</v>
      </c>
      <c r="I943" s="475" t="s">
        <v>67</v>
      </c>
      <c r="J943" s="475" t="s">
        <v>140</v>
      </c>
      <c r="K943" s="365">
        <v>32.72</v>
      </c>
      <c r="L943" s="475" t="s">
        <v>141</v>
      </c>
      <c r="M943" s="473"/>
    </row>
    <row r="944" spans="1:13" ht="13.5">
      <c r="A944" s="475" t="s">
        <v>5284</v>
      </c>
      <c r="B944" s="475" t="s">
        <v>5285</v>
      </c>
      <c r="C944" s="475" t="s">
        <v>5290</v>
      </c>
      <c r="D944" s="475" t="s">
        <v>5291</v>
      </c>
      <c r="E944" s="476" t="s">
        <v>34</v>
      </c>
      <c r="F944" s="475" t="s">
        <v>34</v>
      </c>
      <c r="G944" s="364">
        <v>91644</v>
      </c>
      <c r="H944" s="475" t="s">
        <v>986</v>
      </c>
      <c r="I944" s="475" t="s">
        <v>67</v>
      </c>
      <c r="J944" s="475" t="s">
        <v>363</v>
      </c>
      <c r="K944" s="365">
        <v>175.49</v>
      </c>
      <c r="L944" s="475" t="s">
        <v>141</v>
      </c>
      <c r="M944" s="473"/>
    </row>
    <row r="945" spans="1:13" ht="13.5">
      <c r="A945" s="475" t="s">
        <v>5284</v>
      </c>
      <c r="B945" s="475" t="s">
        <v>5285</v>
      </c>
      <c r="C945" s="475" t="s">
        <v>5290</v>
      </c>
      <c r="D945" s="475" t="s">
        <v>5291</v>
      </c>
      <c r="E945" s="476" t="s">
        <v>34</v>
      </c>
      <c r="F945" s="475" t="s">
        <v>34</v>
      </c>
      <c r="G945" s="364">
        <v>91688</v>
      </c>
      <c r="H945" s="475" t="s">
        <v>987</v>
      </c>
      <c r="I945" s="475" t="s">
        <v>67</v>
      </c>
      <c r="J945" s="475" t="s">
        <v>337</v>
      </c>
      <c r="K945" s="365">
        <v>0.06</v>
      </c>
      <c r="L945" s="475" t="s">
        <v>141</v>
      </c>
      <c r="M945" s="473"/>
    </row>
    <row r="946" spans="1:13" ht="13.5">
      <c r="A946" s="475" t="s">
        <v>5284</v>
      </c>
      <c r="B946" s="475" t="s">
        <v>5285</v>
      </c>
      <c r="C946" s="475" t="s">
        <v>5290</v>
      </c>
      <c r="D946" s="475" t="s">
        <v>5291</v>
      </c>
      <c r="E946" s="476" t="s">
        <v>34</v>
      </c>
      <c r="F946" s="475" t="s">
        <v>34</v>
      </c>
      <c r="G946" s="364">
        <v>91689</v>
      </c>
      <c r="H946" s="475" t="s">
        <v>988</v>
      </c>
      <c r="I946" s="475" t="s">
        <v>67</v>
      </c>
      <c r="J946" s="475" t="s">
        <v>337</v>
      </c>
      <c r="K946" s="365">
        <v>0.01</v>
      </c>
      <c r="L946" s="475" t="s">
        <v>141</v>
      </c>
      <c r="M946" s="473"/>
    </row>
    <row r="947" spans="1:13" ht="13.5">
      <c r="A947" s="475" t="s">
        <v>5284</v>
      </c>
      <c r="B947" s="475" t="s">
        <v>5285</v>
      </c>
      <c r="C947" s="475" t="s">
        <v>5290</v>
      </c>
      <c r="D947" s="475" t="s">
        <v>5291</v>
      </c>
      <c r="E947" s="476" t="s">
        <v>34</v>
      </c>
      <c r="F947" s="475" t="s">
        <v>34</v>
      </c>
      <c r="G947" s="364">
        <v>91690</v>
      </c>
      <c r="H947" s="475" t="s">
        <v>989</v>
      </c>
      <c r="I947" s="475" t="s">
        <v>67</v>
      </c>
      <c r="J947" s="475" t="s">
        <v>337</v>
      </c>
      <c r="K947" s="365">
        <v>0.04</v>
      </c>
      <c r="L947" s="475" t="s">
        <v>141</v>
      </c>
      <c r="M947" s="473"/>
    </row>
    <row r="948" spans="1:13" ht="13.5">
      <c r="A948" s="475" t="s">
        <v>5284</v>
      </c>
      <c r="B948" s="475" t="s">
        <v>5285</v>
      </c>
      <c r="C948" s="475" t="s">
        <v>5290</v>
      </c>
      <c r="D948" s="475" t="s">
        <v>5291</v>
      </c>
      <c r="E948" s="476" t="s">
        <v>34</v>
      </c>
      <c r="F948" s="475" t="s">
        <v>34</v>
      </c>
      <c r="G948" s="364">
        <v>91691</v>
      </c>
      <c r="H948" s="475" t="s">
        <v>990</v>
      </c>
      <c r="I948" s="475" t="s">
        <v>67</v>
      </c>
      <c r="J948" s="475" t="s">
        <v>337</v>
      </c>
      <c r="K948" s="365">
        <v>2.09</v>
      </c>
      <c r="L948" s="475" t="s">
        <v>141</v>
      </c>
      <c r="M948" s="473"/>
    </row>
    <row r="949" spans="1:13" ht="13.5">
      <c r="A949" s="475" t="s">
        <v>5284</v>
      </c>
      <c r="B949" s="475" t="s">
        <v>5285</v>
      </c>
      <c r="C949" s="475" t="s">
        <v>5290</v>
      </c>
      <c r="D949" s="475" t="s">
        <v>5291</v>
      </c>
      <c r="E949" s="476" t="s">
        <v>34</v>
      </c>
      <c r="F949" s="475" t="s">
        <v>34</v>
      </c>
      <c r="G949" s="364">
        <v>92040</v>
      </c>
      <c r="H949" s="475" t="s">
        <v>991</v>
      </c>
      <c r="I949" s="475" t="s">
        <v>67</v>
      </c>
      <c r="J949" s="475" t="s">
        <v>140</v>
      </c>
      <c r="K949" s="365">
        <v>4.13</v>
      </c>
      <c r="L949" s="475" t="s">
        <v>141</v>
      </c>
      <c r="M949" s="473"/>
    </row>
    <row r="950" spans="1:13" ht="13.5">
      <c r="A950" s="475" t="s">
        <v>5284</v>
      </c>
      <c r="B950" s="475" t="s">
        <v>5285</v>
      </c>
      <c r="C950" s="475" t="s">
        <v>5290</v>
      </c>
      <c r="D950" s="475" t="s">
        <v>5291</v>
      </c>
      <c r="E950" s="476" t="s">
        <v>34</v>
      </c>
      <c r="F950" s="475" t="s">
        <v>34</v>
      </c>
      <c r="G950" s="364">
        <v>92041</v>
      </c>
      <c r="H950" s="475" t="s">
        <v>992</v>
      </c>
      <c r="I950" s="475" t="s">
        <v>67</v>
      </c>
      <c r="J950" s="475" t="s">
        <v>140</v>
      </c>
      <c r="K950" s="365">
        <v>0.82</v>
      </c>
      <c r="L950" s="475" t="s">
        <v>141</v>
      </c>
      <c r="M950" s="473"/>
    </row>
    <row r="951" spans="1:13" ht="13.5">
      <c r="A951" s="475" t="s">
        <v>5284</v>
      </c>
      <c r="B951" s="475" t="s">
        <v>5285</v>
      </c>
      <c r="C951" s="475" t="s">
        <v>5290</v>
      </c>
      <c r="D951" s="475" t="s">
        <v>5291</v>
      </c>
      <c r="E951" s="476" t="s">
        <v>34</v>
      </c>
      <c r="F951" s="475" t="s">
        <v>34</v>
      </c>
      <c r="G951" s="364">
        <v>92042</v>
      </c>
      <c r="H951" s="475" t="s">
        <v>993</v>
      </c>
      <c r="I951" s="475" t="s">
        <v>67</v>
      </c>
      <c r="J951" s="475" t="s">
        <v>140</v>
      </c>
      <c r="K951" s="365">
        <v>3.44</v>
      </c>
      <c r="L951" s="475" t="s">
        <v>141</v>
      </c>
      <c r="M951" s="473"/>
    </row>
    <row r="952" spans="1:13" ht="13.5">
      <c r="A952" s="475" t="s">
        <v>5284</v>
      </c>
      <c r="B952" s="475" t="s">
        <v>5285</v>
      </c>
      <c r="C952" s="475" t="s">
        <v>5290</v>
      </c>
      <c r="D952" s="475" t="s">
        <v>5291</v>
      </c>
      <c r="E952" s="476" t="s">
        <v>34</v>
      </c>
      <c r="F952" s="475" t="s">
        <v>34</v>
      </c>
      <c r="G952" s="364">
        <v>92101</v>
      </c>
      <c r="H952" s="475" t="s">
        <v>994</v>
      </c>
      <c r="I952" s="475" t="s">
        <v>67</v>
      </c>
      <c r="J952" s="475" t="s">
        <v>140</v>
      </c>
      <c r="K952" s="365">
        <v>13.68</v>
      </c>
      <c r="L952" s="475" t="s">
        <v>141</v>
      </c>
      <c r="M952" s="473"/>
    </row>
    <row r="953" spans="1:13" ht="13.5">
      <c r="A953" s="475" t="s">
        <v>5284</v>
      </c>
      <c r="B953" s="475" t="s">
        <v>5285</v>
      </c>
      <c r="C953" s="475" t="s">
        <v>5290</v>
      </c>
      <c r="D953" s="475" t="s">
        <v>5291</v>
      </c>
      <c r="E953" s="476" t="s">
        <v>34</v>
      </c>
      <c r="F953" s="475" t="s">
        <v>34</v>
      </c>
      <c r="G953" s="364">
        <v>92102</v>
      </c>
      <c r="H953" s="475" t="s">
        <v>995</v>
      </c>
      <c r="I953" s="475" t="s">
        <v>67</v>
      </c>
      <c r="J953" s="475" t="s">
        <v>140</v>
      </c>
      <c r="K953" s="365">
        <v>5.45</v>
      </c>
      <c r="L953" s="475" t="s">
        <v>141</v>
      </c>
      <c r="M953" s="473"/>
    </row>
    <row r="954" spans="1:13" ht="13.5">
      <c r="A954" s="475" t="s">
        <v>5284</v>
      </c>
      <c r="B954" s="475" t="s">
        <v>5285</v>
      </c>
      <c r="C954" s="475" t="s">
        <v>5290</v>
      </c>
      <c r="D954" s="475" t="s">
        <v>5291</v>
      </c>
      <c r="E954" s="476" t="s">
        <v>34</v>
      </c>
      <c r="F954" s="475" t="s">
        <v>34</v>
      </c>
      <c r="G954" s="364">
        <v>92103</v>
      </c>
      <c r="H954" s="475" t="s">
        <v>996</v>
      </c>
      <c r="I954" s="475" t="s">
        <v>67</v>
      </c>
      <c r="J954" s="475" t="s">
        <v>140</v>
      </c>
      <c r="K954" s="365">
        <v>1.1100000000000001</v>
      </c>
      <c r="L954" s="475" t="s">
        <v>141</v>
      </c>
      <c r="M954" s="473"/>
    </row>
    <row r="955" spans="1:13" ht="13.5">
      <c r="A955" s="475" t="s">
        <v>5284</v>
      </c>
      <c r="B955" s="475" t="s">
        <v>5285</v>
      </c>
      <c r="C955" s="475" t="s">
        <v>5290</v>
      </c>
      <c r="D955" s="475" t="s">
        <v>5291</v>
      </c>
      <c r="E955" s="476" t="s">
        <v>34</v>
      </c>
      <c r="F955" s="475" t="s">
        <v>34</v>
      </c>
      <c r="G955" s="364">
        <v>92104</v>
      </c>
      <c r="H955" s="475" t="s">
        <v>997</v>
      </c>
      <c r="I955" s="475" t="s">
        <v>67</v>
      </c>
      <c r="J955" s="475" t="s">
        <v>140</v>
      </c>
      <c r="K955" s="365">
        <v>25.66</v>
      </c>
      <c r="L955" s="475" t="s">
        <v>141</v>
      </c>
      <c r="M955" s="473"/>
    </row>
    <row r="956" spans="1:13" ht="13.5">
      <c r="A956" s="475" t="s">
        <v>5284</v>
      </c>
      <c r="B956" s="475" t="s">
        <v>5285</v>
      </c>
      <c r="C956" s="475" t="s">
        <v>5290</v>
      </c>
      <c r="D956" s="475" t="s">
        <v>5291</v>
      </c>
      <c r="E956" s="476" t="s">
        <v>34</v>
      </c>
      <c r="F956" s="475" t="s">
        <v>34</v>
      </c>
      <c r="G956" s="364">
        <v>92105</v>
      </c>
      <c r="H956" s="475" t="s">
        <v>7449</v>
      </c>
      <c r="I956" s="475" t="s">
        <v>67</v>
      </c>
      <c r="J956" s="475" t="s">
        <v>363</v>
      </c>
      <c r="K956" s="365">
        <v>112.12</v>
      </c>
      <c r="L956" s="475" t="s">
        <v>141</v>
      </c>
      <c r="M956" s="473"/>
    </row>
    <row r="957" spans="1:13" ht="13.5">
      <c r="A957" s="475" t="s">
        <v>5284</v>
      </c>
      <c r="B957" s="475" t="s">
        <v>5285</v>
      </c>
      <c r="C957" s="475" t="s">
        <v>5290</v>
      </c>
      <c r="D957" s="475" t="s">
        <v>5291</v>
      </c>
      <c r="E957" s="476" t="s">
        <v>34</v>
      </c>
      <c r="F957" s="475" t="s">
        <v>34</v>
      </c>
      <c r="G957" s="364">
        <v>92108</v>
      </c>
      <c r="H957" s="475" t="s">
        <v>998</v>
      </c>
      <c r="I957" s="475" t="s">
        <v>67</v>
      </c>
      <c r="J957" s="475" t="s">
        <v>337</v>
      </c>
      <c r="K957" s="365">
        <v>0.64</v>
      </c>
      <c r="L957" s="475" t="s">
        <v>141</v>
      </c>
      <c r="M957" s="473"/>
    </row>
    <row r="958" spans="1:13" ht="13.5">
      <c r="A958" s="475" t="s">
        <v>5284</v>
      </c>
      <c r="B958" s="475" t="s">
        <v>5285</v>
      </c>
      <c r="C958" s="475" t="s">
        <v>5290</v>
      </c>
      <c r="D958" s="475" t="s">
        <v>5291</v>
      </c>
      <c r="E958" s="476" t="s">
        <v>34</v>
      </c>
      <c r="F958" s="475" t="s">
        <v>34</v>
      </c>
      <c r="G958" s="364">
        <v>92109</v>
      </c>
      <c r="H958" s="475" t="s">
        <v>999</v>
      </c>
      <c r="I958" s="475" t="s">
        <v>67</v>
      </c>
      <c r="J958" s="475" t="s">
        <v>337</v>
      </c>
      <c r="K958" s="365">
        <v>0.14000000000000001</v>
      </c>
      <c r="L958" s="475" t="s">
        <v>141</v>
      </c>
      <c r="M958" s="473"/>
    </row>
    <row r="959" spans="1:13" ht="13.5">
      <c r="A959" s="475" t="s">
        <v>5284</v>
      </c>
      <c r="B959" s="475" t="s">
        <v>5285</v>
      </c>
      <c r="C959" s="475" t="s">
        <v>5290</v>
      </c>
      <c r="D959" s="475" t="s">
        <v>5291</v>
      </c>
      <c r="E959" s="476" t="s">
        <v>34</v>
      </c>
      <c r="F959" s="475" t="s">
        <v>34</v>
      </c>
      <c r="G959" s="364">
        <v>92110</v>
      </c>
      <c r="H959" s="475" t="s">
        <v>1000</v>
      </c>
      <c r="I959" s="475" t="s">
        <v>67</v>
      </c>
      <c r="J959" s="475" t="s">
        <v>337</v>
      </c>
      <c r="K959" s="365">
        <v>0.5</v>
      </c>
      <c r="L959" s="475" t="s">
        <v>141</v>
      </c>
      <c r="M959" s="473"/>
    </row>
    <row r="960" spans="1:13" ht="13.5">
      <c r="A960" s="475" t="s">
        <v>5284</v>
      </c>
      <c r="B960" s="475" t="s">
        <v>5285</v>
      </c>
      <c r="C960" s="475" t="s">
        <v>5290</v>
      </c>
      <c r="D960" s="475" t="s">
        <v>5291</v>
      </c>
      <c r="E960" s="476" t="s">
        <v>34</v>
      </c>
      <c r="F960" s="475" t="s">
        <v>34</v>
      </c>
      <c r="G960" s="364">
        <v>92111</v>
      </c>
      <c r="H960" s="475" t="s">
        <v>1001</v>
      </c>
      <c r="I960" s="475" t="s">
        <v>67</v>
      </c>
      <c r="J960" s="475" t="s">
        <v>337</v>
      </c>
      <c r="K960" s="365">
        <v>0.82</v>
      </c>
      <c r="L960" s="475" t="s">
        <v>141</v>
      </c>
      <c r="M960" s="473"/>
    </row>
    <row r="961" spans="1:13" ht="13.5">
      <c r="A961" s="475" t="s">
        <v>5284</v>
      </c>
      <c r="B961" s="475" t="s">
        <v>5285</v>
      </c>
      <c r="C961" s="475" t="s">
        <v>5290</v>
      </c>
      <c r="D961" s="475" t="s">
        <v>5291</v>
      </c>
      <c r="E961" s="476" t="s">
        <v>34</v>
      </c>
      <c r="F961" s="475" t="s">
        <v>34</v>
      </c>
      <c r="G961" s="364">
        <v>92114</v>
      </c>
      <c r="H961" s="475" t="s">
        <v>1002</v>
      </c>
      <c r="I961" s="475" t="s">
        <v>67</v>
      </c>
      <c r="J961" s="475" t="s">
        <v>337</v>
      </c>
      <c r="K961" s="365">
        <v>7.0000000000000007E-2</v>
      </c>
      <c r="L961" s="475" t="s">
        <v>141</v>
      </c>
      <c r="M961" s="473"/>
    </row>
    <row r="962" spans="1:13" ht="13.5">
      <c r="A962" s="475" t="s">
        <v>5284</v>
      </c>
      <c r="B962" s="475" t="s">
        <v>5285</v>
      </c>
      <c r="C962" s="475" t="s">
        <v>5290</v>
      </c>
      <c r="D962" s="475" t="s">
        <v>5291</v>
      </c>
      <c r="E962" s="476" t="s">
        <v>34</v>
      </c>
      <c r="F962" s="475" t="s">
        <v>34</v>
      </c>
      <c r="G962" s="364">
        <v>92115</v>
      </c>
      <c r="H962" s="475" t="s">
        <v>1003</v>
      </c>
      <c r="I962" s="475" t="s">
        <v>67</v>
      </c>
      <c r="J962" s="475" t="s">
        <v>337</v>
      </c>
      <c r="K962" s="365">
        <v>0.01</v>
      </c>
      <c r="L962" s="475" t="s">
        <v>141</v>
      </c>
      <c r="M962" s="473"/>
    </row>
    <row r="963" spans="1:13" ht="13.5">
      <c r="A963" s="475" t="s">
        <v>5284</v>
      </c>
      <c r="B963" s="475" t="s">
        <v>5285</v>
      </c>
      <c r="C963" s="475" t="s">
        <v>5290</v>
      </c>
      <c r="D963" s="475" t="s">
        <v>5291</v>
      </c>
      <c r="E963" s="476" t="s">
        <v>34</v>
      </c>
      <c r="F963" s="475" t="s">
        <v>34</v>
      </c>
      <c r="G963" s="364">
        <v>92116</v>
      </c>
      <c r="H963" s="475" t="s">
        <v>1004</v>
      </c>
      <c r="I963" s="475" t="s">
        <v>67</v>
      </c>
      <c r="J963" s="475" t="s">
        <v>337</v>
      </c>
      <c r="K963" s="365">
        <v>0.09</v>
      </c>
      <c r="L963" s="475" t="s">
        <v>141</v>
      </c>
      <c r="M963" s="473"/>
    </row>
    <row r="964" spans="1:13" ht="13.5">
      <c r="A964" s="475" t="s">
        <v>5284</v>
      </c>
      <c r="B964" s="475" t="s">
        <v>5285</v>
      </c>
      <c r="C964" s="475" t="s">
        <v>5290</v>
      </c>
      <c r="D964" s="475" t="s">
        <v>5291</v>
      </c>
      <c r="E964" s="476" t="s">
        <v>34</v>
      </c>
      <c r="F964" s="475" t="s">
        <v>34</v>
      </c>
      <c r="G964" s="364">
        <v>92133</v>
      </c>
      <c r="H964" s="475" t="s">
        <v>1005</v>
      </c>
      <c r="I964" s="475" t="s">
        <v>67</v>
      </c>
      <c r="J964" s="475" t="s">
        <v>337</v>
      </c>
      <c r="K964" s="365">
        <v>7.27</v>
      </c>
      <c r="L964" s="475" t="s">
        <v>141</v>
      </c>
      <c r="M964" s="473"/>
    </row>
    <row r="965" spans="1:13" ht="13.5">
      <c r="A965" s="475" t="s">
        <v>5284</v>
      </c>
      <c r="B965" s="475" t="s">
        <v>5285</v>
      </c>
      <c r="C965" s="475" t="s">
        <v>5290</v>
      </c>
      <c r="D965" s="475" t="s">
        <v>5291</v>
      </c>
      <c r="E965" s="476" t="s">
        <v>34</v>
      </c>
      <c r="F965" s="475" t="s">
        <v>34</v>
      </c>
      <c r="G965" s="364">
        <v>92134</v>
      </c>
      <c r="H965" s="475" t="s">
        <v>1006</v>
      </c>
      <c r="I965" s="475" t="s">
        <v>67</v>
      </c>
      <c r="J965" s="475" t="s">
        <v>337</v>
      </c>
      <c r="K965" s="365">
        <v>2.1800000000000002</v>
      </c>
      <c r="L965" s="475" t="s">
        <v>141</v>
      </c>
      <c r="M965" s="473"/>
    </row>
    <row r="966" spans="1:13" ht="13.5">
      <c r="A966" s="475" t="s">
        <v>5284</v>
      </c>
      <c r="B966" s="475" t="s">
        <v>5285</v>
      </c>
      <c r="C966" s="475" t="s">
        <v>5290</v>
      </c>
      <c r="D966" s="475" t="s">
        <v>5291</v>
      </c>
      <c r="E966" s="476" t="s">
        <v>34</v>
      </c>
      <c r="F966" s="475" t="s">
        <v>34</v>
      </c>
      <c r="G966" s="364">
        <v>92135</v>
      </c>
      <c r="H966" s="475" t="s">
        <v>1007</v>
      </c>
      <c r="I966" s="475" t="s">
        <v>67</v>
      </c>
      <c r="J966" s="475" t="s">
        <v>337</v>
      </c>
      <c r="K966" s="365">
        <v>0.45</v>
      </c>
      <c r="L966" s="475" t="s">
        <v>141</v>
      </c>
      <c r="M966" s="473"/>
    </row>
    <row r="967" spans="1:13" ht="13.5">
      <c r="A967" s="475" t="s">
        <v>5284</v>
      </c>
      <c r="B967" s="475" t="s">
        <v>5285</v>
      </c>
      <c r="C967" s="475" t="s">
        <v>5290</v>
      </c>
      <c r="D967" s="475" t="s">
        <v>5291</v>
      </c>
      <c r="E967" s="476" t="s">
        <v>34</v>
      </c>
      <c r="F967" s="475" t="s">
        <v>34</v>
      </c>
      <c r="G967" s="364">
        <v>92136</v>
      </c>
      <c r="H967" s="475" t="s">
        <v>1008</v>
      </c>
      <c r="I967" s="475" t="s">
        <v>67</v>
      </c>
      <c r="J967" s="475" t="s">
        <v>337</v>
      </c>
      <c r="K967" s="365">
        <v>9.09</v>
      </c>
      <c r="L967" s="475" t="s">
        <v>141</v>
      </c>
      <c r="M967" s="473"/>
    </row>
    <row r="968" spans="1:13" ht="13.5">
      <c r="A968" s="475" t="s">
        <v>5284</v>
      </c>
      <c r="B968" s="475" t="s">
        <v>5285</v>
      </c>
      <c r="C968" s="475" t="s">
        <v>5290</v>
      </c>
      <c r="D968" s="475" t="s">
        <v>5291</v>
      </c>
      <c r="E968" s="476" t="s">
        <v>34</v>
      </c>
      <c r="F968" s="475" t="s">
        <v>34</v>
      </c>
      <c r="G968" s="364">
        <v>92137</v>
      </c>
      <c r="H968" s="475" t="s">
        <v>1009</v>
      </c>
      <c r="I968" s="475" t="s">
        <v>67</v>
      </c>
      <c r="J968" s="475" t="s">
        <v>363</v>
      </c>
      <c r="K968" s="365">
        <v>87.76</v>
      </c>
      <c r="L968" s="475" t="s">
        <v>141</v>
      </c>
      <c r="M968" s="473"/>
    </row>
    <row r="969" spans="1:13" ht="13.5">
      <c r="A969" s="475" t="s">
        <v>5284</v>
      </c>
      <c r="B969" s="475" t="s">
        <v>5285</v>
      </c>
      <c r="C969" s="475" t="s">
        <v>5290</v>
      </c>
      <c r="D969" s="475" t="s">
        <v>5291</v>
      </c>
      <c r="E969" s="476" t="s">
        <v>34</v>
      </c>
      <c r="F969" s="475" t="s">
        <v>34</v>
      </c>
      <c r="G969" s="364">
        <v>92140</v>
      </c>
      <c r="H969" s="475" t="s">
        <v>1010</v>
      </c>
      <c r="I969" s="475" t="s">
        <v>67</v>
      </c>
      <c r="J969" s="475" t="s">
        <v>337</v>
      </c>
      <c r="K969" s="365">
        <v>2.21</v>
      </c>
      <c r="L969" s="475" t="s">
        <v>141</v>
      </c>
      <c r="M969" s="473"/>
    </row>
    <row r="970" spans="1:13" ht="13.5">
      <c r="A970" s="475" t="s">
        <v>5284</v>
      </c>
      <c r="B970" s="475" t="s">
        <v>5285</v>
      </c>
      <c r="C970" s="475" t="s">
        <v>5290</v>
      </c>
      <c r="D970" s="475" t="s">
        <v>5291</v>
      </c>
      <c r="E970" s="476" t="s">
        <v>34</v>
      </c>
      <c r="F970" s="475" t="s">
        <v>34</v>
      </c>
      <c r="G970" s="364">
        <v>92141</v>
      </c>
      <c r="H970" s="475" t="s">
        <v>1011</v>
      </c>
      <c r="I970" s="475" t="s">
        <v>67</v>
      </c>
      <c r="J970" s="475" t="s">
        <v>337</v>
      </c>
      <c r="K970" s="365">
        <v>0.66</v>
      </c>
      <c r="L970" s="475" t="s">
        <v>141</v>
      </c>
      <c r="M970" s="473"/>
    </row>
    <row r="971" spans="1:13" ht="13.5">
      <c r="A971" s="475" t="s">
        <v>5284</v>
      </c>
      <c r="B971" s="475" t="s">
        <v>5285</v>
      </c>
      <c r="C971" s="475" t="s">
        <v>5290</v>
      </c>
      <c r="D971" s="475" t="s">
        <v>5291</v>
      </c>
      <c r="E971" s="476" t="s">
        <v>34</v>
      </c>
      <c r="F971" s="475" t="s">
        <v>34</v>
      </c>
      <c r="G971" s="364">
        <v>92142</v>
      </c>
      <c r="H971" s="475" t="s">
        <v>1012</v>
      </c>
      <c r="I971" s="475" t="s">
        <v>67</v>
      </c>
      <c r="J971" s="475" t="s">
        <v>337</v>
      </c>
      <c r="K971" s="365">
        <v>0.13</v>
      </c>
      <c r="L971" s="475" t="s">
        <v>141</v>
      </c>
      <c r="M971" s="473"/>
    </row>
    <row r="972" spans="1:13" ht="13.5">
      <c r="A972" s="475" t="s">
        <v>5284</v>
      </c>
      <c r="B972" s="475" t="s">
        <v>5285</v>
      </c>
      <c r="C972" s="475" t="s">
        <v>5290</v>
      </c>
      <c r="D972" s="475" t="s">
        <v>5291</v>
      </c>
      <c r="E972" s="476" t="s">
        <v>34</v>
      </c>
      <c r="F972" s="475" t="s">
        <v>34</v>
      </c>
      <c r="G972" s="364">
        <v>92143</v>
      </c>
      <c r="H972" s="475" t="s">
        <v>1013</v>
      </c>
      <c r="I972" s="475" t="s">
        <v>67</v>
      </c>
      <c r="J972" s="475" t="s">
        <v>337</v>
      </c>
      <c r="K972" s="365">
        <v>2.77</v>
      </c>
      <c r="L972" s="475" t="s">
        <v>141</v>
      </c>
      <c r="M972" s="473"/>
    </row>
    <row r="973" spans="1:13" ht="13.5">
      <c r="A973" s="475" t="s">
        <v>5284</v>
      </c>
      <c r="B973" s="475" t="s">
        <v>5285</v>
      </c>
      <c r="C973" s="475" t="s">
        <v>5290</v>
      </c>
      <c r="D973" s="475" t="s">
        <v>5291</v>
      </c>
      <c r="E973" s="476" t="s">
        <v>34</v>
      </c>
      <c r="F973" s="475" t="s">
        <v>34</v>
      </c>
      <c r="G973" s="364">
        <v>92144</v>
      </c>
      <c r="H973" s="475" t="s">
        <v>1014</v>
      </c>
      <c r="I973" s="475" t="s">
        <v>67</v>
      </c>
      <c r="J973" s="475" t="s">
        <v>363</v>
      </c>
      <c r="K973" s="365">
        <v>62.3</v>
      </c>
      <c r="L973" s="475" t="s">
        <v>141</v>
      </c>
      <c r="M973" s="473"/>
    </row>
    <row r="974" spans="1:13" ht="13.5">
      <c r="A974" s="475" t="s">
        <v>5284</v>
      </c>
      <c r="B974" s="475" t="s">
        <v>5285</v>
      </c>
      <c r="C974" s="475" t="s">
        <v>5290</v>
      </c>
      <c r="D974" s="475" t="s">
        <v>5291</v>
      </c>
      <c r="E974" s="476" t="s">
        <v>34</v>
      </c>
      <c r="F974" s="475" t="s">
        <v>34</v>
      </c>
      <c r="G974" s="364">
        <v>92237</v>
      </c>
      <c r="H974" s="475" t="s">
        <v>1015</v>
      </c>
      <c r="I974" s="475" t="s">
        <v>67</v>
      </c>
      <c r="J974" s="475" t="s">
        <v>140</v>
      </c>
      <c r="K974" s="365">
        <v>12.8</v>
      </c>
      <c r="L974" s="475" t="s">
        <v>141</v>
      </c>
      <c r="M974" s="473"/>
    </row>
    <row r="975" spans="1:13" ht="13.5">
      <c r="A975" s="475" t="s">
        <v>5284</v>
      </c>
      <c r="B975" s="475" t="s">
        <v>5285</v>
      </c>
      <c r="C975" s="475" t="s">
        <v>5290</v>
      </c>
      <c r="D975" s="475" t="s">
        <v>5291</v>
      </c>
      <c r="E975" s="476" t="s">
        <v>34</v>
      </c>
      <c r="F975" s="475" t="s">
        <v>34</v>
      </c>
      <c r="G975" s="364">
        <v>92238</v>
      </c>
      <c r="H975" s="475" t="s">
        <v>1016</v>
      </c>
      <c r="I975" s="475" t="s">
        <v>67</v>
      </c>
      <c r="J975" s="475" t="s">
        <v>140</v>
      </c>
      <c r="K975" s="365">
        <v>5.1100000000000003</v>
      </c>
      <c r="L975" s="475" t="s">
        <v>141</v>
      </c>
      <c r="M975" s="473"/>
    </row>
    <row r="976" spans="1:13" ht="13.5">
      <c r="A976" s="475" t="s">
        <v>5284</v>
      </c>
      <c r="B976" s="475" t="s">
        <v>5285</v>
      </c>
      <c r="C976" s="475" t="s">
        <v>5290</v>
      </c>
      <c r="D976" s="475" t="s">
        <v>5291</v>
      </c>
      <c r="E976" s="476" t="s">
        <v>34</v>
      </c>
      <c r="F976" s="475" t="s">
        <v>34</v>
      </c>
      <c r="G976" s="364">
        <v>92239</v>
      </c>
      <c r="H976" s="475" t="s">
        <v>1017</v>
      </c>
      <c r="I976" s="475" t="s">
        <v>67</v>
      </c>
      <c r="J976" s="475" t="s">
        <v>140</v>
      </c>
      <c r="K976" s="365">
        <v>1.04</v>
      </c>
      <c r="L976" s="475" t="s">
        <v>141</v>
      </c>
      <c r="M976" s="473"/>
    </row>
    <row r="977" spans="1:13" ht="13.5">
      <c r="A977" s="475" t="s">
        <v>5284</v>
      </c>
      <c r="B977" s="475" t="s">
        <v>5285</v>
      </c>
      <c r="C977" s="475" t="s">
        <v>5290</v>
      </c>
      <c r="D977" s="475" t="s">
        <v>5291</v>
      </c>
      <c r="E977" s="476" t="s">
        <v>34</v>
      </c>
      <c r="F977" s="475" t="s">
        <v>34</v>
      </c>
      <c r="G977" s="364">
        <v>92240</v>
      </c>
      <c r="H977" s="475" t="s">
        <v>1018</v>
      </c>
      <c r="I977" s="475" t="s">
        <v>67</v>
      </c>
      <c r="J977" s="475" t="s">
        <v>140</v>
      </c>
      <c r="K977" s="365">
        <v>24</v>
      </c>
      <c r="L977" s="475" t="s">
        <v>141</v>
      </c>
      <c r="M977" s="473"/>
    </row>
    <row r="978" spans="1:13" ht="13.5">
      <c r="A978" s="475" t="s">
        <v>5284</v>
      </c>
      <c r="B978" s="475" t="s">
        <v>5285</v>
      </c>
      <c r="C978" s="475" t="s">
        <v>5290</v>
      </c>
      <c r="D978" s="475" t="s">
        <v>5291</v>
      </c>
      <c r="E978" s="476" t="s">
        <v>34</v>
      </c>
      <c r="F978" s="475" t="s">
        <v>34</v>
      </c>
      <c r="G978" s="364">
        <v>92241</v>
      </c>
      <c r="H978" s="475" t="s">
        <v>1019</v>
      </c>
      <c r="I978" s="475" t="s">
        <v>67</v>
      </c>
      <c r="J978" s="475" t="s">
        <v>363</v>
      </c>
      <c r="K978" s="365">
        <v>160.88</v>
      </c>
      <c r="L978" s="475" t="s">
        <v>141</v>
      </c>
      <c r="M978" s="473"/>
    </row>
    <row r="979" spans="1:13" ht="13.5">
      <c r="A979" s="475" t="s">
        <v>5284</v>
      </c>
      <c r="B979" s="475" t="s">
        <v>5285</v>
      </c>
      <c r="C979" s="475" t="s">
        <v>5290</v>
      </c>
      <c r="D979" s="475" t="s">
        <v>5291</v>
      </c>
      <c r="E979" s="476" t="s">
        <v>34</v>
      </c>
      <c r="F979" s="475" t="s">
        <v>34</v>
      </c>
      <c r="G979" s="364">
        <v>92712</v>
      </c>
      <c r="H979" s="475" t="s">
        <v>1020</v>
      </c>
      <c r="I979" s="475" t="s">
        <v>67</v>
      </c>
      <c r="J979" s="475" t="s">
        <v>140</v>
      </c>
      <c r="K979" s="365">
        <v>0.18</v>
      </c>
      <c r="L979" s="475" t="s">
        <v>141</v>
      </c>
      <c r="M979" s="473"/>
    </row>
    <row r="980" spans="1:13" ht="13.5">
      <c r="A980" s="475" t="s">
        <v>5284</v>
      </c>
      <c r="B980" s="475" t="s">
        <v>5285</v>
      </c>
      <c r="C980" s="475" t="s">
        <v>5290</v>
      </c>
      <c r="D980" s="475" t="s">
        <v>5291</v>
      </c>
      <c r="E980" s="476" t="s">
        <v>34</v>
      </c>
      <c r="F980" s="475" t="s">
        <v>34</v>
      </c>
      <c r="G980" s="364">
        <v>92713</v>
      </c>
      <c r="H980" s="475" t="s">
        <v>1021</v>
      </c>
      <c r="I980" s="475" t="s">
        <v>67</v>
      </c>
      <c r="J980" s="475" t="s">
        <v>140</v>
      </c>
      <c r="K980" s="365">
        <v>0.04</v>
      </c>
      <c r="L980" s="475" t="s">
        <v>141</v>
      </c>
      <c r="M980" s="473"/>
    </row>
    <row r="981" spans="1:13" ht="13.5">
      <c r="A981" s="475" t="s">
        <v>5284</v>
      </c>
      <c r="B981" s="475" t="s">
        <v>5285</v>
      </c>
      <c r="C981" s="475" t="s">
        <v>5290</v>
      </c>
      <c r="D981" s="475" t="s">
        <v>5291</v>
      </c>
      <c r="E981" s="476" t="s">
        <v>34</v>
      </c>
      <c r="F981" s="475" t="s">
        <v>34</v>
      </c>
      <c r="G981" s="364">
        <v>92714</v>
      </c>
      <c r="H981" s="475" t="s">
        <v>1022</v>
      </c>
      <c r="I981" s="475" t="s">
        <v>67</v>
      </c>
      <c r="J981" s="475" t="s">
        <v>140</v>
      </c>
      <c r="K981" s="365">
        <v>0.23</v>
      </c>
      <c r="L981" s="475" t="s">
        <v>141</v>
      </c>
      <c r="M981" s="473"/>
    </row>
    <row r="982" spans="1:13" ht="13.5">
      <c r="A982" s="475" t="s">
        <v>5284</v>
      </c>
      <c r="B982" s="475" t="s">
        <v>5285</v>
      </c>
      <c r="C982" s="475" t="s">
        <v>5290</v>
      </c>
      <c r="D982" s="475" t="s">
        <v>5291</v>
      </c>
      <c r="E982" s="476" t="s">
        <v>34</v>
      </c>
      <c r="F982" s="475" t="s">
        <v>34</v>
      </c>
      <c r="G982" s="364">
        <v>92715</v>
      </c>
      <c r="H982" s="475" t="s">
        <v>1023</v>
      </c>
      <c r="I982" s="475" t="s">
        <v>67</v>
      </c>
      <c r="J982" s="475" t="s">
        <v>337</v>
      </c>
      <c r="K982" s="365">
        <v>15.93</v>
      </c>
      <c r="L982" s="475" t="s">
        <v>141</v>
      </c>
      <c r="M982" s="473"/>
    </row>
    <row r="983" spans="1:13" ht="13.5">
      <c r="A983" s="475" t="s">
        <v>5284</v>
      </c>
      <c r="B983" s="475" t="s">
        <v>5285</v>
      </c>
      <c r="C983" s="475" t="s">
        <v>5290</v>
      </c>
      <c r="D983" s="475" t="s">
        <v>5291</v>
      </c>
      <c r="E983" s="476" t="s">
        <v>34</v>
      </c>
      <c r="F983" s="475" t="s">
        <v>34</v>
      </c>
      <c r="G983" s="364">
        <v>92956</v>
      </c>
      <c r="H983" s="475" t="s">
        <v>1024</v>
      </c>
      <c r="I983" s="475" t="s">
        <v>67</v>
      </c>
      <c r="J983" s="475" t="s">
        <v>140</v>
      </c>
      <c r="K983" s="365">
        <v>5.01</v>
      </c>
      <c r="L983" s="475" t="s">
        <v>141</v>
      </c>
      <c r="M983" s="473"/>
    </row>
    <row r="984" spans="1:13" ht="13.5">
      <c r="A984" s="475" t="s">
        <v>5284</v>
      </c>
      <c r="B984" s="475" t="s">
        <v>5285</v>
      </c>
      <c r="C984" s="475" t="s">
        <v>5290</v>
      </c>
      <c r="D984" s="475" t="s">
        <v>5291</v>
      </c>
      <c r="E984" s="476" t="s">
        <v>34</v>
      </c>
      <c r="F984" s="475" t="s">
        <v>34</v>
      </c>
      <c r="G984" s="364">
        <v>92957</v>
      </c>
      <c r="H984" s="475" t="s">
        <v>1025</v>
      </c>
      <c r="I984" s="475" t="s">
        <v>67</v>
      </c>
      <c r="J984" s="475" t="s">
        <v>140</v>
      </c>
      <c r="K984" s="365">
        <v>1.1200000000000001</v>
      </c>
      <c r="L984" s="475" t="s">
        <v>141</v>
      </c>
      <c r="M984" s="473"/>
    </row>
    <row r="985" spans="1:13" ht="13.5">
      <c r="A985" s="475" t="s">
        <v>5284</v>
      </c>
      <c r="B985" s="475" t="s">
        <v>5285</v>
      </c>
      <c r="C985" s="475" t="s">
        <v>5290</v>
      </c>
      <c r="D985" s="475" t="s">
        <v>5291</v>
      </c>
      <c r="E985" s="476" t="s">
        <v>34</v>
      </c>
      <c r="F985" s="475" t="s">
        <v>34</v>
      </c>
      <c r="G985" s="364">
        <v>92958</v>
      </c>
      <c r="H985" s="475" t="s">
        <v>1026</v>
      </c>
      <c r="I985" s="475" t="s">
        <v>67</v>
      </c>
      <c r="J985" s="475" t="s">
        <v>140</v>
      </c>
      <c r="K985" s="365">
        <v>5.48</v>
      </c>
      <c r="L985" s="475" t="s">
        <v>141</v>
      </c>
      <c r="M985" s="473"/>
    </row>
    <row r="986" spans="1:13" ht="13.5">
      <c r="A986" s="475" t="s">
        <v>5284</v>
      </c>
      <c r="B986" s="475" t="s">
        <v>5285</v>
      </c>
      <c r="C986" s="475" t="s">
        <v>5290</v>
      </c>
      <c r="D986" s="475" t="s">
        <v>5291</v>
      </c>
      <c r="E986" s="476" t="s">
        <v>34</v>
      </c>
      <c r="F986" s="475" t="s">
        <v>34</v>
      </c>
      <c r="G986" s="364">
        <v>92959</v>
      </c>
      <c r="H986" s="475" t="s">
        <v>1027</v>
      </c>
      <c r="I986" s="475" t="s">
        <v>67</v>
      </c>
      <c r="J986" s="475" t="s">
        <v>363</v>
      </c>
      <c r="K986" s="365">
        <v>6.8</v>
      </c>
      <c r="L986" s="475" t="s">
        <v>141</v>
      </c>
      <c r="M986" s="473"/>
    </row>
    <row r="987" spans="1:13" ht="13.5">
      <c r="A987" s="475" t="s">
        <v>5284</v>
      </c>
      <c r="B987" s="475" t="s">
        <v>5285</v>
      </c>
      <c r="C987" s="475" t="s">
        <v>5290</v>
      </c>
      <c r="D987" s="475" t="s">
        <v>5291</v>
      </c>
      <c r="E987" s="476" t="s">
        <v>34</v>
      </c>
      <c r="F987" s="475" t="s">
        <v>34</v>
      </c>
      <c r="G987" s="364">
        <v>92963</v>
      </c>
      <c r="H987" s="475" t="s">
        <v>1028</v>
      </c>
      <c r="I987" s="475" t="s">
        <v>67</v>
      </c>
      <c r="J987" s="475" t="s">
        <v>140</v>
      </c>
      <c r="K987" s="365">
        <v>0.87</v>
      </c>
      <c r="L987" s="475" t="s">
        <v>141</v>
      </c>
      <c r="M987" s="473"/>
    </row>
    <row r="988" spans="1:13" ht="13.5">
      <c r="A988" s="475" t="s">
        <v>5284</v>
      </c>
      <c r="B988" s="475" t="s">
        <v>5285</v>
      </c>
      <c r="C988" s="475" t="s">
        <v>5290</v>
      </c>
      <c r="D988" s="475" t="s">
        <v>5291</v>
      </c>
      <c r="E988" s="476" t="s">
        <v>34</v>
      </c>
      <c r="F988" s="475" t="s">
        <v>34</v>
      </c>
      <c r="G988" s="364">
        <v>92964</v>
      </c>
      <c r="H988" s="475" t="s">
        <v>1029</v>
      </c>
      <c r="I988" s="475" t="s">
        <v>67</v>
      </c>
      <c r="J988" s="475" t="s">
        <v>140</v>
      </c>
      <c r="K988" s="365">
        <v>0.19</v>
      </c>
      <c r="L988" s="475" t="s">
        <v>141</v>
      </c>
      <c r="M988" s="473"/>
    </row>
    <row r="989" spans="1:13" ht="13.5">
      <c r="A989" s="475" t="s">
        <v>5284</v>
      </c>
      <c r="B989" s="475" t="s">
        <v>5285</v>
      </c>
      <c r="C989" s="475" t="s">
        <v>5290</v>
      </c>
      <c r="D989" s="475" t="s">
        <v>5291</v>
      </c>
      <c r="E989" s="476" t="s">
        <v>34</v>
      </c>
      <c r="F989" s="475" t="s">
        <v>34</v>
      </c>
      <c r="G989" s="364">
        <v>92965</v>
      </c>
      <c r="H989" s="475" t="s">
        <v>1030</v>
      </c>
      <c r="I989" s="475" t="s">
        <v>67</v>
      </c>
      <c r="J989" s="475" t="s">
        <v>140</v>
      </c>
      <c r="K989" s="365">
        <v>1.0900000000000001</v>
      </c>
      <c r="L989" s="475" t="s">
        <v>141</v>
      </c>
      <c r="M989" s="473"/>
    </row>
    <row r="990" spans="1:13" ht="13.5">
      <c r="A990" s="475" t="s">
        <v>5284</v>
      </c>
      <c r="B990" s="475" t="s">
        <v>5285</v>
      </c>
      <c r="C990" s="475" t="s">
        <v>5290</v>
      </c>
      <c r="D990" s="475" t="s">
        <v>5291</v>
      </c>
      <c r="E990" s="476" t="s">
        <v>34</v>
      </c>
      <c r="F990" s="475" t="s">
        <v>34</v>
      </c>
      <c r="G990" s="364">
        <v>93220</v>
      </c>
      <c r="H990" s="475" t="s">
        <v>1031</v>
      </c>
      <c r="I990" s="475" t="s">
        <v>67</v>
      </c>
      <c r="J990" s="475" t="s">
        <v>140</v>
      </c>
      <c r="K990" s="365">
        <v>165.47</v>
      </c>
      <c r="L990" s="475" t="s">
        <v>141</v>
      </c>
      <c r="M990" s="473"/>
    </row>
    <row r="991" spans="1:13" ht="13.5">
      <c r="A991" s="475" t="s">
        <v>5284</v>
      </c>
      <c r="B991" s="475" t="s">
        <v>5285</v>
      </c>
      <c r="C991" s="475" t="s">
        <v>5290</v>
      </c>
      <c r="D991" s="475" t="s">
        <v>5291</v>
      </c>
      <c r="E991" s="476" t="s">
        <v>34</v>
      </c>
      <c r="F991" s="475" t="s">
        <v>34</v>
      </c>
      <c r="G991" s="364">
        <v>93221</v>
      </c>
      <c r="H991" s="475" t="s">
        <v>1032</v>
      </c>
      <c r="I991" s="475" t="s">
        <v>67</v>
      </c>
      <c r="J991" s="475" t="s">
        <v>140</v>
      </c>
      <c r="K991" s="365">
        <v>43.46</v>
      </c>
      <c r="L991" s="475" t="s">
        <v>141</v>
      </c>
      <c r="M991" s="473"/>
    </row>
    <row r="992" spans="1:13" ht="13.5">
      <c r="A992" s="475" t="s">
        <v>5284</v>
      </c>
      <c r="B992" s="475" t="s">
        <v>5285</v>
      </c>
      <c r="C992" s="475" t="s">
        <v>5290</v>
      </c>
      <c r="D992" s="475" t="s">
        <v>5291</v>
      </c>
      <c r="E992" s="476" t="s">
        <v>34</v>
      </c>
      <c r="F992" s="475" t="s">
        <v>34</v>
      </c>
      <c r="G992" s="364">
        <v>93222</v>
      </c>
      <c r="H992" s="475" t="s">
        <v>1033</v>
      </c>
      <c r="I992" s="475" t="s">
        <v>67</v>
      </c>
      <c r="J992" s="475" t="s">
        <v>140</v>
      </c>
      <c r="K992" s="365">
        <v>207.08</v>
      </c>
      <c r="L992" s="475" t="s">
        <v>141</v>
      </c>
      <c r="M992" s="473"/>
    </row>
    <row r="993" spans="1:13" ht="13.5">
      <c r="A993" s="475" t="s">
        <v>5284</v>
      </c>
      <c r="B993" s="475" t="s">
        <v>5285</v>
      </c>
      <c r="C993" s="475" t="s">
        <v>5290</v>
      </c>
      <c r="D993" s="475" t="s">
        <v>5291</v>
      </c>
      <c r="E993" s="476" t="s">
        <v>34</v>
      </c>
      <c r="F993" s="475" t="s">
        <v>34</v>
      </c>
      <c r="G993" s="364">
        <v>93223</v>
      </c>
      <c r="H993" s="475" t="s">
        <v>1034</v>
      </c>
      <c r="I993" s="475" t="s">
        <v>67</v>
      </c>
      <c r="J993" s="475" t="s">
        <v>363</v>
      </c>
      <c r="K993" s="365">
        <v>172.96</v>
      </c>
      <c r="L993" s="475" t="s">
        <v>141</v>
      </c>
      <c r="M993" s="473"/>
    </row>
    <row r="994" spans="1:13" ht="13.5">
      <c r="A994" s="475" t="s">
        <v>5284</v>
      </c>
      <c r="B994" s="475" t="s">
        <v>5285</v>
      </c>
      <c r="C994" s="475" t="s">
        <v>5290</v>
      </c>
      <c r="D994" s="475" t="s">
        <v>5291</v>
      </c>
      <c r="E994" s="476" t="s">
        <v>34</v>
      </c>
      <c r="F994" s="475" t="s">
        <v>34</v>
      </c>
      <c r="G994" s="364">
        <v>93229</v>
      </c>
      <c r="H994" s="475" t="s">
        <v>1035</v>
      </c>
      <c r="I994" s="475" t="s">
        <v>67</v>
      </c>
      <c r="J994" s="475" t="s">
        <v>337</v>
      </c>
      <c r="K994" s="365">
        <v>0.27</v>
      </c>
      <c r="L994" s="475" t="s">
        <v>141</v>
      </c>
      <c r="M994" s="473"/>
    </row>
    <row r="995" spans="1:13" ht="13.5">
      <c r="A995" s="475" t="s">
        <v>5284</v>
      </c>
      <c r="B995" s="475" t="s">
        <v>5285</v>
      </c>
      <c r="C995" s="475" t="s">
        <v>5290</v>
      </c>
      <c r="D995" s="475" t="s">
        <v>5291</v>
      </c>
      <c r="E995" s="476" t="s">
        <v>34</v>
      </c>
      <c r="F995" s="475" t="s">
        <v>34</v>
      </c>
      <c r="G995" s="364">
        <v>93230</v>
      </c>
      <c r="H995" s="475" t="s">
        <v>1036</v>
      </c>
      <c r="I995" s="475" t="s">
        <v>67</v>
      </c>
      <c r="J995" s="475" t="s">
        <v>337</v>
      </c>
      <c r="K995" s="365">
        <v>0.06</v>
      </c>
      <c r="L995" s="475" t="s">
        <v>141</v>
      </c>
      <c r="M995" s="473"/>
    </row>
    <row r="996" spans="1:13" ht="13.5">
      <c r="A996" s="475" t="s">
        <v>5284</v>
      </c>
      <c r="B996" s="475" t="s">
        <v>5285</v>
      </c>
      <c r="C996" s="475" t="s">
        <v>5290</v>
      </c>
      <c r="D996" s="475" t="s">
        <v>5291</v>
      </c>
      <c r="E996" s="476" t="s">
        <v>34</v>
      </c>
      <c r="F996" s="475" t="s">
        <v>34</v>
      </c>
      <c r="G996" s="364">
        <v>93231</v>
      </c>
      <c r="H996" s="475" t="s">
        <v>1037</v>
      </c>
      <c r="I996" s="475" t="s">
        <v>67</v>
      </c>
      <c r="J996" s="475" t="s">
        <v>337</v>
      </c>
      <c r="K996" s="365">
        <v>0.25</v>
      </c>
      <c r="L996" s="475" t="s">
        <v>141</v>
      </c>
      <c r="M996" s="473"/>
    </row>
    <row r="997" spans="1:13" ht="13.5">
      <c r="A997" s="475" t="s">
        <v>5284</v>
      </c>
      <c r="B997" s="475" t="s">
        <v>5285</v>
      </c>
      <c r="C997" s="475" t="s">
        <v>5290</v>
      </c>
      <c r="D997" s="475" t="s">
        <v>5291</v>
      </c>
      <c r="E997" s="476" t="s">
        <v>34</v>
      </c>
      <c r="F997" s="475" t="s">
        <v>34</v>
      </c>
      <c r="G997" s="364">
        <v>93232</v>
      </c>
      <c r="H997" s="475" t="s">
        <v>1038</v>
      </c>
      <c r="I997" s="475" t="s">
        <v>67</v>
      </c>
      <c r="J997" s="475" t="s">
        <v>363</v>
      </c>
      <c r="K997" s="365">
        <v>3.43</v>
      </c>
      <c r="L997" s="475" t="s">
        <v>141</v>
      </c>
      <c r="M997" s="473"/>
    </row>
    <row r="998" spans="1:13" ht="13.5">
      <c r="A998" s="475" t="s">
        <v>5284</v>
      </c>
      <c r="B998" s="475" t="s">
        <v>5285</v>
      </c>
      <c r="C998" s="475" t="s">
        <v>5290</v>
      </c>
      <c r="D998" s="475" t="s">
        <v>5291</v>
      </c>
      <c r="E998" s="476" t="s">
        <v>34</v>
      </c>
      <c r="F998" s="475" t="s">
        <v>34</v>
      </c>
      <c r="G998" s="364">
        <v>93235</v>
      </c>
      <c r="H998" s="475" t="s">
        <v>1039</v>
      </c>
      <c r="I998" s="475" t="s">
        <v>67</v>
      </c>
      <c r="J998" s="475" t="s">
        <v>140</v>
      </c>
      <c r="K998" s="365">
        <v>1.4</v>
      </c>
      <c r="L998" s="475" t="s">
        <v>141</v>
      </c>
      <c r="M998" s="473"/>
    </row>
    <row r="999" spans="1:13" ht="13.5">
      <c r="A999" s="475" t="s">
        <v>5284</v>
      </c>
      <c r="B999" s="475" t="s">
        <v>5285</v>
      </c>
      <c r="C999" s="475" t="s">
        <v>5290</v>
      </c>
      <c r="D999" s="475" t="s">
        <v>5291</v>
      </c>
      <c r="E999" s="476" t="s">
        <v>34</v>
      </c>
      <c r="F999" s="475" t="s">
        <v>34</v>
      </c>
      <c r="G999" s="364">
        <v>93238</v>
      </c>
      <c r="H999" s="475" t="s">
        <v>1040</v>
      </c>
      <c r="I999" s="475" t="s">
        <v>67</v>
      </c>
      <c r="J999" s="475" t="s">
        <v>140</v>
      </c>
      <c r="K999" s="365">
        <v>1.1499999999999999</v>
      </c>
      <c r="L999" s="475" t="s">
        <v>141</v>
      </c>
      <c r="M999" s="473"/>
    </row>
    <row r="1000" spans="1:13" ht="13.5">
      <c r="A1000" s="475" t="s">
        <v>5284</v>
      </c>
      <c r="B1000" s="475" t="s">
        <v>5285</v>
      </c>
      <c r="C1000" s="475" t="s">
        <v>5290</v>
      </c>
      <c r="D1000" s="475" t="s">
        <v>5291</v>
      </c>
      <c r="E1000" s="476" t="s">
        <v>34</v>
      </c>
      <c r="F1000" s="475" t="s">
        <v>34</v>
      </c>
      <c r="G1000" s="364">
        <v>93239</v>
      </c>
      <c r="H1000" s="475" t="s">
        <v>1041</v>
      </c>
      <c r="I1000" s="475" t="s">
        <v>67</v>
      </c>
      <c r="J1000" s="475" t="s">
        <v>140</v>
      </c>
      <c r="K1000" s="365">
        <v>5.23</v>
      </c>
      <c r="L1000" s="475" t="s">
        <v>141</v>
      </c>
      <c r="M1000" s="473"/>
    </row>
    <row r="1001" spans="1:13" ht="13.5">
      <c r="A1001" s="475" t="s">
        <v>5284</v>
      </c>
      <c r="B1001" s="475" t="s">
        <v>5285</v>
      </c>
      <c r="C1001" s="475" t="s">
        <v>5290</v>
      </c>
      <c r="D1001" s="475" t="s">
        <v>5291</v>
      </c>
      <c r="E1001" s="476" t="s">
        <v>34</v>
      </c>
      <c r="F1001" s="475" t="s">
        <v>34</v>
      </c>
      <c r="G1001" s="364">
        <v>93240</v>
      </c>
      <c r="H1001" s="475" t="s">
        <v>1042</v>
      </c>
      <c r="I1001" s="475" t="s">
        <v>67</v>
      </c>
      <c r="J1001" s="475" t="s">
        <v>363</v>
      </c>
      <c r="K1001" s="365">
        <v>8.2799999999999994</v>
      </c>
      <c r="L1001" s="475" t="s">
        <v>141</v>
      </c>
      <c r="M1001" s="473"/>
    </row>
    <row r="1002" spans="1:13" ht="13.5">
      <c r="A1002" s="475" t="s">
        <v>5284</v>
      </c>
      <c r="B1002" s="475" t="s">
        <v>5285</v>
      </c>
      <c r="C1002" s="475" t="s">
        <v>5290</v>
      </c>
      <c r="D1002" s="475" t="s">
        <v>5291</v>
      </c>
      <c r="E1002" s="476" t="s">
        <v>34</v>
      </c>
      <c r="F1002" s="475" t="s">
        <v>34</v>
      </c>
      <c r="G1002" s="364">
        <v>93267</v>
      </c>
      <c r="H1002" s="475" t="s">
        <v>1043</v>
      </c>
      <c r="I1002" s="475" t="s">
        <v>67</v>
      </c>
      <c r="J1002" s="475" t="s">
        <v>140</v>
      </c>
      <c r="K1002" s="365">
        <v>23.08</v>
      </c>
      <c r="L1002" s="475" t="s">
        <v>141</v>
      </c>
      <c r="M1002" s="473"/>
    </row>
    <row r="1003" spans="1:13" ht="13.5">
      <c r="A1003" s="475" t="s">
        <v>5284</v>
      </c>
      <c r="B1003" s="475" t="s">
        <v>5285</v>
      </c>
      <c r="C1003" s="475" t="s">
        <v>5290</v>
      </c>
      <c r="D1003" s="475" t="s">
        <v>5291</v>
      </c>
      <c r="E1003" s="476" t="s">
        <v>34</v>
      </c>
      <c r="F1003" s="475" t="s">
        <v>34</v>
      </c>
      <c r="G1003" s="364">
        <v>93269</v>
      </c>
      <c r="H1003" s="475" t="s">
        <v>1044</v>
      </c>
      <c r="I1003" s="475" t="s">
        <v>67</v>
      </c>
      <c r="J1003" s="475" t="s">
        <v>140</v>
      </c>
      <c r="K1003" s="365">
        <v>5.19</v>
      </c>
      <c r="L1003" s="475" t="s">
        <v>141</v>
      </c>
      <c r="M1003" s="473"/>
    </row>
    <row r="1004" spans="1:13" ht="13.5">
      <c r="A1004" s="475" t="s">
        <v>5284</v>
      </c>
      <c r="B1004" s="475" t="s">
        <v>5285</v>
      </c>
      <c r="C1004" s="475" t="s">
        <v>5290</v>
      </c>
      <c r="D1004" s="475" t="s">
        <v>5291</v>
      </c>
      <c r="E1004" s="476" t="s">
        <v>34</v>
      </c>
      <c r="F1004" s="475" t="s">
        <v>34</v>
      </c>
      <c r="G1004" s="364">
        <v>93270</v>
      </c>
      <c r="H1004" s="475" t="s">
        <v>1045</v>
      </c>
      <c r="I1004" s="475" t="s">
        <v>67</v>
      </c>
      <c r="J1004" s="475" t="s">
        <v>140</v>
      </c>
      <c r="K1004" s="365">
        <v>25.25</v>
      </c>
      <c r="L1004" s="475" t="s">
        <v>141</v>
      </c>
      <c r="M1004" s="473"/>
    </row>
    <row r="1005" spans="1:13" ht="13.5">
      <c r="A1005" s="475" t="s">
        <v>5284</v>
      </c>
      <c r="B1005" s="475" t="s">
        <v>5285</v>
      </c>
      <c r="C1005" s="475" t="s">
        <v>5290</v>
      </c>
      <c r="D1005" s="475" t="s">
        <v>5291</v>
      </c>
      <c r="E1005" s="476" t="s">
        <v>34</v>
      </c>
      <c r="F1005" s="475" t="s">
        <v>34</v>
      </c>
      <c r="G1005" s="364">
        <v>93271</v>
      </c>
      <c r="H1005" s="475" t="s">
        <v>1046</v>
      </c>
      <c r="I1005" s="475" t="s">
        <v>67</v>
      </c>
      <c r="J1005" s="475" t="s">
        <v>337</v>
      </c>
      <c r="K1005" s="365">
        <v>6.17</v>
      </c>
      <c r="L1005" s="475" t="s">
        <v>141</v>
      </c>
      <c r="M1005" s="473"/>
    </row>
    <row r="1006" spans="1:13" ht="13.5">
      <c r="A1006" s="475" t="s">
        <v>5284</v>
      </c>
      <c r="B1006" s="475" t="s">
        <v>5285</v>
      </c>
      <c r="C1006" s="475" t="s">
        <v>5290</v>
      </c>
      <c r="D1006" s="475" t="s">
        <v>5291</v>
      </c>
      <c r="E1006" s="476" t="s">
        <v>34</v>
      </c>
      <c r="F1006" s="475" t="s">
        <v>34</v>
      </c>
      <c r="G1006" s="364">
        <v>93277</v>
      </c>
      <c r="H1006" s="475" t="s">
        <v>1047</v>
      </c>
      <c r="I1006" s="475" t="s">
        <v>67</v>
      </c>
      <c r="J1006" s="475" t="s">
        <v>140</v>
      </c>
      <c r="K1006" s="365">
        <v>0.27</v>
      </c>
      <c r="L1006" s="475" t="s">
        <v>141</v>
      </c>
      <c r="M1006" s="473"/>
    </row>
    <row r="1007" spans="1:13" ht="13.5">
      <c r="A1007" s="475" t="s">
        <v>5284</v>
      </c>
      <c r="B1007" s="475" t="s">
        <v>5285</v>
      </c>
      <c r="C1007" s="475" t="s">
        <v>5290</v>
      </c>
      <c r="D1007" s="475" t="s">
        <v>5291</v>
      </c>
      <c r="E1007" s="476" t="s">
        <v>34</v>
      </c>
      <c r="F1007" s="475" t="s">
        <v>34</v>
      </c>
      <c r="G1007" s="364">
        <v>93278</v>
      </c>
      <c r="H1007" s="475" t="s">
        <v>1048</v>
      </c>
      <c r="I1007" s="475" t="s">
        <v>67</v>
      </c>
      <c r="J1007" s="475" t="s">
        <v>140</v>
      </c>
      <c r="K1007" s="365">
        <v>0.06</v>
      </c>
      <c r="L1007" s="475" t="s">
        <v>141</v>
      </c>
      <c r="M1007" s="473"/>
    </row>
    <row r="1008" spans="1:13" ht="13.5">
      <c r="A1008" s="475" t="s">
        <v>5284</v>
      </c>
      <c r="B1008" s="475" t="s">
        <v>5285</v>
      </c>
      <c r="C1008" s="475" t="s">
        <v>5290</v>
      </c>
      <c r="D1008" s="475" t="s">
        <v>5291</v>
      </c>
      <c r="E1008" s="476" t="s">
        <v>34</v>
      </c>
      <c r="F1008" s="475" t="s">
        <v>34</v>
      </c>
      <c r="G1008" s="364">
        <v>93279</v>
      </c>
      <c r="H1008" s="475" t="s">
        <v>1049</v>
      </c>
      <c r="I1008" s="475" t="s">
        <v>67</v>
      </c>
      <c r="J1008" s="475" t="s">
        <v>140</v>
      </c>
      <c r="K1008" s="365">
        <v>0.25</v>
      </c>
      <c r="L1008" s="475" t="s">
        <v>141</v>
      </c>
      <c r="M1008" s="473"/>
    </row>
    <row r="1009" spans="1:13" ht="13.5">
      <c r="A1009" s="475" t="s">
        <v>5284</v>
      </c>
      <c r="B1009" s="475" t="s">
        <v>5285</v>
      </c>
      <c r="C1009" s="475" t="s">
        <v>5290</v>
      </c>
      <c r="D1009" s="475" t="s">
        <v>5291</v>
      </c>
      <c r="E1009" s="476" t="s">
        <v>34</v>
      </c>
      <c r="F1009" s="475" t="s">
        <v>34</v>
      </c>
      <c r="G1009" s="364">
        <v>93280</v>
      </c>
      <c r="H1009" s="475" t="s">
        <v>1050</v>
      </c>
      <c r="I1009" s="475" t="s">
        <v>67</v>
      </c>
      <c r="J1009" s="475" t="s">
        <v>337</v>
      </c>
      <c r="K1009" s="365">
        <v>0.51</v>
      </c>
      <c r="L1009" s="475" t="s">
        <v>141</v>
      </c>
      <c r="M1009" s="473"/>
    </row>
    <row r="1010" spans="1:13" ht="13.5">
      <c r="A1010" s="475" t="s">
        <v>5284</v>
      </c>
      <c r="B1010" s="475" t="s">
        <v>5285</v>
      </c>
      <c r="C1010" s="475" t="s">
        <v>5290</v>
      </c>
      <c r="D1010" s="475" t="s">
        <v>5291</v>
      </c>
      <c r="E1010" s="476" t="s">
        <v>34</v>
      </c>
      <c r="F1010" s="475" t="s">
        <v>34</v>
      </c>
      <c r="G1010" s="364">
        <v>93283</v>
      </c>
      <c r="H1010" s="475" t="s">
        <v>1051</v>
      </c>
      <c r="I1010" s="475" t="s">
        <v>67</v>
      </c>
      <c r="J1010" s="475" t="s">
        <v>140</v>
      </c>
      <c r="K1010" s="365">
        <v>48.52</v>
      </c>
      <c r="L1010" s="475" t="s">
        <v>141</v>
      </c>
      <c r="M1010" s="473"/>
    </row>
    <row r="1011" spans="1:13" ht="13.5">
      <c r="A1011" s="475" t="s">
        <v>5284</v>
      </c>
      <c r="B1011" s="475" t="s">
        <v>5285</v>
      </c>
      <c r="C1011" s="475" t="s">
        <v>5290</v>
      </c>
      <c r="D1011" s="475" t="s">
        <v>5291</v>
      </c>
      <c r="E1011" s="476" t="s">
        <v>34</v>
      </c>
      <c r="F1011" s="475" t="s">
        <v>34</v>
      </c>
      <c r="G1011" s="364">
        <v>93284</v>
      </c>
      <c r="H1011" s="475" t="s">
        <v>1052</v>
      </c>
      <c r="I1011" s="475" t="s">
        <v>67</v>
      </c>
      <c r="J1011" s="475" t="s">
        <v>140</v>
      </c>
      <c r="K1011" s="365">
        <v>16.61</v>
      </c>
      <c r="L1011" s="475" t="s">
        <v>141</v>
      </c>
      <c r="M1011" s="473"/>
    </row>
    <row r="1012" spans="1:13" ht="13.5">
      <c r="A1012" s="475" t="s">
        <v>5284</v>
      </c>
      <c r="B1012" s="475" t="s">
        <v>5285</v>
      </c>
      <c r="C1012" s="475" t="s">
        <v>5290</v>
      </c>
      <c r="D1012" s="475" t="s">
        <v>5291</v>
      </c>
      <c r="E1012" s="476" t="s">
        <v>34</v>
      </c>
      <c r="F1012" s="475" t="s">
        <v>34</v>
      </c>
      <c r="G1012" s="364">
        <v>93285</v>
      </c>
      <c r="H1012" s="475" t="s">
        <v>1053</v>
      </c>
      <c r="I1012" s="475" t="s">
        <v>67</v>
      </c>
      <c r="J1012" s="475" t="s">
        <v>140</v>
      </c>
      <c r="K1012" s="365">
        <v>77.989999999999995</v>
      </c>
      <c r="L1012" s="475" t="s">
        <v>141</v>
      </c>
      <c r="M1012" s="473"/>
    </row>
    <row r="1013" spans="1:13" ht="13.5">
      <c r="A1013" s="475" t="s">
        <v>5284</v>
      </c>
      <c r="B1013" s="475" t="s">
        <v>5285</v>
      </c>
      <c r="C1013" s="475" t="s">
        <v>5290</v>
      </c>
      <c r="D1013" s="475" t="s">
        <v>5291</v>
      </c>
      <c r="E1013" s="476" t="s">
        <v>34</v>
      </c>
      <c r="F1013" s="475" t="s">
        <v>34</v>
      </c>
      <c r="G1013" s="364">
        <v>93286</v>
      </c>
      <c r="H1013" s="475" t="s">
        <v>1054</v>
      </c>
      <c r="I1013" s="475" t="s">
        <v>67</v>
      </c>
      <c r="J1013" s="475" t="s">
        <v>337</v>
      </c>
      <c r="K1013" s="365">
        <v>145.86000000000001</v>
      </c>
      <c r="L1013" s="475" t="s">
        <v>141</v>
      </c>
      <c r="M1013" s="473"/>
    </row>
    <row r="1014" spans="1:13" ht="13.5">
      <c r="A1014" s="475" t="s">
        <v>5284</v>
      </c>
      <c r="B1014" s="475" t="s">
        <v>5285</v>
      </c>
      <c r="C1014" s="475" t="s">
        <v>5290</v>
      </c>
      <c r="D1014" s="475" t="s">
        <v>5291</v>
      </c>
      <c r="E1014" s="476" t="s">
        <v>34</v>
      </c>
      <c r="F1014" s="475" t="s">
        <v>34</v>
      </c>
      <c r="G1014" s="364">
        <v>93296</v>
      </c>
      <c r="H1014" s="475" t="s">
        <v>1055</v>
      </c>
      <c r="I1014" s="475" t="s">
        <v>67</v>
      </c>
      <c r="J1014" s="475" t="s">
        <v>140</v>
      </c>
      <c r="K1014" s="365">
        <v>3.39</v>
      </c>
      <c r="L1014" s="475" t="s">
        <v>141</v>
      </c>
      <c r="M1014" s="473"/>
    </row>
    <row r="1015" spans="1:13" ht="13.5">
      <c r="A1015" s="475" t="s">
        <v>5284</v>
      </c>
      <c r="B1015" s="475" t="s">
        <v>5285</v>
      </c>
      <c r="C1015" s="475" t="s">
        <v>5290</v>
      </c>
      <c r="D1015" s="475" t="s">
        <v>5291</v>
      </c>
      <c r="E1015" s="476" t="s">
        <v>34</v>
      </c>
      <c r="F1015" s="475" t="s">
        <v>34</v>
      </c>
      <c r="G1015" s="364">
        <v>93397</v>
      </c>
      <c r="H1015" s="475" t="s">
        <v>1056</v>
      </c>
      <c r="I1015" s="475" t="s">
        <v>67</v>
      </c>
      <c r="J1015" s="475" t="s">
        <v>140</v>
      </c>
      <c r="K1015" s="365">
        <v>8.68</v>
      </c>
      <c r="L1015" s="475" t="s">
        <v>141</v>
      </c>
      <c r="M1015" s="473"/>
    </row>
    <row r="1016" spans="1:13" ht="13.5">
      <c r="A1016" s="475" t="s">
        <v>5284</v>
      </c>
      <c r="B1016" s="475" t="s">
        <v>5285</v>
      </c>
      <c r="C1016" s="475" t="s">
        <v>5290</v>
      </c>
      <c r="D1016" s="475" t="s">
        <v>5291</v>
      </c>
      <c r="E1016" s="476" t="s">
        <v>34</v>
      </c>
      <c r="F1016" s="475" t="s">
        <v>34</v>
      </c>
      <c r="G1016" s="364">
        <v>93398</v>
      </c>
      <c r="H1016" s="475" t="s">
        <v>1057</v>
      </c>
      <c r="I1016" s="475" t="s">
        <v>67</v>
      </c>
      <c r="J1016" s="475" t="s">
        <v>140</v>
      </c>
      <c r="K1016" s="365">
        <v>3.47</v>
      </c>
      <c r="L1016" s="475" t="s">
        <v>141</v>
      </c>
      <c r="M1016" s="473"/>
    </row>
    <row r="1017" spans="1:13" ht="13.5">
      <c r="A1017" s="475" t="s">
        <v>5284</v>
      </c>
      <c r="B1017" s="475" t="s">
        <v>5285</v>
      </c>
      <c r="C1017" s="475" t="s">
        <v>5290</v>
      </c>
      <c r="D1017" s="475" t="s">
        <v>5291</v>
      </c>
      <c r="E1017" s="476" t="s">
        <v>34</v>
      </c>
      <c r="F1017" s="475" t="s">
        <v>34</v>
      </c>
      <c r="G1017" s="364">
        <v>93399</v>
      </c>
      <c r="H1017" s="475" t="s">
        <v>1058</v>
      </c>
      <c r="I1017" s="475" t="s">
        <v>67</v>
      </c>
      <c r="J1017" s="475" t="s">
        <v>140</v>
      </c>
      <c r="K1017" s="365">
        <v>0.7</v>
      </c>
      <c r="L1017" s="475" t="s">
        <v>141</v>
      </c>
      <c r="M1017" s="473"/>
    </row>
    <row r="1018" spans="1:13" ht="13.5">
      <c r="A1018" s="475" t="s">
        <v>5284</v>
      </c>
      <c r="B1018" s="475" t="s">
        <v>5285</v>
      </c>
      <c r="C1018" s="475" t="s">
        <v>5290</v>
      </c>
      <c r="D1018" s="475" t="s">
        <v>5291</v>
      </c>
      <c r="E1018" s="476" t="s">
        <v>34</v>
      </c>
      <c r="F1018" s="475" t="s">
        <v>34</v>
      </c>
      <c r="G1018" s="364">
        <v>93400</v>
      </c>
      <c r="H1018" s="475" t="s">
        <v>1059</v>
      </c>
      <c r="I1018" s="475" t="s">
        <v>67</v>
      </c>
      <c r="J1018" s="475" t="s">
        <v>140</v>
      </c>
      <c r="K1018" s="365">
        <v>16.28</v>
      </c>
      <c r="L1018" s="475" t="s">
        <v>141</v>
      </c>
      <c r="M1018" s="473"/>
    </row>
    <row r="1019" spans="1:13" ht="13.5">
      <c r="A1019" s="475" t="s">
        <v>5284</v>
      </c>
      <c r="B1019" s="475" t="s">
        <v>5285</v>
      </c>
      <c r="C1019" s="475" t="s">
        <v>5290</v>
      </c>
      <c r="D1019" s="475" t="s">
        <v>5291</v>
      </c>
      <c r="E1019" s="476" t="s">
        <v>34</v>
      </c>
      <c r="F1019" s="475" t="s">
        <v>34</v>
      </c>
      <c r="G1019" s="364">
        <v>93401</v>
      </c>
      <c r="H1019" s="475" t="s">
        <v>1060</v>
      </c>
      <c r="I1019" s="475" t="s">
        <v>67</v>
      </c>
      <c r="J1019" s="475" t="s">
        <v>363</v>
      </c>
      <c r="K1019" s="365">
        <v>92.14</v>
      </c>
      <c r="L1019" s="475" t="s">
        <v>141</v>
      </c>
      <c r="M1019" s="473"/>
    </row>
    <row r="1020" spans="1:13" ht="13.5">
      <c r="A1020" s="475" t="s">
        <v>5284</v>
      </c>
      <c r="B1020" s="475" t="s">
        <v>5285</v>
      </c>
      <c r="C1020" s="475" t="s">
        <v>5290</v>
      </c>
      <c r="D1020" s="475" t="s">
        <v>5291</v>
      </c>
      <c r="E1020" s="476" t="s">
        <v>34</v>
      </c>
      <c r="F1020" s="475" t="s">
        <v>34</v>
      </c>
      <c r="G1020" s="364">
        <v>93404</v>
      </c>
      <c r="H1020" s="475" t="s">
        <v>1061</v>
      </c>
      <c r="I1020" s="475" t="s">
        <v>67</v>
      </c>
      <c r="J1020" s="475" t="s">
        <v>140</v>
      </c>
      <c r="K1020" s="365">
        <v>4.3899999999999997</v>
      </c>
      <c r="L1020" s="475" t="s">
        <v>141</v>
      </c>
      <c r="M1020" s="473"/>
    </row>
    <row r="1021" spans="1:13" ht="13.5">
      <c r="A1021" s="475" t="s">
        <v>5284</v>
      </c>
      <c r="B1021" s="475" t="s">
        <v>5285</v>
      </c>
      <c r="C1021" s="475" t="s">
        <v>5290</v>
      </c>
      <c r="D1021" s="475" t="s">
        <v>5291</v>
      </c>
      <c r="E1021" s="476" t="s">
        <v>34</v>
      </c>
      <c r="F1021" s="475" t="s">
        <v>34</v>
      </c>
      <c r="G1021" s="364">
        <v>93405</v>
      </c>
      <c r="H1021" s="475" t="s">
        <v>1062</v>
      </c>
      <c r="I1021" s="475" t="s">
        <v>67</v>
      </c>
      <c r="J1021" s="475" t="s">
        <v>140</v>
      </c>
      <c r="K1021" s="365">
        <v>0.87</v>
      </c>
      <c r="L1021" s="475" t="s">
        <v>141</v>
      </c>
      <c r="M1021" s="473"/>
    </row>
    <row r="1022" spans="1:13" ht="13.5">
      <c r="A1022" s="475" t="s">
        <v>5284</v>
      </c>
      <c r="B1022" s="475" t="s">
        <v>5285</v>
      </c>
      <c r="C1022" s="475" t="s">
        <v>5290</v>
      </c>
      <c r="D1022" s="475" t="s">
        <v>5291</v>
      </c>
      <c r="E1022" s="476" t="s">
        <v>34</v>
      </c>
      <c r="F1022" s="475" t="s">
        <v>34</v>
      </c>
      <c r="G1022" s="364">
        <v>93406</v>
      </c>
      <c r="H1022" s="475" t="s">
        <v>1063</v>
      </c>
      <c r="I1022" s="475" t="s">
        <v>67</v>
      </c>
      <c r="J1022" s="475" t="s">
        <v>140</v>
      </c>
      <c r="K1022" s="365">
        <v>5.49</v>
      </c>
      <c r="L1022" s="475" t="s">
        <v>141</v>
      </c>
      <c r="M1022" s="473"/>
    </row>
    <row r="1023" spans="1:13" ht="13.5">
      <c r="A1023" s="475" t="s">
        <v>5284</v>
      </c>
      <c r="B1023" s="475" t="s">
        <v>5285</v>
      </c>
      <c r="C1023" s="475" t="s">
        <v>5290</v>
      </c>
      <c r="D1023" s="475" t="s">
        <v>5291</v>
      </c>
      <c r="E1023" s="476" t="s">
        <v>34</v>
      </c>
      <c r="F1023" s="475" t="s">
        <v>34</v>
      </c>
      <c r="G1023" s="364">
        <v>93407</v>
      </c>
      <c r="H1023" s="475" t="s">
        <v>1064</v>
      </c>
      <c r="I1023" s="475" t="s">
        <v>67</v>
      </c>
      <c r="J1023" s="475" t="s">
        <v>363</v>
      </c>
      <c r="K1023" s="365">
        <v>30.72</v>
      </c>
      <c r="L1023" s="475" t="s">
        <v>141</v>
      </c>
      <c r="M1023" s="473"/>
    </row>
    <row r="1024" spans="1:13" ht="13.5">
      <c r="A1024" s="475" t="s">
        <v>5284</v>
      </c>
      <c r="B1024" s="475" t="s">
        <v>5285</v>
      </c>
      <c r="C1024" s="475" t="s">
        <v>5290</v>
      </c>
      <c r="D1024" s="475" t="s">
        <v>5291</v>
      </c>
      <c r="E1024" s="476" t="s">
        <v>34</v>
      </c>
      <c r="F1024" s="475" t="s">
        <v>34</v>
      </c>
      <c r="G1024" s="364">
        <v>93411</v>
      </c>
      <c r="H1024" s="475" t="s">
        <v>1065</v>
      </c>
      <c r="I1024" s="475" t="s">
        <v>67</v>
      </c>
      <c r="J1024" s="475" t="s">
        <v>140</v>
      </c>
      <c r="K1024" s="365">
        <v>0.19</v>
      </c>
      <c r="L1024" s="475" t="s">
        <v>141</v>
      </c>
      <c r="M1024" s="473"/>
    </row>
    <row r="1025" spans="1:13" ht="13.5">
      <c r="A1025" s="475" t="s">
        <v>5284</v>
      </c>
      <c r="B1025" s="475" t="s">
        <v>5285</v>
      </c>
      <c r="C1025" s="475" t="s">
        <v>5290</v>
      </c>
      <c r="D1025" s="475" t="s">
        <v>5291</v>
      </c>
      <c r="E1025" s="476" t="s">
        <v>34</v>
      </c>
      <c r="F1025" s="475" t="s">
        <v>34</v>
      </c>
      <c r="G1025" s="364">
        <v>93412</v>
      </c>
      <c r="H1025" s="475" t="s">
        <v>1066</v>
      </c>
      <c r="I1025" s="475" t="s">
        <v>67</v>
      </c>
      <c r="J1025" s="475" t="s">
        <v>140</v>
      </c>
      <c r="K1025" s="365">
        <v>0.06</v>
      </c>
      <c r="L1025" s="475" t="s">
        <v>141</v>
      </c>
      <c r="M1025" s="473"/>
    </row>
    <row r="1026" spans="1:13" ht="13.5">
      <c r="A1026" s="475" t="s">
        <v>5284</v>
      </c>
      <c r="B1026" s="475" t="s">
        <v>5285</v>
      </c>
      <c r="C1026" s="475" t="s">
        <v>5290</v>
      </c>
      <c r="D1026" s="475" t="s">
        <v>5291</v>
      </c>
      <c r="E1026" s="476" t="s">
        <v>34</v>
      </c>
      <c r="F1026" s="475" t="s">
        <v>34</v>
      </c>
      <c r="G1026" s="364">
        <v>93413</v>
      </c>
      <c r="H1026" s="475" t="s">
        <v>1067</v>
      </c>
      <c r="I1026" s="475" t="s">
        <v>67</v>
      </c>
      <c r="J1026" s="475" t="s">
        <v>140</v>
      </c>
      <c r="K1026" s="365">
        <v>0.17</v>
      </c>
      <c r="L1026" s="475" t="s">
        <v>141</v>
      </c>
      <c r="M1026" s="473"/>
    </row>
    <row r="1027" spans="1:13" ht="13.5">
      <c r="A1027" s="475" t="s">
        <v>5284</v>
      </c>
      <c r="B1027" s="475" t="s">
        <v>5285</v>
      </c>
      <c r="C1027" s="475" t="s">
        <v>5290</v>
      </c>
      <c r="D1027" s="475" t="s">
        <v>5291</v>
      </c>
      <c r="E1027" s="476" t="s">
        <v>34</v>
      </c>
      <c r="F1027" s="475" t="s">
        <v>34</v>
      </c>
      <c r="G1027" s="364">
        <v>93414</v>
      </c>
      <c r="H1027" s="475" t="s">
        <v>1068</v>
      </c>
      <c r="I1027" s="475" t="s">
        <v>67</v>
      </c>
      <c r="J1027" s="475" t="s">
        <v>363</v>
      </c>
      <c r="K1027" s="365">
        <v>8</v>
      </c>
      <c r="L1027" s="475" t="s">
        <v>141</v>
      </c>
      <c r="M1027" s="473"/>
    </row>
    <row r="1028" spans="1:13" ht="13.5">
      <c r="A1028" s="475" t="s">
        <v>5284</v>
      </c>
      <c r="B1028" s="475" t="s">
        <v>5285</v>
      </c>
      <c r="C1028" s="475" t="s">
        <v>5290</v>
      </c>
      <c r="D1028" s="475" t="s">
        <v>5291</v>
      </c>
      <c r="E1028" s="476" t="s">
        <v>34</v>
      </c>
      <c r="F1028" s="475" t="s">
        <v>34</v>
      </c>
      <c r="G1028" s="364">
        <v>93417</v>
      </c>
      <c r="H1028" s="475" t="s">
        <v>1069</v>
      </c>
      <c r="I1028" s="475" t="s">
        <v>67</v>
      </c>
      <c r="J1028" s="475" t="s">
        <v>140</v>
      </c>
      <c r="K1028" s="365">
        <v>2.57</v>
      </c>
      <c r="L1028" s="475" t="s">
        <v>141</v>
      </c>
      <c r="M1028" s="473"/>
    </row>
    <row r="1029" spans="1:13" ht="13.5">
      <c r="A1029" s="475" t="s">
        <v>5284</v>
      </c>
      <c r="B1029" s="475" t="s">
        <v>5285</v>
      </c>
      <c r="C1029" s="475" t="s">
        <v>5290</v>
      </c>
      <c r="D1029" s="475" t="s">
        <v>5291</v>
      </c>
      <c r="E1029" s="476" t="s">
        <v>34</v>
      </c>
      <c r="F1029" s="475" t="s">
        <v>34</v>
      </c>
      <c r="G1029" s="364">
        <v>93418</v>
      </c>
      <c r="H1029" s="475" t="s">
        <v>1070</v>
      </c>
      <c r="I1029" s="475" t="s">
        <v>67</v>
      </c>
      <c r="J1029" s="475" t="s">
        <v>140</v>
      </c>
      <c r="K1029" s="365">
        <v>0.88</v>
      </c>
      <c r="L1029" s="475" t="s">
        <v>141</v>
      </c>
      <c r="M1029" s="473"/>
    </row>
    <row r="1030" spans="1:13" ht="13.5">
      <c r="A1030" s="475" t="s">
        <v>5284</v>
      </c>
      <c r="B1030" s="475" t="s">
        <v>5285</v>
      </c>
      <c r="C1030" s="475" t="s">
        <v>5290</v>
      </c>
      <c r="D1030" s="475" t="s">
        <v>5291</v>
      </c>
      <c r="E1030" s="476" t="s">
        <v>34</v>
      </c>
      <c r="F1030" s="475" t="s">
        <v>34</v>
      </c>
      <c r="G1030" s="364">
        <v>93419</v>
      </c>
      <c r="H1030" s="475" t="s">
        <v>1071</v>
      </c>
      <c r="I1030" s="475" t="s">
        <v>67</v>
      </c>
      <c r="J1030" s="475" t="s">
        <v>140</v>
      </c>
      <c r="K1030" s="365">
        <v>2.29</v>
      </c>
      <c r="L1030" s="475" t="s">
        <v>141</v>
      </c>
      <c r="M1030" s="473"/>
    </row>
    <row r="1031" spans="1:13" ht="13.5">
      <c r="A1031" s="475" t="s">
        <v>5284</v>
      </c>
      <c r="B1031" s="475" t="s">
        <v>5285</v>
      </c>
      <c r="C1031" s="475" t="s">
        <v>5290</v>
      </c>
      <c r="D1031" s="475" t="s">
        <v>5291</v>
      </c>
      <c r="E1031" s="476" t="s">
        <v>34</v>
      </c>
      <c r="F1031" s="475" t="s">
        <v>34</v>
      </c>
      <c r="G1031" s="364">
        <v>93420</v>
      </c>
      <c r="H1031" s="475" t="s">
        <v>1072</v>
      </c>
      <c r="I1031" s="475" t="s">
        <v>67</v>
      </c>
      <c r="J1031" s="475" t="s">
        <v>363</v>
      </c>
      <c r="K1031" s="365">
        <v>39.08</v>
      </c>
      <c r="L1031" s="475" t="s">
        <v>141</v>
      </c>
      <c r="M1031" s="473"/>
    </row>
    <row r="1032" spans="1:13" ht="13.5">
      <c r="A1032" s="475" t="s">
        <v>5284</v>
      </c>
      <c r="B1032" s="475" t="s">
        <v>5285</v>
      </c>
      <c r="C1032" s="475" t="s">
        <v>5290</v>
      </c>
      <c r="D1032" s="475" t="s">
        <v>5291</v>
      </c>
      <c r="E1032" s="476" t="s">
        <v>34</v>
      </c>
      <c r="F1032" s="475" t="s">
        <v>34</v>
      </c>
      <c r="G1032" s="364">
        <v>93423</v>
      </c>
      <c r="H1032" s="475" t="s">
        <v>1073</v>
      </c>
      <c r="I1032" s="475" t="s">
        <v>67</v>
      </c>
      <c r="J1032" s="475" t="s">
        <v>140</v>
      </c>
      <c r="K1032" s="365">
        <v>3.64</v>
      </c>
      <c r="L1032" s="475" t="s">
        <v>141</v>
      </c>
      <c r="M1032" s="473"/>
    </row>
    <row r="1033" spans="1:13" ht="13.5">
      <c r="A1033" s="475" t="s">
        <v>5284</v>
      </c>
      <c r="B1033" s="475" t="s">
        <v>5285</v>
      </c>
      <c r="C1033" s="475" t="s">
        <v>5290</v>
      </c>
      <c r="D1033" s="475" t="s">
        <v>5291</v>
      </c>
      <c r="E1033" s="476" t="s">
        <v>34</v>
      </c>
      <c r="F1033" s="475" t="s">
        <v>34</v>
      </c>
      <c r="G1033" s="364">
        <v>93424</v>
      </c>
      <c r="H1033" s="475" t="s">
        <v>1074</v>
      </c>
      <c r="I1033" s="475" t="s">
        <v>67</v>
      </c>
      <c r="J1033" s="475" t="s">
        <v>140</v>
      </c>
      <c r="K1033" s="365">
        <v>1.24</v>
      </c>
      <c r="L1033" s="475" t="s">
        <v>141</v>
      </c>
      <c r="M1033" s="473"/>
    </row>
    <row r="1034" spans="1:13" ht="13.5">
      <c r="A1034" s="475" t="s">
        <v>5284</v>
      </c>
      <c r="B1034" s="475" t="s">
        <v>5285</v>
      </c>
      <c r="C1034" s="475" t="s">
        <v>5290</v>
      </c>
      <c r="D1034" s="475" t="s">
        <v>5291</v>
      </c>
      <c r="E1034" s="476" t="s">
        <v>34</v>
      </c>
      <c r="F1034" s="475" t="s">
        <v>34</v>
      </c>
      <c r="G1034" s="364">
        <v>93425</v>
      </c>
      <c r="H1034" s="475" t="s">
        <v>1075</v>
      </c>
      <c r="I1034" s="475" t="s">
        <v>67</v>
      </c>
      <c r="J1034" s="475" t="s">
        <v>140</v>
      </c>
      <c r="K1034" s="365">
        <v>3.25</v>
      </c>
      <c r="L1034" s="475" t="s">
        <v>141</v>
      </c>
      <c r="M1034" s="473"/>
    </row>
    <row r="1035" spans="1:13" ht="13.5">
      <c r="A1035" s="475" t="s">
        <v>5284</v>
      </c>
      <c r="B1035" s="475" t="s">
        <v>5285</v>
      </c>
      <c r="C1035" s="475" t="s">
        <v>5290</v>
      </c>
      <c r="D1035" s="475" t="s">
        <v>5291</v>
      </c>
      <c r="E1035" s="476" t="s">
        <v>34</v>
      </c>
      <c r="F1035" s="475" t="s">
        <v>34</v>
      </c>
      <c r="G1035" s="364">
        <v>93426</v>
      </c>
      <c r="H1035" s="475" t="s">
        <v>1076</v>
      </c>
      <c r="I1035" s="475" t="s">
        <v>67</v>
      </c>
      <c r="J1035" s="475" t="s">
        <v>363</v>
      </c>
      <c r="K1035" s="365">
        <v>93.39</v>
      </c>
      <c r="L1035" s="475" t="s">
        <v>141</v>
      </c>
      <c r="M1035" s="473"/>
    </row>
    <row r="1036" spans="1:13" ht="13.5">
      <c r="A1036" s="475" t="s">
        <v>5284</v>
      </c>
      <c r="B1036" s="475" t="s">
        <v>5285</v>
      </c>
      <c r="C1036" s="475" t="s">
        <v>5290</v>
      </c>
      <c r="D1036" s="475" t="s">
        <v>5291</v>
      </c>
      <c r="E1036" s="476" t="s">
        <v>34</v>
      </c>
      <c r="F1036" s="475" t="s">
        <v>34</v>
      </c>
      <c r="G1036" s="364">
        <v>93429</v>
      </c>
      <c r="H1036" s="475" t="s">
        <v>1077</v>
      </c>
      <c r="I1036" s="475" t="s">
        <v>67</v>
      </c>
      <c r="J1036" s="475" t="s">
        <v>140</v>
      </c>
      <c r="K1036" s="365">
        <v>61.6</v>
      </c>
      <c r="L1036" s="475" t="s">
        <v>141</v>
      </c>
      <c r="M1036" s="473"/>
    </row>
    <row r="1037" spans="1:13" ht="13.5">
      <c r="A1037" s="475" t="s">
        <v>5284</v>
      </c>
      <c r="B1037" s="475" t="s">
        <v>5285</v>
      </c>
      <c r="C1037" s="475" t="s">
        <v>5290</v>
      </c>
      <c r="D1037" s="475" t="s">
        <v>5291</v>
      </c>
      <c r="E1037" s="476" t="s">
        <v>34</v>
      </c>
      <c r="F1037" s="475" t="s">
        <v>34</v>
      </c>
      <c r="G1037" s="364">
        <v>93430</v>
      </c>
      <c r="H1037" s="475" t="s">
        <v>1078</v>
      </c>
      <c r="I1037" s="475" t="s">
        <v>67</v>
      </c>
      <c r="J1037" s="475" t="s">
        <v>140</v>
      </c>
      <c r="K1037" s="365">
        <v>21.09</v>
      </c>
      <c r="L1037" s="475" t="s">
        <v>141</v>
      </c>
      <c r="M1037" s="473"/>
    </row>
    <row r="1038" spans="1:13" ht="13.5">
      <c r="A1038" s="475" t="s">
        <v>5284</v>
      </c>
      <c r="B1038" s="475" t="s">
        <v>5285</v>
      </c>
      <c r="C1038" s="475" t="s">
        <v>5290</v>
      </c>
      <c r="D1038" s="475" t="s">
        <v>5291</v>
      </c>
      <c r="E1038" s="476" t="s">
        <v>34</v>
      </c>
      <c r="F1038" s="475" t="s">
        <v>34</v>
      </c>
      <c r="G1038" s="364">
        <v>93431</v>
      </c>
      <c r="H1038" s="475" t="s">
        <v>1079</v>
      </c>
      <c r="I1038" s="475" t="s">
        <v>67</v>
      </c>
      <c r="J1038" s="475" t="s">
        <v>140</v>
      </c>
      <c r="K1038" s="365">
        <v>99.02</v>
      </c>
      <c r="L1038" s="475" t="s">
        <v>141</v>
      </c>
      <c r="M1038" s="473"/>
    </row>
    <row r="1039" spans="1:13" ht="13.5">
      <c r="A1039" s="475" t="s">
        <v>5284</v>
      </c>
      <c r="B1039" s="475" t="s">
        <v>5285</v>
      </c>
      <c r="C1039" s="475" t="s">
        <v>5290</v>
      </c>
      <c r="D1039" s="475" t="s">
        <v>5291</v>
      </c>
      <c r="E1039" s="476" t="s">
        <v>34</v>
      </c>
      <c r="F1039" s="475" t="s">
        <v>34</v>
      </c>
      <c r="G1039" s="364">
        <v>93432</v>
      </c>
      <c r="H1039" s="475" t="s">
        <v>1080</v>
      </c>
      <c r="I1039" s="475" t="s">
        <v>67</v>
      </c>
      <c r="J1039" s="475" t="s">
        <v>363</v>
      </c>
      <c r="K1039" s="365">
        <v>1766.4</v>
      </c>
      <c r="L1039" s="475" t="s">
        <v>141</v>
      </c>
      <c r="M1039" s="473"/>
    </row>
    <row r="1040" spans="1:13" ht="13.5">
      <c r="A1040" s="475" t="s">
        <v>5284</v>
      </c>
      <c r="B1040" s="475" t="s">
        <v>5285</v>
      </c>
      <c r="C1040" s="475" t="s">
        <v>5290</v>
      </c>
      <c r="D1040" s="475" t="s">
        <v>5291</v>
      </c>
      <c r="E1040" s="476" t="s">
        <v>34</v>
      </c>
      <c r="F1040" s="475" t="s">
        <v>34</v>
      </c>
      <c r="G1040" s="364">
        <v>93435</v>
      </c>
      <c r="H1040" s="475" t="s">
        <v>1081</v>
      </c>
      <c r="I1040" s="475" t="s">
        <v>67</v>
      </c>
      <c r="J1040" s="475" t="s">
        <v>140</v>
      </c>
      <c r="K1040" s="365">
        <v>3.33</v>
      </c>
      <c r="L1040" s="475" t="s">
        <v>141</v>
      </c>
      <c r="M1040" s="473"/>
    </row>
    <row r="1041" spans="1:13" ht="13.5">
      <c r="A1041" s="475" t="s">
        <v>5284</v>
      </c>
      <c r="B1041" s="475" t="s">
        <v>5285</v>
      </c>
      <c r="C1041" s="475" t="s">
        <v>5290</v>
      </c>
      <c r="D1041" s="475" t="s">
        <v>5291</v>
      </c>
      <c r="E1041" s="476" t="s">
        <v>34</v>
      </c>
      <c r="F1041" s="475" t="s">
        <v>34</v>
      </c>
      <c r="G1041" s="364">
        <v>93436</v>
      </c>
      <c r="H1041" s="475" t="s">
        <v>1082</v>
      </c>
      <c r="I1041" s="475" t="s">
        <v>67</v>
      </c>
      <c r="J1041" s="475" t="s">
        <v>140</v>
      </c>
      <c r="K1041" s="365">
        <v>1.33</v>
      </c>
      <c r="L1041" s="475" t="s">
        <v>141</v>
      </c>
      <c r="M1041" s="473"/>
    </row>
    <row r="1042" spans="1:13" ht="13.5">
      <c r="A1042" s="475" t="s">
        <v>5284</v>
      </c>
      <c r="B1042" s="475" t="s">
        <v>5285</v>
      </c>
      <c r="C1042" s="475" t="s">
        <v>5290</v>
      </c>
      <c r="D1042" s="475" t="s">
        <v>5291</v>
      </c>
      <c r="E1042" s="476" t="s">
        <v>34</v>
      </c>
      <c r="F1042" s="475" t="s">
        <v>34</v>
      </c>
      <c r="G1042" s="364">
        <v>93437</v>
      </c>
      <c r="H1042" s="475" t="s">
        <v>1083</v>
      </c>
      <c r="I1042" s="475" t="s">
        <v>67</v>
      </c>
      <c r="J1042" s="475" t="s">
        <v>140</v>
      </c>
      <c r="K1042" s="365">
        <v>6.25</v>
      </c>
      <c r="L1042" s="475" t="s">
        <v>141</v>
      </c>
      <c r="M1042" s="473"/>
    </row>
    <row r="1043" spans="1:13" ht="13.5">
      <c r="A1043" s="475" t="s">
        <v>5284</v>
      </c>
      <c r="B1043" s="475" t="s">
        <v>5285</v>
      </c>
      <c r="C1043" s="475" t="s">
        <v>5290</v>
      </c>
      <c r="D1043" s="475" t="s">
        <v>5291</v>
      </c>
      <c r="E1043" s="476" t="s">
        <v>34</v>
      </c>
      <c r="F1043" s="475" t="s">
        <v>34</v>
      </c>
      <c r="G1043" s="364">
        <v>93438</v>
      </c>
      <c r="H1043" s="475" t="s">
        <v>1084</v>
      </c>
      <c r="I1043" s="475" t="s">
        <v>67</v>
      </c>
      <c r="J1043" s="475" t="s">
        <v>363</v>
      </c>
      <c r="K1043" s="365">
        <v>17.329999999999998</v>
      </c>
      <c r="L1043" s="475" t="s">
        <v>141</v>
      </c>
      <c r="M1043" s="473"/>
    </row>
    <row r="1044" spans="1:13" ht="13.5">
      <c r="A1044" s="475" t="s">
        <v>5284</v>
      </c>
      <c r="B1044" s="475" t="s">
        <v>5285</v>
      </c>
      <c r="C1044" s="475" t="s">
        <v>5290</v>
      </c>
      <c r="D1044" s="475" t="s">
        <v>5291</v>
      </c>
      <c r="E1044" s="476" t="s">
        <v>34</v>
      </c>
      <c r="F1044" s="475" t="s">
        <v>34</v>
      </c>
      <c r="G1044" s="364">
        <v>95114</v>
      </c>
      <c r="H1044" s="475" t="s">
        <v>1085</v>
      </c>
      <c r="I1044" s="475" t="s">
        <v>67</v>
      </c>
      <c r="J1044" s="475" t="s">
        <v>140</v>
      </c>
      <c r="K1044" s="365">
        <v>0.85</v>
      </c>
      <c r="L1044" s="475" t="s">
        <v>141</v>
      </c>
      <c r="M1044" s="473"/>
    </row>
    <row r="1045" spans="1:13" ht="13.5">
      <c r="A1045" s="475" t="s">
        <v>5284</v>
      </c>
      <c r="B1045" s="475" t="s">
        <v>5285</v>
      </c>
      <c r="C1045" s="475" t="s">
        <v>5290</v>
      </c>
      <c r="D1045" s="475" t="s">
        <v>5291</v>
      </c>
      <c r="E1045" s="476" t="s">
        <v>34</v>
      </c>
      <c r="F1045" s="475" t="s">
        <v>34</v>
      </c>
      <c r="G1045" s="364">
        <v>95115</v>
      </c>
      <c r="H1045" s="475" t="s">
        <v>1086</v>
      </c>
      <c r="I1045" s="475" t="s">
        <v>67</v>
      </c>
      <c r="J1045" s="475" t="s">
        <v>140</v>
      </c>
      <c r="K1045" s="365">
        <v>0.19</v>
      </c>
      <c r="L1045" s="475" t="s">
        <v>141</v>
      </c>
      <c r="M1045" s="473"/>
    </row>
    <row r="1046" spans="1:13" ht="13.5">
      <c r="A1046" s="475" t="s">
        <v>5284</v>
      </c>
      <c r="B1046" s="475" t="s">
        <v>5285</v>
      </c>
      <c r="C1046" s="475" t="s">
        <v>5290</v>
      </c>
      <c r="D1046" s="475" t="s">
        <v>5291</v>
      </c>
      <c r="E1046" s="476" t="s">
        <v>34</v>
      </c>
      <c r="F1046" s="475" t="s">
        <v>34</v>
      </c>
      <c r="G1046" s="364">
        <v>95116</v>
      </c>
      <c r="H1046" s="475" t="s">
        <v>1087</v>
      </c>
      <c r="I1046" s="475" t="s">
        <v>67</v>
      </c>
      <c r="J1046" s="475" t="s">
        <v>140</v>
      </c>
      <c r="K1046" s="365">
        <v>31.99</v>
      </c>
      <c r="L1046" s="475" t="s">
        <v>141</v>
      </c>
      <c r="M1046" s="473"/>
    </row>
    <row r="1047" spans="1:13" ht="13.5">
      <c r="A1047" s="475" t="s">
        <v>5284</v>
      </c>
      <c r="B1047" s="475" t="s">
        <v>5285</v>
      </c>
      <c r="C1047" s="475" t="s">
        <v>5290</v>
      </c>
      <c r="D1047" s="475" t="s">
        <v>5291</v>
      </c>
      <c r="E1047" s="476" t="s">
        <v>34</v>
      </c>
      <c r="F1047" s="475" t="s">
        <v>34</v>
      </c>
      <c r="G1047" s="364">
        <v>95117</v>
      </c>
      <c r="H1047" s="475" t="s">
        <v>1088</v>
      </c>
      <c r="I1047" s="475" t="s">
        <v>67</v>
      </c>
      <c r="J1047" s="475" t="s">
        <v>140</v>
      </c>
      <c r="K1047" s="365">
        <v>9.59</v>
      </c>
      <c r="L1047" s="475" t="s">
        <v>141</v>
      </c>
      <c r="M1047" s="473"/>
    </row>
    <row r="1048" spans="1:13" ht="13.5">
      <c r="A1048" s="475" t="s">
        <v>5284</v>
      </c>
      <c r="B1048" s="475" t="s">
        <v>5285</v>
      </c>
      <c r="C1048" s="475" t="s">
        <v>5290</v>
      </c>
      <c r="D1048" s="475" t="s">
        <v>5291</v>
      </c>
      <c r="E1048" s="476" t="s">
        <v>34</v>
      </c>
      <c r="F1048" s="475" t="s">
        <v>34</v>
      </c>
      <c r="G1048" s="364">
        <v>95118</v>
      </c>
      <c r="H1048" s="475" t="s">
        <v>1089</v>
      </c>
      <c r="I1048" s="475" t="s">
        <v>67</v>
      </c>
      <c r="J1048" s="475" t="s">
        <v>140</v>
      </c>
      <c r="K1048" s="365">
        <v>31.77</v>
      </c>
      <c r="L1048" s="475" t="s">
        <v>141</v>
      </c>
      <c r="M1048" s="473"/>
    </row>
    <row r="1049" spans="1:13" ht="13.5">
      <c r="A1049" s="475" t="s">
        <v>5284</v>
      </c>
      <c r="B1049" s="475" t="s">
        <v>5285</v>
      </c>
      <c r="C1049" s="475" t="s">
        <v>5290</v>
      </c>
      <c r="D1049" s="475" t="s">
        <v>5291</v>
      </c>
      <c r="E1049" s="476" t="s">
        <v>34</v>
      </c>
      <c r="F1049" s="475" t="s">
        <v>34</v>
      </c>
      <c r="G1049" s="364">
        <v>95119</v>
      </c>
      <c r="H1049" s="475" t="s">
        <v>1090</v>
      </c>
      <c r="I1049" s="475" t="s">
        <v>67</v>
      </c>
      <c r="J1049" s="475" t="s">
        <v>140</v>
      </c>
      <c r="K1049" s="365">
        <v>10.88</v>
      </c>
      <c r="L1049" s="475" t="s">
        <v>141</v>
      </c>
      <c r="M1049" s="473"/>
    </row>
    <row r="1050" spans="1:13" ht="13.5">
      <c r="A1050" s="475" t="s">
        <v>5284</v>
      </c>
      <c r="B1050" s="475" t="s">
        <v>5285</v>
      </c>
      <c r="C1050" s="475" t="s">
        <v>5290</v>
      </c>
      <c r="D1050" s="475" t="s">
        <v>5291</v>
      </c>
      <c r="E1050" s="476" t="s">
        <v>34</v>
      </c>
      <c r="F1050" s="475" t="s">
        <v>34</v>
      </c>
      <c r="G1050" s="364">
        <v>95120</v>
      </c>
      <c r="H1050" s="475" t="s">
        <v>1091</v>
      </c>
      <c r="I1050" s="475" t="s">
        <v>67</v>
      </c>
      <c r="J1050" s="475" t="s">
        <v>337</v>
      </c>
      <c r="K1050" s="365">
        <v>42.07</v>
      </c>
      <c r="L1050" s="475" t="s">
        <v>141</v>
      </c>
      <c r="M1050" s="473"/>
    </row>
    <row r="1051" spans="1:13" ht="13.5">
      <c r="A1051" s="475" t="s">
        <v>5284</v>
      </c>
      <c r="B1051" s="475" t="s">
        <v>5285</v>
      </c>
      <c r="C1051" s="475" t="s">
        <v>5290</v>
      </c>
      <c r="D1051" s="475" t="s">
        <v>5291</v>
      </c>
      <c r="E1051" s="476" t="s">
        <v>34</v>
      </c>
      <c r="F1051" s="475" t="s">
        <v>34</v>
      </c>
      <c r="G1051" s="364">
        <v>95123</v>
      </c>
      <c r="H1051" s="475" t="s">
        <v>1092</v>
      </c>
      <c r="I1051" s="475" t="s">
        <v>67</v>
      </c>
      <c r="J1051" s="475" t="s">
        <v>140</v>
      </c>
      <c r="K1051" s="365">
        <v>11.4</v>
      </c>
      <c r="L1051" s="475" t="s">
        <v>141</v>
      </c>
      <c r="M1051" s="473"/>
    </row>
    <row r="1052" spans="1:13" ht="13.5">
      <c r="A1052" s="475" t="s">
        <v>5284</v>
      </c>
      <c r="B1052" s="475" t="s">
        <v>5285</v>
      </c>
      <c r="C1052" s="475" t="s">
        <v>5290</v>
      </c>
      <c r="D1052" s="475" t="s">
        <v>5291</v>
      </c>
      <c r="E1052" s="476" t="s">
        <v>34</v>
      </c>
      <c r="F1052" s="475" t="s">
        <v>34</v>
      </c>
      <c r="G1052" s="364">
        <v>95124</v>
      </c>
      <c r="H1052" s="475" t="s">
        <v>1093</v>
      </c>
      <c r="I1052" s="475" t="s">
        <v>67</v>
      </c>
      <c r="J1052" s="475" t="s">
        <v>140</v>
      </c>
      <c r="K1052" s="365">
        <v>3.41</v>
      </c>
      <c r="L1052" s="475" t="s">
        <v>141</v>
      </c>
      <c r="M1052" s="473"/>
    </row>
    <row r="1053" spans="1:13" ht="13.5">
      <c r="A1053" s="475" t="s">
        <v>5284</v>
      </c>
      <c r="B1053" s="475" t="s">
        <v>5285</v>
      </c>
      <c r="C1053" s="475" t="s">
        <v>5290</v>
      </c>
      <c r="D1053" s="475" t="s">
        <v>5291</v>
      </c>
      <c r="E1053" s="476" t="s">
        <v>34</v>
      </c>
      <c r="F1053" s="475" t="s">
        <v>34</v>
      </c>
      <c r="G1053" s="364">
        <v>95125</v>
      </c>
      <c r="H1053" s="475" t="s">
        <v>1094</v>
      </c>
      <c r="I1053" s="475" t="s">
        <v>67</v>
      </c>
      <c r="J1053" s="475" t="s">
        <v>140</v>
      </c>
      <c r="K1053" s="365">
        <v>12.47</v>
      </c>
      <c r="L1053" s="475" t="s">
        <v>141</v>
      </c>
      <c r="M1053" s="473"/>
    </row>
    <row r="1054" spans="1:13" ht="13.5">
      <c r="A1054" s="475" t="s">
        <v>5284</v>
      </c>
      <c r="B1054" s="475" t="s">
        <v>5285</v>
      </c>
      <c r="C1054" s="475" t="s">
        <v>5290</v>
      </c>
      <c r="D1054" s="475" t="s">
        <v>5291</v>
      </c>
      <c r="E1054" s="476" t="s">
        <v>34</v>
      </c>
      <c r="F1054" s="475" t="s">
        <v>34</v>
      </c>
      <c r="G1054" s="364">
        <v>95126</v>
      </c>
      <c r="H1054" s="475" t="s">
        <v>1095</v>
      </c>
      <c r="I1054" s="475" t="s">
        <v>67</v>
      </c>
      <c r="J1054" s="475" t="s">
        <v>363</v>
      </c>
      <c r="K1054" s="365">
        <v>85.81</v>
      </c>
      <c r="L1054" s="475" t="s">
        <v>141</v>
      </c>
      <c r="M1054" s="473"/>
    </row>
    <row r="1055" spans="1:13" ht="13.5">
      <c r="A1055" s="475" t="s">
        <v>5284</v>
      </c>
      <c r="B1055" s="475" t="s">
        <v>5285</v>
      </c>
      <c r="C1055" s="475" t="s">
        <v>5290</v>
      </c>
      <c r="D1055" s="475" t="s">
        <v>5291</v>
      </c>
      <c r="E1055" s="476" t="s">
        <v>34</v>
      </c>
      <c r="F1055" s="475" t="s">
        <v>34</v>
      </c>
      <c r="G1055" s="364">
        <v>95129</v>
      </c>
      <c r="H1055" s="475" t="s">
        <v>1096</v>
      </c>
      <c r="I1055" s="475" t="s">
        <v>67</v>
      </c>
      <c r="J1055" s="475" t="s">
        <v>140</v>
      </c>
      <c r="K1055" s="365">
        <v>20.23</v>
      </c>
      <c r="L1055" s="475" t="s">
        <v>141</v>
      </c>
      <c r="M1055" s="473"/>
    </row>
    <row r="1056" spans="1:13" ht="13.5">
      <c r="A1056" s="475" t="s">
        <v>5284</v>
      </c>
      <c r="B1056" s="475" t="s">
        <v>5285</v>
      </c>
      <c r="C1056" s="475" t="s">
        <v>5290</v>
      </c>
      <c r="D1056" s="475" t="s">
        <v>5291</v>
      </c>
      <c r="E1056" s="476" t="s">
        <v>34</v>
      </c>
      <c r="F1056" s="475" t="s">
        <v>34</v>
      </c>
      <c r="G1056" s="364">
        <v>95130</v>
      </c>
      <c r="H1056" s="475" t="s">
        <v>1097</v>
      </c>
      <c r="I1056" s="475" t="s">
        <v>67</v>
      </c>
      <c r="J1056" s="475" t="s">
        <v>140</v>
      </c>
      <c r="K1056" s="365">
        <v>7.08</v>
      </c>
      <c r="L1056" s="475" t="s">
        <v>141</v>
      </c>
      <c r="M1056" s="473"/>
    </row>
    <row r="1057" spans="1:13" ht="13.5">
      <c r="A1057" s="475" t="s">
        <v>5284</v>
      </c>
      <c r="B1057" s="475" t="s">
        <v>5285</v>
      </c>
      <c r="C1057" s="475" t="s">
        <v>5290</v>
      </c>
      <c r="D1057" s="475" t="s">
        <v>5291</v>
      </c>
      <c r="E1057" s="476" t="s">
        <v>34</v>
      </c>
      <c r="F1057" s="475" t="s">
        <v>34</v>
      </c>
      <c r="G1057" s="364">
        <v>95131</v>
      </c>
      <c r="H1057" s="475" t="s">
        <v>1098</v>
      </c>
      <c r="I1057" s="475" t="s">
        <v>67</v>
      </c>
      <c r="J1057" s="475" t="s">
        <v>140</v>
      </c>
      <c r="K1057" s="365">
        <v>37.94</v>
      </c>
      <c r="L1057" s="475" t="s">
        <v>141</v>
      </c>
      <c r="M1057" s="473"/>
    </row>
    <row r="1058" spans="1:13" ht="13.5">
      <c r="A1058" s="475" t="s">
        <v>5284</v>
      </c>
      <c r="B1058" s="475" t="s">
        <v>5285</v>
      </c>
      <c r="C1058" s="475" t="s">
        <v>5290</v>
      </c>
      <c r="D1058" s="475" t="s">
        <v>5291</v>
      </c>
      <c r="E1058" s="476" t="s">
        <v>34</v>
      </c>
      <c r="F1058" s="475" t="s">
        <v>34</v>
      </c>
      <c r="G1058" s="364">
        <v>95132</v>
      </c>
      <c r="H1058" s="475" t="s">
        <v>1099</v>
      </c>
      <c r="I1058" s="475" t="s">
        <v>67</v>
      </c>
      <c r="J1058" s="475" t="s">
        <v>363</v>
      </c>
      <c r="K1058" s="365">
        <v>18.760000000000002</v>
      </c>
      <c r="L1058" s="475" t="s">
        <v>141</v>
      </c>
      <c r="M1058" s="473"/>
    </row>
    <row r="1059" spans="1:13" ht="13.5">
      <c r="A1059" s="475" t="s">
        <v>5284</v>
      </c>
      <c r="B1059" s="475" t="s">
        <v>5285</v>
      </c>
      <c r="C1059" s="475" t="s">
        <v>5290</v>
      </c>
      <c r="D1059" s="475" t="s">
        <v>5291</v>
      </c>
      <c r="E1059" s="476" t="s">
        <v>34</v>
      </c>
      <c r="F1059" s="475" t="s">
        <v>34</v>
      </c>
      <c r="G1059" s="364">
        <v>95136</v>
      </c>
      <c r="H1059" s="475" t="s">
        <v>1100</v>
      </c>
      <c r="I1059" s="475" t="s">
        <v>67</v>
      </c>
      <c r="J1059" s="475" t="s">
        <v>140</v>
      </c>
      <c r="K1059" s="365">
        <v>0.03</v>
      </c>
      <c r="L1059" s="475" t="s">
        <v>141</v>
      </c>
      <c r="M1059" s="473"/>
    </row>
    <row r="1060" spans="1:13" ht="13.5">
      <c r="A1060" s="475" t="s">
        <v>5284</v>
      </c>
      <c r="B1060" s="475" t="s">
        <v>5285</v>
      </c>
      <c r="C1060" s="475" t="s">
        <v>5290</v>
      </c>
      <c r="D1060" s="475" t="s">
        <v>5291</v>
      </c>
      <c r="E1060" s="476" t="s">
        <v>34</v>
      </c>
      <c r="F1060" s="475" t="s">
        <v>34</v>
      </c>
      <c r="G1060" s="364">
        <v>95137</v>
      </c>
      <c r="H1060" s="475" t="s">
        <v>1101</v>
      </c>
      <c r="I1060" s="475" t="s">
        <v>67</v>
      </c>
      <c r="J1060" s="475" t="s">
        <v>140</v>
      </c>
      <c r="K1060" s="365">
        <v>0.01</v>
      </c>
      <c r="L1060" s="475" t="s">
        <v>141</v>
      </c>
      <c r="M1060" s="473"/>
    </row>
    <row r="1061" spans="1:13" ht="13.5">
      <c r="A1061" s="475" t="s">
        <v>5284</v>
      </c>
      <c r="B1061" s="475" t="s">
        <v>5285</v>
      </c>
      <c r="C1061" s="475" t="s">
        <v>5290</v>
      </c>
      <c r="D1061" s="475" t="s">
        <v>5291</v>
      </c>
      <c r="E1061" s="476" t="s">
        <v>34</v>
      </c>
      <c r="F1061" s="475" t="s">
        <v>34</v>
      </c>
      <c r="G1061" s="364">
        <v>95138</v>
      </c>
      <c r="H1061" s="475" t="s">
        <v>1102</v>
      </c>
      <c r="I1061" s="475" t="s">
        <v>67</v>
      </c>
      <c r="J1061" s="475" t="s">
        <v>140</v>
      </c>
      <c r="K1061" s="365">
        <v>0.02</v>
      </c>
      <c r="L1061" s="475" t="s">
        <v>141</v>
      </c>
      <c r="M1061" s="473"/>
    </row>
    <row r="1062" spans="1:13" ht="13.5">
      <c r="A1062" s="475" t="s">
        <v>5284</v>
      </c>
      <c r="B1062" s="475" t="s">
        <v>5285</v>
      </c>
      <c r="C1062" s="475" t="s">
        <v>5290</v>
      </c>
      <c r="D1062" s="475" t="s">
        <v>5291</v>
      </c>
      <c r="E1062" s="476" t="s">
        <v>34</v>
      </c>
      <c r="F1062" s="475" t="s">
        <v>34</v>
      </c>
      <c r="G1062" s="364">
        <v>95208</v>
      </c>
      <c r="H1062" s="475" t="s">
        <v>1103</v>
      </c>
      <c r="I1062" s="475" t="s">
        <v>67</v>
      </c>
      <c r="J1062" s="475" t="s">
        <v>140</v>
      </c>
      <c r="K1062" s="365">
        <v>26.15</v>
      </c>
      <c r="L1062" s="475" t="s">
        <v>141</v>
      </c>
      <c r="M1062" s="473"/>
    </row>
    <row r="1063" spans="1:13" ht="13.5">
      <c r="A1063" s="475" t="s">
        <v>5284</v>
      </c>
      <c r="B1063" s="475" t="s">
        <v>5285</v>
      </c>
      <c r="C1063" s="475" t="s">
        <v>5290</v>
      </c>
      <c r="D1063" s="475" t="s">
        <v>5291</v>
      </c>
      <c r="E1063" s="476" t="s">
        <v>34</v>
      </c>
      <c r="F1063" s="475" t="s">
        <v>34</v>
      </c>
      <c r="G1063" s="364">
        <v>95209</v>
      </c>
      <c r="H1063" s="475" t="s">
        <v>1104</v>
      </c>
      <c r="I1063" s="475" t="s">
        <v>67</v>
      </c>
      <c r="J1063" s="475" t="s">
        <v>140</v>
      </c>
      <c r="K1063" s="365">
        <v>5.88</v>
      </c>
      <c r="L1063" s="475" t="s">
        <v>141</v>
      </c>
      <c r="M1063" s="473"/>
    </row>
    <row r="1064" spans="1:13" ht="13.5">
      <c r="A1064" s="475" t="s">
        <v>5284</v>
      </c>
      <c r="B1064" s="475" t="s">
        <v>5285</v>
      </c>
      <c r="C1064" s="475" t="s">
        <v>5290</v>
      </c>
      <c r="D1064" s="475" t="s">
        <v>5291</v>
      </c>
      <c r="E1064" s="476" t="s">
        <v>34</v>
      </c>
      <c r="F1064" s="475" t="s">
        <v>34</v>
      </c>
      <c r="G1064" s="364">
        <v>95210</v>
      </c>
      <c r="H1064" s="475" t="s">
        <v>1105</v>
      </c>
      <c r="I1064" s="475" t="s">
        <v>67</v>
      </c>
      <c r="J1064" s="475" t="s">
        <v>140</v>
      </c>
      <c r="K1064" s="365">
        <v>28.6</v>
      </c>
      <c r="L1064" s="475" t="s">
        <v>141</v>
      </c>
      <c r="M1064" s="473"/>
    </row>
    <row r="1065" spans="1:13" ht="13.5">
      <c r="A1065" s="475" t="s">
        <v>5284</v>
      </c>
      <c r="B1065" s="475" t="s">
        <v>5285</v>
      </c>
      <c r="C1065" s="475" t="s">
        <v>5290</v>
      </c>
      <c r="D1065" s="475" t="s">
        <v>5291</v>
      </c>
      <c r="E1065" s="476" t="s">
        <v>34</v>
      </c>
      <c r="F1065" s="475" t="s">
        <v>34</v>
      </c>
      <c r="G1065" s="364">
        <v>95211</v>
      </c>
      <c r="H1065" s="475" t="s">
        <v>1106</v>
      </c>
      <c r="I1065" s="475" t="s">
        <v>67</v>
      </c>
      <c r="J1065" s="475" t="s">
        <v>337</v>
      </c>
      <c r="K1065" s="365">
        <v>6.17</v>
      </c>
      <c r="L1065" s="475" t="s">
        <v>141</v>
      </c>
      <c r="M1065" s="473"/>
    </row>
    <row r="1066" spans="1:13" ht="13.5">
      <c r="A1066" s="475" t="s">
        <v>5284</v>
      </c>
      <c r="B1066" s="475" t="s">
        <v>5285</v>
      </c>
      <c r="C1066" s="475" t="s">
        <v>5290</v>
      </c>
      <c r="D1066" s="475" t="s">
        <v>5291</v>
      </c>
      <c r="E1066" s="476" t="s">
        <v>34</v>
      </c>
      <c r="F1066" s="475" t="s">
        <v>34</v>
      </c>
      <c r="G1066" s="364">
        <v>95214</v>
      </c>
      <c r="H1066" s="475" t="s">
        <v>1107</v>
      </c>
      <c r="I1066" s="475" t="s">
        <v>67</v>
      </c>
      <c r="J1066" s="475" t="s">
        <v>337</v>
      </c>
      <c r="K1066" s="365">
        <v>0.22</v>
      </c>
      <c r="L1066" s="475" t="s">
        <v>141</v>
      </c>
      <c r="M1066" s="473"/>
    </row>
    <row r="1067" spans="1:13" ht="13.5">
      <c r="A1067" s="475" t="s">
        <v>5284</v>
      </c>
      <c r="B1067" s="475" t="s">
        <v>5285</v>
      </c>
      <c r="C1067" s="475" t="s">
        <v>5290</v>
      </c>
      <c r="D1067" s="475" t="s">
        <v>5291</v>
      </c>
      <c r="E1067" s="476" t="s">
        <v>34</v>
      </c>
      <c r="F1067" s="475" t="s">
        <v>34</v>
      </c>
      <c r="G1067" s="364">
        <v>95215</v>
      </c>
      <c r="H1067" s="475" t="s">
        <v>1108</v>
      </c>
      <c r="I1067" s="475" t="s">
        <v>67</v>
      </c>
      <c r="J1067" s="475" t="s">
        <v>337</v>
      </c>
      <c r="K1067" s="365">
        <v>0.04</v>
      </c>
      <c r="L1067" s="475" t="s">
        <v>141</v>
      </c>
      <c r="M1067" s="473"/>
    </row>
    <row r="1068" spans="1:13" ht="13.5">
      <c r="A1068" s="475" t="s">
        <v>5284</v>
      </c>
      <c r="B1068" s="475" t="s">
        <v>5285</v>
      </c>
      <c r="C1068" s="475" t="s">
        <v>5290</v>
      </c>
      <c r="D1068" s="475" t="s">
        <v>5291</v>
      </c>
      <c r="E1068" s="476" t="s">
        <v>34</v>
      </c>
      <c r="F1068" s="475" t="s">
        <v>34</v>
      </c>
      <c r="G1068" s="364">
        <v>95216</v>
      </c>
      <c r="H1068" s="475" t="s">
        <v>1109</v>
      </c>
      <c r="I1068" s="475" t="s">
        <v>67</v>
      </c>
      <c r="J1068" s="475" t="s">
        <v>337</v>
      </c>
      <c r="K1068" s="365">
        <v>0.15</v>
      </c>
      <c r="L1068" s="475" t="s">
        <v>141</v>
      </c>
      <c r="M1068" s="473"/>
    </row>
    <row r="1069" spans="1:13" ht="13.5">
      <c r="A1069" s="475" t="s">
        <v>5284</v>
      </c>
      <c r="B1069" s="475" t="s">
        <v>5285</v>
      </c>
      <c r="C1069" s="475" t="s">
        <v>5290</v>
      </c>
      <c r="D1069" s="475" t="s">
        <v>5291</v>
      </c>
      <c r="E1069" s="476" t="s">
        <v>34</v>
      </c>
      <c r="F1069" s="475" t="s">
        <v>34</v>
      </c>
      <c r="G1069" s="364">
        <v>95217</v>
      </c>
      <c r="H1069" s="475" t="s">
        <v>1110</v>
      </c>
      <c r="I1069" s="475" t="s">
        <v>67</v>
      </c>
      <c r="J1069" s="475" t="s">
        <v>337</v>
      </c>
      <c r="K1069" s="365">
        <v>0.41</v>
      </c>
      <c r="L1069" s="475" t="s">
        <v>141</v>
      </c>
      <c r="M1069" s="473"/>
    </row>
    <row r="1070" spans="1:13" ht="13.5">
      <c r="A1070" s="475" t="s">
        <v>5284</v>
      </c>
      <c r="B1070" s="475" t="s">
        <v>5285</v>
      </c>
      <c r="C1070" s="475" t="s">
        <v>5290</v>
      </c>
      <c r="D1070" s="475" t="s">
        <v>5291</v>
      </c>
      <c r="E1070" s="476" t="s">
        <v>34</v>
      </c>
      <c r="F1070" s="475" t="s">
        <v>34</v>
      </c>
      <c r="G1070" s="364">
        <v>95255</v>
      </c>
      <c r="H1070" s="475" t="s">
        <v>1111</v>
      </c>
      <c r="I1070" s="475" t="s">
        <v>67</v>
      </c>
      <c r="J1070" s="475" t="s">
        <v>140</v>
      </c>
      <c r="K1070" s="365">
        <v>0.75</v>
      </c>
      <c r="L1070" s="475" t="s">
        <v>141</v>
      </c>
      <c r="M1070" s="473"/>
    </row>
    <row r="1071" spans="1:13" ht="13.5">
      <c r="A1071" s="475" t="s">
        <v>5284</v>
      </c>
      <c r="B1071" s="475" t="s">
        <v>5285</v>
      </c>
      <c r="C1071" s="475" t="s">
        <v>5290</v>
      </c>
      <c r="D1071" s="475" t="s">
        <v>5291</v>
      </c>
      <c r="E1071" s="476" t="s">
        <v>34</v>
      </c>
      <c r="F1071" s="475" t="s">
        <v>34</v>
      </c>
      <c r="G1071" s="364">
        <v>95256</v>
      </c>
      <c r="H1071" s="475" t="s">
        <v>1112</v>
      </c>
      <c r="I1071" s="475" t="s">
        <v>67</v>
      </c>
      <c r="J1071" s="475" t="s">
        <v>140</v>
      </c>
      <c r="K1071" s="365">
        <v>0.17</v>
      </c>
      <c r="L1071" s="475" t="s">
        <v>141</v>
      </c>
      <c r="M1071" s="473"/>
    </row>
    <row r="1072" spans="1:13" ht="13.5">
      <c r="A1072" s="475" t="s">
        <v>5284</v>
      </c>
      <c r="B1072" s="475" t="s">
        <v>5285</v>
      </c>
      <c r="C1072" s="475" t="s">
        <v>5290</v>
      </c>
      <c r="D1072" s="475" t="s">
        <v>5291</v>
      </c>
      <c r="E1072" s="476" t="s">
        <v>34</v>
      </c>
      <c r="F1072" s="475" t="s">
        <v>34</v>
      </c>
      <c r="G1072" s="364">
        <v>95257</v>
      </c>
      <c r="H1072" s="475" t="s">
        <v>1113</v>
      </c>
      <c r="I1072" s="475" t="s">
        <v>67</v>
      </c>
      <c r="J1072" s="475" t="s">
        <v>140</v>
      </c>
      <c r="K1072" s="365">
        <v>0.94</v>
      </c>
      <c r="L1072" s="475" t="s">
        <v>141</v>
      </c>
      <c r="M1072" s="473"/>
    </row>
    <row r="1073" spans="1:13" ht="13.5">
      <c r="A1073" s="475" t="s">
        <v>5284</v>
      </c>
      <c r="B1073" s="475" t="s">
        <v>5285</v>
      </c>
      <c r="C1073" s="475" t="s">
        <v>5290</v>
      </c>
      <c r="D1073" s="475" t="s">
        <v>5291</v>
      </c>
      <c r="E1073" s="476" t="s">
        <v>34</v>
      </c>
      <c r="F1073" s="475" t="s">
        <v>34</v>
      </c>
      <c r="G1073" s="364">
        <v>95260</v>
      </c>
      <c r="H1073" s="475" t="s">
        <v>1114</v>
      </c>
      <c r="I1073" s="475" t="s">
        <v>67</v>
      </c>
      <c r="J1073" s="475" t="s">
        <v>363</v>
      </c>
      <c r="K1073" s="365">
        <v>0.57999999999999996</v>
      </c>
      <c r="L1073" s="475" t="s">
        <v>141</v>
      </c>
      <c r="M1073" s="473"/>
    </row>
    <row r="1074" spans="1:13" ht="13.5">
      <c r="A1074" s="475" t="s">
        <v>5284</v>
      </c>
      <c r="B1074" s="475" t="s">
        <v>5285</v>
      </c>
      <c r="C1074" s="475" t="s">
        <v>5290</v>
      </c>
      <c r="D1074" s="475" t="s">
        <v>5291</v>
      </c>
      <c r="E1074" s="476" t="s">
        <v>34</v>
      </c>
      <c r="F1074" s="475" t="s">
        <v>34</v>
      </c>
      <c r="G1074" s="364">
        <v>95261</v>
      </c>
      <c r="H1074" s="475" t="s">
        <v>1115</v>
      </c>
      <c r="I1074" s="475" t="s">
        <v>67</v>
      </c>
      <c r="J1074" s="475" t="s">
        <v>140</v>
      </c>
      <c r="K1074" s="365">
        <v>0.16</v>
      </c>
      <c r="L1074" s="475" t="s">
        <v>141</v>
      </c>
      <c r="M1074" s="473"/>
    </row>
    <row r="1075" spans="1:13" ht="13.5">
      <c r="A1075" s="475" t="s">
        <v>5284</v>
      </c>
      <c r="B1075" s="475" t="s">
        <v>5285</v>
      </c>
      <c r="C1075" s="475" t="s">
        <v>5290</v>
      </c>
      <c r="D1075" s="475" t="s">
        <v>5291</v>
      </c>
      <c r="E1075" s="476" t="s">
        <v>34</v>
      </c>
      <c r="F1075" s="475" t="s">
        <v>34</v>
      </c>
      <c r="G1075" s="364">
        <v>95262</v>
      </c>
      <c r="H1075" s="475" t="s">
        <v>1116</v>
      </c>
      <c r="I1075" s="475" t="s">
        <v>67</v>
      </c>
      <c r="J1075" s="475" t="s">
        <v>140</v>
      </c>
      <c r="K1075" s="365">
        <v>0.78</v>
      </c>
      <c r="L1075" s="475" t="s">
        <v>141</v>
      </c>
      <c r="M1075" s="473"/>
    </row>
    <row r="1076" spans="1:13" ht="13.5">
      <c r="A1076" s="475" t="s">
        <v>5284</v>
      </c>
      <c r="B1076" s="475" t="s">
        <v>5285</v>
      </c>
      <c r="C1076" s="475" t="s">
        <v>5290</v>
      </c>
      <c r="D1076" s="475" t="s">
        <v>5291</v>
      </c>
      <c r="E1076" s="476" t="s">
        <v>34</v>
      </c>
      <c r="F1076" s="475" t="s">
        <v>34</v>
      </c>
      <c r="G1076" s="364">
        <v>95263</v>
      </c>
      <c r="H1076" s="475" t="s">
        <v>1117</v>
      </c>
      <c r="I1076" s="475" t="s">
        <v>67</v>
      </c>
      <c r="J1076" s="475" t="s">
        <v>363</v>
      </c>
      <c r="K1076" s="365">
        <v>1.84</v>
      </c>
      <c r="L1076" s="475" t="s">
        <v>141</v>
      </c>
      <c r="M1076" s="473"/>
    </row>
    <row r="1077" spans="1:13" ht="13.5">
      <c r="A1077" s="475" t="s">
        <v>5284</v>
      </c>
      <c r="B1077" s="475" t="s">
        <v>5285</v>
      </c>
      <c r="C1077" s="475" t="s">
        <v>5290</v>
      </c>
      <c r="D1077" s="475" t="s">
        <v>5291</v>
      </c>
      <c r="E1077" s="476" t="s">
        <v>34</v>
      </c>
      <c r="F1077" s="475" t="s">
        <v>34</v>
      </c>
      <c r="G1077" s="364">
        <v>95266</v>
      </c>
      <c r="H1077" s="475" t="s">
        <v>1118</v>
      </c>
      <c r="I1077" s="475" t="s">
        <v>67</v>
      </c>
      <c r="J1077" s="475" t="s">
        <v>140</v>
      </c>
      <c r="K1077" s="365">
        <v>0.41</v>
      </c>
      <c r="L1077" s="475" t="s">
        <v>141</v>
      </c>
      <c r="M1077" s="473"/>
    </row>
    <row r="1078" spans="1:13" ht="13.5">
      <c r="A1078" s="475" t="s">
        <v>5284</v>
      </c>
      <c r="B1078" s="475" t="s">
        <v>5285</v>
      </c>
      <c r="C1078" s="475" t="s">
        <v>5290</v>
      </c>
      <c r="D1078" s="475" t="s">
        <v>5291</v>
      </c>
      <c r="E1078" s="476" t="s">
        <v>34</v>
      </c>
      <c r="F1078" s="475" t="s">
        <v>34</v>
      </c>
      <c r="G1078" s="364">
        <v>95267</v>
      </c>
      <c r="H1078" s="475" t="s">
        <v>1119</v>
      </c>
      <c r="I1078" s="475" t="s">
        <v>67</v>
      </c>
      <c r="J1078" s="475" t="s">
        <v>140</v>
      </c>
      <c r="K1078" s="365">
        <v>0.08</v>
      </c>
      <c r="L1078" s="475" t="s">
        <v>141</v>
      </c>
      <c r="M1078" s="473"/>
    </row>
    <row r="1079" spans="1:13" ht="13.5">
      <c r="A1079" s="475" t="s">
        <v>5284</v>
      </c>
      <c r="B1079" s="475" t="s">
        <v>5285</v>
      </c>
      <c r="C1079" s="475" t="s">
        <v>5290</v>
      </c>
      <c r="D1079" s="475" t="s">
        <v>5291</v>
      </c>
      <c r="E1079" s="476" t="s">
        <v>34</v>
      </c>
      <c r="F1079" s="475" t="s">
        <v>34</v>
      </c>
      <c r="G1079" s="364">
        <v>95268</v>
      </c>
      <c r="H1079" s="475" t="s">
        <v>1120</v>
      </c>
      <c r="I1079" s="475" t="s">
        <v>67</v>
      </c>
      <c r="J1079" s="475" t="s">
        <v>140</v>
      </c>
      <c r="K1079" s="365">
        <v>0.4</v>
      </c>
      <c r="L1079" s="475" t="s">
        <v>141</v>
      </c>
      <c r="M1079" s="473"/>
    </row>
    <row r="1080" spans="1:13" ht="13.5">
      <c r="A1080" s="475" t="s">
        <v>5284</v>
      </c>
      <c r="B1080" s="475" t="s">
        <v>5285</v>
      </c>
      <c r="C1080" s="475" t="s">
        <v>5290</v>
      </c>
      <c r="D1080" s="475" t="s">
        <v>5291</v>
      </c>
      <c r="E1080" s="476" t="s">
        <v>34</v>
      </c>
      <c r="F1080" s="475" t="s">
        <v>34</v>
      </c>
      <c r="G1080" s="364">
        <v>95269</v>
      </c>
      <c r="H1080" s="475" t="s">
        <v>1121</v>
      </c>
      <c r="I1080" s="475" t="s">
        <v>67</v>
      </c>
      <c r="J1080" s="475" t="s">
        <v>363</v>
      </c>
      <c r="K1080" s="365">
        <v>3.43</v>
      </c>
      <c r="L1080" s="475" t="s">
        <v>141</v>
      </c>
      <c r="M1080" s="473"/>
    </row>
    <row r="1081" spans="1:13" ht="13.5">
      <c r="A1081" s="475" t="s">
        <v>5284</v>
      </c>
      <c r="B1081" s="475" t="s">
        <v>5285</v>
      </c>
      <c r="C1081" s="475" t="s">
        <v>5290</v>
      </c>
      <c r="D1081" s="475" t="s">
        <v>5291</v>
      </c>
      <c r="E1081" s="476" t="s">
        <v>34</v>
      </c>
      <c r="F1081" s="475" t="s">
        <v>34</v>
      </c>
      <c r="G1081" s="364">
        <v>95272</v>
      </c>
      <c r="H1081" s="475" t="s">
        <v>1122</v>
      </c>
      <c r="I1081" s="475" t="s">
        <v>67</v>
      </c>
      <c r="J1081" s="475" t="s">
        <v>140</v>
      </c>
      <c r="K1081" s="365">
        <v>0.4</v>
      </c>
      <c r="L1081" s="475" t="s">
        <v>141</v>
      </c>
      <c r="M1081" s="473"/>
    </row>
    <row r="1082" spans="1:13" ht="13.5">
      <c r="A1082" s="475" t="s">
        <v>5284</v>
      </c>
      <c r="B1082" s="475" t="s">
        <v>5285</v>
      </c>
      <c r="C1082" s="475" t="s">
        <v>5290</v>
      </c>
      <c r="D1082" s="475" t="s">
        <v>5291</v>
      </c>
      <c r="E1082" s="476" t="s">
        <v>34</v>
      </c>
      <c r="F1082" s="475" t="s">
        <v>34</v>
      </c>
      <c r="G1082" s="364">
        <v>95273</v>
      </c>
      <c r="H1082" s="475" t="s">
        <v>1123</v>
      </c>
      <c r="I1082" s="475" t="s">
        <v>67</v>
      </c>
      <c r="J1082" s="475" t="s">
        <v>140</v>
      </c>
      <c r="K1082" s="365">
        <v>0.09</v>
      </c>
      <c r="L1082" s="475" t="s">
        <v>141</v>
      </c>
      <c r="M1082" s="473"/>
    </row>
    <row r="1083" spans="1:13" ht="13.5">
      <c r="A1083" s="475" t="s">
        <v>5284</v>
      </c>
      <c r="B1083" s="475" t="s">
        <v>5285</v>
      </c>
      <c r="C1083" s="475" t="s">
        <v>5290</v>
      </c>
      <c r="D1083" s="475" t="s">
        <v>5291</v>
      </c>
      <c r="E1083" s="476" t="s">
        <v>34</v>
      </c>
      <c r="F1083" s="475" t="s">
        <v>34</v>
      </c>
      <c r="G1083" s="364">
        <v>95274</v>
      </c>
      <c r="H1083" s="475" t="s">
        <v>1124</v>
      </c>
      <c r="I1083" s="475" t="s">
        <v>67</v>
      </c>
      <c r="J1083" s="475" t="s">
        <v>140</v>
      </c>
      <c r="K1083" s="365">
        <v>0.31</v>
      </c>
      <c r="L1083" s="475" t="s">
        <v>141</v>
      </c>
      <c r="M1083" s="473"/>
    </row>
    <row r="1084" spans="1:13" ht="13.5">
      <c r="A1084" s="475" t="s">
        <v>5284</v>
      </c>
      <c r="B1084" s="475" t="s">
        <v>5285</v>
      </c>
      <c r="C1084" s="475" t="s">
        <v>5290</v>
      </c>
      <c r="D1084" s="475" t="s">
        <v>5291</v>
      </c>
      <c r="E1084" s="476" t="s">
        <v>34</v>
      </c>
      <c r="F1084" s="475" t="s">
        <v>34</v>
      </c>
      <c r="G1084" s="364">
        <v>95275</v>
      </c>
      <c r="H1084" s="475" t="s">
        <v>1125</v>
      </c>
      <c r="I1084" s="475" t="s">
        <v>67</v>
      </c>
      <c r="J1084" s="475" t="s">
        <v>337</v>
      </c>
      <c r="K1084" s="365">
        <v>1.67</v>
      </c>
      <c r="L1084" s="475" t="s">
        <v>141</v>
      </c>
      <c r="M1084" s="473"/>
    </row>
    <row r="1085" spans="1:13" ht="13.5">
      <c r="A1085" s="475" t="s">
        <v>5284</v>
      </c>
      <c r="B1085" s="475" t="s">
        <v>5285</v>
      </c>
      <c r="C1085" s="475" t="s">
        <v>5290</v>
      </c>
      <c r="D1085" s="475" t="s">
        <v>5291</v>
      </c>
      <c r="E1085" s="476" t="s">
        <v>34</v>
      </c>
      <c r="F1085" s="475" t="s">
        <v>34</v>
      </c>
      <c r="G1085" s="364">
        <v>95278</v>
      </c>
      <c r="H1085" s="475" t="s">
        <v>1126</v>
      </c>
      <c r="I1085" s="475" t="s">
        <v>67</v>
      </c>
      <c r="J1085" s="475" t="s">
        <v>140</v>
      </c>
      <c r="K1085" s="365">
        <v>0.44</v>
      </c>
      <c r="L1085" s="475" t="s">
        <v>141</v>
      </c>
      <c r="M1085" s="473"/>
    </row>
    <row r="1086" spans="1:13" ht="13.5">
      <c r="A1086" s="475" t="s">
        <v>5284</v>
      </c>
      <c r="B1086" s="475" t="s">
        <v>5285</v>
      </c>
      <c r="C1086" s="475" t="s">
        <v>5290</v>
      </c>
      <c r="D1086" s="475" t="s">
        <v>5291</v>
      </c>
      <c r="E1086" s="476" t="s">
        <v>34</v>
      </c>
      <c r="F1086" s="475" t="s">
        <v>34</v>
      </c>
      <c r="G1086" s="364">
        <v>95279</v>
      </c>
      <c r="H1086" s="475" t="s">
        <v>1127</v>
      </c>
      <c r="I1086" s="475" t="s">
        <v>67</v>
      </c>
      <c r="J1086" s="475" t="s">
        <v>140</v>
      </c>
      <c r="K1086" s="365">
        <v>0.09</v>
      </c>
      <c r="L1086" s="475" t="s">
        <v>141</v>
      </c>
      <c r="M1086" s="473"/>
    </row>
    <row r="1087" spans="1:13" ht="13.5">
      <c r="A1087" s="475" t="s">
        <v>5284</v>
      </c>
      <c r="B1087" s="475" t="s">
        <v>5285</v>
      </c>
      <c r="C1087" s="475" t="s">
        <v>5290</v>
      </c>
      <c r="D1087" s="475" t="s">
        <v>5291</v>
      </c>
      <c r="E1087" s="476" t="s">
        <v>34</v>
      </c>
      <c r="F1087" s="475" t="s">
        <v>34</v>
      </c>
      <c r="G1087" s="364">
        <v>95280</v>
      </c>
      <c r="H1087" s="475" t="s">
        <v>1128</v>
      </c>
      <c r="I1087" s="475" t="s">
        <v>67</v>
      </c>
      <c r="J1087" s="475" t="s">
        <v>140</v>
      </c>
      <c r="K1087" s="365">
        <v>0.34</v>
      </c>
      <c r="L1087" s="475" t="s">
        <v>141</v>
      </c>
      <c r="M1087" s="473"/>
    </row>
    <row r="1088" spans="1:13" ht="13.5">
      <c r="A1088" s="475" t="s">
        <v>5284</v>
      </c>
      <c r="B1088" s="475" t="s">
        <v>5285</v>
      </c>
      <c r="C1088" s="475" t="s">
        <v>5290</v>
      </c>
      <c r="D1088" s="475" t="s">
        <v>5291</v>
      </c>
      <c r="E1088" s="476" t="s">
        <v>34</v>
      </c>
      <c r="F1088" s="475" t="s">
        <v>34</v>
      </c>
      <c r="G1088" s="364">
        <v>95281</v>
      </c>
      <c r="H1088" s="475" t="s">
        <v>1129</v>
      </c>
      <c r="I1088" s="475" t="s">
        <v>67</v>
      </c>
      <c r="J1088" s="475" t="s">
        <v>363</v>
      </c>
      <c r="K1088" s="365">
        <v>3.43</v>
      </c>
      <c r="L1088" s="475" t="s">
        <v>141</v>
      </c>
      <c r="M1088" s="473"/>
    </row>
    <row r="1089" spans="1:13" ht="13.5">
      <c r="A1089" s="475" t="s">
        <v>5284</v>
      </c>
      <c r="B1089" s="475" t="s">
        <v>5285</v>
      </c>
      <c r="C1089" s="475" t="s">
        <v>5290</v>
      </c>
      <c r="D1089" s="475" t="s">
        <v>5291</v>
      </c>
      <c r="E1089" s="476" t="s">
        <v>34</v>
      </c>
      <c r="F1089" s="475" t="s">
        <v>34</v>
      </c>
      <c r="G1089" s="364">
        <v>95617</v>
      </c>
      <c r="H1089" s="475" t="s">
        <v>1130</v>
      </c>
      <c r="I1089" s="475" t="s">
        <v>67</v>
      </c>
      <c r="J1089" s="475" t="s">
        <v>140</v>
      </c>
      <c r="K1089" s="365">
        <v>0.62</v>
      </c>
      <c r="L1089" s="475" t="s">
        <v>141</v>
      </c>
      <c r="M1089" s="473"/>
    </row>
    <row r="1090" spans="1:13" ht="13.5">
      <c r="A1090" s="475" t="s">
        <v>5284</v>
      </c>
      <c r="B1090" s="475" t="s">
        <v>5285</v>
      </c>
      <c r="C1090" s="475" t="s">
        <v>5290</v>
      </c>
      <c r="D1090" s="475" t="s">
        <v>5291</v>
      </c>
      <c r="E1090" s="476" t="s">
        <v>34</v>
      </c>
      <c r="F1090" s="475" t="s">
        <v>34</v>
      </c>
      <c r="G1090" s="364">
        <v>95618</v>
      </c>
      <c r="H1090" s="475" t="s">
        <v>1131</v>
      </c>
      <c r="I1090" s="475" t="s">
        <v>67</v>
      </c>
      <c r="J1090" s="475" t="s">
        <v>140</v>
      </c>
      <c r="K1090" s="365">
        <v>0.13</v>
      </c>
      <c r="L1090" s="475" t="s">
        <v>141</v>
      </c>
      <c r="M1090" s="473"/>
    </row>
    <row r="1091" spans="1:13" ht="13.5">
      <c r="A1091" s="475" t="s">
        <v>5284</v>
      </c>
      <c r="B1091" s="475" t="s">
        <v>5285</v>
      </c>
      <c r="C1091" s="475" t="s">
        <v>5290</v>
      </c>
      <c r="D1091" s="475" t="s">
        <v>5291</v>
      </c>
      <c r="E1091" s="476" t="s">
        <v>34</v>
      </c>
      <c r="F1091" s="475" t="s">
        <v>34</v>
      </c>
      <c r="G1091" s="364">
        <v>95619</v>
      </c>
      <c r="H1091" s="475" t="s">
        <v>1132</v>
      </c>
      <c r="I1091" s="475" t="s">
        <v>67</v>
      </c>
      <c r="J1091" s="475" t="s">
        <v>140</v>
      </c>
      <c r="K1091" s="365">
        <v>0.77</v>
      </c>
      <c r="L1091" s="475" t="s">
        <v>141</v>
      </c>
      <c r="M1091" s="473"/>
    </row>
    <row r="1092" spans="1:13" ht="13.5">
      <c r="A1092" s="475" t="s">
        <v>5284</v>
      </c>
      <c r="B1092" s="475" t="s">
        <v>5285</v>
      </c>
      <c r="C1092" s="475" t="s">
        <v>5290</v>
      </c>
      <c r="D1092" s="475" t="s">
        <v>5291</v>
      </c>
      <c r="E1092" s="476" t="s">
        <v>34</v>
      </c>
      <c r="F1092" s="475" t="s">
        <v>34</v>
      </c>
      <c r="G1092" s="364">
        <v>95627</v>
      </c>
      <c r="H1092" s="475" t="s">
        <v>1133</v>
      </c>
      <c r="I1092" s="475" t="s">
        <v>67</v>
      </c>
      <c r="J1092" s="475" t="s">
        <v>140</v>
      </c>
      <c r="K1092" s="365">
        <v>21.8</v>
      </c>
      <c r="L1092" s="475" t="s">
        <v>141</v>
      </c>
      <c r="M1092" s="473"/>
    </row>
    <row r="1093" spans="1:13" ht="13.5">
      <c r="A1093" s="475" t="s">
        <v>5284</v>
      </c>
      <c r="B1093" s="475" t="s">
        <v>5285</v>
      </c>
      <c r="C1093" s="475" t="s">
        <v>5290</v>
      </c>
      <c r="D1093" s="475" t="s">
        <v>5291</v>
      </c>
      <c r="E1093" s="476" t="s">
        <v>34</v>
      </c>
      <c r="F1093" s="475" t="s">
        <v>34</v>
      </c>
      <c r="G1093" s="364">
        <v>95628</v>
      </c>
      <c r="H1093" s="475" t="s">
        <v>1134</v>
      </c>
      <c r="I1093" s="475" t="s">
        <v>67</v>
      </c>
      <c r="J1093" s="475" t="s">
        <v>140</v>
      </c>
      <c r="K1093" s="365">
        <v>5.72</v>
      </c>
      <c r="L1093" s="475" t="s">
        <v>141</v>
      </c>
      <c r="M1093" s="473"/>
    </row>
    <row r="1094" spans="1:13" ht="13.5">
      <c r="A1094" s="475" t="s">
        <v>5284</v>
      </c>
      <c r="B1094" s="475" t="s">
        <v>5285</v>
      </c>
      <c r="C1094" s="475" t="s">
        <v>5290</v>
      </c>
      <c r="D1094" s="475" t="s">
        <v>5291</v>
      </c>
      <c r="E1094" s="476" t="s">
        <v>34</v>
      </c>
      <c r="F1094" s="475" t="s">
        <v>34</v>
      </c>
      <c r="G1094" s="364">
        <v>95629</v>
      </c>
      <c r="H1094" s="475" t="s">
        <v>1135</v>
      </c>
      <c r="I1094" s="475" t="s">
        <v>67</v>
      </c>
      <c r="J1094" s="475" t="s">
        <v>140</v>
      </c>
      <c r="K1094" s="365">
        <v>27.29</v>
      </c>
      <c r="L1094" s="475" t="s">
        <v>141</v>
      </c>
      <c r="M1094" s="473"/>
    </row>
    <row r="1095" spans="1:13" ht="13.5">
      <c r="A1095" s="475" t="s">
        <v>5284</v>
      </c>
      <c r="B1095" s="475" t="s">
        <v>5285</v>
      </c>
      <c r="C1095" s="475" t="s">
        <v>5290</v>
      </c>
      <c r="D1095" s="475" t="s">
        <v>5291</v>
      </c>
      <c r="E1095" s="476" t="s">
        <v>34</v>
      </c>
      <c r="F1095" s="475" t="s">
        <v>34</v>
      </c>
      <c r="G1095" s="364">
        <v>95630</v>
      </c>
      <c r="H1095" s="475" t="s">
        <v>1136</v>
      </c>
      <c r="I1095" s="475" t="s">
        <v>67</v>
      </c>
      <c r="J1095" s="475" t="s">
        <v>363</v>
      </c>
      <c r="K1095" s="365">
        <v>61.78</v>
      </c>
      <c r="L1095" s="475" t="s">
        <v>141</v>
      </c>
      <c r="M1095" s="473"/>
    </row>
    <row r="1096" spans="1:13" ht="13.5">
      <c r="A1096" s="475" t="s">
        <v>5284</v>
      </c>
      <c r="B1096" s="475" t="s">
        <v>5285</v>
      </c>
      <c r="C1096" s="475" t="s">
        <v>5290</v>
      </c>
      <c r="D1096" s="475" t="s">
        <v>5291</v>
      </c>
      <c r="E1096" s="476" t="s">
        <v>34</v>
      </c>
      <c r="F1096" s="475" t="s">
        <v>34</v>
      </c>
      <c r="G1096" s="364">
        <v>95698</v>
      </c>
      <c r="H1096" s="475" t="s">
        <v>1137</v>
      </c>
      <c r="I1096" s="475" t="s">
        <v>67</v>
      </c>
      <c r="J1096" s="475" t="s">
        <v>140</v>
      </c>
      <c r="K1096" s="365">
        <v>2.5099999999999998</v>
      </c>
      <c r="L1096" s="475" t="s">
        <v>141</v>
      </c>
      <c r="M1096" s="473"/>
    </row>
    <row r="1097" spans="1:13" ht="13.5">
      <c r="A1097" s="475" t="s">
        <v>5284</v>
      </c>
      <c r="B1097" s="475" t="s">
        <v>5285</v>
      </c>
      <c r="C1097" s="475" t="s">
        <v>5290</v>
      </c>
      <c r="D1097" s="475" t="s">
        <v>5291</v>
      </c>
      <c r="E1097" s="476" t="s">
        <v>34</v>
      </c>
      <c r="F1097" s="475" t="s">
        <v>34</v>
      </c>
      <c r="G1097" s="364">
        <v>95699</v>
      </c>
      <c r="H1097" s="475" t="s">
        <v>1138</v>
      </c>
      <c r="I1097" s="475" t="s">
        <v>67</v>
      </c>
      <c r="J1097" s="475" t="s">
        <v>140</v>
      </c>
      <c r="K1097" s="365">
        <v>0.56000000000000005</v>
      </c>
      <c r="L1097" s="475" t="s">
        <v>141</v>
      </c>
      <c r="M1097" s="473"/>
    </row>
    <row r="1098" spans="1:13" ht="13.5">
      <c r="A1098" s="475" t="s">
        <v>5284</v>
      </c>
      <c r="B1098" s="475" t="s">
        <v>5285</v>
      </c>
      <c r="C1098" s="475" t="s">
        <v>5290</v>
      </c>
      <c r="D1098" s="475" t="s">
        <v>5291</v>
      </c>
      <c r="E1098" s="476" t="s">
        <v>34</v>
      </c>
      <c r="F1098" s="475" t="s">
        <v>34</v>
      </c>
      <c r="G1098" s="364">
        <v>95700</v>
      </c>
      <c r="H1098" s="475" t="s">
        <v>1139</v>
      </c>
      <c r="I1098" s="475" t="s">
        <v>67</v>
      </c>
      <c r="J1098" s="475" t="s">
        <v>140</v>
      </c>
      <c r="K1098" s="365">
        <v>3.14</v>
      </c>
      <c r="L1098" s="475" t="s">
        <v>141</v>
      </c>
      <c r="M1098" s="473"/>
    </row>
    <row r="1099" spans="1:13" ht="13.5">
      <c r="A1099" s="475" t="s">
        <v>5284</v>
      </c>
      <c r="B1099" s="475" t="s">
        <v>5285</v>
      </c>
      <c r="C1099" s="475" t="s">
        <v>5290</v>
      </c>
      <c r="D1099" s="475" t="s">
        <v>5291</v>
      </c>
      <c r="E1099" s="476" t="s">
        <v>34</v>
      </c>
      <c r="F1099" s="475" t="s">
        <v>34</v>
      </c>
      <c r="G1099" s="364">
        <v>95701</v>
      </c>
      <c r="H1099" s="475" t="s">
        <v>1140</v>
      </c>
      <c r="I1099" s="475" t="s">
        <v>67</v>
      </c>
      <c r="J1099" s="475" t="s">
        <v>337</v>
      </c>
      <c r="K1099" s="365">
        <v>2.06</v>
      </c>
      <c r="L1099" s="475" t="s">
        <v>141</v>
      </c>
      <c r="M1099" s="473"/>
    </row>
    <row r="1100" spans="1:13" ht="13.5">
      <c r="A1100" s="475" t="s">
        <v>5284</v>
      </c>
      <c r="B1100" s="475" t="s">
        <v>5285</v>
      </c>
      <c r="C1100" s="475" t="s">
        <v>5290</v>
      </c>
      <c r="D1100" s="475" t="s">
        <v>5291</v>
      </c>
      <c r="E1100" s="476" t="s">
        <v>34</v>
      </c>
      <c r="F1100" s="475" t="s">
        <v>34</v>
      </c>
      <c r="G1100" s="364">
        <v>95704</v>
      </c>
      <c r="H1100" s="475" t="s">
        <v>1141</v>
      </c>
      <c r="I1100" s="475" t="s">
        <v>67</v>
      </c>
      <c r="J1100" s="475" t="s">
        <v>140</v>
      </c>
      <c r="K1100" s="365">
        <v>22.22</v>
      </c>
      <c r="L1100" s="475" t="s">
        <v>141</v>
      </c>
      <c r="M1100" s="473"/>
    </row>
    <row r="1101" spans="1:13" ht="13.5">
      <c r="A1101" s="475" t="s">
        <v>5284</v>
      </c>
      <c r="B1101" s="475" t="s">
        <v>5285</v>
      </c>
      <c r="C1101" s="475" t="s">
        <v>5290</v>
      </c>
      <c r="D1101" s="475" t="s">
        <v>5291</v>
      </c>
      <c r="E1101" s="476" t="s">
        <v>34</v>
      </c>
      <c r="F1101" s="475" t="s">
        <v>34</v>
      </c>
      <c r="G1101" s="364">
        <v>95705</v>
      </c>
      <c r="H1101" s="475" t="s">
        <v>1142</v>
      </c>
      <c r="I1101" s="475" t="s">
        <v>67</v>
      </c>
      <c r="J1101" s="475" t="s">
        <v>140</v>
      </c>
      <c r="K1101" s="365">
        <v>5.83</v>
      </c>
      <c r="L1101" s="475" t="s">
        <v>141</v>
      </c>
      <c r="M1101" s="473"/>
    </row>
    <row r="1102" spans="1:13" ht="13.5">
      <c r="A1102" s="475" t="s">
        <v>5284</v>
      </c>
      <c r="B1102" s="475" t="s">
        <v>5285</v>
      </c>
      <c r="C1102" s="475" t="s">
        <v>5290</v>
      </c>
      <c r="D1102" s="475" t="s">
        <v>5291</v>
      </c>
      <c r="E1102" s="476" t="s">
        <v>34</v>
      </c>
      <c r="F1102" s="475" t="s">
        <v>34</v>
      </c>
      <c r="G1102" s="364">
        <v>95706</v>
      </c>
      <c r="H1102" s="475" t="s">
        <v>1143</v>
      </c>
      <c r="I1102" s="475" t="s">
        <v>67</v>
      </c>
      <c r="J1102" s="475" t="s">
        <v>140</v>
      </c>
      <c r="K1102" s="365">
        <v>27.81</v>
      </c>
      <c r="L1102" s="475" t="s">
        <v>141</v>
      </c>
      <c r="M1102" s="473"/>
    </row>
    <row r="1103" spans="1:13" ht="13.5">
      <c r="A1103" s="475" t="s">
        <v>5284</v>
      </c>
      <c r="B1103" s="475" t="s">
        <v>5285</v>
      </c>
      <c r="C1103" s="475" t="s">
        <v>5290</v>
      </c>
      <c r="D1103" s="475" t="s">
        <v>5291</v>
      </c>
      <c r="E1103" s="476" t="s">
        <v>34</v>
      </c>
      <c r="F1103" s="475" t="s">
        <v>34</v>
      </c>
      <c r="G1103" s="364">
        <v>95707</v>
      </c>
      <c r="H1103" s="475" t="s">
        <v>1144</v>
      </c>
      <c r="I1103" s="475" t="s">
        <v>67</v>
      </c>
      <c r="J1103" s="475" t="s">
        <v>337</v>
      </c>
      <c r="K1103" s="365">
        <v>23.02</v>
      </c>
      <c r="L1103" s="475" t="s">
        <v>141</v>
      </c>
      <c r="M1103" s="473"/>
    </row>
    <row r="1104" spans="1:13" ht="13.5">
      <c r="A1104" s="475" t="s">
        <v>5284</v>
      </c>
      <c r="B1104" s="475" t="s">
        <v>5285</v>
      </c>
      <c r="C1104" s="475" t="s">
        <v>5290</v>
      </c>
      <c r="D1104" s="475" t="s">
        <v>5291</v>
      </c>
      <c r="E1104" s="476" t="s">
        <v>34</v>
      </c>
      <c r="F1104" s="475" t="s">
        <v>34</v>
      </c>
      <c r="G1104" s="364">
        <v>95710</v>
      </c>
      <c r="H1104" s="475" t="s">
        <v>1145</v>
      </c>
      <c r="I1104" s="475" t="s">
        <v>67</v>
      </c>
      <c r="J1104" s="475" t="s">
        <v>140</v>
      </c>
      <c r="K1104" s="365">
        <v>26.71</v>
      </c>
      <c r="L1104" s="475" t="s">
        <v>141</v>
      </c>
      <c r="M1104" s="473"/>
    </row>
    <row r="1105" spans="1:13" ht="13.5">
      <c r="A1105" s="475" t="s">
        <v>5284</v>
      </c>
      <c r="B1105" s="475" t="s">
        <v>5285</v>
      </c>
      <c r="C1105" s="475" t="s">
        <v>5290</v>
      </c>
      <c r="D1105" s="475" t="s">
        <v>5291</v>
      </c>
      <c r="E1105" s="476" t="s">
        <v>34</v>
      </c>
      <c r="F1105" s="475" t="s">
        <v>34</v>
      </c>
      <c r="G1105" s="364">
        <v>95711</v>
      </c>
      <c r="H1105" s="475" t="s">
        <v>1146</v>
      </c>
      <c r="I1105" s="475" t="s">
        <v>67</v>
      </c>
      <c r="J1105" s="475" t="s">
        <v>140</v>
      </c>
      <c r="K1105" s="365">
        <v>6.86</v>
      </c>
      <c r="L1105" s="475" t="s">
        <v>141</v>
      </c>
      <c r="M1105" s="473"/>
    </row>
    <row r="1106" spans="1:13" ht="13.5">
      <c r="A1106" s="475" t="s">
        <v>5284</v>
      </c>
      <c r="B1106" s="475" t="s">
        <v>5285</v>
      </c>
      <c r="C1106" s="475" t="s">
        <v>5290</v>
      </c>
      <c r="D1106" s="475" t="s">
        <v>5291</v>
      </c>
      <c r="E1106" s="476" t="s">
        <v>34</v>
      </c>
      <c r="F1106" s="475" t="s">
        <v>34</v>
      </c>
      <c r="G1106" s="364">
        <v>95712</v>
      </c>
      <c r="H1106" s="475" t="s">
        <v>1147</v>
      </c>
      <c r="I1106" s="475" t="s">
        <v>67</v>
      </c>
      <c r="J1106" s="475" t="s">
        <v>140</v>
      </c>
      <c r="K1106" s="365">
        <v>33.39</v>
      </c>
      <c r="L1106" s="475" t="s">
        <v>141</v>
      </c>
      <c r="M1106" s="473"/>
    </row>
    <row r="1107" spans="1:13" ht="13.5">
      <c r="A1107" s="475" t="s">
        <v>5284</v>
      </c>
      <c r="B1107" s="475" t="s">
        <v>5285</v>
      </c>
      <c r="C1107" s="475" t="s">
        <v>5290</v>
      </c>
      <c r="D1107" s="475" t="s">
        <v>5291</v>
      </c>
      <c r="E1107" s="476" t="s">
        <v>34</v>
      </c>
      <c r="F1107" s="475" t="s">
        <v>34</v>
      </c>
      <c r="G1107" s="364">
        <v>95713</v>
      </c>
      <c r="H1107" s="475" t="s">
        <v>1148</v>
      </c>
      <c r="I1107" s="475" t="s">
        <v>67</v>
      </c>
      <c r="J1107" s="475" t="s">
        <v>363</v>
      </c>
      <c r="K1107" s="365">
        <v>76.58</v>
      </c>
      <c r="L1107" s="475" t="s">
        <v>141</v>
      </c>
      <c r="M1107" s="473"/>
    </row>
    <row r="1108" spans="1:13" ht="13.5">
      <c r="A1108" s="475" t="s">
        <v>5284</v>
      </c>
      <c r="B1108" s="475" t="s">
        <v>5285</v>
      </c>
      <c r="C1108" s="475" t="s">
        <v>5290</v>
      </c>
      <c r="D1108" s="475" t="s">
        <v>5291</v>
      </c>
      <c r="E1108" s="476" t="s">
        <v>34</v>
      </c>
      <c r="F1108" s="475" t="s">
        <v>34</v>
      </c>
      <c r="G1108" s="364">
        <v>95716</v>
      </c>
      <c r="H1108" s="475" t="s">
        <v>1149</v>
      </c>
      <c r="I1108" s="475" t="s">
        <v>67</v>
      </c>
      <c r="J1108" s="475" t="s">
        <v>140</v>
      </c>
      <c r="K1108" s="365">
        <v>25.71</v>
      </c>
      <c r="L1108" s="475" t="s">
        <v>141</v>
      </c>
      <c r="M1108" s="473"/>
    </row>
    <row r="1109" spans="1:13" ht="13.5">
      <c r="A1109" s="475" t="s">
        <v>5284</v>
      </c>
      <c r="B1109" s="475" t="s">
        <v>5285</v>
      </c>
      <c r="C1109" s="475" t="s">
        <v>5290</v>
      </c>
      <c r="D1109" s="475" t="s">
        <v>5291</v>
      </c>
      <c r="E1109" s="476" t="s">
        <v>34</v>
      </c>
      <c r="F1109" s="475" t="s">
        <v>34</v>
      </c>
      <c r="G1109" s="364">
        <v>95717</v>
      </c>
      <c r="H1109" s="475" t="s">
        <v>1150</v>
      </c>
      <c r="I1109" s="475" t="s">
        <v>67</v>
      </c>
      <c r="J1109" s="475" t="s">
        <v>140</v>
      </c>
      <c r="K1109" s="365">
        <v>6.61</v>
      </c>
      <c r="L1109" s="475" t="s">
        <v>141</v>
      </c>
      <c r="M1109" s="473"/>
    </row>
    <row r="1110" spans="1:13" ht="13.5">
      <c r="A1110" s="475" t="s">
        <v>5284</v>
      </c>
      <c r="B1110" s="475" t="s">
        <v>5285</v>
      </c>
      <c r="C1110" s="475" t="s">
        <v>5290</v>
      </c>
      <c r="D1110" s="475" t="s">
        <v>5291</v>
      </c>
      <c r="E1110" s="476" t="s">
        <v>34</v>
      </c>
      <c r="F1110" s="475" t="s">
        <v>34</v>
      </c>
      <c r="G1110" s="364">
        <v>95718</v>
      </c>
      <c r="H1110" s="475" t="s">
        <v>1151</v>
      </c>
      <c r="I1110" s="475" t="s">
        <v>67</v>
      </c>
      <c r="J1110" s="475" t="s">
        <v>140</v>
      </c>
      <c r="K1110" s="365">
        <v>32.14</v>
      </c>
      <c r="L1110" s="475" t="s">
        <v>141</v>
      </c>
      <c r="M1110" s="473"/>
    </row>
    <row r="1111" spans="1:13" ht="13.5">
      <c r="A1111" s="475" t="s">
        <v>5284</v>
      </c>
      <c r="B1111" s="475" t="s">
        <v>5285</v>
      </c>
      <c r="C1111" s="475" t="s">
        <v>5290</v>
      </c>
      <c r="D1111" s="475" t="s">
        <v>5291</v>
      </c>
      <c r="E1111" s="476" t="s">
        <v>34</v>
      </c>
      <c r="F1111" s="475" t="s">
        <v>34</v>
      </c>
      <c r="G1111" s="364">
        <v>95719</v>
      </c>
      <c r="H1111" s="475" t="s">
        <v>1152</v>
      </c>
      <c r="I1111" s="475" t="s">
        <v>67</v>
      </c>
      <c r="J1111" s="475" t="s">
        <v>363</v>
      </c>
      <c r="K1111" s="365">
        <v>76.58</v>
      </c>
      <c r="L1111" s="475" t="s">
        <v>141</v>
      </c>
      <c r="M1111" s="473"/>
    </row>
    <row r="1112" spans="1:13" ht="13.5">
      <c r="A1112" s="475" t="s">
        <v>5284</v>
      </c>
      <c r="B1112" s="475" t="s">
        <v>5285</v>
      </c>
      <c r="C1112" s="475" t="s">
        <v>5290</v>
      </c>
      <c r="D1112" s="475" t="s">
        <v>5291</v>
      </c>
      <c r="E1112" s="476" t="s">
        <v>34</v>
      </c>
      <c r="F1112" s="475" t="s">
        <v>34</v>
      </c>
      <c r="G1112" s="364">
        <v>95869</v>
      </c>
      <c r="H1112" s="475" t="s">
        <v>1153</v>
      </c>
      <c r="I1112" s="475" t="s">
        <v>67</v>
      </c>
      <c r="J1112" s="475" t="s">
        <v>140</v>
      </c>
      <c r="K1112" s="365">
        <v>1.99</v>
      </c>
      <c r="L1112" s="475" t="s">
        <v>141</v>
      </c>
      <c r="M1112" s="473"/>
    </row>
    <row r="1113" spans="1:13" ht="13.5">
      <c r="A1113" s="475" t="s">
        <v>5284</v>
      </c>
      <c r="B1113" s="475" t="s">
        <v>5285</v>
      </c>
      <c r="C1113" s="475" t="s">
        <v>5290</v>
      </c>
      <c r="D1113" s="475" t="s">
        <v>5291</v>
      </c>
      <c r="E1113" s="476" t="s">
        <v>34</v>
      </c>
      <c r="F1113" s="475" t="s">
        <v>34</v>
      </c>
      <c r="G1113" s="364">
        <v>95870</v>
      </c>
      <c r="H1113" s="475" t="s">
        <v>1154</v>
      </c>
      <c r="I1113" s="475" t="s">
        <v>67</v>
      </c>
      <c r="J1113" s="475" t="s">
        <v>140</v>
      </c>
      <c r="K1113" s="365">
        <v>5.19</v>
      </c>
      <c r="L1113" s="475" t="s">
        <v>141</v>
      </c>
      <c r="M1113" s="473"/>
    </row>
    <row r="1114" spans="1:13" ht="13.5">
      <c r="A1114" s="475" t="s">
        <v>5284</v>
      </c>
      <c r="B1114" s="475" t="s">
        <v>5285</v>
      </c>
      <c r="C1114" s="475" t="s">
        <v>5290</v>
      </c>
      <c r="D1114" s="475" t="s">
        <v>5291</v>
      </c>
      <c r="E1114" s="476" t="s">
        <v>34</v>
      </c>
      <c r="F1114" s="475" t="s">
        <v>34</v>
      </c>
      <c r="G1114" s="364">
        <v>95871</v>
      </c>
      <c r="H1114" s="475" t="s">
        <v>1155</v>
      </c>
      <c r="I1114" s="475" t="s">
        <v>67</v>
      </c>
      <c r="J1114" s="475" t="s">
        <v>363</v>
      </c>
      <c r="K1114" s="365">
        <v>159.12</v>
      </c>
      <c r="L1114" s="475" t="s">
        <v>141</v>
      </c>
      <c r="M1114" s="473"/>
    </row>
    <row r="1115" spans="1:13" ht="13.5">
      <c r="A1115" s="475" t="s">
        <v>5284</v>
      </c>
      <c r="B1115" s="475" t="s">
        <v>5285</v>
      </c>
      <c r="C1115" s="475" t="s">
        <v>5290</v>
      </c>
      <c r="D1115" s="475" t="s">
        <v>5291</v>
      </c>
      <c r="E1115" s="476" t="s">
        <v>34</v>
      </c>
      <c r="F1115" s="475" t="s">
        <v>34</v>
      </c>
      <c r="G1115" s="364">
        <v>95874</v>
      </c>
      <c r="H1115" s="475" t="s">
        <v>1156</v>
      </c>
      <c r="I1115" s="475" t="s">
        <v>67</v>
      </c>
      <c r="J1115" s="475" t="s">
        <v>140</v>
      </c>
      <c r="K1115" s="365">
        <v>5.82</v>
      </c>
      <c r="L1115" s="475" t="s">
        <v>141</v>
      </c>
      <c r="M1115" s="473"/>
    </row>
    <row r="1116" spans="1:13" ht="13.5">
      <c r="A1116" s="475" t="s">
        <v>5284</v>
      </c>
      <c r="B1116" s="475" t="s">
        <v>5285</v>
      </c>
      <c r="C1116" s="475" t="s">
        <v>5290</v>
      </c>
      <c r="D1116" s="475" t="s">
        <v>5291</v>
      </c>
      <c r="E1116" s="476" t="s">
        <v>34</v>
      </c>
      <c r="F1116" s="475" t="s">
        <v>34</v>
      </c>
      <c r="G1116" s="364">
        <v>96008</v>
      </c>
      <c r="H1116" s="475" t="s">
        <v>1157</v>
      </c>
      <c r="I1116" s="475" t="s">
        <v>67</v>
      </c>
      <c r="J1116" s="475" t="s">
        <v>140</v>
      </c>
      <c r="K1116" s="365">
        <v>11.5</v>
      </c>
      <c r="L1116" s="475" t="s">
        <v>141</v>
      </c>
      <c r="M1116" s="473"/>
    </row>
    <row r="1117" spans="1:13" ht="13.5">
      <c r="A1117" s="475" t="s">
        <v>5284</v>
      </c>
      <c r="B1117" s="475" t="s">
        <v>5285</v>
      </c>
      <c r="C1117" s="475" t="s">
        <v>5290</v>
      </c>
      <c r="D1117" s="475" t="s">
        <v>5291</v>
      </c>
      <c r="E1117" s="476" t="s">
        <v>34</v>
      </c>
      <c r="F1117" s="475" t="s">
        <v>34</v>
      </c>
      <c r="G1117" s="364">
        <v>96009</v>
      </c>
      <c r="H1117" s="475" t="s">
        <v>1158</v>
      </c>
      <c r="I1117" s="475" t="s">
        <v>67</v>
      </c>
      <c r="J1117" s="475" t="s">
        <v>140</v>
      </c>
      <c r="K1117" s="365">
        <v>3.02</v>
      </c>
      <c r="L1117" s="475" t="s">
        <v>141</v>
      </c>
      <c r="M1117" s="473"/>
    </row>
    <row r="1118" spans="1:13" ht="13.5">
      <c r="A1118" s="475" t="s">
        <v>5284</v>
      </c>
      <c r="B1118" s="475" t="s">
        <v>5285</v>
      </c>
      <c r="C1118" s="475" t="s">
        <v>5290</v>
      </c>
      <c r="D1118" s="475" t="s">
        <v>5291</v>
      </c>
      <c r="E1118" s="476" t="s">
        <v>34</v>
      </c>
      <c r="F1118" s="475" t="s">
        <v>34</v>
      </c>
      <c r="G1118" s="364">
        <v>96011</v>
      </c>
      <c r="H1118" s="475" t="s">
        <v>1159</v>
      </c>
      <c r="I1118" s="475" t="s">
        <v>67</v>
      </c>
      <c r="J1118" s="475" t="s">
        <v>140</v>
      </c>
      <c r="K1118" s="365">
        <v>12.59</v>
      </c>
      <c r="L1118" s="475" t="s">
        <v>141</v>
      </c>
      <c r="M1118" s="473"/>
    </row>
    <row r="1119" spans="1:13" ht="13.5">
      <c r="A1119" s="475" t="s">
        <v>5284</v>
      </c>
      <c r="B1119" s="475" t="s">
        <v>5285</v>
      </c>
      <c r="C1119" s="475" t="s">
        <v>5290</v>
      </c>
      <c r="D1119" s="475" t="s">
        <v>5291</v>
      </c>
      <c r="E1119" s="476" t="s">
        <v>34</v>
      </c>
      <c r="F1119" s="475" t="s">
        <v>34</v>
      </c>
      <c r="G1119" s="364">
        <v>96012</v>
      </c>
      <c r="H1119" s="475" t="s">
        <v>1160</v>
      </c>
      <c r="I1119" s="475" t="s">
        <v>67</v>
      </c>
      <c r="J1119" s="475" t="s">
        <v>363</v>
      </c>
      <c r="K1119" s="365">
        <v>59.46</v>
      </c>
      <c r="L1119" s="475" t="s">
        <v>141</v>
      </c>
      <c r="M1119" s="473"/>
    </row>
    <row r="1120" spans="1:13" ht="13.5">
      <c r="A1120" s="475" t="s">
        <v>5284</v>
      </c>
      <c r="B1120" s="475" t="s">
        <v>5285</v>
      </c>
      <c r="C1120" s="475" t="s">
        <v>5290</v>
      </c>
      <c r="D1120" s="475" t="s">
        <v>5291</v>
      </c>
      <c r="E1120" s="476" t="s">
        <v>34</v>
      </c>
      <c r="F1120" s="475" t="s">
        <v>34</v>
      </c>
      <c r="G1120" s="364">
        <v>96015</v>
      </c>
      <c r="H1120" s="475" t="s">
        <v>1161</v>
      </c>
      <c r="I1120" s="475" t="s">
        <v>67</v>
      </c>
      <c r="J1120" s="475" t="s">
        <v>140</v>
      </c>
      <c r="K1120" s="365">
        <v>11.4</v>
      </c>
      <c r="L1120" s="475" t="s">
        <v>141</v>
      </c>
      <c r="M1120" s="473"/>
    </row>
    <row r="1121" spans="1:13" ht="13.5">
      <c r="A1121" s="475" t="s">
        <v>5284</v>
      </c>
      <c r="B1121" s="475" t="s">
        <v>5285</v>
      </c>
      <c r="C1121" s="475" t="s">
        <v>5290</v>
      </c>
      <c r="D1121" s="475" t="s">
        <v>5291</v>
      </c>
      <c r="E1121" s="476" t="s">
        <v>34</v>
      </c>
      <c r="F1121" s="475" t="s">
        <v>34</v>
      </c>
      <c r="G1121" s="364">
        <v>96016</v>
      </c>
      <c r="H1121" s="475" t="s">
        <v>1162</v>
      </c>
      <c r="I1121" s="475" t="s">
        <v>67</v>
      </c>
      <c r="J1121" s="475" t="s">
        <v>140</v>
      </c>
      <c r="K1121" s="365">
        <v>2.99</v>
      </c>
      <c r="L1121" s="475" t="s">
        <v>141</v>
      </c>
      <c r="M1121" s="473"/>
    </row>
    <row r="1122" spans="1:13" ht="13.5">
      <c r="A1122" s="475" t="s">
        <v>5284</v>
      </c>
      <c r="B1122" s="475" t="s">
        <v>5285</v>
      </c>
      <c r="C1122" s="475" t="s">
        <v>5290</v>
      </c>
      <c r="D1122" s="475" t="s">
        <v>5291</v>
      </c>
      <c r="E1122" s="476" t="s">
        <v>34</v>
      </c>
      <c r="F1122" s="475" t="s">
        <v>34</v>
      </c>
      <c r="G1122" s="364">
        <v>96018</v>
      </c>
      <c r="H1122" s="475" t="s">
        <v>1163</v>
      </c>
      <c r="I1122" s="475" t="s">
        <v>67</v>
      </c>
      <c r="J1122" s="475" t="s">
        <v>140</v>
      </c>
      <c r="K1122" s="365">
        <v>12.47</v>
      </c>
      <c r="L1122" s="475" t="s">
        <v>141</v>
      </c>
      <c r="M1122" s="473"/>
    </row>
    <row r="1123" spans="1:13" ht="13.5">
      <c r="A1123" s="475" t="s">
        <v>5284</v>
      </c>
      <c r="B1123" s="475" t="s">
        <v>5285</v>
      </c>
      <c r="C1123" s="475" t="s">
        <v>5290</v>
      </c>
      <c r="D1123" s="475" t="s">
        <v>5291</v>
      </c>
      <c r="E1123" s="476" t="s">
        <v>34</v>
      </c>
      <c r="F1123" s="475" t="s">
        <v>34</v>
      </c>
      <c r="G1123" s="364">
        <v>96019</v>
      </c>
      <c r="H1123" s="475" t="s">
        <v>1164</v>
      </c>
      <c r="I1123" s="475" t="s">
        <v>67</v>
      </c>
      <c r="J1123" s="475" t="s">
        <v>363</v>
      </c>
      <c r="K1123" s="365">
        <v>59.46</v>
      </c>
      <c r="L1123" s="475" t="s">
        <v>141</v>
      </c>
      <c r="M1123" s="473"/>
    </row>
    <row r="1124" spans="1:13" ht="13.5">
      <c r="A1124" s="475" t="s">
        <v>5284</v>
      </c>
      <c r="B1124" s="475" t="s">
        <v>5285</v>
      </c>
      <c r="C1124" s="475" t="s">
        <v>5290</v>
      </c>
      <c r="D1124" s="475" t="s">
        <v>5291</v>
      </c>
      <c r="E1124" s="476" t="s">
        <v>34</v>
      </c>
      <c r="F1124" s="475" t="s">
        <v>34</v>
      </c>
      <c r="G1124" s="364">
        <v>96023</v>
      </c>
      <c r="H1124" s="475" t="s">
        <v>1165</v>
      </c>
      <c r="I1124" s="475" t="s">
        <v>67</v>
      </c>
      <c r="J1124" s="475" t="s">
        <v>140</v>
      </c>
      <c r="K1124" s="365">
        <v>8.83</v>
      </c>
      <c r="L1124" s="475" t="s">
        <v>141</v>
      </c>
      <c r="M1124" s="473"/>
    </row>
    <row r="1125" spans="1:13" ht="13.5">
      <c r="A1125" s="475" t="s">
        <v>5284</v>
      </c>
      <c r="B1125" s="475" t="s">
        <v>5285</v>
      </c>
      <c r="C1125" s="475" t="s">
        <v>5290</v>
      </c>
      <c r="D1125" s="475" t="s">
        <v>5291</v>
      </c>
      <c r="E1125" s="476" t="s">
        <v>34</v>
      </c>
      <c r="F1125" s="475" t="s">
        <v>34</v>
      </c>
      <c r="G1125" s="364">
        <v>96024</v>
      </c>
      <c r="H1125" s="475" t="s">
        <v>1166</v>
      </c>
      <c r="I1125" s="475" t="s">
        <v>67</v>
      </c>
      <c r="J1125" s="475" t="s">
        <v>140</v>
      </c>
      <c r="K1125" s="365">
        <v>2.31</v>
      </c>
      <c r="L1125" s="475" t="s">
        <v>141</v>
      </c>
      <c r="M1125" s="473"/>
    </row>
    <row r="1126" spans="1:13" ht="13.5">
      <c r="A1126" s="475" t="s">
        <v>5284</v>
      </c>
      <c r="B1126" s="475" t="s">
        <v>5285</v>
      </c>
      <c r="C1126" s="475" t="s">
        <v>5290</v>
      </c>
      <c r="D1126" s="475" t="s">
        <v>5291</v>
      </c>
      <c r="E1126" s="476" t="s">
        <v>34</v>
      </c>
      <c r="F1126" s="475" t="s">
        <v>34</v>
      </c>
      <c r="G1126" s="364">
        <v>96026</v>
      </c>
      <c r="H1126" s="475" t="s">
        <v>1167</v>
      </c>
      <c r="I1126" s="475" t="s">
        <v>67</v>
      </c>
      <c r="J1126" s="475" t="s">
        <v>140</v>
      </c>
      <c r="K1126" s="365">
        <v>9.65</v>
      </c>
      <c r="L1126" s="475" t="s">
        <v>141</v>
      </c>
      <c r="M1126" s="473"/>
    </row>
    <row r="1127" spans="1:13" ht="13.5">
      <c r="A1127" s="475" t="s">
        <v>5284</v>
      </c>
      <c r="B1127" s="475" t="s">
        <v>5285</v>
      </c>
      <c r="C1127" s="475" t="s">
        <v>5290</v>
      </c>
      <c r="D1127" s="475" t="s">
        <v>5291</v>
      </c>
      <c r="E1127" s="476" t="s">
        <v>34</v>
      </c>
      <c r="F1127" s="475" t="s">
        <v>34</v>
      </c>
      <c r="G1127" s="364">
        <v>96027</v>
      </c>
      <c r="H1127" s="475" t="s">
        <v>1168</v>
      </c>
      <c r="I1127" s="475" t="s">
        <v>67</v>
      </c>
      <c r="J1127" s="475" t="s">
        <v>363</v>
      </c>
      <c r="K1127" s="365">
        <v>41.43</v>
      </c>
      <c r="L1127" s="475" t="s">
        <v>141</v>
      </c>
      <c r="M1127" s="473"/>
    </row>
    <row r="1128" spans="1:13" ht="13.5">
      <c r="A1128" s="475" t="s">
        <v>5284</v>
      </c>
      <c r="B1128" s="475" t="s">
        <v>5285</v>
      </c>
      <c r="C1128" s="475" t="s">
        <v>5290</v>
      </c>
      <c r="D1128" s="475" t="s">
        <v>5291</v>
      </c>
      <c r="E1128" s="476" t="s">
        <v>34</v>
      </c>
      <c r="F1128" s="475" t="s">
        <v>34</v>
      </c>
      <c r="G1128" s="364">
        <v>96030</v>
      </c>
      <c r="H1128" s="475" t="s">
        <v>1169</v>
      </c>
      <c r="I1128" s="475" t="s">
        <v>67</v>
      </c>
      <c r="J1128" s="475" t="s">
        <v>140</v>
      </c>
      <c r="K1128" s="365">
        <v>15.94</v>
      </c>
      <c r="L1128" s="475" t="s">
        <v>141</v>
      </c>
      <c r="M1128" s="473"/>
    </row>
    <row r="1129" spans="1:13" ht="13.5">
      <c r="A1129" s="475" t="s">
        <v>5284</v>
      </c>
      <c r="B1129" s="475" t="s">
        <v>5285</v>
      </c>
      <c r="C1129" s="475" t="s">
        <v>5290</v>
      </c>
      <c r="D1129" s="475" t="s">
        <v>5291</v>
      </c>
      <c r="E1129" s="476" t="s">
        <v>34</v>
      </c>
      <c r="F1129" s="475" t="s">
        <v>34</v>
      </c>
      <c r="G1129" s="364">
        <v>96031</v>
      </c>
      <c r="H1129" s="475" t="s">
        <v>1170</v>
      </c>
      <c r="I1129" s="475" t="s">
        <v>67</v>
      </c>
      <c r="J1129" s="475" t="s">
        <v>140</v>
      </c>
      <c r="K1129" s="365">
        <v>5.57</v>
      </c>
      <c r="L1129" s="475" t="s">
        <v>141</v>
      </c>
      <c r="M1129" s="473"/>
    </row>
    <row r="1130" spans="1:13" ht="13.5">
      <c r="A1130" s="475" t="s">
        <v>5284</v>
      </c>
      <c r="B1130" s="475" t="s">
        <v>5285</v>
      </c>
      <c r="C1130" s="475" t="s">
        <v>5290</v>
      </c>
      <c r="D1130" s="475" t="s">
        <v>5291</v>
      </c>
      <c r="E1130" s="476" t="s">
        <v>34</v>
      </c>
      <c r="F1130" s="475" t="s">
        <v>34</v>
      </c>
      <c r="G1130" s="364">
        <v>96032</v>
      </c>
      <c r="H1130" s="475" t="s">
        <v>1171</v>
      </c>
      <c r="I1130" s="475" t="s">
        <v>67</v>
      </c>
      <c r="J1130" s="475" t="s">
        <v>140</v>
      </c>
      <c r="K1130" s="365">
        <v>1.1399999999999999</v>
      </c>
      <c r="L1130" s="475" t="s">
        <v>141</v>
      </c>
      <c r="M1130" s="473"/>
    </row>
    <row r="1131" spans="1:13" ht="13.5">
      <c r="A1131" s="475" t="s">
        <v>5284</v>
      </c>
      <c r="B1131" s="475" t="s">
        <v>5285</v>
      </c>
      <c r="C1131" s="475" t="s">
        <v>5290</v>
      </c>
      <c r="D1131" s="475" t="s">
        <v>5291</v>
      </c>
      <c r="E1131" s="476" t="s">
        <v>34</v>
      </c>
      <c r="F1131" s="475" t="s">
        <v>34</v>
      </c>
      <c r="G1131" s="364">
        <v>96033</v>
      </c>
      <c r="H1131" s="475" t="s">
        <v>1172</v>
      </c>
      <c r="I1131" s="475" t="s">
        <v>67</v>
      </c>
      <c r="J1131" s="475" t="s">
        <v>140</v>
      </c>
      <c r="K1131" s="365">
        <v>29.89</v>
      </c>
      <c r="L1131" s="475" t="s">
        <v>141</v>
      </c>
      <c r="M1131" s="473"/>
    </row>
    <row r="1132" spans="1:13" ht="13.5">
      <c r="A1132" s="475" t="s">
        <v>5284</v>
      </c>
      <c r="B1132" s="475" t="s">
        <v>5285</v>
      </c>
      <c r="C1132" s="475" t="s">
        <v>5290</v>
      </c>
      <c r="D1132" s="475" t="s">
        <v>5291</v>
      </c>
      <c r="E1132" s="476" t="s">
        <v>34</v>
      </c>
      <c r="F1132" s="475" t="s">
        <v>34</v>
      </c>
      <c r="G1132" s="364">
        <v>96034</v>
      </c>
      <c r="H1132" s="475" t="s">
        <v>1173</v>
      </c>
      <c r="I1132" s="475" t="s">
        <v>67</v>
      </c>
      <c r="J1132" s="475" t="s">
        <v>363</v>
      </c>
      <c r="K1132" s="365">
        <v>112.12</v>
      </c>
      <c r="L1132" s="475" t="s">
        <v>141</v>
      </c>
      <c r="M1132" s="473"/>
    </row>
    <row r="1133" spans="1:13" ht="13.5">
      <c r="A1133" s="475" t="s">
        <v>5284</v>
      </c>
      <c r="B1133" s="475" t="s">
        <v>5285</v>
      </c>
      <c r="C1133" s="475" t="s">
        <v>5290</v>
      </c>
      <c r="D1133" s="475" t="s">
        <v>5291</v>
      </c>
      <c r="E1133" s="476" t="s">
        <v>34</v>
      </c>
      <c r="F1133" s="475" t="s">
        <v>34</v>
      </c>
      <c r="G1133" s="364">
        <v>96053</v>
      </c>
      <c r="H1133" s="475" t="s">
        <v>1174</v>
      </c>
      <c r="I1133" s="475" t="s">
        <v>67</v>
      </c>
      <c r="J1133" s="475" t="s">
        <v>140</v>
      </c>
      <c r="K1133" s="365">
        <v>8.93</v>
      </c>
      <c r="L1133" s="475" t="s">
        <v>141</v>
      </c>
      <c r="M1133" s="473"/>
    </row>
    <row r="1134" spans="1:13" ht="13.5">
      <c r="A1134" s="475" t="s">
        <v>5284</v>
      </c>
      <c r="B1134" s="475" t="s">
        <v>5285</v>
      </c>
      <c r="C1134" s="475" t="s">
        <v>5290</v>
      </c>
      <c r="D1134" s="475" t="s">
        <v>5291</v>
      </c>
      <c r="E1134" s="476" t="s">
        <v>34</v>
      </c>
      <c r="F1134" s="475" t="s">
        <v>34</v>
      </c>
      <c r="G1134" s="364">
        <v>96054</v>
      </c>
      <c r="H1134" s="475" t="s">
        <v>1175</v>
      </c>
      <c r="I1134" s="475" t="s">
        <v>67</v>
      </c>
      <c r="J1134" s="475" t="s">
        <v>140</v>
      </c>
      <c r="K1134" s="365">
        <v>15.53</v>
      </c>
      <c r="L1134" s="475" t="s">
        <v>141</v>
      </c>
      <c r="M1134" s="473"/>
    </row>
    <row r="1135" spans="1:13" ht="13.5">
      <c r="A1135" s="475" t="s">
        <v>5284</v>
      </c>
      <c r="B1135" s="475" t="s">
        <v>5285</v>
      </c>
      <c r="C1135" s="475" t="s">
        <v>5290</v>
      </c>
      <c r="D1135" s="475" t="s">
        <v>5291</v>
      </c>
      <c r="E1135" s="476" t="s">
        <v>34</v>
      </c>
      <c r="F1135" s="475" t="s">
        <v>34</v>
      </c>
      <c r="G1135" s="364">
        <v>96055</v>
      </c>
      <c r="H1135" s="475" t="s">
        <v>1176</v>
      </c>
      <c r="I1135" s="475" t="s">
        <v>67</v>
      </c>
      <c r="J1135" s="475" t="s">
        <v>140</v>
      </c>
      <c r="K1135" s="365">
        <v>2.34</v>
      </c>
      <c r="L1135" s="475" t="s">
        <v>141</v>
      </c>
      <c r="M1135" s="473"/>
    </row>
    <row r="1136" spans="1:13" ht="13.5">
      <c r="A1136" s="475" t="s">
        <v>5284</v>
      </c>
      <c r="B1136" s="475" t="s">
        <v>5285</v>
      </c>
      <c r="C1136" s="475" t="s">
        <v>5290</v>
      </c>
      <c r="D1136" s="475" t="s">
        <v>5291</v>
      </c>
      <c r="E1136" s="476" t="s">
        <v>34</v>
      </c>
      <c r="F1136" s="475" t="s">
        <v>34</v>
      </c>
      <c r="G1136" s="364">
        <v>96056</v>
      </c>
      <c r="H1136" s="475" t="s">
        <v>1177</v>
      </c>
      <c r="I1136" s="475" t="s">
        <v>67</v>
      </c>
      <c r="J1136" s="475" t="s">
        <v>140</v>
      </c>
      <c r="K1136" s="365">
        <v>9.77</v>
      </c>
      <c r="L1136" s="475" t="s">
        <v>141</v>
      </c>
      <c r="M1136" s="473"/>
    </row>
    <row r="1137" spans="1:13" ht="13.5">
      <c r="A1137" s="475" t="s">
        <v>5284</v>
      </c>
      <c r="B1137" s="475" t="s">
        <v>5285</v>
      </c>
      <c r="C1137" s="475" t="s">
        <v>5290</v>
      </c>
      <c r="D1137" s="475" t="s">
        <v>5291</v>
      </c>
      <c r="E1137" s="476" t="s">
        <v>34</v>
      </c>
      <c r="F1137" s="475" t="s">
        <v>34</v>
      </c>
      <c r="G1137" s="364">
        <v>96057</v>
      </c>
      <c r="H1137" s="475" t="s">
        <v>1178</v>
      </c>
      <c r="I1137" s="475" t="s">
        <v>67</v>
      </c>
      <c r="J1137" s="475" t="s">
        <v>363</v>
      </c>
      <c r="K1137" s="365">
        <v>41.43</v>
      </c>
      <c r="L1137" s="475" t="s">
        <v>141</v>
      </c>
      <c r="M1137" s="473"/>
    </row>
    <row r="1138" spans="1:13" ht="13.5">
      <c r="A1138" s="475" t="s">
        <v>5284</v>
      </c>
      <c r="B1138" s="475" t="s">
        <v>5285</v>
      </c>
      <c r="C1138" s="475" t="s">
        <v>5290</v>
      </c>
      <c r="D1138" s="475" t="s">
        <v>5291</v>
      </c>
      <c r="E1138" s="476" t="s">
        <v>34</v>
      </c>
      <c r="F1138" s="475" t="s">
        <v>34</v>
      </c>
      <c r="G1138" s="364">
        <v>96060</v>
      </c>
      <c r="H1138" s="475" t="s">
        <v>1179</v>
      </c>
      <c r="I1138" s="475" t="s">
        <v>67</v>
      </c>
      <c r="J1138" s="475" t="s">
        <v>140</v>
      </c>
      <c r="K1138" s="365">
        <v>2.98</v>
      </c>
      <c r="L1138" s="475" t="s">
        <v>141</v>
      </c>
      <c r="M1138" s="473"/>
    </row>
    <row r="1139" spans="1:13" ht="13.5">
      <c r="A1139" s="475" t="s">
        <v>5284</v>
      </c>
      <c r="B1139" s="475" t="s">
        <v>5285</v>
      </c>
      <c r="C1139" s="475" t="s">
        <v>5290</v>
      </c>
      <c r="D1139" s="475" t="s">
        <v>5291</v>
      </c>
      <c r="E1139" s="476" t="s">
        <v>34</v>
      </c>
      <c r="F1139" s="475" t="s">
        <v>34</v>
      </c>
      <c r="G1139" s="364">
        <v>96061</v>
      </c>
      <c r="H1139" s="475" t="s">
        <v>1180</v>
      </c>
      <c r="I1139" s="475" t="s">
        <v>67</v>
      </c>
      <c r="J1139" s="475" t="s">
        <v>140</v>
      </c>
      <c r="K1139" s="365">
        <v>19.399999999999999</v>
      </c>
      <c r="L1139" s="475" t="s">
        <v>141</v>
      </c>
      <c r="M1139" s="473"/>
    </row>
    <row r="1140" spans="1:13" ht="13.5">
      <c r="A1140" s="475" t="s">
        <v>5284</v>
      </c>
      <c r="B1140" s="475" t="s">
        <v>5285</v>
      </c>
      <c r="C1140" s="475" t="s">
        <v>5290</v>
      </c>
      <c r="D1140" s="475" t="s">
        <v>5291</v>
      </c>
      <c r="E1140" s="476" t="s">
        <v>34</v>
      </c>
      <c r="F1140" s="475" t="s">
        <v>34</v>
      </c>
      <c r="G1140" s="364">
        <v>96062</v>
      </c>
      <c r="H1140" s="475" t="s">
        <v>1181</v>
      </c>
      <c r="I1140" s="475" t="s">
        <v>67</v>
      </c>
      <c r="J1140" s="475" t="s">
        <v>363</v>
      </c>
      <c r="K1140" s="365">
        <v>23.22</v>
      </c>
      <c r="L1140" s="475" t="s">
        <v>141</v>
      </c>
      <c r="M1140" s="473"/>
    </row>
    <row r="1141" spans="1:13" ht="13.5">
      <c r="A1141" s="475" t="s">
        <v>5284</v>
      </c>
      <c r="B1141" s="475" t="s">
        <v>5285</v>
      </c>
      <c r="C1141" s="475" t="s">
        <v>5290</v>
      </c>
      <c r="D1141" s="475" t="s">
        <v>5291</v>
      </c>
      <c r="E1141" s="476" t="s">
        <v>34</v>
      </c>
      <c r="F1141" s="475" t="s">
        <v>34</v>
      </c>
      <c r="G1141" s="364">
        <v>96241</v>
      </c>
      <c r="H1141" s="475" t="s">
        <v>1182</v>
      </c>
      <c r="I1141" s="475" t="s">
        <v>67</v>
      </c>
      <c r="J1141" s="475" t="s">
        <v>140</v>
      </c>
      <c r="K1141" s="365">
        <v>13.5</v>
      </c>
      <c r="L1141" s="475" t="s">
        <v>141</v>
      </c>
      <c r="M1141" s="473"/>
    </row>
    <row r="1142" spans="1:13" ht="13.5">
      <c r="A1142" s="475" t="s">
        <v>5284</v>
      </c>
      <c r="B1142" s="475" t="s">
        <v>5285</v>
      </c>
      <c r="C1142" s="475" t="s">
        <v>5290</v>
      </c>
      <c r="D1142" s="475" t="s">
        <v>5291</v>
      </c>
      <c r="E1142" s="476" t="s">
        <v>34</v>
      </c>
      <c r="F1142" s="475" t="s">
        <v>34</v>
      </c>
      <c r="G1142" s="364">
        <v>96242</v>
      </c>
      <c r="H1142" s="475" t="s">
        <v>1183</v>
      </c>
      <c r="I1142" s="475" t="s">
        <v>67</v>
      </c>
      <c r="J1142" s="475" t="s">
        <v>140</v>
      </c>
      <c r="K1142" s="365">
        <v>3.47</v>
      </c>
      <c r="L1142" s="475" t="s">
        <v>141</v>
      </c>
      <c r="M1142" s="473"/>
    </row>
    <row r="1143" spans="1:13" ht="13.5">
      <c r="A1143" s="475" t="s">
        <v>5284</v>
      </c>
      <c r="B1143" s="475" t="s">
        <v>5285</v>
      </c>
      <c r="C1143" s="475" t="s">
        <v>5290</v>
      </c>
      <c r="D1143" s="475" t="s">
        <v>5291</v>
      </c>
      <c r="E1143" s="476" t="s">
        <v>34</v>
      </c>
      <c r="F1143" s="475" t="s">
        <v>34</v>
      </c>
      <c r="G1143" s="364">
        <v>96243</v>
      </c>
      <c r="H1143" s="475" t="s">
        <v>1184</v>
      </c>
      <c r="I1143" s="475" t="s">
        <v>67</v>
      </c>
      <c r="J1143" s="475" t="s">
        <v>140</v>
      </c>
      <c r="K1143" s="365">
        <v>16.88</v>
      </c>
      <c r="L1143" s="475" t="s">
        <v>141</v>
      </c>
      <c r="M1143" s="473"/>
    </row>
    <row r="1144" spans="1:13" ht="13.5">
      <c r="A1144" s="475" t="s">
        <v>5284</v>
      </c>
      <c r="B1144" s="475" t="s">
        <v>5285</v>
      </c>
      <c r="C1144" s="475" t="s">
        <v>5290</v>
      </c>
      <c r="D1144" s="475" t="s">
        <v>5291</v>
      </c>
      <c r="E1144" s="476" t="s">
        <v>34</v>
      </c>
      <c r="F1144" s="475" t="s">
        <v>34</v>
      </c>
      <c r="G1144" s="364">
        <v>96244</v>
      </c>
      <c r="H1144" s="475" t="s">
        <v>1185</v>
      </c>
      <c r="I1144" s="475" t="s">
        <v>67</v>
      </c>
      <c r="J1144" s="475" t="s">
        <v>363</v>
      </c>
      <c r="K1144" s="365">
        <v>14.83</v>
      </c>
      <c r="L1144" s="475" t="s">
        <v>141</v>
      </c>
      <c r="M1144" s="473"/>
    </row>
    <row r="1145" spans="1:13" ht="13.5">
      <c r="A1145" s="475" t="s">
        <v>5284</v>
      </c>
      <c r="B1145" s="475" t="s">
        <v>5285</v>
      </c>
      <c r="C1145" s="475" t="s">
        <v>5290</v>
      </c>
      <c r="D1145" s="475" t="s">
        <v>5291</v>
      </c>
      <c r="E1145" s="476" t="s">
        <v>34</v>
      </c>
      <c r="F1145" s="475" t="s">
        <v>34</v>
      </c>
      <c r="G1145" s="364">
        <v>96298</v>
      </c>
      <c r="H1145" s="475" t="s">
        <v>1186</v>
      </c>
      <c r="I1145" s="475" t="s">
        <v>67</v>
      </c>
      <c r="J1145" s="475" t="s">
        <v>140</v>
      </c>
      <c r="K1145" s="365">
        <v>34.69</v>
      </c>
      <c r="L1145" s="475" t="s">
        <v>141</v>
      </c>
      <c r="M1145" s="473"/>
    </row>
    <row r="1146" spans="1:13" ht="13.5">
      <c r="A1146" s="475" t="s">
        <v>5284</v>
      </c>
      <c r="B1146" s="475" t="s">
        <v>5285</v>
      </c>
      <c r="C1146" s="475" t="s">
        <v>5290</v>
      </c>
      <c r="D1146" s="475" t="s">
        <v>5291</v>
      </c>
      <c r="E1146" s="476" t="s">
        <v>34</v>
      </c>
      <c r="F1146" s="475" t="s">
        <v>34</v>
      </c>
      <c r="G1146" s="364">
        <v>96299</v>
      </c>
      <c r="H1146" s="475" t="s">
        <v>1187</v>
      </c>
      <c r="I1146" s="475" t="s">
        <v>67</v>
      </c>
      <c r="J1146" s="475" t="s">
        <v>140</v>
      </c>
      <c r="K1146" s="365">
        <v>9.11</v>
      </c>
      <c r="L1146" s="475" t="s">
        <v>141</v>
      </c>
      <c r="M1146" s="473"/>
    </row>
    <row r="1147" spans="1:13" ht="13.5">
      <c r="A1147" s="475" t="s">
        <v>5284</v>
      </c>
      <c r="B1147" s="475" t="s">
        <v>5285</v>
      </c>
      <c r="C1147" s="475" t="s">
        <v>5290</v>
      </c>
      <c r="D1147" s="475" t="s">
        <v>5291</v>
      </c>
      <c r="E1147" s="476" t="s">
        <v>34</v>
      </c>
      <c r="F1147" s="475" t="s">
        <v>34</v>
      </c>
      <c r="G1147" s="364">
        <v>96300</v>
      </c>
      <c r="H1147" s="475" t="s">
        <v>1188</v>
      </c>
      <c r="I1147" s="475" t="s">
        <v>67</v>
      </c>
      <c r="J1147" s="475" t="s">
        <v>140</v>
      </c>
      <c r="K1147" s="365">
        <v>43.42</v>
      </c>
      <c r="L1147" s="475" t="s">
        <v>141</v>
      </c>
      <c r="M1147" s="473"/>
    </row>
    <row r="1148" spans="1:13" ht="13.5">
      <c r="A1148" s="475" t="s">
        <v>5284</v>
      </c>
      <c r="B1148" s="475" t="s">
        <v>5285</v>
      </c>
      <c r="C1148" s="475" t="s">
        <v>5290</v>
      </c>
      <c r="D1148" s="475" t="s">
        <v>5291</v>
      </c>
      <c r="E1148" s="476" t="s">
        <v>34</v>
      </c>
      <c r="F1148" s="475" t="s">
        <v>34</v>
      </c>
      <c r="G1148" s="364">
        <v>96301</v>
      </c>
      <c r="H1148" s="475" t="s">
        <v>1189</v>
      </c>
      <c r="I1148" s="475" t="s">
        <v>67</v>
      </c>
      <c r="J1148" s="475" t="s">
        <v>363</v>
      </c>
      <c r="K1148" s="365">
        <v>54.35</v>
      </c>
      <c r="L1148" s="475" t="s">
        <v>141</v>
      </c>
      <c r="M1148" s="473"/>
    </row>
    <row r="1149" spans="1:13" ht="13.5">
      <c r="A1149" s="475" t="s">
        <v>5284</v>
      </c>
      <c r="B1149" s="475" t="s">
        <v>5285</v>
      </c>
      <c r="C1149" s="475" t="s">
        <v>5290</v>
      </c>
      <c r="D1149" s="475" t="s">
        <v>5291</v>
      </c>
      <c r="E1149" s="476" t="s">
        <v>34</v>
      </c>
      <c r="F1149" s="475" t="s">
        <v>34</v>
      </c>
      <c r="G1149" s="364">
        <v>96304</v>
      </c>
      <c r="H1149" s="475" t="s">
        <v>1190</v>
      </c>
      <c r="I1149" s="475" t="s">
        <v>67</v>
      </c>
      <c r="J1149" s="475" t="s">
        <v>140</v>
      </c>
      <c r="K1149" s="365">
        <v>0.11</v>
      </c>
      <c r="L1149" s="475" t="s">
        <v>141</v>
      </c>
      <c r="M1149" s="473"/>
    </row>
    <row r="1150" spans="1:13" ht="13.5">
      <c r="A1150" s="475" t="s">
        <v>5284</v>
      </c>
      <c r="B1150" s="475" t="s">
        <v>5285</v>
      </c>
      <c r="C1150" s="475" t="s">
        <v>5290</v>
      </c>
      <c r="D1150" s="475" t="s">
        <v>5291</v>
      </c>
      <c r="E1150" s="476" t="s">
        <v>34</v>
      </c>
      <c r="F1150" s="475" t="s">
        <v>34</v>
      </c>
      <c r="G1150" s="364">
        <v>96305</v>
      </c>
      <c r="H1150" s="475" t="s">
        <v>1191</v>
      </c>
      <c r="I1150" s="475" t="s">
        <v>67</v>
      </c>
      <c r="J1150" s="475" t="s">
        <v>140</v>
      </c>
      <c r="K1150" s="365">
        <v>0.03</v>
      </c>
      <c r="L1150" s="475" t="s">
        <v>141</v>
      </c>
      <c r="M1150" s="473"/>
    </row>
    <row r="1151" spans="1:13" ht="13.5">
      <c r="A1151" s="475" t="s">
        <v>5284</v>
      </c>
      <c r="B1151" s="475" t="s">
        <v>5285</v>
      </c>
      <c r="C1151" s="475" t="s">
        <v>5290</v>
      </c>
      <c r="D1151" s="475" t="s">
        <v>5291</v>
      </c>
      <c r="E1151" s="476" t="s">
        <v>34</v>
      </c>
      <c r="F1151" s="475" t="s">
        <v>34</v>
      </c>
      <c r="G1151" s="364">
        <v>96306</v>
      </c>
      <c r="H1151" s="475" t="s">
        <v>1192</v>
      </c>
      <c r="I1151" s="475" t="s">
        <v>67</v>
      </c>
      <c r="J1151" s="475" t="s">
        <v>140</v>
      </c>
      <c r="K1151" s="365">
        <v>0.14000000000000001</v>
      </c>
      <c r="L1151" s="475" t="s">
        <v>141</v>
      </c>
      <c r="M1151" s="473"/>
    </row>
    <row r="1152" spans="1:13" ht="13.5">
      <c r="A1152" s="475" t="s">
        <v>5284</v>
      </c>
      <c r="B1152" s="475" t="s">
        <v>5285</v>
      </c>
      <c r="C1152" s="475" t="s">
        <v>5290</v>
      </c>
      <c r="D1152" s="475" t="s">
        <v>5291</v>
      </c>
      <c r="E1152" s="476" t="s">
        <v>34</v>
      </c>
      <c r="F1152" s="475" t="s">
        <v>34</v>
      </c>
      <c r="G1152" s="364">
        <v>96307</v>
      </c>
      <c r="H1152" s="475" t="s">
        <v>1193</v>
      </c>
      <c r="I1152" s="475" t="s">
        <v>67</v>
      </c>
      <c r="J1152" s="475" t="s">
        <v>337</v>
      </c>
      <c r="K1152" s="365">
        <v>0.83</v>
      </c>
      <c r="L1152" s="475" t="s">
        <v>141</v>
      </c>
      <c r="M1152" s="473"/>
    </row>
    <row r="1153" spans="1:13" ht="13.5">
      <c r="A1153" s="475" t="s">
        <v>5284</v>
      </c>
      <c r="B1153" s="475" t="s">
        <v>5285</v>
      </c>
      <c r="C1153" s="475" t="s">
        <v>5290</v>
      </c>
      <c r="D1153" s="475" t="s">
        <v>5291</v>
      </c>
      <c r="E1153" s="476" t="s">
        <v>34</v>
      </c>
      <c r="F1153" s="475" t="s">
        <v>34</v>
      </c>
      <c r="G1153" s="364">
        <v>96457</v>
      </c>
      <c r="H1153" s="475" t="s">
        <v>1194</v>
      </c>
      <c r="I1153" s="475" t="s">
        <v>67</v>
      </c>
      <c r="J1153" s="475" t="s">
        <v>363</v>
      </c>
      <c r="K1153" s="365">
        <v>54.35</v>
      </c>
      <c r="L1153" s="475" t="s">
        <v>141</v>
      </c>
      <c r="M1153" s="473"/>
    </row>
    <row r="1154" spans="1:13" ht="13.5">
      <c r="A1154" s="475" t="s">
        <v>5284</v>
      </c>
      <c r="B1154" s="475" t="s">
        <v>5285</v>
      </c>
      <c r="C1154" s="475" t="s">
        <v>5290</v>
      </c>
      <c r="D1154" s="475" t="s">
        <v>5291</v>
      </c>
      <c r="E1154" s="476" t="s">
        <v>34</v>
      </c>
      <c r="F1154" s="475" t="s">
        <v>34</v>
      </c>
      <c r="G1154" s="364">
        <v>96458</v>
      </c>
      <c r="H1154" s="475" t="s">
        <v>1195</v>
      </c>
      <c r="I1154" s="475" t="s">
        <v>67</v>
      </c>
      <c r="J1154" s="475" t="s">
        <v>140</v>
      </c>
      <c r="K1154" s="365">
        <v>30.26</v>
      </c>
      <c r="L1154" s="475" t="s">
        <v>141</v>
      </c>
      <c r="M1154" s="473"/>
    </row>
    <row r="1155" spans="1:13" ht="13.5">
      <c r="A1155" s="475" t="s">
        <v>5284</v>
      </c>
      <c r="B1155" s="475" t="s">
        <v>5285</v>
      </c>
      <c r="C1155" s="475" t="s">
        <v>5290</v>
      </c>
      <c r="D1155" s="475" t="s">
        <v>5291</v>
      </c>
      <c r="E1155" s="476" t="s">
        <v>34</v>
      </c>
      <c r="F1155" s="475" t="s">
        <v>34</v>
      </c>
      <c r="G1155" s="364">
        <v>96459</v>
      </c>
      <c r="H1155" s="475" t="s">
        <v>1196</v>
      </c>
      <c r="I1155" s="475" t="s">
        <v>67</v>
      </c>
      <c r="J1155" s="475" t="s">
        <v>140</v>
      </c>
      <c r="K1155" s="365">
        <v>6.35</v>
      </c>
      <c r="L1155" s="475" t="s">
        <v>141</v>
      </c>
      <c r="M1155" s="473"/>
    </row>
    <row r="1156" spans="1:13" ht="13.5">
      <c r="A1156" s="475" t="s">
        <v>5284</v>
      </c>
      <c r="B1156" s="475" t="s">
        <v>5285</v>
      </c>
      <c r="C1156" s="475" t="s">
        <v>5290</v>
      </c>
      <c r="D1156" s="475" t="s">
        <v>5291</v>
      </c>
      <c r="E1156" s="476" t="s">
        <v>34</v>
      </c>
      <c r="F1156" s="475" t="s">
        <v>34</v>
      </c>
      <c r="G1156" s="364">
        <v>96460</v>
      </c>
      <c r="H1156" s="475" t="s">
        <v>1197</v>
      </c>
      <c r="I1156" s="475" t="s">
        <v>67</v>
      </c>
      <c r="J1156" s="475" t="s">
        <v>140</v>
      </c>
      <c r="K1156" s="365">
        <v>24.18</v>
      </c>
      <c r="L1156" s="475" t="s">
        <v>141</v>
      </c>
      <c r="M1156" s="473"/>
    </row>
    <row r="1157" spans="1:13" ht="13.5">
      <c r="A1157" s="475" t="s">
        <v>5284</v>
      </c>
      <c r="B1157" s="475" t="s">
        <v>5285</v>
      </c>
      <c r="C1157" s="475" t="s">
        <v>5290</v>
      </c>
      <c r="D1157" s="475" t="s">
        <v>5291</v>
      </c>
      <c r="E1157" s="476" t="s">
        <v>34</v>
      </c>
      <c r="F1157" s="475" t="s">
        <v>34</v>
      </c>
      <c r="G1157" s="364">
        <v>98760</v>
      </c>
      <c r="H1157" s="475" t="s">
        <v>6363</v>
      </c>
      <c r="I1157" s="475" t="s">
        <v>67</v>
      </c>
      <c r="J1157" s="475" t="s">
        <v>140</v>
      </c>
      <c r="K1157" s="365">
        <v>7.0000000000000007E-2</v>
      </c>
      <c r="L1157" s="475" t="s">
        <v>141</v>
      </c>
      <c r="M1157" s="473"/>
    </row>
    <row r="1158" spans="1:13" ht="13.5">
      <c r="A1158" s="475" t="s">
        <v>5284</v>
      </c>
      <c r="B1158" s="475" t="s">
        <v>5285</v>
      </c>
      <c r="C1158" s="475" t="s">
        <v>5290</v>
      </c>
      <c r="D1158" s="475" t="s">
        <v>5291</v>
      </c>
      <c r="E1158" s="476" t="s">
        <v>34</v>
      </c>
      <c r="F1158" s="475" t="s">
        <v>34</v>
      </c>
      <c r="G1158" s="364">
        <v>98761</v>
      </c>
      <c r="H1158" s="475" t="s">
        <v>6364</v>
      </c>
      <c r="I1158" s="475" t="s">
        <v>67</v>
      </c>
      <c r="J1158" s="475" t="s">
        <v>140</v>
      </c>
      <c r="K1158" s="365">
        <v>0.01</v>
      </c>
      <c r="L1158" s="475" t="s">
        <v>141</v>
      </c>
      <c r="M1158" s="473"/>
    </row>
    <row r="1159" spans="1:13" ht="13.5">
      <c r="A1159" s="475" t="s">
        <v>5284</v>
      </c>
      <c r="B1159" s="475" t="s">
        <v>5285</v>
      </c>
      <c r="C1159" s="475" t="s">
        <v>5290</v>
      </c>
      <c r="D1159" s="475" t="s">
        <v>5291</v>
      </c>
      <c r="E1159" s="476" t="s">
        <v>34</v>
      </c>
      <c r="F1159" s="475" t="s">
        <v>34</v>
      </c>
      <c r="G1159" s="364">
        <v>98762</v>
      </c>
      <c r="H1159" s="475" t="s">
        <v>6365</v>
      </c>
      <c r="I1159" s="475" t="s">
        <v>67</v>
      </c>
      <c r="J1159" s="475" t="s">
        <v>140</v>
      </c>
      <c r="K1159" s="365">
        <v>0.08</v>
      </c>
      <c r="L1159" s="475" t="s">
        <v>141</v>
      </c>
      <c r="M1159" s="473"/>
    </row>
    <row r="1160" spans="1:13" ht="13.5">
      <c r="A1160" s="475" t="s">
        <v>5284</v>
      </c>
      <c r="B1160" s="475" t="s">
        <v>5285</v>
      </c>
      <c r="C1160" s="475" t="s">
        <v>5290</v>
      </c>
      <c r="D1160" s="475" t="s">
        <v>5291</v>
      </c>
      <c r="E1160" s="476" t="s">
        <v>34</v>
      </c>
      <c r="F1160" s="475" t="s">
        <v>34</v>
      </c>
      <c r="G1160" s="364">
        <v>98763</v>
      </c>
      <c r="H1160" s="475" t="s">
        <v>6366</v>
      </c>
      <c r="I1160" s="475" t="s">
        <v>67</v>
      </c>
      <c r="J1160" s="475" t="s">
        <v>337</v>
      </c>
      <c r="K1160" s="365">
        <v>3.02</v>
      </c>
      <c r="L1160" s="475" t="s">
        <v>141</v>
      </c>
      <c r="M1160" s="473"/>
    </row>
    <row r="1161" spans="1:13" ht="13.5">
      <c r="A1161" s="475" t="s">
        <v>5284</v>
      </c>
      <c r="B1161" s="475" t="s">
        <v>5285</v>
      </c>
      <c r="C1161" s="475" t="s">
        <v>5290</v>
      </c>
      <c r="D1161" s="475" t="s">
        <v>5291</v>
      </c>
      <c r="E1161" s="476" t="s">
        <v>34</v>
      </c>
      <c r="F1161" s="475" t="s">
        <v>34</v>
      </c>
      <c r="G1161" s="364">
        <v>99829</v>
      </c>
      <c r="H1161" s="475" t="s">
        <v>14986</v>
      </c>
      <c r="I1161" s="475" t="s">
        <v>67</v>
      </c>
      <c r="J1161" s="475" t="s">
        <v>363</v>
      </c>
      <c r="K1161" s="365">
        <v>0.12</v>
      </c>
      <c r="L1161" s="475" t="s">
        <v>141</v>
      </c>
      <c r="M1161" s="473"/>
    </row>
    <row r="1162" spans="1:13" ht="13.5">
      <c r="A1162" s="475" t="s">
        <v>5284</v>
      </c>
      <c r="B1162" s="475" t="s">
        <v>5285</v>
      </c>
      <c r="C1162" s="475" t="s">
        <v>5290</v>
      </c>
      <c r="D1162" s="475" t="s">
        <v>5291</v>
      </c>
      <c r="E1162" s="476" t="s">
        <v>34</v>
      </c>
      <c r="F1162" s="475" t="s">
        <v>34</v>
      </c>
      <c r="G1162" s="364">
        <v>99830</v>
      </c>
      <c r="H1162" s="475" t="s">
        <v>14987</v>
      </c>
      <c r="I1162" s="475" t="s">
        <v>67</v>
      </c>
      <c r="J1162" s="475" t="s">
        <v>363</v>
      </c>
      <c r="K1162" s="365">
        <v>0.02</v>
      </c>
      <c r="L1162" s="475" t="s">
        <v>141</v>
      </c>
      <c r="M1162" s="473"/>
    </row>
    <row r="1163" spans="1:13" ht="13.5">
      <c r="A1163" s="475" t="s">
        <v>5284</v>
      </c>
      <c r="B1163" s="475" t="s">
        <v>5285</v>
      </c>
      <c r="C1163" s="475" t="s">
        <v>5290</v>
      </c>
      <c r="D1163" s="475" t="s">
        <v>5291</v>
      </c>
      <c r="E1163" s="476" t="s">
        <v>34</v>
      </c>
      <c r="F1163" s="475" t="s">
        <v>34</v>
      </c>
      <c r="G1163" s="364">
        <v>99831</v>
      </c>
      <c r="H1163" s="475" t="s">
        <v>14988</v>
      </c>
      <c r="I1163" s="475" t="s">
        <v>67</v>
      </c>
      <c r="J1163" s="475" t="s">
        <v>363</v>
      </c>
      <c r="K1163" s="365">
        <v>0.16</v>
      </c>
      <c r="L1163" s="475" t="s">
        <v>141</v>
      </c>
      <c r="M1163" s="473"/>
    </row>
    <row r="1164" spans="1:13" ht="13.5">
      <c r="A1164" s="475" t="s">
        <v>5284</v>
      </c>
      <c r="B1164" s="475" t="s">
        <v>5285</v>
      </c>
      <c r="C1164" s="475" t="s">
        <v>5290</v>
      </c>
      <c r="D1164" s="475" t="s">
        <v>5291</v>
      </c>
      <c r="E1164" s="476" t="s">
        <v>34</v>
      </c>
      <c r="F1164" s="475" t="s">
        <v>34</v>
      </c>
      <c r="G1164" s="364">
        <v>99832</v>
      </c>
      <c r="H1164" s="475" t="s">
        <v>14989</v>
      </c>
      <c r="I1164" s="475" t="s">
        <v>67</v>
      </c>
      <c r="J1164" s="475" t="s">
        <v>337</v>
      </c>
      <c r="K1164" s="365">
        <v>0.78</v>
      </c>
      <c r="L1164" s="475" t="s">
        <v>141</v>
      </c>
      <c r="M1164" s="473"/>
    </row>
    <row r="1165" spans="1:13" ht="13.5">
      <c r="A1165" s="475" t="s">
        <v>5292</v>
      </c>
      <c r="B1165" s="475" t="s">
        <v>5293</v>
      </c>
      <c r="C1165" s="475" t="s">
        <v>5294</v>
      </c>
      <c r="D1165" s="475" t="s">
        <v>5295</v>
      </c>
      <c r="E1165" s="476" t="s">
        <v>34</v>
      </c>
      <c r="F1165" s="475" t="s">
        <v>34</v>
      </c>
      <c r="G1165" s="364">
        <v>55960</v>
      </c>
      <c r="H1165" s="475" t="s">
        <v>1198</v>
      </c>
      <c r="I1165" s="475" t="s">
        <v>322</v>
      </c>
      <c r="J1165" s="475" t="s">
        <v>337</v>
      </c>
      <c r="K1165" s="365">
        <v>4.99</v>
      </c>
      <c r="L1165" s="475" t="s">
        <v>141</v>
      </c>
      <c r="M1165" s="473"/>
    </row>
    <row r="1166" spans="1:13" ht="13.5">
      <c r="A1166" s="475" t="s">
        <v>5292</v>
      </c>
      <c r="B1166" s="475" t="s">
        <v>5293</v>
      </c>
      <c r="C1166" s="475" t="s">
        <v>5294</v>
      </c>
      <c r="D1166" s="475" t="s">
        <v>5295</v>
      </c>
      <c r="E1166" s="476" t="s">
        <v>34</v>
      </c>
      <c r="F1166" s="475" t="s">
        <v>34</v>
      </c>
      <c r="G1166" s="364">
        <v>92259</v>
      </c>
      <c r="H1166" s="475" t="s">
        <v>14990</v>
      </c>
      <c r="I1166" s="475" t="s">
        <v>171</v>
      </c>
      <c r="J1166" s="475" t="s">
        <v>140</v>
      </c>
      <c r="K1166" s="365">
        <v>321.77</v>
      </c>
      <c r="L1166" s="475" t="s">
        <v>141</v>
      </c>
      <c r="M1166" s="473"/>
    </row>
    <row r="1167" spans="1:13" ht="13.5">
      <c r="A1167" s="475" t="s">
        <v>5292</v>
      </c>
      <c r="B1167" s="475" t="s">
        <v>5293</v>
      </c>
      <c r="C1167" s="475" t="s">
        <v>5294</v>
      </c>
      <c r="D1167" s="475" t="s">
        <v>5295</v>
      </c>
      <c r="E1167" s="476" t="s">
        <v>34</v>
      </c>
      <c r="F1167" s="475" t="s">
        <v>34</v>
      </c>
      <c r="G1167" s="364">
        <v>92260</v>
      </c>
      <c r="H1167" s="475" t="s">
        <v>14991</v>
      </c>
      <c r="I1167" s="475" t="s">
        <v>171</v>
      </c>
      <c r="J1167" s="475" t="s">
        <v>140</v>
      </c>
      <c r="K1167" s="365">
        <v>367.48</v>
      </c>
      <c r="L1167" s="475" t="s">
        <v>141</v>
      </c>
      <c r="M1167" s="473"/>
    </row>
    <row r="1168" spans="1:13" ht="13.5">
      <c r="A1168" s="475" t="s">
        <v>5292</v>
      </c>
      <c r="B1168" s="475" t="s">
        <v>5293</v>
      </c>
      <c r="C1168" s="475" t="s">
        <v>5294</v>
      </c>
      <c r="D1168" s="475" t="s">
        <v>5295</v>
      </c>
      <c r="E1168" s="476" t="s">
        <v>34</v>
      </c>
      <c r="F1168" s="475" t="s">
        <v>34</v>
      </c>
      <c r="G1168" s="364">
        <v>92261</v>
      </c>
      <c r="H1168" s="475" t="s">
        <v>14992</v>
      </c>
      <c r="I1168" s="475" t="s">
        <v>171</v>
      </c>
      <c r="J1168" s="475" t="s">
        <v>140</v>
      </c>
      <c r="K1168" s="365">
        <v>411.8</v>
      </c>
      <c r="L1168" s="475" t="s">
        <v>141</v>
      </c>
      <c r="M1168" s="473"/>
    </row>
    <row r="1169" spans="1:13" ht="13.5">
      <c r="A1169" s="475" t="s">
        <v>5292</v>
      </c>
      <c r="B1169" s="475" t="s">
        <v>5293</v>
      </c>
      <c r="C1169" s="475" t="s">
        <v>5294</v>
      </c>
      <c r="D1169" s="475" t="s">
        <v>5295</v>
      </c>
      <c r="E1169" s="476" t="s">
        <v>34</v>
      </c>
      <c r="F1169" s="475" t="s">
        <v>34</v>
      </c>
      <c r="G1169" s="364">
        <v>92262</v>
      </c>
      <c r="H1169" s="475" t="s">
        <v>14993</v>
      </c>
      <c r="I1169" s="475" t="s">
        <v>171</v>
      </c>
      <c r="J1169" s="475" t="s">
        <v>140</v>
      </c>
      <c r="K1169" s="365">
        <v>483.14</v>
      </c>
      <c r="L1169" s="475" t="s">
        <v>141</v>
      </c>
      <c r="M1169" s="473"/>
    </row>
    <row r="1170" spans="1:13" ht="13.5">
      <c r="A1170" s="475" t="s">
        <v>5292</v>
      </c>
      <c r="B1170" s="475" t="s">
        <v>5293</v>
      </c>
      <c r="C1170" s="475" t="s">
        <v>5294</v>
      </c>
      <c r="D1170" s="475" t="s">
        <v>5295</v>
      </c>
      <c r="E1170" s="476" t="s">
        <v>34</v>
      </c>
      <c r="F1170" s="475" t="s">
        <v>34</v>
      </c>
      <c r="G1170" s="364">
        <v>92539</v>
      </c>
      <c r="H1170" s="475" t="s">
        <v>14994</v>
      </c>
      <c r="I1170" s="475" t="s">
        <v>322</v>
      </c>
      <c r="J1170" s="475" t="s">
        <v>140</v>
      </c>
      <c r="K1170" s="365">
        <v>55.71</v>
      </c>
      <c r="L1170" s="475" t="s">
        <v>141</v>
      </c>
      <c r="M1170" s="473"/>
    </row>
    <row r="1171" spans="1:13" ht="13.5">
      <c r="A1171" s="475" t="s">
        <v>5292</v>
      </c>
      <c r="B1171" s="475" t="s">
        <v>5293</v>
      </c>
      <c r="C1171" s="475" t="s">
        <v>5294</v>
      </c>
      <c r="D1171" s="475" t="s">
        <v>5295</v>
      </c>
      <c r="E1171" s="476" t="s">
        <v>34</v>
      </c>
      <c r="F1171" s="475" t="s">
        <v>34</v>
      </c>
      <c r="G1171" s="364">
        <v>92540</v>
      </c>
      <c r="H1171" s="475" t="s">
        <v>14995</v>
      </c>
      <c r="I1171" s="475" t="s">
        <v>322</v>
      </c>
      <c r="J1171" s="475" t="s">
        <v>140</v>
      </c>
      <c r="K1171" s="365">
        <v>62.57</v>
      </c>
      <c r="L1171" s="475" t="s">
        <v>141</v>
      </c>
      <c r="M1171" s="473"/>
    </row>
    <row r="1172" spans="1:13" ht="13.5">
      <c r="A1172" s="475" t="s">
        <v>5292</v>
      </c>
      <c r="B1172" s="475" t="s">
        <v>5293</v>
      </c>
      <c r="C1172" s="475" t="s">
        <v>5294</v>
      </c>
      <c r="D1172" s="475" t="s">
        <v>5295</v>
      </c>
      <c r="E1172" s="476" t="s">
        <v>34</v>
      </c>
      <c r="F1172" s="475" t="s">
        <v>34</v>
      </c>
      <c r="G1172" s="364">
        <v>92541</v>
      </c>
      <c r="H1172" s="475" t="s">
        <v>14996</v>
      </c>
      <c r="I1172" s="475" t="s">
        <v>322</v>
      </c>
      <c r="J1172" s="475" t="s">
        <v>140</v>
      </c>
      <c r="K1172" s="365">
        <v>59.84</v>
      </c>
      <c r="L1172" s="475" t="s">
        <v>141</v>
      </c>
      <c r="M1172" s="473"/>
    </row>
    <row r="1173" spans="1:13" ht="13.5">
      <c r="A1173" s="475" t="s">
        <v>5292</v>
      </c>
      <c r="B1173" s="475" t="s">
        <v>5293</v>
      </c>
      <c r="C1173" s="475" t="s">
        <v>5294</v>
      </c>
      <c r="D1173" s="475" t="s">
        <v>5295</v>
      </c>
      <c r="E1173" s="476" t="s">
        <v>34</v>
      </c>
      <c r="F1173" s="475" t="s">
        <v>34</v>
      </c>
      <c r="G1173" s="364">
        <v>92542</v>
      </c>
      <c r="H1173" s="475" t="s">
        <v>14997</v>
      </c>
      <c r="I1173" s="475" t="s">
        <v>322</v>
      </c>
      <c r="J1173" s="475" t="s">
        <v>140</v>
      </c>
      <c r="K1173" s="365">
        <v>72.349999999999994</v>
      </c>
      <c r="L1173" s="475" t="s">
        <v>141</v>
      </c>
      <c r="M1173" s="473"/>
    </row>
    <row r="1174" spans="1:13" ht="13.5">
      <c r="A1174" s="475" t="s">
        <v>5292</v>
      </c>
      <c r="B1174" s="475" t="s">
        <v>5293</v>
      </c>
      <c r="C1174" s="475" t="s">
        <v>5294</v>
      </c>
      <c r="D1174" s="475" t="s">
        <v>5295</v>
      </c>
      <c r="E1174" s="476" t="s">
        <v>34</v>
      </c>
      <c r="F1174" s="475" t="s">
        <v>34</v>
      </c>
      <c r="G1174" s="364">
        <v>92543</v>
      </c>
      <c r="H1174" s="475" t="s">
        <v>14998</v>
      </c>
      <c r="I1174" s="475" t="s">
        <v>322</v>
      </c>
      <c r="J1174" s="475" t="s">
        <v>140</v>
      </c>
      <c r="K1174" s="365">
        <v>15.83</v>
      </c>
      <c r="L1174" s="475" t="s">
        <v>141</v>
      </c>
      <c r="M1174" s="473"/>
    </row>
    <row r="1175" spans="1:13" ht="13.5">
      <c r="A1175" s="475" t="s">
        <v>5292</v>
      </c>
      <c r="B1175" s="475" t="s">
        <v>5293</v>
      </c>
      <c r="C1175" s="475" t="s">
        <v>5294</v>
      </c>
      <c r="D1175" s="475" t="s">
        <v>5295</v>
      </c>
      <c r="E1175" s="476" t="s">
        <v>34</v>
      </c>
      <c r="F1175" s="475" t="s">
        <v>34</v>
      </c>
      <c r="G1175" s="364">
        <v>92544</v>
      </c>
      <c r="H1175" s="475" t="s">
        <v>14999</v>
      </c>
      <c r="I1175" s="475" t="s">
        <v>322</v>
      </c>
      <c r="J1175" s="475" t="s">
        <v>140</v>
      </c>
      <c r="K1175" s="365">
        <v>13.49</v>
      </c>
      <c r="L1175" s="475" t="s">
        <v>141</v>
      </c>
      <c r="M1175" s="473"/>
    </row>
    <row r="1176" spans="1:13" ht="13.5">
      <c r="A1176" s="475" t="s">
        <v>5292</v>
      </c>
      <c r="B1176" s="475" t="s">
        <v>5293</v>
      </c>
      <c r="C1176" s="475" t="s">
        <v>5294</v>
      </c>
      <c r="D1176" s="475" t="s">
        <v>5295</v>
      </c>
      <c r="E1176" s="476" t="s">
        <v>34</v>
      </c>
      <c r="F1176" s="475" t="s">
        <v>34</v>
      </c>
      <c r="G1176" s="364">
        <v>92545</v>
      </c>
      <c r="H1176" s="475" t="s">
        <v>15000</v>
      </c>
      <c r="I1176" s="475" t="s">
        <v>171</v>
      </c>
      <c r="J1176" s="475" t="s">
        <v>140</v>
      </c>
      <c r="K1176" s="365">
        <v>693.46</v>
      </c>
      <c r="L1176" s="475" t="s">
        <v>141</v>
      </c>
      <c r="M1176" s="473"/>
    </row>
    <row r="1177" spans="1:13" ht="13.5">
      <c r="A1177" s="475" t="s">
        <v>5292</v>
      </c>
      <c r="B1177" s="475" t="s">
        <v>5293</v>
      </c>
      <c r="C1177" s="475" t="s">
        <v>5294</v>
      </c>
      <c r="D1177" s="475" t="s">
        <v>5295</v>
      </c>
      <c r="E1177" s="476" t="s">
        <v>34</v>
      </c>
      <c r="F1177" s="475" t="s">
        <v>34</v>
      </c>
      <c r="G1177" s="364">
        <v>92546</v>
      </c>
      <c r="H1177" s="475" t="s">
        <v>15001</v>
      </c>
      <c r="I1177" s="475" t="s">
        <v>171</v>
      </c>
      <c r="J1177" s="475" t="s">
        <v>140</v>
      </c>
      <c r="K1177" s="365">
        <v>851.08</v>
      </c>
      <c r="L1177" s="475" t="s">
        <v>141</v>
      </c>
      <c r="M1177" s="473"/>
    </row>
    <row r="1178" spans="1:13" ht="13.5">
      <c r="A1178" s="475" t="s">
        <v>5292</v>
      </c>
      <c r="B1178" s="475" t="s">
        <v>5293</v>
      </c>
      <c r="C1178" s="475" t="s">
        <v>5294</v>
      </c>
      <c r="D1178" s="475" t="s">
        <v>5295</v>
      </c>
      <c r="E1178" s="476" t="s">
        <v>34</v>
      </c>
      <c r="F1178" s="475" t="s">
        <v>34</v>
      </c>
      <c r="G1178" s="364">
        <v>92547</v>
      </c>
      <c r="H1178" s="475" t="s">
        <v>15002</v>
      </c>
      <c r="I1178" s="475" t="s">
        <v>171</v>
      </c>
      <c r="J1178" s="475" t="s">
        <v>140</v>
      </c>
      <c r="K1178" s="365">
        <v>898.17</v>
      </c>
      <c r="L1178" s="475" t="s">
        <v>141</v>
      </c>
      <c r="M1178" s="473"/>
    </row>
    <row r="1179" spans="1:13" ht="13.5">
      <c r="A1179" s="475" t="s">
        <v>5292</v>
      </c>
      <c r="B1179" s="475" t="s">
        <v>5293</v>
      </c>
      <c r="C1179" s="475" t="s">
        <v>5294</v>
      </c>
      <c r="D1179" s="475" t="s">
        <v>5295</v>
      </c>
      <c r="E1179" s="476" t="s">
        <v>34</v>
      </c>
      <c r="F1179" s="475" t="s">
        <v>34</v>
      </c>
      <c r="G1179" s="364">
        <v>92548</v>
      </c>
      <c r="H1179" s="475" t="s">
        <v>15003</v>
      </c>
      <c r="I1179" s="475" t="s">
        <v>171</v>
      </c>
      <c r="J1179" s="475" t="s">
        <v>140</v>
      </c>
      <c r="K1179" s="365">
        <v>1000.5</v>
      </c>
      <c r="L1179" s="475" t="s">
        <v>141</v>
      </c>
      <c r="M1179" s="473"/>
    </row>
    <row r="1180" spans="1:13" ht="13.5">
      <c r="A1180" s="475" t="s">
        <v>5292</v>
      </c>
      <c r="B1180" s="475" t="s">
        <v>5293</v>
      </c>
      <c r="C1180" s="475" t="s">
        <v>5294</v>
      </c>
      <c r="D1180" s="475" t="s">
        <v>5295</v>
      </c>
      <c r="E1180" s="476" t="s">
        <v>34</v>
      </c>
      <c r="F1180" s="475" t="s">
        <v>34</v>
      </c>
      <c r="G1180" s="364">
        <v>92549</v>
      </c>
      <c r="H1180" s="475" t="s">
        <v>15004</v>
      </c>
      <c r="I1180" s="475" t="s">
        <v>171</v>
      </c>
      <c r="J1180" s="475" t="s">
        <v>140</v>
      </c>
      <c r="K1180" s="365">
        <v>1259.02</v>
      </c>
      <c r="L1180" s="475" t="s">
        <v>141</v>
      </c>
      <c r="M1180" s="473"/>
    </row>
    <row r="1181" spans="1:13" ht="13.5">
      <c r="A1181" s="475" t="s">
        <v>5292</v>
      </c>
      <c r="B1181" s="475" t="s">
        <v>5293</v>
      </c>
      <c r="C1181" s="475" t="s">
        <v>5294</v>
      </c>
      <c r="D1181" s="475" t="s">
        <v>5295</v>
      </c>
      <c r="E1181" s="476" t="s">
        <v>34</v>
      </c>
      <c r="F1181" s="475" t="s">
        <v>34</v>
      </c>
      <c r="G1181" s="364">
        <v>92550</v>
      </c>
      <c r="H1181" s="475" t="s">
        <v>15005</v>
      </c>
      <c r="I1181" s="475" t="s">
        <v>171</v>
      </c>
      <c r="J1181" s="475" t="s">
        <v>140</v>
      </c>
      <c r="K1181" s="365">
        <v>1517.96</v>
      </c>
      <c r="L1181" s="475" t="s">
        <v>141</v>
      </c>
      <c r="M1181" s="473"/>
    </row>
    <row r="1182" spans="1:13" ht="13.5">
      <c r="A1182" s="475" t="s">
        <v>5292</v>
      </c>
      <c r="B1182" s="475" t="s">
        <v>5293</v>
      </c>
      <c r="C1182" s="475" t="s">
        <v>5294</v>
      </c>
      <c r="D1182" s="475" t="s">
        <v>5295</v>
      </c>
      <c r="E1182" s="476" t="s">
        <v>34</v>
      </c>
      <c r="F1182" s="475" t="s">
        <v>34</v>
      </c>
      <c r="G1182" s="364">
        <v>92551</v>
      </c>
      <c r="H1182" s="475" t="s">
        <v>15006</v>
      </c>
      <c r="I1182" s="475" t="s">
        <v>171</v>
      </c>
      <c r="J1182" s="475" t="s">
        <v>140</v>
      </c>
      <c r="K1182" s="365">
        <v>1580.57</v>
      </c>
      <c r="L1182" s="475" t="s">
        <v>141</v>
      </c>
      <c r="M1182" s="473"/>
    </row>
    <row r="1183" spans="1:13" ht="13.5">
      <c r="A1183" s="475" t="s">
        <v>5292</v>
      </c>
      <c r="B1183" s="475" t="s">
        <v>5293</v>
      </c>
      <c r="C1183" s="475" t="s">
        <v>5294</v>
      </c>
      <c r="D1183" s="475" t="s">
        <v>5295</v>
      </c>
      <c r="E1183" s="476" t="s">
        <v>34</v>
      </c>
      <c r="F1183" s="475" t="s">
        <v>34</v>
      </c>
      <c r="G1183" s="364">
        <v>92552</v>
      </c>
      <c r="H1183" s="475" t="s">
        <v>15007</v>
      </c>
      <c r="I1183" s="475" t="s">
        <v>171</v>
      </c>
      <c r="J1183" s="475" t="s">
        <v>140</v>
      </c>
      <c r="K1183" s="365">
        <v>1724.06</v>
      </c>
      <c r="L1183" s="475" t="s">
        <v>141</v>
      </c>
      <c r="M1183" s="473"/>
    </row>
    <row r="1184" spans="1:13" ht="13.5">
      <c r="A1184" s="475" t="s">
        <v>5292</v>
      </c>
      <c r="B1184" s="475" t="s">
        <v>5293</v>
      </c>
      <c r="C1184" s="475" t="s">
        <v>5294</v>
      </c>
      <c r="D1184" s="475" t="s">
        <v>5295</v>
      </c>
      <c r="E1184" s="476" t="s">
        <v>34</v>
      </c>
      <c r="F1184" s="475" t="s">
        <v>34</v>
      </c>
      <c r="G1184" s="364">
        <v>92553</v>
      </c>
      <c r="H1184" s="475" t="s">
        <v>15008</v>
      </c>
      <c r="I1184" s="475" t="s">
        <v>171</v>
      </c>
      <c r="J1184" s="475" t="s">
        <v>140</v>
      </c>
      <c r="K1184" s="365">
        <v>1992.83</v>
      </c>
      <c r="L1184" s="475" t="s">
        <v>141</v>
      </c>
      <c r="M1184" s="473"/>
    </row>
    <row r="1185" spans="1:13" ht="13.5">
      <c r="A1185" s="475" t="s">
        <v>5292</v>
      </c>
      <c r="B1185" s="475" t="s">
        <v>5293</v>
      </c>
      <c r="C1185" s="475" t="s">
        <v>5294</v>
      </c>
      <c r="D1185" s="475" t="s">
        <v>5295</v>
      </c>
      <c r="E1185" s="476" t="s">
        <v>34</v>
      </c>
      <c r="F1185" s="475" t="s">
        <v>34</v>
      </c>
      <c r="G1185" s="364">
        <v>92554</v>
      </c>
      <c r="H1185" s="475" t="s">
        <v>15009</v>
      </c>
      <c r="I1185" s="475" t="s">
        <v>171</v>
      </c>
      <c r="J1185" s="475" t="s">
        <v>140</v>
      </c>
      <c r="K1185" s="365">
        <v>2064.08</v>
      </c>
      <c r="L1185" s="475" t="s">
        <v>141</v>
      </c>
      <c r="M1185" s="473"/>
    </row>
    <row r="1186" spans="1:13" ht="13.5">
      <c r="A1186" s="475" t="s">
        <v>5292</v>
      </c>
      <c r="B1186" s="475" t="s">
        <v>5293</v>
      </c>
      <c r="C1186" s="475" t="s">
        <v>5294</v>
      </c>
      <c r="D1186" s="475" t="s">
        <v>5295</v>
      </c>
      <c r="E1186" s="476" t="s">
        <v>34</v>
      </c>
      <c r="F1186" s="475" t="s">
        <v>34</v>
      </c>
      <c r="G1186" s="364">
        <v>92555</v>
      </c>
      <c r="H1186" s="475" t="s">
        <v>15010</v>
      </c>
      <c r="I1186" s="475" t="s">
        <v>171</v>
      </c>
      <c r="J1186" s="475" t="s">
        <v>140</v>
      </c>
      <c r="K1186" s="365">
        <v>683.94</v>
      </c>
      <c r="L1186" s="475" t="s">
        <v>141</v>
      </c>
      <c r="M1186" s="473"/>
    </row>
    <row r="1187" spans="1:13" ht="13.5">
      <c r="A1187" s="475" t="s">
        <v>5292</v>
      </c>
      <c r="B1187" s="475" t="s">
        <v>5293</v>
      </c>
      <c r="C1187" s="475" t="s">
        <v>5294</v>
      </c>
      <c r="D1187" s="475" t="s">
        <v>5295</v>
      </c>
      <c r="E1187" s="476" t="s">
        <v>34</v>
      </c>
      <c r="F1187" s="475" t="s">
        <v>34</v>
      </c>
      <c r="G1187" s="364">
        <v>92556</v>
      </c>
      <c r="H1187" s="475" t="s">
        <v>15011</v>
      </c>
      <c r="I1187" s="475" t="s">
        <v>171</v>
      </c>
      <c r="J1187" s="475" t="s">
        <v>140</v>
      </c>
      <c r="K1187" s="365">
        <v>835.35</v>
      </c>
      <c r="L1187" s="475" t="s">
        <v>141</v>
      </c>
      <c r="M1187" s="473"/>
    </row>
    <row r="1188" spans="1:13" ht="13.5">
      <c r="A1188" s="475" t="s">
        <v>5292</v>
      </c>
      <c r="B1188" s="475" t="s">
        <v>5293</v>
      </c>
      <c r="C1188" s="475" t="s">
        <v>5294</v>
      </c>
      <c r="D1188" s="475" t="s">
        <v>5295</v>
      </c>
      <c r="E1188" s="476" t="s">
        <v>34</v>
      </c>
      <c r="F1188" s="475" t="s">
        <v>34</v>
      </c>
      <c r="G1188" s="364">
        <v>92557</v>
      </c>
      <c r="H1188" s="475" t="s">
        <v>15012</v>
      </c>
      <c r="I1188" s="475" t="s">
        <v>171</v>
      </c>
      <c r="J1188" s="475" t="s">
        <v>140</v>
      </c>
      <c r="K1188" s="365">
        <v>882.44</v>
      </c>
      <c r="L1188" s="475" t="s">
        <v>141</v>
      </c>
      <c r="M1188" s="473"/>
    </row>
    <row r="1189" spans="1:13" ht="13.5">
      <c r="A1189" s="475" t="s">
        <v>5292</v>
      </c>
      <c r="B1189" s="475" t="s">
        <v>5293</v>
      </c>
      <c r="C1189" s="475" t="s">
        <v>5294</v>
      </c>
      <c r="D1189" s="475" t="s">
        <v>5295</v>
      </c>
      <c r="E1189" s="476" t="s">
        <v>34</v>
      </c>
      <c r="F1189" s="475" t="s">
        <v>34</v>
      </c>
      <c r="G1189" s="364">
        <v>92558</v>
      </c>
      <c r="H1189" s="475" t="s">
        <v>15013</v>
      </c>
      <c r="I1189" s="475" t="s">
        <v>171</v>
      </c>
      <c r="J1189" s="475" t="s">
        <v>140</v>
      </c>
      <c r="K1189" s="365">
        <v>990.97</v>
      </c>
      <c r="L1189" s="475" t="s">
        <v>141</v>
      </c>
      <c r="M1189" s="473"/>
    </row>
    <row r="1190" spans="1:13" ht="13.5">
      <c r="A1190" s="475" t="s">
        <v>5292</v>
      </c>
      <c r="B1190" s="475" t="s">
        <v>5293</v>
      </c>
      <c r="C1190" s="475" t="s">
        <v>5294</v>
      </c>
      <c r="D1190" s="475" t="s">
        <v>5295</v>
      </c>
      <c r="E1190" s="476" t="s">
        <v>34</v>
      </c>
      <c r="F1190" s="475" t="s">
        <v>34</v>
      </c>
      <c r="G1190" s="364">
        <v>92559</v>
      </c>
      <c r="H1190" s="475" t="s">
        <v>15014</v>
      </c>
      <c r="I1190" s="475" t="s">
        <v>171</v>
      </c>
      <c r="J1190" s="475" t="s">
        <v>140</v>
      </c>
      <c r="K1190" s="365">
        <v>1242.25</v>
      </c>
      <c r="L1190" s="475" t="s">
        <v>141</v>
      </c>
      <c r="M1190" s="473"/>
    </row>
    <row r="1191" spans="1:13" ht="13.5">
      <c r="A1191" s="475" t="s">
        <v>5292</v>
      </c>
      <c r="B1191" s="475" t="s">
        <v>5293</v>
      </c>
      <c r="C1191" s="475" t="s">
        <v>5294</v>
      </c>
      <c r="D1191" s="475" t="s">
        <v>5295</v>
      </c>
      <c r="E1191" s="476" t="s">
        <v>34</v>
      </c>
      <c r="F1191" s="475" t="s">
        <v>34</v>
      </c>
      <c r="G1191" s="364">
        <v>92560</v>
      </c>
      <c r="H1191" s="475" t="s">
        <v>15015</v>
      </c>
      <c r="I1191" s="475" t="s">
        <v>171</v>
      </c>
      <c r="J1191" s="475" t="s">
        <v>140</v>
      </c>
      <c r="K1191" s="365">
        <v>1492.38</v>
      </c>
      <c r="L1191" s="475" t="s">
        <v>141</v>
      </c>
      <c r="M1191" s="473"/>
    </row>
    <row r="1192" spans="1:13" ht="13.5">
      <c r="A1192" s="475" t="s">
        <v>5292</v>
      </c>
      <c r="B1192" s="475" t="s">
        <v>5293</v>
      </c>
      <c r="C1192" s="475" t="s">
        <v>5294</v>
      </c>
      <c r="D1192" s="475" t="s">
        <v>5295</v>
      </c>
      <c r="E1192" s="476" t="s">
        <v>34</v>
      </c>
      <c r="F1192" s="475" t="s">
        <v>34</v>
      </c>
      <c r="G1192" s="364">
        <v>92561</v>
      </c>
      <c r="H1192" s="475" t="s">
        <v>15016</v>
      </c>
      <c r="I1192" s="475" t="s">
        <v>171</v>
      </c>
      <c r="J1192" s="475" t="s">
        <v>140</v>
      </c>
      <c r="K1192" s="365">
        <v>1556.13</v>
      </c>
      <c r="L1192" s="475" t="s">
        <v>141</v>
      </c>
      <c r="M1192" s="473"/>
    </row>
    <row r="1193" spans="1:13" ht="13.5">
      <c r="A1193" s="475" t="s">
        <v>5292</v>
      </c>
      <c r="B1193" s="475" t="s">
        <v>5293</v>
      </c>
      <c r="C1193" s="475" t="s">
        <v>5294</v>
      </c>
      <c r="D1193" s="475" t="s">
        <v>5295</v>
      </c>
      <c r="E1193" s="476" t="s">
        <v>34</v>
      </c>
      <c r="F1193" s="475" t="s">
        <v>34</v>
      </c>
      <c r="G1193" s="364">
        <v>92562</v>
      </c>
      <c r="H1193" s="475" t="s">
        <v>15017</v>
      </c>
      <c r="I1193" s="475" t="s">
        <v>171</v>
      </c>
      <c r="J1193" s="475" t="s">
        <v>140</v>
      </c>
      <c r="K1193" s="365">
        <v>1683.89</v>
      </c>
      <c r="L1193" s="475" t="s">
        <v>141</v>
      </c>
      <c r="M1193" s="473"/>
    </row>
    <row r="1194" spans="1:13" ht="13.5">
      <c r="A1194" s="475" t="s">
        <v>5292</v>
      </c>
      <c r="B1194" s="475" t="s">
        <v>5293</v>
      </c>
      <c r="C1194" s="475" t="s">
        <v>5294</v>
      </c>
      <c r="D1194" s="475" t="s">
        <v>5295</v>
      </c>
      <c r="E1194" s="476" t="s">
        <v>34</v>
      </c>
      <c r="F1194" s="475" t="s">
        <v>34</v>
      </c>
      <c r="G1194" s="364">
        <v>92563</v>
      </c>
      <c r="H1194" s="475" t="s">
        <v>15018</v>
      </c>
      <c r="I1194" s="475" t="s">
        <v>171</v>
      </c>
      <c r="J1194" s="475" t="s">
        <v>140</v>
      </c>
      <c r="K1194" s="365">
        <v>1943.96</v>
      </c>
      <c r="L1194" s="475" t="s">
        <v>141</v>
      </c>
      <c r="M1194" s="473"/>
    </row>
    <row r="1195" spans="1:13" ht="13.5">
      <c r="A1195" s="475" t="s">
        <v>5292</v>
      </c>
      <c r="B1195" s="475" t="s">
        <v>5293</v>
      </c>
      <c r="C1195" s="475" t="s">
        <v>5294</v>
      </c>
      <c r="D1195" s="475" t="s">
        <v>5295</v>
      </c>
      <c r="E1195" s="476" t="s">
        <v>34</v>
      </c>
      <c r="F1195" s="475" t="s">
        <v>34</v>
      </c>
      <c r="G1195" s="364">
        <v>92564</v>
      </c>
      <c r="H1195" s="475" t="s">
        <v>15019</v>
      </c>
      <c r="I1195" s="475" t="s">
        <v>171</v>
      </c>
      <c r="J1195" s="475" t="s">
        <v>140</v>
      </c>
      <c r="K1195" s="365">
        <v>2004.65</v>
      </c>
      <c r="L1195" s="475" t="s">
        <v>141</v>
      </c>
      <c r="M1195" s="473"/>
    </row>
    <row r="1196" spans="1:13" ht="13.5">
      <c r="A1196" s="475" t="s">
        <v>5292</v>
      </c>
      <c r="B1196" s="475" t="s">
        <v>5293</v>
      </c>
      <c r="C1196" s="475" t="s">
        <v>5294</v>
      </c>
      <c r="D1196" s="475" t="s">
        <v>5295</v>
      </c>
      <c r="E1196" s="476" t="s">
        <v>34</v>
      </c>
      <c r="F1196" s="475" t="s">
        <v>34</v>
      </c>
      <c r="G1196" s="364">
        <v>92565</v>
      </c>
      <c r="H1196" s="475" t="s">
        <v>1199</v>
      </c>
      <c r="I1196" s="475" t="s">
        <v>322</v>
      </c>
      <c r="J1196" s="475" t="s">
        <v>140</v>
      </c>
      <c r="K1196" s="365">
        <v>26.53</v>
      </c>
      <c r="L1196" s="475" t="s">
        <v>141</v>
      </c>
      <c r="M1196" s="473"/>
    </row>
    <row r="1197" spans="1:13" ht="13.5">
      <c r="A1197" s="475" t="s">
        <v>5292</v>
      </c>
      <c r="B1197" s="475" t="s">
        <v>5293</v>
      </c>
      <c r="C1197" s="475" t="s">
        <v>5294</v>
      </c>
      <c r="D1197" s="475" t="s">
        <v>5295</v>
      </c>
      <c r="E1197" s="476" t="s">
        <v>34</v>
      </c>
      <c r="F1197" s="475" t="s">
        <v>34</v>
      </c>
      <c r="G1197" s="364">
        <v>92566</v>
      </c>
      <c r="H1197" s="475" t="s">
        <v>1200</v>
      </c>
      <c r="I1197" s="475" t="s">
        <v>322</v>
      </c>
      <c r="J1197" s="475" t="s">
        <v>140</v>
      </c>
      <c r="K1197" s="365">
        <v>16.440000000000001</v>
      </c>
      <c r="L1197" s="475" t="s">
        <v>141</v>
      </c>
      <c r="M1197" s="473"/>
    </row>
    <row r="1198" spans="1:13" ht="13.5">
      <c r="A1198" s="475" t="s">
        <v>5292</v>
      </c>
      <c r="B1198" s="475" t="s">
        <v>5293</v>
      </c>
      <c r="C1198" s="475" t="s">
        <v>5294</v>
      </c>
      <c r="D1198" s="475" t="s">
        <v>5295</v>
      </c>
      <c r="E1198" s="476" t="s">
        <v>34</v>
      </c>
      <c r="F1198" s="475" t="s">
        <v>34</v>
      </c>
      <c r="G1198" s="364">
        <v>92567</v>
      </c>
      <c r="H1198" s="475" t="s">
        <v>1201</v>
      </c>
      <c r="I1198" s="475" t="s">
        <v>322</v>
      </c>
      <c r="J1198" s="475" t="s">
        <v>140</v>
      </c>
      <c r="K1198" s="365">
        <v>23.78</v>
      </c>
      <c r="L1198" s="475" t="s">
        <v>141</v>
      </c>
      <c r="M1198" s="473"/>
    </row>
    <row r="1199" spans="1:13" ht="13.5">
      <c r="A1199" s="475" t="s">
        <v>5292</v>
      </c>
      <c r="B1199" s="475" t="s">
        <v>5293</v>
      </c>
      <c r="C1199" s="475" t="s">
        <v>5294</v>
      </c>
      <c r="D1199" s="475" t="s">
        <v>5295</v>
      </c>
      <c r="E1199" s="476" t="s">
        <v>34</v>
      </c>
      <c r="F1199" s="475" t="s">
        <v>34</v>
      </c>
      <c r="G1199" s="364">
        <v>100379</v>
      </c>
      <c r="H1199" s="475" t="s">
        <v>15020</v>
      </c>
      <c r="I1199" s="475" t="s">
        <v>322</v>
      </c>
      <c r="J1199" s="475" t="s">
        <v>140</v>
      </c>
      <c r="K1199" s="365">
        <v>26.53</v>
      </c>
      <c r="L1199" s="475" t="s">
        <v>141</v>
      </c>
      <c r="M1199" s="473"/>
    </row>
    <row r="1200" spans="1:13" ht="13.5">
      <c r="A1200" s="475" t="s">
        <v>5292</v>
      </c>
      <c r="B1200" s="475" t="s">
        <v>5293</v>
      </c>
      <c r="C1200" s="475" t="s">
        <v>5294</v>
      </c>
      <c r="D1200" s="475" t="s">
        <v>5295</v>
      </c>
      <c r="E1200" s="476" t="s">
        <v>34</v>
      </c>
      <c r="F1200" s="475" t="s">
        <v>34</v>
      </c>
      <c r="G1200" s="364">
        <v>100380</v>
      </c>
      <c r="H1200" s="475" t="s">
        <v>15021</v>
      </c>
      <c r="I1200" s="475" t="s">
        <v>322</v>
      </c>
      <c r="J1200" s="475" t="s">
        <v>140</v>
      </c>
      <c r="K1200" s="365">
        <v>35.39</v>
      </c>
      <c r="L1200" s="475" t="s">
        <v>141</v>
      </c>
      <c r="M1200" s="473"/>
    </row>
    <row r="1201" spans="1:13" ht="13.5">
      <c r="A1201" s="475" t="s">
        <v>5292</v>
      </c>
      <c r="B1201" s="475" t="s">
        <v>5293</v>
      </c>
      <c r="C1201" s="475" t="s">
        <v>5294</v>
      </c>
      <c r="D1201" s="475" t="s">
        <v>5295</v>
      </c>
      <c r="E1201" s="476" t="s">
        <v>34</v>
      </c>
      <c r="F1201" s="475" t="s">
        <v>34</v>
      </c>
      <c r="G1201" s="364">
        <v>100381</v>
      </c>
      <c r="H1201" s="475" t="s">
        <v>15022</v>
      </c>
      <c r="I1201" s="475" t="s">
        <v>322</v>
      </c>
      <c r="J1201" s="475" t="s">
        <v>140</v>
      </c>
      <c r="K1201" s="365">
        <v>39.82</v>
      </c>
      <c r="L1201" s="475" t="s">
        <v>141</v>
      </c>
      <c r="M1201" s="473"/>
    </row>
    <row r="1202" spans="1:13" ht="13.5">
      <c r="A1202" s="475" t="s">
        <v>5292</v>
      </c>
      <c r="B1202" s="475" t="s">
        <v>5293</v>
      </c>
      <c r="C1202" s="475" t="s">
        <v>5294</v>
      </c>
      <c r="D1202" s="475" t="s">
        <v>5295</v>
      </c>
      <c r="E1202" s="476" t="s">
        <v>34</v>
      </c>
      <c r="F1202" s="475" t="s">
        <v>34</v>
      </c>
      <c r="G1202" s="364">
        <v>100383</v>
      </c>
      <c r="H1202" s="475" t="s">
        <v>15023</v>
      </c>
      <c r="I1202" s="475" t="s">
        <v>322</v>
      </c>
      <c r="J1202" s="475" t="s">
        <v>140</v>
      </c>
      <c r="K1202" s="365">
        <v>17.86</v>
      </c>
      <c r="L1202" s="475" t="s">
        <v>141</v>
      </c>
      <c r="M1202" s="473"/>
    </row>
    <row r="1203" spans="1:13" ht="13.5">
      <c r="A1203" s="475" t="s">
        <v>5292</v>
      </c>
      <c r="B1203" s="475" t="s">
        <v>5293</v>
      </c>
      <c r="C1203" s="475" t="s">
        <v>5294</v>
      </c>
      <c r="D1203" s="475" t="s">
        <v>5295</v>
      </c>
      <c r="E1203" s="476" t="s">
        <v>34</v>
      </c>
      <c r="F1203" s="475" t="s">
        <v>34</v>
      </c>
      <c r="G1203" s="364">
        <v>100384</v>
      </c>
      <c r="H1203" s="475" t="s">
        <v>15024</v>
      </c>
      <c r="I1203" s="475" t="s">
        <v>322</v>
      </c>
      <c r="J1203" s="475" t="s">
        <v>140</v>
      </c>
      <c r="K1203" s="365">
        <v>18.84</v>
      </c>
      <c r="L1203" s="475" t="s">
        <v>141</v>
      </c>
      <c r="M1203" s="473"/>
    </row>
    <row r="1204" spans="1:13" ht="13.5">
      <c r="A1204" s="475" t="s">
        <v>5292</v>
      </c>
      <c r="B1204" s="475" t="s">
        <v>5293</v>
      </c>
      <c r="C1204" s="475" t="s">
        <v>5294</v>
      </c>
      <c r="D1204" s="475" t="s">
        <v>5295</v>
      </c>
      <c r="E1204" s="476" t="s">
        <v>34</v>
      </c>
      <c r="F1204" s="475" t="s">
        <v>34</v>
      </c>
      <c r="G1204" s="364">
        <v>100385</v>
      </c>
      <c r="H1204" s="475" t="s">
        <v>15025</v>
      </c>
      <c r="I1204" s="475" t="s">
        <v>322</v>
      </c>
      <c r="J1204" s="475" t="s">
        <v>140</v>
      </c>
      <c r="K1204" s="365">
        <v>23.78</v>
      </c>
      <c r="L1204" s="475" t="s">
        <v>141</v>
      </c>
      <c r="M1204" s="473"/>
    </row>
    <row r="1205" spans="1:13" ht="13.5">
      <c r="A1205" s="475" t="s">
        <v>5292</v>
      </c>
      <c r="B1205" s="475" t="s">
        <v>5293</v>
      </c>
      <c r="C1205" s="475" t="s">
        <v>5294</v>
      </c>
      <c r="D1205" s="475" t="s">
        <v>5295</v>
      </c>
      <c r="E1205" s="476" t="s">
        <v>34</v>
      </c>
      <c r="F1205" s="475" t="s">
        <v>34</v>
      </c>
      <c r="G1205" s="364">
        <v>100386</v>
      </c>
      <c r="H1205" s="475" t="s">
        <v>15026</v>
      </c>
      <c r="I1205" s="475" t="s">
        <v>322</v>
      </c>
      <c r="J1205" s="475" t="s">
        <v>140</v>
      </c>
      <c r="K1205" s="365">
        <v>30.77</v>
      </c>
      <c r="L1205" s="475" t="s">
        <v>141</v>
      </c>
      <c r="M1205" s="473"/>
    </row>
    <row r="1206" spans="1:13" ht="13.5">
      <c r="A1206" s="475" t="s">
        <v>5292</v>
      </c>
      <c r="B1206" s="475" t="s">
        <v>5293</v>
      </c>
      <c r="C1206" s="475" t="s">
        <v>5294</v>
      </c>
      <c r="D1206" s="475" t="s">
        <v>5295</v>
      </c>
      <c r="E1206" s="476" t="s">
        <v>34</v>
      </c>
      <c r="F1206" s="475" t="s">
        <v>34</v>
      </c>
      <c r="G1206" s="364">
        <v>100387</v>
      </c>
      <c r="H1206" s="475" t="s">
        <v>15027</v>
      </c>
      <c r="I1206" s="475" t="s">
        <v>322</v>
      </c>
      <c r="J1206" s="475" t="s">
        <v>140</v>
      </c>
      <c r="K1206" s="365">
        <v>37.869999999999997</v>
      </c>
      <c r="L1206" s="475" t="s">
        <v>141</v>
      </c>
      <c r="M1206" s="473"/>
    </row>
    <row r="1207" spans="1:13" ht="13.5">
      <c r="A1207" s="475" t="s">
        <v>5292</v>
      </c>
      <c r="B1207" s="475" t="s">
        <v>5293</v>
      </c>
      <c r="C1207" s="475" t="s">
        <v>5294</v>
      </c>
      <c r="D1207" s="475" t="s">
        <v>5295</v>
      </c>
      <c r="E1207" s="476" t="s">
        <v>34</v>
      </c>
      <c r="F1207" s="475" t="s">
        <v>34</v>
      </c>
      <c r="G1207" s="364">
        <v>100388</v>
      </c>
      <c r="H1207" s="475" t="s">
        <v>15028</v>
      </c>
      <c r="I1207" s="475" t="s">
        <v>322</v>
      </c>
      <c r="J1207" s="475" t="s">
        <v>140</v>
      </c>
      <c r="K1207" s="365">
        <v>14.91</v>
      </c>
      <c r="L1207" s="475" t="s">
        <v>141</v>
      </c>
      <c r="M1207" s="473"/>
    </row>
    <row r="1208" spans="1:13" ht="13.5">
      <c r="A1208" s="475" t="s">
        <v>5292</v>
      </c>
      <c r="B1208" s="475" t="s">
        <v>5293</v>
      </c>
      <c r="C1208" s="475" t="s">
        <v>5294</v>
      </c>
      <c r="D1208" s="475" t="s">
        <v>5295</v>
      </c>
      <c r="E1208" s="476" t="s">
        <v>34</v>
      </c>
      <c r="F1208" s="475" t="s">
        <v>34</v>
      </c>
      <c r="G1208" s="364">
        <v>100389</v>
      </c>
      <c r="H1208" s="475" t="s">
        <v>15029</v>
      </c>
      <c r="I1208" s="475" t="s">
        <v>322</v>
      </c>
      <c r="J1208" s="475" t="s">
        <v>140</v>
      </c>
      <c r="K1208" s="365">
        <v>12.33</v>
      </c>
      <c r="L1208" s="475" t="s">
        <v>141</v>
      </c>
      <c r="M1208" s="473"/>
    </row>
    <row r="1209" spans="1:13" ht="13.5">
      <c r="A1209" s="475" t="s">
        <v>5292</v>
      </c>
      <c r="B1209" s="475" t="s">
        <v>5293</v>
      </c>
      <c r="C1209" s="475" t="s">
        <v>5294</v>
      </c>
      <c r="D1209" s="475" t="s">
        <v>5295</v>
      </c>
      <c r="E1209" s="476" t="s">
        <v>34</v>
      </c>
      <c r="F1209" s="475" t="s">
        <v>34</v>
      </c>
      <c r="G1209" s="364">
        <v>100390</v>
      </c>
      <c r="H1209" s="475" t="s">
        <v>15030</v>
      </c>
      <c r="I1209" s="475" t="s">
        <v>322</v>
      </c>
      <c r="J1209" s="475" t="s">
        <v>140</v>
      </c>
      <c r="K1209" s="365">
        <v>17.62</v>
      </c>
      <c r="L1209" s="475" t="s">
        <v>141</v>
      </c>
      <c r="M1209" s="473"/>
    </row>
    <row r="1210" spans="1:13" ht="13.5">
      <c r="A1210" s="475" t="s">
        <v>5292</v>
      </c>
      <c r="B1210" s="475" t="s">
        <v>5293</v>
      </c>
      <c r="C1210" s="475" t="s">
        <v>5294</v>
      </c>
      <c r="D1210" s="475" t="s">
        <v>5295</v>
      </c>
      <c r="E1210" s="476" t="s">
        <v>34</v>
      </c>
      <c r="F1210" s="475" t="s">
        <v>34</v>
      </c>
      <c r="G1210" s="364">
        <v>100391</v>
      </c>
      <c r="H1210" s="475" t="s">
        <v>15031</v>
      </c>
      <c r="I1210" s="475" t="s">
        <v>322</v>
      </c>
      <c r="J1210" s="475" t="s">
        <v>140</v>
      </c>
      <c r="K1210" s="365">
        <v>14.18</v>
      </c>
      <c r="L1210" s="475" t="s">
        <v>141</v>
      </c>
      <c r="M1210" s="473"/>
    </row>
    <row r="1211" spans="1:13" ht="13.5">
      <c r="A1211" s="475" t="s">
        <v>5292</v>
      </c>
      <c r="B1211" s="475" t="s">
        <v>5293</v>
      </c>
      <c r="C1211" s="475" t="s">
        <v>5294</v>
      </c>
      <c r="D1211" s="475" t="s">
        <v>5295</v>
      </c>
      <c r="E1211" s="476" t="s">
        <v>34</v>
      </c>
      <c r="F1211" s="475" t="s">
        <v>34</v>
      </c>
      <c r="G1211" s="364">
        <v>100392</v>
      </c>
      <c r="H1211" s="475" t="s">
        <v>15032</v>
      </c>
      <c r="I1211" s="475" t="s">
        <v>322</v>
      </c>
      <c r="J1211" s="475" t="s">
        <v>140</v>
      </c>
      <c r="K1211" s="365">
        <v>11.72</v>
      </c>
      <c r="L1211" s="475" t="s">
        <v>141</v>
      </c>
      <c r="M1211" s="473"/>
    </row>
    <row r="1212" spans="1:13" ht="13.5">
      <c r="A1212" s="475" t="s">
        <v>5292</v>
      </c>
      <c r="B1212" s="475" t="s">
        <v>5293</v>
      </c>
      <c r="C1212" s="475" t="s">
        <v>5294</v>
      </c>
      <c r="D1212" s="475" t="s">
        <v>5295</v>
      </c>
      <c r="E1212" s="476" t="s">
        <v>34</v>
      </c>
      <c r="F1212" s="475" t="s">
        <v>34</v>
      </c>
      <c r="G1212" s="364">
        <v>100393</v>
      </c>
      <c r="H1212" s="475" t="s">
        <v>15033</v>
      </c>
      <c r="I1212" s="475" t="s">
        <v>322</v>
      </c>
      <c r="J1212" s="475" t="s">
        <v>140</v>
      </c>
      <c r="K1212" s="365">
        <v>14.23</v>
      </c>
      <c r="L1212" s="475" t="s">
        <v>141</v>
      </c>
      <c r="M1212" s="473"/>
    </row>
    <row r="1213" spans="1:13" ht="13.5">
      <c r="A1213" s="475" t="s">
        <v>5292</v>
      </c>
      <c r="B1213" s="475" t="s">
        <v>5293</v>
      </c>
      <c r="C1213" s="475" t="s">
        <v>5294</v>
      </c>
      <c r="D1213" s="475" t="s">
        <v>5295</v>
      </c>
      <c r="E1213" s="476" t="s">
        <v>34</v>
      </c>
      <c r="F1213" s="475" t="s">
        <v>34</v>
      </c>
      <c r="G1213" s="364">
        <v>100394</v>
      </c>
      <c r="H1213" s="475" t="s">
        <v>15034</v>
      </c>
      <c r="I1213" s="475" t="s">
        <v>322</v>
      </c>
      <c r="J1213" s="475" t="s">
        <v>140</v>
      </c>
      <c r="K1213" s="365">
        <v>13.84</v>
      </c>
      <c r="L1213" s="475" t="s">
        <v>141</v>
      </c>
      <c r="M1213" s="473"/>
    </row>
    <row r="1214" spans="1:13" ht="13.5">
      <c r="A1214" s="475" t="s">
        <v>5292</v>
      </c>
      <c r="B1214" s="475" t="s">
        <v>5293</v>
      </c>
      <c r="C1214" s="475" t="s">
        <v>5294</v>
      </c>
      <c r="D1214" s="475" t="s">
        <v>5295</v>
      </c>
      <c r="E1214" s="476" t="s">
        <v>34</v>
      </c>
      <c r="F1214" s="475" t="s">
        <v>34</v>
      </c>
      <c r="G1214" s="364">
        <v>100395</v>
      </c>
      <c r="H1214" s="475" t="s">
        <v>15035</v>
      </c>
      <c r="I1214" s="475" t="s">
        <v>322</v>
      </c>
      <c r="J1214" s="475" t="s">
        <v>140</v>
      </c>
      <c r="K1214" s="365">
        <v>16.940000000000001</v>
      </c>
      <c r="L1214" s="475" t="s">
        <v>141</v>
      </c>
      <c r="M1214" s="473"/>
    </row>
    <row r="1215" spans="1:13" ht="13.5">
      <c r="A1215" s="475" t="s">
        <v>5292</v>
      </c>
      <c r="B1215" s="475" t="s">
        <v>5293</v>
      </c>
      <c r="C1215" s="475" t="s">
        <v>5296</v>
      </c>
      <c r="D1215" s="475" t="s">
        <v>5297</v>
      </c>
      <c r="E1215" s="476" t="s">
        <v>34</v>
      </c>
      <c r="F1215" s="475" t="s">
        <v>34</v>
      </c>
      <c r="G1215" s="364">
        <v>94189</v>
      </c>
      <c r="H1215" s="475" t="s">
        <v>15036</v>
      </c>
      <c r="I1215" s="475" t="s">
        <v>322</v>
      </c>
      <c r="J1215" s="475" t="s">
        <v>140</v>
      </c>
      <c r="K1215" s="365">
        <v>22.22</v>
      </c>
      <c r="L1215" s="475" t="s">
        <v>141</v>
      </c>
      <c r="M1215" s="473"/>
    </row>
    <row r="1216" spans="1:13" ht="13.5">
      <c r="A1216" s="475" t="s">
        <v>5292</v>
      </c>
      <c r="B1216" s="475" t="s">
        <v>5293</v>
      </c>
      <c r="C1216" s="475" t="s">
        <v>5296</v>
      </c>
      <c r="D1216" s="475" t="s">
        <v>5297</v>
      </c>
      <c r="E1216" s="476" t="s">
        <v>34</v>
      </c>
      <c r="F1216" s="475" t="s">
        <v>34</v>
      </c>
      <c r="G1216" s="364">
        <v>94192</v>
      </c>
      <c r="H1216" s="475" t="s">
        <v>15037</v>
      </c>
      <c r="I1216" s="475" t="s">
        <v>322</v>
      </c>
      <c r="J1216" s="475" t="s">
        <v>140</v>
      </c>
      <c r="K1216" s="365">
        <v>24.1</v>
      </c>
      <c r="L1216" s="475" t="s">
        <v>141</v>
      </c>
      <c r="M1216" s="473"/>
    </row>
    <row r="1217" spans="1:13" ht="13.5">
      <c r="A1217" s="475" t="s">
        <v>5292</v>
      </c>
      <c r="B1217" s="475" t="s">
        <v>5293</v>
      </c>
      <c r="C1217" s="475" t="s">
        <v>5296</v>
      </c>
      <c r="D1217" s="475" t="s">
        <v>5297</v>
      </c>
      <c r="E1217" s="476" t="s">
        <v>34</v>
      </c>
      <c r="F1217" s="475" t="s">
        <v>34</v>
      </c>
      <c r="G1217" s="364">
        <v>94195</v>
      </c>
      <c r="H1217" s="475" t="s">
        <v>15038</v>
      </c>
      <c r="I1217" s="475" t="s">
        <v>322</v>
      </c>
      <c r="J1217" s="475" t="s">
        <v>140</v>
      </c>
      <c r="K1217" s="365">
        <v>31.03</v>
      </c>
      <c r="L1217" s="475" t="s">
        <v>141</v>
      </c>
      <c r="M1217" s="473"/>
    </row>
    <row r="1218" spans="1:13" ht="13.5">
      <c r="A1218" s="475" t="s">
        <v>5292</v>
      </c>
      <c r="B1218" s="475" t="s">
        <v>5293</v>
      </c>
      <c r="C1218" s="475" t="s">
        <v>5296</v>
      </c>
      <c r="D1218" s="475" t="s">
        <v>5297</v>
      </c>
      <c r="E1218" s="476" t="s">
        <v>34</v>
      </c>
      <c r="F1218" s="475" t="s">
        <v>34</v>
      </c>
      <c r="G1218" s="364">
        <v>94198</v>
      </c>
      <c r="H1218" s="475" t="s">
        <v>15039</v>
      </c>
      <c r="I1218" s="475" t="s">
        <v>322</v>
      </c>
      <c r="J1218" s="475" t="s">
        <v>140</v>
      </c>
      <c r="K1218" s="365">
        <v>33.5</v>
      </c>
      <c r="L1218" s="475" t="s">
        <v>141</v>
      </c>
      <c r="M1218" s="473"/>
    </row>
    <row r="1219" spans="1:13" ht="13.5">
      <c r="A1219" s="475" t="s">
        <v>5292</v>
      </c>
      <c r="B1219" s="475" t="s">
        <v>5293</v>
      </c>
      <c r="C1219" s="475" t="s">
        <v>5296</v>
      </c>
      <c r="D1219" s="475" t="s">
        <v>5297</v>
      </c>
      <c r="E1219" s="476" t="s">
        <v>34</v>
      </c>
      <c r="F1219" s="475" t="s">
        <v>34</v>
      </c>
      <c r="G1219" s="364">
        <v>94201</v>
      </c>
      <c r="H1219" s="475" t="s">
        <v>15040</v>
      </c>
      <c r="I1219" s="475" t="s">
        <v>322</v>
      </c>
      <c r="J1219" s="475" t="s">
        <v>140</v>
      </c>
      <c r="K1219" s="365">
        <v>43.9</v>
      </c>
      <c r="L1219" s="475" t="s">
        <v>141</v>
      </c>
      <c r="M1219" s="473"/>
    </row>
    <row r="1220" spans="1:13" ht="13.5">
      <c r="A1220" s="475" t="s">
        <v>5292</v>
      </c>
      <c r="B1220" s="475" t="s">
        <v>5293</v>
      </c>
      <c r="C1220" s="475" t="s">
        <v>5296</v>
      </c>
      <c r="D1220" s="475" t="s">
        <v>5297</v>
      </c>
      <c r="E1220" s="476" t="s">
        <v>34</v>
      </c>
      <c r="F1220" s="475" t="s">
        <v>34</v>
      </c>
      <c r="G1220" s="364">
        <v>94204</v>
      </c>
      <c r="H1220" s="475" t="s">
        <v>15041</v>
      </c>
      <c r="I1220" s="475" t="s">
        <v>322</v>
      </c>
      <c r="J1220" s="475" t="s">
        <v>140</v>
      </c>
      <c r="K1220" s="365">
        <v>48.13</v>
      </c>
      <c r="L1220" s="475" t="s">
        <v>141</v>
      </c>
      <c r="M1220" s="473"/>
    </row>
    <row r="1221" spans="1:13" ht="13.5">
      <c r="A1221" s="475" t="s">
        <v>5292</v>
      </c>
      <c r="B1221" s="475" t="s">
        <v>5293</v>
      </c>
      <c r="C1221" s="475" t="s">
        <v>5296</v>
      </c>
      <c r="D1221" s="475" t="s">
        <v>5297</v>
      </c>
      <c r="E1221" s="476" t="s">
        <v>34</v>
      </c>
      <c r="F1221" s="475" t="s">
        <v>34</v>
      </c>
      <c r="G1221" s="364">
        <v>94224</v>
      </c>
      <c r="H1221" s="475" t="s">
        <v>15042</v>
      </c>
      <c r="I1221" s="475" t="s">
        <v>139</v>
      </c>
      <c r="J1221" s="475" t="s">
        <v>337</v>
      </c>
      <c r="K1221" s="365">
        <v>18.670000000000002</v>
      </c>
      <c r="L1221" s="475" t="s">
        <v>141</v>
      </c>
      <c r="M1221" s="473"/>
    </row>
    <row r="1222" spans="1:13" ht="13.5">
      <c r="A1222" s="475" t="s">
        <v>5292</v>
      </c>
      <c r="B1222" s="475" t="s">
        <v>5293</v>
      </c>
      <c r="C1222" s="475" t="s">
        <v>5296</v>
      </c>
      <c r="D1222" s="475" t="s">
        <v>5297</v>
      </c>
      <c r="E1222" s="476" t="s">
        <v>34</v>
      </c>
      <c r="F1222" s="475" t="s">
        <v>34</v>
      </c>
      <c r="G1222" s="364">
        <v>94225</v>
      </c>
      <c r="H1222" s="475" t="s">
        <v>15043</v>
      </c>
      <c r="I1222" s="475" t="s">
        <v>322</v>
      </c>
      <c r="J1222" s="475" t="s">
        <v>140</v>
      </c>
      <c r="K1222" s="365">
        <v>27.27</v>
      </c>
      <c r="L1222" s="475" t="s">
        <v>141</v>
      </c>
      <c r="M1222" s="473"/>
    </row>
    <row r="1223" spans="1:13" ht="13.5">
      <c r="A1223" s="475" t="s">
        <v>5292</v>
      </c>
      <c r="B1223" s="475" t="s">
        <v>5293</v>
      </c>
      <c r="C1223" s="475" t="s">
        <v>5296</v>
      </c>
      <c r="D1223" s="475" t="s">
        <v>5297</v>
      </c>
      <c r="E1223" s="476" t="s">
        <v>34</v>
      </c>
      <c r="F1223" s="475" t="s">
        <v>34</v>
      </c>
      <c r="G1223" s="364">
        <v>94226</v>
      </c>
      <c r="H1223" s="475" t="s">
        <v>15044</v>
      </c>
      <c r="I1223" s="475" t="s">
        <v>322</v>
      </c>
      <c r="J1223" s="475" t="s">
        <v>140</v>
      </c>
      <c r="K1223" s="365">
        <v>14.52</v>
      </c>
      <c r="L1223" s="475" t="s">
        <v>141</v>
      </c>
      <c r="M1223" s="473"/>
    </row>
    <row r="1224" spans="1:13" ht="13.5">
      <c r="A1224" s="475" t="s">
        <v>5292</v>
      </c>
      <c r="B1224" s="475" t="s">
        <v>5293</v>
      </c>
      <c r="C1224" s="475" t="s">
        <v>5296</v>
      </c>
      <c r="D1224" s="475" t="s">
        <v>5297</v>
      </c>
      <c r="E1224" s="476" t="s">
        <v>34</v>
      </c>
      <c r="F1224" s="475" t="s">
        <v>34</v>
      </c>
      <c r="G1224" s="364">
        <v>94232</v>
      </c>
      <c r="H1224" s="475" t="s">
        <v>15045</v>
      </c>
      <c r="I1224" s="475" t="s">
        <v>171</v>
      </c>
      <c r="J1224" s="475" t="s">
        <v>337</v>
      </c>
      <c r="K1224" s="365">
        <v>2.16</v>
      </c>
      <c r="L1224" s="475" t="s">
        <v>141</v>
      </c>
      <c r="M1224" s="473"/>
    </row>
    <row r="1225" spans="1:13" ht="13.5">
      <c r="A1225" s="475" t="s">
        <v>5292</v>
      </c>
      <c r="B1225" s="475" t="s">
        <v>5293</v>
      </c>
      <c r="C1225" s="475" t="s">
        <v>5296</v>
      </c>
      <c r="D1225" s="475" t="s">
        <v>5297</v>
      </c>
      <c r="E1225" s="476" t="s">
        <v>34</v>
      </c>
      <c r="F1225" s="475" t="s">
        <v>34</v>
      </c>
      <c r="G1225" s="364">
        <v>94440</v>
      </c>
      <c r="H1225" s="475" t="s">
        <v>15046</v>
      </c>
      <c r="I1225" s="475" t="s">
        <v>322</v>
      </c>
      <c r="J1225" s="475" t="s">
        <v>140</v>
      </c>
      <c r="K1225" s="365">
        <v>31.03</v>
      </c>
      <c r="L1225" s="475" t="s">
        <v>141</v>
      </c>
      <c r="M1225" s="473"/>
    </row>
    <row r="1226" spans="1:13" ht="13.5">
      <c r="A1226" s="475" t="s">
        <v>5292</v>
      </c>
      <c r="B1226" s="475" t="s">
        <v>5293</v>
      </c>
      <c r="C1226" s="475" t="s">
        <v>5296</v>
      </c>
      <c r="D1226" s="475" t="s">
        <v>5297</v>
      </c>
      <c r="E1226" s="476" t="s">
        <v>34</v>
      </c>
      <c r="F1226" s="475" t="s">
        <v>34</v>
      </c>
      <c r="G1226" s="364">
        <v>94441</v>
      </c>
      <c r="H1226" s="475" t="s">
        <v>15047</v>
      </c>
      <c r="I1226" s="475" t="s">
        <v>322</v>
      </c>
      <c r="J1226" s="475" t="s">
        <v>140</v>
      </c>
      <c r="K1226" s="365">
        <v>33.5</v>
      </c>
      <c r="L1226" s="475" t="s">
        <v>141</v>
      </c>
      <c r="M1226" s="473"/>
    </row>
    <row r="1227" spans="1:13" ht="13.5">
      <c r="A1227" s="475" t="s">
        <v>5292</v>
      </c>
      <c r="B1227" s="475" t="s">
        <v>5293</v>
      </c>
      <c r="C1227" s="475" t="s">
        <v>5296</v>
      </c>
      <c r="D1227" s="475" t="s">
        <v>5297</v>
      </c>
      <c r="E1227" s="476" t="s">
        <v>34</v>
      </c>
      <c r="F1227" s="475" t="s">
        <v>34</v>
      </c>
      <c r="G1227" s="364">
        <v>94442</v>
      </c>
      <c r="H1227" s="475" t="s">
        <v>15048</v>
      </c>
      <c r="I1227" s="475" t="s">
        <v>322</v>
      </c>
      <c r="J1227" s="475" t="s">
        <v>140</v>
      </c>
      <c r="K1227" s="365">
        <v>31.03</v>
      </c>
      <c r="L1227" s="475" t="s">
        <v>141</v>
      </c>
      <c r="M1227" s="473"/>
    </row>
    <row r="1228" spans="1:13" ht="13.5">
      <c r="A1228" s="475" t="s">
        <v>5292</v>
      </c>
      <c r="B1228" s="475" t="s">
        <v>5293</v>
      </c>
      <c r="C1228" s="475" t="s">
        <v>5296</v>
      </c>
      <c r="D1228" s="475" t="s">
        <v>5297</v>
      </c>
      <c r="E1228" s="476" t="s">
        <v>34</v>
      </c>
      <c r="F1228" s="475" t="s">
        <v>34</v>
      </c>
      <c r="G1228" s="364">
        <v>94443</v>
      </c>
      <c r="H1228" s="475" t="s">
        <v>15049</v>
      </c>
      <c r="I1228" s="475" t="s">
        <v>322</v>
      </c>
      <c r="J1228" s="475" t="s">
        <v>140</v>
      </c>
      <c r="K1228" s="365">
        <v>33.5</v>
      </c>
      <c r="L1228" s="475" t="s">
        <v>141</v>
      </c>
      <c r="M1228" s="473"/>
    </row>
    <row r="1229" spans="1:13" ht="13.5">
      <c r="A1229" s="475" t="s">
        <v>5292</v>
      </c>
      <c r="B1229" s="475" t="s">
        <v>5293</v>
      </c>
      <c r="C1229" s="475" t="s">
        <v>5296</v>
      </c>
      <c r="D1229" s="475" t="s">
        <v>5297</v>
      </c>
      <c r="E1229" s="476" t="s">
        <v>34</v>
      </c>
      <c r="F1229" s="475" t="s">
        <v>34</v>
      </c>
      <c r="G1229" s="364">
        <v>94445</v>
      </c>
      <c r="H1229" s="475" t="s">
        <v>15050</v>
      </c>
      <c r="I1229" s="475" t="s">
        <v>322</v>
      </c>
      <c r="J1229" s="475" t="s">
        <v>140</v>
      </c>
      <c r="K1229" s="365">
        <v>43.9</v>
      </c>
      <c r="L1229" s="475" t="s">
        <v>141</v>
      </c>
      <c r="M1229" s="473"/>
    </row>
    <row r="1230" spans="1:13" ht="13.5">
      <c r="A1230" s="475" t="s">
        <v>5292</v>
      </c>
      <c r="B1230" s="475" t="s">
        <v>5293</v>
      </c>
      <c r="C1230" s="475" t="s">
        <v>5296</v>
      </c>
      <c r="D1230" s="475" t="s">
        <v>5297</v>
      </c>
      <c r="E1230" s="476" t="s">
        <v>34</v>
      </c>
      <c r="F1230" s="475" t="s">
        <v>34</v>
      </c>
      <c r="G1230" s="364">
        <v>94446</v>
      </c>
      <c r="H1230" s="475" t="s">
        <v>15051</v>
      </c>
      <c r="I1230" s="475" t="s">
        <v>322</v>
      </c>
      <c r="J1230" s="475" t="s">
        <v>140</v>
      </c>
      <c r="K1230" s="365">
        <v>48.13</v>
      </c>
      <c r="L1230" s="475" t="s">
        <v>141</v>
      </c>
      <c r="M1230" s="473"/>
    </row>
    <row r="1231" spans="1:13" ht="13.5">
      <c r="A1231" s="475" t="s">
        <v>5292</v>
      </c>
      <c r="B1231" s="475" t="s">
        <v>5293</v>
      </c>
      <c r="C1231" s="475" t="s">
        <v>5296</v>
      </c>
      <c r="D1231" s="475" t="s">
        <v>5297</v>
      </c>
      <c r="E1231" s="476" t="s">
        <v>34</v>
      </c>
      <c r="F1231" s="475" t="s">
        <v>34</v>
      </c>
      <c r="G1231" s="364">
        <v>94447</v>
      </c>
      <c r="H1231" s="475" t="s">
        <v>15052</v>
      </c>
      <c r="I1231" s="475" t="s">
        <v>322</v>
      </c>
      <c r="J1231" s="475" t="s">
        <v>140</v>
      </c>
      <c r="K1231" s="365">
        <v>43.9</v>
      </c>
      <c r="L1231" s="475" t="s">
        <v>141</v>
      </c>
      <c r="M1231" s="473"/>
    </row>
    <row r="1232" spans="1:13" ht="13.5">
      <c r="A1232" s="475" t="s">
        <v>5292</v>
      </c>
      <c r="B1232" s="475" t="s">
        <v>5293</v>
      </c>
      <c r="C1232" s="475" t="s">
        <v>5296</v>
      </c>
      <c r="D1232" s="475" t="s">
        <v>5297</v>
      </c>
      <c r="E1232" s="476" t="s">
        <v>34</v>
      </c>
      <c r="F1232" s="475" t="s">
        <v>34</v>
      </c>
      <c r="G1232" s="364">
        <v>94448</v>
      </c>
      <c r="H1232" s="475" t="s">
        <v>15053</v>
      </c>
      <c r="I1232" s="475" t="s">
        <v>322</v>
      </c>
      <c r="J1232" s="475" t="s">
        <v>140</v>
      </c>
      <c r="K1232" s="365">
        <v>48.13</v>
      </c>
      <c r="L1232" s="475" t="s">
        <v>141</v>
      </c>
      <c r="M1232" s="473"/>
    </row>
    <row r="1233" spans="1:13" ht="13.5">
      <c r="A1233" s="475" t="s">
        <v>5292</v>
      </c>
      <c r="B1233" s="475" t="s">
        <v>5293</v>
      </c>
      <c r="C1233" s="475" t="s">
        <v>5298</v>
      </c>
      <c r="D1233" s="475" t="s">
        <v>5299</v>
      </c>
      <c r="E1233" s="476" t="s">
        <v>34</v>
      </c>
      <c r="F1233" s="475" t="s">
        <v>34</v>
      </c>
      <c r="G1233" s="364">
        <v>94207</v>
      </c>
      <c r="H1233" s="475" t="s">
        <v>15054</v>
      </c>
      <c r="I1233" s="475" t="s">
        <v>322</v>
      </c>
      <c r="J1233" s="475" t="s">
        <v>140</v>
      </c>
      <c r="K1233" s="365">
        <v>33.5</v>
      </c>
      <c r="L1233" s="475" t="s">
        <v>141</v>
      </c>
      <c r="M1233" s="473"/>
    </row>
    <row r="1234" spans="1:13" ht="13.5">
      <c r="A1234" s="475" t="s">
        <v>5292</v>
      </c>
      <c r="B1234" s="475" t="s">
        <v>5293</v>
      </c>
      <c r="C1234" s="475" t="s">
        <v>5298</v>
      </c>
      <c r="D1234" s="475" t="s">
        <v>5299</v>
      </c>
      <c r="E1234" s="476" t="s">
        <v>34</v>
      </c>
      <c r="F1234" s="475" t="s">
        <v>34</v>
      </c>
      <c r="G1234" s="364">
        <v>94210</v>
      </c>
      <c r="H1234" s="475" t="s">
        <v>15055</v>
      </c>
      <c r="I1234" s="475" t="s">
        <v>322</v>
      </c>
      <c r="J1234" s="475" t="s">
        <v>140</v>
      </c>
      <c r="K1234" s="365">
        <v>35.64</v>
      </c>
      <c r="L1234" s="475" t="s">
        <v>141</v>
      </c>
      <c r="M1234" s="473"/>
    </row>
    <row r="1235" spans="1:13" ht="13.5">
      <c r="A1235" s="475" t="s">
        <v>5292</v>
      </c>
      <c r="B1235" s="475" t="s">
        <v>5293</v>
      </c>
      <c r="C1235" s="475" t="s">
        <v>5298</v>
      </c>
      <c r="D1235" s="475" t="s">
        <v>5299</v>
      </c>
      <c r="E1235" s="476" t="s">
        <v>34</v>
      </c>
      <c r="F1235" s="475" t="s">
        <v>34</v>
      </c>
      <c r="G1235" s="364">
        <v>94218</v>
      </c>
      <c r="H1235" s="475" t="s">
        <v>15056</v>
      </c>
      <c r="I1235" s="475" t="s">
        <v>322</v>
      </c>
      <c r="J1235" s="475" t="s">
        <v>140</v>
      </c>
      <c r="K1235" s="365">
        <v>74.099999999999994</v>
      </c>
      <c r="L1235" s="475" t="s">
        <v>141</v>
      </c>
      <c r="M1235" s="473"/>
    </row>
    <row r="1236" spans="1:13" ht="13.5">
      <c r="A1236" s="475" t="s">
        <v>5292</v>
      </c>
      <c r="B1236" s="475" t="s">
        <v>5293</v>
      </c>
      <c r="C1236" s="475" t="s">
        <v>5300</v>
      </c>
      <c r="D1236" s="475" t="s">
        <v>5301</v>
      </c>
      <c r="E1236" s="476">
        <v>73866</v>
      </c>
      <c r="F1236" s="475" t="s">
        <v>5302</v>
      </c>
      <c r="G1236" s="364" t="s">
        <v>1202</v>
      </c>
      <c r="H1236" s="475" t="s">
        <v>1203</v>
      </c>
      <c r="I1236" s="475" t="s">
        <v>322</v>
      </c>
      <c r="J1236" s="475" t="s">
        <v>140</v>
      </c>
      <c r="K1236" s="365">
        <v>399.41</v>
      </c>
      <c r="L1236" s="475" t="s">
        <v>141</v>
      </c>
      <c r="M1236" s="473"/>
    </row>
    <row r="1237" spans="1:13" ht="13.5">
      <c r="A1237" s="475" t="s">
        <v>5292</v>
      </c>
      <c r="B1237" s="475" t="s">
        <v>5293</v>
      </c>
      <c r="C1237" s="475" t="s">
        <v>5300</v>
      </c>
      <c r="D1237" s="475" t="s">
        <v>5301</v>
      </c>
      <c r="E1237" s="476">
        <v>73866</v>
      </c>
      <c r="F1237" s="475" t="s">
        <v>5302</v>
      </c>
      <c r="G1237" s="364" t="s">
        <v>1204</v>
      </c>
      <c r="H1237" s="475" t="s">
        <v>1205</v>
      </c>
      <c r="I1237" s="475" t="s">
        <v>322</v>
      </c>
      <c r="J1237" s="475" t="s">
        <v>140</v>
      </c>
      <c r="K1237" s="365">
        <v>424.9</v>
      </c>
      <c r="L1237" s="475" t="s">
        <v>141</v>
      </c>
      <c r="M1237" s="473"/>
    </row>
    <row r="1238" spans="1:13" ht="13.5">
      <c r="A1238" s="475" t="s">
        <v>5292</v>
      </c>
      <c r="B1238" s="475" t="s">
        <v>5293</v>
      </c>
      <c r="C1238" s="475" t="s">
        <v>5300</v>
      </c>
      <c r="D1238" s="475" t="s">
        <v>5301</v>
      </c>
      <c r="E1238" s="476">
        <v>73866</v>
      </c>
      <c r="F1238" s="475" t="s">
        <v>5302</v>
      </c>
      <c r="G1238" s="364" t="s">
        <v>1206</v>
      </c>
      <c r="H1238" s="475" t="s">
        <v>1207</v>
      </c>
      <c r="I1238" s="475" t="s">
        <v>322</v>
      </c>
      <c r="J1238" s="475" t="s">
        <v>140</v>
      </c>
      <c r="K1238" s="365">
        <v>445.36</v>
      </c>
      <c r="L1238" s="475" t="s">
        <v>141</v>
      </c>
      <c r="M1238" s="473"/>
    </row>
    <row r="1239" spans="1:13" ht="13.5">
      <c r="A1239" s="475" t="s">
        <v>5292</v>
      </c>
      <c r="B1239" s="475" t="s">
        <v>5293</v>
      </c>
      <c r="C1239" s="475" t="s">
        <v>5300</v>
      </c>
      <c r="D1239" s="475" t="s">
        <v>5301</v>
      </c>
      <c r="E1239" s="476">
        <v>73866</v>
      </c>
      <c r="F1239" s="475" t="s">
        <v>5302</v>
      </c>
      <c r="G1239" s="364" t="s">
        <v>1208</v>
      </c>
      <c r="H1239" s="475" t="s">
        <v>1209</v>
      </c>
      <c r="I1239" s="475" t="s">
        <v>322</v>
      </c>
      <c r="J1239" s="475" t="s">
        <v>140</v>
      </c>
      <c r="K1239" s="365">
        <v>479.03</v>
      </c>
      <c r="L1239" s="475" t="s">
        <v>141</v>
      </c>
      <c r="M1239" s="473"/>
    </row>
    <row r="1240" spans="1:13" ht="13.5">
      <c r="A1240" s="475" t="s">
        <v>5292</v>
      </c>
      <c r="B1240" s="475" t="s">
        <v>5293</v>
      </c>
      <c r="C1240" s="475" t="s">
        <v>5300</v>
      </c>
      <c r="D1240" s="475" t="s">
        <v>5301</v>
      </c>
      <c r="E1240" s="476">
        <v>73866</v>
      </c>
      <c r="F1240" s="475" t="s">
        <v>5302</v>
      </c>
      <c r="G1240" s="364" t="s">
        <v>1210</v>
      </c>
      <c r="H1240" s="475" t="s">
        <v>1211</v>
      </c>
      <c r="I1240" s="475" t="s">
        <v>322</v>
      </c>
      <c r="J1240" s="475" t="s">
        <v>140</v>
      </c>
      <c r="K1240" s="365">
        <v>576.53</v>
      </c>
      <c r="L1240" s="475" t="s">
        <v>141</v>
      </c>
      <c r="M1240" s="473"/>
    </row>
    <row r="1241" spans="1:13" ht="13.5">
      <c r="A1241" s="475" t="s">
        <v>5292</v>
      </c>
      <c r="B1241" s="475" t="s">
        <v>5293</v>
      </c>
      <c r="C1241" s="475" t="s">
        <v>5300</v>
      </c>
      <c r="D1241" s="475" t="s">
        <v>5301</v>
      </c>
      <c r="E1241" s="476">
        <v>73866</v>
      </c>
      <c r="F1241" s="475" t="s">
        <v>5302</v>
      </c>
      <c r="G1241" s="364" t="s">
        <v>1212</v>
      </c>
      <c r="H1241" s="475" t="s">
        <v>1213</v>
      </c>
      <c r="I1241" s="475" t="s">
        <v>322</v>
      </c>
      <c r="J1241" s="475" t="s">
        <v>140</v>
      </c>
      <c r="K1241" s="365">
        <v>597.97</v>
      </c>
      <c r="L1241" s="475" t="s">
        <v>141</v>
      </c>
      <c r="M1241" s="473"/>
    </row>
    <row r="1242" spans="1:13" ht="13.5">
      <c r="A1242" s="475" t="s">
        <v>5292</v>
      </c>
      <c r="B1242" s="475" t="s">
        <v>5293</v>
      </c>
      <c r="C1242" s="475" t="s">
        <v>5300</v>
      </c>
      <c r="D1242" s="475" t="s">
        <v>5301</v>
      </c>
      <c r="E1242" s="476">
        <v>73867</v>
      </c>
      <c r="F1242" s="475" t="s">
        <v>5303</v>
      </c>
      <c r="G1242" s="364" t="s">
        <v>1214</v>
      </c>
      <c r="H1242" s="475" t="s">
        <v>1215</v>
      </c>
      <c r="I1242" s="475" t="s">
        <v>322</v>
      </c>
      <c r="J1242" s="475" t="s">
        <v>140</v>
      </c>
      <c r="K1242" s="365">
        <v>188.49</v>
      </c>
      <c r="L1242" s="475" t="s">
        <v>141</v>
      </c>
      <c r="M1242" s="473"/>
    </row>
    <row r="1243" spans="1:13" ht="13.5">
      <c r="A1243" s="475" t="s">
        <v>5292</v>
      </c>
      <c r="B1243" s="475" t="s">
        <v>5293</v>
      </c>
      <c r="C1243" s="475" t="s">
        <v>5300</v>
      </c>
      <c r="D1243" s="475" t="s">
        <v>5301</v>
      </c>
      <c r="E1243" s="476">
        <v>73867</v>
      </c>
      <c r="F1243" s="475" t="s">
        <v>5303</v>
      </c>
      <c r="G1243" s="364" t="s">
        <v>1216</v>
      </c>
      <c r="H1243" s="475" t="s">
        <v>1217</v>
      </c>
      <c r="I1243" s="475" t="s">
        <v>322</v>
      </c>
      <c r="J1243" s="475" t="s">
        <v>140</v>
      </c>
      <c r="K1243" s="365">
        <v>211.26</v>
      </c>
      <c r="L1243" s="475" t="s">
        <v>141</v>
      </c>
      <c r="M1243" s="473"/>
    </row>
    <row r="1244" spans="1:13" ht="13.5">
      <c r="A1244" s="475" t="s">
        <v>5292</v>
      </c>
      <c r="B1244" s="475" t="s">
        <v>5293</v>
      </c>
      <c r="C1244" s="475" t="s">
        <v>5300</v>
      </c>
      <c r="D1244" s="475" t="s">
        <v>5301</v>
      </c>
      <c r="E1244" s="476">
        <v>73867</v>
      </c>
      <c r="F1244" s="475" t="s">
        <v>5303</v>
      </c>
      <c r="G1244" s="364" t="s">
        <v>1218</v>
      </c>
      <c r="H1244" s="475" t="s">
        <v>1219</v>
      </c>
      <c r="I1244" s="475" t="s">
        <v>322</v>
      </c>
      <c r="J1244" s="475" t="s">
        <v>140</v>
      </c>
      <c r="K1244" s="365">
        <v>261.86</v>
      </c>
      <c r="L1244" s="475" t="s">
        <v>141</v>
      </c>
      <c r="M1244" s="473"/>
    </row>
    <row r="1245" spans="1:13" ht="13.5">
      <c r="A1245" s="475" t="s">
        <v>5292</v>
      </c>
      <c r="B1245" s="475" t="s">
        <v>5293</v>
      </c>
      <c r="C1245" s="475" t="s">
        <v>5300</v>
      </c>
      <c r="D1245" s="475" t="s">
        <v>5301</v>
      </c>
      <c r="E1245" s="476">
        <v>73867</v>
      </c>
      <c r="F1245" s="475" t="s">
        <v>5303</v>
      </c>
      <c r="G1245" s="364" t="s">
        <v>1220</v>
      </c>
      <c r="H1245" s="475" t="s">
        <v>1221</v>
      </c>
      <c r="I1245" s="475" t="s">
        <v>322</v>
      </c>
      <c r="J1245" s="475" t="s">
        <v>140</v>
      </c>
      <c r="K1245" s="365">
        <v>271.98</v>
      </c>
      <c r="L1245" s="475" t="s">
        <v>141</v>
      </c>
      <c r="M1245" s="473"/>
    </row>
    <row r="1246" spans="1:13" ht="13.5">
      <c r="A1246" s="475" t="s">
        <v>5292</v>
      </c>
      <c r="B1246" s="475" t="s">
        <v>5293</v>
      </c>
      <c r="C1246" s="475" t="s">
        <v>5300</v>
      </c>
      <c r="D1246" s="475" t="s">
        <v>5301</v>
      </c>
      <c r="E1246" s="476" t="s">
        <v>34</v>
      </c>
      <c r="F1246" s="475" t="s">
        <v>34</v>
      </c>
      <c r="G1246" s="364">
        <v>94213</v>
      </c>
      <c r="H1246" s="475" t="s">
        <v>15057</v>
      </c>
      <c r="I1246" s="475" t="s">
        <v>322</v>
      </c>
      <c r="J1246" s="475" t="s">
        <v>140</v>
      </c>
      <c r="K1246" s="365">
        <v>40.69</v>
      </c>
      <c r="L1246" s="475" t="s">
        <v>141</v>
      </c>
      <c r="M1246" s="473"/>
    </row>
    <row r="1247" spans="1:13" ht="13.5">
      <c r="A1247" s="475" t="s">
        <v>5292</v>
      </c>
      <c r="B1247" s="475" t="s">
        <v>5293</v>
      </c>
      <c r="C1247" s="475" t="s">
        <v>5300</v>
      </c>
      <c r="D1247" s="475" t="s">
        <v>5301</v>
      </c>
      <c r="E1247" s="476" t="s">
        <v>34</v>
      </c>
      <c r="F1247" s="475" t="s">
        <v>34</v>
      </c>
      <c r="G1247" s="364">
        <v>94216</v>
      </c>
      <c r="H1247" s="475" t="s">
        <v>15058</v>
      </c>
      <c r="I1247" s="475" t="s">
        <v>322</v>
      </c>
      <c r="J1247" s="475" t="s">
        <v>140</v>
      </c>
      <c r="K1247" s="365">
        <v>158.15</v>
      </c>
      <c r="L1247" s="475" t="s">
        <v>141</v>
      </c>
      <c r="M1247" s="473"/>
    </row>
    <row r="1248" spans="1:13" ht="13.5">
      <c r="A1248" s="475" t="s">
        <v>5292</v>
      </c>
      <c r="B1248" s="475" t="s">
        <v>5293</v>
      </c>
      <c r="C1248" s="475" t="s">
        <v>5304</v>
      </c>
      <c r="D1248" s="475" t="s">
        <v>5305</v>
      </c>
      <c r="E1248" s="476" t="s">
        <v>34</v>
      </c>
      <c r="F1248" s="475" t="s">
        <v>34</v>
      </c>
      <c r="G1248" s="364">
        <v>94219</v>
      </c>
      <c r="H1248" s="475" t="s">
        <v>15059</v>
      </c>
      <c r="I1248" s="475" t="s">
        <v>139</v>
      </c>
      <c r="J1248" s="475" t="s">
        <v>140</v>
      </c>
      <c r="K1248" s="365">
        <v>25.57</v>
      </c>
      <c r="L1248" s="475" t="s">
        <v>141</v>
      </c>
      <c r="M1248" s="473"/>
    </row>
    <row r="1249" spans="1:13" ht="13.5">
      <c r="A1249" s="475" t="s">
        <v>5292</v>
      </c>
      <c r="B1249" s="475" t="s">
        <v>5293</v>
      </c>
      <c r="C1249" s="475" t="s">
        <v>5304</v>
      </c>
      <c r="D1249" s="475" t="s">
        <v>5305</v>
      </c>
      <c r="E1249" s="476" t="s">
        <v>34</v>
      </c>
      <c r="F1249" s="475" t="s">
        <v>34</v>
      </c>
      <c r="G1249" s="364">
        <v>94220</v>
      </c>
      <c r="H1249" s="475" t="s">
        <v>15060</v>
      </c>
      <c r="I1249" s="475" t="s">
        <v>139</v>
      </c>
      <c r="J1249" s="475" t="s">
        <v>140</v>
      </c>
      <c r="K1249" s="365">
        <v>33.85</v>
      </c>
      <c r="L1249" s="475" t="s">
        <v>141</v>
      </c>
      <c r="M1249" s="473"/>
    </row>
    <row r="1250" spans="1:13" ht="13.5">
      <c r="A1250" s="475" t="s">
        <v>5292</v>
      </c>
      <c r="B1250" s="475" t="s">
        <v>5293</v>
      </c>
      <c r="C1250" s="475" t="s">
        <v>5304</v>
      </c>
      <c r="D1250" s="475" t="s">
        <v>5305</v>
      </c>
      <c r="E1250" s="476" t="s">
        <v>34</v>
      </c>
      <c r="F1250" s="475" t="s">
        <v>34</v>
      </c>
      <c r="G1250" s="364">
        <v>94221</v>
      </c>
      <c r="H1250" s="475" t="s">
        <v>15061</v>
      </c>
      <c r="I1250" s="475" t="s">
        <v>139</v>
      </c>
      <c r="J1250" s="475" t="s">
        <v>140</v>
      </c>
      <c r="K1250" s="365">
        <v>20.68</v>
      </c>
      <c r="L1250" s="475" t="s">
        <v>141</v>
      </c>
      <c r="M1250" s="473"/>
    </row>
    <row r="1251" spans="1:13" ht="13.5">
      <c r="A1251" s="475" t="s">
        <v>5292</v>
      </c>
      <c r="B1251" s="475" t="s">
        <v>5293</v>
      </c>
      <c r="C1251" s="475" t="s">
        <v>5304</v>
      </c>
      <c r="D1251" s="475" t="s">
        <v>5305</v>
      </c>
      <c r="E1251" s="476" t="s">
        <v>34</v>
      </c>
      <c r="F1251" s="475" t="s">
        <v>34</v>
      </c>
      <c r="G1251" s="364">
        <v>94222</v>
      </c>
      <c r="H1251" s="475" t="s">
        <v>15062</v>
      </c>
      <c r="I1251" s="475" t="s">
        <v>139</v>
      </c>
      <c r="J1251" s="475" t="s">
        <v>140</v>
      </c>
      <c r="K1251" s="365">
        <v>28.96</v>
      </c>
      <c r="L1251" s="475" t="s">
        <v>141</v>
      </c>
      <c r="M1251" s="473"/>
    </row>
    <row r="1252" spans="1:13" ht="13.5">
      <c r="A1252" s="475" t="s">
        <v>5292</v>
      </c>
      <c r="B1252" s="475" t="s">
        <v>5293</v>
      </c>
      <c r="C1252" s="475" t="s">
        <v>5306</v>
      </c>
      <c r="D1252" s="475" t="s">
        <v>5307</v>
      </c>
      <c r="E1252" s="476" t="s">
        <v>34</v>
      </c>
      <c r="F1252" s="475" t="s">
        <v>34</v>
      </c>
      <c r="G1252" s="364">
        <v>94223</v>
      </c>
      <c r="H1252" s="475" t="s">
        <v>15063</v>
      </c>
      <c r="I1252" s="475" t="s">
        <v>139</v>
      </c>
      <c r="J1252" s="475" t="s">
        <v>140</v>
      </c>
      <c r="K1252" s="365">
        <v>41.86</v>
      </c>
      <c r="L1252" s="475" t="s">
        <v>141</v>
      </c>
      <c r="M1252" s="473"/>
    </row>
    <row r="1253" spans="1:13" ht="13.5">
      <c r="A1253" s="475" t="s">
        <v>5292</v>
      </c>
      <c r="B1253" s="475" t="s">
        <v>5293</v>
      </c>
      <c r="C1253" s="475" t="s">
        <v>5306</v>
      </c>
      <c r="D1253" s="475" t="s">
        <v>5307</v>
      </c>
      <c r="E1253" s="476" t="s">
        <v>34</v>
      </c>
      <c r="F1253" s="475" t="s">
        <v>34</v>
      </c>
      <c r="G1253" s="364">
        <v>94451</v>
      </c>
      <c r="H1253" s="475" t="s">
        <v>15064</v>
      </c>
      <c r="I1253" s="475" t="s">
        <v>139</v>
      </c>
      <c r="J1253" s="475" t="s">
        <v>140</v>
      </c>
      <c r="K1253" s="365">
        <v>95.87</v>
      </c>
      <c r="L1253" s="475" t="s">
        <v>141</v>
      </c>
      <c r="M1253" s="473"/>
    </row>
    <row r="1254" spans="1:13" ht="13.5">
      <c r="A1254" s="475" t="s">
        <v>5292</v>
      </c>
      <c r="B1254" s="475" t="s">
        <v>5293</v>
      </c>
      <c r="C1254" s="475" t="s">
        <v>5306</v>
      </c>
      <c r="D1254" s="475" t="s">
        <v>5307</v>
      </c>
      <c r="E1254" s="476" t="s">
        <v>34</v>
      </c>
      <c r="F1254" s="475" t="s">
        <v>34</v>
      </c>
      <c r="G1254" s="364">
        <v>100325</v>
      </c>
      <c r="H1254" s="475" t="s">
        <v>15065</v>
      </c>
      <c r="I1254" s="475" t="s">
        <v>139</v>
      </c>
      <c r="J1254" s="475" t="s">
        <v>140</v>
      </c>
      <c r="K1254" s="365">
        <v>40.200000000000003</v>
      </c>
      <c r="L1254" s="475" t="s">
        <v>141</v>
      </c>
      <c r="M1254" s="473"/>
    </row>
    <row r="1255" spans="1:13" ht="13.5">
      <c r="A1255" s="475" t="s">
        <v>5292</v>
      </c>
      <c r="B1255" s="475" t="s">
        <v>5293</v>
      </c>
      <c r="C1255" s="475" t="s">
        <v>5306</v>
      </c>
      <c r="D1255" s="475" t="s">
        <v>5307</v>
      </c>
      <c r="E1255" s="476" t="s">
        <v>34</v>
      </c>
      <c r="F1255" s="475" t="s">
        <v>34</v>
      </c>
      <c r="G1255" s="364">
        <v>100327</v>
      </c>
      <c r="H1255" s="475" t="s">
        <v>15066</v>
      </c>
      <c r="I1255" s="475" t="s">
        <v>139</v>
      </c>
      <c r="J1255" s="475" t="s">
        <v>140</v>
      </c>
      <c r="K1255" s="365">
        <v>38.549999999999997</v>
      </c>
      <c r="L1255" s="475" t="s">
        <v>141</v>
      </c>
      <c r="M1255" s="473"/>
    </row>
    <row r="1256" spans="1:13" ht="13.5">
      <c r="A1256" s="475" t="s">
        <v>5292</v>
      </c>
      <c r="B1256" s="475" t="s">
        <v>5293</v>
      </c>
      <c r="C1256" s="475" t="s">
        <v>5306</v>
      </c>
      <c r="D1256" s="475" t="s">
        <v>5307</v>
      </c>
      <c r="E1256" s="476" t="s">
        <v>34</v>
      </c>
      <c r="F1256" s="475" t="s">
        <v>34</v>
      </c>
      <c r="G1256" s="364">
        <v>100328</v>
      </c>
      <c r="H1256" s="475" t="s">
        <v>15067</v>
      </c>
      <c r="I1256" s="475" t="s">
        <v>322</v>
      </c>
      <c r="J1256" s="475" t="s">
        <v>140</v>
      </c>
      <c r="K1256" s="365">
        <v>10.97</v>
      </c>
      <c r="L1256" s="475" t="s">
        <v>141</v>
      </c>
      <c r="M1256" s="473"/>
    </row>
    <row r="1257" spans="1:13" ht="13.5">
      <c r="A1257" s="475" t="s">
        <v>5292</v>
      </c>
      <c r="B1257" s="475" t="s">
        <v>5293</v>
      </c>
      <c r="C1257" s="475" t="s">
        <v>5306</v>
      </c>
      <c r="D1257" s="475" t="s">
        <v>5307</v>
      </c>
      <c r="E1257" s="476" t="s">
        <v>34</v>
      </c>
      <c r="F1257" s="475" t="s">
        <v>34</v>
      </c>
      <c r="G1257" s="364">
        <v>100329</v>
      </c>
      <c r="H1257" s="475" t="s">
        <v>15068</v>
      </c>
      <c r="I1257" s="475" t="s">
        <v>322</v>
      </c>
      <c r="J1257" s="475" t="s">
        <v>140</v>
      </c>
      <c r="K1257" s="365">
        <v>13.46</v>
      </c>
      <c r="L1257" s="475" t="s">
        <v>141</v>
      </c>
      <c r="M1257" s="473"/>
    </row>
    <row r="1258" spans="1:13" ht="13.5">
      <c r="A1258" s="475" t="s">
        <v>5292</v>
      </c>
      <c r="B1258" s="475" t="s">
        <v>5293</v>
      </c>
      <c r="C1258" s="475" t="s">
        <v>5306</v>
      </c>
      <c r="D1258" s="475" t="s">
        <v>5307</v>
      </c>
      <c r="E1258" s="476" t="s">
        <v>34</v>
      </c>
      <c r="F1258" s="475" t="s">
        <v>34</v>
      </c>
      <c r="G1258" s="364">
        <v>100330</v>
      </c>
      <c r="H1258" s="475" t="s">
        <v>15069</v>
      </c>
      <c r="I1258" s="475" t="s">
        <v>322</v>
      </c>
      <c r="J1258" s="475" t="s">
        <v>140</v>
      </c>
      <c r="K1258" s="365">
        <v>14.88</v>
      </c>
      <c r="L1258" s="475" t="s">
        <v>141</v>
      </c>
      <c r="M1258" s="473"/>
    </row>
    <row r="1259" spans="1:13" ht="13.5">
      <c r="A1259" s="475" t="s">
        <v>5292</v>
      </c>
      <c r="B1259" s="475" t="s">
        <v>5293</v>
      </c>
      <c r="C1259" s="475" t="s">
        <v>5306</v>
      </c>
      <c r="D1259" s="475" t="s">
        <v>5307</v>
      </c>
      <c r="E1259" s="476" t="s">
        <v>34</v>
      </c>
      <c r="F1259" s="475" t="s">
        <v>34</v>
      </c>
      <c r="G1259" s="364">
        <v>100331</v>
      </c>
      <c r="H1259" s="475" t="s">
        <v>15070</v>
      </c>
      <c r="I1259" s="475" t="s">
        <v>322</v>
      </c>
      <c r="J1259" s="475" t="s">
        <v>140</v>
      </c>
      <c r="K1259" s="365">
        <v>19.12</v>
      </c>
      <c r="L1259" s="475" t="s">
        <v>141</v>
      </c>
      <c r="M1259" s="473"/>
    </row>
    <row r="1260" spans="1:13" ht="13.5">
      <c r="A1260" s="475" t="s">
        <v>5292</v>
      </c>
      <c r="B1260" s="475" t="s">
        <v>5293</v>
      </c>
      <c r="C1260" s="475" t="s">
        <v>5308</v>
      </c>
      <c r="D1260" s="475" t="s">
        <v>5309</v>
      </c>
      <c r="E1260" s="476" t="s">
        <v>34</v>
      </c>
      <c r="F1260" s="475" t="s">
        <v>34</v>
      </c>
      <c r="G1260" s="364">
        <v>94227</v>
      </c>
      <c r="H1260" s="475" t="s">
        <v>15071</v>
      </c>
      <c r="I1260" s="475" t="s">
        <v>139</v>
      </c>
      <c r="J1260" s="475" t="s">
        <v>140</v>
      </c>
      <c r="K1260" s="365">
        <v>37.44</v>
      </c>
      <c r="L1260" s="475" t="s">
        <v>141</v>
      </c>
      <c r="M1260" s="473"/>
    </row>
    <row r="1261" spans="1:13" ht="13.5">
      <c r="A1261" s="475" t="s">
        <v>5292</v>
      </c>
      <c r="B1261" s="475" t="s">
        <v>5293</v>
      </c>
      <c r="C1261" s="475" t="s">
        <v>5308</v>
      </c>
      <c r="D1261" s="475" t="s">
        <v>5309</v>
      </c>
      <c r="E1261" s="476" t="s">
        <v>34</v>
      </c>
      <c r="F1261" s="475" t="s">
        <v>34</v>
      </c>
      <c r="G1261" s="364">
        <v>94228</v>
      </c>
      <c r="H1261" s="475" t="s">
        <v>15072</v>
      </c>
      <c r="I1261" s="475" t="s">
        <v>139</v>
      </c>
      <c r="J1261" s="475" t="s">
        <v>140</v>
      </c>
      <c r="K1261" s="365">
        <v>55.91</v>
      </c>
      <c r="L1261" s="475" t="s">
        <v>141</v>
      </c>
      <c r="M1261" s="473"/>
    </row>
    <row r="1262" spans="1:13" ht="13.5">
      <c r="A1262" s="475" t="s">
        <v>5292</v>
      </c>
      <c r="B1262" s="475" t="s">
        <v>5293</v>
      </c>
      <c r="C1262" s="475" t="s">
        <v>5308</v>
      </c>
      <c r="D1262" s="475" t="s">
        <v>5309</v>
      </c>
      <c r="E1262" s="476" t="s">
        <v>34</v>
      </c>
      <c r="F1262" s="475" t="s">
        <v>34</v>
      </c>
      <c r="G1262" s="364">
        <v>94229</v>
      </c>
      <c r="H1262" s="475" t="s">
        <v>15073</v>
      </c>
      <c r="I1262" s="475" t="s">
        <v>139</v>
      </c>
      <c r="J1262" s="475" t="s">
        <v>140</v>
      </c>
      <c r="K1262" s="365">
        <v>109.22</v>
      </c>
      <c r="L1262" s="475" t="s">
        <v>141</v>
      </c>
      <c r="M1262" s="473"/>
    </row>
    <row r="1263" spans="1:13" ht="13.5">
      <c r="A1263" s="475" t="s">
        <v>5292</v>
      </c>
      <c r="B1263" s="475" t="s">
        <v>5293</v>
      </c>
      <c r="C1263" s="475" t="s">
        <v>5310</v>
      </c>
      <c r="D1263" s="475" t="s">
        <v>5311</v>
      </c>
      <c r="E1263" s="476" t="s">
        <v>34</v>
      </c>
      <c r="F1263" s="475" t="s">
        <v>34</v>
      </c>
      <c r="G1263" s="364">
        <v>94231</v>
      </c>
      <c r="H1263" s="475" t="s">
        <v>15074</v>
      </c>
      <c r="I1263" s="475" t="s">
        <v>139</v>
      </c>
      <c r="J1263" s="475" t="s">
        <v>140</v>
      </c>
      <c r="K1263" s="365">
        <v>32.880000000000003</v>
      </c>
      <c r="L1263" s="475" t="s">
        <v>141</v>
      </c>
      <c r="M1263" s="473"/>
    </row>
    <row r="1264" spans="1:13" ht="13.5">
      <c r="A1264" s="475" t="s">
        <v>5292</v>
      </c>
      <c r="B1264" s="475" t="s">
        <v>5293</v>
      </c>
      <c r="C1264" s="475" t="s">
        <v>5312</v>
      </c>
      <c r="D1264" s="475" t="s">
        <v>5313</v>
      </c>
      <c r="E1264" s="476" t="s">
        <v>34</v>
      </c>
      <c r="F1264" s="475" t="s">
        <v>34</v>
      </c>
      <c r="G1264" s="364">
        <v>94449</v>
      </c>
      <c r="H1264" s="475" t="s">
        <v>15075</v>
      </c>
      <c r="I1264" s="475" t="s">
        <v>322</v>
      </c>
      <c r="J1264" s="475" t="s">
        <v>140</v>
      </c>
      <c r="K1264" s="365">
        <v>43.18</v>
      </c>
      <c r="L1264" s="475" t="s">
        <v>141</v>
      </c>
      <c r="M1264" s="473"/>
    </row>
    <row r="1265" spans="1:13" ht="13.5">
      <c r="A1265" s="475" t="s">
        <v>5292</v>
      </c>
      <c r="B1265" s="475" t="s">
        <v>5293</v>
      </c>
      <c r="C1265" s="475" t="s">
        <v>5314</v>
      </c>
      <c r="D1265" s="475" t="s">
        <v>5315</v>
      </c>
      <c r="E1265" s="476">
        <v>73970</v>
      </c>
      <c r="F1265" s="475" t="s">
        <v>5316</v>
      </c>
      <c r="G1265" s="364" t="s">
        <v>1222</v>
      </c>
      <c r="H1265" s="475" t="s">
        <v>1223</v>
      </c>
      <c r="I1265" s="475" t="s">
        <v>315</v>
      </c>
      <c r="J1265" s="475" t="s">
        <v>140</v>
      </c>
      <c r="K1265" s="365">
        <v>10.67</v>
      </c>
      <c r="L1265" s="475" t="s">
        <v>141</v>
      </c>
      <c r="M1265" s="473"/>
    </row>
    <row r="1266" spans="1:13" ht="13.5">
      <c r="A1266" s="475" t="s">
        <v>5292</v>
      </c>
      <c r="B1266" s="475" t="s">
        <v>5293</v>
      </c>
      <c r="C1266" s="475" t="s">
        <v>5314</v>
      </c>
      <c r="D1266" s="475" t="s">
        <v>5315</v>
      </c>
      <c r="E1266" s="476">
        <v>73970</v>
      </c>
      <c r="F1266" s="475" t="s">
        <v>5316</v>
      </c>
      <c r="G1266" s="364" t="s">
        <v>1224</v>
      </c>
      <c r="H1266" s="475" t="s">
        <v>1225</v>
      </c>
      <c r="I1266" s="475" t="s">
        <v>315</v>
      </c>
      <c r="J1266" s="475" t="s">
        <v>140</v>
      </c>
      <c r="K1266" s="365">
        <v>7.99</v>
      </c>
      <c r="L1266" s="475" t="s">
        <v>141</v>
      </c>
      <c r="M1266" s="473"/>
    </row>
    <row r="1267" spans="1:13" ht="13.5">
      <c r="A1267" s="475" t="s">
        <v>5292</v>
      </c>
      <c r="B1267" s="475" t="s">
        <v>5293</v>
      </c>
      <c r="C1267" s="475" t="s">
        <v>5314</v>
      </c>
      <c r="D1267" s="475" t="s">
        <v>5315</v>
      </c>
      <c r="E1267" s="476" t="s">
        <v>34</v>
      </c>
      <c r="F1267" s="475" t="s">
        <v>34</v>
      </c>
      <c r="G1267" s="364">
        <v>92255</v>
      </c>
      <c r="H1267" s="475" t="s">
        <v>15076</v>
      </c>
      <c r="I1267" s="475" t="s">
        <v>171</v>
      </c>
      <c r="J1267" s="475" t="s">
        <v>140</v>
      </c>
      <c r="K1267" s="365">
        <v>127.07</v>
      </c>
      <c r="L1267" s="475" t="s">
        <v>141</v>
      </c>
      <c r="M1267" s="473"/>
    </row>
    <row r="1268" spans="1:13" ht="13.5">
      <c r="A1268" s="475" t="s">
        <v>5292</v>
      </c>
      <c r="B1268" s="475" t="s">
        <v>5293</v>
      </c>
      <c r="C1268" s="475" t="s">
        <v>5314</v>
      </c>
      <c r="D1268" s="475" t="s">
        <v>5315</v>
      </c>
      <c r="E1268" s="476" t="s">
        <v>34</v>
      </c>
      <c r="F1268" s="475" t="s">
        <v>34</v>
      </c>
      <c r="G1268" s="364">
        <v>92256</v>
      </c>
      <c r="H1268" s="475" t="s">
        <v>15077</v>
      </c>
      <c r="I1268" s="475" t="s">
        <v>171</v>
      </c>
      <c r="J1268" s="475" t="s">
        <v>140</v>
      </c>
      <c r="K1268" s="365">
        <v>154.07</v>
      </c>
      <c r="L1268" s="475" t="s">
        <v>141</v>
      </c>
      <c r="M1268" s="473"/>
    </row>
    <row r="1269" spans="1:13" ht="13.5">
      <c r="A1269" s="475" t="s">
        <v>5292</v>
      </c>
      <c r="B1269" s="475" t="s">
        <v>5293</v>
      </c>
      <c r="C1269" s="475" t="s">
        <v>5314</v>
      </c>
      <c r="D1269" s="475" t="s">
        <v>5315</v>
      </c>
      <c r="E1269" s="476" t="s">
        <v>34</v>
      </c>
      <c r="F1269" s="475" t="s">
        <v>34</v>
      </c>
      <c r="G1269" s="364">
        <v>92257</v>
      </c>
      <c r="H1269" s="475" t="s">
        <v>15078</v>
      </c>
      <c r="I1269" s="475" t="s">
        <v>171</v>
      </c>
      <c r="J1269" s="475" t="s">
        <v>140</v>
      </c>
      <c r="K1269" s="365">
        <v>180.83</v>
      </c>
      <c r="L1269" s="475" t="s">
        <v>141</v>
      </c>
      <c r="M1269" s="473"/>
    </row>
    <row r="1270" spans="1:13" ht="13.5">
      <c r="A1270" s="475" t="s">
        <v>5292</v>
      </c>
      <c r="B1270" s="475" t="s">
        <v>5293</v>
      </c>
      <c r="C1270" s="475" t="s">
        <v>5314</v>
      </c>
      <c r="D1270" s="475" t="s">
        <v>5315</v>
      </c>
      <c r="E1270" s="476" t="s">
        <v>34</v>
      </c>
      <c r="F1270" s="475" t="s">
        <v>34</v>
      </c>
      <c r="G1270" s="364">
        <v>92258</v>
      </c>
      <c r="H1270" s="475" t="s">
        <v>15079</v>
      </c>
      <c r="I1270" s="475" t="s">
        <v>171</v>
      </c>
      <c r="J1270" s="475" t="s">
        <v>140</v>
      </c>
      <c r="K1270" s="365">
        <v>223.86</v>
      </c>
      <c r="L1270" s="475" t="s">
        <v>141</v>
      </c>
      <c r="M1270" s="473"/>
    </row>
    <row r="1271" spans="1:13" ht="13.5">
      <c r="A1271" s="475" t="s">
        <v>5292</v>
      </c>
      <c r="B1271" s="475" t="s">
        <v>5293</v>
      </c>
      <c r="C1271" s="475" t="s">
        <v>5314</v>
      </c>
      <c r="D1271" s="475" t="s">
        <v>5315</v>
      </c>
      <c r="E1271" s="476" t="s">
        <v>34</v>
      </c>
      <c r="F1271" s="475" t="s">
        <v>34</v>
      </c>
      <c r="G1271" s="364">
        <v>92568</v>
      </c>
      <c r="H1271" s="475" t="s">
        <v>15080</v>
      </c>
      <c r="I1271" s="475" t="s">
        <v>322</v>
      </c>
      <c r="J1271" s="475" t="s">
        <v>140</v>
      </c>
      <c r="K1271" s="365">
        <v>74.709999999999994</v>
      </c>
      <c r="L1271" s="475" t="s">
        <v>141</v>
      </c>
      <c r="M1271" s="473"/>
    </row>
    <row r="1272" spans="1:13" ht="13.5">
      <c r="A1272" s="475" t="s">
        <v>5292</v>
      </c>
      <c r="B1272" s="475" t="s">
        <v>5293</v>
      </c>
      <c r="C1272" s="475" t="s">
        <v>5314</v>
      </c>
      <c r="D1272" s="475" t="s">
        <v>5315</v>
      </c>
      <c r="E1272" s="476" t="s">
        <v>34</v>
      </c>
      <c r="F1272" s="475" t="s">
        <v>34</v>
      </c>
      <c r="G1272" s="364">
        <v>92569</v>
      </c>
      <c r="H1272" s="475" t="s">
        <v>15081</v>
      </c>
      <c r="I1272" s="475" t="s">
        <v>322</v>
      </c>
      <c r="J1272" s="475" t="s">
        <v>140</v>
      </c>
      <c r="K1272" s="365">
        <v>34.159999999999997</v>
      </c>
      <c r="L1272" s="475" t="s">
        <v>141</v>
      </c>
      <c r="M1272" s="473"/>
    </row>
    <row r="1273" spans="1:13" ht="13.5">
      <c r="A1273" s="475" t="s">
        <v>5292</v>
      </c>
      <c r="B1273" s="475" t="s">
        <v>5293</v>
      </c>
      <c r="C1273" s="475" t="s">
        <v>5314</v>
      </c>
      <c r="D1273" s="475" t="s">
        <v>5315</v>
      </c>
      <c r="E1273" s="476" t="s">
        <v>34</v>
      </c>
      <c r="F1273" s="475" t="s">
        <v>34</v>
      </c>
      <c r="G1273" s="364">
        <v>92570</v>
      </c>
      <c r="H1273" s="475" t="s">
        <v>15082</v>
      </c>
      <c r="I1273" s="475" t="s">
        <v>322</v>
      </c>
      <c r="J1273" s="475" t="s">
        <v>140</v>
      </c>
      <c r="K1273" s="365">
        <v>15.59</v>
      </c>
      <c r="L1273" s="475" t="s">
        <v>141</v>
      </c>
      <c r="M1273" s="473"/>
    </row>
    <row r="1274" spans="1:13" ht="13.5">
      <c r="A1274" s="475" t="s">
        <v>5292</v>
      </c>
      <c r="B1274" s="475" t="s">
        <v>5293</v>
      </c>
      <c r="C1274" s="475" t="s">
        <v>5314</v>
      </c>
      <c r="D1274" s="475" t="s">
        <v>5315</v>
      </c>
      <c r="E1274" s="476" t="s">
        <v>34</v>
      </c>
      <c r="F1274" s="475" t="s">
        <v>34</v>
      </c>
      <c r="G1274" s="364">
        <v>92571</v>
      </c>
      <c r="H1274" s="475" t="s">
        <v>15083</v>
      </c>
      <c r="I1274" s="475" t="s">
        <v>322</v>
      </c>
      <c r="J1274" s="475" t="s">
        <v>140</v>
      </c>
      <c r="K1274" s="365">
        <v>79.97</v>
      </c>
      <c r="L1274" s="475" t="s">
        <v>141</v>
      </c>
      <c r="M1274" s="473"/>
    </row>
    <row r="1275" spans="1:13" ht="13.5">
      <c r="A1275" s="475" t="s">
        <v>5292</v>
      </c>
      <c r="B1275" s="475" t="s">
        <v>5293</v>
      </c>
      <c r="C1275" s="475" t="s">
        <v>5314</v>
      </c>
      <c r="D1275" s="475" t="s">
        <v>5315</v>
      </c>
      <c r="E1275" s="476" t="s">
        <v>34</v>
      </c>
      <c r="F1275" s="475" t="s">
        <v>34</v>
      </c>
      <c r="G1275" s="364">
        <v>92572</v>
      </c>
      <c r="H1275" s="475" t="s">
        <v>15084</v>
      </c>
      <c r="I1275" s="475" t="s">
        <v>322</v>
      </c>
      <c r="J1275" s="475" t="s">
        <v>140</v>
      </c>
      <c r="K1275" s="365">
        <v>41.31</v>
      </c>
      <c r="L1275" s="475" t="s">
        <v>141</v>
      </c>
      <c r="M1275" s="473"/>
    </row>
    <row r="1276" spans="1:13" ht="13.5">
      <c r="A1276" s="475" t="s">
        <v>5292</v>
      </c>
      <c r="B1276" s="475" t="s">
        <v>5293</v>
      </c>
      <c r="C1276" s="475" t="s">
        <v>5314</v>
      </c>
      <c r="D1276" s="475" t="s">
        <v>5315</v>
      </c>
      <c r="E1276" s="476" t="s">
        <v>34</v>
      </c>
      <c r="F1276" s="475" t="s">
        <v>34</v>
      </c>
      <c r="G1276" s="364">
        <v>92573</v>
      </c>
      <c r="H1276" s="475" t="s">
        <v>15085</v>
      </c>
      <c r="I1276" s="475" t="s">
        <v>322</v>
      </c>
      <c r="J1276" s="475" t="s">
        <v>140</v>
      </c>
      <c r="K1276" s="365">
        <v>17.760000000000002</v>
      </c>
      <c r="L1276" s="475" t="s">
        <v>141</v>
      </c>
      <c r="M1276" s="473"/>
    </row>
    <row r="1277" spans="1:13" ht="13.5">
      <c r="A1277" s="475" t="s">
        <v>5292</v>
      </c>
      <c r="B1277" s="475" t="s">
        <v>5293</v>
      </c>
      <c r="C1277" s="475" t="s">
        <v>5314</v>
      </c>
      <c r="D1277" s="475" t="s">
        <v>5315</v>
      </c>
      <c r="E1277" s="476" t="s">
        <v>34</v>
      </c>
      <c r="F1277" s="475" t="s">
        <v>34</v>
      </c>
      <c r="G1277" s="364">
        <v>92574</v>
      </c>
      <c r="H1277" s="475" t="s">
        <v>15086</v>
      </c>
      <c r="I1277" s="475" t="s">
        <v>322</v>
      </c>
      <c r="J1277" s="475" t="s">
        <v>140</v>
      </c>
      <c r="K1277" s="365">
        <v>80.05</v>
      </c>
      <c r="L1277" s="475" t="s">
        <v>141</v>
      </c>
      <c r="M1277" s="473"/>
    </row>
    <row r="1278" spans="1:13" ht="13.5">
      <c r="A1278" s="475" t="s">
        <v>5292</v>
      </c>
      <c r="B1278" s="475" t="s">
        <v>5293</v>
      </c>
      <c r="C1278" s="475" t="s">
        <v>5314</v>
      </c>
      <c r="D1278" s="475" t="s">
        <v>5315</v>
      </c>
      <c r="E1278" s="476" t="s">
        <v>34</v>
      </c>
      <c r="F1278" s="475" t="s">
        <v>34</v>
      </c>
      <c r="G1278" s="364">
        <v>92575</v>
      </c>
      <c r="H1278" s="475" t="s">
        <v>15087</v>
      </c>
      <c r="I1278" s="475" t="s">
        <v>322</v>
      </c>
      <c r="J1278" s="475" t="s">
        <v>140</v>
      </c>
      <c r="K1278" s="365">
        <v>33.54</v>
      </c>
      <c r="L1278" s="475" t="s">
        <v>141</v>
      </c>
      <c r="M1278" s="473"/>
    </row>
    <row r="1279" spans="1:13" ht="13.5">
      <c r="A1279" s="475" t="s">
        <v>5292</v>
      </c>
      <c r="B1279" s="475" t="s">
        <v>5293</v>
      </c>
      <c r="C1279" s="475" t="s">
        <v>5314</v>
      </c>
      <c r="D1279" s="475" t="s">
        <v>5315</v>
      </c>
      <c r="E1279" s="476" t="s">
        <v>34</v>
      </c>
      <c r="F1279" s="475" t="s">
        <v>34</v>
      </c>
      <c r="G1279" s="364">
        <v>92576</v>
      </c>
      <c r="H1279" s="475" t="s">
        <v>15088</v>
      </c>
      <c r="I1279" s="475" t="s">
        <v>322</v>
      </c>
      <c r="J1279" s="475" t="s">
        <v>140</v>
      </c>
      <c r="K1279" s="365">
        <v>12.46</v>
      </c>
      <c r="L1279" s="475" t="s">
        <v>141</v>
      </c>
      <c r="M1279" s="473"/>
    </row>
    <row r="1280" spans="1:13" ht="13.5">
      <c r="A1280" s="475" t="s">
        <v>5292</v>
      </c>
      <c r="B1280" s="475" t="s">
        <v>5293</v>
      </c>
      <c r="C1280" s="475" t="s">
        <v>5314</v>
      </c>
      <c r="D1280" s="475" t="s">
        <v>5315</v>
      </c>
      <c r="E1280" s="476" t="s">
        <v>34</v>
      </c>
      <c r="F1280" s="475" t="s">
        <v>34</v>
      </c>
      <c r="G1280" s="364">
        <v>92577</v>
      </c>
      <c r="H1280" s="475" t="s">
        <v>15089</v>
      </c>
      <c r="I1280" s="475" t="s">
        <v>322</v>
      </c>
      <c r="J1280" s="475" t="s">
        <v>140</v>
      </c>
      <c r="K1280" s="365">
        <v>85.67</v>
      </c>
      <c r="L1280" s="475" t="s">
        <v>141</v>
      </c>
      <c r="M1280" s="473"/>
    </row>
    <row r="1281" spans="1:13" ht="13.5">
      <c r="A1281" s="475" t="s">
        <v>5292</v>
      </c>
      <c r="B1281" s="475" t="s">
        <v>5293</v>
      </c>
      <c r="C1281" s="475" t="s">
        <v>5314</v>
      </c>
      <c r="D1281" s="475" t="s">
        <v>5315</v>
      </c>
      <c r="E1281" s="476" t="s">
        <v>34</v>
      </c>
      <c r="F1281" s="475" t="s">
        <v>34</v>
      </c>
      <c r="G1281" s="364">
        <v>92578</v>
      </c>
      <c r="H1281" s="475" t="s">
        <v>15090</v>
      </c>
      <c r="I1281" s="475" t="s">
        <v>322</v>
      </c>
      <c r="J1281" s="475" t="s">
        <v>140</v>
      </c>
      <c r="K1281" s="365">
        <v>36.630000000000003</v>
      </c>
      <c r="L1281" s="475" t="s">
        <v>141</v>
      </c>
      <c r="M1281" s="473"/>
    </row>
    <row r="1282" spans="1:13" ht="13.5">
      <c r="A1282" s="475" t="s">
        <v>5292</v>
      </c>
      <c r="B1282" s="475" t="s">
        <v>5293</v>
      </c>
      <c r="C1282" s="475" t="s">
        <v>5314</v>
      </c>
      <c r="D1282" s="475" t="s">
        <v>5315</v>
      </c>
      <c r="E1282" s="476" t="s">
        <v>34</v>
      </c>
      <c r="F1282" s="475" t="s">
        <v>34</v>
      </c>
      <c r="G1282" s="364">
        <v>92579</v>
      </c>
      <c r="H1282" s="475" t="s">
        <v>15091</v>
      </c>
      <c r="I1282" s="475" t="s">
        <v>322</v>
      </c>
      <c r="J1282" s="475" t="s">
        <v>140</v>
      </c>
      <c r="K1282" s="365">
        <v>14.19</v>
      </c>
      <c r="L1282" s="475" t="s">
        <v>141</v>
      </c>
      <c r="M1282" s="473"/>
    </row>
    <row r="1283" spans="1:13" ht="13.5">
      <c r="A1283" s="475" t="s">
        <v>5292</v>
      </c>
      <c r="B1283" s="475" t="s">
        <v>5293</v>
      </c>
      <c r="C1283" s="475" t="s">
        <v>5314</v>
      </c>
      <c r="D1283" s="475" t="s">
        <v>5315</v>
      </c>
      <c r="E1283" s="476" t="s">
        <v>34</v>
      </c>
      <c r="F1283" s="475" t="s">
        <v>34</v>
      </c>
      <c r="G1283" s="364">
        <v>92580</v>
      </c>
      <c r="H1283" s="475" t="s">
        <v>15092</v>
      </c>
      <c r="I1283" s="475" t="s">
        <v>322</v>
      </c>
      <c r="J1283" s="475" t="s">
        <v>140</v>
      </c>
      <c r="K1283" s="365">
        <v>35.01</v>
      </c>
      <c r="L1283" s="475" t="s">
        <v>141</v>
      </c>
      <c r="M1283" s="473"/>
    </row>
    <row r="1284" spans="1:13" ht="13.5">
      <c r="A1284" s="475" t="s">
        <v>5292</v>
      </c>
      <c r="B1284" s="475" t="s">
        <v>5293</v>
      </c>
      <c r="C1284" s="475" t="s">
        <v>5314</v>
      </c>
      <c r="D1284" s="475" t="s">
        <v>5315</v>
      </c>
      <c r="E1284" s="476" t="s">
        <v>34</v>
      </c>
      <c r="F1284" s="475" t="s">
        <v>34</v>
      </c>
      <c r="G1284" s="364">
        <v>92581</v>
      </c>
      <c r="H1284" s="475" t="s">
        <v>15093</v>
      </c>
      <c r="I1284" s="475" t="s">
        <v>322</v>
      </c>
      <c r="J1284" s="475" t="s">
        <v>140</v>
      </c>
      <c r="K1284" s="365">
        <v>36.590000000000003</v>
      </c>
      <c r="L1284" s="475" t="s">
        <v>141</v>
      </c>
      <c r="M1284" s="473"/>
    </row>
    <row r="1285" spans="1:13" ht="13.5">
      <c r="A1285" s="475" t="s">
        <v>5292</v>
      </c>
      <c r="B1285" s="475" t="s">
        <v>5293</v>
      </c>
      <c r="C1285" s="475" t="s">
        <v>5314</v>
      </c>
      <c r="D1285" s="475" t="s">
        <v>5315</v>
      </c>
      <c r="E1285" s="476" t="s">
        <v>34</v>
      </c>
      <c r="F1285" s="475" t="s">
        <v>34</v>
      </c>
      <c r="G1285" s="364">
        <v>92582</v>
      </c>
      <c r="H1285" s="475" t="s">
        <v>1226</v>
      </c>
      <c r="I1285" s="475" t="s">
        <v>171</v>
      </c>
      <c r="J1285" s="475" t="s">
        <v>140</v>
      </c>
      <c r="K1285" s="365">
        <v>492.31</v>
      </c>
      <c r="L1285" s="475" t="s">
        <v>141</v>
      </c>
      <c r="M1285" s="473"/>
    </row>
    <row r="1286" spans="1:13" ht="13.5">
      <c r="A1286" s="475" t="s">
        <v>5292</v>
      </c>
      <c r="B1286" s="475" t="s">
        <v>5293</v>
      </c>
      <c r="C1286" s="475" t="s">
        <v>5314</v>
      </c>
      <c r="D1286" s="475" t="s">
        <v>5315</v>
      </c>
      <c r="E1286" s="476" t="s">
        <v>34</v>
      </c>
      <c r="F1286" s="475" t="s">
        <v>34</v>
      </c>
      <c r="G1286" s="364">
        <v>92584</v>
      </c>
      <c r="H1286" s="475" t="s">
        <v>1227</v>
      </c>
      <c r="I1286" s="475" t="s">
        <v>171</v>
      </c>
      <c r="J1286" s="475" t="s">
        <v>140</v>
      </c>
      <c r="K1286" s="365">
        <v>578.04999999999995</v>
      </c>
      <c r="L1286" s="475" t="s">
        <v>141</v>
      </c>
      <c r="M1286" s="473"/>
    </row>
    <row r="1287" spans="1:13" ht="13.5">
      <c r="A1287" s="475" t="s">
        <v>5292</v>
      </c>
      <c r="B1287" s="475" t="s">
        <v>5293</v>
      </c>
      <c r="C1287" s="475" t="s">
        <v>5314</v>
      </c>
      <c r="D1287" s="475" t="s">
        <v>5315</v>
      </c>
      <c r="E1287" s="476" t="s">
        <v>34</v>
      </c>
      <c r="F1287" s="475" t="s">
        <v>34</v>
      </c>
      <c r="G1287" s="364">
        <v>92586</v>
      </c>
      <c r="H1287" s="475" t="s">
        <v>1228</v>
      </c>
      <c r="I1287" s="475" t="s">
        <v>171</v>
      </c>
      <c r="J1287" s="475" t="s">
        <v>140</v>
      </c>
      <c r="K1287" s="365">
        <v>663.79</v>
      </c>
      <c r="L1287" s="475" t="s">
        <v>141</v>
      </c>
      <c r="M1287" s="473"/>
    </row>
    <row r="1288" spans="1:13" ht="13.5">
      <c r="A1288" s="475" t="s">
        <v>5292</v>
      </c>
      <c r="B1288" s="475" t="s">
        <v>5293</v>
      </c>
      <c r="C1288" s="475" t="s">
        <v>5314</v>
      </c>
      <c r="D1288" s="475" t="s">
        <v>5315</v>
      </c>
      <c r="E1288" s="476" t="s">
        <v>34</v>
      </c>
      <c r="F1288" s="475" t="s">
        <v>34</v>
      </c>
      <c r="G1288" s="364">
        <v>92588</v>
      </c>
      <c r="H1288" s="475" t="s">
        <v>1229</v>
      </c>
      <c r="I1288" s="475" t="s">
        <v>171</v>
      </c>
      <c r="J1288" s="475" t="s">
        <v>140</v>
      </c>
      <c r="K1288" s="365">
        <v>825.33</v>
      </c>
      <c r="L1288" s="475" t="s">
        <v>141</v>
      </c>
      <c r="M1288" s="473"/>
    </row>
    <row r="1289" spans="1:13" ht="13.5">
      <c r="A1289" s="475" t="s">
        <v>5292</v>
      </c>
      <c r="B1289" s="475" t="s">
        <v>5293</v>
      </c>
      <c r="C1289" s="475" t="s">
        <v>5314</v>
      </c>
      <c r="D1289" s="475" t="s">
        <v>5315</v>
      </c>
      <c r="E1289" s="476" t="s">
        <v>34</v>
      </c>
      <c r="F1289" s="475" t="s">
        <v>34</v>
      </c>
      <c r="G1289" s="364">
        <v>92590</v>
      </c>
      <c r="H1289" s="475" t="s">
        <v>1230</v>
      </c>
      <c r="I1289" s="475" t="s">
        <v>171</v>
      </c>
      <c r="J1289" s="475" t="s">
        <v>140</v>
      </c>
      <c r="K1289" s="365">
        <v>911.07</v>
      </c>
      <c r="L1289" s="475" t="s">
        <v>141</v>
      </c>
      <c r="M1289" s="473"/>
    </row>
    <row r="1290" spans="1:13" ht="13.5">
      <c r="A1290" s="475" t="s">
        <v>5292</v>
      </c>
      <c r="B1290" s="475" t="s">
        <v>5293</v>
      </c>
      <c r="C1290" s="475" t="s">
        <v>5314</v>
      </c>
      <c r="D1290" s="475" t="s">
        <v>5315</v>
      </c>
      <c r="E1290" s="476" t="s">
        <v>34</v>
      </c>
      <c r="F1290" s="475" t="s">
        <v>34</v>
      </c>
      <c r="G1290" s="364">
        <v>92592</v>
      </c>
      <c r="H1290" s="475" t="s">
        <v>1231</v>
      </c>
      <c r="I1290" s="475" t="s">
        <v>171</v>
      </c>
      <c r="J1290" s="475" t="s">
        <v>140</v>
      </c>
      <c r="K1290" s="365">
        <v>1023.57</v>
      </c>
      <c r="L1290" s="475" t="s">
        <v>141</v>
      </c>
      <c r="M1290" s="473"/>
    </row>
    <row r="1291" spans="1:13" ht="13.5">
      <c r="A1291" s="475" t="s">
        <v>5292</v>
      </c>
      <c r="B1291" s="475" t="s">
        <v>5293</v>
      </c>
      <c r="C1291" s="475" t="s">
        <v>5314</v>
      </c>
      <c r="D1291" s="475" t="s">
        <v>5315</v>
      </c>
      <c r="E1291" s="476" t="s">
        <v>34</v>
      </c>
      <c r="F1291" s="475" t="s">
        <v>34</v>
      </c>
      <c r="G1291" s="364">
        <v>92593</v>
      </c>
      <c r="H1291" s="475" t="s">
        <v>1232</v>
      </c>
      <c r="I1291" s="475" t="s">
        <v>315</v>
      </c>
      <c r="J1291" s="475" t="s">
        <v>140</v>
      </c>
      <c r="K1291" s="365">
        <v>7.75</v>
      </c>
      <c r="L1291" s="475" t="s">
        <v>141</v>
      </c>
      <c r="M1291" s="473"/>
    </row>
    <row r="1292" spans="1:13" ht="13.5">
      <c r="A1292" s="475" t="s">
        <v>5292</v>
      </c>
      <c r="B1292" s="475" t="s">
        <v>5293</v>
      </c>
      <c r="C1292" s="475" t="s">
        <v>5314</v>
      </c>
      <c r="D1292" s="475" t="s">
        <v>5315</v>
      </c>
      <c r="E1292" s="476" t="s">
        <v>34</v>
      </c>
      <c r="F1292" s="475" t="s">
        <v>34</v>
      </c>
      <c r="G1292" s="364">
        <v>92594</v>
      </c>
      <c r="H1292" s="475" t="s">
        <v>1233</v>
      </c>
      <c r="I1292" s="475" t="s">
        <v>171</v>
      </c>
      <c r="J1292" s="475" t="s">
        <v>140</v>
      </c>
      <c r="K1292" s="365">
        <v>1174.81</v>
      </c>
      <c r="L1292" s="475" t="s">
        <v>141</v>
      </c>
      <c r="M1292" s="473"/>
    </row>
    <row r="1293" spans="1:13" ht="13.5">
      <c r="A1293" s="475" t="s">
        <v>5292</v>
      </c>
      <c r="B1293" s="475" t="s">
        <v>5293</v>
      </c>
      <c r="C1293" s="475" t="s">
        <v>5314</v>
      </c>
      <c r="D1293" s="475" t="s">
        <v>5315</v>
      </c>
      <c r="E1293" s="476" t="s">
        <v>34</v>
      </c>
      <c r="F1293" s="475" t="s">
        <v>34</v>
      </c>
      <c r="G1293" s="364">
        <v>92596</v>
      </c>
      <c r="H1293" s="475" t="s">
        <v>1234</v>
      </c>
      <c r="I1293" s="475" t="s">
        <v>171</v>
      </c>
      <c r="J1293" s="475" t="s">
        <v>140</v>
      </c>
      <c r="K1293" s="365">
        <v>1306.4100000000001</v>
      </c>
      <c r="L1293" s="475" t="s">
        <v>141</v>
      </c>
      <c r="M1293" s="473"/>
    </row>
    <row r="1294" spans="1:13" ht="13.5">
      <c r="A1294" s="475" t="s">
        <v>5292</v>
      </c>
      <c r="B1294" s="475" t="s">
        <v>5293</v>
      </c>
      <c r="C1294" s="475" t="s">
        <v>5314</v>
      </c>
      <c r="D1294" s="475" t="s">
        <v>5315</v>
      </c>
      <c r="E1294" s="476" t="s">
        <v>34</v>
      </c>
      <c r="F1294" s="475" t="s">
        <v>34</v>
      </c>
      <c r="G1294" s="364">
        <v>92598</v>
      </c>
      <c r="H1294" s="475" t="s">
        <v>1235</v>
      </c>
      <c r="I1294" s="475" t="s">
        <v>171</v>
      </c>
      <c r="J1294" s="475" t="s">
        <v>140</v>
      </c>
      <c r="K1294" s="365">
        <v>1392.15</v>
      </c>
      <c r="L1294" s="475" t="s">
        <v>141</v>
      </c>
      <c r="M1294" s="473"/>
    </row>
    <row r="1295" spans="1:13" ht="13.5">
      <c r="A1295" s="475" t="s">
        <v>5292</v>
      </c>
      <c r="B1295" s="475" t="s">
        <v>5293</v>
      </c>
      <c r="C1295" s="475" t="s">
        <v>5314</v>
      </c>
      <c r="D1295" s="475" t="s">
        <v>5315</v>
      </c>
      <c r="E1295" s="476" t="s">
        <v>34</v>
      </c>
      <c r="F1295" s="475" t="s">
        <v>34</v>
      </c>
      <c r="G1295" s="364">
        <v>92600</v>
      </c>
      <c r="H1295" s="475" t="s">
        <v>1236</v>
      </c>
      <c r="I1295" s="475" t="s">
        <v>171</v>
      </c>
      <c r="J1295" s="475" t="s">
        <v>140</v>
      </c>
      <c r="K1295" s="365">
        <v>1494.58</v>
      </c>
      <c r="L1295" s="475" t="s">
        <v>141</v>
      </c>
      <c r="M1295" s="473"/>
    </row>
    <row r="1296" spans="1:13" ht="13.5">
      <c r="A1296" s="475" t="s">
        <v>5292</v>
      </c>
      <c r="B1296" s="475" t="s">
        <v>5293</v>
      </c>
      <c r="C1296" s="475" t="s">
        <v>5314</v>
      </c>
      <c r="D1296" s="475" t="s">
        <v>5315</v>
      </c>
      <c r="E1296" s="476" t="s">
        <v>34</v>
      </c>
      <c r="F1296" s="475" t="s">
        <v>34</v>
      </c>
      <c r="G1296" s="364">
        <v>92602</v>
      </c>
      <c r="H1296" s="475" t="s">
        <v>1237</v>
      </c>
      <c r="I1296" s="475" t="s">
        <v>171</v>
      </c>
      <c r="J1296" s="475" t="s">
        <v>140</v>
      </c>
      <c r="K1296" s="365">
        <v>492.31</v>
      </c>
      <c r="L1296" s="475" t="s">
        <v>141</v>
      </c>
      <c r="M1296" s="473"/>
    </row>
    <row r="1297" spans="1:13" ht="13.5">
      <c r="A1297" s="475" t="s">
        <v>5292</v>
      </c>
      <c r="B1297" s="475" t="s">
        <v>5293</v>
      </c>
      <c r="C1297" s="475" t="s">
        <v>5314</v>
      </c>
      <c r="D1297" s="475" t="s">
        <v>5315</v>
      </c>
      <c r="E1297" s="476" t="s">
        <v>34</v>
      </c>
      <c r="F1297" s="475" t="s">
        <v>34</v>
      </c>
      <c r="G1297" s="364">
        <v>92604</v>
      </c>
      <c r="H1297" s="475" t="s">
        <v>1238</v>
      </c>
      <c r="I1297" s="475" t="s">
        <v>171</v>
      </c>
      <c r="J1297" s="475" t="s">
        <v>140</v>
      </c>
      <c r="K1297" s="365">
        <v>561.36</v>
      </c>
      <c r="L1297" s="475" t="s">
        <v>141</v>
      </c>
      <c r="M1297" s="473"/>
    </row>
    <row r="1298" spans="1:13" ht="13.5">
      <c r="A1298" s="475" t="s">
        <v>5292</v>
      </c>
      <c r="B1298" s="475" t="s">
        <v>5293</v>
      </c>
      <c r="C1298" s="475" t="s">
        <v>5314</v>
      </c>
      <c r="D1298" s="475" t="s">
        <v>5315</v>
      </c>
      <c r="E1298" s="476" t="s">
        <v>34</v>
      </c>
      <c r="F1298" s="475" t="s">
        <v>34</v>
      </c>
      <c r="G1298" s="364">
        <v>92606</v>
      </c>
      <c r="H1298" s="475" t="s">
        <v>1239</v>
      </c>
      <c r="I1298" s="475" t="s">
        <v>171</v>
      </c>
      <c r="J1298" s="475" t="s">
        <v>140</v>
      </c>
      <c r="K1298" s="365">
        <v>647.1</v>
      </c>
      <c r="L1298" s="475" t="s">
        <v>141</v>
      </c>
      <c r="M1298" s="473"/>
    </row>
    <row r="1299" spans="1:13" ht="13.5">
      <c r="A1299" s="475" t="s">
        <v>5292</v>
      </c>
      <c r="B1299" s="475" t="s">
        <v>5293</v>
      </c>
      <c r="C1299" s="475" t="s">
        <v>5314</v>
      </c>
      <c r="D1299" s="475" t="s">
        <v>5315</v>
      </c>
      <c r="E1299" s="476" t="s">
        <v>34</v>
      </c>
      <c r="F1299" s="475" t="s">
        <v>34</v>
      </c>
      <c r="G1299" s="364">
        <v>92608</v>
      </c>
      <c r="H1299" s="475" t="s">
        <v>1240</v>
      </c>
      <c r="I1299" s="475" t="s">
        <v>171</v>
      </c>
      <c r="J1299" s="475" t="s">
        <v>140</v>
      </c>
      <c r="K1299" s="365">
        <v>791.95</v>
      </c>
      <c r="L1299" s="475" t="s">
        <v>141</v>
      </c>
      <c r="M1299" s="473"/>
    </row>
    <row r="1300" spans="1:13" ht="13.5">
      <c r="A1300" s="475" t="s">
        <v>5292</v>
      </c>
      <c r="B1300" s="475" t="s">
        <v>5293</v>
      </c>
      <c r="C1300" s="475" t="s">
        <v>5314</v>
      </c>
      <c r="D1300" s="475" t="s">
        <v>5315</v>
      </c>
      <c r="E1300" s="476" t="s">
        <v>34</v>
      </c>
      <c r="F1300" s="475" t="s">
        <v>34</v>
      </c>
      <c r="G1300" s="364">
        <v>92610</v>
      </c>
      <c r="H1300" s="475" t="s">
        <v>1241</v>
      </c>
      <c r="I1300" s="475" t="s">
        <v>171</v>
      </c>
      <c r="J1300" s="475" t="s">
        <v>140</v>
      </c>
      <c r="K1300" s="365">
        <v>877.69</v>
      </c>
      <c r="L1300" s="475" t="s">
        <v>141</v>
      </c>
      <c r="M1300" s="473"/>
    </row>
    <row r="1301" spans="1:13" ht="13.5">
      <c r="A1301" s="475" t="s">
        <v>5292</v>
      </c>
      <c r="B1301" s="475" t="s">
        <v>5293</v>
      </c>
      <c r="C1301" s="475" t="s">
        <v>5314</v>
      </c>
      <c r="D1301" s="475" t="s">
        <v>5315</v>
      </c>
      <c r="E1301" s="476" t="s">
        <v>34</v>
      </c>
      <c r="F1301" s="475" t="s">
        <v>34</v>
      </c>
      <c r="G1301" s="364">
        <v>92612</v>
      </c>
      <c r="H1301" s="475" t="s">
        <v>1242</v>
      </c>
      <c r="I1301" s="475" t="s">
        <v>171</v>
      </c>
      <c r="J1301" s="475" t="s">
        <v>140</v>
      </c>
      <c r="K1301" s="365">
        <v>990.19</v>
      </c>
      <c r="L1301" s="475" t="s">
        <v>141</v>
      </c>
      <c r="M1301" s="473"/>
    </row>
    <row r="1302" spans="1:13" ht="13.5">
      <c r="A1302" s="475" t="s">
        <v>5292</v>
      </c>
      <c r="B1302" s="475" t="s">
        <v>5293</v>
      </c>
      <c r="C1302" s="475" t="s">
        <v>5314</v>
      </c>
      <c r="D1302" s="475" t="s">
        <v>5315</v>
      </c>
      <c r="E1302" s="476" t="s">
        <v>34</v>
      </c>
      <c r="F1302" s="475" t="s">
        <v>34</v>
      </c>
      <c r="G1302" s="364">
        <v>92614</v>
      </c>
      <c r="H1302" s="475" t="s">
        <v>1243</v>
      </c>
      <c r="I1302" s="475" t="s">
        <v>171</v>
      </c>
      <c r="J1302" s="475" t="s">
        <v>140</v>
      </c>
      <c r="K1302" s="365">
        <v>1108.05</v>
      </c>
      <c r="L1302" s="475" t="s">
        <v>141</v>
      </c>
      <c r="M1302" s="473"/>
    </row>
    <row r="1303" spans="1:13" ht="13.5">
      <c r="A1303" s="475" t="s">
        <v>5292</v>
      </c>
      <c r="B1303" s="475" t="s">
        <v>5293</v>
      </c>
      <c r="C1303" s="475" t="s">
        <v>5314</v>
      </c>
      <c r="D1303" s="475" t="s">
        <v>5315</v>
      </c>
      <c r="E1303" s="476" t="s">
        <v>34</v>
      </c>
      <c r="F1303" s="475" t="s">
        <v>34</v>
      </c>
      <c r="G1303" s="364">
        <v>92616</v>
      </c>
      <c r="H1303" s="475" t="s">
        <v>1244</v>
      </c>
      <c r="I1303" s="475" t="s">
        <v>171</v>
      </c>
      <c r="J1303" s="475" t="s">
        <v>140</v>
      </c>
      <c r="K1303" s="365">
        <v>1256.3399999999999</v>
      </c>
      <c r="L1303" s="475" t="s">
        <v>141</v>
      </c>
      <c r="M1303" s="473"/>
    </row>
    <row r="1304" spans="1:13" ht="13.5">
      <c r="A1304" s="475" t="s">
        <v>5292</v>
      </c>
      <c r="B1304" s="475" t="s">
        <v>5293</v>
      </c>
      <c r="C1304" s="475" t="s">
        <v>5314</v>
      </c>
      <c r="D1304" s="475" t="s">
        <v>5315</v>
      </c>
      <c r="E1304" s="476" t="s">
        <v>34</v>
      </c>
      <c r="F1304" s="475" t="s">
        <v>34</v>
      </c>
      <c r="G1304" s="364">
        <v>92618</v>
      </c>
      <c r="H1304" s="475" t="s">
        <v>1245</v>
      </c>
      <c r="I1304" s="475" t="s">
        <v>171</v>
      </c>
      <c r="J1304" s="475" t="s">
        <v>140</v>
      </c>
      <c r="K1304" s="365">
        <v>1342.08</v>
      </c>
      <c r="L1304" s="475" t="s">
        <v>141</v>
      </c>
      <c r="M1304" s="473"/>
    </row>
    <row r="1305" spans="1:13" ht="13.5">
      <c r="A1305" s="475" t="s">
        <v>5292</v>
      </c>
      <c r="B1305" s="475" t="s">
        <v>5293</v>
      </c>
      <c r="C1305" s="475" t="s">
        <v>5314</v>
      </c>
      <c r="D1305" s="475" t="s">
        <v>5315</v>
      </c>
      <c r="E1305" s="476" t="s">
        <v>34</v>
      </c>
      <c r="F1305" s="475" t="s">
        <v>34</v>
      </c>
      <c r="G1305" s="364">
        <v>92620</v>
      </c>
      <c r="H1305" s="475" t="s">
        <v>1246</v>
      </c>
      <c r="I1305" s="475" t="s">
        <v>171</v>
      </c>
      <c r="J1305" s="475" t="s">
        <v>140</v>
      </c>
      <c r="K1305" s="365">
        <v>1427.82</v>
      </c>
      <c r="L1305" s="475" t="s">
        <v>141</v>
      </c>
      <c r="M1305" s="473"/>
    </row>
    <row r="1306" spans="1:13" ht="13.5">
      <c r="A1306" s="475" t="s">
        <v>5292</v>
      </c>
      <c r="B1306" s="475" t="s">
        <v>5293</v>
      </c>
      <c r="C1306" s="475" t="s">
        <v>5314</v>
      </c>
      <c r="D1306" s="475" t="s">
        <v>5315</v>
      </c>
      <c r="E1306" s="476" t="s">
        <v>34</v>
      </c>
      <c r="F1306" s="475" t="s">
        <v>34</v>
      </c>
      <c r="G1306" s="364">
        <v>100357</v>
      </c>
      <c r="H1306" s="475" t="s">
        <v>15094</v>
      </c>
      <c r="I1306" s="475" t="s">
        <v>171</v>
      </c>
      <c r="J1306" s="475" t="s">
        <v>140</v>
      </c>
      <c r="K1306" s="365">
        <v>716.78</v>
      </c>
      <c r="L1306" s="475" t="s">
        <v>141</v>
      </c>
      <c r="M1306" s="473"/>
    </row>
    <row r="1307" spans="1:13" ht="13.5">
      <c r="A1307" s="475" t="s">
        <v>5292</v>
      </c>
      <c r="B1307" s="475" t="s">
        <v>5293</v>
      </c>
      <c r="C1307" s="475" t="s">
        <v>5314</v>
      </c>
      <c r="D1307" s="475" t="s">
        <v>5315</v>
      </c>
      <c r="E1307" s="476" t="s">
        <v>34</v>
      </c>
      <c r="F1307" s="475" t="s">
        <v>34</v>
      </c>
      <c r="G1307" s="364">
        <v>100358</v>
      </c>
      <c r="H1307" s="475" t="s">
        <v>15095</v>
      </c>
      <c r="I1307" s="475" t="s">
        <v>171</v>
      </c>
      <c r="J1307" s="475" t="s">
        <v>140</v>
      </c>
      <c r="K1307" s="365">
        <v>980.31</v>
      </c>
      <c r="L1307" s="475" t="s">
        <v>141</v>
      </c>
      <c r="M1307" s="473"/>
    </row>
    <row r="1308" spans="1:13" ht="13.5">
      <c r="A1308" s="475" t="s">
        <v>5292</v>
      </c>
      <c r="B1308" s="475" t="s">
        <v>5293</v>
      </c>
      <c r="C1308" s="475" t="s">
        <v>5314</v>
      </c>
      <c r="D1308" s="475" t="s">
        <v>5315</v>
      </c>
      <c r="E1308" s="476" t="s">
        <v>34</v>
      </c>
      <c r="F1308" s="475" t="s">
        <v>34</v>
      </c>
      <c r="G1308" s="364">
        <v>100359</v>
      </c>
      <c r="H1308" s="475" t="s">
        <v>15096</v>
      </c>
      <c r="I1308" s="475" t="s">
        <v>171</v>
      </c>
      <c r="J1308" s="475" t="s">
        <v>140</v>
      </c>
      <c r="K1308" s="365">
        <v>1029.07</v>
      </c>
      <c r="L1308" s="475" t="s">
        <v>141</v>
      </c>
      <c r="M1308" s="473"/>
    </row>
    <row r="1309" spans="1:13" ht="13.5">
      <c r="A1309" s="475" t="s">
        <v>5292</v>
      </c>
      <c r="B1309" s="475" t="s">
        <v>5293</v>
      </c>
      <c r="C1309" s="475" t="s">
        <v>5314</v>
      </c>
      <c r="D1309" s="475" t="s">
        <v>5315</v>
      </c>
      <c r="E1309" s="476" t="s">
        <v>34</v>
      </c>
      <c r="F1309" s="475" t="s">
        <v>34</v>
      </c>
      <c r="G1309" s="364">
        <v>100360</v>
      </c>
      <c r="H1309" s="475" t="s">
        <v>15097</v>
      </c>
      <c r="I1309" s="475" t="s">
        <v>171</v>
      </c>
      <c r="J1309" s="475" t="s">
        <v>140</v>
      </c>
      <c r="K1309" s="365">
        <v>1141.44</v>
      </c>
      <c r="L1309" s="475" t="s">
        <v>141</v>
      </c>
      <c r="M1309" s="473"/>
    </row>
    <row r="1310" spans="1:13" ht="13.5">
      <c r="A1310" s="475" t="s">
        <v>5292</v>
      </c>
      <c r="B1310" s="475" t="s">
        <v>5293</v>
      </c>
      <c r="C1310" s="475" t="s">
        <v>5314</v>
      </c>
      <c r="D1310" s="475" t="s">
        <v>5315</v>
      </c>
      <c r="E1310" s="476" t="s">
        <v>34</v>
      </c>
      <c r="F1310" s="475" t="s">
        <v>34</v>
      </c>
      <c r="G1310" s="364">
        <v>100361</v>
      </c>
      <c r="H1310" s="475" t="s">
        <v>15098</v>
      </c>
      <c r="I1310" s="475" t="s">
        <v>171</v>
      </c>
      <c r="J1310" s="475" t="s">
        <v>140</v>
      </c>
      <c r="K1310" s="365">
        <v>1426.07</v>
      </c>
      <c r="L1310" s="475" t="s">
        <v>141</v>
      </c>
      <c r="M1310" s="473"/>
    </row>
    <row r="1311" spans="1:13" ht="13.5">
      <c r="A1311" s="475" t="s">
        <v>5292</v>
      </c>
      <c r="B1311" s="475" t="s">
        <v>5293</v>
      </c>
      <c r="C1311" s="475" t="s">
        <v>5314</v>
      </c>
      <c r="D1311" s="475" t="s">
        <v>5315</v>
      </c>
      <c r="E1311" s="476" t="s">
        <v>34</v>
      </c>
      <c r="F1311" s="475" t="s">
        <v>34</v>
      </c>
      <c r="G1311" s="364">
        <v>100362</v>
      </c>
      <c r="H1311" s="475" t="s">
        <v>15099</v>
      </c>
      <c r="I1311" s="475" t="s">
        <v>171</v>
      </c>
      <c r="J1311" s="475" t="s">
        <v>140</v>
      </c>
      <c r="K1311" s="365">
        <v>1807.84</v>
      </c>
      <c r="L1311" s="475" t="s">
        <v>141</v>
      </c>
      <c r="M1311" s="473"/>
    </row>
    <row r="1312" spans="1:13" ht="13.5">
      <c r="A1312" s="475" t="s">
        <v>5292</v>
      </c>
      <c r="B1312" s="475" t="s">
        <v>5293</v>
      </c>
      <c r="C1312" s="475" t="s">
        <v>5314</v>
      </c>
      <c r="D1312" s="475" t="s">
        <v>5315</v>
      </c>
      <c r="E1312" s="476" t="s">
        <v>34</v>
      </c>
      <c r="F1312" s="475" t="s">
        <v>34</v>
      </c>
      <c r="G1312" s="364">
        <v>100363</v>
      </c>
      <c r="H1312" s="475" t="s">
        <v>15100</v>
      </c>
      <c r="I1312" s="475" t="s">
        <v>171</v>
      </c>
      <c r="J1312" s="475" t="s">
        <v>140</v>
      </c>
      <c r="K1312" s="365">
        <v>1879.21</v>
      </c>
      <c r="L1312" s="475" t="s">
        <v>141</v>
      </c>
      <c r="M1312" s="473"/>
    </row>
    <row r="1313" spans="1:13" ht="13.5">
      <c r="A1313" s="475" t="s">
        <v>5292</v>
      </c>
      <c r="B1313" s="475" t="s">
        <v>5293</v>
      </c>
      <c r="C1313" s="475" t="s">
        <v>5314</v>
      </c>
      <c r="D1313" s="475" t="s">
        <v>5315</v>
      </c>
      <c r="E1313" s="476" t="s">
        <v>34</v>
      </c>
      <c r="F1313" s="475" t="s">
        <v>34</v>
      </c>
      <c r="G1313" s="364">
        <v>100364</v>
      </c>
      <c r="H1313" s="475" t="s">
        <v>15101</v>
      </c>
      <c r="I1313" s="475" t="s">
        <v>171</v>
      </c>
      <c r="J1313" s="475" t="s">
        <v>140</v>
      </c>
      <c r="K1313" s="365">
        <v>2054.2199999999998</v>
      </c>
      <c r="L1313" s="475" t="s">
        <v>141</v>
      </c>
      <c r="M1313" s="473"/>
    </row>
    <row r="1314" spans="1:13" ht="13.5">
      <c r="A1314" s="475" t="s">
        <v>5292</v>
      </c>
      <c r="B1314" s="475" t="s">
        <v>5293</v>
      </c>
      <c r="C1314" s="475" t="s">
        <v>5314</v>
      </c>
      <c r="D1314" s="475" t="s">
        <v>5315</v>
      </c>
      <c r="E1314" s="476" t="s">
        <v>34</v>
      </c>
      <c r="F1314" s="475" t="s">
        <v>34</v>
      </c>
      <c r="G1314" s="364">
        <v>100365</v>
      </c>
      <c r="H1314" s="475" t="s">
        <v>15102</v>
      </c>
      <c r="I1314" s="475" t="s">
        <v>171</v>
      </c>
      <c r="J1314" s="475" t="s">
        <v>140</v>
      </c>
      <c r="K1314" s="365">
        <v>2378.98</v>
      </c>
      <c r="L1314" s="475" t="s">
        <v>141</v>
      </c>
      <c r="M1314" s="473"/>
    </row>
    <row r="1315" spans="1:13" ht="13.5">
      <c r="A1315" s="475" t="s">
        <v>5292</v>
      </c>
      <c r="B1315" s="475" t="s">
        <v>5293</v>
      </c>
      <c r="C1315" s="475" t="s">
        <v>5314</v>
      </c>
      <c r="D1315" s="475" t="s">
        <v>5315</v>
      </c>
      <c r="E1315" s="476" t="s">
        <v>34</v>
      </c>
      <c r="F1315" s="475" t="s">
        <v>34</v>
      </c>
      <c r="G1315" s="364">
        <v>100366</v>
      </c>
      <c r="H1315" s="475" t="s">
        <v>15103</v>
      </c>
      <c r="I1315" s="475" t="s">
        <v>171</v>
      </c>
      <c r="J1315" s="475" t="s">
        <v>140</v>
      </c>
      <c r="K1315" s="365">
        <v>2550.29</v>
      </c>
      <c r="L1315" s="475" t="s">
        <v>141</v>
      </c>
      <c r="M1315" s="473"/>
    </row>
    <row r="1316" spans="1:13" ht="13.5">
      <c r="A1316" s="475" t="s">
        <v>5292</v>
      </c>
      <c r="B1316" s="475" t="s">
        <v>5293</v>
      </c>
      <c r="C1316" s="475" t="s">
        <v>5314</v>
      </c>
      <c r="D1316" s="475" t="s">
        <v>5315</v>
      </c>
      <c r="E1316" s="476" t="s">
        <v>34</v>
      </c>
      <c r="F1316" s="475" t="s">
        <v>34</v>
      </c>
      <c r="G1316" s="364">
        <v>100367</v>
      </c>
      <c r="H1316" s="475" t="s">
        <v>15104</v>
      </c>
      <c r="I1316" s="475" t="s">
        <v>171</v>
      </c>
      <c r="J1316" s="475" t="s">
        <v>140</v>
      </c>
      <c r="K1316" s="365">
        <v>697.73</v>
      </c>
      <c r="L1316" s="475" t="s">
        <v>141</v>
      </c>
      <c r="M1316" s="473"/>
    </row>
    <row r="1317" spans="1:13" ht="13.5">
      <c r="A1317" s="475" t="s">
        <v>5292</v>
      </c>
      <c r="B1317" s="475" t="s">
        <v>5293</v>
      </c>
      <c r="C1317" s="475" t="s">
        <v>5314</v>
      </c>
      <c r="D1317" s="475" t="s">
        <v>5315</v>
      </c>
      <c r="E1317" s="476" t="s">
        <v>34</v>
      </c>
      <c r="F1317" s="475" t="s">
        <v>34</v>
      </c>
      <c r="G1317" s="364">
        <v>100368</v>
      </c>
      <c r="H1317" s="475" t="s">
        <v>15105</v>
      </c>
      <c r="I1317" s="475" t="s">
        <v>171</v>
      </c>
      <c r="J1317" s="475" t="s">
        <v>140</v>
      </c>
      <c r="K1317" s="365">
        <v>955.87</v>
      </c>
      <c r="L1317" s="475" t="s">
        <v>141</v>
      </c>
      <c r="M1317" s="473"/>
    </row>
    <row r="1318" spans="1:13" ht="13.5">
      <c r="A1318" s="475" t="s">
        <v>5292</v>
      </c>
      <c r="B1318" s="475" t="s">
        <v>5293</v>
      </c>
      <c r="C1318" s="475" t="s">
        <v>5314</v>
      </c>
      <c r="D1318" s="475" t="s">
        <v>5315</v>
      </c>
      <c r="E1318" s="476" t="s">
        <v>34</v>
      </c>
      <c r="F1318" s="475" t="s">
        <v>34</v>
      </c>
      <c r="G1318" s="364">
        <v>100369</v>
      </c>
      <c r="H1318" s="475" t="s">
        <v>15106</v>
      </c>
      <c r="I1318" s="475" t="s">
        <v>171</v>
      </c>
      <c r="J1318" s="475" t="s">
        <v>140</v>
      </c>
      <c r="K1318" s="365">
        <v>1004.63</v>
      </c>
      <c r="L1318" s="475" t="s">
        <v>141</v>
      </c>
      <c r="M1318" s="473"/>
    </row>
    <row r="1319" spans="1:13" ht="13.5">
      <c r="A1319" s="475" t="s">
        <v>5292</v>
      </c>
      <c r="B1319" s="475" t="s">
        <v>5293</v>
      </c>
      <c r="C1319" s="475" t="s">
        <v>5314</v>
      </c>
      <c r="D1319" s="475" t="s">
        <v>5315</v>
      </c>
      <c r="E1319" s="476" t="s">
        <v>34</v>
      </c>
      <c r="F1319" s="475" t="s">
        <v>34</v>
      </c>
      <c r="G1319" s="364">
        <v>100370</v>
      </c>
      <c r="H1319" s="475" t="s">
        <v>15107</v>
      </c>
      <c r="I1319" s="475" t="s">
        <v>171</v>
      </c>
      <c r="J1319" s="475" t="s">
        <v>140</v>
      </c>
      <c r="K1319" s="365">
        <v>1188.8599999999999</v>
      </c>
      <c r="L1319" s="475" t="s">
        <v>141</v>
      </c>
      <c r="M1319" s="473"/>
    </row>
    <row r="1320" spans="1:13" ht="13.5">
      <c r="A1320" s="475" t="s">
        <v>5292</v>
      </c>
      <c r="B1320" s="475" t="s">
        <v>5293</v>
      </c>
      <c r="C1320" s="475" t="s">
        <v>5314</v>
      </c>
      <c r="D1320" s="475" t="s">
        <v>5315</v>
      </c>
      <c r="E1320" s="476" t="s">
        <v>34</v>
      </c>
      <c r="F1320" s="475" t="s">
        <v>34</v>
      </c>
      <c r="G1320" s="364">
        <v>100371</v>
      </c>
      <c r="H1320" s="475" t="s">
        <v>15108</v>
      </c>
      <c r="I1320" s="475" t="s">
        <v>171</v>
      </c>
      <c r="J1320" s="475" t="s">
        <v>140</v>
      </c>
      <c r="K1320" s="365">
        <v>1360.12</v>
      </c>
      <c r="L1320" s="475" t="s">
        <v>141</v>
      </c>
      <c r="M1320" s="473"/>
    </row>
    <row r="1321" spans="1:13" ht="13.5">
      <c r="A1321" s="475" t="s">
        <v>5292</v>
      </c>
      <c r="B1321" s="475" t="s">
        <v>5293</v>
      </c>
      <c r="C1321" s="475" t="s">
        <v>5314</v>
      </c>
      <c r="D1321" s="475" t="s">
        <v>5315</v>
      </c>
      <c r="E1321" s="476" t="s">
        <v>34</v>
      </c>
      <c r="F1321" s="475" t="s">
        <v>34</v>
      </c>
      <c r="G1321" s="364">
        <v>100372</v>
      </c>
      <c r="H1321" s="475" t="s">
        <v>15109</v>
      </c>
      <c r="I1321" s="475" t="s">
        <v>171</v>
      </c>
      <c r="J1321" s="475" t="s">
        <v>140</v>
      </c>
      <c r="K1321" s="365">
        <v>1702.45</v>
      </c>
      <c r="L1321" s="475" t="s">
        <v>141</v>
      </c>
      <c r="M1321" s="473"/>
    </row>
    <row r="1322" spans="1:13" ht="13.5">
      <c r="A1322" s="475" t="s">
        <v>5292</v>
      </c>
      <c r="B1322" s="475" t="s">
        <v>5293</v>
      </c>
      <c r="C1322" s="475" t="s">
        <v>5314</v>
      </c>
      <c r="D1322" s="475" t="s">
        <v>5315</v>
      </c>
      <c r="E1322" s="476" t="s">
        <v>34</v>
      </c>
      <c r="F1322" s="475" t="s">
        <v>34</v>
      </c>
      <c r="G1322" s="364">
        <v>100373</v>
      </c>
      <c r="H1322" s="475" t="s">
        <v>15110</v>
      </c>
      <c r="I1322" s="475" t="s">
        <v>171</v>
      </c>
      <c r="J1322" s="475" t="s">
        <v>140</v>
      </c>
      <c r="K1322" s="365">
        <v>1762.38</v>
      </c>
      <c r="L1322" s="475" t="s">
        <v>141</v>
      </c>
      <c r="M1322" s="473"/>
    </row>
    <row r="1323" spans="1:13" ht="13.5">
      <c r="A1323" s="475" t="s">
        <v>5292</v>
      </c>
      <c r="B1323" s="475" t="s">
        <v>5293</v>
      </c>
      <c r="C1323" s="475" t="s">
        <v>5314</v>
      </c>
      <c r="D1323" s="475" t="s">
        <v>5315</v>
      </c>
      <c r="E1323" s="476" t="s">
        <v>34</v>
      </c>
      <c r="F1323" s="475" t="s">
        <v>34</v>
      </c>
      <c r="G1323" s="364">
        <v>100374</v>
      </c>
      <c r="H1323" s="475" t="s">
        <v>15111</v>
      </c>
      <c r="I1323" s="475" t="s">
        <v>171</v>
      </c>
      <c r="J1323" s="475" t="s">
        <v>140</v>
      </c>
      <c r="K1323" s="365">
        <v>1898.01</v>
      </c>
      <c r="L1323" s="475" t="s">
        <v>141</v>
      </c>
      <c r="M1323" s="473"/>
    </row>
    <row r="1324" spans="1:13" ht="13.5">
      <c r="A1324" s="475" t="s">
        <v>5292</v>
      </c>
      <c r="B1324" s="475" t="s">
        <v>5293</v>
      </c>
      <c r="C1324" s="475" t="s">
        <v>5314</v>
      </c>
      <c r="D1324" s="475" t="s">
        <v>5315</v>
      </c>
      <c r="E1324" s="476" t="s">
        <v>34</v>
      </c>
      <c r="F1324" s="475" t="s">
        <v>34</v>
      </c>
      <c r="G1324" s="364">
        <v>100375</v>
      </c>
      <c r="H1324" s="475" t="s">
        <v>15112</v>
      </c>
      <c r="I1324" s="475" t="s">
        <v>171</v>
      </c>
      <c r="J1324" s="475" t="s">
        <v>140</v>
      </c>
      <c r="K1324" s="365">
        <v>2151.37</v>
      </c>
      <c r="L1324" s="475" t="s">
        <v>141</v>
      </c>
      <c r="M1324" s="473"/>
    </row>
    <row r="1325" spans="1:13" ht="13.5">
      <c r="A1325" s="475" t="s">
        <v>5292</v>
      </c>
      <c r="B1325" s="475" t="s">
        <v>5293</v>
      </c>
      <c r="C1325" s="475" t="s">
        <v>5314</v>
      </c>
      <c r="D1325" s="475" t="s">
        <v>5315</v>
      </c>
      <c r="E1325" s="476" t="s">
        <v>34</v>
      </c>
      <c r="F1325" s="475" t="s">
        <v>34</v>
      </c>
      <c r="G1325" s="364">
        <v>100376</v>
      </c>
      <c r="H1325" s="475" t="s">
        <v>15113</v>
      </c>
      <c r="I1325" s="475" t="s">
        <v>171</v>
      </c>
      <c r="J1325" s="475" t="s">
        <v>140</v>
      </c>
      <c r="K1325" s="365">
        <v>2085.4899999999998</v>
      </c>
      <c r="L1325" s="475" t="s">
        <v>141</v>
      </c>
      <c r="M1325" s="473"/>
    </row>
    <row r="1326" spans="1:13" ht="13.5">
      <c r="A1326" s="475" t="s">
        <v>5292</v>
      </c>
      <c r="B1326" s="475" t="s">
        <v>5293</v>
      </c>
      <c r="C1326" s="475" t="s">
        <v>5314</v>
      </c>
      <c r="D1326" s="475" t="s">
        <v>5315</v>
      </c>
      <c r="E1326" s="476" t="s">
        <v>34</v>
      </c>
      <c r="F1326" s="475" t="s">
        <v>34</v>
      </c>
      <c r="G1326" s="364">
        <v>100377</v>
      </c>
      <c r="H1326" s="475" t="s">
        <v>15114</v>
      </c>
      <c r="I1326" s="475" t="s">
        <v>315</v>
      </c>
      <c r="J1326" s="475" t="s">
        <v>140</v>
      </c>
      <c r="K1326" s="365">
        <v>8.27</v>
      </c>
      <c r="L1326" s="475" t="s">
        <v>141</v>
      </c>
      <c r="M1326" s="473"/>
    </row>
    <row r="1327" spans="1:13" ht="13.5">
      <c r="A1327" s="475" t="s">
        <v>5292</v>
      </c>
      <c r="B1327" s="475" t="s">
        <v>5293</v>
      </c>
      <c r="C1327" s="475" t="s">
        <v>5314</v>
      </c>
      <c r="D1327" s="475" t="s">
        <v>5315</v>
      </c>
      <c r="E1327" s="476" t="s">
        <v>34</v>
      </c>
      <c r="F1327" s="475" t="s">
        <v>34</v>
      </c>
      <c r="G1327" s="364">
        <v>100378</v>
      </c>
      <c r="H1327" s="475" t="s">
        <v>15115</v>
      </c>
      <c r="I1327" s="475" t="s">
        <v>315</v>
      </c>
      <c r="J1327" s="475" t="s">
        <v>140</v>
      </c>
      <c r="K1327" s="365">
        <v>7.4</v>
      </c>
      <c r="L1327" s="475" t="s">
        <v>141</v>
      </c>
      <c r="M1327" s="473"/>
    </row>
    <row r="1328" spans="1:13" ht="13.5">
      <c r="A1328" s="475" t="s">
        <v>5292</v>
      </c>
      <c r="B1328" s="475" t="s">
        <v>5293</v>
      </c>
      <c r="C1328" s="475" t="s">
        <v>5314</v>
      </c>
      <c r="D1328" s="475" t="s">
        <v>5315</v>
      </c>
      <c r="E1328" s="476" t="s">
        <v>34</v>
      </c>
      <c r="F1328" s="475" t="s">
        <v>34</v>
      </c>
      <c r="G1328" s="364">
        <v>100382</v>
      </c>
      <c r="H1328" s="475" t="s">
        <v>15116</v>
      </c>
      <c r="I1328" s="475" t="s">
        <v>322</v>
      </c>
      <c r="J1328" s="475" t="s">
        <v>140</v>
      </c>
      <c r="K1328" s="365">
        <v>16.440000000000001</v>
      </c>
      <c r="L1328" s="475" t="s">
        <v>141</v>
      </c>
      <c r="M1328" s="473"/>
    </row>
    <row r="1329" spans="1:13" ht="13.5">
      <c r="A1329" s="475" t="s">
        <v>5292</v>
      </c>
      <c r="B1329" s="475" t="s">
        <v>5293</v>
      </c>
      <c r="C1329" s="475" t="s">
        <v>5317</v>
      </c>
      <c r="D1329" s="475" t="s">
        <v>5318</v>
      </c>
      <c r="E1329" s="476" t="s">
        <v>34</v>
      </c>
      <c r="F1329" s="475" t="s">
        <v>34</v>
      </c>
      <c r="G1329" s="364">
        <v>94444</v>
      </c>
      <c r="H1329" s="475" t="s">
        <v>15117</v>
      </c>
      <c r="I1329" s="475" t="s">
        <v>322</v>
      </c>
      <c r="J1329" s="475" t="s">
        <v>140</v>
      </c>
      <c r="K1329" s="365">
        <v>483.99</v>
      </c>
      <c r="L1329" s="475" t="s">
        <v>141</v>
      </c>
      <c r="M1329" s="473"/>
    </row>
    <row r="1330" spans="1:13" ht="13.5">
      <c r="A1330" s="475" t="s">
        <v>5319</v>
      </c>
      <c r="B1330" s="475" t="s">
        <v>5320</v>
      </c>
      <c r="C1330" s="475" t="s">
        <v>5321</v>
      </c>
      <c r="D1330" s="475" t="s">
        <v>5322</v>
      </c>
      <c r="E1330" s="476">
        <v>73882</v>
      </c>
      <c r="F1330" s="475" t="s">
        <v>5323</v>
      </c>
      <c r="G1330" s="364" t="s">
        <v>1247</v>
      </c>
      <c r="H1330" s="475" t="s">
        <v>1248</v>
      </c>
      <c r="I1330" s="475" t="s">
        <v>139</v>
      </c>
      <c r="J1330" s="475" t="s">
        <v>337</v>
      </c>
      <c r="K1330" s="365">
        <v>28</v>
      </c>
      <c r="L1330" s="475" t="s">
        <v>141</v>
      </c>
      <c r="M1330" s="473"/>
    </row>
    <row r="1331" spans="1:13" ht="13.5">
      <c r="A1331" s="475" t="s">
        <v>5319</v>
      </c>
      <c r="B1331" s="475" t="s">
        <v>5320</v>
      </c>
      <c r="C1331" s="475" t="s">
        <v>5321</v>
      </c>
      <c r="D1331" s="475" t="s">
        <v>5322</v>
      </c>
      <c r="E1331" s="476">
        <v>73882</v>
      </c>
      <c r="F1331" s="475" t="s">
        <v>5323</v>
      </c>
      <c r="G1331" s="364" t="s">
        <v>1249</v>
      </c>
      <c r="H1331" s="475" t="s">
        <v>1250</v>
      </c>
      <c r="I1331" s="475" t="s">
        <v>139</v>
      </c>
      <c r="J1331" s="475" t="s">
        <v>337</v>
      </c>
      <c r="K1331" s="365">
        <v>78.48</v>
      </c>
      <c r="L1331" s="475" t="s">
        <v>141</v>
      </c>
      <c r="M1331" s="473"/>
    </row>
    <row r="1332" spans="1:13" ht="13.5">
      <c r="A1332" s="475" t="s">
        <v>5319</v>
      </c>
      <c r="B1332" s="475" t="s">
        <v>5320</v>
      </c>
      <c r="C1332" s="475" t="s">
        <v>5324</v>
      </c>
      <c r="D1332" s="475" t="s">
        <v>5325</v>
      </c>
      <c r="E1332" s="476">
        <v>73816</v>
      </c>
      <c r="F1332" s="475" t="s">
        <v>5326</v>
      </c>
      <c r="G1332" s="364" t="s">
        <v>1251</v>
      </c>
      <c r="H1332" s="475" t="s">
        <v>1252</v>
      </c>
      <c r="I1332" s="475" t="s">
        <v>139</v>
      </c>
      <c r="J1332" s="475" t="s">
        <v>140</v>
      </c>
      <c r="K1332" s="365">
        <v>29.01</v>
      </c>
      <c r="L1332" s="475" t="s">
        <v>141</v>
      </c>
      <c r="M1332" s="473"/>
    </row>
    <row r="1333" spans="1:13" ht="13.5">
      <c r="A1333" s="475" t="s">
        <v>5319</v>
      </c>
      <c r="B1333" s="475" t="s">
        <v>5320</v>
      </c>
      <c r="C1333" s="475" t="s">
        <v>5324</v>
      </c>
      <c r="D1333" s="475" t="s">
        <v>5325</v>
      </c>
      <c r="E1333" s="476">
        <v>73816</v>
      </c>
      <c r="F1333" s="475" t="s">
        <v>5326</v>
      </c>
      <c r="G1333" s="364" t="s">
        <v>1253</v>
      </c>
      <c r="H1333" s="475" t="s">
        <v>1254</v>
      </c>
      <c r="I1333" s="475" t="s">
        <v>139</v>
      </c>
      <c r="J1333" s="475" t="s">
        <v>140</v>
      </c>
      <c r="K1333" s="365">
        <v>24.74</v>
      </c>
      <c r="L1333" s="475" t="s">
        <v>141</v>
      </c>
      <c r="M1333" s="473"/>
    </row>
    <row r="1334" spans="1:13" ht="13.5">
      <c r="A1334" s="475" t="s">
        <v>5319</v>
      </c>
      <c r="B1334" s="475" t="s">
        <v>5320</v>
      </c>
      <c r="C1334" s="475" t="s">
        <v>5324</v>
      </c>
      <c r="D1334" s="475" t="s">
        <v>5325</v>
      </c>
      <c r="E1334" s="476">
        <v>73881</v>
      </c>
      <c r="F1334" s="475" t="s">
        <v>5327</v>
      </c>
      <c r="G1334" s="364" t="s">
        <v>1255</v>
      </c>
      <c r="H1334" s="475" t="s">
        <v>1256</v>
      </c>
      <c r="I1334" s="475" t="s">
        <v>322</v>
      </c>
      <c r="J1334" s="475" t="s">
        <v>337</v>
      </c>
      <c r="K1334" s="365">
        <v>5.71</v>
      </c>
      <c r="L1334" s="475" t="s">
        <v>141</v>
      </c>
      <c r="M1334" s="473"/>
    </row>
    <row r="1335" spans="1:13" ht="13.5">
      <c r="A1335" s="475" t="s">
        <v>5319</v>
      </c>
      <c r="B1335" s="475" t="s">
        <v>5320</v>
      </c>
      <c r="C1335" s="475" t="s">
        <v>5324</v>
      </c>
      <c r="D1335" s="475" t="s">
        <v>5325</v>
      </c>
      <c r="E1335" s="476">
        <v>73881</v>
      </c>
      <c r="F1335" s="475" t="s">
        <v>5327</v>
      </c>
      <c r="G1335" s="364" t="s">
        <v>1257</v>
      </c>
      <c r="H1335" s="475" t="s">
        <v>1258</v>
      </c>
      <c r="I1335" s="475" t="s">
        <v>322</v>
      </c>
      <c r="J1335" s="475" t="s">
        <v>337</v>
      </c>
      <c r="K1335" s="365">
        <v>11.18</v>
      </c>
      <c r="L1335" s="475" t="s">
        <v>141</v>
      </c>
      <c r="M1335" s="473"/>
    </row>
    <row r="1336" spans="1:13" ht="13.5">
      <c r="A1336" s="475" t="s">
        <v>5319</v>
      </c>
      <c r="B1336" s="475" t="s">
        <v>5320</v>
      </c>
      <c r="C1336" s="475" t="s">
        <v>5324</v>
      </c>
      <c r="D1336" s="475" t="s">
        <v>5325</v>
      </c>
      <c r="E1336" s="476">
        <v>73883</v>
      </c>
      <c r="F1336" s="475" t="s">
        <v>5328</v>
      </c>
      <c r="G1336" s="364" t="s">
        <v>1259</v>
      </c>
      <c r="H1336" s="475" t="s">
        <v>1260</v>
      </c>
      <c r="I1336" s="475" t="s">
        <v>1261</v>
      </c>
      <c r="J1336" s="475" t="s">
        <v>363</v>
      </c>
      <c r="K1336" s="365">
        <v>125.66</v>
      </c>
      <c r="L1336" s="475" t="s">
        <v>141</v>
      </c>
      <c r="M1336" s="473"/>
    </row>
    <row r="1337" spans="1:13" ht="13.5">
      <c r="A1337" s="475" t="s">
        <v>5319</v>
      </c>
      <c r="B1337" s="475" t="s">
        <v>5320</v>
      </c>
      <c r="C1337" s="475" t="s">
        <v>5324</v>
      </c>
      <c r="D1337" s="475" t="s">
        <v>5325</v>
      </c>
      <c r="E1337" s="476">
        <v>73883</v>
      </c>
      <c r="F1337" s="475" t="s">
        <v>5328</v>
      </c>
      <c r="G1337" s="364" t="s">
        <v>1262</v>
      </c>
      <c r="H1337" s="475" t="s">
        <v>1263</v>
      </c>
      <c r="I1337" s="475" t="s">
        <v>1261</v>
      </c>
      <c r="J1337" s="475" t="s">
        <v>363</v>
      </c>
      <c r="K1337" s="365">
        <v>122.64</v>
      </c>
      <c r="L1337" s="475" t="s">
        <v>141</v>
      </c>
      <c r="M1337" s="473"/>
    </row>
    <row r="1338" spans="1:13" ht="13.5">
      <c r="A1338" s="475" t="s">
        <v>5319</v>
      </c>
      <c r="B1338" s="475" t="s">
        <v>5320</v>
      </c>
      <c r="C1338" s="475" t="s">
        <v>5324</v>
      </c>
      <c r="D1338" s="475" t="s">
        <v>5325</v>
      </c>
      <c r="E1338" s="476">
        <v>73883</v>
      </c>
      <c r="F1338" s="475" t="s">
        <v>5328</v>
      </c>
      <c r="G1338" s="364" t="s">
        <v>1264</v>
      </c>
      <c r="H1338" s="475" t="s">
        <v>1265</v>
      </c>
      <c r="I1338" s="475" t="s">
        <v>1261</v>
      </c>
      <c r="J1338" s="475" t="s">
        <v>337</v>
      </c>
      <c r="K1338" s="365">
        <v>75.58</v>
      </c>
      <c r="L1338" s="475" t="s">
        <v>141</v>
      </c>
      <c r="M1338" s="473"/>
    </row>
    <row r="1339" spans="1:13" ht="13.5">
      <c r="A1339" s="475" t="s">
        <v>5319</v>
      </c>
      <c r="B1339" s="475" t="s">
        <v>5320</v>
      </c>
      <c r="C1339" s="475" t="s">
        <v>5324</v>
      </c>
      <c r="D1339" s="475" t="s">
        <v>5325</v>
      </c>
      <c r="E1339" s="476">
        <v>73969</v>
      </c>
      <c r="F1339" s="475" t="s">
        <v>5329</v>
      </c>
      <c r="G1339" s="364" t="s">
        <v>1266</v>
      </c>
      <c r="H1339" s="475" t="s">
        <v>1267</v>
      </c>
      <c r="I1339" s="475" t="s">
        <v>139</v>
      </c>
      <c r="J1339" s="475" t="s">
        <v>337</v>
      </c>
      <c r="K1339" s="365">
        <v>72.45</v>
      </c>
      <c r="L1339" s="475" t="s">
        <v>141</v>
      </c>
      <c r="M1339" s="473"/>
    </row>
    <row r="1340" spans="1:13" ht="13.5">
      <c r="A1340" s="475" t="s">
        <v>5319</v>
      </c>
      <c r="B1340" s="475" t="s">
        <v>5320</v>
      </c>
      <c r="C1340" s="475" t="s">
        <v>5324</v>
      </c>
      <c r="D1340" s="475" t="s">
        <v>5325</v>
      </c>
      <c r="E1340" s="476">
        <v>74017</v>
      </c>
      <c r="F1340" s="475" t="s">
        <v>5330</v>
      </c>
      <c r="G1340" s="364" t="s">
        <v>1268</v>
      </c>
      <c r="H1340" s="475" t="s">
        <v>1269</v>
      </c>
      <c r="I1340" s="475" t="s">
        <v>139</v>
      </c>
      <c r="J1340" s="475" t="s">
        <v>140</v>
      </c>
      <c r="K1340" s="365">
        <v>48.42</v>
      </c>
      <c r="L1340" s="475" t="s">
        <v>141</v>
      </c>
      <c r="M1340" s="473"/>
    </row>
    <row r="1341" spans="1:13" ht="13.5">
      <c r="A1341" s="475" t="s">
        <v>5319</v>
      </c>
      <c r="B1341" s="475" t="s">
        <v>5320</v>
      </c>
      <c r="C1341" s="475" t="s">
        <v>5324</v>
      </c>
      <c r="D1341" s="475" t="s">
        <v>5325</v>
      </c>
      <c r="E1341" s="476">
        <v>74017</v>
      </c>
      <c r="F1341" s="475" t="s">
        <v>5330</v>
      </c>
      <c r="G1341" s="364" t="s">
        <v>1270</v>
      </c>
      <c r="H1341" s="475" t="s">
        <v>1271</v>
      </c>
      <c r="I1341" s="475" t="s">
        <v>139</v>
      </c>
      <c r="J1341" s="475" t="s">
        <v>140</v>
      </c>
      <c r="K1341" s="365">
        <v>66.150000000000006</v>
      </c>
      <c r="L1341" s="475" t="s">
        <v>141</v>
      </c>
      <c r="M1341" s="473"/>
    </row>
    <row r="1342" spans="1:13" ht="13.5">
      <c r="A1342" s="475" t="s">
        <v>5319</v>
      </c>
      <c r="B1342" s="475" t="s">
        <v>5320</v>
      </c>
      <c r="C1342" s="475" t="s">
        <v>5324</v>
      </c>
      <c r="D1342" s="475" t="s">
        <v>5325</v>
      </c>
      <c r="E1342" s="476">
        <v>75029</v>
      </c>
      <c r="F1342" s="475" t="s">
        <v>5331</v>
      </c>
      <c r="G1342" s="364" t="s">
        <v>1272</v>
      </c>
      <c r="H1342" s="475" t="s">
        <v>1273</v>
      </c>
      <c r="I1342" s="475" t="s">
        <v>139</v>
      </c>
      <c r="J1342" s="475" t="s">
        <v>140</v>
      </c>
      <c r="K1342" s="365">
        <v>42.92</v>
      </c>
      <c r="L1342" s="475" t="s">
        <v>141</v>
      </c>
      <c r="M1342" s="473"/>
    </row>
    <row r="1343" spans="1:13" ht="13.5">
      <c r="A1343" s="475" t="s">
        <v>5319</v>
      </c>
      <c r="B1343" s="475" t="s">
        <v>5320</v>
      </c>
      <c r="C1343" s="475" t="s">
        <v>5324</v>
      </c>
      <c r="D1343" s="475" t="s">
        <v>5325</v>
      </c>
      <c r="E1343" s="476" t="s">
        <v>34</v>
      </c>
      <c r="F1343" s="475" t="s">
        <v>34</v>
      </c>
      <c r="G1343" s="364">
        <v>83651</v>
      </c>
      <c r="H1343" s="475" t="s">
        <v>1274</v>
      </c>
      <c r="I1343" s="475" t="s">
        <v>139</v>
      </c>
      <c r="J1343" s="475" t="s">
        <v>140</v>
      </c>
      <c r="K1343" s="365">
        <v>31.2</v>
      </c>
      <c r="L1343" s="475" t="s">
        <v>141</v>
      </c>
      <c r="M1343" s="473"/>
    </row>
    <row r="1344" spans="1:13" ht="13.5">
      <c r="A1344" s="475" t="s">
        <v>5319</v>
      </c>
      <c r="B1344" s="475" t="s">
        <v>5320</v>
      </c>
      <c r="C1344" s="475" t="s">
        <v>5324</v>
      </c>
      <c r="D1344" s="475" t="s">
        <v>5325</v>
      </c>
      <c r="E1344" s="476" t="s">
        <v>34</v>
      </c>
      <c r="F1344" s="475" t="s">
        <v>34</v>
      </c>
      <c r="G1344" s="364">
        <v>83658</v>
      </c>
      <c r="H1344" s="475" t="s">
        <v>1275</v>
      </c>
      <c r="I1344" s="475" t="s">
        <v>139</v>
      </c>
      <c r="J1344" s="475" t="s">
        <v>337</v>
      </c>
      <c r="K1344" s="365">
        <v>197.36</v>
      </c>
      <c r="L1344" s="475" t="s">
        <v>141</v>
      </c>
      <c r="M1344" s="473"/>
    </row>
    <row r="1345" spans="1:13" ht="13.5">
      <c r="A1345" s="475" t="s">
        <v>5319</v>
      </c>
      <c r="B1345" s="475" t="s">
        <v>5320</v>
      </c>
      <c r="C1345" s="475" t="s">
        <v>5324</v>
      </c>
      <c r="D1345" s="475" t="s">
        <v>5325</v>
      </c>
      <c r="E1345" s="476" t="s">
        <v>34</v>
      </c>
      <c r="F1345" s="475" t="s">
        <v>34</v>
      </c>
      <c r="G1345" s="364">
        <v>83661</v>
      </c>
      <c r="H1345" s="475" t="s">
        <v>1276</v>
      </c>
      <c r="I1345" s="475" t="s">
        <v>139</v>
      </c>
      <c r="J1345" s="475" t="s">
        <v>140</v>
      </c>
      <c r="K1345" s="365">
        <v>117.31</v>
      </c>
      <c r="L1345" s="475" t="s">
        <v>141</v>
      </c>
      <c r="M1345" s="473"/>
    </row>
    <row r="1346" spans="1:13" ht="13.5">
      <c r="A1346" s="475" t="s">
        <v>5319</v>
      </c>
      <c r="B1346" s="475" t="s">
        <v>5320</v>
      </c>
      <c r="C1346" s="475" t="s">
        <v>5324</v>
      </c>
      <c r="D1346" s="475" t="s">
        <v>5325</v>
      </c>
      <c r="E1346" s="476" t="s">
        <v>34</v>
      </c>
      <c r="F1346" s="475" t="s">
        <v>34</v>
      </c>
      <c r="G1346" s="364">
        <v>83662</v>
      </c>
      <c r="H1346" s="475" t="s">
        <v>1277</v>
      </c>
      <c r="I1346" s="475" t="s">
        <v>1261</v>
      </c>
      <c r="J1346" s="475" t="s">
        <v>140</v>
      </c>
      <c r="K1346" s="365">
        <v>110.42</v>
      </c>
      <c r="L1346" s="475" t="s">
        <v>141</v>
      </c>
      <c r="M1346" s="473"/>
    </row>
    <row r="1347" spans="1:13" ht="13.5">
      <c r="A1347" s="475" t="s">
        <v>5319</v>
      </c>
      <c r="B1347" s="475" t="s">
        <v>5320</v>
      </c>
      <c r="C1347" s="475" t="s">
        <v>5324</v>
      </c>
      <c r="D1347" s="475" t="s">
        <v>5325</v>
      </c>
      <c r="E1347" s="476" t="s">
        <v>34</v>
      </c>
      <c r="F1347" s="475" t="s">
        <v>34</v>
      </c>
      <c r="G1347" s="364">
        <v>83664</v>
      </c>
      <c r="H1347" s="475" t="s">
        <v>1278</v>
      </c>
      <c r="I1347" s="475" t="s">
        <v>139</v>
      </c>
      <c r="J1347" s="475" t="s">
        <v>337</v>
      </c>
      <c r="K1347" s="365">
        <v>70.31</v>
      </c>
      <c r="L1347" s="475" t="s">
        <v>141</v>
      </c>
      <c r="M1347" s="473"/>
    </row>
    <row r="1348" spans="1:13" ht="13.5">
      <c r="A1348" s="475" t="s">
        <v>5319</v>
      </c>
      <c r="B1348" s="475" t="s">
        <v>5320</v>
      </c>
      <c r="C1348" s="475" t="s">
        <v>5324</v>
      </c>
      <c r="D1348" s="475" t="s">
        <v>5325</v>
      </c>
      <c r="E1348" s="476" t="s">
        <v>34</v>
      </c>
      <c r="F1348" s="475" t="s">
        <v>34</v>
      </c>
      <c r="G1348" s="364">
        <v>83665</v>
      </c>
      <c r="H1348" s="475" t="s">
        <v>1279</v>
      </c>
      <c r="I1348" s="475" t="s">
        <v>322</v>
      </c>
      <c r="J1348" s="475" t="s">
        <v>337</v>
      </c>
      <c r="K1348" s="365">
        <v>7.4</v>
      </c>
      <c r="L1348" s="475" t="s">
        <v>141</v>
      </c>
      <c r="M1348" s="473"/>
    </row>
    <row r="1349" spans="1:13" ht="13.5">
      <c r="A1349" s="475" t="s">
        <v>5319</v>
      </c>
      <c r="B1349" s="475" t="s">
        <v>5320</v>
      </c>
      <c r="C1349" s="475" t="s">
        <v>5324</v>
      </c>
      <c r="D1349" s="475" t="s">
        <v>5325</v>
      </c>
      <c r="E1349" s="476" t="s">
        <v>34</v>
      </c>
      <c r="F1349" s="475" t="s">
        <v>34</v>
      </c>
      <c r="G1349" s="364">
        <v>83669</v>
      </c>
      <c r="H1349" s="475" t="s">
        <v>1280</v>
      </c>
      <c r="I1349" s="475" t="s">
        <v>322</v>
      </c>
      <c r="J1349" s="475" t="s">
        <v>337</v>
      </c>
      <c r="K1349" s="365">
        <v>8.8000000000000007</v>
      </c>
      <c r="L1349" s="475" t="s">
        <v>141</v>
      </c>
      <c r="M1349" s="473"/>
    </row>
    <row r="1350" spans="1:13" ht="13.5">
      <c r="A1350" s="475" t="s">
        <v>5319</v>
      </c>
      <c r="B1350" s="475" t="s">
        <v>5320</v>
      </c>
      <c r="C1350" s="475" t="s">
        <v>5324</v>
      </c>
      <c r="D1350" s="475" t="s">
        <v>5325</v>
      </c>
      <c r="E1350" s="476" t="s">
        <v>34</v>
      </c>
      <c r="F1350" s="475" t="s">
        <v>34</v>
      </c>
      <c r="G1350" s="364">
        <v>83670</v>
      </c>
      <c r="H1350" s="475" t="s">
        <v>1281</v>
      </c>
      <c r="I1350" s="475" t="s">
        <v>139</v>
      </c>
      <c r="J1350" s="475" t="s">
        <v>337</v>
      </c>
      <c r="K1350" s="365">
        <v>43.13</v>
      </c>
      <c r="L1350" s="475" t="s">
        <v>141</v>
      </c>
      <c r="M1350" s="473"/>
    </row>
    <row r="1351" spans="1:13" ht="13.5">
      <c r="A1351" s="475" t="s">
        <v>5319</v>
      </c>
      <c r="B1351" s="475" t="s">
        <v>5320</v>
      </c>
      <c r="C1351" s="475" t="s">
        <v>5324</v>
      </c>
      <c r="D1351" s="475" t="s">
        <v>5325</v>
      </c>
      <c r="E1351" s="476" t="s">
        <v>34</v>
      </c>
      <c r="F1351" s="475" t="s">
        <v>34</v>
      </c>
      <c r="G1351" s="364">
        <v>83671</v>
      </c>
      <c r="H1351" s="475" t="s">
        <v>1282</v>
      </c>
      <c r="I1351" s="475" t="s">
        <v>139</v>
      </c>
      <c r="J1351" s="475" t="s">
        <v>337</v>
      </c>
      <c r="K1351" s="365">
        <v>46.29</v>
      </c>
      <c r="L1351" s="475" t="s">
        <v>141</v>
      </c>
      <c r="M1351" s="473"/>
    </row>
    <row r="1352" spans="1:13" ht="13.5">
      <c r="A1352" s="475" t="s">
        <v>5319</v>
      </c>
      <c r="B1352" s="475" t="s">
        <v>5320</v>
      </c>
      <c r="C1352" s="475" t="s">
        <v>5324</v>
      </c>
      <c r="D1352" s="475" t="s">
        <v>5325</v>
      </c>
      <c r="E1352" s="476" t="s">
        <v>34</v>
      </c>
      <c r="F1352" s="475" t="s">
        <v>34</v>
      </c>
      <c r="G1352" s="364">
        <v>83679</v>
      </c>
      <c r="H1352" s="475" t="s">
        <v>1283</v>
      </c>
      <c r="I1352" s="475" t="s">
        <v>139</v>
      </c>
      <c r="J1352" s="475" t="s">
        <v>337</v>
      </c>
      <c r="K1352" s="365">
        <v>12.76</v>
      </c>
      <c r="L1352" s="475" t="s">
        <v>141</v>
      </c>
      <c r="M1352" s="473"/>
    </row>
    <row r="1353" spans="1:13" ht="13.5">
      <c r="A1353" s="475" t="s">
        <v>5319</v>
      </c>
      <c r="B1353" s="475" t="s">
        <v>5320</v>
      </c>
      <c r="C1353" s="475" t="s">
        <v>5324</v>
      </c>
      <c r="D1353" s="475" t="s">
        <v>5325</v>
      </c>
      <c r="E1353" s="476" t="s">
        <v>34</v>
      </c>
      <c r="F1353" s="475" t="s">
        <v>34</v>
      </c>
      <c r="G1353" s="364">
        <v>83680</v>
      </c>
      <c r="H1353" s="475" t="s">
        <v>1284</v>
      </c>
      <c r="I1353" s="475" t="s">
        <v>139</v>
      </c>
      <c r="J1353" s="475" t="s">
        <v>337</v>
      </c>
      <c r="K1353" s="365">
        <v>15.29</v>
      </c>
      <c r="L1353" s="475" t="s">
        <v>141</v>
      </c>
      <c r="M1353" s="473"/>
    </row>
    <row r="1354" spans="1:13" ht="13.5">
      <c r="A1354" s="475" t="s">
        <v>5319</v>
      </c>
      <c r="B1354" s="475" t="s">
        <v>5320</v>
      </c>
      <c r="C1354" s="475" t="s">
        <v>5324</v>
      </c>
      <c r="D1354" s="475" t="s">
        <v>5325</v>
      </c>
      <c r="E1354" s="476" t="s">
        <v>34</v>
      </c>
      <c r="F1354" s="475" t="s">
        <v>34</v>
      </c>
      <c r="G1354" s="364">
        <v>83681</v>
      </c>
      <c r="H1354" s="475" t="s">
        <v>1285</v>
      </c>
      <c r="I1354" s="475" t="s">
        <v>139</v>
      </c>
      <c r="J1354" s="475" t="s">
        <v>337</v>
      </c>
      <c r="K1354" s="365">
        <v>16.46</v>
      </c>
      <c r="L1354" s="475" t="s">
        <v>141</v>
      </c>
      <c r="M1354" s="473"/>
    </row>
    <row r="1355" spans="1:13" ht="13.5">
      <c r="A1355" s="475" t="s">
        <v>5319</v>
      </c>
      <c r="B1355" s="475" t="s">
        <v>5320</v>
      </c>
      <c r="C1355" s="475" t="s">
        <v>5324</v>
      </c>
      <c r="D1355" s="475" t="s">
        <v>5325</v>
      </c>
      <c r="E1355" s="476" t="s">
        <v>34</v>
      </c>
      <c r="F1355" s="475" t="s">
        <v>34</v>
      </c>
      <c r="G1355" s="364">
        <v>83682</v>
      </c>
      <c r="H1355" s="475" t="s">
        <v>1286</v>
      </c>
      <c r="I1355" s="475" t="s">
        <v>1261</v>
      </c>
      <c r="J1355" s="475" t="s">
        <v>337</v>
      </c>
      <c r="K1355" s="365">
        <v>125.72</v>
      </c>
      <c r="L1355" s="475" t="s">
        <v>141</v>
      </c>
      <c r="M1355" s="473"/>
    </row>
    <row r="1356" spans="1:13" ht="13.5">
      <c r="A1356" s="475" t="s">
        <v>5319</v>
      </c>
      <c r="B1356" s="475" t="s">
        <v>5320</v>
      </c>
      <c r="C1356" s="475" t="s">
        <v>5324</v>
      </c>
      <c r="D1356" s="475" t="s">
        <v>5325</v>
      </c>
      <c r="E1356" s="476" t="s">
        <v>34</v>
      </c>
      <c r="F1356" s="475" t="s">
        <v>34</v>
      </c>
      <c r="G1356" s="364">
        <v>83729</v>
      </c>
      <c r="H1356" s="475" t="s">
        <v>1287</v>
      </c>
      <c r="I1356" s="475" t="s">
        <v>322</v>
      </c>
      <c r="J1356" s="475" t="s">
        <v>337</v>
      </c>
      <c r="K1356" s="365">
        <v>17.25</v>
      </c>
      <c r="L1356" s="475" t="s">
        <v>141</v>
      </c>
      <c r="M1356" s="473"/>
    </row>
    <row r="1357" spans="1:13" ht="13.5">
      <c r="A1357" s="475" t="s">
        <v>5319</v>
      </c>
      <c r="B1357" s="475" t="s">
        <v>5320</v>
      </c>
      <c r="C1357" s="475" t="s">
        <v>5324</v>
      </c>
      <c r="D1357" s="475" t="s">
        <v>5325</v>
      </c>
      <c r="E1357" s="476" t="s">
        <v>34</v>
      </c>
      <c r="F1357" s="475" t="s">
        <v>34</v>
      </c>
      <c r="G1357" s="364">
        <v>83739</v>
      </c>
      <c r="H1357" s="475" t="s">
        <v>1288</v>
      </c>
      <c r="I1357" s="475" t="s">
        <v>322</v>
      </c>
      <c r="J1357" s="475" t="s">
        <v>337</v>
      </c>
      <c r="K1357" s="365">
        <v>6.02</v>
      </c>
      <c r="L1357" s="475" t="s">
        <v>141</v>
      </c>
      <c r="M1357" s="473"/>
    </row>
    <row r="1358" spans="1:13" ht="13.5">
      <c r="A1358" s="475" t="s">
        <v>5319</v>
      </c>
      <c r="B1358" s="475" t="s">
        <v>5320</v>
      </c>
      <c r="C1358" s="475" t="s">
        <v>5332</v>
      </c>
      <c r="D1358" s="475" t="s">
        <v>5333</v>
      </c>
      <c r="E1358" s="476" t="s">
        <v>34</v>
      </c>
      <c r="F1358" s="475" t="s">
        <v>34</v>
      </c>
      <c r="G1358" s="364">
        <v>6454</v>
      </c>
      <c r="H1358" s="475" t="s">
        <v>1289</v>
      </c>
      <c r="I1358" s="475" t="s">
        <v>1261</v>
      </c>
      <c r="J1358" s="475" t="s">
        <v>337</v>
      </c>
      <c r="K1358" s="365">
        <v>180.08</v>
      </c>
      <c r="L1358" s="475" t="s">
        <v>141</v>
      </c>
      <c r="M1358" s="473"/>
    </row>
    <row r="1359" spans="1:13" ht="13.5">
      <c r="A1359" s="475" t="s">
        <v>5319</v>
      </c>
      <c r="B1359" s="475" t="s">
        <v>5320</v>
      </c>
      <c r="C1359" s="475" t="s">
        <v>5332</v>
      </c>
      <c r="D1359" s="475" t="s">
        <v>5333</v>
      </c>
      <c r="E1359" s="476" t="s">
        <v>34</v>
      </c>
      <c r="F1359" s="475" t="s">
        <v>34</v>
      </c>
      <c r="G1359" s="364">
        <v>73611</v>
      </c>
      <c r="H1359" s="475" t="s">
        <v>1290</v>
      </c>
      <c r="I1359" s="475" t="s">
        <v>1261</v>
      </c>
      <c r="J1359" s="475" t="s">
        <v>337</v>
      </c>
      <c r="K1359" s="365">
        <v>378.04</v>
      </c>
      <c r="L1359" s="475" t="s">
        <v>141</v>
      </c>
      <c r="M1359" s="473"/>
    </row>
    <row r="1360" spans="1:13" ht="13.5">
      <c r="A1360" s="475" t="s">
        <v>5319</v>
      </c>
      <c r="B1360" s="475" t="s">
        <v>5320</v>
      </c>
      <c r="C1360" s="475" t="s">
        <v>5332</v>
      </c>
      <c r="D1360" s="475" t="s">
        <v>5333</v>
      </c>
      <c r="E1360" s="476" t="s">
        <v>34</v>
      </c>
      <c r="F1360" s="475" t="s">
        <v>34</v>
      </c>
      <c r="G1360" s="364">
        <v>73697</v>
      </c>
      <c r="H1360" s="475" t="s">
        <v>1291</v>
      </c>
      <c r="I1360" s="475" t="s">
        <v>1261</v>
      </c>
      <c r="J1360" s="475" t="s">
        <v>337</v>
      </c>
      <c r="K1360" s="365">
        <v>180.34</v>
      </c>
      <c r="L1360" s="475" t="s">
        <v>141</v>
      </c>
      <c r="M1360" s="473"/>
    </row>
    <row r="1361" spans="1:13" ht="13.5">
      <c r="A1361" s="475" t="s">
        <v>5319</v>
      </c>
      <c r="B1361" s="475" t="s">
        <v>5320</v>
      </c>
      <c r="C1361" s="475" t="s">
        <v>5332</v>
      </c>
      <c r="D1361" s="475" t="s">
        <v>5333</v>
      </c>
      <c r="E1361" s="476" t="s">
        <v>34</v>
      </c>
      <c r="F1361" s="475" t="s">
        <v>34</v>
      </c>
      <c r="G1361" s="364">
        <v>73698</v>
      </c>
      <c r="H1361" s="475" t="s">
        <v>1292</v>
      </c>
      <c r="I1361" s="475" t="s">
        <v>1261</v>
      </c>
      <c r="J1361" s="475" t="s">
        <v>337</v>
      </c>
      <c r="K1361" s="365">
        <v>230.82</v>
      </c>
      <c r="L1361" s="475" t="s">
        <v>141</v>
      </c>
      <c r="M1361" s="473"/>
    </row>
    <row r="1362" spans="1:13" ht="13.5">
      <c r="A1362" s="475" t="s">
        <v>5319</v>
      </c>
      <c r="B1362" s="475" t="s">
        <v>5320</v>
      </c>
      <c r="C1362" s="475" t="s">
        <v>5334</v>
      </c>
      <c r="D1362" s="475" t="s">
        <v>5335</v>
      </c>
      <c r="E1362" s="476">
        <v>73890</v>
      </c>
      <c r="F1362" s="475" t="s">
        <v>5336</v>
      </c>
      <c r="G1362" s="364" t="s">
        <v>1293</v>
      </c>
      <c r="H1362" s="475" t="s">
        <v>1294</v>
      </c>
      <c r="I1362" s="475" t="s">
        <v>322</v>
      </c>
      <c r="J1362" s="475" t="s">
        <v>337</v>
      </c>
      <c r="K1362" s="365">
        <v>132.91</v>
      </c>
      <c r="L1362" s="475" t="s">
        <v>141</v>
      </c>
      <c r="M1362" s="473"/>
    </row>
    <row r="1363" spans="1:13" ht="13.5">
      <c r="A1363" s="475" t="s">
        <v>5319</v>
      </c>
      <c r="B1363" s="475" t="s">
        <v>5320</v>
      </c>
      <c r="C1363" s="475" t="s">
        <v>5334</v>
      </c>
      <c r="D1363" s="475" t="s">
        <v>5335</v>
      </c>
      <c r="E1363" s="476">
        <v>73890</v>
      </c>
      <c r="F1363" s="475" t="s">
        <v>5336</v>
      </c>
      <c r="G1363" s="364" t="s">
        <v>1295</v>
      </c>
      <c r="H1363" s="475" t="s">
        <v>1296</v>
      </c>
      <c r="I1363" s="475" t="s">
        <v>322</v>
      </c>
      <c r="J1363" s="475" t="s">
        <v>337</v>
      </c>
      <c r="K1363" s="365">
        <v>336.55</v>
      </c>
      <c r="L1363" s="475" t="s">
        <v>141</v>
      </c>
      <c r="M1363" s="473"/>
    </row>
    <row r="1364" spans="1:13" ht="13.5">
      <c r="A1364" s="475" t="s">
        <v>5319</v>
      </c>
      <c r="B1364" s="475" t="s">
        <v>5320</v>
      </c>
      <c r="C1364" s="475" t="s">
        <v>5337</v>
      </c>
      <c r="D1364" s="475" t="s">
        <v>5338</v>
      </c>
      <c r="E1364" s="476" t="s">
        <v>34</v>
      </c>
      <c r="F1364" s="475" t="s">
        <v>34</v>
      </c>
      <c r="G1364" s="364">
        <v>92743</v>
      </c>
      <c r="H1364" s="475" t="s">
        <v>6367</v>
      </c>
      <c r="I1364" s="475" t="s">
        <v>1261</v>
      </c>
      <c r="J1364" s="475" t="s">
        <v>140</v>
      </c>
      <c r="K1364" s="365">
        <v>510.79</v>
      </c>
      <c r="L1364" s="475" t="s">
        <v>141</v>
      </c>
      <c r="M1364" s="473"/>
    </row>
    <row r="1365" spans="1:13" ht="13.5">
      <c r="A1365" s="475" t="s">
        <v>5319</v>
      </c>
      <c r="B1365" s="475" t="s">
        <v>5320</v>
      </c>
      <c r="C1365" s="475" t="s">
        <v>5337</v>
      </c>
      <c r="D1365" s="475" t="s">
        <v>5338</v>
      </c>
      <c r="E1365" s="476" t="s">
        <v>34</v>
      </c>
      <c r="F1365" s="475" t="s">
        <v>34</v>
      </c>
      <c r="G1365" s="364">
        <v>92744</v>
      </c>
      <c r="H1365" s="475" t="s">
        <v>6368</v>
      </c>
      <c r="I1365" s="475" t="s">
        <v>1261</v>
      </c>
      <c r="J1365" s="475" t="s">
        <v>140</v>
      </c>
      <c r="K1365" s="365">
        <v>499.91</v>
      </c>
      <c r="L1365" s="475" t="s">
        <v>141</v>
      </c>
      <c r="M1365" s="473"/>
    </row>
    <row r="1366" spans="1:13" ht="13.5">
      <c r="A1366" s="475" t="s">
        <v>5319</v>
      </c>
      <c r="B1366" s="475" t="s">
        <v>5320</v>
      </c>
      <c r="C1366" s="475" t="s">
        <v>5337</v>
      </c>
      <c r="D1366" s="475" t="s">
        <v>5338</v>
      </c>
      <c r="E1366" s="476" t="s">
        <v>34</v>
      </c>
      <c r="F1366" s="475" t="s">
        <v>34</v>
      </c>
      <c r="G1366" s="364">
        <v>92745</v>
      </c>
      <c r="H1366" s="475" t="s">
        <v>6369</v>
      </c>
      <c r="I1366" s="475" t="s">
        <v>1261</v>
      </c>
      <c r="J1366" s="475" t="s">
        <v>140</v>
      </c>
      <c r="K1366" s="365">
        <v>630.17999999999995</v>
      </c>
      <c r="L1366" s="475" t="s">
        <v>141</v>
      </c>
      <c r="M1366" s="473"/>
    </row>
    <row r="1367" spans="1:13" ht="13.5">
      <c r="A1367" s="475" t="s">
        <v>5319</v>
      </c>
      <c r="B1367" s="475" t="s">
        <v>5320</v>
      </c>
      <c r="C1367" s="475" t="s">
        <v>5337</v>
      </c>
      <c r="D1367" s="475" t="s">
        <v>5338</v>
      </c>
      <c r="E1367" s="476" t="s">
        <v>34</v>
      </c>
      <c r="F1367" s="475" t="s">
        <v>34</v>
      </c>
      <c r="G1367" s="364">
        <v>92746</v>
      </c>
      <c r="H1367" s="475" t="s">
        <v>7450</v>
      </c>
      <c r="I1367" s="475" t="s">
        <v>1261</v>
      </c>
      <c r="J1367" s="475" t="s">
        <v>140</v>
      </c>
      <c r="K1367" s="365">
        <v>587.17999999999995</v>
      </c>
      <c r="L1367" s="475" t="s">
        <v>141</v>
      </c>
      <c r="M1367" s="473"/>
    </row>
    <row r="1368" spans="1:13" ht="13.5">
      <c r="A1368" s="475" t="s">
        <v>5319</v>
      </c>
      <c r="B1368" s="475" t="s">
        <v>5320</v>
      </c>
      <c r="C1368" s="475" t="s">
        <v>5337</v>
      </c>
      <c r="D1368" s="475" t="s">
        <v>5338</v>
      </c>
      <c r="E1368" s="476" t="s">
        <v>34</v>
      </c>
      <c r="F1368" s="475" t="s">
        <v>34</v>
      </c>
      <c r="G1368" s="364">
        <v>92747</v>
      </c>
      <c r="H1368" s="475" t="s">
        <v>7451</v>
      </c>
      <c r="I1368" s="475" t="s">
        <v>1261</v>
      </c>
      <c r="J1368" s="475" t="s">
        <v>140</v>
      </c>
      <c r="K1368" s="365">
        <v>697.91</v>
      </c>
      <c r="L1368" s="475" t="s">
        <v>141</v>
      </c>
      <c r="M1368" s="473"/>
    </row>
    <row r="1369" spans="1:13" ht="13.5">
      <c r="A1369" s="475" t="s">
        <v>5319</v>
      </c>
      <c r="B1369" s="475" t="s">
        <v>5320</v>
      </c>
      <c r="C1369" s="475" t="s">
        <v>5337</v>
      </c>
      <c r="D1369" s="475" t="s">
        <v>5338</v>
      </c>
      <c r="E1369" s="476" t="s">
        <v>34</v>
      </c>
      <c r="F1369" s="475" t="s">
        <v>34</v>
      </c>
      <c r="G1369" s="364">
        <v>92748</v>
      </c>
      <c r="H1369" s="475" t="s">
        <v>6370</v>
      </c>
      <c r="I1369" s="475" t="s">
        <v>1261</v>
      </c>
      <c r="J1369" s="475" t="s">
        <v>140</v>
      </c>
      <c r="K1369" s="365">
        <v>636.91</v>
      </c>
      <c r="L1369" s="475" t="s">
        <v>141</v>
      </c>
      <c r="M1369" s="473"/>
    </row>
    <row r="1370" spans="1:13" ht="13.5">
      <c r="A1370" s="475" t="s">
        <v>5319</v>
      </c>
      <c r="B1370" s="475" t="s">
        <v>5320</v>
      </c>
      <c r="C1370" s="475" t="s">
        <v>5337</v>
      </c>
      <c r="D1370" s="475" t="s">
        <v>5338</v>
      </c>
      <c r="E1370" s="476" t="s">
        <v>34</v>
      </c>
      <c r="F1370" s="475" t="s">
        <v>34</v>
      </c>
      <c r="G1370" s="364">
        <v>92749</v>
      </c>
      <c r="H1370" s="475" t="s">
        <v>7452</v>
      </c>
      <c r="I1370" s="475" t="s">
        <v>1261</v>
      </c>
      <c r="J1370" s="475" t="s">
        <v>140</v>
      </c>
      <c r="K1370" s="365">
        <v>731.88</v>
      </c>
      <c r="L1370" s="475" t="s">
        <v>141</v>
      </c>
      <c r="M1370" s="473"/>
    </row>
    <row r="1371" spans="1:13" ht="13.5">
      <c r="A1371" s="475" t="s">
        <v>5319</v>
      </c>
      <c r="B1371" s="475" t="s">
        <v>5320</v>
      </c>
      <c r="C1371" s="475" t="s">
        <v>5337</v>
      </c>
      <c r="D1371" s="475" t="s">
        <v>5338</v>
      </c>
      <c r="E1371" s="476" t="s">
        <v>34</v>
      </c>
      <c r="F1371" s="475" t="s">
        <v>34</v>
      </c>
      <c r="G1371" s="364">
        <v>92750</v>
      </c>
      <c r="H1371" s="475" t="s">
        <v>7453</v>
      </c>
      <c r="I1371" s="475" t="s">
        <v>1261</v>
      </c>
      <c r="J1371" s="475" t="s">
        <v>140</v>
      </c>
      <c r="K1371" s="365">
        <v>1252.6500000000001</v>
      </c>
      <c r="L1371" s="475" t="s">
        <v>141</v>
      </c>
      <c r="M1371" s="473"/>
    </row>
    <row r="1372" spans="1:13" ht="13.5">
      <c r="A1372" s="475" t="s">
        <v>5319</v>
      </c>
      <c r="B1372" s="475" t="s">
        <v>5320</v>
      </c>
      <c r="C1372" s="475" t="s">
        <v>5337</v>
      </c>
      <c r="D1372" s="475" t="s">
        <v>5338</v>
      </c>
      <c r="E1372" s="476" t="s">
        <v>34</v>
      </c>
      <c r="F1372" s="475" t="s">
        <v>34</v>
      </c>
      <c r="G1372" s="364">
        <v>92751</v>
      </c>
      <c r="H1372" s="475" t="s">
        <v>7454</v>
      </c>
      <c r="I1372" s="475" t="s">
        <v>1261</v>
      </c>
      <c r="J1372" s="475" t="s">
        <v>140</v>
      </c>
      <c r="K1372" s="365">
        <v>1555.27</v>
      </c>
      <c r="L1372" s="475" t="s">
        <v>141</v>
      </c>
      <c r="M1372" s="473"/>
    </row>
    <row r="1373" spans="1:13" ht="13.5">
      <c r="A1373" s="475" t="s">
        <v>5319</v>
      </c>
      <c r="B1373" s="475" t="s">
        <v>5320</v>
      </c>
      <c r="C1373" s="475" t="s">
        <v>5337</v>
      </c>
      <c r="D1373" s="475" t="s">
        <v>5338</v>
      </c>
      <c r="E1373" s="476" t="s">
        <v>34</v>
      </c>
      <c r="F1373" s="475" t="s">
        <v>34</v>
      </c>
      <c r="G1373" s="364">
        <v>92752</v>
      </c>
      <c r="H1373" s="475" t="s">
        <v>7455</v>
      </c>
      <c r="I1373" s="475" t="s">
        <v>1261</v>
      </c>
      <c r="J1373" s="475" t="s">
        <v>140</v>
      </c>
      <c r="K1373" s="365">
        <v>1856.82</v>
      </c>
      <c r="L1373" s="475" t="s">
        <v>141</v>
      </c>
      <c r="M1373" s="473"/>
    </row>
    <row r="1374" spans="1:13" ht="13.5">
      <c r="A1374" s="475" t="s">
        <v>5319</v>
      </c>
      <c r="B1374" s="475" t="s">
        <v>5320</v>
      </c>
      <c r="C1374" s="475" t="s">
        <v>5337</v>
      </c>
      <c r="D1374" s="475" t="s">
        <v>5338</v>
      </c>
      <c r="E1374" s="476" t="s">
        <v>34</v>
      </c>
      <c r="F1374" s="475" t="s">
        <v>34</v>
      </c>
      <c r="G1374" s="364">
        <v>92753</v>
      </c>
      <c r="H1374" s="475" t="s">
        <v>7456</v>
      </c>
      <c r="I1374" s="475" t="s">
        <v>1261</v>
      </c>
      <c r="J1374" s="475" t="s">
        <v>140</v>
      </c>
      <c r="K1374" s="365">
        <v>468.11</v>
      </c>
      <c r="L1374" s="475" t="s">
        <v>141</v>
      </c>
      <c r="M1374" s="473"/>
    </row>
    <row r="1375" spans="1:13" ht="13.5">
      <c r="A1375" s="475" t="s">
        <v>5319</v>
      </c>
      <c r="B1375" s="475" t="s">
        <v>5320</v>
      </c>
      <c r="C1375" s="475" t="s">
        <v>5337</v>
      </c>
      <c r="D1375" s="475" t="s">
        <v>5338</v>
      </c>
      <c r="E1375" s="476" t="s">
        <v>34</v>
      </c>
      <c r="F1375" s="475" t="s">
        <v>34</v>
      </c>
      <c r="G1375" s="364">
        <v>92754</v>
      </c>
      <c r="H1375" s="475" t="s">
        <v>7457</v>
      </c>
      <c r="I1375" s="475" t="s">
        <v>1261</v>
      </c>
      <c r="J1375" s="475" t="s">
        <v>140</v>
      </c>
      <c r="K1375" s="365">
        <v>427.22</v>
      </c>
      <c r="L1375" s="475" t="s">
        <v>141</v>
      </c>
      <c r="M1375" s="473"/>
    </row>
    <row r="1376" spans="1:13" ht="13.5">
      <c r="A1376" s="475" t="s">
        <v>5319</v>
      </c>
      <c r="B1376" s="475" t="s">
        <v>5320</v>
      </c>
      <c r="C1376" s="475" t="s">
        <v>5337</v>
      </c>
      <c r="D1376" s="475" t="s">
        <v>5338</v>
      </c>
      <c r="E1376" s="476" t="s">
        <v>34</v>
      </c>
      <c r="F1376" s="475" t="s">
        <v>34</v>
      </c>
      <c r="G1376" s="364">
        <v>92755</v>
      </c>
      <c r="H1376" s="475" t="s">
        <v>1297</v>
      </c>
      <c r="I1376" s="475" t="s">
        <v>322</v>
      </c>
      <c r="J1376" s="475" t="s">
        <v>140</v>
      </c>
      <c r="K1376" s="365">
        <v>183.23</v>
      </c>
      <c r="L1376" s="475" t="s">
        <v>141</v>
      </c>
      <c r="M1376" s="473"/>
    </row>
    <row r="1377" spans="1:13" ht="13.5">
      <c r="A1377" s="475" t="s">
        <v>5319</v>
      </c>
      <c r="B1377" s="475" t="s">
        <v>5320</v>
      </c>
      <c r="C1377" s="475" t="s">
        <v>5337</v>
      </c>
      <c r="D1377" s="475" t="s">
        <v>5338</v>
      </c>
      <c r="E1377" s="476" t="s">
        <v>34</v>
      </c>
      <c r="F1377" s="475" t="s">
        <v>34</v>
      </c>
      <c r="G1377" s="364">
        <v>92756</v>
      </c>
      <c r="H1377" s="475" t="s">
        <v>1298</v>
      </c>
      <c r="I1377" s="475" t="s">
        <v>322</v>
      </c>
      <c r="J1377" s="475" t="s">
        <v>140</v>
      </c>
      <c r="K1377" s="365">
        <v>208.35</v>
      </c>
      <c r="L1377" s="475" t="s">
        <v>141</v>
      </c>
      <c r="M1377" s="473"/>
    </row>
    <row r="1378" spans="1:13" ht="13.5">
      <c r="A1378" s="475" t="s">
        <v>5319</v>
      </c>
      <c r="B1378" s="475" t="s">
        <v>5320</v>
      </c>
      <c r="C1378" s="475" t="s">
        <v>5337</v>
      </c>
      <c r="D1378" s="475" t="s">
        <v>5338</v>
      </c>
      <c r="E1378" s="476" t="s">
        <v>34</v>
      </c>
      <c r="F1378" s="475" t="s">
        <v>34</v>
      </c>
      <c r="G1378" s="364">
        <v>92757</v>
      </c>
      <c r="H1378" s="475" t="s">
        <v>1299</v>
      </c>
      <c r="I1378" s="475" t="s">
        <v>322</v>
      </c>
      <c r="J1378" s="475" t="s">
        <v>140</v>
      </c>
      <c r="K1378" s="365">
        <v>238.85</v>
      </c>
      <c r="L1378" s="475" t="s">
        <v>141</v>
      </c>
      <c r="M1378" s="473"/>
    </row>
    <row r="1379" spans="1:13" ht="13.5">
      <c r="A1379" s="475" t="s">
        <v>5319</v>
      </c>
      <c r="B1379" s="475" t="s">
        <v>5320</v>
      </c>
      <c r="C1379" s="475" t="s">
        <v>5337</v>
      </c>
      <c r="D1379" s="475" t="s">
        <v>5338</v>
      </c>
      <c r="E1379" s="476" t="s">
        <v>34</v>
      </c>
      <c r="F1379" s="475" t="s">
        <v>34</v>
      </c>
      <c r="G1379" s="364">
        <v>92758</v>
      </c>
      <c r="H1379" s="475" t="s">
        <v>1300</v>
      </c>
      <c r="I1379" s="475" t="s">
        <v>1261</v>
      </c>
      <c r="J1379" s="475" t="s">
        <v>140</v>
      </c>
      <c r="K1379" s="365">
        <v>591.39</v>
      </c>
      <c r="L1379" s="475" t="s">
        <v>141</v>
      </c>
      <c r="M1379" s="473"/>
    </row>
    <row r="1380" spans="1:13" ht="13.5">
      <c r="A1380" s="475" t="s">
        <v>5319</v>
      </c>
      <c r="B1380" s="475" t="s">
        <v>5320</v>
      </c>
      <c r="C1380" s="475" t="s">
        <v>5339</v>
      </c>
      <c r="D1380" s="475" t="s">
        <v>5340</v>
      </c>
      <c r="E1380" s="476" t="s">
        <v>34</v>
      </c>
      <c r="F1380" s="475" t="s">
        <v>34</v>
      </c>
      <c r="G1380" s="364">
        <v>91069</v>
      </c>
      <c r="H1380" s="475" t="s">
        <v>1301</v>
      </c>
      <c r="I1380" s="475" t="s">
        <v>322</v>
      </c>
      <c r="J1380" s="475" t="s">
        <v>140</v>
      </c>
      <c r="K1380" s="365">
        <v>77.63</v>
      </c>
      <c r="L1380" s="475" t="s">
        <v>141</v>
      </c>
      <c r="M1380" s="473"/>
    </row>
    <row r="1381" spans="1:13" ht="13.5">
      <c r="A1381" s="475" t="s">
        <v>5319</v>
      </c>
      <c r="B1381" s="475" t="s">
        <v>5320</v>
      </c>
      <c r="C1381" s="475" t="s">
        <v>5339</v>
      </c>
      <c r="D1381" s="475" t="s">
        <v>5340</v>
      </c>
      <c r="E1381" s="476" t="s">
        <v>34</v>
      </c>
      <c r="F1381" s="475" t="s">
        <v>34</v>
      </c>
      <c r="G1381" s="364">
        <v>91070</v>
      </c>
      <c r="H1381" s="475" t="s">
        <v>1302</v>
      </c>
      <c r="I1381" s="475" t="s">
        <v>322</v>
      </c>
      <c r="J1381" s="475" t="s">
        <v>140</v>
      </c>
      <c r="K1381" s="365">
        <v>86.4</v>
      </c>
      <c r="L1381" s="475" t="s">
        <v>141</v>
      </c>
      <c r="M1381" s="473"/>
    </row>
    <row r="1382" spans="1:13" ht="13.5">
      <c r="A1382" s="475" t="s">
        <v>5319</v>
      </c>
      <c r="B1382" s="475" t="s">
        <v>5320</v>
      </c>
      <c r="C1382" s="475" t="s">
        <v>5339</v>
      </c>
      <c r="D1382" s="475" t="s">
        <v>5340</v>
      </c>
      <c r="E1382" s="476" t="s">
        <v>34</v>
      </c>
      <c r="F1382" s="475" t="s">
        <v>34</v>
      </c>
      <c r="G1382" s="364">
        <v>91071</v>
      </c>
      <c r="H1382" s="475" t="s">
        <v>1303</v>
      </c>
      <c r="I1382" s="475" t="s">
        <v>322</v>
      </c>
      <c r="J1382" s="475" t="s">
        <v>140</v>
      </c>
      <c r="K1382" s="365">
        <v>106.91</v>
      </c>
      <c r="L1382" s="475" t="s">
        <v>141</v>
      </c>
      <c r="M1382" s="473"/>
    </row>
    <row r="1383" spans="1:13" ht="13.5">
      <c r="A1383" s="475" t="s">
        <v>5319</v>
      </c>
      <c r="B1383" s="475" t="s">
        <v>5320</v>
      </c>
      <c r="C1383" s="475" t="s">
        <v>5339</v>
      </c>
      <c r="D1383" s="475" t="s">
        <v>5340</v>
      </c>
      <c r="E1383" s="476" t="s">
        <v>34</v>
      </c>
      <c r="F1383" s="475" t="s">
        <v>34</v>
      </c>
      <c r="G1383" s="364">
        <v>91072</v>
      </c>
      <c r="H1383" s="475" t="s">
        <v>1304</v>
      </c>
      <c r="I1383" s="475" t="s">
        <v>322</v>
      </c>
      <c r="J1383" s="475" t="s">
        <v>140</v>
      </c>
      <c r="K1383" s="365">
        <v>115.69</v>
      </c>
      <c r="L1383" s="475" t="s">
        <v>141</v>
      </c>
      <c r="M1383" s="473"/>
    </row>
    <row r="1384" spans="1:13" ht="13.5">
      <c r="A1384" s="475" t="s">
        <v>5319</v>
      </c>
      <c r="B1384" s="475" t="s">
        <v>5320</v>
      </c>
      <c r="C1384" s="475" t="s">
        <v>5339</v>
      </c>
      <c r="D1384" s="475" t="s">
        <v>5340</v>
      </c>
      <c r="E1384" s="476" t="s">
        <v>34</v>
      </c>
      <c r="F1384" s="475" t="s">
        <v>34</v>
      </c>
      <c r="G1384" s="364">
        <v>91073</v>
      </c>
      <c r="H1384" s="475" t="s">
        <v>1305</v>
      </c>
      <c r="I1384" s="475" t="s">
        <v>322</v>
      </c>
      <c r="J1384" s="475" t="s">
        <v>140</v>
      </c>
      <c r="K1384" s="365">
        <v>87.57</v>
      </c>
      <c r="L1384" s="475" t="s">
        <v>141</v>
      </c>
      <c r="M1384" s="473"/>
    </row>
    <row r="1385" spans="1:13" ht="13.5">
      <c r="A1385" s="475" t="s">
        <v>5319</v>
      </c>
      <c r="B1385" s="475" t="s">
        <v>5320</v>
      </c>
      <c r="C1385" s="475" t="s">
        <v>5339</v>
      </c>
      <c r="D1385" s="475" t="s">
        <v>5340</v>
      </c>
      <c r="E1385" s="476" t="s">
        <v>34</v>
      </c>
      <c r="F1385" s="475" t="s">
        <v>34</v>
      </c>
      <c r="G1385" s="364">
        <v>91074</v>
      </c>
      <c r="H1385" s="475" t="s">
        <v>1306</v>
      </c>
      <c r="I1385" s="475" t="s">
        <v>322</v>
      </c>
      <c r="J1385" s="475" t="s">
        <v>140</v>
      </c>
      <c r="K1385" s="365">
        <v>97.38</v>
      </c>
      <c r="L1385" s="475" t="s">
        <v>141</v>
      </c>
      <c r="M1385" s="473"/>
    </row>
    <row r="1386" spans="1:13" ht="13.5">
      <c r="A1386" s="475" t="s">
        <v>5319</v>
      </c>
      <c r="B1386" s="475" t="s">
        <v>5320</v>
      </c>
      <c r="C1386" s="475" t="s">
        <v>5339</v>
      </c>
      <c r="D1386" s="475" t="s">
        <v>5340</v>
      </c>
      <c r="E1386" s="476" t="s">
        <v>34</v>
      </c>
      <c r="F1386" s="475" t="s">
        <v>34</v>
      </c>
      <c r="G1386" s="364">
        <v>91075</v>
      </c>
      <c r="H1386" s="475" t="s">
        <v>1307</v>
      </c>
      <c r="I1386" s="475" t="s">
        <v>322</v>
      </c>
      <c r="J1386" s="475" t="s">
        <v>140</v>
      </c>
      <c r="K1386" s="365">
        <v>118.78</v>
      </c>
      <c r="L1386" s="475" t="s">
        <v>141</v>
      </c>
      <c r="M1386" s="473"/>
    </row>
    <row r="1387" spans="1:13" ht="13.5">
      <c r="A1387" s="475" t="s">
        <v>5319</v>
      </c>
      <c r="B1387" s="475" t="s">
        <v>5320</v>
      </c>
      <c r="C1387" s="475" t="s">
        <v>5339</v>
      </c>
      <c r="D1387" s="475" t="s">
        <v>5340</v>
      </c>
      <c r="E1387" s="476" t="s">
        <v>34</v>
      </c>
      <c r="F1387" s="475" t="s">
        <v>34</v>
      </c>
      <c r="G1387" s="364">
        <v>91076</v>
      </c>
      <c r="H1387" s="475" t="s">
        <v>1308</v>
      </c>
      <c r="I1387" s="475" t="s">
        <v>322</v>
      </c>
      <c r="J1387" s="475" t="s">
        <v>140</v>
      </c>
      <c r="K1387" s="365">
        <v>128.65</v>
      </c>
      <c r="L1387" s="475" t="s">
        <v>141</v>
      </c>
      <c r="M1387" s="473"/>
    </row>
    <row r="1388" spans="1:13" ht="13.5">
      <c r="A1388" s="475" t="s">
        <v>5319</v>
      </c>
      <c r="B1388" s="475" t="s">
        <v>5320</v>
      </c>
      <c r="C1388" s="475" t="s">
        <v>5339</v>
      </c>
      <c r="D1388" s="475" t="s">
        <v>5340</v>
      </c>
      <c r="E1388" s="476" t="s">
        <v>34</v>
      </c>
      <c r="F1388" s="475" t="s">
        <v>34</v>
      </c>
      <c r="G1388" s="364">
        <v>91077</v>
      </c>
      <c r="H1388" s="475" t="s">
        <v>1309</v>
      </c>
      <c r="I1388" s="475" t="s">
        <v>322</v>
      </c>
      <c r="J1388" s="475" t="s">
        <v>140</v>
      </c>
      <c r="K1388" s="365">
        <v>106.65</v>
      </c>
      <c r="L1388" s="475" t="s">
        <v>141</v>
      </c>
      <c r="M1388" s="473"/>
    </row>
    <row r="1389" spans="1:13" ht="13.5">
      <c r="A1389" s="475" t="s">
        <v>5319</v>
      </c>
      <c r="B1389" s="475" t="s">
        <v>5320</v>
      </c>
      <c r="C1389" s="475" t="s">
        <v>5339</v>
      </c>
      <c r="D1389" s="475" t="s">
        <v>5340</v>
      </c>
      <c r="E1389" s="476" t="s">
        <v>34</v>
      </c>
      <c r="F1389" s="475" t="s">
        <v>34</v>
      </c>
      <c r="G1389" s="364">
        <v>91078</v>
      </c>
      <c r="H1389" s="475" t="s">
        <v>1310</v>
      </c>
      <c r="I1389" s="475" t="s">
        <v>322</v>
      </c>
      <c r="J1389" s="475" t="s">
        <v>140</v>
      </c>
      <c r="K1389" s="365">
        <v>125.87</v>
      </c>
      <c r="L1389" s="475" t="s">
        <v>141</v>
      </c>
      <c r="M1389" s="473"/>
    </row>
    <row r="1390" spans="1:13" ht="13.5">
      <c r="A1390" s="475" t="s">
        <v>5319</v>
      </c>
      <c r="B1390" s="475" t="s">
        <v>5320</v>
      </c>
      <c r="C1390" s="475" t="s">
        <v>5339</v>
      </c>
      <c r="D1390" s="475" t="s">
        <v>5340</v>
      </c>
      <c r="E1390" s="476" t="s">
        <v>34</v>
      </c>
      <c r="F1390" s="475" t="s">
        <v>34</v>
      </c>
      <c r="G1390" s="364">
        <v>91079</v>
      </c>
      <c r="H1390" s="475" t="s">
        <v>1311</v>
      </c>
      <c r="I1390" s="475" t="s">
        <v>322</v>
      </c>
      <c r="J1390" s="475" t="s">
        <v>140</v>
      </c>
      <c r="K1390" s="365">
        <v>111.04</v>
      </c>
      <c r="L1390" s="475" t="s">
        <v>141</v>
      </c>
      <c r="M1390" s="473"/>
    </row>
    <row r="1391" spans="1:13" ht="13.5">
      <c r="A1391" s="475" t="s">
        <v>5319</v>
      </c>
      <c r="B1391" s="475" t="s">
        <v>5320</v>
      </c>
      <c r="C1391" s="475" t="s">
        <v>5339</v>
      </c>
      <c r="D1391" s="475" t="s">
        <v>5340</v>
      </c>
      <c r="E1391" s="476" t="s">
        <v>34</v>
      </c>
      <c r="F1391" s="475" t="s">
        <v>34</v>
      </c>
      <c r="G1391" s="364">
        <v>91080</v>
      </c>
      <c r="H1391" s="475" t="s">
        <v>1312</v>
      </c>
      <c r="I1391" s="475" t="s">
        <v>322</v>
      </c>
      <c r="J1391" s="475" t="s">
        <v>140</v>
      </c>
      <c r="K1391" s="365">
        <v>130.12</v>
      </c>
      <c r="L1391" s="475" t="s">
        <v>141</v>
      </c>
      <c r="M1391" s="473"/>
    </row>
    <row r="1392" spans="1:13" ht="13.5">
      <c r="A1392" s="475" t="s">
        <v>5319</v>
      </c>
      <c r="B1392" s="475" t="s">
        <v>5320</v>
      </c>
      <c r="C1392" s="475" t="s">
        <v>5339</v>
      </c>
      <c r="D1392" s="475" t="s">
        <v>5340</v>
      </c>
      <c r="E1392" s="476" t="s">
        <v>34</v>
      </c>
      <c r="F1392" s="475" t="s">
        <v>34</v>
      </c>
      <c r="G1392" s="364">
        <v>91081</v>
      </c>
      <c r="H1392" s="475" t="s">
        <v>1313</v>
      </c>
      <c r="I1392" s="475" t="s">
        <v>322</v>
      </c>
      <c r="J1392" s="475" t="s">
        <v>140</v>
      </c>
      <c r="K1392" s="365">
        <v>117.78</v>
      </c>
      <c r="L1392" s="475" t="s">
        <v>141</v>
      </c>
      <c r="M1392" s="473"/>
    </row>
    <row r="1393" spans="1:13" ht="13.5">
      <c r="A1393" s="475" t="s">
        <v>5319</v>
      </c>
      <c r="B1393" s="475" t="s">
        <v>5320</v>
      </c>
      <c r="C1393" s="475" t="s">
        <v>5339</v>
      </c>
      <c r="D1393" s="475" t="s">
        <v>5340</v>
      </c>
      <c r="E1393" s="476" t="s">
        <v>34</v>
      </c>
      <c r="F1393" s="475" t="s">
        <v>34</v>
      </c>
      <c r="G1393" s="364">
        <v>91082</v>
      </c>
      <c r="H1393" s="475" t="s">
        <v>1314</v>
      </c>
      <c r="I1393" s="475" t="s">
        <v>322</v>
      </c>
      <c r="J1393" s="475" t="s">
        <v>140</v>
      </c>
      <c r="K1393" s="365">
        <v>137.91</v>
      </c>
      <c r="L1393" s="475" t="s">
        <v>141</v>
      </c>
      <c r="M1393" s="473"/>
    </row>
    <row r="1394" spans="1:13" ht="13.5">
      <c r="A1394" s="475" t="s">
        <v>5319</v>
      </c>
      <c r="B1394" s="475" t="s">
        <v>5320</v>
      </c>
      <c r="C1394" s="475" t="s">
        <v>5339</v>
      </c>
      <c r="D1394" s="475" t="s">
        <v>5340</v>
      </c>
      <c r="E1394" s="476" t="s">
        <v>34</v>
      </c>
      <c r="F1394" s="475" t="s">
        <v>34</v>
      </c>
      <c r="G1394" s="364">
        <v>91083</v>
      </c>
      <c r="H1394" s="475" t="s">
        <v>1315</v>
      </c>
      <c r="I1394" s="475" t="s">
        <v>322</v>
      </c>
      <c r="J1394" s="475" t="s">
        <v>140</v>
      </c>
      <c r="K1394" s="365">
        <v>125.48</v>
      </c>
      <c r="L1394" s="475" t="s">
        <v>141</v>
      </c>
      <c r="M1394" s="473"/>
    </row>
    <row r="1395" spans="1:13" ht="13.5">
      <c r="A1395" s="475" t="s">
        <v>5319</v>
      </c>
      <c r="B1395" s="475" t="s">
        <v>5320</v>
      </c>
      <c r="C1395" s="475" t="s">
        <v>5339</v>
      </c>
      <c r="D1395" s="475" t="s">
        <v>5340</v>
      </c>
      <c r="E1395" s="476" t="s">
        <v>34</v>
      </c>
      <c r="F1395" s="475" t="s">
        <v>34</v>
      </c>
      <c r="G1395" s="364">
        <v>91084</v>
      </c>
      <c r="H1395" s="475" t="s">
        <v>1316</v>
      </c>
      <c r="I1395" s="475" t="s">
        <v>322</v>
      </c>
      <c r="J1395" s="475" t="s">
        <v>140</v>
      </c>
      <c r="K1395" s="365">
        <v>145.46</v>
      </c>
      <c r="L1395" s="475" t="s">
        <v>141</v>
      </c>
      <c r="M1395" s="473"/>
    </row>
    <row r="1396" spans="1:13" ht="13.5">
      <c r="A1396" s="475" t="s">
        <v>5319</v>
      </c>
      <c r="B1396" s="475" t="s">
        <v>5320</v>
      </c>
      <c r="C1396" s="475" t="s">
        <v>5339</v>
      </c>
      <c r="D1396" s="475" t="s">
        <v>5340</v>
      </c>
      <c r="E1396" s="476" t="s">
        <v>34</v>
      </c>
      <c r="F1396" s="475" t="s">
        <v>34</v>
      </c>
      <c r="G1396" s="364">
        <v>91086</v>
      </c>
      <c r="H1396" s="475" t="s">
        <v>1317</v>
      </c>
      <c r="I1396" s="475" t="s">
        <v>322</v>
      </c>
      <c r="J1396" s="475" t="s">
        <v>140</v>
      </c>
      <c r="K1396" s="365">
        <v>84.99</v>
      </c>
      <c r="L1396" s="475" t="s">
        <v>141</v>
      </c>
      <c r="M1396" s="473"/>
    </row>
    <row r="1397" spans="1:13" ht="13.5">
      <c r="A1397" s="475" t="s">
        <v>5319</v>
      </c>
      <c r="B1397" s="475" t="s">
        <v>5320</v>
      </c>
      <c r="C1397" s="475" t="s">
        <v>5339</v>
      </c>
      <c r="D1397" s="475" t="s">
        <v>5340</v>
      </c>
      <c r="E1397" s="476" t="s">
        <v>34</v>
      </c>
      <c r="F1397" s="475" t="s">
        <v>34</v>
      </c>
      <c r="G1397" s="364">
        <v>91087</v>
      </c>
      <c r="H1397" s="475" t="s">
        <v>1318</v>
      </c>
      <c r="I1397" s="475" t="s">
        <v>322</v>
      </c>
      <c r="J1397" s="475" t="s">
        <v>140</v>
      </c>
      <c r="K1397" s="365">
        <v>94</v>
      </c>
      <c r="L1397" s="475" t="s">
        <v>141</v>
      </c>
      <c r="M1397" s="473"/>
    </row>
    <row r="1398" spans="1:13" ht="13.5">
      <c r="A1398" s="475" t="s">
        <v>5319</v>
      </c>
      <c r="B1398" s="475" t="s">
        <v>5320</v>
      </c>
      <c r="C1398" s="475" t="s">
        <v>5339</v>
      </c>
      <c r="D1398" s="475" t="s">
        <v>5340</v>
      </c>
      <c r="E1398" s="476" t="s">
        <v>34</v>
      </c>
      <c r="F1398" s="475" t="s">
        <v>34</v>
      </c>
      <c r="G1398" s="364">
        <v>91088</v>
      </c>
      <c r="H1398" s="475" t="s">
        <v>1319</v>
      </c>
      <c r="I1398" s="475" t="s">
        <v>322</v>
      </c>
      <c r="J1398" s="475" t="s">
        <v>140</v>
      </c>
      <c r="K1398" s="365">
        <v>115.42</v>
      </c>
      <c r="L1398" s="475" t="s">
        <v>141</v>
      </c>
      <c r="M1398" s="473"/>
    </row>
    <row r="1399" spans="1:13" ht="13.5">
      <c r="A1399" s="475" t="s">
        <v>5319</v>
      </c>
      <c r="B1399" s="475" t="s">
        <v>5320</v>
      </c>
      <c r="C1399" s="475" t="s">
        <v>5339</v>
      </c>
      <c r="D1399" s="475" t="s">
        <v>5340</v>
      </c>
      <c r="E1399" s="476" t="s">
        <v>34</v>
      </c>
      <c r="F1399" s="475" t="s">
        <v>34</v>
      </c>
      <c r="G1399" s="364">
        <v>91089</v>
      </c>
      <c r="H1399" s="475" t="s">
        <v>1320</v>
      </c>
      <c r="I1399" s="475" t="s">
        <v>322</v>
      </c>
      <c r="J1399" s="475" t="s">
        <v>140</v>
      </c>
      <c r="K1399" s="365">
        <v>124.54</v>
      </c>
      <c r="L1399" s="475" t="s">
        <v>141</v>
      </c>
      <c r="M1399" s="473"/>
    </row>
    <row r="1400" spans="1:13" ht="13.5">
      <c r="A1400" s="475" t="s">
        <v>5319</v>
      </c>
      <c r="B1400" s="475" t="s">
        <v>5320</v>
      </c>
      <c r="C1400" s="475" t="s">
        <v>5339</v>
      </c>
      <c r="D1400" s="475" t="s">
        <v>5340</v>
      </c>
      <c r="E1400" s="476" t="s">
        <v>34</v>
      </c>
      <c r="F1400" s="475" t="s">
        <v>34</v>
      </c>
      <c r="G1400" s="364">
        <v>91090</v>
      </c>
      <c r="H1400" s="475" t="s">
        <v>1321</v>
      </c>
      <c r="I1400" s="475" t="s">
        <v>322</v>
      </c>
      <c r="J1400" s="475" t="s">
        <v>140</v>
      </c>
      <c r="K1400" s="365">
        <v>93.52</v>
      </c>
      <c r="L1400" s="475" t="s">
        <v>141</v>
      </c>
      <c r="M1400" s="473"/>
    </row>
    <row r="1401" spans="1:13" ht="13.5">
      <c r="A1401" s="475" t="s">
        <v>5319</v>
      </c>
      <c r="B1401" s="475" t="s">
        <v>5320</v>
      </c>
      <c r="C1401" s="475" t="s">
        <v>5339</v>
      </c>
      <c r="D1401" s="475" t="s">
        <v>5340</v>
      </c>
      <c r="E1401" s="476" t="s">
        <v>34</v>
      </c>
      <c r="F1401" s="475" t="s">
        <v>34</v>
      </c>
      <c r="G1401" s="364">
        <v>91091</v>
      </c>
      <c r="H1401" s="475" t="s">
        <v>1322</v>
      </c>
      <c r="I1401" s="475" t="s">
        <v>322</v>
      </c>
      <c r="J1401" s="475" t="s">
        <v>140</v>
      </c>
      <c r="K1401" s="365">
        <v>103.69</v>
      </c>
      <c r="L1401" s="475" t="s">
        <v>141</v>
      </c>
      <c r="M1401" s="473"/>
    </row>
    <row r="1402" spans="1:13" ht="13.5">
      <c r="A1402" s="475" t="s">
        <v>5319</v>
      </c>
      <c r="B1402" s="475" t="s">
        <v>5320</v>
      </c>
      <c r="C1402" s="475" t="s">
        <v>5339</v>
      </c>
      <c r="D1402" s="475" t="s">
        <v>5340</v>
      </c>
      <c r="E1402" s="476" t="s">
        <v>34</v>
      </c>
      <c r="F1402" s="475" t="s">
        <v>34</v>
      </c>
      <c r="G1402" s="364">
        <v>91092</v>
      </c>
      <c r="H1402" s="475" t="s">
        <v>1323</v>
      </c>
      <c r="I1402" s="475" t="s">
        <v>322</v>
      </c>
      <c r="J1402" s="475" t="s">
        <v>140</v>
      </c>
      <c r="K1402" s="365">
        <v>125.54</v>
      </c>
      <c r="L1402" s="475" t="s">
        <v>141</v>
      </c>
      <c r="M1402" s="473"/>
    </row>
    <row r="1403" spans="1:13" ht="13.5">
      <c r="A1403" s="475" t="s">
        <v>5319</v>
      </c>
      <c r="B1403" s="475" t="s">
        <v>5320</v>
      </c>
      <c r="C1403" s="475" t="s">
        <v>5339</v>
      </c>
      <c r="D1403" s="475" t="s">
        <v>5340</v>
      </c>
      <c r="E1403" s="476" t="s">
        <v>34</v>
      </c>
      <c r="F1403" s="475" t="s">
        <v>34</v>
      </c>
      <c r="G1403" s="364">
        <v>91093</v>
      </c>
      <c r="H1403" s="475" t="s">
        <v>1324</v>
      </c>
      <c r="I1403" s="475" t="s">
        <v>322</v>
      </c>
      <c r="J1403" s="475" t="s">
        <v>140</v>
      </c>
      <c r="K1403" s="365">
        <v>135.97</v>
      </c>
      <c r="L1403" s="475" t="s">
        <v>141</v>
      </c>
      <c r="M1403" s="473"/>
    </row>
    <row r="1404" spans="1:13" ht="13.5">
      <c r="A1404" s="475" t="s">
        <v>5319</v>
      </c>
      <c r="B1404" s="475" t="s">
        <v>5320</v>
      </c>
      <c r="C1404" s="475" t="s">
        <v>5339</v>
      </c>
      <c r="D1404" s="475" t="s">
        <v>5340</v>
      </c>
      <c r="E1404" s="476" t="s">
        <v>34</v>
      </c>
      <c r="F1404" s="475" t="s">
        <v>34</v>
      </c>
      <c r="G1404" s="364">
        <v>91094</v>
      </c>
      <c r="H1404" s="475" t="s">
        <v>1325</v>
      </c>
      <c r="I1404" s="475" t="s">
        <v>322</v>
      </c>
      <c r="J1404" s="475" t="s">
        <v>140</v>
      </c>
      <c r="K1404" s="365">
        <v>111.08</v>
      </c>
      <c r="L1404" s="475" t="s">
        <v>141</v>
      </c>
      <c r="M1404" s="473"/>
    </row>
    <row r="1405" spans="1:13" ht="13.5">
      <c r="A1405" s="475" t="s">
        <v>5319</v>
      </c>
      <c r="B1405" s="475" t="s">
        <v>5320</v>
      </c>
      <c r="C1405" s="475" t="s">
        <v>5339</v>
      </c>
      <c r="D1405" s="475" t="s">
        <v>5340</v>
      </c>
      <c r="E1405" s="476" t="s">
        <v>34</v>
      </c>
      <c r="F1405" s="475" t="s">
        <v>34</v>
      </c>
      <c r="G1405" s="364">
        <v>91095</v>
      </c>
      <c r="H1405" s="475" t="s">
        <v>1326</v>
      </c>
      <c r="I1405" s="475" t="s">
        <v>322</v>
      </c>
      <c r="J1405" s="475" t="s">
        <v>140</v>
      </c>
      <c r="K1405" s="365">
        <v>130.58000000000001</v>
      </c>
      <c r="L1405" s="475" t="s">
        <v>141</v>
      </c>
      <c r="M1405" s="473"/>
    </row>
    <row r="1406" spans="1:13" ht="13.5">
      <c r="A1406" s="475" t="s">
        <v>5319</v>
      </c>
      <c r="B1406" s="475" t="s">
        <v>5320</v>
      </c>
      <c r="C1406" s="475" t="s">
        <v>5339</v>
      </c>
      <c r="D1406" s="475" t="s">
        <v>5340</v>
      </c>
      <c r="E1406" s="476" t="s">
        <v>34</v>
      </c>
      <c r="F1406" s="475" t="s">
        <v>34</v>
      </c>
      <c r="G1406" s="364">
        <v>91096</v>
      </c>
      <c r="H1406" s="475" t="s">
        <v>1327</v>
      </c>
      <c r="I1406" s="475" t="s">
        <v>322</v>
      </c>
      <c r="J1406" s="475" t="s">
        <v>140</v>
      </c>
      <c r="K1406" s="365">
        <v>113.46</v>
      </c>
      <c r="L1406" s="475" t="s">
        <v>141</v>
      </c>
      <c r="M1406" s="473"/>
    </row>
    <row r="1407" spans="1:13" ht="13.5">
      <c r="A1407" s="475" t="s">
        <v>5319</v>
      </c>
      <c r="B1407" s="475" t="s">
        <v>5320</v>
      </c>
      <c r="C1407" s="475" t="s">
        <v>5339</v>
      </c>
      <c r="D1407" s="475" t="s">
        <v>5340</v>
      </c>
      <c r="E1407" s="476" t="s">
        <v>34</v>
      </c>
      <c r="F1407" s="475" t="s">
        <v>34</v>
      </c>
      <c r="G1407" s="364">
        <v>91097</v>
      </c>
      <c r="H1407" s="475" t="s">
        <v>1328</v>
      </c>
      <c r="I1407" s="475" t="s">
        <v>322</v>
      </c>
      <c r="J1407" s="475" t="s">
        <v>140</v>
      </c>
      <c r="K1407" s="365">
        <v>132.87</v>
      </c>
      <c r="L1407" s="475" t="s">
        <v>141</v>
      </c>
      <c r="M1407" s="473"/>
    </row>
    <row r="1408" spans="1:13" ht="13.5">
      <c r="A1408" s="475" t="s">
        <v>5319</v>
      </c>
      <c r="B1408" s="475" t="s">
        <v>5320</v>
      </c>
      <c r="C1408" s="475" t="s">
        <v>5339</v>
      </c>
      <c r="D1408" s="475" t="s">
        <v>5340</v>
      </c>
      <c r="E1408" s="476" t="s">
        <v>34</v>
      </c>
      <c r="F1408" s="475" t="s">
        <v>34</v>
      </c>
      <c r="G1408" s="364">
        <v>91098</v>
      </c>
      <c r="H1408" s="475" t="s">
        <v>1329</v>
      </c>
      <c r="I1408" s="475" t="s">
        <v>322</v>
      </c>
      <c r="J1408" s="475" t="s">
        <v>140</v>
      </c>
      <c r="K1408" s="365">
        <v>122.08</v>
      </c>
      <c r="L1408" s="475" t="s">
        <v>141</v>
      </c>
      <c r="M1408" s="473"/>
    </row>
    <row r="1409" spans="1:13" ht="13.5">
      <c r="A1409" s="475" t="s">
        <v>5319</v>
      </c>
      <c r="B1409" s="475" t="s">
        <v>5320</v>
      </c>
      <c r="C1409" s="475" t="s">
        <v>5339</v>
      </c>
      <c r="D1409" s="475" t="s">
        <v>5340</v>
      </c>
      <c r="E1409" s="476" t="s">
        <v>34</v>
      </c>
      <c r="F1409" s="475" t="s">
        <v>34</v>
      </c>
      <c r="G1409" s="364">
        <v>91099</v>
      </c>
      <c r="H1409" s="475" t="s">
        <v>1330</v>
      </c>
      <c r="I1409" s="475" t="s">
        <v>322</v>
      </c>
      <c r="J1409" s="475" t="s">
        <v>140</v>
      </c>
      <c r="K1409" s="365">
        <v>142.57</v>
      </c>
      <c r="L1409" s="475" t="s">
        <v>141</v>
      </c>
      <c r="M1409" s="473"/>
    </row>
    <row r="1410" spans="1:13" ht="13.5">
      <c r="A1410" s="475" t="s">
        <v>5319</v>
      </c>
      <c r="B1410" s="475" t="s">
        <v>5320</v>
      </c>
      <c r="C1410" s="475" t="s">
        <v>5339</v>
      </c>
      <c r="D1410" s="475" t="s">
        <v>5340</v>
      </c>
      <c r="E1410" s="476" t="s">
        <v>34</v>
      </c>
      <c r="F1410" s="475" t="s">
        <v>34</v>
      </c>
      <c r="G1410" s="364">
        <v>91100</v>
      </c>
      <c r="H1410" s="475" t="s">
        <v>1331</v>
      </c>
      <c r="I1410" s="475" t="s">
        <v>322</v>
      </c>
      <c r="J1410" s="475" t="s">
        <v>140</v>
      </c>
      <c r="K1410" s="365">
        <v>128.35</v>
      </c>
      <c r="L1410" s="475" t="s">
        <v>141</v>
      </c>
      <c r="M1410" s="473"/>
    </row>
    <row r="1411" spans="1:13" ht="13.5">
      <c r="A1411" s="475" t="s">
        <v>5319</v>
      </c>
      <c r="B1411" s="475" t="s">
        <v>5320</v>
      </c>
      <c r="C1411" s="475" t="s">
        <v>5339</v>
      </c>
      <c r="D1411" s="475" t="s">
        <v>5340</v>
      </c>
      <c r="E1411" s="476" t="s">
        <v>34</v>
      </c>
      <c r="F1411" s="475" t="s">
        <v>34</v>
      </c>
      <c r="G1411" s="364">
        <v>91101</v>
      </c>
      <c r="H1411" s="475" t="s">
        <v>1332</v>
      </c>
      <c r="I1411" s="475" t="s">
        <v>322</v>
      </c>
      <c r="J1411" s="475" t="s">
        <v>140</v>
      </c>
      <c r="K1411" s="365">
        <v>148.80000000000001</v>
      </c>
      <c r="L1411" s="475" t="s">
        <v>141</v>
      </c>
      <c r="M1411" s="473"/>
    </row>
    <row r="1412" spans="1:13" ht="13.5">
      <c r="A1412" s="475" t="s">
        <v>5319</v>
      </c>
      <c r="B1412" s="475" t="s">
        <v>5320</v>
      </c>
      <c r="C1412" s="475" t="s">
        <v>5339</v>
      </c>
      <c r="D1412" s="475" t="s">
        <v>5340</v>
      </c>
      <c r="E1412" s="476" t="s">
        <v>34</v>
      </c>
      <c r="F1412" s="475" t="s">
        <v>34</v>
      </c>
      <c r="G1412" s="364">
        <v>93952</v>
      </c>
      <c r="H1412" s="475" t="s">
        <v>1333</v>
      </c>
      <c r="I1412" s="475" t="s">
        <v>139</v>
      </c>
      <c r="J1412" s="475" t="s">
        <v>140</v>
      </c>
      <c r="K1412" s="365">
        <v>142.36000000000001</v>
      </c>
      <c r="L1412" s="475" t="s">
        <v>141</v>
      </c>
      <c r="M1412" s="473"/>
    </row>
    <row r="1413" spans="1:13" ht="13.5">
      <c r="A1413" s="475" t="s">
        <v>5319</v>
      </c>
      <c r="B1413" s="475" t="s">
        <v>5320</v>
      </c>
      <c r="C1413" s="475" t="s">
        <v>5339</v>
      </c>
      <c r="D1413" s="475" t="s">
        <v>5340</v>
      </c>
      <c r="E1413" s="476" t="s">
        <v>34</v>
      </c>
      <c r="F1413" s="475" t="s">
        <v>34</v>
      </c>
      <c r="G1413" s="364">
        <v>93953</v>
      </c>
      <c r="H1413" s="475" t="s">
        <v>1334</v>
      </c>
      <c r="I1413" s="475" t="s">
        <v>139</v>
      </c>
      <c r="J1413" s="475" t="s">
        <v>140</v>
      </c>
      <c r="K1413" s="365">
        <v>132.22999999999999</v>
      </c>
      <c r="L1413" s="475" t="s">
        <v>141</v>
      </c>
      <c r="M1413" s="473"/>
    </row>
    <row r="1414" spans="1:13" ht="13.5">
      <c r="A1414" s="475" t="s">
        <v>5319</v>
      </c>
      <c r="B1414" s="475" t="s">
        <v>5320</v>
      </c>
      <c r="C1414" s="475" t="s">
        <v>5339</v>
      </c>
      <c r="D1414" s="475" t="s">
        <v>5340</v>
      </c>
      <c r="E1414" s="476" t="s">
        <v>34</v>
      </c>
      <c r="F1414" s="475" t="s">
        <v>34</v>
      </c>
      <c r="G1414" s="364">
        <v>93954</v>
      </c>
      <c r="H1414" s="475" t="s">
        <v>1335</v>
      </c>
      <c r="I1414" s="475" t="s">
        <v>139</v>
      </c>
      <c r="J1414" s="475" t="s">
        <v>140</v>
      </c>
      <c r="K1414" s="365">
        <v>126.18</v>
      </c>
      <c r="L1414" s="475" t="s">
        <v>141</v>
      </c>
      <c r="M1414" s="473"/>
    </row>
    <row r="1415" spans="1:13" ht="13.5">
      <c r="A1415" s="475" t="s">
        <v>5319</v>
      </c>
      <c r="B1415" s="475" t="s">
        <v>5320</v>
      </c>
      <c r="C1415" s="475" t="s">
        <v>5339</v>
      </c>
      <c r="D1415" s="475" t="s">
        <v>5340</v>
      </c>
      <c r="E1415" s="476" t="s">
        <v>34</v>
      </c>
      <c r="F1415" s="475" t="s">
        <v>34</v>
      </c>
      <c r="G1415" s="364">
        <v>93955</v>
      </c>
      <c r="H1415" s="475" t="s">
        <v>1336</v>
      </c>
      <c r="I1415" s="475" t="s">
        <v>139</v>
      </c>
      <c r="J1415" s="475" t="s">
        <v>140</v>
      </c>
      <c r="K1415" s="365">
        <v>121.87</v>
      </c>
      <c r="L1415" s="475" t="s">
        <v>141</v>
      </c>
      <c r="M1415" s="473"/>
    </row>
    <row r="1416" spans="1:13" ht="13.5">
      <c r="A1416" s="475" t="s">
        <v>5319</v>
      </c>
      <c r="B1416" s="475" t="s">
        <v>5320</v>
      </c>
      <c r="C1416" s="475" t="s">
        <v>5339</v>
      </c>
      <c r="D1416" s="475" t="s">
        <v>5340</v>
      </c>
      <c r="E1416" s="476" t="s">
        <v>34</v>
      </c>
      <c r="F1416" s="475" t="s">
        <v>34</v>
      </c>
      <c r="G1416" s="364">
        <v>93956</v>
      </c>
      <c r="H1416" s="475" t="s">
        <v>1337</v>
      </c>
      <c r="I1416" s="475" t="s">
        <v>139</v>
      </c>
      <c r="J1416" s="475" t="s">
        <v>140</v>
      </c>
      <c r="K1416" s="365">
        <v>118.51</v>
      </c>
      <c r="L1416" s="475" t="s">
        <v>141</v>
      </c>
      <c r="M1416" s="473"/>
    </row>
    <row r="1417" spans="1:13" ht="13.5">
      <c r="A1417" s="475" t="s">
        <v>5319</v>
      </c>
      <c r="B1417" s="475" t="s">
        <v>5320</v>
      </c>
      <c r="C1417" s="475" t="s">
        <v>5339</v>
      </c>
      <c r="D1417" s="475" t="s">
        <v>5340</v>
      </c>
      <c r="E1417" s="476" t="s">
        <v>34</v>
      </c>
      <c r="F1417" s="475" t="s">
        <v>34</v>
      </c>
      <c r="G1417" s="364">
        <v>93957</v>
      </c>
      <c r="H1417" s="475" t="s">
        <v>1338</v>
      </c>
      <c r="I1417" s="475" t="s">
        <v>139</v>
      </c>
      <c r="J1417" s="475" t="s">
        <v>140</v>
      </c>
      <c r="K1417" s="365">
        <v>148.03</v>
      </c>
      <c r="L1417" s="475" t="s">
        <v>141</v>
      </c>
      <c r="M1417" s="473"/>
    </row>
    <row r="1418" spans="1:13" ht="13.5">
      <c r="A1418" s="475" t="s">
        <v>5319</v>
      </c>
      <c r="B1418" s="475" t="s">
        <v>5320</v>
      </c>
      <c r="C1418" s="475" t="s">
        <v>5339</v>
      </c>
      <c r="D1418" s="475" t="s">
        <v>5340</v>
      </c>
      <c r="E1418" s="476" t="s">
        <v>34</v>
      </c>
      <c r="F1418" s="475" t="s">
        <v>34</v>
      </c>
      <c r="G1418" s="364">
        <v>93958</v>
      </c>
      <c r="H1418" s="475" t="s">
        <v>1339</v>
      </c>
      <c r="I1418" s="475" t="s">
        <v>139</v>
      </c>
      <c r="J1418" s="475" t="s">
        <v>140</v>
      </c>
      <c r="K1418" s="365">
        <v>137.38</v>
      </c>
      <c r="L1418" s="475" t="s">
        <v>141</v>
      </c>
      <c r="M1418" s="473"/>
    </row>
    <row r="1419" spans="1:13" ht="13.5">
      <c r="A1419" s="475" t="s">
        <v>5319</v>
      </c>
      <c r="B1419" s="475" t="s">
        <v>5320</v>
      </c>
      <c r="C1419" s="475" t="s">
        <v>5339</v>
      </c>
      <c r="D1419" s="475" t="s">
        <v>5340</v>
      </c>
      <c r="E1419" s="476" t="s">
        <v>34</v>
      </c>
      <c r="F1419" s="475" t="s">
        <v>34</v>
      </c>
      <c r="G1419" s="364">
        <v>93959</v>
      </c>
      <c r="H1419" s="475" t="s">
        <v>1340</v>
      </c>
      <c r="I1419" s="475" t="s">
        <v>139</v>
      </c>
      <c r="J1419" s="475" t="s">
        <v>140</v>
      </c>
      <c r="K1419" s="365">
        <v>131.07</v>
      </c>
      <c r="L1419" s="475" t="s">
        <v>141</v>
      </c>
      <c r="M1419" s="473"/>
    </row>
    <row r="1420" spans="1:13" ht="13.5">
      <c r="A1420" s="475" t="s">
        <v>5319</v>
      </c>
      <c r="B1420" s="475" t="s">
        <v>5320</v>
      </c>
      <c r="C1420" s="475" t="s">
        <v>5339</v>
      </c>
      <c r="D1420" s="475" t="s">
        <v>5340</v>
      </c>
      <c r="E1420" s="476" t="s">
        <v>34</v>
      </c>
      <c r="F1420" s="475" t="s">
        <v>34</v>
      </c>
      <c r="G1420" s="364">
        <v>93960</v>
      </c>
      <c r="H1420" s="475" t="s">
        <v>1341</v>
      </c>
      <c r="I1420" s="475" t="s">
        <v>139</v>
      </c>
      <c r="J1420" s="475" t="s">
        <v>140</v>
      </c>
      <c r="K1420" s="365">
        <v>126.57</v>
      </c>
      <c r="L1420" s="475" t="s">
        <v>141</v>
      </c>
      <c r="M1420" s="473"/>
    </row>
    <row r="1421" spans="1:13" ht="13.5">
      <c r="A1421" s="475" t="s">
        <v>5319</v>
      </c>
      <c r="B1421" s="475" t="s">
        <v>5320</v>
      </c>
      <c r="C1421" s="475" t="s">
        <v>5339</v>
      </c>
      <c r="D1421" s="475" t="s">
        <v>5340</v>
      </c>
      <c r="E1421" s="476" t="s">
        <v>34</v>
      </c>
      <c r="F1421" s="475" t="s">
        <v>34</v>
      </c>
      <c r="G1421" s="364">
        <v>93961</v>
      </c>
      <c r="H1421" s="475" t="s">
        <v>1342</v>
      </c>
      <c r="I1421" s="475" t="s">
        <v>139</v>
      </c>
      <c r="J1421" s="475" t="s">
        <v>140</v>
      </c>
      <c r="K1421" s="365">
        <v>123.1</v>
      </c>
      <c r="L1421" s="475" t="s">
        <v>141</v>
      </c>
      <c r="M1421" s="473"/>
    </row>
    <row r="1422" spans="1:13" ht="13.5">
      <c r="A1422" s="475" t="s">
        <v>5319</v>
      </c>
      <c r="B1422" s="475" t="s">
        <v>5320</v>
      </c>
      <c r="C1422" s="475" t="s">
        <v>5339</v>
      </c>
      <c r="D1422" s="475" t="s">
        <v>5340</v>
      </c>
      <c r="E1422" s="476" t="s">
        <v>34</v>
      </c>
      <c r="F1422" s="475" t="s">
        <v>34</v>
      </c>
      <c r="G1422" s="364">
        <v>93962</v>
      </c>
      <c r="H1422" s="475" t="s">
        <v>1343</v>
      </c>
      <c r="I1422" s="475" t="s">
        <v>139</v>
      </c>
      <c r="J1422" s="475" t="s">
        <v>140</v>
      </c>
      <c r="K1422" s="365">
        <v>134.41</v>
      </c>
      <c r="L1422" s="475" t="s">
        <v>141</v>
      </c>
      <c r="M1422" s="473"/>
    </row>
    <row r="1423" spans="1:13" ht="13.5">
      <c r="A1423" s="475" t="s">
        <v>5319</v>
      </c>
      <c r="B1423" s="475" t="s">
        <v>5320</v>
      </c>
      <c r="C1423" s="475" t="s">
        <v>5339</v>
      </c>
      <c r="D1423" s="475" t="s">
        <v>5340</v>
      </c>
      <c r="E1423" s="476" t="s">
        <v>34</v>
      </c>
      <c r="F1423" s="475" t="s">
        <v>34</v>
      </c>
      <c r="G1423" s="364">
        <v>93963</v>
      </c>
      <c r="H1423" s="475" t="s">
        <v>1344</v>
      </c>
      <c r="I1423" s="475" t="s">
        <v>139</v>
      </c>
      <c r="J1423" s="475" t="s">
        <v>140</v>
      </c>
      <c r="K1423" s="365">
        <v>124.31</v>
      </c>
      <c r="L1423" s="475" t="s">
        <v>141</v>
      </c>
      <c r="M1423" s="473"/>
    </row>
    <row r="1424" spans="1:13" ht="13.5">
      <c r="A1424" s="475" t="s">
        <v>5319</v>
      </c>
      <c r="B1424" s="475" t="s">
        <v>5320</v>
      </c>
      <c r="C1424" s="475" t="s">
        <v>5339</v>
      </c>
      <c r="D1424" s="475" t="s">
        <v>5340</v>
      </c>
      <c r="E1424" s="476" t="s">
        <v>34</v>
      </c>
      <c r="F1424" s="475" t="s">
        <v>34</v>
      </c>
      <c r="G1424" s="364">
        <v>93964</v>
      </c>
      <c r="H1424" s="475" t="s">
        <v>1345</v>
      </c>
      <c r="I1424" s="475" t="s">
        <v>139</v>
      </c>
      <c r="J1424" s="475" t="s">
        <v>140</v>
      </c>
      <c r="K1424" s="365">
        <v>118.28</v>
      </c>
      <c r="L1424" s="475" t="s">
        <v>141</v>
      </c>
      <c r="M1424" s="473"/>
    </row>
    <row r="1425" spans="1:13" ht="13.5">
      <c r="A1425" s="475" t="s">
        <v>5319</v>
      </c>
      <c r="B1425" s="475" t="s">
        <v>5320</v>
      </c>
      <c r="C1425" s="475" t="s">
        <v>5339</v>
      </c>
      <c r="D1425" s="475" t="s">
        <v>5340</v>
      </c>
      <c r="E1425" s="476" t="s">
        <v>34</v>
      </c>
      <c r="F1425" s="475" t="s">
        <v>34</v>
      </c>
      <c r="G1425" s="364">
        <v>93965</v>
      </c>
      <c r="H1425" s="475" t="s">
        <v>1346</v>
      </c>
      <c r="I1425" s="475" t="s">
        <v>139</v>
      </c>
      <c r="J1425" s="475" t="s">
        <v>140</v>
      </c>
      <c r="K1425" s="365">
        <v>112.5</v>
      </c>
      <c r="L1425" s="475" t="s">
        <v>141</v>
      </c>
      <c r="M1425" s="473"/>
    </row>
    <row r="1426" spans="1:13" ht="13.5">
      <c r="A1426" s="475" t="s">
        <v>5319</v>
      </c>
      <c r="B1426" s="475" t="s">
        <v>5320</v>
      </c>
      <c r="C1426" s="475" t="s">
        <v>5339</v>
      </c>
      <c r="D1426" s="475" t="s">
        <v>5340</v>
      </c>
      <c r="E1426" s="476" t="s">
        <v>34</v>
      </c>
      <c r="F1426" s="475" t="s">
        <v>34</v>
      </c>
      <c r="G1426" s="364">
        <v>93966</v>
      </c>
      <c r="H1426" s="475" t="s">
        <v>1347</v>
      </c>
      <c r="I1426" s="475" t="s">
        <v>139</v>
      </c>
      <c r="J1426" s="475" t="s">
        <v>140</v>
      </c>
      <c r="K1426" s="365">
        <v>110.68</v>
      </c>
      <c r="L1426" s="475" t="s">
        <v>141</v>
      </c>
      <c r="M1426" s="473"/>
    </row>
    <row r="1427" spans="1:13" ht="13.5">
      <c r="A1427" s="475" t="s">
        <v>5319</v>
      </c>
      <c r="B1427" s="475" t="s">
        <v>5320</v>
      </c>
      <c r="C1427" s="475" t="s">
        <v>5339</v>
      </c>
      <c r="D1427" s="475" t="s">
        <v>5340</v>
      </c>
      <c r="E1427" s="476" t="s">
        <v>34</v>
      </c>
      <c r="F1427" s="475" t="s">
        <v>34</v>
      </c>
      <c r="G1427" s="364">
        <v>93967</v>
      </c>
      <c r="H1427" s="475" t="s">
        <v>1348</v>
      </c>
      <c r="I1427" s="475" t="s">
        <v>139</v>
      </c>
      <c r="J1427" s="475" t="s">
        <v>140</v>
      </c>
      <c r="K1427" s="365">
        <v>140.08000000000001</v>
      </c>
      <c r="L1427" s="475" t="s">
        <v>141</v>
      </c>
      <c r="M1427" s="473"/>
    </row>
    <row r="1428" spans="1:13" ht="13.5">
      <c r="A1428" s="475" t="s">
        <v>5319</v>
      </c>
      <c r="B1428" s="475" t="s">
        <v>5320</v>
      </c>
      <c r="C1428" s="475" t="s">
        <v>5339</v>
      </c>
      <c r="D1428" s="475" t="s">
        <v>5340</v>
      </c>
      <c r="E1428" s="476" t="s">
        <v>34</v>
      </c>
      <c r="F1428" s="475" t="s">
        <v>34</v>
      </c>
      <c r="G1428" s="364">
        <v>93968</v>
      </c>
      <c r="H1428" s="475" t="s">
        <v>1349</v>
      </c>
      <c r="I1428" s="475" t="s">
        <v>139</v>
      </c>
      <c r="J1428" s="475" t="s">
        <v>140</v>
      </c>
      <c r="K1428" s="365">
        <v>129.44999999999999</v>
      </c>
      <c r="L1428" s="475" t="s">
        <v>141</v>
      </c>
      <c r="M1428" s="473"/>
    </row>
    <row r="1429" spans="1:13" ht="13.5">
      <c r="A1429" s="475" t="s">
        <v>5319</v>
      </c>
      <c r="B1429" s="475" t="s">
        <v>5320</v>
      </c>
      <c r="C1429" s="475" t="s">
        <v>5339</v>
      </c>
      <c r="D1429" s="475" t="s">
        <v>5340</v>
      </c>
      <c r="E1429" s="476" t="s">
        <v>34</v>
      </c>
      <c r="F1429" s="475" t="s">
        <v>34</v>
      </c>
      <c r="G1429" s="364">
        <v>93969</v>
      </c>
      <c r="H1429" s="475" t="s">
        <v>1350</v>
      </c>
      <c r="I1429" s="475" t="s">
        <v>139</v>
      </c>
      <c r="J1429" s="475" t="s">
        <v>140</v>
      </c>
      <c r="K1429" s="365">
        <v>123.15</v>
      </c>
      <c r="L1429" s="475" t="s">
        <v>141</v>
      </c>
      <c r="M1429" s="473"/>
    </row>
    <row r="1430" spans="1:13" ht="13.5">
      <c r="A1430" s="475" t="s">
        <v>5319</v>
      </c>
      <c r="B1430" s="475" t="s">
        <v>5320</v>
      </c>
      <c r="C1430" s="475" t="s">
        <v>5339</v>
      </c>
      <c r="D1430" s="475" t="s">
        <v>5340</v>
      </c>
      <c r="E1430" s="476" t="s">
        <v>34</v>
      </c>
      <c r="F1430" s="475" t="s">
        <v>34</v>
      </c>
      <c r="G1430" s="364">
        <v>93970</v>
      </c>
      <c r="H1430" s="475" t="s">
        <v>1351</v>
      </c>
      <c r="I1430" s="475" t="s">
        <v>139</v>
      </c>
      <c r="J1430" s="475" t="s">
        <v>140</v>
      </c>
      <c r="K1430" s="365">
        <v>118.73</v>
      </c>
      <c r="L1430" s="475" t="s">
        <v>141</v>
      </c>
      <c r="M1430" s="473"/>
    </row>
    <row r="1431" spans="1:13" ht="13.5">
      <c r="A1431" s="475" t="s">
        <v>5319</v>
      </c>
      <c r="B1431" s="475" t="s">
        <v>5320</v>
      </c>
      <c r="C1431" s="475" t="s">
        <v>5339</v>
      </c>
      <c r="D1431" s="475" t="s">
        <v>5340</v>
      </c>
      <c r="E1431" s="476" t="s">
        <v>34</v>
      </c>
      <c r="F1431" s="475" t="s">
        <v>34</v>
      </c>
      <c r="G1431" s="364">
        <v>93971</v>
      </c>
      <c r="H1431" s="475" t="s">
        <v>1352</v>
      </c>
      <c r="I1431" s="475" t="s">
        <v>139</v>
      </c>
      <c r="J1431" s="475" t="s">
        <v>140</v>
      </c>
      <c r="K1431" s="365">
        <v>111.78</v>
      </c>
      <c r="L1431" s="475" t="s">
        <v>141</v>
      </c>
      <c r="M1431" s="473"/>
    </row>
    <row r="1432" spans="1:13" ht="13.5">
      <c r="A1432" s="475" t="s">
        <v>5319</v>
      </c>
      <c r="B1432" s="475" t="s">
        <v>5320</v>
      </c>
      <c r="C1432" s="475" t="s">
        <v>5339</v>
      </c>
      <c r="D1432" s="475" t="s">
        <v>5340</v>
      </c>
      <c r="E1432" s="476" t="s">
        <v>34</v>
      </c>
      <c r="F1432" s="475" t="s">
        <v>34</v>
      </c>
      <c r="G1432" s="364">
        <v>95108</v>
      </c>
      <c r="H1432" s="475" t="s">
        <v>1353</v>
      </c>
      <c r="I1432" s="475" t="s">
        <v>171</v>
      </c>
      <c r="J1432" s="475" t="s">
        <v>337</v>
      </c>
      <c r="K1432" s="365">
        <v>21.37</v>
      </c>
      <c r="L1432" s="475" t="s">
        <v>141</v>
      </c>
      <c r="M1432" s="473"/>
    </row>
    <row r="1433" spans="1:13" ht="13.5">
      <c r="A1433" s="475" t="s">
        <v>5319</v>
      </c>
      <c r="B1433" s="475" t="s">
        <v>5320</v>
      </c>
      <c r="C1433" s="475" t="s">
        <v>5339</v>
      </c>
      <c r="D1433" s="475" t="s">
        <v>5340</v>
      </c>
      <c r="E1433" s="476" t="s">
        <v>34</v>
      </c>
      <c r="F1433" s="475" t="s">
        <v>34</v>
      </c>
      <c r="G1433" s="364">
        <v>100332</v>
      </c>
      <c r="H1433" s="475" t="s">
        <v>15118</v>
      </c>
      <c r="I1433" s="475" t="s">
        <v>322</v>
      </c>
      <c r="J1433" s="475" t="s">
        <v>140</v>
      </c>
      <c r="K1433" s="365">
        <v>504.1</v>
      </c>
      <c r="L1433" s="475" t="s">
        <v>141</v>
      </c>
      <c r="M1433" s="473"/>
    </row>
    <row r="1434" spans="1:13" ht="13.5">
      <c r="A1434" s="475" t="s">
        <v>5319</v>
      </c>
      <c r="B1434" s="475" t="s">
        <v>5320</v>
      </c>
      <c r="C1434" s="475" t="s">
        <v>5339</v>
      </c>
      <c r="D1434" s="475" t="s">
        <v>5340</v>
      </c>
      <c r="E1434" s="476" t="s">
        <v>34</v>
      </c>
      <c r="F1434" s="475" t="s">
        <v>34</v>
      </c>
      <c r="G1434" s="364">
        <v>100333</v>
      </c>
      <c r="H1434" s="475" t="s">
        <v>15119</v>
      </c>
      <c r="I1434" s="475" t="s">
        <v>322</v>
      </c>
      <c r="J1434" s="475" t="s">
        <v>140</v>
      </c>
      <c r="K1434" s="365">
        <v>313.35000000000002</v>
      </c>
      <c r="L1434" s="475" t="s">
        <v>141</v>
      </c>
      <c r="M1434" s="473"/>
    </row>
    <row r="1435" spans="1:13" ht="13.5">
      <c r="A1435" s="475" t="s">
        <v>5319</v>
      </c>
      <c r="B1435" s="475" t="s">
        <v>5320</v>
      </c>
      <c r="C1435" s="475" t="s">
        <v>5339</v>
      </c>
      <c r="D1435" s="475" t="s">
        <v>5340</v>
      </c>
      <c r="E1435" s="476" t="s">
        <v>34</v>
      </c>
      <c r="F1435" s="475" t="s">
        <v>34</v>
      </c>
      <c r="G1435" s="364">
        <v>100334</v>
      </c>
      <c r="H1435" s="475" t="s">
        <v>15120</v>
      </c>
      <c r="I1435" s="475" t="s">
        <v>322</v>
      </c>
      <c r="J1435" s="475" t="s">
        <v>140</v>
      </c>
      <c r="K1435" s="365">
        <v>400.36</v>
      </c>
      <c r="L1435" s="475" t="s">
        <v>141</v>
      </c>
      <c r="M1435" s="473"/>
    </row>
    <row r="1436" spans="1:13" ht="13.5">
      <c r="A1436" s="475" t="s">
        <v>5319</v>
      </c>
      <c r="B1436" s="475" t="s">
        <v>5320</v>
      </c>
      <c r="C1436" s="475" t="s">
        <v>5339</v>
      </c>
      <c r="D1436" s="475" t="s">
        <v>5340</v>
      </c>
      <c r="E1436" s="476" t="s">
        <v>34</v>
      </c>
      <c r="F1436" s="475" t="s">
        <v>34</v>
      </c>
      <c r="G1436" s="364">
        <v>100335</v>
      </c>
      <c r="H1436" s="475" t="s">
        <v>15121</v>
      </c>
      <c r="I1436" s="475" t="s">
        <v>322</v>
      </c>
      <c r="J1436" s="475" t="s">
        <v>140</v>
      </c>
      <c r="K1436" s="365">
        <v>257.3</v>
      </c>
      <c r="L1436" s="475" t="s">
        <v>141</v>
      </c>
      <c r="M1436" s="473"/>
    </row>
    <row r="1437" spans="1:13" ht="13.5">
      <c r="A1437" s="475" t="s">
        <v>5319</v>
      </c>
      <c r="B1437" s="475" t="s">
        <v>5320</v>
      </c>
      <c r="C1437" s="475" t="s">
        <v>5339</v>
      </c>
      <c r="D1437" s="475" t="s">
        <v>5340</v>
      </c>
      <c r="E1437" s="476" t="s">
        <v>34</v>
      </c>
      <c r="F1437" s="475" t="s">
        <v>34</v>
      </c>
      <c r="G1437" s="364">
        <v>100341</v>
      </c>
      <c r="H1437" s="475" t="s">
        <v>15122</v>
      </c>
      <c r="I1437" s="475" t="s">
        <v>322</v>
      </c>
      <c r="J1437" s="475" t="s">
        <v>337</v>
      </c>
      <c r="K1437" s="365">
        <v>22.15</v>
      </c>
      <c r="L1437" s="475" t="s">
        <v>141</v>
      </c>
      <c r="M1437" s="473"/>
    </row>
    <row r="1438" spans="1:13" ht="13.5">
      <c r="A1438" s="475" t="s">
        <v>5319</v>
      </c>
      <c r="B1438" s="475" t="s">
        <v>5320</v>
      </c>
      <c r="C1438" s="475" t="s">
        <v>5339</v>
      </c>
      <c r="D1438" s="475" t="s">
        <v>5340</v>
      </c>
      <c r="E1438" s="476" t="s">
        <v>34</v>
      </c>
      <c r="F1438" s="475" t="s">
        <v>34</v>
      </c>
      <c r="G1438" s="364">
        <v>100342</v>
      </c>
      <c r="H1438" s="475" t="s">
        <v>15123</v>
      </c>
      <c r="I1438" s="475" t="s">
        <v>315</v>
      </c>
      <c r="J1438" s="475" t="s">
        <v>140</v>
      </c>
      <c r="K1438" s="365">
        <v>8.98</v>
      </c>
      <c r="L1438" s="475" t="s">
        <v>141</v>
      </c>
      <c r="M1438" s="473"/>
    </row>
    <row r="1439" spans="1:13" ht="13.5">
      <c r="A1439" s="475" t="s">
        <v>5319</v>
      </c>
      <c r="B1439" s="475" t="s">
        <v>5320</v>
      </c>
      <c r="C1439" s="475" t="s">
        <v>5339</v>
      </c>
      <c r="D1439" s="475" t="s">
        <v>5340</v>
      </c>
      <c r="E1439" s="476" t="s">
        <v>34</v>
      </c>
      <c r="F1439" s="475" t="s">
        <v>34</v>
      </c>
      <c r="G1439" s="364">
        <v>100343</v>
      </c>
      <c r="H1439" s="475" t="s">
        <v>15124</v>
      </c>
      <c r="I1439" s="475" t="s">
        <v>315</v>
      </c>
      <c r="J1439" s="475" t="s">
        <v>140</v>
      </c>
      <c r="K1439" s="365">
        <v>8.81</v>
      </c>
      <c r="L1439" s="475" t="s">
        <v>141</v>
      </c>
      <c r="M1439" s="473"/>
    </row>
    <row r="1440" spans="1:13" ht="13.5">
      <c r="A1440" s="475" t="s">
        <v>5319</v>
      </c>
      <c r="B1440" s="475" t="s">
        <v>5320</v>
      </c>
      <c r="C1440" s="475" t="s">
        <v>5339</v>
      </c>
      <c r="D1440" s="475" t="s">
        <v>5340</v>
      </c>
      <c r="E1440" s="476" t="s">
        <v>34</v>
      </c>
      <c r="F1440" s="475" t="s">
        <v>34</v>
      </c>
      <c r="G1440" s="364">
        <v>100344</v>
      </c>
      <c r="H1440" s="475" t="s">
        <v>15125</v>
      </c>
      <c r="I1440" s="475" t="s">
        <v>315</v>
      </c>
      <c r="J1440" s="475" t="s">
        <v>140</v>
      </c>
      <c r="K1440" s="365">
        <v>7.2</v>
      </c>
      <c r="L1440" s="475" t="s">
        <v>141</v>
      </c>
      <c r="M1440" s="473"/>
    </row>
    <row r="1441" spans="1:13" ht="13.5">
      <c r="A1441" s="475" t="s">
        <v>5319</v>
      </c>
      <c r="B1441" s="475" t="s">
        <v>5320</v>
      </c>
      <c r="C1441" s="475" t="s">
        <v>5339</v>
      </c>
      <c r="D1441" s="475" t="s">
        <v>5340</v>
      </c>
      <c r="E1441" s="476" t="s">
        <v>34</v>
      </c>
      <c r="F1441" s="475" t="s">
        <v>34</v>
      </c>
      <c r="G1441" s="364">
        <v>100345</v>
      </c>
      <c r="H1441" s="475" t="s">
        <v>15126</v>
      </c>
      <c r="I1441" s="475" t="s">
        <v>315</v>
      </c>
      <c r="J1441" s="475" t="s">
        <v>140</v>
      </c>
      <c r="K1441" s="365">
        <v>6.46</v>
      </c>
      <c r="L1441" s="475" t="s">
        <v>141</v>
      </c>
      <c r="M1441" s="473"/>
    </row>
    <row r="1442" spans="1:13" ht="13.5">
      <c r="A1442" s="475" t="s">
        <v>5319</v>
      </c>
      <c r="B1442" s="475" t="s">
        <v>5320</v>
      </c>
      <c r="C1442" s="475" t="s">
        <v>5339</v>
      </c>
      <c r="D1442" s="475" t="s">
        <v>5340</v>
      </c>
      <c r="E1442" s="476" t="s">
        <v>34</v>
      </c>
      <c r="F1442" s="475" t="s">
        <v>34</v>
      </c>
      <c r="G1442" s="364">
        <v>100346</v>
      </c>
      <c r="H1442" s="475" t="s">
        <v>15127</v>
      </c>
      <c r="I1442" s="475" t="s">
        <v>315</v>
      </c>
      <c r="J1442" s="475" t="s">
        <v>140</v>
      </c>
      <c r="K1442" s="365">
        <v>6.06</v>
      </c>
      <c r="L1442" s="475" t="s">
        <v>141</v>
      </c>
      <c r="M1442" s="473"/>
    </row>
    <row r="1443" spans="1:13" ht="13.5">
      <c r="A1443" s="475" t="s">
        <v>5319</v>
      </c>
      <c r="B1443" s="475" t="s">
        <v>5320</v>
      </c>
      <c r="C1443" s="475" t="s">
        <v>5339</v>
      </c>
      <c r="D1443" s="475" t="s">
        <v>5340</v>
      </c>
      <c r="E1443" s="476" t="s">
        <v>34</v>
      </c>
      <c r="F1443" s="475" t="s">
        <v>34</v>
      </c>
      <c r="G1443" s="364">
        <v>100347</v>
      </c>
      <c r="H1443" s="475" t="s">
        <v>15128</v>
      </c>
      <c r="I1443" s="475" t="s">
        <v>315</v>
      </c>
      <c r="J1443" s="475" t="s">
        <v>140</v>
      </c>
      <c r="K1443" s="365">
        <v>5.58</v>
      </c>
      <c r="L1443" s="475" t="s">
        <v>141</v>
      </c>
      <c r="M1443" s="473"/>
    </row>
    <row r="1444" spans="1:13" ht="13.5">
      <c r="A1444" s="475" t="s">
        <v>5319</v>
      </c>
      <c r="B1444" s="475" t="s">
        <v>5320</v>
      </c>
      <c r="C1444" s="475" t="s">
        <v>5339</v>
      </c>
      <c r="D1444" s="475" t="s">
        <v>5340</v>
      </c>
      <c r="E1444" s="476" t="s">
        <v>34</v>
      </c>
      <c r="F1444" s="475" t="s">
        <v>34</v>
      </c>
      <c r="G1444" s="364">
        <v>100348</v>
      </c>
      <c r="H1444" s="475" t="s">
        <v>15129</v>
      </c>
      <c r="I1444" s="475" t="s">
        <v>315</v>
      </c>
      <c r="J1444" s="475" t="s">
        <v>140</v>
      </c>
      <c r="K1444" s="365">
        <v>6.13</v>
      </c>
      <c r="L1444" s="475" t="s">
        <v>141</v>
      </c>
      <c r="M1444" s="473"/>
    </row>
    <row r="1445" spans="1:13" ht="13.5">
      <c r="A1445" s="475" t="s">
        <v>5319</v>
      </c>
      <c r="B1445" s="475" t="s">
        <v>5320</v>
      </c>
      <c r="C1445" s="475" t="s">
        <v>5339</v>
      </c>
      <c r="D1445" s="475" t="s">
        <v>5340</v>
      </c>
      <c r="E1445" s="476" t="s">
        <v>34</v>
      </c>
      <c r="F1445" s="475" t="s">
        <v>34</v>
      </c>
      <c r="G1445" s="364">
        <v>100349</v>
      </c>
      <c r="H1445" s="475" t="s">
        <v>15130</v>
      </c>
      <c r="I1445" s="475" t="s">
        <v>1261</v>
      </c>
      <c r="J1445" s="475" t="s">
        <v>140</v>
      </c>
      <c r="K1445" s="365">
        <v>353.75</v>
      </c>
      <c r="L1445" s="475" t="s">
        <v>141</v>
      </c>
      <c r="M1445" s="473"/>
    </row>
    <row r="1446" spans="1:13" ht="13.5">
      <c r="A1446" s="475" t="s">
        <v>5319</v>
      </c>
      <c r="B1446" s="475" t="s">
        <v>5320</v>
      </c>
      <c r="C1446" s="475" t="s">
        <v>5341</v>
      </c>
      <c r="D1446" s="475" t="s">
        <v>5342</v>
      </c>
      <c r="E1446" s="476">
        <v>73799</v>
      </c>
      <c r="F1446" s="475" t="s">
        <v>5343</v>
      </c>
      <c r="G1446" s="364" t="s">
        <v>1354</v>
      </c>
      <c r="H1446" s="475" t="s">
        <v>1355</v>
      </c>
      <c r="I1446" s="475" t="s">
        <v>171</v>
      </c>
      <c r="J1446" s="475" t="s">
        <v>140</v>
      </c>
      <c r="K1446" s="365">
        <v>286.39999999999998</v>
      </c>
      <c r="L1446" s="475" t="s">
        <v>141</v>
      </c>
      <c r="M1446" s="473"/>
    </row>
    <row r="1447" spans="1:13" ht="13.5">
      <c r="A1447" s="475" t="s">
        <v>5319</v>
      </c>
      <c r="B1447" s="475" t="s">
        <v>5320</v>
      </c>
      <c r="C1447" s="475" t="s">
        <v>5341</v>
      </c>
      <c r="D1447" s="475" t="s">
        <v>5342</v>
      </c>
      <c r="E1447" s="476">
        <v>73856</v>
      </c>
      <c r="F1447" s="475" t="s">
        <v>5344</v>
      </c>
      <c r="G1447" s="364" t="s">
        <v>1356</v>
      </c>
      <c r="H1447" s="475" t="s">
        <v>1357</v>
      </c>
      <c r="I1447" s="475" t="s">
        <v>171</v>
      </c>
      <c r="J1447" s="475" t="s">
        <v>140</v>
      </c>
      <c r="K1447" s="365">
        <v>562.98</v>
      </c>
      <c r="L1447" s="475" t="s">
        <v>141</v>
      </c>
      <c r="M1447" s="473"/>
    </row>
    <row r="1448" spans="1:13" ht="13.5">
      <c r="A1448" s="475" t="s">
        <v>5319</v>
      </c>
      <c r="B1448" s="475" t="s">
        <v>5320</v>
      </c>
      <c r="C1448" s="475" t="s">
        <v>5341</v>
      </c>
      <c r="D1448" s="475" t="s">
        <v>5342</v>
      </c>
      <c r="E1448" s="476">
        <v>73856</v>
      </c>
      <c r="F1448" s="475" t="s">
        <v>5344</v>
      </c>
      <c r="G1448" s="364" t="s">
        <v>1358</v>
      </c>
      <c r="H1448" s="475" t="s">
        <v>1359</v>
      </c>
      <c r="I1448" s="475" t="s">
        <v>171</v>
      </c>
      <c r="J1448" s="475" t="s">
        <v>140</v>
      </c>
      <c r="K1448" s="365">
        <v>920.83</v>
      </c>
      <c r="L1448" s="475" t="s">
        <v>141</v>
      </c>
      <c r="M1448" s="473"/>
    </row>
    <row r="1449" spans="1:13" ht="13.5">
      <c r="A1449" s="475" t="s">
        <v>5319</v>
      </c>
      <c r="B1449" s="475" t="s">
        <v>5320</v>
      </c>
      <c r="C1449" s="475" t="s">
        <v>5341</v>
      </c>
      <c r="D1449" s="475" t="s">
        <v>5342</v>
      </c>
      <c r="E1449" s="476">
        <v>73856</v>
      </c>
      <c r="F1449" s="475" t="s">
        <v>5344</v>
      </c>
      <c r="G1449" s="364" t="s">
        <v>1360</v>
      </c>
      <c r="H1449" s="475" t="s">
        <v>1361</v>
      </c>
      <c r="I1449" s="475" t="s">
        <v>171</v>
      </c>
      <c r="J1449" s="475" t="s">
        <v>140</v>
      </c>
      <c r="K1449" s="365">
        <v>1377.92</v>
      </c>
      <c r="L1449" s="475" t="s">
        <v>141</v>
      </c>
      <c r="M1449" s="473"/>
    </row>
    <row r="1450" spans="1:13" ht="13.5">
      <c r="A1450" s="475" t="s">
        <v>5319</v>
      </c>
      <c r="B1450" s="475" t="s">
        <v>5320</v>
      </c>
      <c r="C1450" s="475" t="s">
        <v>5341</v>
      </c>
      <c r="D1450" s="475" t="s">
        <v>5342</v>
      </c>
      <c r="E1450" s="476">
        <v>73856</v>
      </c>
      <c r="F1450" s="475" t="s">
        <v>5344</v>
      </c>
      <c r="G1450" s="364" t="s">
        <v>1362</v>
      </c>
      <c r="H1450" s="475" t="s">
        <v>1363</v>
      </c>
      <c r="I1450" s="475" t="s">
        <v>171</v>
      </c>
      <c r="J1450" s="475" t="s">
        <v>140</v>
      </c>
      <c r="K1450" s="365">
        <v>1940.81</v>
      </c>
      <c r="L1450" s="475" t="s">
        <v>141</v>
      </c>
      <c r="M1450" s="473"/>
    </row>
    <row r="1451" spans="1:13" ht="13.5">
      <c r="A1451" s="475" t="s">
        <v>5319</v>
      </c>
      <c r="B1451" s="475" t="s">
        <v>5320</v>
      </c>
      <c r="C1451" s="475" t="s">
        <v>5341</v>
      </c>
      <c r="D1451" s="475" t="s">
        <v>5342</v>
      </c>
      <c r="E1451" s="476">
        <v>73856</v>
      </c>
      <c r="F1451" s="475" t="s">
        <v>5344</v>
      </c>
      <c r="G1451" s="364" t="s">
        <v>1364</v>
      </c>
      <c r="H1451" s="475" t="s">
        <v>1365</v>
      </c>
      <c r="I1451" s="475" t="s">
        <v>171</v>
      </c>
      <c r="J1451" s="475" t="s">
        <v>140</v>
      </c>
      <c r="K1451" s="365">
        <v>2614.71</v>
      </c>
      <c r="L1451" s="475" t="s">
        <v>141</v>
      </c>
      <c r="M1451" s="473"/>
    </row>
    <row r="1452" spans="1:13" ht="13.5">
      <c r="A1452" s="475" t="s">
        <v>5319</v>
      </c>
      <c r="B1452" s="475" t="s">
        <v>5320</v>
      </c>
      <c r="C1452" s="475" t="s">
        <v>5341</v>
      </c>
      <c r="D1452" s="475" t="s">
        <v>5342</v>
      </c>
      <c r="E1452" s="476">
        <v>73856</v>
      </c>
      <c r="F1452" s="475" t="s">
        <v>5344</v>
      </c>
      <c r="G1452" s="364" t="s">
        <v>1366</v>
      </c>
      <c r="H1452" s="475" t="s">
        <v>1367</v>
      </c>
      <c r="I1452" s="475" t="s">
        <v>171</v>
      </c>
      <c r="J1452" s="475" t="s">
        <v>140</v>
      </c>
      <c r="K1452" s="365">
        <v>794</v>
      </c>
      <c r="L1452" s="475" t="s">
        <v>141</v>
      </c>
      <c r="M1452" s="473"/>
    </row>
    <row r="1453" spans="1:13" ht="13.5">
      <c r="A1453" s="475" t="s">
        <v>5319</v>
      </c>
      <c r="B1453" s="475" t="s">
        <v>5320</v>
      </c>
      <c r="C1453" s="475" t="s">
        <v>5341</v>
      </c>
      <c r="D1453" s="475" t="s">
        <v>5342</v>
      </c>
      <c r="E1453" s="476">
        <v>73856</v>
      </c>
      <c r="F1453" s="475" t="s">
        <v>5344</v>
      </c>
      <c r="G1453" s="364" t="s">
        <v>1368</v>
      </c>
      <c r="H1453" s="475" t="s">
        <v>1369</v>
      </c>
      <c r="I1453" s="475" t="s">
        <v>171</v>
      </c>
      <c r="J1453" s="475" t="s">
        <v>140</v>
      </c>
      <c r="K1453" s="365">
        <v>1306.3900000000001</v>
      </c>
      <c r="L1453" s="475" t="s">
        <v>141</v>
      </c>
      <c r="M1453" s="473"/>
    </row>
    <row r="1454" spans="1:13" ht="13.5">
      <c r="A1454" s="475" t="s">
        <v>5319</v>
      </c>
      <c r="B1454" s="475" t="s">
        <v>5320</v>
      </c>
      <c r="C1454" s="475" t="s">
        <v>5341</v>
      </c>
      <c r="D1454" s="475" t="s">
        <v>5342</v>
      </c>
      <c r="E1454" s="476">
        <v>73856</v>
      </c>
      <c r="F1454" s="475" t="s">
        <v>5344</v>
      </c>
      <c r="G1454" s="364" t="s">
        <v>1370</v>
      </c>
      <c r="H1454" s="475" t="s">
        <v>1371</v>
      </c>
      <c r="I1454" s="475" t="s">
        <v>171</v>
      </c>
      <c r="J1454" s="475" t="s">
        <v>140</v>
      </c>
      <c r="K1454" s="365">
        <v>1958.54</v>
      </c>
      <c r="L1454" s="475" t="s">
        <v>141</v>
      </c>
      <c r="M1454" s="473"/>
    </row>
    <row r="1455" spans="1:13" ht="13.5">
      <c r="A1455" s="475" t="s">
        <v>5319</v>
      </c>
      <c r="B1455" s="475" t="s">
        <v>5320</v>
      </c>
      <c r="C1455" s="475" t="s">
        <v>5341</v>
      </c>
      <c r="D1455" s="475" t="s">
        <v>5342</v>
      </c>
      <c r="E1455" s="476">
        <v>73856</v>
      </c>
      <c r="F1455" s="475" t="s">
        <v>5344</v>
      </c>
      <c r="G1455" s="364" t="s">
        <v>1372</v>
      </c>
      <c r="H1455" s="475" t="s">
        <v>1373</v>
      </c>
      <c r="I1455" s="475" t="s">
        <v>171</v>
      </c>
      <c r="J1455" s="475" t="s">
        <v>140</v>
      </c>
      <c r="K1455" s="365">
        <v>2490.84</v>
      </c>
      <c r="L1455" s="475" t="s">
        <v>141</v>
      </c>
      <c r="M1455" s="473"/>
    </row>
    <row r="1456" spans="1:13" ht="13.5">
      <c r="A1456" s="475" t="s">
        <v>5319</v>
      </c>
      <c r="B1456" s="475" t="s">
        <v>5320</v>
      </c>
      <c r="C1456" s="475" t="s">
        <v>5341</v>
      </c>
      <c r="D1456" s="475" t="s">
        <v>5342</v>
      </c>
      <c r="E1456" s="476">
        <v>73856</v>
      </c>
      <c r="F1456" s="475" t="s">
        <v>5344</v>
      </c>
      <c r="G1456" s="364" t="s">
        <v>1374</v>
      </c>
      <c r="H1456" s="475" t="s">
        <v>1375</v>
      </c>
      <c r="I1456" s="475" t="s">
        <v>171</v>
      </c>
      <c r="J1456" s="475" t="s">
        <v>140</v>
      </c>
      <c r="K1456" s="365">
        <v>3710.66</v>
      </c>
      <c r="L1456" s="475" t="s">
        <v>141</v>
      </c>
      <c r="M1456" s="473"/>
    </row>
    <row r="1457" spans="1:13" ht="13.5">
      <c r="A1457" s="475" t="s">
        <v>5319</v>
      </c>
      <c r="B1457" s="475" t="s">
        <v>5320</v>
      </c>
      <c r="C1457" s="475" t="s">
        <v>5341</v>
      </c>
      <c r="D1457" s="475" t="s">
        <v>5342</v>
      </c>
      <c r="E1457" s="476">
        <v>73856</v>
      </c>
      <c r="F1457" s="475" t="s">
        <v>5344</v>
      </c>
      <c r="G1457" s="364" t="s">
        <v>1376</v>
      </c>
      <c r="H1457" s="475" t="s">
        <v>1377</v>
      </c>
      <c r="I1457" s="475" t="s">
        <v>171</v>
      </c>
      <c r="J1457" s="475" t="s">
        <v>140</v>
      </c>
      <c r="K1457" s="365">
        <v>1024.5899999999999</v>
      </c>
      <c r="L1457" s="475" t="s">
        <v>141</v>
      </c>
      <c r="M1457" s="473"/>
    </row>
    <row r="1458" spans="1:13" ht="13.5">
      <c r="A1458" s="475" t="s">
        <v>5319</v>
      </c>
      <c r="B1458" s="475" t="s">
        <v>5320</v>
      </c>
      <c r="C1458" s="475" t="s">
        <v>5341</v>
      </c>
      <c r="D1458" s="475" t="s">
        <v>5342</v>
      </c>
      <c r="E1458" s="476">
        <v>73856</v>
      </c>
      <c r="F1458" s="475" t="s">
        <v>5344</v>
      </c>
      <c r="G1458" s="364" t="s">
        <v>1378</v>
      </c>
      <c r="H1458" s="475" t="s">
        <v>1379</v>
      </c>
      <c r="I1458" s="475" t="s">
        <v>171</v>
      </c>
      <c r="J1458" s="475" t="s">
        <v>140</v>
      </c>
      <c r="K1458" s="365">
        <v>1691.51</v>
      </c>
      <c r="L1458" s="475" t="s">
        <v>141</v>
      </c>
      <c r="M1458" s="473"/>
    </row>
    <row r="1459" spans="1:13" ht="13.5">
      <c r="A1459" s="475" t="s">
        <v>5319</v>
      </c>
      <c r="B1459" s="475" t="s">
        <v>5320</v>
      </c>
      <c r="C1459" s="475" t="s">
        <v>5341</v>
      </c>
      <c r="D1459" s="475" t="s">
        <v>5342</v>
      </c>
      <c r="E1459" s="476">
        <v>73856</v>
      </c>
      <c r="F1459" s="475" t="s">
        <v>5344</v>
      </c>
      <c r="G1459" s="364" t="s">
        <v>1380</v>
      </c>
      <c r="H1459" s="475" t="s">
        <v>1381</v>
      </c>
      <c r="I1459" s="475" t="s">
        <v>171</v>
      </c>
      <c r="J1459" s="475" t="s">
        <v>140</v>
      </c>
      <c r="K1459" s="365">
        <v>2538.7800000000002</v>
      </c>
      <c r="L1459" s="475" t="s">
        <v>141</v>
      </c>
      <c r="M1459" s="473"/>
    </row>
    <row r="1460" spans="1:13" ht="13.5">
      <c r="A1460" s="475" t="s">
        <v>5319</v>
      </c>
      <c r="B1460" s="475" t="s">
        <v>5320</v>
      </c>
      <c r="C1460" s="475" t="s">
        <v>5341</v>
      </c>
      <c r="D1460" s="475" t="s">
        <v>5342</v>
      </c>
      <c r="E1460" s="476">
        <v>73856</v>
      </c>
      <c r="F1460" s="475" t="s">
        <v>5344</v>
      </c>
      <c r="G1460" s="364" t="s">
        <v>1382</v>
      </c>
      <c r="H1460" s="475" t="s">
        <v>1383</v>
      </c>
      <c r="I1460" s="475" t="s">
        <v>171</v>
      </c>
      <c r="J1460" s="475" t="s">
        <v>140</v>
      </c>
      <c r="K1460" s="365">
        <v>3574.55</v>
      </c>
      <c r="L1460" s="475" t="s">
        <v>141</v>
      </c>
      <c r="M1460" s="473"/>
    </row>
    <row r="1461" spans="1:13" ht="13.5">
      <c r="A1461" s="475" t="s">
        <v>5319</v>
      </c>
      <c r="B1461" s="475" t="s">
        <v>5320</v>
      </c>
      <c r="C1461" s="475" t="s">
        <v>5341</v>
      </c>
      <c r="D1461" s="475" t="s">
        <v>5342</v>
      </c>
      <c r="E1461" s="476">
        <v>73856</v>
      </c>
      <c r="F1461" s="475" t="s">
        <v>5344</v>
      </c>
      <c r="G1461" s="364" t="s">
        <v>1384</v>
      </c>
      <c r="H1461" s="475" t="s">
        <v>1385</v>
      </c>
      <c r="I1461" s="475" t="s">
        <v>171</v>
      </c>
      <c r="J1461" s="475" t="s">
        <v>140</v>
      </c>
      <c r="K1461" s="365">
        <v>4806.6899999999996</v>
      </c>
      <c r="L1461" s="475" t="s">
        <v>141</v>
      </c>
      <c r="M1461" s="473"/>
    </row>
    <row r="1462" spans="1:13" ht="13.5">
      <c r="A1462" s="475" t="s">
        <v>5319</v>
      </c>
      <c r="B1462" s="475" t="s">
        <v>5320</v>
      </c>
      <c r="C1462" s="475" t="s">
        <v>5341</v>
      </c>
      <c r="D1462" s="475" t="s">
        <v>5342</v>
      </c>
      <c r="E1462" s="476">
        <v>74224</v>
      </c>
      <c r="F1462" s="475" t="s">
        <v>5345</v>
      </c>
      <c r="G1462" s="364" t="s">
        <v>1386</v>
      </c>
      <c r="H1462" s="475" t="s">
        <v>1387</v>
      </c>
      <c r="I1462" s="475" t="s">
        <v>171</v>
      </c>
      <c r="J1462" s="475" t="s">
        <v>140</v>
      </c>
      <c r="K1462" s="365">
        <v>1333.02</v>
      </c>
      <c r="L1462" s="475" t="s">
        <v>141</v>
      </c>
      <c r="M1462" s="473"/>
    </row>
    <row r="1463" spans="1:13" ht="13.5">
      <c r="A1463" s="475" t="s">
        <v>5319</v>
      </c>
      <c r="B1463" s="475" t="s">
        <v>5320</v>
      </c>
      <c r="C1463" s="475" t="s">
        <v>5341</v>
      </c>
      <c r="D1463" s="475" t="s">
        <v>5342</v>
      </c>
      <c r="E1463" s="476" t="s">
        <v>34</v>
      </c>
      <c r="F1463" s="475" t="s">
        <v>34</v>
      </c>
      <c r="G1463" s="364">
        <v>83659</v>
      </c>
      <c r="H1463" s="475" t="s">
        <v>1388</v>
      </c>
      <c r="I1463" s="475" t="s">
        <v>171</v>
      </c>
      <c r="J1463" s="475" t="s">
        <v>337</v>
      </c>
      <c r="K1463" s="365">
        <v>723.94</v>
      </c>
      <c r="L1463" s="475" t="s">
        <v>141</v>
      </c>
      <c r="M1463" s="473"/>
    </row>
    <row r="1464" spans="1:13" ht="13.5">
      <c r="A1464" s="475" t="s">
        <v>5319</v>
      </c>
      <c r="B1464" s="475" t="s">
        <v>5320</v>
      </c>
      <c r="C1464" s="475" t="s">
        <v>5341</v>
      </c>
      <c r="D1464" s="475" t="s">
        <v>5342</v>
      </c>
      <c r="E1464" s="476" t="s">
        <v>34</v>
      </c>
      <c r="F1464" s="475" t="s">
        <v>34</v>
      </c>
      <c r="G1464" s="364">
        <v>83716</v>
      </c>
      <c r="H1464" s="475" t="s">
        <v>1389</v>
      </c>
      <c r="I1464" s="475" t="s">
        <v>171</v>
      </c>
      <c r="J1464" s="475" t="s">
        <v>140</v>
      </c>
      <c r="K1464" s="365">
        <v>285.67</v>
      </c>
      <c r="L1464" s="475" t="s">
        <v>141</v>
      </c>
      <c r="M1464" s="473"/>
    </row>
    <row r="1465" spans="1:13" ht="13.5">
      <c r="A1465" s="475" t="s">
        <v>5319</v>
      </c>
      <c r="B1465" s="475" t="s">
        <v>5320</v>
      </c>
      <c r="C1465" s="475" t="s">
        <v>5341</v>
      </c>
      <c r="D1465" s="475" t="s">
        <v>5342</v>
      </c>
      <c r="E1465" s="476" t="s">
        <v>34</v>
      </c>
      <c r="F1465" s="475" t="s">
        <v>34</v>
      </c>
      <c r="G1465" s="364">
        <v>97976</v>
      </c>
      <c r="H1465" s="475" t="s">
        <v>6371</v>
      </c>
      <c r="I1465" s="475" t="s">
        <v>171</v>
      </c>
      <c r="J1465" s="475" t="s">
        <v>140</v>
      </c>
      <c r="K1465" s="365">
        <v>806.29</v>
      </c>
      <c r="L1465" s="475" t="s">
        <v>141</v>
      </c>
      <c r="M1465" s="473"/>
    </row>
    <row r="1466" spans="1:13" ht="13.5">
      <c r="A1466" s="475" t="s">
        <v>5319</v>
      </c>
      <c r="B1466" s="475" t="s">
        <v>5320</v>
      </c>
      <c r="C1466" s="475" t="s">
        <v>5341</v>
      </c>
      <c r="D1466" s="475" t="s">
        <v>5342</v>
      </c>
      <c r="E1466" s="476" t="s">
        <v>34</v>
      </c>
      <c r="F1466" s="475" t="s">
        <v>34</v>
      </c>
      <c r="G1466" s="364">
        <v>97977</v>
      </c>
      <c r="H1466" s="475" t="s">
        <v>6372</v>
      </c>
      <c r="I1466" s="475" t="s">
        <v>171</v>
      </c>
      <c r="J1466" s="475" t="s">
        <v>140</v>
      </c>
      <c r="K1466" s="365">
        <v>1165.24</v>
      </c>
      <c r="L1466" s="475" t="s">
        <v>141</v>
      </c>
      <c r="M1466" s="473"/>
    </row>
    <row r="1467" spans="1:13" ht="13.5">
      <c r="A1467" s="475" t="s">
        <v>5319</v>
      </c>
      <c r="B1467" s="475" t="s">
        <v>5320</v>
      </c>
      <c r="C1467" s="475" t="s">
        <v>5341</v>
      </c>
      <c r="D1467" s="475" t="s">
        <v>5342</v>
      </c>
      <c r="E1467" s="476" t="s">
        <v>34</v>
      </c>
      <c r="F1467" s="475" t="s">
        <v>34</v>
      </c>
      <c r="G1467" s="364">
        <v>97980</v>
      </c>
      <c r="H1467" s="475" t="s">
        <v>6373</v>
      </c>
      <c r="I1467" s="475" t="s">
        <v>171</v>
      </c>
      <c r="J1467" s="475" t="s">
        <v>140</v>
      </c>
      <c r="K1467" s="365">
        <v>1496.85</v>
      </c>
      <c r="L1467" s="475" t="s">
        <v>141</v>
      </c>
      <c r="M1467" s="473"/>
    </row>
    <row r="1468" spans="1:13" ht="13.5">
      <c r="A1468" s="475" t="s">
        <v>5319</v>
      </c>
      <c r="B1468" s="475" t="s">
        <v>5320</v>
      </c>
      <c r="C1468" s="475" t="s">
        <v>5341</v>
      </c>
      <c r="D1468" s="475" t="s">
        <v>5342</v>
      </c>
      <c r="E1468" s="476" t="s">
        <v>34</v>
      </c>
      <c r="F1468" s="475" t="s">
        <v>34</v>
      </c>
      <c r="G1468" s="364">
        <v>97981</v>
      </c>
      <c r="H1468" s="475" t="s">
        <v>6374</v>
      </c>
      <c r="I1468" s="475" t="s">
        <v>139</v>
      </c>
      <c r="J1468" s="475" t="s">
        <v>337</v>
      </c>
      <c r="K1468" s="365">
        <v>880.58</v>
      </c>
      <c r="L1468" s="475" t="s">
        <v>141</v>
      </c>
      <c r="M1468" s="473"/>
    </row>
    <row r="1469" spans="1:13" ht="13.5">
      <c r="A1469" s="475" t="s">
        <v>5319</v>
      </c>
      <c r="B1469" s="475" t="s">
        <v>5320</v>
      </c>
      <c r="C1469" s="475" t="s">
        <v>5341</v>
      </c>
      <c r="D1469" s="475" t="s">
        <v>5342</v>
      </c>
      <c r="E1469" s="476" t="s">
        <v>34</v>
      </c>
      <c r="F1469" s="475" t="s">
        <v>34</v>
      </c>
      <c r="G1469" s="364">
        <v>97983</v>
      </c>
      <c r="H1469" s="475" t="s">
        <v>6375</v>
      </c>
      <c r="I1469" s="475" t="s">
        <v>139</v>
      </c>
      <c r="J1469" s="475" t="s">
        <v>140</v>
      </c>
      <c r="K1469" s="365">
        <v>370.65</v>
      </c>
      <c r="L1469" s="475" t="s">
        <v>141</v>
      </c>
      <c r="M1469" s="473"/>
    </row>
    <row r="1470" spans="1:13" ht="13.5">
      <c r="A1470" s="475" t="s">
        <v>5319</v>
      </c>
      <c r="B1470" s="475" t="s">
        <v>5320</v>
      </c>
      <c r="C1470" s="475" t="s">
        <v>5341</v>
      </c>
      <c r="D1470" s="475" t="s">
        <v>5342</v>
      </c>
      <c r="E1470" s="476" t="s">
        <v>34</v>
      </c>
      <c r="F1470" s="475" t="s">
        <v>34</v>
      </c>
      <c r="G1470" s="364">
        <v>97985</v>
      </c>
      <c r="H1470" s="475" t="s">
        <v>6376</v>
      </c>
      <c r="I1470" s="475" t="s">
        <v>139</v>
      </c>
      <c r="J1470" s="475" t="s">
        <v>337</v>
      </c>
      <c r="K1470" s="365">
        <v>1065.8800000000001</v>
      </c>
      <c r="L1470" s="475" t="s">
        <v>141</v>
      </c>
      <c r="M1470" s="473"/>
    </row>
    <row r="1471" spans="1:13" ht="13.5">
      <c r="A1471" s="475" t="s">
        <v>5319</v>
      </c>
      <c r="B1471" s="475" t="s">
        <v>5320</v>
      </c>
      <c r="C1471" s="475" t="s">
        <v>5341</v>
      </c>
      <c r="D1471" s="475" t="s">
        <v>5342</v>
      </c>
      <c r="E1471" s="476" t="s">
        <v>34</v>
      </c>
      <c r="F1471" s="475" t="s">
        <v>34</v>
      </c>
      <c r="G1471" s="364">
        <v>97987</v>
      </c>
      <c r="H1471" s="475" t="s">
        <v>6377</v>
      </c>
      <c r="I1471" s="475" t="s">
        <v>139</v>
      </c>
      <c r="J1471" s="475" t="s">
        <v>140</v>
      </c>
      <c r="K1471" s="365">
        <v>414.4</v>
      </c>
      <c r="L1471" s="475" t="s">
        <v>141</v>
      </c>
      <c r="M1471" s="473"/>
    </row>
    <row r="1472" spans="1:13" ht="13.5">
      <c r="A1472" s="475" t="s">
        <v>5319</v>
      </c>
      <c r="B1472" s="475" t="s">
        <v>5320</v>
      </c>
      <c r="C1472" s="475" t="s">
        <v>5341</v>
      </c>
      <c r="D1472" s="475" t="s">
        <v>5342</v>
      </c>
      <c r="E1472" s="476" t="s">
        <v>34</v>
      </c>
      <c r="F1472" s="475" t="s">
        <v>34</v>
      </c>
      <c r="G1472" s="364">
        <v>97988</v>
      </c>
      <c r="H1472" s="475" t="s">
        <v>6378</v>
      </c>
      <c r="I1472" s="475" t="s">
        <v>171</v>
      </c>
      <c r="J1472" s="475" t="s">
        <v>140</v>
      </c>
      <c r="K1472" s="365">
        <v>2168.91</v>
      </c>
      <c r="L1472" s="475" t="s">
        <v>141</v>
      </c>
      <c r="M1472" s="473"/>
    </row>
    <row r="1473" spans="1:13" ht="13.5">
      <c r="A1473" s="475" t="s">
        <v>5319</v>
      </c>
      <c r="B1473" s="475" t="s">
        <v>5320</v>
      </c>
      <c r="C1473" s="475" t="s">
        <v>5341</v>
      </c>
      <c r="D1473" s="475" t="s">
        <v>5342</v>
      </c>
      <c r="E1473" s="476" t="s">
        <v>34</v>
      </c>
      <c r="F1473" s="475" t="s">
        <v>34</v>
      </c>
      <c r="G1473" s="364">
        <v>97989</v>
      </c>
      <c r="H1473" s="475" t="s">
        <v>6379</v>
      </c>
      <c r="I1473" s="475" t="s">
        <v>139</v>
      </c>
      <c r="J1473" s="475" t="s">
        <v>337</v>
      </c>
      <c r="K1473" s="365">
        <v>1251.22</v>
      </c>
      <c r="L1473" s="475" t="s">
        <v>141</v>
      </c>
      <c r="M1473" s="473"/>
    </row>
    <row r="1474" spans="1:13" ht="13.5">
      <c r="A1474" s="475" t="s">
        <v>5319</v>
      </c>
      <c r="B1474" s="475" t="s">
        <v>5320</v>
      </c>
      <c r="C1474" s="475" t="s">
        <v>5341</v>
      </c>
      <c r="D1474" s="475" t="s">
        <v>5342</v>
      </c>
      <c r="E1474" s="476" t="s">
        <v>34</v>
      </c>
      <c r="F1474" s="475" t="s">
        <v>34</v>
      </c>
      <c r="G1474" s="364">
        <v>97991</v>
      </c>
      <c r="H1474" s="475" t="s">
        <v>6380</v>
      </c>
      <c r="I1474" s="475" t="s">
        <v>139</v>
      </c>
      <c r="J1474" s="475" t="s">
        <v>140</v>
      </c>
      <c r="K1474" s="365">
        <v>644.45000000000005</v>
      </c>
      <c r="L1474" s="475" t="s">
        <v>141</v>
      </c>
      <c r="M1474" s="473"/>
    </row>
    <row r="1475" spans="1:13" ht="13.5">
      <c r="A1475" s="475" t="s">
        <v>5319</v>
      </c>
      <c r="B1475" s="475" t="s">
        <v>5320</v>
      </c>
      <c r="C1475" s="475" t="s">
        <v>5341</v>
      </c>
      <c r="D1475" s="475" t="s">
        <v>5342</v>
      </c>
      <c r="E1475" s="476" t="s">
        <v>34</v>
      </c>
      <c r="F1475" s="475" t="s">
        <v>34</v>
      </c>
      <c r="G1475" s="364">
        <v>97992</v>
      </c>
      <c r="H1475" s="475" t="s">
        <v>6381</v>
      </c>
      <c r="I1475" s="475" t="s">
        <v>171</v>
      </c>
      <c r="J1475" s="475" t="s">
        <v>140</v>
      </c>
      <c r="K1475" s="365">
        <v>2754.67</v>
      </c>
      <c r="L1475" s="475" t="s">
        <v>141</v>
      </c>
      <c r="M1475" s="473"/>
    </row>
    <row r="1476" spans="1:13" ht="13.5">
      <c r="A1476" s="475" t="s">
        <v>5319</v>
      </c>
      <c r="B1476" s="475" t="s">
        <v>5320</v>
      </c>
      <c r="C1476" s="475" t="s">
        <v>5341</v>
      </c>
      <c r="D1476" s="475" t="s">
        <v>5342</v>
      </c>
      <c r="E1476" s="476" t="s">
        <v>34</v>
      </c>
      <c r="F1476" s="475" t="s">
        <v>34</v>
      </c>
      <c r="G1476" s="364">
        <v>97993</v>
      </c>
      <c r="H1476" s="475" t="s">
        <v>6382</v>
      </c>
      <c r="I1476" s="475" t="s">
        <v>139</v>
      </c>
      <c r="J1476" s="475" t="s">
        <v>337</v>
      </c>
      <c r="K1476" s="365">
        <v>1529.18</v>
      </c>
      <c r="L1476" s="475" t="s">
        <v>141</v>
      </c>
      <c r="M1476" s="473"/>
    </row>
    <row r="1477" spans="1:13" ht="13.5">
      <c r="A1477" s="475" t="s">
        <v>5319</v>
      </c>
      <c r="B1477" s="475" t="s">
        <v>5320</v>
      </c>
      <c r="C1477" s="475" t="s">
        <v>5341</v>
      </c>
      <c r="D1477" s="475" t="s">
        <v>5342</v>
      </c>
      <c r="E1477" s="476" t="s">
        <v>34</v>
      </c>
      <c r="F1477" s="475" t="s">
        <v>34</v>
      </c>
      <c r="G1477" s="364">
        <v>97994</v>
      </c>
      <c r="H1477" s="475" t="s">
        <v>6383</v>
      </c>
      <c r="I1477" s="475" t="s">
        <v>171</v>
      </c>
      <c r="J1477" s="475" t="s">
        <v>140</v>
      </c>
      <c r="K1477" s="365">
        <v>1876.42</v>
      </c>
      <c r="L1477" s="475" t="s">
        <v>141</v>
      </c>
      <c r="M1477" s="473"/>
    </row>
    <row r="1478" spans="1:13" ht="13.5">
      <c r="A1478" s="475" t="s">
        <v>5319</v>
      </c>
      <c r="B1478" s="475" t="s">
        <v>5320</v>
      </c>
      <c r="C1478" s="475" t="s">
        <v>5341</v>
      </c>
      <c r="D1478" s="475" t="s">
        <v>5342</v>
      </c>
      <c r="E1478" s="476" t="s">
        <v>34</v>
      </c>
      <c r="F1478" s="475" t="s">
        <v>34</v>
      </c>
      <c r="G1478" s="364">
        <v>97995</v>
      </c>
      <c r="H1478" s="475" t="s">
        <v>6384</v>
      </c>
      <c r="I1478" s="475" t="s">
        <v>139</v>
      </c>
      <c r="J1478" s="475" t="s">
        <v>337</v>
      </c>
      <c r="K1478" s="365">
        <v>932.63</v>
      </c>
      <c r="L1478" s="475" t="s">
        <v>141</v>
      </c>
      <c r="M1478" s="473"/>
    </row>
    <row r="1479" spans="1:13" ht="13.5">
      <c r="A1479" s="475" t="s">
        <v>5319</v>
      </c>
      <c r="B1479" s="475" t="s">
        <v>5320</v>
      </c>
      <c r="C1479" s="475" t="s">
        <v>5341</v>
      </c>
      <c r="D1479" s="475" t="s">
        <v>5342</v>
      </c>
      <c r="E1479" s="476" t="s">
        <v>34</v>
      </c>
      <c r="F1479" s="475" t="s">
        <v>34</v>
      </c>
      <c r="G1479" s="364">
        <v>97996</v>
      </c>
      <c r="H1479" s="475" t="s">
        <v>6385</v>
      </c>
      <c r="I1479" s="475" t="s">
        <v>171</v>
      </c>
      <c r="J1479" s="475" t="s">
        <v>140</v>
      </c>
      <c r="K1479" s="365">
        <v>2370.33</v>
      </c>
      <c r="L1479" s="475" t="s">
        <v>141</v>
      </c>
      <c r="M1479" s="473"/>
    </row>
    <row r="1480" spans="1:13" ht="13.5">
      <c r="A1480" s="475" t="s">
        <v>5319</v>
      </c>
      <c r="B1480" s="475" t="s">
        <v>5320</v>
      </c>
      <c r="C1480" s="475" t="s">
        <v>5341</v>
      </c>
      <c r="D1480" s="475" t="s">
        <v>5342</v>
      </c>
      <c r="E1480" s="476" t="s">
        <v>34</v>
      </c>
      <c r="F1480" s="475" t="s">
        <v>34</v>
      </c>
      <c r="G1480" s="364">
        <v>97997</v>
      </c>
      <c r="H1480" s="475" t="s">
        <v>6386</v>
      </c>
      <c r="I1480" s="475" t="s">
        <v>139</v>
      </c>
      <c r="J1480" s="475" t="s">
        <v>337</v>
      </c>
      <c r="K1480" s="365">
        <v>1116.43</v>
      </c>
      <c r="L1480" s="475" t="s">
        <v>141</v>
      </c>
      <c r="M1480" s="473"/>
    </row>
    <row r="1481" spans="1:13" ht="13.5">
      <c r="A1481" s="475" t="s">
        <v>5319</v>
      </c>
      <c r="B1481" s="475" t="s">
        <v>5320</v>
      </c>
      <c r="C1481" s="475" t="s">
        <v>5341</v>
      </c>
      <c r="D1481" s="475" t="s">
        <v>5342</v>
      </c>
      <c r="E1481" s="476" t="s">
        <v>34</v>
      </c>
      <c r="F1481" s="475" t="s">
        <v>34</v>
      </c>
      <c r="G1481" s="364">
        <v>97999</v>
      </c>
      <c r="H1481" s="475" t="s">
        <v>6387</v>
      </c>
      <c r="I1481" s="475" t="s">
        <v>139</v>
      </c>
      <c r="J1481" s="475" t="s">
        <v>337</v>
      </c>
      <c r="K1481" s="365">
        <v>1300.24</v>
      </c>
      <c r="L1481" s="475" t="s">
        <v>141</v>
      </c>
      <c r="M1481" s="473"/>
    </row>
    <row r="1482" spans="1:13" ht="13.5">
      <c r="A1482" s="475" t="s">
        <v>5319</v>
      </c>
      <c r="B1482" s="475" t="s">
        <v>5320</v>
      </c>
      <c r="C1482" s="475" t="s">
        <v>5341</v>
      </c>
      <c r="D1482" s="475" t="s">
        <v>5342</v>
      </c>
      <c r="E1482" s="476" t="s">
        <v>34</v>
      </c>
      <c r="F1482" s="475" t="s">
        <v>34</v>
      </c>
      <c r="G1482" s="364">
        <v>98001</v>
      </c>
      <c r="H1482" s="475" t="s">
        <v>6388</v>
      </c>
      <c r="I1482" s="475" t="s">
        <v>139</v>
      </c>
      <c r="J1482" s="475" t="s">
        <v>337</v>
      </c>
      <c r="K1482" s="365">
        <v>1484.02</v>
      </c>
      <c r="L1482" s="475" t="s">
        <v>141</v>
      </c>
      <c r="M1482" s="473"/>
    </row>
    <row r="1483" spans="1:13" ht="13.5">
      <c r="A1483" s="475" t="s">
        <v>5319</v>
      </c>
      <c r="B1483" s="475" t="s">
        <v>5320</v>
      </c>
      <c r="C1483" s="475" t="s">
        <v>5341</v>
      </c>
      <c r="D1483" s="475" t="s">
        <v>5342</v>
      </c>
      <c r="E1483" s="476" t="s">
        <v>34</v>
      </c>
      <c r="F1483" s="475" t="s">
        <v>34</v>
      </c>
      <c r="G1483" s="364">
        <v>98002</v>
      </c>
      <c r="H1483" s="475" t="s">
        <v>6389</v>
      </c>
      <c r="I1483" s="475" t="s">
        <v>171</v>
      </c>
      <c r="J1483" s="475" t="s">
        <v>140</v>
      </c>
      <c r="K1483" s="365">
        <v>3874.23</v>
      </c>
      <c r="L1483" s="475" t="s">
        <v>141</v>
      </c>
      <c r="M1483" s="473"/>
    </row>
    <row r="1484" spans="1:13" ht="13.5">
      <c r="A1484" s="475" t="s">
        <v>5319</v>
      </c>
      <c r="B1484" s="475" t="s">
        <v>5320</v>
      </c>
      <c r="C1484" s="475" t="s">
        <v>5341</v>
      </c>
      <c r="D1484" s="475" t="s">
        <v>5342</v>
      </c>
      <c r="E1484" s="476" t="s">
        <v>34</v>
      </c>
      <c r="F1484" s="475" t="s">
        <v>34</v>
      </c>
      <c r="G1484" s="364">
        <v>98003</v>
      </c>
      <c r="H1484" s="475" t="s">
        <v>6390</v>
      </c>
      <c r="I1484" s="475" t="s">
        <v>139</v>
      </c>
      <c r="J1484" s="475" t="s">
        <v>337</v>
      </c>
      <c r="K1484" s="365">
        <v>1667.89</v>
      </c>
      <c r="L1484" s="475" t="s">
        <v>141</v>
      </c>
      <c r="M1484" s="473"/>
    </row>
    <row r="1485" spans="1:13" ht="13.5">
      <c r="A1485" s="475" t="s">
        <v>5319</v>
      </c>
      <c r="B1485" s="475" t="s">
        <v>5320</v>
      </c>
      <c r="C1485" s="475" t="s">
        <v>5341</v>
      </c>
      <c r="D1485" s="475" t="s">
        <v>5342</v>
      </c>
      <c r="E1485" s="476" t="s">
        <v>34</v>
      </c>
      <c r="F1485" s="475" t="s">
        <v>34</v>
      </c>
      <c r="G1485" s="364">
        <v>98005</v>
      </c>
      <c r="H1485" s="475" t="s">
        <v>6391</v>
      </c>
      <c r="I1485" s="475" t="s">
        <v>139</v>
      </c>
      <c r="J1485" s="475" t="s">
        <v>337</v>
      </c>
      <c r="K1485" s="365">
        <v>1851.68</v>
      </c>
      <c r="L1485" s="475" t="s">
        <v>141</v>
      </c>
      <c r="M1485" s="473"/>
    </row>
    <row r="1486" spans="1:13" ht="13.5">
      <c r="A1486" s="475" t="s">
        <v>5319</v>
      </c>
      <c r="B1486" s="475" t="s">
        <v>5320</v>
      </c>
      <c r="C1486" s="475" t="s">
        <v>5341</v>
      </c>
      <c r="D1486" s="475" t="s">
        <v>5342</v>
      </c>
      <c r="E1486" s="476" t="s">
        <v>34</v>
      </c>
      <c r="F1486" s="475" t="s">
        <v>34</v>
      </c>
      <c r="G1486" s="364">
        <v>98006</v>
      </c>
      <c r="H1486" s="475" t="s">
        <v>6392</v>
      </c>
      <c r="I1486" s="475" t="s">
        <v>171</v>
      </c>
      <c r="J1486" s="475" t="s">
        <v>140</v>
      </c>
      <c r="K1486" s="365">
        <v>4867.59</v>
      </c>
      <c r="L1486" s="475" t="s">
        <v>141</v>
      </c>
      <c r="M1486" s="473"/>
    </row>
    <row r="1487" spans="1:13" ht="13.5">
      <c r="A1487" s="475" t="s">
        <v>5319</v>
      </c>
      <c r="B1487" s="475" t="s">
        <v>5320</v>
      </c>
      <c r="C1487" s="475" t="s">
        <v>5341</v>
      </c>
      <c r="D1487" s="475" t="s">
        <v>5342</v>
      </c>
      <c r="E1487" s="476" t="s">
        <v>34</v>
      </c>
      <c r="F1487" s="475" t="s">
        <v>34</v>
      </c>
      <c r="G1487" s="364">
        <v>98007</v>
      </c>
      <c r="H1487" s="475" t="s">
        <v>6393</v>
      </c>
      <c r="I1487" s="475" t="s">
        <v>139</v>
      </c>
      <c r="J1487" s="475" t="s">
        <v>337</v>
      </c>
      <c r="K1487" s="365">
        <v>2035.45</v>
      </c>
      <c r="L1487" s="475" t="s">
        <v>141</v>
      </c>
      <c r="M1487" s="473"/>
    </row>
    <row r="1488" spans="1:13" ht="13.5">
      <c r="A1488" s="475" t="s">
        <v>5319</v>
      </c>
      <c r="B1488" s="475" t="s">
        <v>5320</v>
      </c>
      <c r="C1488" s="475" t="s">
        <v>5341</v>
      </c>
      <c r="D1488" s="475" t="s">
        <v>5342</v>
      </c>
      <c r="E1488" s="476" t="s">
        <v>34</v>
      </c>
      <c r="F1488" s="475" t="s">
        <v>34</v>
      </c>
      <c r="G1488" s="364">
        <v>98008</v>
      </c>
      <c r="H1488" s="475" t="s">
        <v>6394</v>
      </c>
      <c r="I1488" s="475" t="s">
        <v>171</v>
      </c>
      <c r="J1488" s="475" t="s">
        <v>140</v>
      </c>
      <c r="K1488" s="365">
        <v>2933.97</v>
      </c>
      <c r="L1488" s="475" t="s">
        <v>141</v>
      </c>
      <c r="M1488" s="473"/>
    </row>
    <row r="1489" spans="1:13" ht="13.5">
      <c r="A1489" s="475" t="s">
        <v>5319</v>
      </c>
      <c r="B1489" s="475" t="s">
        <v>5320</v>
      </c>
      <c r="C1489" s="475" t="s">
        <v>5341</v>
      </c>
      <c r="D1489" s="475" t="s">
        <v>5342</v>
      </c>
      <c r="E1489" s="476" t="s">
        <v>34</v>
      </c>
      <c r="F1489" s="475" t="s">
        <v>34</v>
      </c>
      <c r="G1489" s="364">
        <v>98009</v>
      </c>
      <c r="H1489" s="475" t="s">
        <v>6395</v>
      </c>
      <c r="I1489" s="475" t="s">
        <v>139</v>
      </c>
      <c r="J1489" s="475" t="s">
        <v>337</v>
      </c>
      <c r="K1489" s="365">
        <v>1300.24</v>
      </c>
      <c r="L1489" s="475" t="s">
        <v>141</v>
      </c>
      <c r="M1489" s="473"/>
    </row>
    <row r="1490" spans="1:13" ht="13.5">
      <c r="A1490" s="475" t="s">
        <v>5319</v>
      </c>
      <c r="B1490" s="475" t="s">
        <v>5320</v>
      </c>
      <c r="C1490" s="475" t="s">
        <v>5341</v>
      </c>
      <c r="D1490" s="475" t="s">
        <v>5342</v>
      </c>
      <c r="E1490" s="476" t="s">
        <v>34</v>
      </c>
      <c r="F1490" s="475" t="s">
        <v>34</v>
      </c>
      <c r="G1490" s="364">
        <v>98010</v>
      </c>
      <c r="H1490" s="475" t="s">
        <v>6396</v>
      </c>
      <c r="I1490" s="475" t="s">
        <v>171</v>
      </c>
      <c r="J1490" s="475" t="s">
        <v>140</v>
      </c>
      <c r="K1490" s="365">
        <v>3571.17</v>
      </c>
      <c r="L1490" s="475" t="s">
        <v>141</v>
      </c>
      <c r="M1490" s="473"/>
    </row>
    <row r="1491" spans="1:13" ht="13.5">
      <c r="A1491" s="475" t="s">
        <v>5319</v>
      </c>
      <c r="B1491" s="475" t="s">
        <v>5320</v>
      </c>
      <c r="C1491" s="475" t="s">
        <v>5341</v>
      </c>
      <c r="D1491" s="475" t="s">
        <v>5342</v>
      </c>
      <c r="E1491" s="476" t="s">
        <v>34</v>
      </c>
      <c r="F1491" s="475" t="s">
        <v>34</v>
      </c>
      <c r="G1491" s="364">
        <v>98011</v>
      </c>
      <c r="H1491" s="475" t="s">
        <v>6397</v>
      </c>
      <c r="I1491" s="475" t="s">
        <v>139</v>
      </c>
      <c r="J1491" s="475" t="s">
        <v>337</v>
      </c>
      <c r="K1491" s="365">
        <v>1484.02</v>
      </c>
      <c r="L1491" s="475" t="s">
        <v>141</v>
      </c>
      <c r="M1491" s="473"/>
    </row>
    <row r="1492" spans="1:13" ht="13.5">
      <c r="A1492" s="475" t="s">
        <v>5319</v>
      </c>
      <c r="B1492" s="475" t="s">
        <v>5320</v>
      </c>
      <c r="C1492" s="475" t="s">
        <v>5341</v>
      </c>
      <c r="D1492" s="475" t="s">
        <v>5342</v>
      </c>
      <c r="E1492" s="476" t="s">
        <v>34</v>
      </c>
      <c r="F1492" s="475" t="s">
        <v>34</v>
      </c>
      <c r="G1492" s="364">
        <v>98012</v>
      </c>
      <c r="H1492" s="475" t="s">
        <v>6398</v>
      </c>
      <c r="I1492" s="475" t="s">
        <v>171</v>
      </c>
      <c r="J1492" s="475" t="s">
        <v>140</v>
      </c>
      <c r="K1492" s="365">
        <v>4190.91</v>
      </c>
      <c r="L1492" s="475" t="s">
        <v>141</v>
      </c>
      <c r="M1492" s="473"/>
    </row>
    <row r="1493" spans="1:13" ht="13.5">
      <c r="A1493" s="475" t="s">
        <v>5319</v>
      </c>
      <c r="B1493" s="475" t="s">
        <v>5320</v>
      </c>
      <c r="C1493" s="475" t="s">
        <v>5341</v>
      </c>
      <c r="D1493" s="475" t="s">
        <v>5342</v>
      </c>
      <c r="E1493" s="476" t="s">
        <v>34</v>
      </c>
      <c r="F1493" s="475" t="s">
        <v>34</v>
      </c>
      <c r="G1493" s="364">
        <v>98013</v>
      </c>
      <c r="H1493" s="475" t="s">
        <v>6399</v>
      </c>
      <c r="I1493" s="475" t="s">
        <v>139</v>
      </c>
      <c r="J1493" s="475" t="s">
        <v>337</v>
      </c>
      <c r="K1493" s="365">
        <v>1667.89</v>
      </c>
      <c r="L1493" s="475" t="s">
        <v>141</v>
      </c>
      <c r="M1493" s="473"/>
    </row>
    <row r="1494" spans="1:13" ht="13.5">
      <c r="A1494" s="475" t="s">
        <v>5319</v>
      </c>
      <c r="B1494" s="475" t="s">
        <v>5320</v>
      </c>
      <c r="C1494" s="475" t="s">
        <v>5341</v>
      </c>
      <c r="D1494" s="475" t="s">
        <v>5342</v>
      </c>
      <c r="E1494" s="476" t="s">
        <v>34</v>
      </c>
      <c r="F1494" s="475" t="s">
        <v>34</v>
      </c>
      <c r="G1494" s="364">
        <v>98014</v>
      </c>
      <c r="H1494" s="475" t="s">
        <v>6400</v>
      </c>
      <c r="I1494" s="475" t="s">
        <v>171</v>
      </c>
      <c r="J1494" s="475" t="s">
        <v>140</v>
      </c>
      <c r="K1494" s="365">
        <v>4810.51</v>
      </c>
      <c r="L1494" s="475" t="s">
        <v>141</v>
      </c>
      <c r="M1494" s="473"/>
    </row>
    <row r="1495" spans="1:13" ht="13.5">
      <c r="A1495" s="475" t="s">
        <v>5319</v>
      </c>
      <c r="B1495" s="475" t="s">
        <v>5320</v>
      </c>
      <c r="C1495" s="475" t="s">
        <v>5341</v>
      </c>
      <c r="D1495" s="475" t="s">
        <v>5342</v>
      </c>
      <c r="E1495" s="476" t="s">
        <v>34</v>
      </c>
      <c r="F1495" s="475" t="s">
        <v>34</v>
      </c>
      <c r="G1495" s="364">
        <v>98015</v>
      </c>
      <c r="H1495" s="475" t="s">
        <v>6401</v>
      </c>
      <c r="I1495" s="475" t="s">
        <v>139</v>
      </c>
      <c r="J1495" s="475" t="s">
        <v>337</v>
      </c>
      <c r="K1495" s="365">
        <v>1851.68</v>
      </c>
      <c r="L1495" s="475" t="s">
        <v>141</v>
      </c>
      <c r="M1495" s="473"/>
    </row>
    <row r="1496" spans="1:13" ht="13.5">
      <c r="A1496" s="475" t="s">
        <v>5319</v>
      </c>
      <c r="B1496" s="475" t="s">
        <v>5320</v>
      </c>
      <c r="C1496" s="475" t="s">
        <v>5341</v>
      </c>
      <c r="D1496" s="475" t="s">
        <v>5342</v>
      </c>
      <c r="E1496" s="476" t="s">
        <v>34</v>
      </c>
      <c r="F1496" s="475" t="s">
        <v>34</v>
      </c>
      <c r="G1496" s="364">
        <v>98016</v>
      </c>
      <c r="H1496" s="475" t="s">
        <v>6402</v>
      </c>
      <c r="I1496" s="475" t="s">
        <v>171</v>
      </c>
      <c r="J1496" s="475" t="s">
        <v>140</v>
      </c>
      <c r="K1496" s="365">
        <v>5430.22</v>
      </c>
      <c r="L1496" s="475" t="s">
        <v>141</v>
      </c>
      <c r="M1496" s="473"/>
    </row>
    <row r="1497" spans="1:13" ht="13.5">
      <c r="A1497" s="475" t="s">
        <v>5319</v>
      </c>
      <c r="B1497" s="475" t="s">
        <v>5320</v>
      </c>
      <c r="C1497" s="475" t="s">
        <v>5341</v>
      </c>
      <c r="D1497" s="475" t="s">
        <v>5342</v>
      </c>
      <c r="E1497" s="476" t="s">
        <v>34</v>
      </c>
      <c r="F1497" s="475" t="s">
        <v>34</v>
      </c>
      <c r="G1497" s="364">
        <v>98017</v>
      </c>
      <c r="H1497" s="475" t="s">
        <v>6403</v>
      </c>
      <c r="I1497" s="475" t="s">
        <v>139</v>
      </c>
      <c r="J1497" s="475" t="s">
        <v>337</v>
      </c>
      <c r="K1497" s="365">
        <v>2035.45</v>
      </c>
      <c r="L1497" s="475" t="s">
        <v>141</v>
      </c>
      <c r="M1497" s="473"/>
    </row>
    <row r="1498" spans="1:13" ht="13.5">
      <c r="A1498" s="475" t="s">
        <v>5319</v>
      </c>
      <c r="B1498" s="475" t="s">
        <v>5320</v>
      </c>
      <c r="C1498" s="475" t="s">
        <v>5341</v>
      </c>
      <c r="D1498" s="475" t="s">
        <v>5342</v>
      </c>
      <c r="E1498" s="476" t="s">
        <v>34</v>
      </c>
      <c r="F1498" s="475" t="s">
        <v>34</v>
      </c>
      <c r="G1498" s="364">
        <v>98018</v>
      </c>
      <c r="H1498" s="475" t="s">
        <v>6404</v>
      </c>
      <c r="I1498" s="475" t="s">
        <v>171</v>
      </c>
      <c r="J1498" s="475" t="s">
        <v>140</v>
      </c>
      <c r="K1498" s="365">
        <v>6049.9</v>
      </c>
      <c r="L1498" s="475" t="s">
        <v>141</v>
      </c>
      <c r="M1498" s="473"/>
    </row>
    <row r="1499" spans="1:13" ht="13.5">
      <c r="A1499" s="475" t="s">
        <v>5319</v>
      </c>
      <c r="B1499" s="475" t="s">
        <v>5320</v>
      </c>
      <c r="C1499" s="475" t="s">
        <v>5341</v>
      </c>
      <c r="D1499" s="475" t="s">
        <v>5342</v>
      </c>
      <c r="E1499" s="476" t="s">
        <v>34</v>
      </c>
      <c r="F1499" s="475" t="s">
        <v>34</v>
      </c>
      <c r="G1499" s="364">
        <v>98019</v>
      </c>
      <c r="H1499" s="475" t="s">
        <v>6405</v>
      </c>
      <c r="I1499" s="475" t="s">
        <v>139</v>
      </c>
      <c r="J1499" s="475" t="s">
        <v>337</v>
      </c>
      <c r="K1499" s="365">
        <v>2245.13</v>
      </c>
      <c r="L1499" s="475" t="s">
        <v>141</v>
      </c>
      <c r="M1499" s="473"/>
    </row>
    <row r="1500" spans="1:13" ht="13.5">
      <c r="A1500" s="475" t="s">
        <v>5319</v>
      </c>
      <c r="B1500" s="475" t="s">
        <v>5320</v>
      </c>
      <c r="C1500" s="475" t="s">
        <v>5341</v>
      </c>
      <c r="D1500" s="475" t="s">
        <v>5342</v>
      </c>
      <c r="E1500" s="476" t="s">
        <v>34</v>
      </c>
      <c r="F1500" s="475" t="s">
        <v>34</v>
      </c>
      <c r="G1500" s="364">
        <v>98020</v>
      </c>
      <c r="H1500" s="475" t="s">
        <v>6406</v>
      </c>
      <c r="I1500" s="475" t="s">
        <v>171</v>
      </c>
      <c r="J1500" s="475" t="s">
        <v>140</v>
      </c>
      <c r="K1500" s="365">
        <v>4315.05</v>
      </c>
      <c r="L1500" s="475" t="s">
        <v>141</v>
      </c>
      <c r="M1500" s="473"/>
    </row>
    <row r="1501" spans="1:13" ht="13.5">
      <c r="A1501" s="475" t="s">
        <v>5319</v>
      </c>
      <c r="B1501" s="475" t="s">
        <v>5320</v>
      </c>
      <c r="C1501" s="475" t="s">
        <v>5341</v>
      </c>
      <c r="D1501" s="475" t="s">
        <v>5342</v>
      </c>
      <c r="E1501" s="476" t="s">
        <v>34</v>
      </c>
      <c r="F1501" s="475" t="s">
        <v>34</v>
      </c>
      <c r="G1501" s="364">
        <v>98021</v>
      </c>
      <c r="H1501" s="475" t="s">
        <v>6407</v>
      </c>
      <c r="I1501" s="475" t="s">
        <v>139</v>
      </c>
      <c r="J1501" s="475" t="s">
        <v>337</v>
      </c>
      <c r="K1501" s="365">
        <v>1693.74</v>
      </c>
      <c r="L1501" s="475" t="s">
        <v>141</v>
      </c>
      <c r="M1501" s="473"/>
    </row>
    <row r="1502" spans="1:13" ht="13.5">
      <c r="A1502" s="475" t="s">
        <v>5319</v>
      </c>
      <c r="B1502" s="475" t="s">
        <v>5320</v>
      </c>
      <c r="C1502" s="475" t="s">
        <v>5341</v>
      </c>
      <c r="D1502" s="475" t="s">
        <v>5342</v>
      </c>
      <c r="E1502" s="476" t="s">
        <v>34</v>
      </c>
      <c r="F1502" s="475" t="s">
        <v>34</v>
      </c>
      <c r="G1502" s="364">
        <v>98022</v>
      </c>
      <c r="H1502" s="475" t="s">
        <v>6408</v>
      </c>
      <c r="I1502" s="475" t="s">
        <v>171</v>
      </c>
      <c r="J1502" s="475" t="s">
        <v>140</v>
      </c>
      <c r="K1502" s="365">
        <v>5051.04</v>
      </c>
      <c r="L1502" s="475" t="s">
        <v>141</v>
      </c>
      <c r="M1502" s="473"/>
    </row>
    <row r="1503" spans="1:13" ht="13.5">
      <c r="A1503" s="475" t="s">
        <v>5319</v>
      </c>
      <c r="B1503" s="475" t="s">
        <v>5320</v>
      </c>
      <c r="C1503" s="475" t="s">
        <v>5341</v>
      </c>
      <c r="D1503" s="475" t="s">
        <v>5342</v>
      </c>
      <c r="E1503" s="476" t="s">
        <v>34</v>
      </c>
      <c r="F1503" s="475" t="s">
        <v>34</v>
      </c>
      <c r="G1503" s="364">
        <v>98023</v>
      </c>
      <c r="H1503" s="475" t="s">
        <v>6409</v>
      </c>
      <c r="I1503" s="475" t="s">
        <v>139</v>
      </c>
      <c r="J1503" s="475" t="s">
        <v>337</v>
      </c>
      <c r="K1503" s="365">
        <v>1877.54</v>
      </c>
      <c r="L1503" s="475" t="s">
        <v>141</v>
      </c>
      <c r="M1503" s="473"/>
    </row>
    <row r="1504" spans="1:13" ht="13.5">
      <c r="A1504" s="475" t="s">
        <v>5319</v>
      </c>
      <c r="B1504" s="475" t="s">
        <v>5320</v>
      </c>
      <c r="C1504" s="475" t="s">
        <v>5341</v>
      </c>
      <c r="D1504" s="475" t="s">
        <v>5342</v>
      </c>
      <c r="E1504" s="476" t="s">
        <v>34</v>
      </c>
      <c r="F1504" s="475" t="s">
        <v>34</v>
      </c>
      <c r="G1504" s="364">
        <v>98024</v>
      </c>
      <c r="H1504" s="475" t="s">
        <v>6410</v>
      </c>
      <c r="I1504" s="475" t="s">
        <v>171</v>
      </c>
      <c r="J1504" s="475" t="s">
        <v>140</v>
      </c>
      <c r="K1504" s="365">
        <v>5827</v>
      </c>
      <c r="L1504" s="475" t="s">
        <v>141</v>
      </c>
      <c r="M1504" s="473"/>
    </row>
    <row r="1505" spans="1:13" ht="13.5">
      <c r="A1505" s="475" t="s">
        <v>5319</v>
      </c>
      <c r="B1505" s="475" t="s">
        <v>5320</v>
      </c>
      <c r="C1505" s="475" t="s">
        <v>5341</v>
      </c>
      <c r="D1505" s="475" t="s">
        <v>5342</v>
      </c>
      <c r="E1505" s="476" t="s">
        <v>34</v>
      </c>
      <c r="F1505" s="475" t="s">
        <v>34</v>
      </c>
      <c r="G1505" s="364">
        <v>98025</v>
      </c>
      <c r="H1505" s="475" t="s">
        <v>6411</v>
      </c>
      <c r="I1505" s="475" t="s">
        <v>139</v>
      </c>
      <c r="J1505" s="475" t="s">
        <v>337</v>
      </c>
      <c r="K1505" s="365">
        <v>2061.3200000000002</v>
      </c>
      <c r="L1505" s="475" t="s">
        <v>141</v>
      </c>
      <c r="M1505" s="473"/>
    </row>
    <row r="1506" spans="1:13" ht="13.5">
      <c r="A1506" s="475" t="s">
        <v>5319</v>
      </c>
      <c r="B1506" s="475" t="s">
        <v>5320</v>
      </c>
      <c r="C1506" s="475" t="s">
        <v>5341</v>
      </c>
      <c r="D1506" s="475" t="s">
        <v>5342</v>
      </c>
      <c r="E1506" s="476" t="s">
        <v>34</v>
      </c>
      <c r="F1506" s="475" t="s">
        <v>34</v>
      </c>
      <c r="G1506" s="364">
        <v>98026</v>
      </c>
      <c r="H1506" s="475" t="s">
        <v>6412</v>
      </c>
      <c r="I1506" s="475" t="s">
        <v>171</v>
      </c>
      <c r="J1506" s="475" t="s">
        <v>140</v>
      </c>
      <c r="K1506" s="365">
        <v>6567.95</v>
      </c>
      <c r="L1506" s="475" t="s">
        <v>141</v>
      </c>
      <c r="M1506" s="473"/>
    </row>
    <row r="1507" spans="1:13" ht="13.5">
      <c r="A1507" s="475" t="s">
        <v>5319</v>
      </c>
      <c r="B1507" s="475" t="s">
        <v>5320</v>
      </c>
      <c r="C1507" s="475" t="s">
        <v>5341</v>
      </c>
      <c r="D1507" s="475" t="s">
        <v>5342</v>
      </c>
      <c r="E1507" s="476" t="s">
        <v>34</v>
      </c>
      <c r="F1507" s="475" t="s">
        <v>34</v>
      </c>
      <c r="G1507" s="364">
        <v>98027</v>
      </c>
      <c r="H1507" s="475" t="s">
        <v>6413</v>
      </c>
      <c r="I1507" s="475" t="s">
        <v>139</v>
      </c>
      <c r="J1507" s="475" t="s">
        <v>337</v>
      </c>
      <c r="K1507" s="365">
        <v>2245.13</v>
      </c>
      <c r="L1507" s="475" t="s">
        <v>141</v>
      </c>
      <c r="M1507" s="473"/>
    </row>
    <row r="1508" spans="1:13" ht="13.5">
      <c r="A1508" s="475" t="s">
        <v>5319</v>
      </c>
      <c r="B1508" s="475" t="s">
        <v>5320</v>
      </c>
      <c r="C1508" s="475" t="s">
        <v>5341</v>
      </c>
      <c r="D1508" s="475" t="s">
        <v>5342</v>
      </c>
      <c r="E1508" s="476" t="s">
        <v>34</v>
      </c>
      <c r="F1508" s="475" t="s">
        <v>34</v>
      </c>
      <c r="G1508" s="364">
        <v>98028</v>
      </c>
      <c r="H1508" s="475" t="s">
        <v>6414</v>
      </c>
      <c r="I1508" s="475" t="s">
        <v>171</v>
      </c>
      <c r="J1508" s="475" t="s">
        <v>140</v>
      </c>
      <c r="K1508" s="365">
        <v>7308.84</v>
      </c>
      <c r="L1508" s="475" t="s">
        <v>141</v>
      </c>
      <c r="M1508" s="473"/>
    </row>
    <row r="1509" spans="1:13" ht="13.5">
      <c r="A1509" s="475" t="s">
        <v>5319</v>
      </c>
      <c r="B1509" s="475" t="s">
        <v>5320</v>
      </c>
      <c r="C1509" s="475" t="s">
        <v>5341</v>
      </c>
      <c r="D1509" s="475" t="s">
        <v>5342</v>
      </c>
      <c r="E1509" s="476" t="s">
        <v>34</v>
      </c>
      <c r="F1509" s="475" t="s">
        <v>34</v>
      </c>
      <c r="G1509" s="364">
        <v>98029</v>
      </c>
      <c r="H1509" s="475" t="s">
        <v>6415</v>
      </c>
      <c r="I1509" s="475" t="s">
        <v>139</v>
      </c>
      <c r="J1509" s="475" t="s">
        <v>337</v>
      </c>
      <c r="K1509" s="365">
        <v>2434.2800000000002</v>
      </c>
      <c r="L1509" s="475" t="s">
        <v>141</v>
      </c>
      <c r="M1509" s="473"/>
    </row>
    <row r="1510" spans="1:13" ht="13.5">
      <c r="A1510" s="475" t="s">
        <v>5319</v>
      </c>
      <c r="B1510" s="475" t="s">
        <v>5320</v>
      </c>
      <c r="C1510" s="475" t="s">
        <v>5341</v>
      </c>
      <c r="D1510" s="475" t="s">
        <v>5342</v>
      </c>
      <c r="E1510" s="476" t="s">
        <v>34</v>
      </c>
      <c r="F1510" s="475" t="s">
        <v>34</v>
      </c>
      <c r="G1510" s="364">
        <v>98030</v>
      </c>
      <c r="H1510" s="475" t="s">
        <v>6416</v>
      </c>
      <c r="I1510" s="475" t="s">
        <v>171</v>
      </c>
      <c r="J1510" s="475" t="s">
        <v>140</v>
      </c>
      <c r="K1510" s="365">
        <v>5958.47</v>
      </c>
      <c r="L1510" s="475" t="s">
        <v>141</v>
      </c>
      <c r="M1510" s="473"/>
    </row>
    <row r="1511" spans="1:13" ht="13.5">
      <c r="A1511" s="475" t="s">
        <v>5319</v>
      </c>
      <c r="B1511" s="475" t="s">
        <v>5320</v>
      </c>
      <c r="C1511" s="475" t="s">
        <v>5341</v>
      </c>
      <c r="D1511" s="475" t="s">
        <v>5342</v>
      </c>
      <c r="E1511" s="476" t="s">
        <v>34</v>
      </c>
      <c r="F1511" s="475" t="s">
        <v>34</v>
      </c>
      <c r="G1511" s="364">
        <v>98031</v>
      </c>
      <c r="H1511" s="475" t="s">
        <v>6417</v>
      </c>
      <c r="I1511" s="475" t="s">
        <v>139</v>
      </c>
      <c r="J1511" s="475" t="s">
        <v>337</v>
      </c>
      <c r="K1511" s="365">
        <v>2066.7199999999998</v>
      </c>
      <c r="L1511" s="475" t="s">
        <v>141</v>
      </c>
      <c r="M1511" s="473"/>
    </row>
    <row r="1512" spans="1:13" ht="13.5">
      <c r="A1512" s="475" t="s">
        <v>5319</v>
      </c>
      <c r="B1512" s="475" t="s">
        <v>5320</v>
      </c>
      <c r="C1512" s="475" t="s">
        <v>5341</v>
      </c>
      <c r="D1512" s="475" t="s">
        <v>5342</v>
      </c>
      <c r="E1512" s="476" t="s">
        <v>34</v>
      </c>
      <c r="F1512" s="475" t="s">
        <v>34</v>
      </c>
      <c r="G1512" s="364">
        <v>98032</v>
      </c>
      <c r="H1512" s="475" t="s">
        <v>6418</v>
      </c>
      <c r="I1512" s="475" t="s">
        <v>171</v>
      </c>
      <c r="J1512" s="475" t="s">
        <v>140</v>
      </c>
      <c r="K1512" s="365">
        <v>6846.28</v>
      </c>
      <c r="L1512" s="475" t="s">
        <v>141</v>
      </c>
      <c r="M1512" s="473"/>
    </row>
    <row r="1513" spans="1:13" ht="13.5">
      <c r="A1513" s="475" t="s">
        <v>5319</v>
      </c>
      <c r="B1513" s="475" t="s">
        <v>5320</v>
      </c>
      <c r="C1513" s="475" t="s">
        <v>5341</v>
      </c>
      <c r="D1513" s="475" t="s">
        <v>5342</v>
      </c>
      <c r="E1513" s="476" t="s">
        <v>34</v>
      </c>
      <c r="F1513" s="475" t="s">
        <v>34</v>
      </c>
      <c r="G1513" s="364">
        <v>98033</v>
      </c>
      <c r="H1513" s="475" t="s">
        <v>6419</v>
      </c>
      <c r="I1513" s="475" t="s">
        <v>139</v>
      </c>
      <c r="J1513" s="475" t="s">
        <v>337</v>
      </c>
      <c r="K1513" s="365">
        <v>2250.54</v>
      </c>
      <c r="L1513" s="475" t="s">
        <v>141</v>
      </c>
      <c r="M1513" s="473"/>
    </row>
    <row r="1514" spans="1:13" ht="13.5">
      <c r="A1514" s="475" t="s">
        <v>5319</v>
      </c>
      <c r="B1514" s="475" t="s">
        <v>5320</v>
      </c>
      <c r="C1514" s="475" t="s">
        <v>5341</v>
      </c>
      <c r="D1514" s="475" t="s">
        <v>5342</v>
      </c>
      <c r="E1514" s="476" t="s">
        <v>34</v>
      </c>
      <c r="F1514" s="475" t="s">
        <v>34</v>
      </c>
      <c r="G1514" s="364">
        <v>98034</v>
      </c>
      <c r="H1514" s="475" t="s">
        <v>6420</v>
      </c>
      <c r="I1514" s="475" t="s">
        <v>171</v>
      </c>
      <c r="J1514" s="475" t="s">
        <v>140</v>
      </c>
      <c r="K1514" s="365">
        <v>7734.12</v>
      </c>
      <c r="L1514" s="475" t="s">
        <v>141</v>
      </c>
      <c r="M1514" s="473"/>
    </row>
    <row r="1515" spans="1:13" ht="13.5">
      <c r="A1515" s="475" t="s">
        <v>5319</v>
      </c>
      <c r="B1515" s="475" t="s">
        <v>5320</v>
      </c>
      <c r="C1515" s="475" t="s">
        <v>5341</v>
      </c>
      <c r="D1515" s="475" t="s">
        <v>5342</v>
      </c>
      <c r="E1515" s="476" t="s">
        <v>34</v>
      </c>
      <c r="F1515" s="475" t="s">
        <v>34</v>
      </c>
      <c r="G1515" s="364">
        <v>98035</v>
      </c>
      <c r="H1515" s="475" t="s">
        <v>6421</v>
      </c>
      <c r="I1515" s="475" t="s">
        <v>139</v>
      </c>
      <c r="J1515" s="475" t="s">
        <v>337</v>
      </c>
      <c r="K1515" s="365">
        <v>2434.2800000000002</v>
      </c>
      <c r="L1515" s="475" t="s">
        <v>141</v>
      </c>
      <c r="M1515" s="473"/>
    </row>
    <row r="1516" spans="1:13" ht="13.5">
      <c r="A1516" s="475" t="s">
        <v>5319</v>
      </c>
      <c r="B1516" s="475" t="s">
        <v>5320</v>
      </c>
      <c r="C1516" s="475" t="s">
        <v>5341</v>
      </c>
      <c r="D1516" s="475" t="s">
        <v>5342</v>
      </c>
      <c r="E1516" s="476" t="s">
        <v>34</v>
      </c>
      <c r="F1516" s="475" t="s">
        <v>34</v>
      </c>
      <c r="G1516" s="364">
        <v>98036</v>
      </c>
      <c r="H1516" s="475" t="s">
        <v>6422</v>
      </c>
      <c r="I1516" s="475" t="s">
        <v>171</v>
      </c>
      <c r="J1516" s="475" t="s">
        <v>140</v>
      </c>
      <c r="K1516" s="365">
        <v>8621.98</v>
      </c>
      <c r="L1516" s="475" t="s">
        <v>141</v>
      </c>
      <c r="M1516" s="473"/>
    </row>
    <row r="1517" spans="1:13" ht="13.5">
      <c r="A1517" s="475" t="s">
        <v>5319</v>
      </c>
      <c r="B1517" s="475" t="s">
        <v>5320</v>
      </c>
      <c r="C1517" s="475" t="s">
        <v>5341</v>
      </c>
      <c r="D1517" s="475" t="s">
        <v>5342</v>
      </c>
      <c r="E1517" s="476" t="s">
        <v>34</v>
      </c>
      <c r="F1517" s="475" t="s">
        <v>34</v>
      </c>
      <c r="G1517" s="364">
        <v>98037</v>
      </c>
      <c r="H1517" s="475" t="s">
        <v>6423</v>
      </c>
      <c r="I1517" s="475" t="s">
        <v>139</v>
      </c>
      <c r="J1517" s="475" t="s">
        <v>337</v>
      </c>
      <c r="K1517" s="365">
        <v>2623.46</v>
      </c>
      <c r="L1517" s="475" t="s">
        <v>141</v>
      </c>
      <c r="M1517" s="473"/>
    </row>
    <row r="1518" spans="1:13" ht="13.5">
      <c r="A1518" s="475" t="s">
        <v>5319</v>
      </c>
      <c r="B1518" s="475" t="s">
        <v>5320</v>
      </c>
      <c r="C1518" s="475" t="s">
        <v>5341</v>
      </c>
      <c r="D1518" s="475" t="s">
        <v>5342</v>
      </c>
      <c r="E1518" s="476" t="s">
        <v>34</v>
      </c>
      <c r="F1518" s="475" t="s">
        <v>34</v>
      </c>
      <c r="G1518" s="364">
        <v>98038</v>
      </c>
      <c r="H1518" s="475" t="s">
        <v>6424</v>
      </c>
      <c r="I1518" s="475" t="s">
        <v>171</v>
      </c>
      <c r="J1518" s="475" t="s">
        <v>140</v>
      </c>
      <c r="K1518" s="365">
        <v>7904.91</v>
      </c>
      <c r="L1518" s="475" t="s">
        <v>141</v>
      </c>
      <c r="M1518" s="473"/>
    </row>
    <row r="1519" spans="1:13" ht="13.5">
      <c r="A1519" s="475" t="s">
        <v>5319</v>
      </c>
      <c r="B1519" s="475" t="s">
        <v>5320</v>
      </c>
      <c r="C1519" s="475" t="s">
        <v>5341</v>
      </c>
      <c r="D1519" s="475" t="s">
        <v>5342</v>
      </c>
      <c r="E1519" s="476" t="s">
        <v>34</v>
      </c>
      <c r="F1519" s="475" t="s">
        <v>34</v>
      </c>
      <c r="G1519" s="364">
        <v>98039</v>
      </c>
      <c r="H1519" s="475" t="s">
        <v>6425</v>
      </c>
      <c r="I1519" s="475" t="s">
        <v>139</v>
      </c>
      <c r="J1519" s="475" t="s">
        <v>337</v>
      </c>
      <c r="K1519" s="365">
        <v>2439.6799999999998</v>
      </c>
      <c r="L1519" s="475" t="s">
        <v>141</v>
      </c>
      <c r="M1519" s="473"/>
    </row>
    <row r="1520" spans="1:13" ht="13.5">
      <c r="A1520" s="475" t="s">
        <v>5319</v>
      </c>
      <c r="B1520" s="475" t="s">
        <v>5320</v>
      </c>
      <c r="C1520" s="475" t="s">
        <v>5341</v>
      </c>
      <c r="D1520" s="475" t="s">
        <v>5342</v>
      </c>
      <c r="E1520" s="476" t="s">
        <v>34</v>
      </c>
      <c r="F1520" s="475" t="s">
        <v>34</v>
      </c>
      <c r="G1520" s="364">
        <v>98040</v>
      </c>
      <c r="H1520" s="475" t="s">
        <v>6426</v>
      </c>
      <c r="I1520" s="475" t="s">
        <v>171</v>
      </c>
      <c r="J1520" s="475" t="s">
        <v>140</v>
      </c>
      <c r="K1520" s="365">
        <v>8925.6299999999992</v>
      </c>
      <c r="L1520" s="475" t="s">
        <v>141</v>
      </c>
      <c r="M1520" s="473"/>
    </row>
    <row r="1521" spans="1:13" ht="13.5">
      <c r="A1521" s="475" t="s">
        <v>5319</v>
      </c>
      <c r="B1521" s="475" t="s">
        <v>5320</v>
      </c>
      <c r="C1521" s="475" t="s">
        <v>5341</v>
      </c>
      <c r="D1521" s="475" t="s">
        <v>5342</v>
      </c>
      <c r="E1521" s="476" t="s">
        <v>34</v>
      </c>
      <c r="F1521" s="475" t="s">
        <v>34</v>
      </c>
      <c r="G1521" s="364">
        <v>98041</v>
      </c>
      <c r="H1521" s="475" t="s">
        <v>6427</v>
      </c>
      <c r="I1521" s="475" t="s">
        <v>139</v>
      </c>
      <c r="J1521" s="475" t="s">
        <v>337</v>
      </c>
      <c r="K1521" s="365">
        <v>2623.46</v>
      </c>
      <c r="L1521" s="475" t="s">
        <v>141</v>
      </c>
      <c r="M1521" s="473"/>
    </row>
    <row r="1522" spans="1:13" ht="13.5">
      <c r="A1522" s="475" t="s">
        <v>5319</v>
      </c>
      <c r="B1522" s="475" t="s">
        <v>5320</v>
      </c>
      <c r="C1522" s="475" t="s">
        <v>5341</v>
      </c>
      <c r="D1522" s="475" t="s">
        <v>5342</v>
      </c>
      <c r="E1522" s="476" t="s">
        <v>34</v>
      </c>
      <c r="F1522" s="475" t="s">
        <v>34</v>
      </c>
      <c r="G1522" s="364">
        <v>98042</v>
      </c>
      <c r="H1522" s="475" t="s">
        <v>6428</v>
      </c>
      <c r="I1522" s="475" t="s">
        <v>171</v>
      </c>
      <c r="J1522" s="475" t="s">
        <v>140</v>
      </c>
      <c r="K1522" s="365">
        <v>9946.41</v>
      </c>
      <c r="L1522" s="475" t="s">
        <v>141</v>
      </c>
      <c r="M1522" s="473"/>
    </row>
    <row r="1523" spans="1:13" ht="13.5">
      <c r="A1523" s="475" t="s">
        <v>5319</v>
      </c>
      <c r="B1523" s="475" t="s">
        <v>5320</v>
      </c>
      <c r="C1523" s="475" t="s">
        <v>5341</v>
      </c>
      <c r="D1523" s="475" t="s">
        <v>5342</v>
      </c>
      <c r="E1523" s="476" t="s">
        <v>34</v>
      </c>
      <c r="F1523" s="475" t="s">
        <v>34</v>
      </c>
      <c r="G1523" s="364">
        <v>98043</v>
      </c>
      <c r="H1523" s="475" t="s">
        <v>6429</v>
      </c>
      <c r="I1523" s="475" t="s">
        <v>139</v>
      </c>
      <c r="J1523" s="475" t="s">
        <v>337</v>
      </c>
      <c r="K1523" s="365">
        <v>2812.67</v>
      </c>
      <c r="L1523" s="475" t="s">
        <v>141</v>
      </c>
      <c r="M1523" s="473"/>
    </row>
    <row r="1524" spans="1:13" ht="13.5">
      <c r="A1524" s="475" t="s">
        <v>5319</v>
      </c>
      <c r="B1524" s="475" t="s">
        <v>5320</v>
      </c>
      <c r="C1524" s="475" t="s">
        <v>5341</v>
      </c>
      <c r="D1524" s="475" t="s">
        <v>5342</v>
      </c>
      <c r="E1524" s="476" t="s">
        <v>34</v>
      </c>
      <c r="F1524" s="475" t="s">
        <v>34</v>
      </c>
      <c r="G1524" s="364">
        <v>98044</v>
      </c>
      <c r="H1524" s="475" t="s">
        <v>6430</v>
      </c>
      <c r="I1524" s="475" t="s">
        <v>171</v>
      </c>
      <c r="J1524" s="475" t="s">
        <v>140</v>
      </c>
      <c r="K1524" s="365">
        <v>10124.040000000001</v>
      </c>
      <c r="L1524" s="475" t="s">
        <v>141</v>
      </c>
      <c r="M1524" s="473"/>
    </row>
    <row r="1525" spans="1:13" ht="13.5">
      <c r="A1525" s="475" t="s">
        <v>5319</v>
      </c>
      <c r="B1525" s="475" t="s">
        <v>5320</v>
      </c>
      <c r="C1525" s="475" t="s">
        <v>5341</v>
      </c>
      <c r="D1525" s="475" t="s">
        <v>5342</v>
      </c>
      <c r="E1525" s="476" t="s">
        <v>34</v>
      </c>
      <c r="F1525" s="475" t="s">
        <v>34</v>
      </c>
      <c r="G1525" s="364">
        <v>98045</v>
      </c>
      <c r="H1525" s="475" t="s">
        <v>6431</v>
      </c>
      <c r="I1525" s="475" t="s">
        <v>139</v>
      </c>
      <c r="J1525" s="475" t="s">
        <v>337</v>
      </c>
      <c r="K1525" s="365">
        <v>2812.67</v>
      </c>
      <c r="L1525" s="475" t="s">
        <v>141</v>
      </c>
      <c r="M1525" s="473"/>
    </row>
    <row r="1526" spans="1:13" ht="13.5">
      <c r="A1526" s="475" t="s">
        <v>5319</v>
      </c>
      <c r="B1526" s="475" t="s">
        <v>5320</v>
      </c>
      <c r="C1526" s="475" t="s">
        <v>5341</v>
      </c>
      <c r="D1526" s="475" t="s">
        <v>5342</v>
      </c>
      <c r="E1526" s="476" t="s">
        <v>34</v>
      </c>
      <c r="F1526" s="475" t="s">
        <v>34</v>
      </c>
      <c r="G1526" s="364">
        <v>98046</v>
      </c>
      <c r="H1526" s="475" t="s">
        <v>6432</v>
      </c>
      <c r="I1526" s="475" t="s">
        <v>171</v>
      </c>
      <c r="J1526" s="475" t="s">
        <v>140</v>
      </c>
      <c r="K1526" s="365">
        <v>11278.67</v>
      </c>
      <c r="L1526" s="475" t="s">
        <v>141</v>
      </c>
      <c r="M1526" s="473"/>
    </row>
    <row r="1527" spans="1:13" ht="13.5">
      <c r="A1527" s="475" t="s">
        <v>5319</v>
      </c>
      <c r="B1527" s="475" t="s">
        <v>5320</v>
      </c>
      <c r="C1527" s="475" t="s">
        <v>5341</v>
      </c>
      <c r="D1527" s="475" t="s">
        <v>5342</v>
      </c>
      <c r="E1527" s="476" t="s">
        <v>34</v>
      </c>
      <c r="F1527" s="475" t="s">
        <v>34</v>
      </c>
      <c r="G1527" s="364">
        <v>98047</v>
      </c>
      <c r="H1527" s="475" t="s">
        <v>6433</v>
      </c>
      <c r="I1527" s="475" t="s">
        <v>139</v>
      </c>
      <c r="J1527" s="475" t="s">
        <v>337</v>
      </c>
      <c r="K1527" s="365">
        <v>3001.87</v>
      </c>
      <c r="L1527" s="475" t="s">
        <v>141</v>
      </c>
      <c r="M1527" s="473"/>
    </row>
    <row r="1528" spans="1:13" ht="13.5">
      <c r="A1528" s="475" t="s">
        <v>5319</v>
      </c>
      <c r="B1528" s="475" t="s">
        <v>5320</v>
      </c>
      <c r="C1528" s="475" t="s">
        <v>5341</v>
      </c>
      <c r="D1528" s="475" t="s">
        <v>5342</v>
      </c>
      <c r="E1528" s="476" t="s">
        <v>34</v>
      </c>
      <c r="F1528" s="475" t="s">
        <v>34</v>
      </c>
      <c r="G1528" s="364">
        <v>98048</v>
      </c>
      <c r="H1528" s="475" t="s">
        <v>6434</v>
      </c>
      <c r="I1528" s="475" t="s">
        <v>171</v>
      </c>
      <c r="J1528" s="475" t="s">
        <v>140</v>
      </c>
      <c r="K1528" s="365">
        <v>12618.92</v>
      </c>
      <c r="L1528" s="475" t="s">
        <v>141</v>
      </c>
      <c r="M1528" s="473"/>
    </row>
    <row r="1529" spans="1:13" ht="13.5">
      <c r="A1529" s="475" t="s">
        <v>5319</v>
      </c>
      <c r="B1529" s="475" t="s">
        <v>5320</v>
      </c>
      <c r="C1529" s="475" t="s">
        <v>5341</v>
      </c>
      <c r="D1529" s="475" t="s">
        <v>5342</v>
      </c>
      <c r="E1529" s="476" t="s">
        <v>34</v>
      </c>
      <c r="F1529" s="475" t="s">
        <v>34</v>
      </c>
      <c r="G1529" s="364">
        <v>98049</v>
      </c>
      <c r="H1529" s="475" t="s">
        <v>6435</v>
      </c>
      <c r="I1529" s="475" t="s">
        <v>139</v>
      </c>
      <c r="J1529" s="475" t="s">
        <v>337</v>
      </c>
      <c r="K1529" s="365">
        <v>3138.24</v>
      </c>
      <c r="L1529" s="475" t="s">
        <v>141</v>
      </c>
      <c r="M1529" s="473"/>
    </row>
    <row r="1530" spans="1:13" ht="13.5">
      <c r="A1530" s="475" t="s">
        <v>5319</v>
      </c>
      <c r="B1530" s="475" t="s">
        <v>5320</v>
      </c>
      <c r="C1530" s="475" t="s">
        <v>5341</v>
      </c>
      <c r="D1530" s="475" t="s">
        <v>5342</v>
      </c>
      <c r="E1530" s="476" t="s">
        <v>34</v>
      </c>
      <c r="F1530" s="475" t="s">
        <v>34</v>
      </c>
      <c r="G1530" s="364">
        <v>98050</v>
      </c>
      <c r="H1530" s="475" t="s">
        <v>6436</v>
      </c>
      <c r="I1530" s="475" t="s">
        <v>139</v>
      </c>
      <c r="J1530" s="475" t="s">
        <v>140</v>
      </c>
      <c r="K1530" s="365">
        <v>201.22</v>
      </c>
      <c r="L1530" s="475" t="s">
        <v>141</v>
      </c>
      <c r="M1530" s="473"/>
    </row>
    <row r="1531" spans="1:13" ht="13.5">
      <c r="A1531" s="475" t="s">
        <v>5319</v>
      </c>
      <c r="B1531" s="475" t="s">
        <v>5320</v>
      </c>
      <c r="C1531" s="475" t="s">
        <v>5341</v>
      </c>
      <c r="D1531" s="475" t="s">
        <v>5342</v>
      </c>
      <c r="E1531" s="476" t="s">
        <v>34</v>
      </c>
      <c r="F1531" s="475" t="s">
        <v>34</v>
      </c>
      <c r="G1531" s="364">
        <v>98051</v>
      </c>
      <c r="H1531" s="475" t="s">
        <v>6437</v>
      </c>
      <c r="I1531" s="475" t="s">
        <v>139</v>
      </c>
      <c r="J1531" s="475" t="s">
        <v>337</v>
      </c>
      <c r="K1531" s="365">
        <v>695.51</v>
      </c>
      <c r="L1531" s="475" t="s">
        <v>141</v>
      </c>
      <c r="M1531" s="473"/>
    </row>
    <row r="1532" spans="1:13" ht="13.5">
      <c r="A1532" s="475" t="s">
        <v>5319</v>
      </c>
      <c r="B1532" s="475" t="s">
        <v>5320</v>
      </c>
      <c r="C1532" s="475" t="s">
        <v>5341</v>
      </c>
      <c r="D1532" s="475" t="s">
        <v>5342</v>
      </c>
      <c r="E1532" s="476" t="s">
        <v>34</v>
      </c>
      <c r="F1532" s="475" t="s">
        <v>34</v>
      </c>
      <c r="G1532" s="364">
        <v>98405</v>
      </c>
      <c r="H1532" s="475" t="s">
        <v>7458</v>
      </c>
      <c r="I1532" s="475" t="s">
        <v>171</v>
      </c>
      <c r="J1532" s="475" t="s">
        <v>140</v>
      </c>
      <c r="K1532" s="365">
        <v>1835.39</v>
      </c>
      <c r="L1532" s="475" t="s">
        <v>141</v>
      </c>
      <c r="M1532" s="473"/>
    </row>
    <row r="1533" spans="1:13" ht="13.5">
      <c r="A1533" s="475" t="s">
        <v>5319</v>
      </c>
      <c r="B1533" s="475" t="s">
        <v>5320</v>
      </c>
      <c r="C1533" s="475" t="s">
        <v>5341</v>
      </c>
      <c r="D1533" s="475" t="s">
        <v>5342</v>
      </c>
      <c r="E1533" s="476" t="s">
        <v>34</v>
      </c>
      <c r="F1533" s="475" t="s">
        <v>34</v>
      </c>
      <c r="G1533" s="364">
        <v>98406</v>
      </c>
      <c r="H1533" s="475" t="s">
        <v>6438</v>
      </c>
      <c r="I1533" s="475" t="s">
        <v>171</v>
      </c>
      <c r="J1533" s="475" t="s">
        <v>140</v>
      </c>
      <c r="K1533" s="365">
        <v>4370.83</v>
      </c>
      <c r="L1533" s="475" t="s">
        <v>141</v>
      </c>
      <c r="M1533" s="473"/>
    </row>
    <row r="1534" spans="1:13" ht="13.5">
      <c r="A1534" s="475" t="s">
        <v>5319</v>
      </c>
      <c r="B1534" s="475" t="s">
        <v>5320</v>
      </c>
      <c r="C1534" s="475" t="s">
        <v>5341</v>
      </c>
      <c r="D1534" s="475" t="s">
        <v>5342</v>
      </c>
      <c r="E1534" s="476" t="s">
        <v>34</v>
      </c>
      <c r="F1534" s="475" t="s">
        <v>34</v>
      </c>
      <c r="G1534" s="364">
        <v>98407</v>
      </c>
      <c r="H1534" s="475" t="s">
        <v>6439</v>
      </c>
      <c r="I1534" s="475" t="s">
        <v>171</v>
      </c>
      <c r="J1534" s="475" t="s">
        <v>140</v>
      </c>
      <c r="K1534" s="365">
        <v>2864.17</v>
      </c>
      <c r="L1534" s="475" t="s">
        <v>141</v>
      </c>
      <c r="M1534" s="473"/>
    </row>
    <row r="1535" spans="1:13" ht="13.5">
      <c r="A1535" s="475" t="s">
        <v>5319</v>
      </c>
      <c r="B1535" s="475" t="s">
        <v>5320</v>
      </c>
      <c r="C1535" s="475" t="s">
        <v>5341</v>
      </c>
      <c r="D1535" s="475" t="s">
        <v>5342</v>
      </c>
      <c r="E1535" s="476" t="s">
        <v>34</v>
      </c>
      <c r="F1535" s="475" t="s">
        <v>34</v>
      </c>
      <c r="G1535" s="364">
        <v>98408</v>
      </c>
      <c r="H1535" s="475" t="s">
        <v>6440</v>
      </c>
      <c r="I1535" s="475" t="s">
        <v>171</v>
      </c>
      <c r="J1535" s="475" t="s">
        <v>140</v>
      </c>
      <c r="K1535" s="365">
        <v>3358.05</v>
      </c>
      <c r="L1535" s="475" t="s">
        <v>141</v>
      </c>
      <c r="M1535" s="473"/>
    </row>
    <row r="1536" spans="1:13" ht="13.5">
      <c r="A1536" s="475" t="s">
        <v>5319</v>
      </c>
      <c r="B1536" s="475" t="s">
        <v>5320</v>
      </c>
      <c r="C1536" s="475" t="s">
        <v>5341</v>
      </c>
      <c r="D1536" s="475" t="s">
        <v>5342</v>
      </c>
      <c r="E1536" s="476" t="s">
        <v>34</v>
      </c>
      <c r="F1536" s="475" t="s">
        <v>34</v>
      </c>
      <c r="G1536" s="364">
        <v>98409</v>
      </c>
      <c r="H1536" s="475" t="s">
        <v>6441</v>
      </c>
      <c r="I1536" s="475" t="s">
        <v>139</v>
      </c>
      <c r="J1536" s="475" t="s">
        <v>140</v>
      </c>
      <c r="K1536" s="365">
        <v>306.47000000000003</v>
      </c>
      <c r="L1536" s="475" t="s">
        <v>141</v>
      </c>
      <c r="M1536" s="473"/>
    </row>
    <row r="1537" spans="1:13" ht="13.5">
      <c r="A1537" s="475" t="s">
        <v>5319</v>
      </c>
      <c r="B1537" s="475" t="s">
        <v>5320</v>
      </c>
      <c r="C1537" s="475" t="s">
        <v>5341</v>
      </c>
      <c r="D1537" s="475" t="s">
        <v>5342</v>
      </c>
      <c r="E1537" s="476" t="s">
        <v>34</v>
      </c>
      <c r="F1537" s="475" t="s">
        <v>34</v>
      </c>
      <c r="G1537" s="364">
        <v>98414</v>
      </c>
      <c r="H1537" s="475" t="s">
        <v>6442</v>
      </c>
      <c r="I1537" s="475" t="s">
        <v>171</v>
      </c>
      <c r="J1537" s="475" t="s">
        <v>140</v>
      </c>
      <c r="K1537" s="365">
        <v>916.46</v>
      </c>
      <c r="L1537" s="475" t="s">
        <v>141</v>
      </c>
      <c r="M1537" s="473"/>
    </row>
    <row r="1538" spans="1:13" ht="13.5">
      <c r="A1538" s="475" t="s">
        <v>5319</v>
      </c>
      <c r="B1538" s="475" t="s">
        <v>5320</v>
      </c>
      <c r="C1538" s="475" t="s">
        <v>5341</v>
      </c>
      <c r="D1538" s="475" t="s">
        <v>5342</v>
      </c>
      <c r="E1538" s="476" t="s">
        <v>34</v>
      </c>
      <c r="F1538" s="475" t="s">
        <v>34</v>
      </c>
      <c r="G1538" s="364">
        <v>98415</v>
      </c>
      <c r="H1538" s="475" t="s">
        <v>6443</v>
      </c>
      <c r="I1538" s="475" t="s">
        <v>171</v>
      </c>
      <c r="J1538" s="475" t="s">
        <v>140</v>
      </c>
      <c r="K1538" s="365">
        <v>916.46</v>
      </c>
      <c r="L1538" s="475" t="s">
        <v>141</v>
      </c>
      <c r="M1538" s="473"/>
    </row>
    <row r="1539" spans="1:13" ht="13.5">
      <c r="A1539" s="475" t="s">
        <v>5319</v>
      </c>
      <c r="B1539" s="475" t="s">
        <v>5320</v>
      </c>
      <c r="C1539" s="475" t="s">
        <v>5341</v>
      </c>
      <c r="D1539" s="475" t="s">
        <v>5342</v>
      </c>
      <c r="E1539" s="476" t="s">
        <v>34</v>
      </c>
      <c r="F1539" s="475" t="s">
        <v>34</v>
      </c>
      <c r="G1539" s="364">
        <v>98416</v>
      </c>
      <c r="H1539" s="475" t="s">
        <v>6444</v>
      </c>
      <c r="I1539" s="475" t="s">
        <v>171</v>
      </c>
      <c r="J1539" s="475" t="s">
        <v>140</v>
      </c>
      <c r="K1539" s="365">
        <v>1101.78</v>
      </c>
      <c r="L1539" s="475" t="s">
        <v>141</v>
      </c>
      <c r="M1539" s="473"/>
    </row>
    <row r="1540" spans="1:13" ht="13.5">
      <c r="A1540" s="475" t="s">
        <v>5319</v>
      </c>
      <c r="B1540" s="475" t="s">
        <v>5320</v>
      </c>
      <c r="C1540" s="475" t="s">
        <v>5341</v>
      </c>
      <c r="D1540" s="475" t="s">
        <v>5342</v>
      </c>
      <c r="E1540" s="476" t="s">
        <v>34</v>
      </c>
      <c r="F1540" s="475" t="s">
        <v>34</v>
      </c>
      <c r="G1540" s="364">
        <v>98417</v>
      </c>
      <c r="H1540" s="475" t="s">
        <v>6445</v>
      </c>
      <c r="I1540" s="475" t="s">
        <v>171</v>
      </c>
      <c r="J1540" s="475" t="s">
        <v>140</v>
      </c>
      <c r="K1540" s="365">
        <v>1287.1099999999999</v>
      </c>
      <c r="L1540" s="475" t="s">
        <v>141</v>
      </c>
      <c r="M1540" s="473"/>
    </row>
    <row r="1541" spans="1:13" ht="13.5">
      <c r="A1541" s="475" t="s">
        <v>5319</v>
      </c>
      <c r="B1541" s="475" t="s">
        <v>5320</v>
      </c>
      <c r="C1541" s="475" t="s">
        <v>5341</v>
      </c>
      <c r="D1541" s="475" t="s">
        <v>5342</v>
      </c>
      <c r="E1541" s="476" t="s">
        <v>34</v>
      </c>
      <c r="F1541" s="475" t="s">
        <v>34</v>
      </c>
      <c r="G1541" s="364">
        <v>98418</v>
      </c>
      <c r="H1541" s="475" t="s">
        <v>6446</v>
      </c>
      <c r="I1541" s="475" t="s">
        <v>171</v>
      </c>
      <c r="J1541" s="475" t="s">
        <v>140</v>
      </c>
      <c r="K1541" s="365">
        <v>1387.72</v>
      </c>
      <c r="L1541" s="475" t="s">
        <v>141</v>
      </c>
      <c r="M1541" s="473"/>
    </row>
    <row r="1542" spans="1:13" ht="13.5">
      <c r="A1542" s="475" t="s">
        <v>5319</v>
      </c>
      <c r="B1542" s="475" t="s">
        <v>5320</v>
      </c>
      <c r="C1542" s="475" t="s">
        <v>5341</v>
      </c>
      <c r="D1542" s="475" t="s">
        <v>5342</v>
      </c>
      <c r="E1542" s="476" t="s">
        <v>34</v>
      </c>
      <c r="F1542" s="475" t="s">
        <v>34</v>
      </c>
      <c r="G1542" s="364">
        <v>98419</v>
      </c>
      <c r="H1542" s="475" t="s">
        <v>6447</v>
      </c>
      <c r="I1542" s="475" t="s">
        <v>171</v>
      </c>
      <c r="J1542" s="475" t="s">
        <v>140</v>
      </c>
      <c r="K1542" s="365">
        <v>1488.33</v>
      </c>
      <c r="L1542" s="475" t="s">
        <v>141</v>
      </c>
      <c r="M1542" s="473"/>
    </row>
    <row r="1543" spans="1:13" ht="13.5">
      <c r="A1543" s="475" t="s">
        <v>5319</v>
      </c>
      <c r="B1543" s="475" t="s">
        <v>5320</v>
      </c>
      <c r="C1543" s="475" t="s">
        <v>5341</v>
      </c>
      <c r="D1543" s="475" t="s">
        <v>5342</v>
      </c>
      <c r="E1543" s="476" t="s">
        <v>34</v>
      </c>
      <c r="F1543" s="475" t="s">
        <v>34</v>
      </c>
      <c r="G1543" s="364">
        <v>98420</v>
      </c>
      <c r="H1543" s="475" t="s">
        <v>6448</v>
      </c>
      <c r="I1543" s="475" t="s">
        <v>171</v>
      </c>
      <c r="J1543" s="475" t="s">
        <v>140</v>
      </c>
      <c r="K1543" s="365">
        <v>1291.33</v>
      </c>
      <c r="L1543" s="475" t="s">
        <v>141</v>
      </c>
      <c r="M1543" s="473"/>
    </row>
    <row r="1544" spans="1:13" ht="13.5">
      <c r="A1544" s="475" t="s">
        <v>5319</v>
      </c>
      <c r="B1544" s="475" t="s">
        <v>5320</v>
      </c>
      <c r="C1544" s="475" t="s">
        <v>5341</v>
      </c>
      <c r="D1544" s="475" t="s">
        <v>5342</v>
      </c>
      <c r="E1544" s="476" t="s">
        <v>34</v>
      </c>
      <c r="F1544" s="475" t="s">
        <v>34</v>
      </c>
      <c r="G1544" s="364">
        <v>98421</v>
      </c>
      <c r="H1544" s="475" t="s">
        <v>6449</v>
      </c>
      <c r="I1544" s="475" t="s">
        <v>171</v>
      </c>
      <c r="J1544" s="475" t="s">
        <v>140</v>
      </c>
      <c r="K1544" s="365">
        <v>1476.65</v>
      </c>
      <c r="L1544" s="475" t="s">
        <v>141</v>
      </c>
      <c r="M1544" s="473"/>
    </row>
    <row r="1545" spans="1:13" ht="13.5">
      <c r="A1545" s="475" t="s">
        <v>5319</v>
      </c>
      <c r="B1545" s="475" t="s">
        <v>5320</v>
      </c>
      <c r="C1545" s="475" t="s">
        <v>5341</v>
      </c>
      <c r="D1545" s="475" t="s">
        <v>5342</v>
      </c>
      <c r="E1545" s="476" t="s">
        <v>34</v>
      </c>
      <c r="F1545" s="475" t="s">
        <v>34</v>
      </c>
      <c r="G1545" s="364">
        <v>98422</v>
      </c>
      <c r="H1545" s="475" t="s">
        <v>6450</v>
      </c>
      <c r="I1545" s="475" t="s">
        <v>171</v>
      </c>
      <c r="J1545" s="475" t="s">
        <v>140</v>
      </c>
      <c r="K1545" s="365">
        <v>1661.98</v>
      </c>
      <c r="L1545" s="475" t="s">
        <v>141</v>
      </c>
      <c r="M1545" s="473"/>
    </row>
    <row r="1546" spans="1:13" ht="13.5">
      <c r="A1546" s="475" t="s">
        <v>5319</v>
      </c>
      <c r="B1546" s="475" t="s">
        <v>5320</v>
      </c>
      <c r="C1546" s="475" t="s">
        <v>5341</v>
      </c>
      <c r="D1546" s="475" t="s">
        <v>5342</v>
      </c>
      <c r="E1546" s="476" t="s">
        <v>34</v>
      </c>
      <c r="F1546" s="475" t="s">
        <v>34</v>
      </c>
      <c r="G1546" s="364">
        <v>98423</v>
      </c>
      <c r="H1546" s="475" t="s">
        <v>6451</v>
      </c>
      <c r="I1546" s="475" t="s">
        <v>171</v>
      </c>
      <c r="J1546" s="475" t="s">
        <v>140</v>
      </c>
      <c r="K1546" s="365">
        <v>1762.59</v>
      </c>
      <c r="L1546" s="475" t="s">
        <v>141</v>
      </c>
      <c r="M1546" s="473"/>
    </row>
    <row r="1547" spans="1:13" ht="13.5">
      <c r="A1547" s="475" t="s">
        <v>5319</v>
      </c>
      <c r="B1547" s="475" t="s">
        <v>5320</v>
      </c>
      <c r="C1547" s="475" t="s">
        <v>5341</v>
      </c>
      <c r="D1547" s="475" t="s">
        <v>5342</v>
      </c>
      <c r="E1547" s="476" t="s">
        <v>34</v>
      </c>
      <c r="F1547" s="475" t="s">
        <v>34</v>
      </c>
      <c r="G1547" s="364">
        <v>98424</v>
      </c>
      <c r="H1547" s="475" t="s">
        <v>6452</v>
      </c>
      <c r="I1547" s="475" t="s">
        <v>171</v>
      </c>
      <c r="J1547" s="475" t="s">
        <v>140</v>
      </c>
      <c r="K1547" s="365">
        <v>1863.2</v>
      </c>
      <c r="L1547" s="475" t="s">
        <v>141</v>
      </c>
      <c r="M1547" s="473"/>
    </row>
    <row r="1548" spans="1:13" ht="13.5">
      <c r="A1548" s="475" t="s">
        <v>5319</v>
      </c>
      <c r="B1548" s="475" t="s">
        <v>5320</v>
      </c>
      <c r="C1548" s="475" t="s">
        <v>5341</v>
      </c>
      <c r="D1548" s="475" t="s">
        <v>5342</v>
      </c>
      <c r="E1548" s="476" t="s">
        <v>34</v>
      </c>
      <c r="F1548" s="475" t="s">
        <v>34</v>
      </c>
      <c r="G1548" s="364">
        <v>98425</v>
      </c>
      <c r="H1548" s="475" t="s">
        <v>6453</v>
      </c>
      <c r="I1548" s="475" t="s">
        <v>171</v>
      </c>
      <c r="J1548" s="475" t="s">
        <v>140</v>
      </c>
      <c r="K1548" s="365">
        <v>2168.91</v>
      </c>
      <c r="L1548" s="475" t="s">
        <v>141</v>
      </c>
      <c r="M1548" s="473"/>
    </row>
    <row r="1549" spans="1:13" ht="13.5">
      <c r="A1549" s="475" t="s">
        <v>5319</v>
      </c>
      <c r="B1549" s="475" t="s">
        <v>5320</v>
      </c>
      <c r="C1549" s="475" t="s">
        <v>5341</v>
      </c>
      <c r="D1549" s="475" t="s">
        <v>5342</v>
      </c>
      <c r="E1549" s="476" t="s">
        <v>34</v>
      </c>
      <c r="F1549" s="475" t="s">
        <v>34</v>
      </c>
      <c r="G1549" s="364">
        <v>98426</v>
      </c>
      <c r="H1549" s="475" t="s">
        <v>6454</v>
      </c>
      <c r="I1549" s="475" t="s">
        <v>171</v>
      </c>
      <c r="J1549" s="475" t="s">
        <v>140</v>
      </c>
      <c r="K1549" s="365">
        <v>2794.52</v>
      </c>
      <c r="L1549" s="475" t="s">
        <v>141</v>
      </c>
      <c r="M1549" s="473"/>
    </row>
    <row r="1550" spans="1:13" ht="13.5">
      <c r="A1550" s="475" t="s">
        <v>5319</v>
      </c>
      <c r="B1550" s="475" t="s">
        <v>5320</v>
      </c>
      <c r="C1550" s="475" t="s">
        <v>5341</v>
      </c>
      <c r="D1550" s="475" t="s">
        <v>5342</v>
      </c>
      <c r="E1550" s="476" t="s">
        <v>34</v>
      </c>
      <c r="F1550" s="475" t="s">
        <v>34</v>
      </c>
      <c r="G1550" s="364">
        <v>98427</v>
      </c>
      <c r="H1550" s="475" t="s">
        <v>6455</v>
      </c>
      <c r="I1550" s="475" t="s">
        <v>171</v>
      </c>
      <c r="J1550" s="475" t="s">
        <v>140</v>
      </c>
      <c r="K1550" s="365">
        <v>3420.13</v>
      </c>
      <c r="L1550" s="475" t="s">
        <v>141</v>
      </c>
      <c r="M1550" s="473"/>
    </row>
    <row r="1551" spans="1:13" ht="13.5">
      <c r="A1551" s="475" t="s">
        <v>5319</v>
      </c>
      <c r="B1551" s="475" t="s">
        <v>5320</v>
      </c>
      <c r="C1551" s="475" t="s">
        <v>5341</v>
      </c>
      <c r="D1551" s="475" t="s">
        <v>5342</v>
      </c>
      <c r="E1551" s="476" t="s">
        <v>34</v>
      </c>
      <c r="F1551" s="475" t="s">
        <v>34</v>
      </c>
      <c r="G1551" s="364">
        <v>98428</v>
      </c>
      <c r="H1551" s="475" t="s">
        <v>6456</v>
      </c>
      <c r="I1551" s="475" t="s">
        <v>171</v>
      </c>
      <c r="J1551" s="475" t="s">
        <v>140</v>
      </c>
      <c r="K1551" s="365">
        <v>3767.88</v>
      </c>
      <c r="L1551" s="475" t="s">
        <v>141</v>
      </c>
      <c r="M1551" s="473"/>
    </row>
    <row r="1552" spans="1:13" ht="13.5">
      <c r="A1552" s="475" t="s">
        <v>5319</v>
      </c>
      <c r="B1552" s="475" t="s">
        <v>5320</v>
      </c>
      <c r="C1552" s="475" t="s">
        <v>5341</v>
      </c>
      <c r="D1552" s="475" t="s">
        <v>5342</v>
      </c>
      <c r="E1552" s="476" t="s">
        <v>34</v>
      </c>
      <c r="F1552" s="475" t="s">
        <v>34</v>
      </c>
      <c r="G1552" s="364">
        <v>98429</v>
      </c>
      <c r="H1552" s="475" t="s">
        <v>6457</v>
      </c>
      <c r="I1552" s="475" t="s">
        <v>171</v>
      </c>
      <c r="J1552" s="475" t="s">
        <v>140</v>
      </c>
      <c r="K1552" s="365">
        <v>4115.6400000000003</v>
      </c>
      <c r="L1552" s="475" t="s">
        <v>141</v>
      </c>
      <c r="M1552" s="473"/>
    </row>
    <row r="1553" spans="1:13" ht="13.5">
      <c r="A1553" s="475" t="s">
        <v>5319</v>
      </c>
      <c r="B1553" s="475" t="s">
        <v>5320</v>
      </c>
      <c r="C1553" s="475" t="s">
        <v>5341</v>
      </c>
      <c r="D1553" s="475" t="s">
        <v>5342</v>
      </c>
      <c r="E1553" s="476" t="s">
        <v>34</v>
      </c>
      <c r="F1553" s="475" t="s">
        <v>34</v>
      </c>
      <c r="G1553" s="364">
        <v>98430</v>
      </c>
      <c r="H1553" s="475" t="s">
        <v>6458</v>
      </c>
      <c r="I1553" s="475" t="s">
        <v>171</v>
      </c>
      <c r="J1553" s="475" t="s">
        <v>140</v>
      </c>
      <c r="K1553" s="365">
        <v>2543.7800000000002</v>
      </c>
      <c r="L1553" s="475" t="s">
        <v>141</v>
      </c>
      <c r="M1553" s="473"/>
    </row>
    <row r="1554" spans="1:13" ht="13.5">
      <c r="A1554" s="475" t="s">
        <v>5319</v>
      </c>
      <c r="B1554" s="475" t="s">
        <v>5320</v>
      </c>
      <c r="C1554" s="475" t="s">
        <v>5341</v>
      </c>
      <c r="D1554" s="475" t="s">
        <v>5342</v>
      </c>
      <c r="E1554" s="476" t="s">
        <v>34</v>
      </c>
      <c r="F1554" s="475" t="s">
        <v>34</v>
      </c>
      <c r="G1554" s="364">
        <v>98431</v>
      </c>
      <c r="H1554" s="475" t="s">
        <v>6459</v>
      </c>
      <c r="I1554" s="475" t="s">
        <v>171</v>
      </c>
      <c r="J1554" s="475" t="s">
        <v>140</v>
      </c>
      <c r="K1554" s="365">
        <v>3169.39</v>
      </c>
      <c r="L1554" s="475" t="s">
        <v>141</v>
      </c>
      <c r="M1554" s="473"/>
    </row>
    <row r="1555" spans="1:13" ht="13.5">
      <c r="A1555" s="475" t="s">
        <v>5319</v>
      </c>
      <c r="B1555" s="475" t="s">
        <v>5320</v>
      </c>
      <c r="C1555" s="475" t="s">
        <v>5341</v>
      </c>
      <c r="D1555" s="475" t="s">
        <v>5342</v>
      </c>
      <c r="E1555" s="476" t="s">
        <v>34</v>
      </c>
      <c r="F1555" s="475" t="s">
        <v>34</v>
      </c>
      <c r="G1555" s="364">
        <v>98432</v>
      </c>
      <c r="H1555" s="475" t="s">
        <v>6460</v>
      </c>
      <c r="I1555" s="475" t="s">
        <v>171</v>
      </c>
      <c r="J1555" s="475" t="s">
        <v>140</v>
      </c>
      <c r="K1555" s="365">
        <v>3795</v>
      </c>
      <c r="L1555" s="475" t="s">
        <v>141</v>
      </c>
      <c r="M1555" s="473"/>
    </row>
    <row r="1556" spans="1:13" ht="13.5">
      <c r="A1556" s="475" t="s">
        <v>5319</v>
      </c>
      <c r="B1556" s="475" t="s">
        <v>5320</v>
      </c>
      <c r="C1556" s="475" t="s">
        <v>5341</v>
      </c>
      <c r="D1556" s="475" t="s">
        <v>5342</v>
      </c>
      <c r="E1556" s="476" t="s">
        <v>34</v>
      </c>
      <c r="F1556" s="475" t="s">
        <v>34</v>
      </c>
      <c r="G1556" s="364">
        <v>98433</v>
      </c>
      <c r="H1556" s="475" t="s">
        <v>6461</v>
      </c>
      <c r="I1556" s="475" t="s">
        <v>171</v>
      </c>
      <c r="J1556" s="475" t="s">
        <v>140</v>
      </c>
      <c r="K1556" s="365">
        <v>4142.75</v>
      </c>
      <c r="L1556" s="475" t="s">
        <v>141</v>
      </c>
      <c r="M1556" s="473"/>
    </row>
    <row r="1557" spans="1:13" ht="13.5">
      <c r="A1557" s="475" t="s">
        <v>5319</v>
      </c>
      <c r="B1557" s="475" t="s">
        <v>5320</v>
      </c>
      <c r="C1557" s="475" t="s">
        <v>5341</v>
      </c>
      <c r="D1557" s="475" t="s">
        <v>5342</v>
      </c>
      <c r="E1557" s="476" t="s">
        <v>34</v>
      </c>
      <c r="F1557" s="475" t="s">
        <v>34</v>
      </c>
      <c r="G1557" s="364">
        <v>98434</v>
      </c>
      <c r="H1557" s="475" t="s">
        <v>6462</v>
      </c>
      <c r="I1557" s="475" t="s">
        <v>171</v>
      </c>
      <c r="J1557" s="475" t="s">
        <v>140</v>
      </c>
      <c r="K1557" s="365">
        <v>4490.51</v>
      </c>
      <c r="L1557" s="475" t="s">
        <v>141</v>
      </c>
      <c r="M1557" s="473"/>
    </row>
    <row r="1558" spans="1:13" ht="13.5">
      <c r="A1558" s="475" t="s">
        <v>5319</v>
      </c>
      <c r="B1558" s="475" t="s">
        <v>5320</v>
      </c>
      <c r="C1558" s="475" t="s">
        <v>5341</v>
      </c>
      <c r="D1558" s="475" t="s">
        <v>5342</v>
      </c>
      <c r="E1558" s="476" t="s">
        <v>34</v>
      </c>
      <c r="F1558" s="475" t="s">
        <v>34</v>
      </c>
      <c r="G1558" s="364">
        <v>99240</v>
      </c>
      <c r="H1558" s="475" t="s">
        <v>7459</v>
      </c>
      <c r="I1558" s="475" t="s">
        <v>139</v>
      </c>
      <c r="J1558" s="475" t="s">
        <v>140</v>
      </c>
      <c r="K1558" s="365">
        <v>406.35</v>
      </c>
      <c r="L1558" s="475" t="s">
        <v>141</v>
      </c>
      <c r="M1558" s="473"/>
    </row>
    <row r="1559" spans="1:13" ht="13.5">
      <c r="A1559" s="475" t="s">
        <v>5319</v>
      </c>
      <c r="B1559" s="475" t="s">
        <v>5320</v>
      </c>
      <c r="C1559" s="475" t="s">
        <v>5341</v>
      </c>
      <c r="D1559" s="475" t="s">
        <v>5342</v>
      </c>
      <c r="E1559" s="476" t="s">
        <v>34</v>
      </c>
      <c r="F1559" s="475" t="s">
        <v>34</v>
      </c>
      <c r="G1559" s="364">
        <v>99241</v>
      </c>
      <c r="H1559" s="475" t="s">
        <v>7460</v>
      </c>
      <c r="I1559" s="475" t="s">
        <v>139</v>
      </c>
      <c r="J1559" s="475" t="s">
        <v>337</v>
      </c>
      <c r="K1559" s="365">
        <v>1258.05</v>
      </c>
      <c r="L1559" s="475" t="s">
        <v>141</v>
      </c>
      <c r="M1559" s="473"/>
    </row>
    <row r="1560" spans="1:13" ht="13.5">
      <c r="A1560" s="475" t="s">
        <v>5319</v>
      </c>
      <c r="B1560" s="475" t="s">
        <v>5320</v>
      </c>
      <c r="C1560" s="475" t="s">
        <v>5341</v>
      </c>
      <c r="D1560" s="475" t="s">
        <v>5342</v>
      </c>
      <c r="E1560" s="476" t="s">
        <v>34</v>
      </c>
      <c r="F1560" s="475" t="s">
        <v>34</v>
      </c>
      <c r="G1560" s="364">
        <v>99242</v>
      </c>
      <c r="H1560" s="475" t="s">
        <v>7461</v>
      </c>
      <c r="I1560" s="475" t="s">
        <v>171</v>
      </c>
      <c r="J1560" s="475" t="s">
        <v>140</v>
      </c>
      <c r="K1560" s="365">
        <v>2101.11</v>
      </c>
      <c r="L1560" s="475" t="s">
        <v>141</v>
      </c>
      <c r="M1560" s="473"/>
    </row>
    <row r="1561" spans="1:13" ht="13.5">
      <c r="A1561" s="475" t="s">
        <v>5319</v>
      </c>
      <c r="B1561" s="475" t="s">
        <v>5320</v>
      </c>
      <c r="C1561" s="475" t="s">
        <v>5341</v>
      </c>
      <c r="D1561" s="475" t="s">
        <v>5342</v>
      </c>
      <c r="E1561" s="476" t="s">
        <v>34</v>
      </c>
      <c r="F1561" s="475" t="s">
        <v>34</v>
      </c>
      <c r="G1561" s="364">
        <v>99243</v>
      </c>
      <c r="H1561" s="475" t="s">
        <v>7462</v>
      </c>
      <c r="I1561" s="475" t="s">
        <v>139</v>
      </c>
      <c r="J1561" s="475" t="s">
        <v>337</v>
      </c>
      <c r="K1561" s="365">
        <v>1196.8900000000001</v>
      </c>
      <c r="L1561" s="475" t="s">
        <v>141</v>
      </c>
      <c r="M1561" s="473"/>
    </row>
    <row r="1562" spans="1:13" ht="13.5">
      <c r="A1562" s="475" t="s">
        <v>5319</v>
      </c>
      <c r="B1562" s="475" t="s">
        <v>5320</v>
      </c>
      <c r="C1562" s="475" t="s">
        <v>5341</v>
      </c>
      <c r="D1562" s="475" t="s">
        <v>5342</v>
      </c>
      <c r="E1562" s="476" t="s">
        <v>34</v>
      </c>
      <c r="F1562" s="475" t="s">
        <v>34</v>
      </c>
      <c r="G1562" s="364">
        <v>99244</v>
      </c>
      <c r="H1562" s="475" t="s">
        <v>7463</v>
      </c>
      <c r="I1562" s="475" t="s">
        <v>171</v>
      </c>
      <c r="J1562" s="475" t="s">
        <v>140</v>
      </c>
      <c r="K1562" s="365">
        <v>3484.35</v>
      </c>
      <c r="L1562" s="475" t="s">
        <v>141</v>
      </c>
      <c r="M1562" s="473"/>
    </row>
    <row r="1563" spans="1:13" ht="13.5">
      <c r="A1563" s="475" t="s">
        <v>5319</v>
      </c>
      <c r="B1563" s="475" t="s">
        <v>5320</v>
      </c>
      <c r="C1563" s="475" t="s">
        <v>5341</v>
      </c>
      <c r="D1563" s="475" t="s">
        <v>5342</v>
      </c>
      <c r="E1563" s="476" t="s">
        <v>34</v>
      </c>
      <c r="F1563" s="475" t="s">
        <v>34</v>
      </c>
      <c r="G1563" s="364">
        <v>99246</v>
      </c>
      <c r="H1563" s="475" t="s">
        <v>7464</v>
      </c>
      <c r="I1563" s="475" t="s">
        <v>139</v>
      </c>
      <c r="J1563" s="475" t="s">
        <v>140</v>
      </c>
      <c r="K1563" s="365">
        <v>633.47</v>
      </c>
      <c r="L1563" s="475" t="s">
        <v>141</v>
      </c>
      <c r="M1563" s="473"/>
    </row>
    <row r="1564" spans="1:13" ht="13.5">
      <c r="A1564" s="475" t="s">
        <v>5319</v>
      </c>
      <c r="B1564" s="475" t="s">
        <v>5320</v>
      </c>
      <c r="C1564" s="475" t="s">
        <v>5341</v>
      </c>
      <c r="D1564" s="475" t="s">
        <v>5342</v>
      </c>
      <c r="E1564" s="476" t="s">
        <v>34</v>
      </c>
      <c r="F1564" s="475" t="s">
        <v>34</v>
      </c>
      <c r="G1564" s="364">
        <v>99247</v>
      </c>
      <c r="H1564" s="475" t="s">
        <v>7465</v>
      </c>
      <c r="I1564" s="475" t="s">
        <v>139</v>
      </c>
      <c r="J1564" s="475" t="s">
        <v>337</v>
      </c>
      <c r="K1564" s="365">
        <v>1435.63</v>
      </c>
      <c r="L1564" s="475" t="s">
        <v>141</v>
      </c>
      <c r="M1564" s="473"/>
    </row>
    <row r="1565" spans="1:13" ht="13.5">
      <c r="A1565" s="475" t="s">
        <v>5319</v>
      </c>
      <c r="B1565" s="475" t="s">
        <v>5320</v>
      </c>
      <c r="C1565" s="475" t="s">
        <v>5341</v>
      </c>
      <c r="D1565" s="475" t="s">
        <v>5342</v>
      </c>
      <c r="E1565" s="476" t="s">
        <v>34</v>
      </c>
      <c r="F1565" s="475" t="s">
        <v>34</v>
      </c>
      <c r="G1565" s="364">
        <v>99248</v>
      </c>
      <c r="H1565" s="475" t="s">
        <v>7466</v>
      </c>
      <c r="I1565" s="475" t="s">
        <v>171</v>
      </c>
      <c r="J1565" s="475" t="s">
        <v>140</v>
      </c>
      <c r="K1565" s="365">
        <v>2670.5</v>
      </c>
      <c r="L1565" s="475" t="s">
        <v>141</v>
      </c>
      <c r="M1565" s="473"/>
    </row>
    <row r="1566" spans="1:13" ht="13.5">
      <c r="A1566" s="475" t="s">
        <v>5319</v>
      </c>
      <c r="B1566" s="475" t="s">
        <v>5320</v>
      </c>
      <c r="C1566" s="475" t="s">
        <v>5341</v>
      </c>
      <c r="D1566" s="475" t="s">
        <v>5342</v>
      </c>
      <c r="E1566" s="476" t="s">
        <v>34</v>
      </c>
      <c r="F1566" s="475" t="s">
        <v>34</v>
      </c>
      <c r="G1566" s="364">
        <v>99249</v>
      </c>
      <c r="H1566" s="475" t="s">
        <v>7467</v>
      </c>
      <c r="I1566" s="475" t="s">
        <v>139</v>
      </c>
      <c r="J1566" s="475" t="s">
        <v>337</v>
      </c>
      <c r="K1566" s="365">
        <v>1466.39</v>
      </c>
      <c r="L1566" s="475" t="s">
        <v>141</v>
      </c>
      <c r="M1566" s="473"/>
    </row>
    <row r="1567" spans="1:13" ht="13.5">
      <c r="A1567" s="475" t="s">
        <v>5319</v>
      </c>
      <c r="B1567" s="475" t="s">
        <v>5320</v>
      </c>
      <c r="C1567" s="475" t="s">
        <v>5341</v>
      </c>
      <c r="D1567" s="475" t="s">
        <v>5342</v>
      </c>
      <c r="E1567" s="476" t="s">
        <v>34</v>
      </c>
      <c r="F1567" s="475" t="s">
        <v>34</v>
      </c>
      <c r="G1567" s="364">
        <v>99252</v>
      </c>
      <c r="H1567" s="475" t="s">
        <v>7468</v>
      </c>
      <c r="I1567" s="475" t="s">
        <v>171</v>
      </c>
      <c r="J1567" s="475" t="s">
        <v>140</v>
      </c>
      <c r="K1567" s="365">
        <v>1831.9</v>
      </c>
      <c r="L1567" s="475" t="s">
        <v>141</v>
      </c>
      <c r="M1567" s="473"/>
    </row>
    <row r="1568" spans="1:13" ht="13.5">
      <c r="A1568" s="475" t="s">
        <v>5319</v>
      </c>
      <c r="B1568" s="475" t="s">
        <v>5320</v>
      </c>
      <c r="C1568" s="475" t="s">
        <v>5341</v>
      </c>
      <c r="D1568" s="475" t="s">
        <v>5342</v>
      </c>
      <c r="E1568" s="476" t="s">
        <v>34</v>
      </c>
      <c r="F1568" s="475" t="s">
        <v>34</v>
      </c>
      <c r="G1568" s="364">
        <v>99254</v>
      </c>
      <c r="H1568" s="475" t="s">
        <v>7469</v>
      </c>
      <c r="I1568" s="475" t="s">
        <v>139</v>
      </c>
      <c r="J1568" s="475" t="s">
        <v>337</v>
      </c>
      <c r="K1568" s="365">
        <v>902.85</v>
      </c>
      <c r="L1568" s="475" t="s">
        <v>141</v>
      </c>
      <c r="M1568" s="473"/>
    </row>
    <row r="1569" spans="1:13" ht="13.5">
      <c r="A1569" s="475" t="s">
        <v>5319</v>
      </c>
      <c r="B1569" s="475" t="s">
        <v>5320</v>
      </c>
      <c r="C1569" s="475" t="s">
        <v>5341</v>
      </c>
      <c r="D1569" s="475" t="s">
        <v>5342</v>
      </c>
      <c r="E1569" s="476" t="s">
        <v>34</v>
      </c>
      <c r="F1569" s="475" t="s">
        <v>34</v>
      </c>
      <c r="G1569" s="364">
        <v>99256</v>
      </c>
      <c r="H1569" s="475" t="s">
        <v>7470</v>
      </c>
      <c r="I1569" s="475" t="s">
        <v>171</v>
      </c>
      <c r="J1569" s="475" t="s">
        <v>140</v>
      </c>
      <c r="K1569" s="365">
        <v>4088.38</v>
      </c>
      <c r="L1569" s="475" t="s">
        <v>141</v>
      </c>
      <c r="M1569" s="473"/>
    </row>
    <row r="1570" spans="1:13" ht="13.5">
      <c r="A1570" s="475" t="s">
        <v>5319</v>
      </c>
      <c r="B1570" s="475" t="s">
        <v>5320</v>
      </c>
      <c r="C1570" s="475" t="s">
        <v>5341</v>
      </c>
      <c r="D1570" s="475" t="s">
        <v>5342</v>
      </c>
      <c r="E1570" s="476" t="s">
        <v>34</v>
      </c>
      <c r="F1570" s="475" t="s">
        <v>34</v>
      </c>
      <c r="G1570" s="364">
        <v>99259</v>
      </c>
      <c r="H1570" s="475" t="s">
        <v>7471</v>
      </c>
      <c r="I1570" s="475" t="s">
        <v>171</v>
      </c>
      <c r="J1570" s="475" t="s">
        <v>140</v>
      </c>
      <c r="K1570" s="365">
        <v>2313.84</v>
      </c>
      <c r="L1570" s="475" t="s">
        <v>141</v>
      </c>
      <c r="M1570" s="473"/>
    </row>
    <row r="1571" spans="1:13" ht="13.5">
      <c r="A1571" s="475" t="s">
        <v>5319</v>
      </c>
      <c r="B1571" s="475" t="s">
        <v>5320</v>
      </c>
      <c r="C1571" s="475" t="s">
        <v>5341</v>
      </c>
      <c r="D1571" s="475" t="s">
        <v>5342</v>
      </c>
      <c r="E1571" s="476" t="s">
        <v>34</v>
      </c>
      <c r="F1571" s="475" t="s">
        <v>34</v>
      </c>
      <c r="G1571" s="364">
        <v>99261</v>
      </c>
      <c r="H1571" s="475" t="s">
        <v>7472</v>
      </c>
      <c r="I1571" s="475" t="s">
        <v>139</v>
      </c>
      <c r="J1571" s="475" t="s">
        <v>337</v>
      </c>
      <c r="K1571" s="365">
        <v>1080.45</v>
      </c>
      <c r="L1571" s="475" t="s">
        <v>141</v>
      </c>
      <c r="M1571" s="473"/>
    </row>
    <row r="1572" spans="1:13" ht="13.5">
      <c r="A1572" s="475" t="s">
        <v>5319</v>
      </c>
      <c r="B1572" s="475" t="s">
        <v>5320</v>
      </c>
      <c r="C1572" s="475" t="s">
        <v>5341</v>
      </c>
      <c r="D1572" s="475" t="s">
        <v>5342</v>
      </c>
      <c r="E1572" s="476" t="s">
        <v>34</v>
      </c>
      <c r="F1572" s="475" t="s">
        <v>34</v>
      </c>
      <c r="G1572" s="364">
        <v>99263</v>
      </c>
      <c r="H1572" s="475" t="s">
        <v>7473</v>
      </c>
      <c r="I1572" s="475" t="s">
        <v>139</v>
      </c>
      <c r="J1572" s="475" t="s">
        <v>337</v>
      </c>
      <c r="K1572" s="365">
        <v>1613.29</v>
      </c>
      <c r="L1572" s="475" t="s">
        <v>141</v>
      </c>
      <c r="M1572" s="473"/>
    </row>
    <row r="1573" spans="1:13" ht="13.5">
      <c r="A1573" s="475" t="s">
        <v>5319</v>
      </c>
      <c r="B1573" s="475" t="s">
        <v>5320</v>
      </c>
      <c r="C1573" s="475" t="s">
        <v>5341</v>
      </c>
      <c r="D1573" s="475" t="s">
        <v>5342</v>
      </c>
      <c r="E1573" s="476" t="s">
        <v>34</v>
      </c>
      <c r="F1573" s="475" t="s">
        <v>34</v>
      </c>
      <c r="G1573" s="364">
        <v>99265</v>
      </c>
      <c r="H1573" s="475" t="s">
        <v>7474</v>
      </c>
      <c r="I1573" s="475" t="s">
        <v>171</v>
      </c>
      <c r="J1573" s="475" t="s">
        <v>140</v>
      </c>
      <c r="K1573" s="365">
        <v>2795.72</v>
      </c>
      <c r="L1573" s="475" t="s">
        <v>141</v>
      </c>
      <c r="M1573" s="473"/>
    </row>
    <row r="1574" spans="1:13" ht="13.5">
      <c r="A1574" s="475" t="s">
        <v>5319</v>
      </c>
      <c r="B1574" s="475" t="s">
        <v>5320</v>
      </c>
      <c r="C1574" s="475" t="s">
        <v>5341</v>
      </c>
      <c r="D1574" s="475" t="s">
        <v>5342</v>
      </c>
      <c r="E1574" s="476" t="s">
        <v>34</v>
      </c>
      <c r="F1574" s="475" t="s">
        <v>34</v>
      </c>
      <c r="G1574" s="364">
        <v>99266</v>
      </c>
      <c r="H1574" s="475" t="s">
        <v>7475</v>
      </c>
      <c r="I1574" s="475" t="s">
        <v>139</v>
      </c>
      <c r="J1574" s="475" t="s">
        <v>337</v>
      </c>
      <c r="K1574" s="365">
        <v>1258.05</v>
      </c>
      <c r="L1574" s="475" t="s">
        <v>141</v>
      </c>
      <c r="M1574" s="473"/>
    </row>
    <row r="1575" spans="1:13" ht="13.5">
      <c r="A1575" s="475" t="s">
        <v>5319</v>
      </c>
      <c r="B1575" s="475" t="s">
        <v>5320</v>
      </c>
      <c r="C1575" s="475" t="s">
        <v>5341</v>
      </c>
      <c r="D1575" s="475" t="s">
        <v>5342</v>
      </c>
      <c r="E1575" s="476" t="s">
        <v>34</v>
      </c>
      <c r="F1575" s="475" t="s">
        <v>34</v>
      </c>
      <c r="G1575" s="364">
        <v>99267</v>
      </c>
      <c r="H1575" s="475" t="s">
        <v>7476</v>
      </c>
      <c r="I1575" s="475" t="s">
        <v>171</v>
      </c>
      <c r="J1575" s="475" t="s">
        <v>140</v>
      </c>
      <c r="K1575" s="365">
        <v>3277.64</v>
      </c>
      <c r="L1575" s="475" t="s">
        <v>141</v>
      </c>
      <c r="M1575" s="473"/>
    </row>
    <row r="1576" spans="1:13" ht="13.5">
      <c r="A1576" s="475" t="s">
        <v>5319</v>
      </c>
      <c r="B1576" s="475" t="s">
        <v>5320</v>
      </c>
      <c r="C1576" s="475" t="s">
        <v>5341</v>
      </c>
      <c r="D1576" s="475" t="s">
        <v>5342</v>
      </c>
      <c r="E1576" s="476" t="s">
        <v>34</v>
      </c>
      <c r="F1576" s="475" t="s">
        <v>34</v>
      </c>
      <c r="G1576" s="364">
        <v>99269</v>
      </c>
      <c r="H1576" s="475" t="s">
        <v>7477</v>
      </c>
      <c r="I1576" s="475" t="s">
        <v>139</v>
      </c>
      <c r="J1576" s="475" t="s">
        <v>337</v>
      </c>
      <c r="K1576" s="365">
        <v>1435.63</v>
      </c>
      <c r="L1576" s="475" t="s">
        <v>141</v>
      </c>
      <c r="M1576" s="473"/>
    </row>
    <row r="1577" spans="1:13" ht="13.5">
      <c r="A1577" s="475" t="s">
        <v>5319</v>
      </c>
      <c r="B1577" s="475" t="s">
        <v>5320</v>
      </c>
      <c r="C1577" s="475" t="s">
        <v>5341</v>
      </c>
      <c r="D1577" s="475" t="s">
        <v>5342</v>
      </c>
      <c r="E1577" s="476" t="s">
        <v>34</v>
      </c>
      <c r="F1577" s="475" t="s">
        <v>34</v>
      </c>
      <c r="G1577" s="364">
        <v>99271</v>
      </c>
      <c r="H1577" s="475" t="s">
        <v>7478</v>
      </c>
      <c r="I1577" s="475" t="s">
        <v>171</v>
      </c>
      <c r="J1577" s="475" t="s">
        <v>140</v>
      </c>
      <c r="K1577" s="365">
        <v>4692.29</v>
      </c>
      <c r="L1577" s="475" t="s">
        <v>141</v>
      </c>
      <c r="M1577" s="473"/>
    </row>
    <row r="1578" spans="1:13" ht="13.5">
      <c r="A1578" s="475" t="s">
        <v>5319</v>
      </c>
      <c r="B1578" s="475" t="s">
        <v>5320</v>
      </c>
      <c r="C1578" s="475" t="s">
        <v>5341</v>
      </c>
      <c r="D1578" s="475" t="s">
        <v>5342</v>
      </c>
      <c r="E1578" s="476" t="s">
        <v>34</v>
      </c>
      <c r="F1578" s="475" t="s">
        <v>34</v>
      </c>
      <c r="G1578" s="364">
        <v>99272</v>
      </c>
      <c r="H1578" s="475" t="s">
        <v>7479</v>
      </c>
      <c r="I1578" s="475" t="s">
        <v>171</v>
      </c>
      <c r="J1578" s="475" t="s">
        <v>140</v>
      </c>
      <c r="K1578" s="365">
        <v>777.64</v>
      </c>
      <c r="L1578" s="475" t="s">
        <v>141</v>
      </c>
      <c r="M1578" s="473"/>
    </row>
    <row r="1579" spans="1:13" ht="13.5">
      <c r="A1579" s="475" t="s">
        <v>5319</v>
      </c>
      <c r="B1579" s="475" t="s">
        <v>5320</v>
      </c>
      <c r="C1579" s="475" t="s">
        <v>5341</v>
      </c>
      <c r="D1579" s="475" t="s">
        <v>5342</v>
      </c>
      <c r="E1579" s="476" t="s">
        <v>34</v>
      </c>
      <c r="F1579" s="475" t="s">
        <v>34</v>
      </c>
      <c r="G1579" s="364">
        <v>99273</v>
      </c>
      <c r="H1579" s="475" t="s">
        <v>7480</v>
      </c>
      <c r="I1579" s="475" t="s">
        <v>171</v>
      </c>
      <c r="J1579" s="475" t="s">
        <v>140</v>
      </c>
      <c r="K1579" s="365">
        <v>1116.6300000000001</v>
      </c>
      <c r="L1579" s="475" t="s">
        <v>141</v>
      </c>
      <c r="M1579" s="473"/>
    </row>
    <row r="1580" spans="1:13" ht="13.5">
      <c r="A1580" s="475" t="s">
        <v>5319</v>
      </c>
      <c r="B1580" s="475" t="s">
        <v>5320</v>
      </c>
      <c r="C1580" s="475" t="s">
        <v>5341</v>
      </c>
      <c r="D1580" s="475" t="s">
        <v>5342</v>
      </c>
      <c r="E1580" s="476" t="s">
        <v>34</v>
      </c>
      <c r="F1580" s="475" t="s">
        <v>34</v>
      </c>
      <c r="G1580" s="364">
        <v>99274</v>
      </c>
      <c r="H1580" s="475" t="s">
        <v>7481</v>
      </c>
      <c r="I1580" s="475" t="s">
        <v>171</v>
      </c>
      <c r="J1580" s="475" t="s">
        <v>140</v>
      </c>
      <c r="K1580" s="365">
        <v>3781.85</v>
      </c>
      <c r="L1580" s="475" t="s">
        <v>141</v>
      </c>
      <c r="M1580" s="473"/>
    </row>
    <row r="1581" spans="1:13" ht="13.5">
      <c r="A1581" s="475" t="s">
        <v>5319</v>
      </c>
      <c r="B1581" s="475" t="s">
        <v>5320</v>
      </c>
      <c r="C1581" s="475" t="s">
        <v>5341</v>
      </c>
      <c r="D1581" s="475" t="s">
        <v>5342</v>
      </c>
      <c r="E1581" s="476" t="s">
        <v>34</v>
      </c>
      <c r="F1581" s="475" t="s">
        <v>34</v>
      </c>
      <c r="G1581" s="364">
        <v>99276</v>
      </c>
      <c r="H1581" s="475" t="s">
        <v>7482</v>
      </c>
      <c r="I1581" s="475" t="s">
        <v>139</v>
      </c>
      <c r="J1581" s="475" t="s">
        <v>337</v>
      </c>
      <c r="K1581" s="365">
        <v>1790.87</v>
      </c>
      <c r="L1581" s="475" t="s">
        <v>141</v>
      </c>
      <c r="M1581" s="473"/>
    </row>
    <row r="1582" spans="1:13" ht="13.5">
      <c r="A1582" s="475" t="s">
        <v>5319</v>
      </c>
      <c r="B1582" s="475" t="s">
        <v>5320</v>
      </c>
      <c r="C1582" s="475" t="s">
        <v>5341</v>
      </c>
      <c r="D1582" s="475" t="s">
        <v>5342</v>
      </c>
      <c r="E1582" s="476" t="s">
        <v>34</v>
      </c>
      <c r="F1582" s="475" t="s">
        <v>34</v>
      </c>
      <c r="G1582" s="364">
        <v>99277</v>
      </c>
      <c r="H1582" s="475" t="s">
        <v>7483</v>
      </c>
      <c r="I1582" s="475" t="s">
        <v>139</v>
      </c>
      <c r="J1582" s="475" t="s">
        <v>337</v>
      </c>
      <c r="K1582" s="365">
        <v>1613.29</v>
      </c>
      <c r="L1582" s="475" t="s">
        <v>141</v>
      </c>
      <c r="M1582" s="473"/>
    </row>
    <row r="1583" spans="1:13" ht="13.5">
      <c r="A1583" s="475" t="s">
        <v>5319</v>
      </c>
      <c r="B1583" s="475" t="s">
        <v>5320</v>
      </c>
      <c r="C1583" s="475" t="s">
        <v>5341</v>
      </c>
      <c r="D1583" s="475" t="s">
        <v>5342</v>
      </c>
      <c r="E1583" s="476" t="s">
        <v>34</v>
      </c>
      <c r="F1583" s="475" t="s">
        <v>34</v>
      </c>
      <c r="G1583" s="364">
        <v>99278</v>
      </c>
      <c r="H1583" s="475" t="s">
        <v>7484</v>
      </c>
      <c r="I1583" s="475" t="s">
        <v>139</v>
      </c>
      <c r="J1583" s="475" t="s">
        <v>140</v>
      </c>
      <c r="K1583" s="365">
        <v>301.58999999999997</v>
      </c>
      <c r="L1583" s="475" t="s">
        <v>141</v>
      </c>
      <c r="M1583" s="473"/>
    </row>
    <row r="1584" spans="1:13" ht="13.5">
      <c r="A1584" s="475" t="s">
        <v>5319</v>
      </c>
      <c r="B1584" s="475" t="s">
        <v>5320</v>
      </c>
      <c r="C1584" s="475" t="s">
        <v>5341</v>
      </c>
      <c r="D1584" s="475" t="s">
        <v>5342</v>
      </c>
      <c r="E1584" s="476" t="s">
        <v>34</v>
      </c>
      <c r="F1584" s="475" t="s">
        <v>34</v>
      </c>
      <c r="G1584" s="364">
        <v>99279</v>
      </c>
      <c r="H1584" s="475" t="s">
        <v>7485</v>
      </c>
      <c r="I1584" s="475" t="s">
        <v>171</v>
      </c>
      <c r="J1584" s="475" t="s">
        <v>140</v>
      </c>
      <c r="K1584" s="365">
        <v>4266.4799999999996</v>
      </c>
      <c r="L1584" s="475" t="s">
        <v>141</v>
      </c>
      <c r="M1584" s="473"/>
    </row>
    <row r="1585" spans="1:13" ht="13.5">
      <c r="A1585" s="475" t="s">
        <v>5319</v>
      </c>
      <c r="B1585" s="475" t="s">
        <v>5320</v>
      </c>
      <c r="C1585" s="475" t="s">
        <v>5341</v>
      </c>
      <c r="D1585" s="475" t="s">
        <v>5342</v>
      </c>
      <c r="E1585" s="476" t="s">
        <v>34</v>
      </c>
      <c r="F1585" s="475" t="s">
        <v>34</v>
      </c>
      <c r="G1585" s="364">
        <v>99280</v>
      </c>
      <c r="H1585" s="475" t="s">
        <v>7486</v>
      </c>
      <c r="I1585" s="475" t="s">
        <v>171</v>
      </c>
      <c r="J1585" s="475" t="s">
        <v>140</v>
      </c>
      <c r="K1585" s="365">
        <v>1445.31</v>
      </c>
      <c r="L1585" s="475" t="s">
        <v>141</v>
      </c>
      <c r="M1585" s="473"/>
    </row>
    <row r="1586" spans="1:13" ht="13.5">
      <c r="A1586" s="475" t="s">
        <v>5319</v>
      </c>
      <c r="B1586" s="475" t="s">
        <v>5320</v>
      </c>
      <c r="C1586" s="475" t="s">
        <v>5341</v>
      </c>
      <c r="D1586" s="475" t="s">
        <v>5342</v>
      </c>
      <c r="E1586" s="476" t="s">
        <v>34</v>
      </c>
      <c r="F1586" s="475" t="s">
        <v>34</v>
      </c>
      <c r="G1586" s="364">
        <v>99281</v>
      </c>
      <c r="H1586" s="475" t="s">
        <v>7487</v>
      </c>
      <c r="I1586" s="475" t="s">
        <v>139</v>
      </c>
      <c r="J1586" s="475" t="s">
        <v>337</v>
      </c>
      <c r="K1586" s="365">
        <v>1790.87</v>
      </c>
      <c r="L1586" s="475" t="s">
        <v>141</v>
      </c>
      <c r="M1586" s="473"/>
    </row>
    <row r="1587" spans="1:13" ht="13.5">
      <c r="A1587" s="475" t="s">
        <v>5319</v>
      </c>
      <c r="B1587" s="475" t="s">
        <v>5320</v>
      </c>
      <c r="C1587" s="475" t="s">
        <v>5341</v>
      </c>
      <c r="D1587" s="475" t="s">
        <v>5342</v>
      </c>
      <c r="E1587" s="476" t="s">
        <v>34</v>
      </c>
      <c r="F1587" s="475" t="s">
        <v>34</v>
      </c>
      <c r="G1587" s="364">
        <v>99282</v>
      </c>
      <c r="H1587" s="475" t="s">
        <v>7488</v>
      </c>
      <c r="I1587" s="475" t="s">
        <v>139</v>
      </c>
      <c r="J1587" s="475" t="s">
        <v>337</v>
      </c>
      <c r="K1587" s="365">
        <v>1995.21</v>
      </c>
      <c r="L1587" s="475" t="s">
        <v>141</v>
      </c>
      <c r="M1587" s="473"/>
    </row>
    <row r="1588" spans="1:13" ht="13.5">
      <c r="A1588" s="475" t="s">
        <v>5319</v>
      </c>
      <c r="B1588" s="475" t="s">
        <v>5320</v>
      </c>
      <c r="C1588" s="475" t="s">
        <v>5341</v>
      </c>
      <c r="D1588" s="475" t="s">
        <v>5342</v>
      </c>
      <c r="E1588" s="476" t="s">
        <v>34</v>
      </c>
      <c r="F1588" s="475" t="s">
        <v>34</v>
      </c>
      <c r="G1588" s="364">
        <v>99283</v>
      </c>
      <c r="H1588" s="475" t="s">
        <v>7489</v>
      </c>
      <c r="I1588" s="475" t="s">
        <v>139</v>
      </c>
      <c r="J1588" s="475" t="s">
        <v>337</v>
      </c>
      <c r="K1588" s="365">
        <v>837.51</v>
      </c>
      <c r="L1588" s="475" t="s">
        <v>141</v>
      </c>
      <c r="M1588" s="473"/>
    </row>
    <row r="1589" spans="1:13" ht="13.5">
      <c r="A1589" s="475" t="s">
        <v>5319</v>
      </c>
      <c r="B1589" s="475" t="s">
        <v>5320</v>
      </c>
      <c r="C1589" s="475" t="s">
        <v>5341</v>
      </c>
      <c r="D1589" s="475" t="s">
        <v>5342</v>
      </c>
      <c r="E1589" s="476" t="s">
        <v>34</v>
      </c>
      <c r="F1589" s="475" t="s">
        <v>34</v>
      </c>
      <c r="G1589" s="364">
        <v>99284</v>
      </c>
      <c r="H1589" s="475" t="s">
        <v>7490</v>
      </c>
      <c r="I1589" s="475" t="s">
        <v>171</v>
      </c>
      <c r="J1589" s="475" t="s">
        <v>140</v>
      </c>
      <c r="K1589" s="365">
        <v>5296.29</v>
      </c>
      <c r="L1589" s="475" t="s">
        <v>141</v>
      </c>
      <c r="M1589" s="473"/>
    </row>
    <row r="1590" spans="1:13" ht="13.5">
      <c r="A1590" s="475" t="s">
        <v>5319</v>
      </c>
      <c r="B1590" s="475" t="s">
        <v>5320</v>
      </c>
      <c r="C1590" s="475" t="s">
        <v>5341</v>
      </c>
      <c r="D1590" s="475" t="s">
        <v>5342</v>
      </c>
      <c r="E1590" s="476" t="s">
        <v>34</v>
      </c>
      <c r="F1590" s="475" t="s">
        <v>34</v>
      </c>
      <c r="G1590" s="364">
        <v>99286</v>
      </c>
      <c r="H1590" s="475" t="s">
        <v>7491</v>
      </c>
      <c r="I1590" s="475" t="s">
        <v>171</v>
      </c>
      <c r="J1590" s="475" t="s">
        <v>140</v>
      </c>
      <c r="K1590" s="365">
        <v>4751.28</v>
      </c>
      <c r="L1590" s="475" t="s">
        <v>141</v>
      </c>
      <c r="M1590" s="473"/>
    </row>
    <row r="1591" spans="1:13" ht="13.5">
      <c r="A1591" s="475" t="s">
        <v>5319</v>
      </c>
      <c r="B1591" s="475" t="s">
        <v>5320</v>
      </c>
      <c r="C1591" s="475" t="s">
        <v>5341</v>
      </c>
      <c r="D1591" s="475" t="s">
        <v>5342</v>
      </c>
      <c r="E1591" s="476" t="s">
        <v>34</v>
      </c>
      <c r="F1591" s="475" t="s">
        <v>34</v>
      </c>
      <c r="G1591" s="364">
        <v>99287</v>
      </c>
      <c r="H1591" s="475" t="s">
        <v>7492</v>
      </c>
      <c r="I1591" s="475" t="s">
        <v>171</v>
      </c>
      <c r="J1591" s="475" t="s">
        <v>140</v>
      </c>
      <c r="K1591" s="365">
        <v>6666.71</v>
      </c>
      <c r="L1591" s="475" t="s">
        <v>141</v>
      </c>
      <c r="M1591" s="473"/>
    </row>
    <row r="1592" spans="1:13" ht="13.5">
      <c r="A1592" s="475" t="s">
        <v>5319</v>
      </c>
      <c r="B1592" s="475" t="s">
        <v>5320</v>
      </c>
      <c r="C1592" s="475" t="s">
        <v>5341</v>
      </c>
      <c r="D1592" s="475" t="s">
        <v>5342</v>
      </c>
      <c r="E1592" s="476" t="s">
        <v>34</v>
      </c>
      <c r="F1592" s="475" t="s">
        <v>34</v>
      </c>
      <c r="G1592" s="364">
        <v>99288</v>
      </c>
      <c r="H1592" s="475" t="s">
        <v>7493</v>
      </c>
      <c r="I1592" s="475" t="s">
        <v>139</v>
      </c>
      <c r="J1592" s="475" t="s">
        <v>140</v>
      </c>
      <c r="K1592" s="365">
        <v>364.24</v>
      </c>
      <c r="L1592" s="475" t="s">
        <v>141</v>
      </c>
      <c r="M1592" s="473"/>
    </row>
    <row r="1593" spans="1:13" ht="13.5">
      <c r="A1593" s="475" t="s">
        <v>5319</v>
      </c>
      <c r="B1593" s="475" t="s">
        <v>5320</v>
      </c>
      <c r="C1593" s="475" t="s">
        <v>5341</v>
      </c>
      <c r="D1593" s="475" t="s">
        <v>5342</v>
      </c>
      <c r="E1593" s="476" t="s">
        <v>34</v>
      </c>
      <c r="F1593" s="475" t="s">
        <v>34</v>
      </c>
      <c r="G1593" s="364">
        <v>99289</v>
      </c>
      <c r="H1593" s="475" t="s">
        <v>7494</v>
      </c>
      <c r="I1593" s="475" t="s">
        <v>139</v>
      </c>
      <c r="J1593" s="475" t="s">
        <v>337</v>
      </c>
      <c r="K1593" s="365">
        <v>1968.45</v>
      </c>
      <c r="L1593" s="475" t="s">
        <v>141</v>
      </c>
      <c r="M1593" s="473"/>
    </row>
    <row r="1594" spans="1:13" ht="13.5">
      <c r="A1594" s="475" t="s">
        <v>5319</v>
      </c>
      <c r="B1594" s="475" t="s">
        <v>5320</v>
      </c>
      <c r="C1594" s="475" t="s">
        <v>5341</v>
      </c>
      <c r="D1594" s="475" t="s">
        <v>5342</v>
      </c>
      <c r="E1594" s="476" t="s">
        <v>34</v>
      </c>
      <c r="F1594" s="475" t="s">
        <v>34</v>
      </c>
      <c r="G1594" s="364">
        <v>99290</v>
      </c>
      <c r="H1594" s="475" t="s">
        <v>7495</v>
      </c>
      <c r="I1594" s="475" t="s">
        <v>171</v>
      </c>
      <c r="J1594" s="475" t="s">
        <v>140</v>
      </c>
      <c r="K1594" s="365">
        <v>2862.84</v>
      </c>
      <c r="L1594" s="475" t="s">
        <v>141</v>
      </c>
      <c r="M1594" s="473"/>
    </row>
    <row r="1595" spans="1:13" ht="13.5">
      <c r="A1595" s="475" t="s">
        <v>5319</v>
      </c>
      <c r="B1595" s="475" t="s">
        <v>5320</v>
      </c>
      <c r="C1595" s="475" t="s">
        <v>5341</v>
      </c>
      <c r="D1595" s="475" t="s">
        <v>5342</v>
      </c>
      <c r="E1595" s="476" t="s">
        <v>34</v>
      </c>
      <c r="F1595" s="475" t="s">
        <v>34</v>
      </c>
      <c r="G1595" s="364">
        <v>99291</v>
      </c>
      <c r="H1595" s="475" t="s">
        <v>7496</v>
      </c>
      <c r="I1595" s="475" t="s">
        <v>139</v>
      </c>
      <c r="J1595" s="475" t="s">
        <v>337</v>
      </c>
      <c r="K1595" s="365">
        <v>1968.45</v>
      </c>
      <c r="L1595" s="475" t="s">
        <v>141</v>
      </c>
      <c r="M1595" s="473"/>
    </row>
    <row r="1596" spans="1:13" ht="13.5">
      <c r="A1596" s="475" t="s">
        <v>5319</v>
      </c>
      <c r="B1596" s="475" t="s">
        <v>5320</v>
      </c>
      <c r="C1596" s="475" t="s">
        <v>5341</v>
      </c>
      <c r="D1596" s="475" t="s">
        <v>5342</v>
      </c>
      <c r="E1596" s="476" t="s">
        <v>34</v>
      </c>
      <c r="F1596" s="475" t="s">
        <v>34</v>
      </c>
      <c r="G1596" s="364">
        <v>99292</v>
      </c>
      <c r="H1596" s="475" t="s">
        <v>7497</v>
      </c>
      <c r="I1596" s="475" t="s">
        <v>171</v>
      </c>
      <c r="J1596" s="475" t="s">
        <v>140</v>
      </c>
      <c r="K1596" s="365">
        <v>1775.59</v>
      </c>
      <c r="L1596" s="475" t="s">
        <v>141</v>
      </c>
      <c r="M1596" s="473"/>
    </row>
    <row r="1597" spans="1:13" ht="13.5">
      <c r="A1597" s="475" t="s">
        <v>5319</v>
      </c>
      <c r="B1597" s="475" t="s">
        <v>5320</v>
      </c>
      <c r="C1597" s="475" t="s">
        <v>5341</v>
      </c>
      <c r="D1597" s="475" t="s">
        <v>5342</v>
      </c>
      <c r="E1597" s="476" t="s">
        <v>34</v>
      </c>
      <c r="F1597" s="475" t="s">
        <v>34</v>
      </c>
      <c r="G1597" s="364">
        <v>99293</v>
      </c>
      <c r="H1597" s="475" t="s">
        <v>7498</v>
      </c>
      <c r="I1597" s="475" t="s">
        <v>139</v>
      </c>
      <c r="J1597" s="475" t="s">
        <v>337</v>
      </c>
      <c r="K1597" s="365">
        <v>1017.18</v>
      </c>
      <c r="L1597" s="475" t="s">
        <v>141</v>
      </c>
      <c r="M1597" s="473"/>
    </row>
    <row r="1598" spans="1:13" ht="13.5">
      <c r="A1598" s="475" t="s">
        <v>5319</v>
      </c>
      <c r="B1598" s="475" t="s">
        <v>5320</v>
      </c>
      <c r="C1598" s="475" t="s">
        <v>5341</v>
      </c>
      <c r="D1598" s="475" t="s">
        <v>5342</v>
      </c>
      <c r="E1598" s="476" t="s">
        <v>34</v>
      </c>
      <c r="F1598" s="475" t="s">
        <v>34</v>
      </c>
      <c r="G1598" s="364">
        <v>99294</v>
      </c>
      <c r="H1598" s="475" t="s">
        <v>7499</v>
      </c>
      <c r="I1598" s="475" t="s">
        <v>171</v>
      </c>
      <c r="J1598" s="475" t="s">
        <v>140</v>
      </c>
      <c r="K1598" s="365">
        <v>5900.27</v>
      </c>
      <c r="L1598" s="475" t="s">
        <v>141</v>
      </c>
      <c r="M1598" s="473"/>
    </row>
    <row r="1599" spans="1:13" ht="13.5">
      <c r="A1599" s="475" t="s">
        <v>5319</v>
      </c>
      <c r="B1599" s="475" t="s">
        <v>5320</v>
      </c>
      <c r="C1599" s="475" t="s">
        <v>5341</v>
      </c>
      <c r="D1599" s="475" t="s">
        <v>5342</v>
      </c>
      <c r="E1599" s="476" t="s">
        <v>34</v>
      </c>
      <c r="F1599" s="475" t="s">
        <v>34</v>
      </c>
      <c r="G1599" s="364">
        <v>99296</v>
      </c>
      <c r="H1599" s="475" t="s">
        <v>7500</v>
      </c>
      <c r="I1599" s="475" t="s">
        <v>139</v>
      </c>
      <c r="J1599" s="475" t="s">
        <v>337</v>
      </c>
      <c r="K1599" s="365">
        <v>2172.8200000000002</v>
      </c>
      <c r="L1599" s="475" t="s">
        <v>141</v>
      </c>
      <c r="M1599" s="473"/>
    </row>
    <row r="1600" spans="1:13" ht="13.5">
      <c r="A1600" s="475" t="s">
        <v>5319</v>
      </c>
      <c r="B1600" s="475" t="s">
        <v>5320</v>
      </c>
      <c r="C1600" s="475" t="s">
        <v>5341</v>
      </c>
      <c r="D1600" s="475" t="s">
        <v>5342</v>
      </c>
      <c r="E1600" s="476" t="s">
        <v>34</v>
      </c>
      <c r="F1600" s="475" t="s">
        <v>34</v>
      </c>
      <c r="G1600" s="364">
        <v>99297</v>
      </c>
      <c r="H1600" s="475" t="s">
        <v>7501</v>
      </c>
      <c r="I1600" s="475" t="s">
        <v>139</v>
      </c>
      <c r="J1600" s="475" t="s">
        <v>337</v>
      </c>
      <c r="K1600" s="365">
        <v>2168.19</v>
      </c>
      <c r="L1600" s="475" t="s">
        <v>141</v>
      </c>
      <c r="M1600" s="473"/>
    </row>
    <row r="1601" spans="1:13" ht="13.5">
      <c r="A1601" s="475" t="s">
        <v>5319</v>
      </c>
      <c r="B1601" s="475" t="s">
        <v>5320</v>
      </c>
      <c r="C1601" s="475" t="s">
        <v>5341</v>
      </c>
      <c r="D1601" s="475" t="s">
        <v>5342</v>
      </c>
      <c r="E1601" s="476" t="s">
        <v>34</v>
      </c>
      <c r="F1601" s="475" t="s">
        <v>34</v>
      </c>
      <c r="G1601" s="364">
        <v>99298</v>
      </c>
      <c r="H1601" s="475" t="s">
        <v>7502</v>
      </c>
      <c r="I1601" s="475" t="s">
        <v>171</v>
      </c>
      <c r="J1601" s="475" t="s">
        <v>140</v>
      </c>
      <c r="K1601" s="365">
        <v>7529.71</v>
      </c>
      <c r="L1601" s="475" t="s">
        <v>141</v>
      </c>
      <c r="M1601" s="473"/>
    </row>
    <row r="1602" spans="1:13" ht="13.5">
      <c r="A1602" s="475" t="s">
        <v>5319</v>
      </c>
      <c r="B1602" s="475" t="s">
        <v>5320</v>
      </c>
      <c r="C1602" s="475" t="s">
        <v>5341</v>
      </c>
      <c r="D1602" s="475" t="s">
        <v>5342</v>
      </c>
      <c r="E1602" s="476" t="s">
        <v>34</v>
      </c>
      <c r="F1602" s="475" t="s">
        <v>34</v>
      </c>
      <c r="G1602" s="364">
        <v>99299</v>
      </c>
      <c r="H1602" s="475" t="s">
        <v>7503</v>
      </c>
      <c r="I1602" s="475" t="s">
        <v>139</v>
      </c>
      <c r="J1602" s="475" t="s">
        <v>337</v>
      </c>
      <c r="K1602" s="365">
        <v>2350.37</v>
      </c>
      <c r="L1602" s="475" t="s">
        <v>141</v>
      </c>
      <c r="M1602" s="473"/>
    </row>
    <row r="1603" spans="1:13" ht="13.5">
      <c r="A1603" s="475" t="s">
        <v>5319</v>
      </c>
      <c r="B1603" s="475" t="s">
        <v>5320</v>
      </c>
      <c r="C1603" s="475" t="s">
        <v>5341</v>
      </c>
      <c r="D1603" s="475" t="s">
        <v>5342</v>
      </c>
      <c r="E1603" s="476" t="s">
        <v>34</v>
      </c>
      <c r="F1603" s="475" t="s">
        <v>34</v>
      </c>
      <c r="G1603" s="364">
        <v>99300</v>
      </c>
      <c r="H1603" s="475" t="s">
        <v>7504</v>
      </c>
      <c r="I1603" s="475" t="s">
        <v>171</v>
      </c>
      <c r="J1603" s="475" t="s">
        <v>140</v>
      </c>
      <c r="K1603" s="365">
        <v>8392.73</v>
      </c>
      <c r="L1603" s="475" t="s">
        <v>141</v>
      </c>
      <c r="M1603" s="473"/>
    </row>
    <row r="1604" spans="1:13" ht="13.5">
      <c r="A1604" s="475" t="s">
        <v>5319</v>
      </c>
      <c r="B1604" s="475" t="s">
        <v>5320</v>
      </c>
      <c r="C1604" s="475" t="s">
        <v>5341</v>
      </c>
      <c r="D1604" s="475" t="s">
        <v>5342</v>
      </c>
      <c r="E1604" s="476" t="s">
        <v>34</v>
      </c>
      <c r="F1604" s="475" t="s">
        <v>34</v>
      </c>
      <c r="G1604" s="364">
        <v>99301</v>
      </c>
      <c r="H1604" s="475" t="s">
        <v>7505</v>
      </c>
      <c r="I1604" s="475" t="s">
        <v>171</v>
      </c>
      <c r="J1604" s="475" t="s">
        <v>140</v>
      </c>
      <c r="K1604" s="365">
        <v>4207.72</v>
      </c>
      <c r="L1604" s="475" t="s">
        <v>141</v>
      </c>
      <c r="M1604" s="473"/>
    </row>
    <row r="1605" spans="1:13" ht="13.5">
      <c r="A1605" s="475" t="s">
        <v>5319</v>
      </c>
      <c r="B1605" s="475" t="s">
        <v>5320</v>
      </c>
      <c r="C1605" s="475" t="s">
        <v>5341</v>
      </c>
      <c r="D1605" s="475" t="s">
        <v>5342</v>
      </c>
      <c r="E1605" s="476" t="s">
        <v>34</v>
      </c>
      <c r="F1605" s="475" t="s">
        <v>34</v>
      </c>
      <c r="G1605" s="364">
        <v>99302</v>
      </c>
      <c r="H1605" s="475" t="s">
        <v>7506</v>
      </c>
      <c r="I1605" s="475" t="s">
        <v>139</v>
      </c>
      <c r="J1605" s="475" t="s">
        <v>337</v>
      </c>
      <c r="K1605" s="365">
        <v>2532.5700000000002</v>
      </c>
      <c r="L1605" s="475" t="s">
        <v>141</v>
      </c>
      <c r="M1605" s="473"/>
    </row>
    <row r="1606" spans="1:13" ht="13.5">
      <c r="A1606" s="475" t="s">
        <v>5319</v>
      </c>
      <c r="B1606" s="475" t="s">
        <v>5320</v>
      </c>
      <c r="C1606" s="475" t="s">
        <v>5341</v>
      </c>
      <c r="D1606" s="475" t="s">
        <v>5342</v>
      </c>
      <c r="E1606" s="476" t="s">
        <v>34</v>
      </c>
      <c r="F1606" s="475" t="s">
        <v>34</v>
      </c>
      <c r="G1606" s="364">
        <v>99303</v>
      </c>
      <c r="H1606" s="475" t="s">
        <v>7507</v>
      </c>
      <c r="I1606" s="475" t="s">
        <v>171</v>
      </c>
      <c r="J1606" s="475" t="s">
        <v>140</v>
      </c>
      <c r="K1606" s="365">
        <v>7693.27</v>
      </c>
      <c r="L1606" s="475" t="s">
        <v>141</v>
      </c>
      <c r="M1606" s="473"/>
    </row>
    <row r="1607" spans="1:13" ht="13.5">
      <c r="A1607" s="475" t="s">
        <v>5319</v>
      </c>
      <c r="B1607" s="475" t="s">
        <v>5320</v>
      </c>
      <c r="C1607" s="475" t="s">
        <v>5341</v>
      </c>
      <c r="D1607" s="475" t="s">
        <v>5342</v>
      </c>
      <c r="E1607" s="476" t="s">
        <v>34</v>
      </c>
      <c r="F1607" s="475" t="s">
        <v>34</v>
      </c>
      <c r="G1607" s="364">
        <v>99304</v>
      </c>
      <c r="H1607" s="475" t="s">
        <v>7508</v>
      </c>
      <c r="I1607" s="475" t="s">
        <v>139</v>
      </c>
      <c r="J1607" s="475" t="s">
        <v>337</v>
      </c>
      <c r="K1607" s="365">
        <v>2354.98</v>
      </c>
      <c r="L1607" s="475" t="s">
        <v>141</v>
      </c>
      <c r="M1607" s="473"/>
    </row>
    <row r="1608" spans="1:13" ht="13.5">
      <c r="A1608" s="475" t="s">
        <v>5319</v>
      </c>
      <c r="B1608" s="475" t="s">
        <v>5320</v>
      </c>
      <c r="C1608" s="475" t="s">
        <v>5341</v>
      </c>
      <c r="D1608" s="475" t="s">
        <v>5342</v>
      </c>
      <c r="E1608" s="476" t="s">
        <v>34</v>
      </c>
      <c r="F1608" s="475" t="s">
        <v>34</v>
      </c>
      <c r="G1608" s="364">
        <v>99305</v>
      </c>
      <c r="H1608" s="475" t="s">
        <v>7509</v>
      </c>
      <c r="I1608" s="475" t="s">
        <v>171</v>
      </c>
      <c r="J1608" s="475" t="s">
        <v>140</v>
      </c>
      <c r="K1608" s="365">
        <v>8684.74</v>
      </c>
      <c r="L1608" s="475" t="s">
        <v>141</v>
      </c>
      <c r="M1608" s="473"/>
    </row>
    <row r="1609" spans="1:13" ht="13.5">
      <c r="A1609" s="475" t="s">
        <v>5319</v>
      </c>
      <c r="B1609" s="475" t="s">
        <v>5320</v>
      </c>
      <c r="C1609" s="475" t="s">
        <v>5341</v>
      </c>
      <c r="D1609" s="475" t="s">
        <v>5342</v>
      </c>
      <c r="E1609" s="476" t="s">
        <v>34</v>
      </c>
      <c r="F1609" s="475" t="s">
        <v>34</v>
      </c>
      <c r="G1609" s="364">
        <v>99306</v>
      </c>
      <c r="H1609" s="475" t="s">
        <v>7510</v>
      </c>
      <c r="I1609" s="475" t="s">
        <v>139</v>
      </c>
      <c r="J1609" s="475" t="s">
        <v>337</v>
      </c>
      <c r="K1609" s="365">
        <v>2532.5700000000002</v>
      </c>
      <c r="L1609" s="475" t="s">
        <v>141</v>
      </c>
      <c r="M1609" s="473"/>
    </row>
    <row r="1610" spans="1:13" ht="13.5">
      <c r="A1610" s="475" t="s">
        <v>5319</v>
      </c>
      <c r="B1610" s="475" t="s">
        <v>5320</v>
      </c>
      <c r="C1610" s="475" t="s">
        <v>5341</v>
      </c>
      <c r="D1610" s="475" t="s">
        <v>5342</v>
      </c>
      <c r="E1610" s="476" t="s">
        <v>34</v>
      </c>
      <c r="F1610" s="475" t="s">
        <v>34</v>
      </c>
      <c r="G1610" s="364">
        <v>99307</v>
      </c>
      <c r="H1610" s="475" t="s">
        <v>7511</v>
      </c>
      <c r="I1610" s="475" t="s">
        <v>139</v>
      </c>
      <c r="J1610" s="475" t="s">
        <v>337</v>
      </c>
      <c r="K1610" s="365">
        <v>1635.41</v>
      </c>
      <c r="L1610" s="475" t="s">
        <v>141</v>
      </c>
      <c r="M1610" s="473"/>
    </row>
    <row r="1611" spans="1:13" ht="13.5">
      <c r="A1611" s="475" t="s">
        <v>5319</v>
      </c>
      <c r="B1611" s="475" t="s">
        <v>5320</v>
      </c>
      <c r="C1611" s="475" t="s">
        <v>5341</v>
      </c>
      <c r="D1611" s="475" t="s">
        <v>5342</v>
      </c>
      <c r="E1611" s="476" t="s">
        <v>34</v>
      </c>
      <c r="F1611" s="475" t="s">
        <v>34</v>
      </c>
      <c r="G1611" s="364">
        <v>99308</v>
      </c>
      <c r="H1611" s="475" t="s">
        <v>7512</v>
      </c>
      <c r="I1611" s="475" t="s">
        <v>171</v>
      </c>
      <c r="J1611" s="475" t="s">
        <v>140</v>
      </c>
      <c r="K1611" s="365">
        <v>9676.27</v>
      </c>
      <c r="L1611" s="475" t="s">
        <v>141</v>
      </c>
      <c r="M1611" s="473"/>
    </row>
    <row r="1612" spans="1:13" ht="13.5">
      <c r="A1612" s="475" t="s">
        <v>5319</v>
      </c>
      <c r="B1612" s="475" t="s">
        <v>5320</v>
      </c>
      <c r="C1612" s="475" t="s">
        <v>5341</v>
      </c>
      <c r="D1612" s="475" t="s">
        <v>5342</v>
      </c>
      <c r="E1612" s="476" t="s">
        <v>34</v>
      </c>
      <c r="F1612" s="475" t="s">
        <v>34</v>
      </c>
      <c r="G1612" s="364">
        <v>99309</v>
      </c>
      <c r="H1612" s="475" t="s">
        <v>7513</v>
      </c>
      <c r="I1612" s="475" t="s">
        <v>139</v>
      </c>
      <c r="J1612" s="475" t="s">
        <v>337</v>
      </c>
      <c r="K1612" s="365">
        <v>2714.78</v>
      </c>
      <c r="L1612" s="475" t="s">
        <v>141</v>
      </c>
      <c r="M1612" s="473"/>
    </row>
    <row r="1613" spans="1:13" ht="13.5">
      <c r="A1613" s="475" t="s">
        <v>5319</v>
      </c>
      <c r="B1613" s="475" t="s">
        <v>5320</v>
      </c>
      <c r="C1613" s="475" t="s">
        <v>5341</v>
      </c>
      <c r="D1613" s="475" t="s">
        <v>5342</v>
      </c>
      <c r="E1613" s="476" t="s">
        <v>34</v>
      </c>
      <c r="F1613" s="475" t="s">
        <v>34</v>
      </c>
      <c r="G1613" s="364">
        <v>99310</v>
      </c>
      <c r="H1613" s="475" t="s">
        <v>7514</v>
      </c>
      <c r="I1613" s="475" t="s">
        <v>171</v>
      </c>
      <c r="J1613" s="475" t="s">
        <v>140</v>
      </c>
      <c r="K1613" s="365">
        <v>9846.11</v>
      </c>
      <c r="L1613" s="475" t="s">
        <v>141</v>
      </c>
      <c r="M1613" s="473"/>
    </row>
    <row r="1614" spans="1:13" ht="13.5">
      <c r="A1614" s="475" t="s">
        <v>5319</v>
      </c>
      <c r="B1614" s="475" t="s">
        <v>5320</v>
      </c>
      <c r="C1614" s="475" t="s">
        <v>5341</v>
      </c>
      <c r="D1614" s="475" t="s">
        <v>5342</v>
      </c>
      <c r="E1614" s="476" t="s">
        <v>34</v>
      </c>
      <c r="F1614" s="475" t="s">
        <v>34</v>
      </c>
      <c r="G1614" s="364">
        <v>99311</v>
      </c>
      <c r="H1614" s="475" t="s">
        <v>7515</v>
      </c>
      <c r="I1614" s="475" t="s">
        <v>139</v>
      </c>
      <c r="J1614" s="475" t="s">
        <v>337</v>
      </c>
      <c r="K1614" s="365">
        <v>2714.78</v>
      </c>
      <c r="L1614" s="475" t="s">
        <v>141</v>
      </c>
      <c r="M1614" s="473"/>
    </row>
    <row r="1615" spans="1:13" ht="13.5">
      <c r="A1615" s="475" t="s">
        <v>5319</v>
      </c>
      <c r="B1615" s="475" t="s">
        <v>5320</v>
      </c>
      <c r="C1615" s="475" t="s">
        <v>5341</v>
      </c>
      <c r="D1615" s="475" t="s">
        <v>5342</v>
      </c>
      <c r="E1615" s="476" t="s">
        <v>34</v>
      </c>
      <c r="F1615" s="475" t="s">
        <v>34</v>
      </c>
      <c r="G1615" s="364">
        <v>99312</v>
      </c>
      <c r="H1615" s="475" t="s">
        <v>7516</v>
      </c>
      <c r="I1615" s="475" t="s">
        <v>171</v>
      </c>
      <c r="J1615" s="475" t="s">
        <v>140</v>
      </c>
      <c r="K1615" s="365">
        <v>4924.54</v>
      </c>
      <c r="L1615" s="475" t="s">
        <v>141</v>
      </c>
      <c r="M1615" s="473"/>
    </row>
    <row r="1616" spans="1:13" ht="13.5">
      <c r="A1616" s="475" t="s">
        <v>5319</v>
      </c>
      <c r="B1616" s="475" t="s">
        <v>5320</v>
      </c>
      <c r="C1616" s="475" t="s">
        <v>5341</v>
      </c>
      <c r="D1616" s="475" t="s">
        <v>5342</v>
      </c>
      <c r="E1616" s="476" t="s">
        <v>34</v>
      </c>
      <c r="F1616" s="475" t="s">
        <v>34</v>
      </c>
      <c r="G1616" s="364">
        <v>99313</v>
      </c>
      <c r="H1616" s="475" t="s">
        <v>7517</v>
      </c>
      <c r="I1616" s="475" t="s">
        <v>171</v>
      </c>
      <c r="J1616" s="475" t="s">
        <v>140</v>
      </c>
      <c r="K1616" s="365">
        <v>10967</v>
      </c>
      <c r="L1616" s="475" t="s">
        <v>141</v>
      </c>
      <c r="M1616" s="473"/>
    </row>
    <row r="1617" spans="1:13" ht="13.5">
      <c r="A1617" s="475" t="s">
        <v>5319</v>
      </c>
      <c r="B1617" s="475" t="s">
        <v>5320</v>
      </c>
      <c r="C1617" s="475" t="s">
        <v>5341</v>
      </c>
      <c r="D1617" s="475" t="s">
        <v>5342</v>
      </c>
      <c r="E1617" s="476" t="s">
        <v>34</v>
      </c>
      <c r="F1617" s="475" t="s">
        <v>34</v>
      </c>
      <c r="G1617" s="364">
        <v>99314</v>
      </c>
      <c r="H1617" s="475" t="s">
        <v>7518</v>
      </c>
      <c r="I1617" s="475" t="s">
        <v>139</v>
      </c>
      <c r="J1617" s="475" t="s">
        <v>337</v>
      </c>
      <c r="K1617" s="365">
        <v>2897</v>
      </c>
      <c r="L1617" s="475" t="s">
        <v>141</v>
      </c>
      <c r="M1617" s="473"/>
    </row>
    <row r="1618" spans="1:13" ht="13.5">
      <c r="A1618" s="475" t="s">
        <v>5319</v>
      </c>
      <c r="B1618" s="475" t="s">
        <v>5320</v>
      </c>
      <c r="C1618" s="475" t="s">
        <v>5341</v>
      </c>
      <c r="D1618" s="475" t="s">
        <v>5342</v>
      </c>
      <c r="E1618" s="476" t="s">
        <v>34</v>
      </c>
      <c r="F1618" s="475" t="s">
        <v>34</v>
      </c>
      <c r="G1618" s="364">
        <v>99315</v>
      </c>
      <c r="H1618" s="475" t="s">
        <v>7519</v>
      </c>
      <c r="I1618" s="475" t="s">
        <v>171</v>
      </c>
      <c r="J1618" s="475" t="s">
        <v>140</v>
      </c>
      <c r="K1618" s="365">
        <v>12265.07</v>
      </c>
      <c r="L1618" s="475" t="s">
        <v>141</v>
      </c>
      <c r="M1618" s="473"/>
    </row>
    <row r="1619" spans="1:13" ht="13.5">
      <c r="A1619" s="475" t="s">
        <v>5319</v>
      </c>
      <c r="B1619" s="475" t="s">
        <v>5320</v>
      </c>
      <c r="C1619" s="475" t="s">
        <v>5341</v>
      </c>
      <c r="D1619" s="475" t="s">
        <v>5342</v>
      </c>
      <c r="E1619" s="476" t="s">
        <v>34</v>
      </c>
      <c r="F1619" s="475" t="s">
        <v>34</v>
      </c>
      <c r="G1619" s="364">
        <v>99317</v>
      </c>
      <c r="H1619" s="475" t="s">
        <v>7520</v>
      </c>
      <c r="I1619" s="475" t="s">
        <v>139</v>
      </c>
      <c r="J1619" s="475" t="s">
        <v>337</v>
      </c>
      <c r="K1619" s="365">
        <v>1813</v>
      </c>
      <c r="L1619" s="475" t="s">
        <v>141</v>
      </c>
      <c r="M1619" s="473"/>
    </row>
    <row r="1620" spans="1:13" ht="13.5">
      <c r="A1620" s="475" t="s">
        <v>5319</v>
      </c>
      <c r="B1620" s="475" t="s">
        <v>5320</v>
      </c>
      <c r="C1620" s="475" t="s">
        <v>5341</v>
      </c>
      <c r="D1620" s="475" t="s">
        <v>5342</v>
      </c>
      <c r="E1620" s="476" t="s">
        <v>34</v>
      </c>
      <c r="F1620" s="475" t="s">
        <v>34</v>
      </c>
      <c r="G1620" s="364">
        <v>99318</v>
      </c>
      <c r="H1620" s="475" t="s">
        <v>7521</v>
      </c>
      <c r="I1620" s="475" t="s">
        <v>139</v>
      </c>
      <c r="J1620" s="475" t="s">
        <v>140</v>
      </c>
      <c r="K1620" s="365">
        <v>199.02</v>
      </c>
      <c r="L1620" s="475" t="s">
        <v>141</v>
      </c>
      <c r="M1620" s="473"/>
    </row>
    <row r="1621" spans="1:13" ht="13.5">
      <c r="A1621" s="475" t="s">
        <v>5319</v>
      </c>
      <c r="B1621" s="475" t="s">
        <v>5320</v>
      </c>
      <c r="C1621" s="475" t="s">
        <v>5341</v>
      </c>
      <c r="D1621" s="475" t="s">
        <v>5342</v>
      </c>
      <c r="E1621" s="476" t="s">
        <v>34</v>
      </c>
      <c r="F1621" s="475" t="s">
        <v>34</v>
      </c>
      <c r="G1621" s="364">
        <v>99319</v>
      </c>
      <c r="H1621" s="475" t="s">
        <v>7522</v>
      </c>
      <c r="I1621" s="475" t="s">
        <v>139</v>
      </c>
      <c r="J1621" s="475" t="s">
        <v>337</v>
      </c>
      <c r="K1621" s="365">
        <v>659.49</v>
      </c>
      <c r="L1621" s="475" t="s">
        <v>141</v>
      </c>
      <c r="M1621" s="473"/>
    </row>
    <row r="1622" spans="1:13" ht="13.5">
      <c r="A1622" s="475" t="s">
        <v>5319</v>
      </c>
      <c r="B1622" s="475" t="s">
        <v>5320</v>
      </c>
      <c r="C1622" s="475" t="s">
        <v>5341</v>
      </c>
      <c r="D1622" s="475" t="s">
        <v>5342</v>
      </c>
      <c r="E1622" s="476" t="s">
        <v>34</v>
      </c>
      <c r="F1622" s="475" t="s">
        <v>34</v>
      </c>
      <c r="G1622" s="364">
        <v>99320</v>
      </c>
      <c r="H1622" s="475" t="s">
        <v>7523</v>
      </c>
      <c r="I1622" s="475" t="s">
        <v>171</v>
      </c>
      <c r="J1622" s="475" t="s">
        <v>140</v>
      </c>
      <c r="K1622" s="365">
        <v>5681.33</v>
      </c>
      <c r="L1622" s="475" t="s">
        <v>141</v>
      </c>
      <c r="M1622" s="473"/>
    </row>
    <row r="1623" spans="1:13" ht="13.5">
      <c r="A1623" s="475" t="s">
        <v>5319</v>
      </c>
      <c r="B1623" s="475" t="s">
        <v>5320</v>
      </c>
      <c r="C1623" s="475" t="s">
        <v>5341</v>
      </c>
      <c r="D1623" s="475" t="s">
        <v>5342</v>
      </c>
      <c r="E1623" s="476" t="s">
        <v>34</v>
      </c>
      <c r="F1623" s="475" t="s">
        <v>34</v>
      </c>
      <c r="G1623" s="364">
        <v>99321</v>
      </c>
      <c r="H1623" s="475" t="s">
        <v>7524</v>
      </c>
      <c r="I1623" s="475" t="s">
        <v>139</v>
      </c>
      <c r="J1623" s="475" t="s">
        <v>337</v>
      </c>
      <c r="K1623" s="365">
        <v>1990.59</v>
      </c>
      <c r="L1623" s="475" t="s">
        <v>141</v>
      </c>
      <c r="M1623" s="473"/>
    </row>
    <row r="1624" spans="1:13" ht="13.5">
      <c r="A1624" s="475" t="s">
        <v>5319</v>
      </c>
      <c r="B1624" s="475" t="s">
        <v>5320</v>
      </c>
      <c r="C1624" s="475" t="s">
        <v>5341</v>
      </c>
      <c r="D1624" s="475" t="s">
        <v>5342</v>
      </c>
      <c r="E1624" s="476" t="s">
        <v>34</v>
      </c>
      <c r="F1624" s="475" t="s">
        <v>34</v>
      </c>
      <c r="G1624" s="364">
        <v>99322</v>
      </c>
      <c r="H1624" s="475" t="s">
        <v>7525</v>
      </c>
      <c r="I1624" s="475" t="s">
        <v>171</v>
      </c>
      <c r="J1624" s="475" t="s">
        <v>140</v>
      </c>
      <c r="K1624" s="365">
        <v>6403.11</v>
      </c>
      <c r="L1624" s="475" t="s">
        <v>141</v>
      </c>
      <c r="M1624" s="473"/>
    </row>
    <row r="1625" spans="1:13" ht="13.5">
      <c r="A1625" s="475" t="s">
        <v>5319</v>
      </c>
      <c r="B1625" s="475" t="s">
        <v>5320</v>
      </c>
      <c r="C1625" s="475" t="s">
        <v>5341</v>
      </c>
      <c r="D1625" s="475" t="s">
        <v>5342</v>
      </c>
      <c r="E1625" s="476" t="s">
        <v>34</v>
      </c>
      <c r="F1625" s="475" t="s">
        <v>34</v>
      </c>
      <c r="G1625" s="364">
        <v>99323</v>
      </c>
      <c r="H1625" s="475" t="s">
        <v>7526</v>
      </c>
      <c r="I1625" s="475" t="s">
        <v>139</v>
      </c>
      <c r="J1625" s="475" t="s">
        <v>337</v>
      </c>
      <c r="K1625" s="365">
        <v>2168.19</v>
      </c>
      <c r="L1625" s="475" t="s">
        <v>141</v>
      </c>
      <c r="M1625" s="473"/>
    </row>
    <row r="1626" spans="1:13" ht="13.5">
      <c r="A1626" s="475" t="s">
        <v>5319</v>
      </c>
      <c r="B1626" s="475" t="s">
        <v>5320</v>
      </c>
      <c r="C1626" s="475" t="s">
        <v>5341</v>
      </c>
      <c r="D1626" s="475" t="s">
        <v>5342</v>
      </c>
      <c r="E1626" s="476" t="s">
        <v>34</v>
      </c>
      <c r="F1626" s="475" t="s">
        <v>34</v>
      </c>
      <c r="G1626" s="364">
        <v>99324</v>
      </c>
      <c r="H1626" s="475" t="s">
        <v>7527</v>
      </c>
      <c r="I1626" s="475" t="s">
        <v>171</v>
      </c>
      <c r="J1626" s="475" t="s">
        <v>140</v>
      </c>
      <c r="K1626" s="365">
        <v>7124.84</v>
      </c>
      <c r="L1626" s="475" t="s">
        <v>141</v>
      </c>
      <c r="M1626" s="473"/>
    </row>
    <row r="1627" spans="1:13" ht="13.5">
      <c r="A1627" s="475" t="s">
        <v>5319</v>
      </c>
      <c r="B1627" s="475" t="s">
        <v>5320</v>
      </c>
      <c r="C1627" s="475" t="s">
        <v>5341</v>
      </c>
      <c r="D1627" s="475" t="s">
        <v>5342</v>
      </c>
      <c r="E1627" s="476" t="s">
        <v>34</v>
      </c>
      <c r="F1627" s="475" t="s">
        <v>34</v>
      </c>
      <c r="G1627" s="364">
        <v>99325</v>
      </c>
      <c r="H1627" s="475" t="s">
        <v>7528</v>
      </c>
      <c r="I1627" s="475" t="s">
        <v>139</v>
      </c>
      <c r="J1627" s="475" t="s">
        <v>337</v>
      </c>
      <c r="K1627" s="365">
        <v>2350.37</v>
      </c>
      <c r="L1627" s="475" t="s">
        <v>141</v>
      </c>
      <c r="M1627" s="473"/>
    </row>
    <row r="1628" spans="1:13" ht="13.5">
      <c r="A1628" s="475" t="s">
        <v>5319</v>
      </c>
      <c r="B1628" s="475" t="s">
        <v>5320</v>
      </c>
      <c r="C1628" s="475" t="s">
        <v>5341</v>
      </c>
      <c r="D1628" s="475" t="s">
        <v>5342</v>
      </c>
      <c r="E1628" s="476" t="s">
        <v>34</v>
      </c>
      <c r="F1628" s="475" t="s">
        <v>34</v>
      </c>
      <c r="G1628" s="364">
        <v>99326</v>
      </c>
      <c r="H1628" s="475" t="s">
        <v>7529</v>
      </c>
      <c r="I1628" s="475" t="s">
        <v>171</v>
      </c>
      <c r="J1628" s="475" t="s">
        <v>140</v>
      </c>
      <c r="K1628" s="365">
        <v>5803.73</v>
      </c>
      <c r="L1628" s="475" t="s">
        <v>141</v>
      </c>
      <c r="M1628" s="473"/>
    </row>
    <row r="1629" spans="1:13" ht="13.5">
      <c r="A1629" s="475" t="s">
        <v>5319</v>
      </c>
      <c r="B1629" s="475" t="s">
        <v>5320</v>
      </c>
      <c r="C1629" s="475" t="s">
        <v>5341</v>
      </c>
      <c r="D1629" s="475" t="s">
        <v>5342</v>
      </c>
      <c r="E1629" s="476" t="s">
        <v>34</v>
      </c>
      <c r="F1629" s="475" t="s">
        <v>34</v>
      </c>
      <c r="G1629" s="364">
        <v>99327</v>
      </c>
      <c r="H1629" s="475" t="s">
        <v>7530</v>
      </c>
      <c r="I1629" s="475" t="s">
        <v>139</v>
      </c>
      <c r="J1629" s="475" t="s">
        <v>337</v>
      </c>
      <c r="K1629" s="365">
        <v>3034.01</v>
      </c>
      <c r="L1629" s="475" t="s">
        <v>141</v>
      </c>
      <c r="M1629" s="473"/>
    </row>
    <row r="1630" spans="1:13" ht="13.5">
      <c r="A1630" s="475" t="s">
        <v>5319</v>
      </c>
      <c r="B1630" s="475" t="s">
        <v>5320</v>
      </c>
      <c r="C1630" s="475" t="s">
        <v>5346</v>
      </c>
      <c r="D1630" s="475" t="s">
        <v>5347</v>
      </c>
      <c r="E1630" s="476" t="s">
        <v>34</v>
      </c>
      <c r="F1630" s="475" t="s">
        <v>34</v>
      </c>
      <c r="G1630" s="364">
        <v>94263</v>
      </c>
      <c r="H1630" s="475" t="s">
        <v>7531</v>
      </c>
      <c r="I1630" s="475" t="s">
        <v>139</v>
      </c>
      <c r="J1630" s="475" t="s">
        <v>140</v>
      </c>
      <c r="K1630" s="365">
        <v>21.34</v>
      </c>
      <c r="L1630" s="475" t="s">
        <v>141</v>
      </c>
      <c r="M1630" s="473"/>
    </row>
    <row r="1631" spans="1:13" ht="13.5">
      <c r="A1631" s="475" t="s">
        <v>5319</v>
      </c>
      <c r="B1631" s="475" t="s">
        <v>5320</v>
      </c>
      <c r="C1631" s="475" t="s">
        <v>5346</v>
      </c>
      <c r="D1631" s="475" t="s">
        <v>5347</v>
      </c>
      <c r="E1631" s="476" t="s">
        <v>34</v>
      </c>
      <c r="F1631" s="475" t="s">
        <v>34</v>
      </c>
      <c r="G1631" s="364">
        <v>94264</v>
      </c>
      <c r="H1631" s="475" t="s">
        <v>7532</v>
      </c>
      <c r="I1631" s="475" t="s">
        <v>139</v>
      </c>
      <c r="J1631" s="475" t="s">
        <v>140</v>
      </c>
      <c r="K1631" s="365">
        <v>24.06</v>
      </c>
      <c r="L1631" s="475" t="s">
        <v>141</v>
      </c>
      <c r="M1631" s="473"/>
    </row>
    <row r="1632" spans="1:13" ht="13.5">
      <c r="A1632" s="475" t="s">
        <v>5319</v>
      </c>
      <c r="B1632" s="475" t="s">
        <v>5320</v>
      </c>
      <c r="C1632" s="475" t="s">
        <v>5346</v>
      </c>
      <c r="D1632" s="475" t="s">
        <v>5347</v>
      </c>
      <c r="E1632" s="476" t="s">
        <v>34</v>
      </c>
      <c r="F1632" s="475" t="s">
        <v>34</v>
      </c>
      <c r="G1632" s="364">
        <v>94265</v>
      </c>
      <c r="H1632" s="475" t="s">
        <v>7533</v>
      </c>
      <c r="I1632" s="475" t="s">
        <v>139</v>
      </c>
      <c r="J1632" s="475" t="s">
        <v>140</v>
      </c>
      <c r="K1632" s="365">
        <v>27.08</v>
      </c>
      <c r="L1632" s="475" t="s">
        <v>141</v>
      </c>
      <c r="M1632" s="473"/>
    </row>
    <row r="1633" spans="1:13" ht="13.5">
      <c r="A1633" s="475" t="s">
        <v>5319</v>
      </c>
      <c r="B1633" s="475" t="s">
        <v>5320</v>
      </c>
      <c r="C1633" s="475" t="s">
        <v>5346</v>
      </c>
      <c r="D1633" s="475" t="s">
        <v>5347</v>
      </c>
      <c r="E1633" s="476" t="s">
        <v>34</v>
      </c>
      <c r="F1633" s="475" t="s">
        <v>34</v>
      </c>
      <c r="G1633" s="364">
        <v>94266</v>
      </c>
      <c r="H1633" s="475" t="s">
        <v>7534</v>
      </c>
      <c r="I1633" s="475" t="s">
        <v>139</v>
      </c>
      <c r="J1633" s="475" t="s">
        <v>140</v>
      </c>
      <c r="K1633" s="365">
        <v>30.19</v>
      </c>
      <c r="L1633" s="475" t="s">
        <v>141</v>
      </c>
      <c r="M1633" s="473"/>
    </row>
    <row r="1634" spans="1:13" ht="13.5">
      <c r="A1634" s="475" t="s">
        <v>5319</v>
      </c>
      <c r="B1634" s="475" t="s">
        <v>5320</v>
      </c>
      <c r="C1634" s="475" t="s">
        <v>5346</v>
      </c>
      <c r="D1634" s="475" t="s">
        <v>5347</v>
      </c>
      <c r="E1634" s="476" t="s">
        <v>34</v>
      </c>
      <c r="F1634" s="475" t="s">
        <v>34</v>
      </c>
      <c r="G1634" s="364">
        <v>94267</v>
      </c>
      <c r="H1634" s="475" t="s">
        <v>7535</v>
      </c>
      <c r="I1634" s="475" t="s">
        <v>139</v>
      </c>
      <c r="J1634" s="475" t="s">
        <v>140</v>
      </c>
      <c r="K1634" s="365">
        <v>32.03</v>
      </c>
      <c r="L1634" s="475" t="s">
        <v>141</v>
      </c>
      <c r="M1634" s="473"/>
    </row>
    <row r="1635" spans="1:13" ht="13.5">
      <c r="A1635" s="475" t="s">
        <v>5319</v>
      </c>
      <c r="B1635" s="475" t="s">
        <v>5320</v>
      </c>
      <c r="C1635" s="475" t="s">
        <v>5346</v>
      </c>
      <c r="D1635" s="475" t="s">
        <v>5347</v>
      </c>
      <c r="E1635" s="476" t="s">
        <v>34</v>
      </c>
      <c r="F1635" s="475" t="s">
        <v>34</v>
      </c>
      <c r="G1635" s="364">
        <v>94268</v>
      </c>
      <c r="H1635" s="475" t="s">
        <v>7536</v>
      </c>
      <c r="I1635" s="475" t="s">
        <v>139</v>
      </c>
      <c r="J1635" s="475" t="s">
        <v>140</v>
      </c>
      <c r="K1635" s="365">
        <v>35.44</v>
      </c>
      <c r="L1635" s="475" t="s">
        <v>141</v>
      </c>
      <c r="M1635" s="473"/>
    </row>
    <row r="1636" spans="1:13" ht="13.5">
      <c r="A1636" s="475" t="s">
        <v>5319</v>
      </c>
      <c r="B1636" s="475" t="s">
        <v>5320</v>
      </c>
      <c r="C1636" s="475" t="s">
        <v>5346</v>
      </c>
      <c r="D1636" s="475" t="s">
        <v>5347</v>
      </c>
      <c r="E1636" s="476" t="s">
        <v>34</v>
      </c>
      <c r="F1636" s="475" t="s">
        <v>34</v>
      </c>
      <c r="G1636" s="364">
        <v>94269</v>
      </c>
      <c r="H1636" s="475" t="s">
        <v>7537</v>
      </c>
      <c r="I1636" s="475" t="s">
        <v>139</v>
      </c>
      <c r="J1636" s="475" t="s">
        <v>140</v>
      </c>
      <c r="K1636" s="365">
        <v>44.89</v>
      </c>
      <c r="L1636" s="475" t="s">
        <v>141</v>
      </c>
      <c r="M1636" s="473"/>
    </row>
    <row r="1637" spans="1:13" ht="13.5">
      <c r="A1637" s="475" t="s">
        <v>5319</v>
      </c>
      <c r="B1637" s="475" t="s">
        <v>5320</v>
      </c>
      <c r="C1637" s="475" t="s">
        <v>5346</v>
      </c>
      <c r="D1637" s="475" t="s">
        <v>5347</v>
      </c>
      <c r="E1637" s="476" t="s">
        <v>34</v>
      </c>
      <c r="F1637" s="475" t="s">
        <v>34</v>
      </c>
      <c r="G1637" s="364">
        <v>94270</v>
      </c>
      <c r="H1637" s="475" t="s">
        <v>7538</v>
      </c>
      <c r="I1637" s="475" t="s">
        <v>139</v>
      </c>
      <c r="J1637" s="475" t="s">
        <v>140</v>
      </c>
      <c r="K1637" s="365">
        <v>49.66</v>
      </c>
      <c r="L1637" s="475" t="s">
        <v>141</v>
      </c>
      <c r="M1637" s="473"/>
    </row>
    <row r="1638" spans="1:13" ht="13.5">
      <c r="A1638" s="475" t="s">
        <v>5319</v>
      </c>
      <c r="B1638" s="475" t="s">
        <v>5320</v>
      </c>
      <c r="C1638" s="475" t="s">
        <v>5346</v>
      </c>
      <c r="D1638" s="475" t="s">
        <v>5347</v>
      </c>
      <c r="E1638" s="476" t="s">
        <v>34</v>
      </c>
      <c r="F1638" s="475" t="s">
        <v>34</v>
      </c>
      <c r="G1638" s="364">
        <v>94271</v>
      </c>
      <c r="H1638" s="475" t="s">
        <v>7539</v>
      </c>
      <c r="I1638" s="475" t="s">
        <v>139</v>
      </c>
      <c r="J1638" s="475" t="s">
        <v>140</v>
      </c>
      <c r="K1638" s="365">
        <v>54.62</v>
      </c>
      <c r="L1638" s="475" t="s">
        <v>141</v>
      </c>
      <c r="M1638" s="473"/>
    </row>
    <row r="1639" spans="1:13" ht="13.5">
      <c r="A1639" s="475" t="s">
        <v>5319</v>
      </c>
      <c r="B1639" s="475" t="s">
        <v>5320</v>
      </c>
      <c r="C1639" s="475" t="s">
        <v>5346</v>
      </c>
      <c r="D1639" s="475" t="s">
        <v>5347</v>
      </c>
      <c r="E1639" s="476" t="s">
        <v>34</v>
      </c>
      <c r="F1639" s="475" t="s">
        <v>34</v>
      </c>
      <c r="G1639" s="364">
        <v>94272</v>
      </c>
      <c r="H1639" s="475" t="s">
        <v>7540</v>
      </c>
      <c r="I1639" s="475" t="s">
        <v>139</v>
      </c>
      <c r="J1639" s="475" t="s">
        <v>140</v>
      </c>
      <c r="K1639" s="365">
        <v>60.98</v>
      </c>
      <c r="L1639" s="475" t="s">
        <v>141</v>
      </c>
      <c r="M1639" s="473"/>
    </row>
    <row r="1640" spans="1:13" ht="13.5">
      <c r="A1640" s="475" t="s">
        <v>5319</v>
      </c>
      <c r="B1640" s="475" t="s">
        <v>5320</v>
      </c>
      <c r="C1640" s="475" t="s">
        <v>5346</v>
      </c>
      <c r="D1640" s="475" t="s">
        <v>5347</v>
      </c>
      <c r="E1640" s="476" t="s">
        <v>34</v>
      </c>
      <c r="F1640" s="475" t="s">
        <v>34</v>
      </c>
      <c r="G1640" s="364">
        <v>94273</v>
      </c>
      <c r="H1640" s="475" t="s">
        <v>1390</v>
      </c>
      <c r="I1640" s="475" t="s">
        <v>139</v>
      </c>
      <c r="J1640" s="475" t="s">
        <v>337</v>
      </c>
      <c r="K1640" s="365">
        <v>32.03</v>
      </c>
      <c r="L1640" s="475" t="s">
        <v>141</v>
      </c>
      <c r="M1640" s="473"/>
    </row>
    <row r="1641" spans="1:13" ht="13.5">
      <c r="A1641" s="475" t="s">
        <v>5319</v>
      </c>
      <c r="B1641" s="475" t="s">
        <v>5320</v>
      </c>
      <c r="C1641" s="475" t="s">
        <v>5346</v>
      </c>
      <c r="D1641" s="475" t="s">
        <v>5347</v>
      </c>
      <c r="E1641" s="476" t="s">
        <v>34</v>
      </c>
      <c r="F1641" s="475" t="s">
        <v>34</v>
      </c>
      <c r="G1641" s="364">
        <v>94274</v>
      </c>
      <c r="H1641" s="475" t="s">
        <v>1391</v>
      </c>
      <c r="I1641" s="475" t="s">
        <v>139</v>
      </c>
      <c r="J1641" s="475" t="s">
        <v>337</v>
      </c>
      <c r="K1641" s="365">
        <v>35.020000000000003</v>
      </c>
      <c r="L1641" s="475" t="s">
        <v>141</v>
      </c>
      <c r="M1641" s="473"/>
    </row>
    <row r="1642" spans="1:13" ht="13.5">
      <c r="A1642" s="475" t="s">
        <v>5319</v>
      </c>
      <c r="B1642" s="475" t="s">
        <v>5320</v>
      </c>
      <c r="C1642" s="475" t="s">
        <v>5346</v>
      </c>
      <c r="D1642" s="475" t="s">
        <v>5347</v>
      </c>
      <c r="E1642" s="476" t="s">
        <v>34</v>
      </c>
      <c r="F1642" s="475" t="s">
        <v>34</v>
      </c>
      <c r="G1642" s="364">
        <v>94275</v>
      </c>
      <c r="H1642" s="475" t="s">
        <v>1392</v>
      </c>
      <c r="I1642" s="475" t="s">
        <v>139</v>
      </c>
      <c r="J1642" s="475" t="s">
        <v>337</v>
      </c>
      <c r="K1642" s="365">
        <v>30.47</v>
      </c>
      <c r="L1642" s="475" t="s">
        <v>141</v>
      </c>
      <c r="M1642" s="473"/>
    </row>
    <row r="1643" spans="1:13" ht="13.5">
      <c r="A1643" s="475" t="s">
        <v>5319</v>
      </c>
      <c r="B1643" s="475" t="s">
        <v>5320</v>
      </c>
      <c r="C1643" s="475" t="s">
        <v>5346</v>
      </c>
      <c r="D1643" s="475" t="s">
        <v>5347</v>
      </c>
      <c r="E1643" s="476" t="s">
        <v>34</v>
      </c>
      <c r="F1643" s="475" t="s">
        <v>34</v>
      </c>
      <c r="G1643" s="364">
        <v>94276</v>
      </c>
      <c r="H1643" s="475" t="s">
        <v>1393</v>
      </c>
      <c r="I1643" s="475" t="s">
        <v>139</v>
      </c>
      <c r="J1643" s="475" t="s">
        <v>337</v>
      </c>
      <c r="K1643" s="365">
        <v>33.47</v>
      </c>
      <c r="L1643" s="475" t="s">
        <v>141</v>
      </c>
      <c r="M1643" s="473"/>
    </row>
    <row r="1644" spans="1:13" ht="13.5">
      <c r="A1644" s="475" t="s">
        <v>5319</v>
      </c>
      <c r="B1644" s="475" t="s">
        <v>5320</v>
      </c>
      <c r="C1644" s="475" t="s">
        <v>5346</v>
      </c>
      <c r="D1644" s="475" t="s">
        <v>5347</v>
      </c>
      <c r="E1644" s="476" t="s">
        <v>34</v>
      </c>
      <c r="F1644" s="475" t="s">
        <v>34</v>
      </c>
      <c r="G1644" s="364">
        <v>94281</v>
      </c>
      <c r="H1644" s="475" t="s">
        <v>1394</v>
      </c>
      <c r="I1644" s="475" t="s">
        <v>139</v>
      </c>
      <c r="J1644" s="475" t="s">
        <v>337</v>
      </c>
      <c r="K1644" s="365">
        <v>33.22</v>
      </c>
      <c r="L1644" s="475" t="s">
        <v>141</v>
      </c>
      <c r="M1644" s="473"/>
    </row>
    <row r="1645" spans="1:13" ht="13.5">
      <c r="A1645" s="475" t="s">
        <v>5319</v>
      </c>
      <c r="B1645" s="475" t="s">
        <v>5320</v>
      </c>
      <c r="C1645" s="475" t="s">
        <v>5346</v>
      </c>
      <c r="D1645" s="475" t="s">
        <v>5347</v>
      </c>
      <c r="E1645" s="476" t="s">
        <v>34</v>
      </c>
      <c r="F1645" s="475" t="s">
        <v>34</v>
      </c>
      <c r="G1645" s="364">
        <v>94282</v>
      </c>
      <c r="H1645" s="475" t="s">
        <v>1395</v>
      </c>
      <c r="I1645" s="475" t="s">
        <v>139</v>
      </c>
      <c r="J1645" s="475" t="s">
        <v>337</v>
      </c>
      <c r="K1645" s="365">
        <v>42.33</v>
      </c>
      <c r="L1645" s="475" t="s">
        <v>141</v>
      </c>
      <c r="M1645" s="473"/>
    </row>
    <row r="1646" spans="1:13" ht="13.5">
      <c r="A1646" s="475" t="s">
        <v>5319</v>
      </c>
      <c r="B1646" s="475" t="s">
        <v>5320</v>
      </c>
      <c r="C1646" s="475" t="s">
        <v>5346</v>
      </c>
      <c r="D1646" s="475" t="s">
        <v>5347</v>
      </c>
      <c r="E1646" s="476" t="s">
        <v>34</v>
      </c>
      <c r="F1646" s="475" t="s">
        <v>34</v>
      </c>
      <c r="G1646" s="364">
        <v>94283</v>
      </c>
      <c r="H1646" s="475" t="s">
        <v>1396</v>
      </c>
      <c r="I1646" s="475" t="s">
        <v>139</v>
      </c>
      <c r="J1646" s="475" t="s">
        <v>337</v>
      </c>
      <c r="K1646" s="365">
        <v>41.91</v>
      </c>
      <c r="L1646" s="475" t="s">
        <v>141</v>
      </c>
      <c r="M1646" s="473"/>
    </row>
    <row r="1647" spans="1:13" ht="13.5">
      <c r="A1647" s="475" t="s">
        <v>5319</v>
      </c>
      <c r="B1647" s="475" t="s">
        <v>5320</v>
      </c>
      <c r="C1647" s="475" t="s">
        <v>5346</v>
      </c>
      <c r="D1647" s="475" t="s">
        <v>5347</v>
      </c>
      <c r="E1647" s="476" t="s">
        <v>34</v>
      </c>
      <c r="F1647" s="475" t="s">
        <v>34</v>
      </c>
      <c r="G1647" s="364">
        <v>94284</v>
      </c>
      <c r="H1647" s="475" t="s">
        <v>1397</v>
      </c>
      <c r="I1647" s="475" t="s">
        <v>139</v>
      </c>
      <c r="J1647" s="475" t="s">
        <v>337</v>
      </c>
      <c r="K1647" s="365">
        <v>51.02</v>
      </c>
      <c r="L1647" s="475" t="s">
        <v>141</v>
      </c>
      <c r="M1647" s="473"/>
    </row>
    <row r="1648" spans="1:13" ht="13.5">
      <c r="A1648" s="475" t="s">
        <v>5319</v>
      </c>
      <c r="B1648" s="475" t="s">
        <v>5320</v>
      </c>
      <c r="C1648" s="475" t="s">
        <v>5346</v>
      </c>
      <c r="D1648" s="475" t="s">
        <v>5347</v>
      </c>
      <c r="E1648" s="476" t="s">
        <v>34</v>
      </c>
      <c r="F1648" s="475" t="s">
        <v>34</v>
      </c>
      <c r="G1648" s="364">
        <v>94285</v>
      </c>
      <c r="H1648" s="475" t="s">
        <v>1398</v>
      </c>
      <c r="I1648" s="475" t="s">
        <v>139</v>
      </c>
      <c r="J1648" s="475" t="s">
        <v>337</v>
      </c>
      <c r="K1648" s="365">
        <v>50.18</v>
      </c>
      <c r="L1648" s="475" t="s">
        <v>141</v>
      </c>
      <c r="M1648" s="473"/>
    </row>
    <row r="1649" spans="1:13" ht="13.5">
      <c r="A1649" s="475" t="s">
        <v>5319</v>
      </c>
      <c r="B1649" s="475" t="s">
        <v>5320</v>
      </c>
      <c r="C1649" s="475" t="s">
        <v>5346</v>
      </c>
      <c r="D1649" s="475" t="s">
        <v>5347</v>
      </c>
      <c r="E1649" s="476" t="s">
        <v>34</v>
      </c>
      <c r="F1649" s="475" t="s">
        <v>34</v>
      </c>
      <c r="G1649" s="364">
        <v>94286</v>
      </c>
      <c r="H1649" s="475" t="s">
        <v>1399</v>
      </c>
      <c r="I1649" s="475" t="s">
        <v>139</v>
      </c>
      <c r="J1649" s="475" t="s">
        <v>337</v>
      </c>
      <c r="K1649" s="365">
        <v>59.29</v>
      </c>
      <c r="L1649" s="475" t="s">
        <v>141</v>
      </c>
      <c r="M1649" s="473"/>
    </row>
    <row r="1650" spans="1:13" ht="13.5">
      <c r="A1650" s="475" t="s">
        <v>5319</v>
      </c>
      <c r="B1650" s="475" t="s">
        <v>5320</v>
      </c>
      <c r="C1650" s="475" t="s">
        <v>5346</v>
      </c>
      <c r="D1650" s="475" t="s">
        <v>5347</v>
      </c>
      <c r="E1650" s="476" t="s">
        <v>34</v>
      </c>
      <c r="F1650" s="475" t="s">
        <v>34</v>
      </c>
      <c r="G1650" s="364">
        <v>94287</v>
      </c>
      <c r="H1650" s="475" t="s">
        <v>1400</v>
      </c>
      <c r="I1650" s="475" t="s">
        <v>139</v>
      </c>
      <c r="J1650" s="475" t="s">
        <v>337</v>
      </c>
      <c r="K1650" s="365">
        <v>26.53</v>
      </c>
      <c r="L1650" s="475" t="s">
        <v>141</v>
      </c>
      <c r="M1650" s="473"/>
    </row>
    <row r="1651" spans="1:13" ht="13.5">
      <c r="A1651" s="475" t="s">
        <v>5319</v>
      </c>
      <c r="B1651" s="475" t="s">
        <v>5320</v>
      </c>
      <c r="C1651" s="475" t="s">
        <v>5346</v>
      </c>
      <c r="D1651" s="475" t="s">
        <v>5347</v>
      </c>
      <c r="E1651" s="476" t="s">
        <v>34</v>
      </c>
      <c r="F1651" s="475" t="s">
        <v>34</v>
      </c>
      <c r="G1651" s="364">
        <v>94288</v>
      </c>
      <c r="H1651" s="475" t="s">
        <v>1401</v>
      </c>
      <c r="I1651" s="475" t="s">
        <v>139</v>
      </c>
      <c r="J1651" s="475" t="s">
        <v>337</v>
      </c>
      <c r="K1651" s="365">
        <v>34.51</v>
      </c>
      <c r="L1651" s="475" t="s">
        <v>141</v>
      </c>
      <c r="M1651" s="473"/>
    </row>
    <row r="1652" spans="1:13" ht="13.5">
      <c r="A1652" s="475" t="s">
        <v>5319</v>
      </c>
      <c r="B1652" s="475" t="s">
        <v>5320</v>
      </c>
      <c r="C1652" s="475" t="s">
        <v>5346</v>
      </c>
      <c r="D1652" s="475" t="s">
        <v>5347</v>
      </c>
      <c r="E1652" s="476" t="s">
        <v>34</v>
      </c>
      <c r="F1652" s="475" t="s">
        <v>34</v>
      </c>
      <c r="G1652" s="364">
        <v>94289</v>
      </c>
      <c r="H1652" s="475" t="s">
        <v>1402</v>
      </c>
      <c r="I1652" s="475" t="s">
        <v>139</v>
      </c>
      <c r="J1652" s="475" t="s">
        <v>337</v>
      </c>
      <c r="K1652" s="365">
        <v>32.89</v>
      </c>
      <c r="L1652" s="475" t="s">
        <v>141</v>
      </c>
      <c r="M1652" s="473"/>
    </row>
    <row r="1653" spans="1:13" ht="13.5">
      <c r="A1653" s="475" t="s">
        <v>5319</v>
      </c>
      <c r="B1653" s="475" t="s">
        <v>5320</v>
      </c>
      <c r="C1653" s="475" t="s">
        <v>5346</v>
      </c>
      <c r="D1653" s="475" t="s">
        <v>5347</v>
      </c>
      <c r="E1653" s="476" t="s">
        <v>34</v>
      </c>
      <c r="F1653" s="475" t="s">
        <v>34</v>
      </c>
      <c r="G1653" s="364">
        <v>94290</v>
      </c>
      <c r="H1653" s="475" t="s">
        <v>1403</v>
      </c>
      <c r="I1653" s="475" t="s">
        <v>139</v>
      </c>
      <c r="J1653" s="475" t="s">
        <v>337</v>
      </c>
      <c r="K1653" s="365">
        <v>40.86</v>
      </c>
      <c r="L1653" s="475" t="s">
        <v>141</v>
      </c>
      <c r="M1653" s="473"/>
    </row>
    <row r="1654" spans="1:13" ht="13.5">
      <c r="A1654" s="475" t="s">
        <v>5319</v>
      </c>
      <c r="B1654" s="475" t="s">
        <v>5320</v>
      </c>
      <c r="C1654" s="475" t="s">
        <v>5346</v>
      </c>
      <c r="D1654" s="475" t="s">
        <v>5347</v>
      </c>
      <c r="E1654" s="476" t="s">
        <v>34</v>
      </c>
      <c r="F1654" s="475" t="s">
        <v>34</v>
      </c>
      <c r="G1654" s="364">
        <v>94291</v>
      </c>
      <c r="H1654" s="475" t="s">
        <v>1404</v>
      </c>
      <c r="I1654" s="475" t="s">
        <v>139</v>
      </c>
      <c r="J1654" s="475" t="s">
        <v>337</v>
      </c>
      <c r="K1654" s="365">
        <v>38.86</v>
      </c>
      <c r="L1654" s="475" t="s">
        <v>141</v>
      </c>
      <c r="M1654" s="473"/>
    </row>
    <row r="1655" spans="1:13" ht="13.5">
      <c r="A1655" s="475" t="s">
        <v>5319</v>
      </c>
      <c r="B1655" s="475" t="s">
        <v>5320</v>
      </c>
      <c r="C1655" s="475" t="s">
        <v>5346</v>
      </c>
      <c r="D1655" s="475" t="s">
        <v>5347</v>
      </c>
      <c r="E1655" s="476" t="s">
        <v>34</v>
      </c>
      <c r="F1655" s="475" t="s">
        <v>34</v>
      </c>
      <c r="G1655" s="364">
        <v>94292</v>
      </c>
      <c r="H1655" s="475" t="s">
        <v>1405</v>
      </c>
      <c r="I1655" s="475" t="s">
        <v>139</v>
      </c>
      <c r="J1655" s="475" t="s">
        <v>337</v>
      </c>
      <c r="K1655" s="365">
        <v>46.83</v>
      </c>
      <c r="L1655" s="475" t="s">
        <v>141</v>
      </c>
      <c r="M1655" s="473"/>
    </row>
    <row r="1656" spans="1:13" ht="13.5">
      <c r="A1656" s="475" t="s">
        <v>5319</v>
      </c>
      <c r="B1656" s="475" t="s">
        <v>5320</v>
      </c>
      <c r="C1656" s="475" t="s">
        <v>5346</v>
      </c>
      <c r="D1656" s="475" t="s">
        <v>5347</v>
      </c>
      <c r="E1656" s="476" t="s">
        <v>34</v>
      </c>
      <c r="F1656" s="475" t="s">
        <v>34</v>
      </c>
      <c r="G1656" s="364">
        <v>94293</v>
      </c>
      <c r="H1656" s="475" t="s">
        <v>1406</v>
      </c>
      <c r="I1656" s="475" t="s">
        <v>139</v>
      </c>
      <c r="J1656" s="475" t="s">
        <v>337</v>
      </c>
      <c r="K1656" s="365">
        <v>96.73</v>
      </c>
      <c r="L1656" s="475" t="s">
        <v>141</v>
      </c>
      <c r="M1656" s="473"/>
    </row>
    <row r="1657" spans="1:13" ht="13.5">
      <c r="A1657" s="475" t="s">
        <v>5319</v>
      </c>
      <c r="B1657" s="475" t="s">
        <v>5320</v>
      </c>
      <c r="C1657" s="475" t="s">
        <v>5346</v>
      </c>
      <c r="D1657" s="475" t="s">
        <v>5347</v>
      </c>
      <c r="E1657" s="476" t="s">
        <v>34</v>
      </c>
      <c r="F1657" s="475" t="s">
        <v>34</v>
      </c>
      <c r="G1657" s="364">
        <v>94294</v>
      </c>
      <c r="H1657" s="475" t="s">
        <v>1407</v>
      </c>
      <c r="I1657" s="475" t="s">
        <v>139</v>
      </c>
      <c r="J1657" s="475" t="s">
        <v>337</v>
      </c>
      <c r="K1657" s="365">
        <v>6.12</v>
      </c>
      <c r="L1657" s="475" t="s">
        <v>141</v>
      </c>
      <c r="M1657" s="473"/>
    </row>
    <row r="1658" spans="1:13" ht="13.5">
      <c r="A1658" s="475" t="s">
        <v>5348</v>
      </c>
      <c r="B1658" s="475" t="s">
        <v>5349</v>
      </c>
      <c r="C1658" s="475" t="s">
        <v>5350</v>
      </c>
      <c r="D1658" s="475" t="s">
        <v>5351</v>
      </c>
      <c r="E1658" s="476" t="s">
        <v>34</v>
      </c>
      <c r="F1658" s="475" t="s">
        <v>34</v>
      </c>
      <c r="G1658" s="364">
        <v>94037</v>
      </c>
      <c r="H1658" s="475" t="s">
        <v>1408</v>
      </c>
      <c r="I1658" s="475" t="s">
        <v>322</v>
      </c>
      <c r="J1658" s="475" t="s">
        <v>337</v>
      </c>
      <c r="K1658" s="365">
        <v>16.13</v>
      </c>
      <c r="L1658" s="475" t="s">
        <v>141</v>
      </c>
      <c r="M1658" s="473"/>
    </row>
    <row r="1659" spans="1:13" ht="13.5">
      <c r="A1659" s="475" t="s">
        <v>5348</v>
      </c>
      <c r="B1659" s="475" t="s">
        <v>5349</v>
      </c>
      <c r="C1659" s="475" t="s">
        <v>5350</v>
      </c>
      <c r="D1659" s="475" t="s">
        <v>5351</v>
      </c>
      <c r="E1659" s="476" t="s">
        <v>34</v>
      </c>
      <c r="F1659" s="475" t="s">
        <v>34</v>
      </c>
      <c r="G1659" s="364">
        <v>94038</v>
      </c>
      <c r="H1659" s="475" t="s">
        <v>1409</v>
      </c>
      <c r="I1659" s="475" t="s">
        <v>322</v>
      </c>
      <c r="J1659" s="475" t="s">
        <v>337</v>
      </c>
      <c r="K1659" s="365">
        <v>22.02</v>
      </c>
      <c r="L1659" s="475" t="s">
        <v>141</v>
      </c>
      <c r="M1659" s="473"/>
    </row>
    <row r="1660" spans="1:13" ht="13.5">
      <c r="A1660" s="475" t="s">
        <v>5348</v>
      </c>
      <c r="B1660" s="475" t="s">
        <v>5349</v>
      </c>
      <c r="C1660" s="475" t="s">
        <v>5350</v>
      </c>
      <c r="D1660" s="475" t="s">
        <v>5351</v>
      </c>
      <c r="E1660" s="476" t="s">
        <v>34</v>
      </c>
      <c r="F1660" s="475" t="s">
        <v>34</v>
      </c>
      <c r="G1660" s="364">
        <v>94039</v>
      </c>
      <c r="H1660" s="475" t="s">
        <v>1410</v>
      </c>
      <c r="I1660" s="475" t="s">
        <v>322</v>
      </c>
      <c r="J1660" s="475" t="s">
        <v>337</v>
      </c>
      <c r="K1660" s="365">
        <v>12.74</v>
      </c>
      <c r="L1660" s="475" t="s">
        <v>141</v>
      </c>
      <c r="M1660" s="473"/>
    </row>
    <row r="1661" spans="1:13" ht="13.5">
      <c r="A1661" s="475" t="s">
        <v>5348</v>
      </c>
      <c r="B1661" s="475" t="s">
        <v>5349</v>
      </c>
      <c r="C1661" s="475" t="s">
        <v>5350</v>
      </c>
      <c r="D1661" s="475" t="s">
        <v>5351</v>
      </c>
      <c r="E1661" s="476" t="s">
        <v>34</v>
      </c>
      <c r="F1661" s="475" t="s">
        <v>34</v>
      </c>
      <c r="G1661" s="364">
        <v>94040</v>
      </c>
      <c r="H1661" s="475" t="s">
        <v>1411</v>
      </c>
      <c r="I1661" s="475" t="s">
        <v>322</v>
      </c>
      <c r="J1661" s="475" t="s">
        <v>337</v>
      </c>
      <c r="K1661" s="365">
        <v>18.649999999999999</v>
      </c>
      <c r="L1661" s="475" t="s">
        <v>141</v>
      </c>
      <c r="M1661" s="473"/>
    </row>
    <row r="1662" spans="1:13" ht="13.5">
      <c r="A1662" s="475" t="s">
        <v>5348</v>
      </c>
      <c r="B1662" s="475" t="s">
        <v>5349</v>
      </c>
      <c r="C1662" s="475" t="s">
        <v>5350</v>
      </c>
      <c r="D1662" s="475" t="s">
        <v>5351</v>
      </c>
      <c r="E1662" s="476" t="s">
        <v>34</v>
      </c>
      <c r="F1662" s="475" t="s">
        <v>34</v>
      </c>
      <c r="G1662" s="364">
        <v>94041</v>
      </c>
      <c r="H1662" s="475" t="s">
        <v>1412</v>
      </c>
      <c r="I1662" s="475" t="s">
        <v>322</v>
      </c>
      <c r="J1662" s="475" t="s">
        <v>337</v>
      </c>
      <c r="K1662" s="365">
        <v>9.8000000000000007</v>
      </c>
      <c r="L1662" s="475" t="s">
        <v>141</v>
      </c>
      <c r="M1662" s="473"/>
    </row>
    <row r="1663" spans="1:13" ht="13.5">
      <c r="A1663" s="475" t="s">
        <v>5348</v>
      </c>
      <c r="B1663" s="475" t="s">
        <v>5349</v>
      </c>
      <c r="C1663" s="475" t="s">
        <v>5350</v>
      </c>
      <c r="D1663" s="475" t="s">
        <v>5351</v>
      </c>
      <c r="E1663" s="476" t="s">
        <v>34</v>
      </c>
      <c r="F1663" s="475" t="s">
        <v>34</v>
      </c>
      <c r="G1663" s="364">
        <v>94042</v>
      </c>
      <c r="H1663" s="475" t="s">
        <v>1413</v>
      </c>
      <c r="I1663" s="475" t="s">
        <v>322</v>
      </c>
      <c r="J1663" s="475" t="s">
        <v>337</v>
      </c>
      <c r="K1663" s="365">
        <v>15.84</v>
      </c>
      <c r="L1663" s="475" t="s">
        <v>141</v>
      </c>
      <c r="M1663" s="473"/>
    </row>
    <row r="1664" spans="1:13" ht="13.5">
      <c r="A1664" s="475" t="s">
        <v>5348</v>
      </c>
      <c r="B1664" s="475" t="s">
        <v>5349</v>
      </c>
      <c r="C1664" s="475" t="s">
        <v>5350</v>
      </c>
      <c r="D1664" s="475" t="s">
        <v>5351</v>
      </c>
      <c r="E1664" s="476" t="s">
        <v>34</v>
      </c>
      <c r="F1664" s="475" t="s">
        <v>34</v>
      </c>
      <c r="G1664" s="364">
        <v>94043</v>
      </c>
      <c r="H1664" s="475" t="s">
        <v>1414</v>
      </c>
      <c r="I1664" s="475" t="s">
        <v>322</v>
      </c>
      <c r="J1664" s="475" t="s">
        <v>337</v>
      </c>
      <c r="K1664" s="365">
        <v>15.2</v>
      </c>
      <c r="L1664" s="475" t="s">
        <v>141</v>
      </c>
      <c r="M1664" s="473"/>
    </row>
    <row r="1665" spans="1:13" ht="13.5">
      <c r="A1665" s="475" t="s">
        <v>5348</v>
      </c>
      <c r="B1665" s="475" t="s">
        <v>5349</v>
      </c>
      <c r="C1665" s="475" t="s">
        <v>5350</v>
      </c>
      <c r="D1665" s="475" t="s">
        <v>5351</v>
      </c>
      <c r="E1665" s="476" t="s">
        <v>34</v>
      </c>
      <c r="F1665" s="475" t="s">
        <v>34</v>
      </c>
      <c r="G1665" s="364">
        <v>94044</v>
      </c>
      <c r="H1665" s="475" t="s">
        <v>1415</v>
      </c>
      <c r="I1665" s="475" t="s">
        <v>322</v>
      </c>
      <c r="J1665" s="475" t="s">
        <v>337</v>
      </c>
      <c r="K1665" s="365">
        <v>21.12</v>
      </c>
      <c r="L1665" s="475" t="s">
        <v>141</v>
      </c>
      <c r="M1665" s="473"/>
    </row>
    <row r="1666" spans="1:13" ht="13.5">
      <c r="A1666" s="475" t="s">
        <v>5348</v>
      </c>
      <c r="B1666" s="475" t="s">
        <v>5349</v>
      </c>
      <c r="C1666" s="475" t="s">
        <v>5350</v>
      </c>
      <c r="D1666" s="475" t="s">
        <v>5351</v>
      </c>
      <c r="E1666" s="476" t="s">
        <v>34</v>
      </c>
      <c r="F1666" s="475" t="s">
        <v>34</v>
      </c>
      <c r="G1666" s="364">
        <v>94045</v>
      </c>
      <c r="H1666" s="475" t="s">
        <v>1416</v>
      </c>
      <c r="I1666" s="475" t="s">
        <v>322</v>
      </c>
      <c r="J1666" s="475" t="s">
        <v>337</v>
      </c>
      <c r="K1666" s="365">
        <v>11.84</v>
      </c>
      <c r="L1666" s="475" t="s">
        <v>141</v>
      </c>
      <c r="M1666" s="473"/>
    </row>
    <row r="1667" spans="1:13" ht="13.5">
      <c r="A1667" s="475" t="s">
        <v>5348</v>
      </c>
      <c r="B1667" s="475" t="s">
        <v>5349</v>
      </c>
      <c r="C1667" s="475" t="s">
        <v>5350</v>
      </c>
      <c r="D1667" s="475" t="s">
        <v>5351</v>
      </c>
      <c r="E1667" s="476" t="s">
        <v>34</v>
      </c>
      <c r="F1667" s="475" t="s">
        <v>34</v>
      </c>
      <c r="G1667" s="364">
        <v>94046</v>
      </c>
      <c r="H1667" s="475" t="s">
        <v>1417</v>
      </c>
      <c r="I1667" s="475" t="s">
        <v>322</v>
      </c>
      <c r="J1667" s="475" t="s">
        <v>337</v>
      </c>
      <c r="K1667" s="365">
        <v>17.72</v>
      </c>
      <c r="L1667" s="475" t="s">
        <v>141</v>
      </c>
      <c r="M1667" s="473"/>
    </row>
    <row r="1668" spans="1:13" ht="13.5">
      <c r="A1668" s="475" t="s">
        <v>5348</v>
      </c>
      <c r="B1668" s="475" t="s">
        <v>5349</v>
      </c>
      <c r="C1668" s="475" t="s">
        <v>5350</v>
      </c>
      <c r="D1668" s="475" t="s">
        <v>5351</v>
      </c>
      <c r="E1668" s="476" t="s">
        <v>34</v>
      </c>
      <c r="F1668" s="475" t="s">
        <v>34</v>
      </c>
      <c r="G1668" s="364">
        <v>94047</v>
      </c>
      <c r="H1668" s="475" t="s">
        <v>1418</v>
      </c>
      <c r="I1668" s="475" t="s">
        <v>322</v>
      </c>
      <c r="J1668" s="475" t="s">
        <v>337</v>
      </c>
      <c r="K1668" s="365">
        <v>8.9</v>
      </c>
      <c r="L1668" s="475" t="s">
        <v>141</v>
      </c>
      <c r="M1668" s="473"/>
    </row>
    <row r="1669" spans="1:13" ht="13.5">
      <c r="A1669" s="475" t="s">
        <v>5348</v>
      </c>
      <c r="B1669" s="475" t="s">
        <v>5349</v>
      </c>
      <c r="C1669" s="475" t="s">
        <v>5350</v>
      </c>
      <c r="D1669" s="475" t="s">
        <v>5351</v>
      </c>
      <c r="E1669" s="476" t="s">
        <v>34</v>
      </c>
      <c r="F1669" s="475" t="s">
        <v>34</v>
      </c>
      <c r="G1669" s="364">
        <v>94048</v>
      </c>
      <c r="H1669" s="475" t="s">
        <v>1419</v>
      </c>
      <c r="I1669" s="475" t="s">
        <v>322</v>
      </c>
      <c r="J1669" s="475" t="s">
        <v>337</v>
      </c>
      <c r="K1669" s="365">
        <v>14.9</v>
      </c>
      <c r="L1669" s="475" t="s">
        <v>141</v>
      </c>
      <c r="M1669" s="473"/>
    </row>
    <row r="1670" spans="1:13" ht="13.5">
      <c r="A1670" s="475" t="s">
        <v>5348</v>
      </c>
      <c r="B1670" s="475" t="s">
        <v>5349</v>
      </c>
      <c r="C1670" s="475" t="s">
        <v>5350</v>
      </c>
      <c r="D1670" s="475" t="s">
        <v>5351</v>
      </c>
      <c r="E1670" s="476" t="s">
        <v>34</v>
      </c>
      <c r="F1670" s="475" t="s">
        <v>34</v>
      </c>
      <c r="G1670" s="364">
        <v>94049</v>
      </c>
      <c r="H1670" s="475" t="s">
        <v>1420</v>
      </c>
      <c r="I1670" s="475" t="s">
        <v>322</v>
      </c>
      <c r="J1670" s="475" t="s">
        <v>337</v>
      </c>
      <c r="K1670" s="365">
        <v>27.88</v>
      </c>
      <c r="L1670" s="475" t="s">
        <v>141</v>
      </c>
      <c r="M1670" s="473"/>
    </row>
    <row r="1671" spans="1:13" ht="13.5">
      <c r="A1671" s="475" t="s">
        <v>5348</v>
      </c>
      <c r="B1671" s="475" t="s">
        <v>5349</v>
      </c>
      <c r="C1671" s="475" t="s">
        <v>5350</v>
      </c>
      <c r="D1671" s="475" t="s">
        <v>5351</v>
      </c>
      <c r="E1671" s="476" t="s">
        <v>34</v>
      </c>
      <c r="F1671" s="475" t="s">
        <v>34</v>
      </c>
      <c r="G1671" s="364">
        <v>94050</v>
      </c>
      <c r="H1671" s="475" t="s">
        <v>1421</v>
      </c>
      <c r="I1671" s="475" t="s">
        <v>322</v>
      </c>
      <c r="J1671" s="475" t="s">
        <v>337</v>
      </c>
      <c r="K1671" s="365">
        <v>35.54</v>
      </c>
      <c r="L1671" s="475" t="s">
        <v>141</v>
      </c>
      <c r="M1671" s="473"/>
    </row>
    <row r="1672" spans="1:13" ht="13.5">
      <c r="A1672" s="475" t="s">
        <v>5348</v>
      </c>
      <c r="B1672" s="475" t="s">
        <v>5349</v>
      </c>
      <c r="C1672" s="475" t="s">
        <v>5350</v>
      </c>
      <c r="D1672" s="475" t="s">
        <v>5351</v>
      </c>
      <c r="E1672" s="476" t="s">
        <v>34</v>
      </c>
      <c r="F1672" s="475" t="s">
        <v>34</v>
      </c>
      <c r="G1672" s="364">
        <v>94051</v>
      </c>
      <c r="H1672" s="475" t="s">
        <v>1422</v>
      </c>
      <c r="I1672" s="475" t="s">
        <v>322</v>
      </c>
      <c r="J1672" s="475" t="s">
        <v>337</v>
      </c>
      <c r="K1672" s="365">
        <v>23.1</v>
      </c>
      <c r="L1672" s="475" t="s">
        <v>141</v>
      </c>
      <c r="M1672" s="473"/>
    </row>
    <row r="1673" spans="1:13" ht="13.5">
      <c r="A1673" s="475" t="s">
        <v>5348</v>
      </c>
      <c r="B1673" s="475" t="s">
        <v>5349</v>
      </c>
      <c r="C1673" s="475" t="s">
        <v>5350</v>
      </c>
      <c r="D1673" s="475" t="s">
        <v>5351</v>
      </c>
      <c r="E1673" s="476" t="s">
        <v>34</v>
      </c>
      <c r="F1673" s="475" t="s">
        <v>34</v>
      </c>
      <c r="G1673" s="364">
        <v>94052</v>
      </c>
      <c r="H1673" s="475" t="s">
        <v>1423</v>
      </c>
      <c r="I1673" s="475" t="s">
        <v>322</v>
      </c>
      <c r="J1673" s="475" t="s">
        <v>337</v>
      </c>
      <c r="K1673" s="365">
        <v>30.64</v>
      </c>
      <c r="L1673" s="475" t="s">
        <v>141</v>
      </c>
      <c r="M1673" s="473"/>
    </row>
    <row r="1674" spans="1:13" ht="13.5">
      <c r="A1674" s="475" t="s">
        <v>5348</v>
      </c>
      <c r="B1674" s="475" t="s">
        <v>5349</v>
      </c>
      <c r="C1674" s="475" t="s">
        <v>5350</v>
      </c>
      <c r="D1674" s="475" t="s">
        <v>5351</v>
      </c>
      <c r="E1674" s="476" t="s">
        <v>34</v>
      </c>
      <c r="F1674" s="475" t="s">
        <v>34</v>
      </c>
      <c r="G1674" s="364">
        <v>94053</v>
      </c>
      <c r="H1674" s="475" t="s">
        <v>1424</v>
      </c>
      <c r="I1674" s="475" t="s">
        <v>322</v>
      </c>
      <c r="J1674" s="475" t="s">
        <v>337</v>
      </c>
      <c r="K1674" s="365">
        <v>20.32</v>
      </c>
      <c r="L1674" s="475" t="s">
        <v>141</v>
      </c>
      <c r="M1674" s="473"/>
    </row>
    <row r="1675" spans="1:13" ht="13.5">
      <c r="A1675" s="475" t="s">
        <v>5348</v>
      </c>
      <c r="B1675" s="475" t="s">
        <v>5349</v>
      </c>
      <c r="C1675" s="475" t="s">
        <v>5350</v>
      </c>
      <c r="D1675" s="475" t="s">
        <v>5351</v>
      </c>
      <c r="E1675" s="476" t="s">
        <v>34</v>
      </c>
      <c r="F1675" s="475" t="s">
        <v>34</v>
      </c>
      <c r="G1675" s="364">
        <v>94054</v>
      </c>
      <c r="H1675" s="475" t="s">
        <v>1425</v>
      </c>
      <c r="I1675" s="475" t="s">
        <v>322</v>
      </c>
      <c r="J1675" s="475" t="s">
        <v>337</v>
      </c>
      <c r="K1675" s="365">
        <v>27.98</v>
      </c>
      <c r="L1675" s="475" t="s">
        <v>141</v>
      </c>
      <c r="M1675" s="473"/>
    </row>
    <row r="1676" spans="1:13" ht="13.5">
      <c r="A1676" s="475" t="s">
        <v>5348</v>
      </c>
      <c r="B1676" s="475" t="s">
        <v>5349</v>
      </c>
      <c r="C1676" s="475" t="s">
        <v>5350</v>
      </c>
      <c r="D1676" s="475" t="s">
        <v>5351</v>
      </c>
      <c r="E1676" s="476" t="s">
        <v>34</v>
      </c>
      <c r="F1676" s="475" t="s">
        <v>34</v>
      </c>
      <c r="G1676" s="364">
        <v>94055</v>
      </c>
      <c r="H1676" s="475" t="s">
        <v>1426</v>
      </c>
      <c r="I1676" s="475" t="s">
        <v>322</v>
      </c>
      <c r="J1676" s="475" t="s">
        <v>337</v>
      </c>
      <c r="K1676" s="365">
        <v>26.68</v>
      </c>
      <c r="L1676" s="475" t="s">
        <v>141</v>
      </c>
      <c r="M1676" s="473"/>
    </row>
    <row r="1677" spans="1:13" ht="13.5">
      <c r="A1677" s="475" t="s">
        <v>5348</v>
      </c>
      <c r="B1677" s="475" t="s">
        <v>5349</v>
      </c>
      <c r="C1677" s="475" t="s">
        <v>5350</v>
      </c>
      <c r="D1677" s="475" t="s">
        <v>5351</v>
      </c>
      <c r="E1677" s="476" t="s">
        <v>34</v>
      </c>
      <c r="F1677" s="475" t="s">
        <v>34</v>
      </c>
      <c r="G1677" s="364">
        <v>94056</v>
      </c>
      <c r="H1677" s="475" t="s">
        <v>1427</v>
      </c>
      <c r="I1677" s="475" t="s">
        <v>322</v>
      </c>
      <c r="J1677" s="475" t="s">
        <v>337</v>
      </c>
      <c r="K1677" s="365">
        <v>34.36</v>
      </c>
      <c r="L1677" s="475" t="s">
        <v>141</v>
      </c>
      <c r="M1677" s="473"/>
    </row>
    <row r="1678" spans="1:13" ht="13.5">
      <c r="A1678" s="475" t="s">
        <v>5348</v>
      </c>
      <c r="B1678" s="475" t="s">
        <v>5349</v>
      </c>
      <c r="C1678" s="475" t="s">
        <v>5350</v>
      </c>
      <c r="D1678" s="475" t="s">
        <v>5351</v>
      </c>
      <c r="E1678" s="476" t="s">
        <v>34</v>
      </c>
      <c r="F1678" s="475" t="s">
        <v>34</v>
      </c>
      <c r="G1678" s="364">
        <v>94057</v>
      </c>
      <c r="H1678" s="475" t="s">
        <v>1428</v>
      </c>
      <c r="I1678" s="475" t="s">
        <v>322</v>
      </c>
      <c r="J1678" s="475" t="s">
        <v>337</v>
      </c>
      <c r="K1678" s="365">
        <v>21.91</v>
      </c>
      <c r="L1678" s="475" t="s">
        <v>141</v>
      </c>
      <c r="M1678" s="473"/>
    </row>
    <row r="1679" spans="1:13" ht="13.5">
      <c r="A1679" s="475" t="s">
        <v>5348</v>
      </c>
      <c r="B1679" s="475" t="s">
        <v>5349</v>
      </c>
      <c r="C1679" s="475" t="s">
        <v>5350</v>
      </c>
      <c r="D1679" s="475" t="s">
        <v>5351</v>
      </c>
      <c r="E1679" s="476" t="s">
        <v>34</v>
      </c>
      <c r="F1679" s="475" t="s">
        <v>34</v>
      </c>
      <c r="G1679" s="364">
        <v>94058</v>
      </c>
      <c r="H1679" s="475" t="s">
        <v>1429</v>
      </c>
      <c r="I1679" s="475" t="s">
        <v>322</v>
      </c>
      <c r="J1679" s="475" t="s">
        <v>337</v>
      </c>
      <c r="K1679" s="365">
        <v>29.44</v>
      </c>
      <c r="L1679" s="475" t="s">
        <v>141</v>
      </c>
      <c r="M1679" s="473"/>
    </row>
    <row r="1680" spans="1:13" ht="13.5">
      <c r="A1680" s="475" t="s">
        <v>5348</v>
      </c>
      <c r="B1680" s="475" t="s">
        <v>5349</v>
      </c>
      <c r="C1680" s="475" t="s">
        <v>5350</v>
      </c>
      <c r="D1680" s="475" t="s">
        <v>5351</v>
      </c>
      <c r="E1680" s="476" t="s">
        <v>34</v>
      </c>
      <c r="F1680" s="475" t="s">
        <v>34</v>
      </c>
      <c r="G1680" s="364">
        <v>94059</v>
      </c>
      <c r="H1680" s="475" t="s">
        <v>1430</v>
      </c>
      <c r="I1680" s="475" t="s">
        <v>322</v>
      </c>
      <c r="J1680" s="475" t="s">
        <v>337</v>
      </c>
      <c r="K1680" s="365">
        <v>19.13</v>
      </c>
      <c r="L1680" s="475" t="s">
        <v>141</v>
      </c>
      <c r="M1680" s="473"/>
    </row>
    <row r="1681" spans="1:13" ht="13.5">
      <c r="A1681" s="475" t="s">
        <v>5348</v>
      </c>
      <c r="B1681" s="475" t="s">
        <v>5349</v>
      </c>
      <c r="C1681" s="475" t="s">
        <v>5350</v>
      </c>
      <c r="D1681" s="475" t="s">
        <v>5351</v>
      </c>
      <c r="E1681" s="476" t="s">
        <v>34</v>
      </c>
      <c r="F1681" s="475" t="s">
        <v>34</v>
      </c>
      <c r="G1681" s="364">
        <v>94060</v>
      </c>
      <c r="H1681" s="475" t="s">
        <v>1431</v>
      </c>
      <c r="I1681" s="475" t="s">
        <v>322</v>
      </c>
      <c r="J1681" s="475" t="s">
        <v>337</v>
      </c>
      <c r="K1681" s="365">
        <v>26.78</v>
      </c>
      <c r="L1681" s="475" t="s">
        <v>141</v>
      </c>
      <c r="M1681" s="473"/>
    </row>
    <row r="1682" spans="1:13" ht="13.5">
      <c r="A1682" s="475" t="s">
        <v>5348</v>
      </c>
      <c r="B1682" s="475" t="s">
        <v>5349</v>
      </c>
      <c r="C1682" s="475" t="s">
        <v>5352</v>
      </c>
      <c r="D1682" s="475" t="s">
        <v>5353</v>
      </c>
      <c r="E1682" s="476" t="s">
        <v>34</v>
      </c>
      <c r="F1682" s="475" t="s">
        <v>34</v>
      </c>
      <c r="G1682" s="364">
        <v>83770</v>
      </c>
      <c r="H1682" s="475" t="s">
        <v>1432</v>
      </c>
      <c r="I1682" s="475" t="s">
        <v>322</v>
      </c>
      <c r="J1682" s="475" t="s">
        <v>140</v>
      </c>
      <c r="K1682" s="365">
        <v>138.76</v>
      </c>
      <c r="L1682" s="475" t="s">
        <v>141</v>
      </c>
      <c r="M1682" s="473"/>
    </row>
    <row r="1683" spans="1:13" ht="13.5">
      <c r="A1683" s="475" t="s">
        <v>5348</v>
      </c>
      <c r="B1683" s="475" t="s">
        <v>5349</v>
      </c>
      <c r="C1683" s="475" t="s">
        <v>5354</v>
      </c>
      <c r="D1683" s="475" t="s">
        <v>5355</v>
      </c>
      <c r="E1683" s="476" t="s">
        <v>34</v>
      </c>
      <c r="F1683" s="475" t="s">
        <v>34</v>
      </c>
      <c r="G1683" s="364">
        <v>73301</v>
      </c>
      <c r="H1683" s="475" t="s">
        <v>1433</v>
      </c>
      <c r="I1683" s="475" t="s">
        <v>1261</v>
      </c>
      <c r="J1683" s="475" t="s">
        <v>337</v>
      </c>
      <c r="K1683" s="365">
        <v>8.5399999999999991</v>
      </c>
      <c r="L1683" s="475" t="s">
        <v>141</v>
      </c>
      <c r="M1683" s="473"/>
    </row>
    <row r="1684" spans="1:13" ht="13.5">
      <c r="A1684" s="475" t="s">
        <v>5348</v>
      </c>
      <c r="B1684" s="475" t="s">
        <v>5349</v>
      </c>
      <c r="C1684" s="475" t="s">
        <v>5354</v>
      </c>
      <c r="D1684" s="475" t="s">
        <v>5355</v>
      </c>
      <c r="E1684" s="476" t="s">
        <v>34</v>
      </c>
      <c r="F1684" s="475" t="s">
        <v>34</v>
      </c>
      <c r="G1684" s="364">
        <v>83515</v>
      </c>
      <c r="H1684" s="475" t="s">
        <v>1434</v>
      </c>
      <c r="I1684" s="475" t="s">
        <v>1261</v>
      </c>
      <c r="J1684" s="475" t="s">
        <v>337</v>
      </c>
      <c r="K1684" s="365">
        <v>16.36</v>
      </c>
      <c r="L1684" s="475" t="s">
        <v>141</v>
      </c>
      <c r="M1684" s="473"/>
    </row>
    <row r="1685" spans="1:13" ht="13.5">
      <c r="A1685" s="475" t="s">
        <v>5348</v>
      </c>
      <c r="B1685" s="475" t="s">
        <v>5349</v>
      </c>
      <c r="C1685" s="475" t="s">
        <v>5354</v>
      </c>
      <c r="D1685" s="475" t="s">
        <v>5355</v>
      </c>
      <c r="E1685" s="476" t="s">
        <v>34</v>
      </c>
      <c r="F1685" s="475" t="s">
        <v>34</v>
      </c>
      <c r="G1685" s="364">
        <v>83516</v>
      </c>
      <c r="H1685" s="475" t="s">
        <v>1435</v>
      </c>
      <c r="I1685" s="475" t="s">
        <v>1261</v>
      </c>
      <c r="J1685" s="475" t="s">
        <v>337</v>
      </c>
      <c r="K1685" s="365">
        <v>18.88</v>
      </c>
      <c r="L1685" s="475" t="s">
        <v>141</v>
      </c>
      <c r="M1685" s="473"/>
    </row>
    <row r="1686" spans="1:13" ht="13.5">
      <c r="A1686" s="475" t="s">
        <v>5356</v>
      </c>
      <c r="B1686" s="475" t="s">
        <v>5357</v>
      </c>
      <c r="C1686" s="475" t="s">
        <v>5358</v>
      </c>
      <c r="D1686" s="475" t="s">
        <v>5359</v>
      </c>
      <c r="E1686" s="476" t="s">
        <v>34</v>
      </c>
      <c r="F1686" s="475" t="s">
        <v>34</v>
      </c>
      <c r="G1686" s="364">
        <v>72144</v>
      </c>
      <c r="H1686" s="475" t="s">
        <v>1436</v>
      </c>
      <c r="I1686" s="475" t="s">
        <v>171</v>
      </c>
      <c r="J1686" s="475" t="s">
        <v>337</v>
      </c>
      <c r="K1686" s="365">
        <v>73.739999999999995</v>
      </c>
      <c r="L1686" s="475" t="s">
        <v>141</v>
      </c>
      <c r="M1686" s="473"/>
    </row>
    <row r="1687" spans="1:13" ht="13.5">
      <c r="A1687" s="475" t="s">
        <v>5356</v>
      </c>
      <c r="B1687" s="475" t="s">
        <v>5357</v>
      </c>
      <c r="C1687" s="475" t="s">
        <v>5358</v>
      </c>
      <c r="D1687" s="475" t="s">
        <v>5359</v>
      </c>
      <c r="E1687" s="476">
        <v>73910</v>
      </c>
      <c r="F1687" s="475" t="s">
        <v>5360</v>
      </c>
      <c r="G1687" s="364" t="s">
        <v>1437</v>
      </c>
      <c r="H1687" s="475" t="s">
        <v>1438</v>
      </c>
      <c r="I1687" s="475" t="s">
        <v>171</v>
      </c>
      <c r="J1687" s="475" t="s">
        <v>337</v>
      </c>
      <c r="K1687" s="365">
        <v>695.3</v>
      </c>
      <c r="L1687" s="475" t="s">
        <v>141</v>
      </c>
      <c r="M1687" s="473"/>
    </row>
    <row r="1688" spans="1:13" ht="13.5">
      <c r="A1688" s="475" t="s">
        <v>5356</v>
      </c>
      <c r="B1688" s="475" t="s">
        <v>5357</v>
      </c>
      <c r="C1688" s="475" t="s">
        <v>5358</v>
      </c>
      <c r="D1688" s="475" t="s">
        <v>5359</v>
      </c>
      <c r="E1688" s="476" t="s">
        <v>34</v>
      </c>
      <c r="F1688" s="475" t="s">
        <v>34</v>
      </c>
      <c r="G1688" s="364">
        <v>84876</v>
      </c>
      <c r="H1688" s="475" t="s">
        <v>1439</v>
      </c>
      <c r="I1688" s="475" t="s">
        <v>322</v>
      </c>
      <c r="J1688" s="475" t="s">
        <v>140</v>
      </c>
      <c r="K1688" s="365">
        <v>689.71</v>
      </c>
      <c r="L1688" s="475" t="s">
        <v>141</v>
      </c>
      <c r="M1688" s="473"/>
    </row>
    <row r="1689" spans="1:13" ht="13.5">
      <c r="A1689" s="475" t="s">
        <v>5356</v>
      </c>
      <c r="B1689" s="475" t="s">
        <v>5357</v>
      </c>
      <c r="C1689" s="475" t="s">
        <v>5358</v>
      </c>
      <c r="D1689" s="475" t="s">
        <v>5359</v>
      </c>
      <c r="E1689" s="476" t="s">
        <v>34</v>
      </c>
      <c r="F1689" s="475" t="s">
        <v>34</v>
      </c>
      <c r="G1689" s="364">
        <v>90788</v>
      </c>
      <c r="H1689" s="475" t="s">
        <v>15131</v>
      </c>
      <c r="I1689" s="475" t="s">
        <v>171</v>
      </c>
      <c r="J1689" s="475" t="s">
        <v>337</v>
      </c>
      <c r="K1689" s="365">
        <v>385.23</v>
      </c>
      <c r="L1689" s="475" t="s">
        <v>141</v>
      </c>
      <c r="M1689" s="473"/>
    </row>
    <row r="1690" spans="1:13" ht="13.5">
      <c r="A1690" s="475" t="s">
        <v>5356</v>
      </c>
      <c r="B1690" s="475" t="s">
        <v>5357</v>
      </c>
      <c r="C1690" s="475" t="s">
        <v>5358</v>
      </c>
      <c r="D1690" s="475" t="s">
        <v>5359</v>
      </c>
      <c r="E1690" s="476" t="s">
        <v>34</v>
      </c>
      <c r="F1690" s="475" t="s">
        <v>34</v>
      </c>
      <c r="G1690" s="364">
        <v>90789</v>
      </c>
      <c r="H1690" s="475" t="s">
        <v>15132</v>
      </c>
      <c r="I1690" s="475" t="s">
        <v>171</v>
      </c>
      <c r="J1690" s="475" t="s">
        <v>337</v>
      </c>
      <c r="K1690" s="365">
        <v>398.12</v>
      </c>
      <c r="L1690" s="475" t="s">
        <v>141</v>
      </c>
      <c r="M1690" s="473"/>
    </row>
    <row r="1691" spans="1:13" ht="13.5">
      <c r="A1691" s="475" t="s">
        <v>5356</v>
      </c>
      <c r="B1691" s="475" t="s">
        <v>5357</v>
      </c>
      <c r="C1691" s="475" t="s">
        <v>5358</v>
      </c>
      <c r="D1691" s="475" t="s">
        <v>5359</v>
      </c>
      <c r="E1691" s="476" t="s">
        <v>34</v>
      </c>
      <c r="F1691" s="475" t="s">
        <v>34</v>
      </c>
      <c r="G1691" s="364">
        <v>90790</v>
      </c>
      <c r="H1691" s="475" t="s">
        <v>15133</v>
      </c>
      <c r="I1691" s="475" t="s">
        <v>171</v>
      </c>
      <c r="J1691" s="475" t="s">
        <v>337</v>
      </c>
      <c r="K1691" s="365">
        <v>401.68</v>
      </c>
      <c r="L1691" s="475" t="s">
        <v>141</v>
      </c>
      <c r="M1691" s="473"/>
    </row>
    <row r="1692" spans="1:13" ht="13.5">
      <c r="A1692" s="475" t="s">
        <v>5356</v>
      </c>
      <c r="B1692" s="475" t="s">
        <v>5357</v>
      </c>
      <c r="C1692" s="475" t="s">
        <v>5358</v>
      </c>
      <c r="D1692" s="475" t="s">
        <v>5359</v>
      </c>
      <c r="E1692" s="476" t="s">
        <v>34</v>
      </c>
      <c r="F1692" s="475" t="s">
        <v>34</v>
      </c>
      <c r="G1692" s="364">
        <v>90791</v>
      </c>
      <c r="H1692" s="475" t="s">
        <v>15134</v>
      </c>
      <c r="I1692" s="475" t="s">
        <v>171</v>
      </c>
      <c r="J1692" s="475" t="s">
        <v>337</v>
      </c>
      <c r="K1692" s="365">
        <v>430.06</v>
      </c>
      <c r="L1692" s="475" t="s">
        <v>141</v>
      </c>
      <c r="M1692" s="473"/>
    </row>
    <row r="1693" spans="1:13" ht="13.5">
      <c r="A1693" s="475" t="s">
        <v>5356</v>
      </c>
      <c r="B1693" s="475" t="s">
        <v>5357</v>
      </c>
      <c r="C1693" s="475" t="s">
        <v>5358</v>
      </c>
      <c r="D1693" s="475" t="s">
        <v>5359</v>
      </c>
      <c r="E1693" s="476" t="s">
        <v>34</v>
      </c>
      <c r="F1693" s="475" t="s">
        <v>34</v>
      </c>
      <c r="G1693" s="364">
        <v>90792</v>
      </c>
      <c r="H1693" s="475" t="s">
        <v>15135</v>
      </c>
      <c r="I1693" s="475" t="s">
        <v>171</v>
      </c>
      <c r="J1693" s="475" t="s">
        <v>337</v>
      </c>
      <c r="K1693" s="365">
        <v>450.42</v>
      </c>
      <c r="L1693" s="475" t="s">
        <v>141</v>
      </c>
      <c r="M1693" s="473"/>
    </row>
    <row r="1694" spans="1:13" ht="13.5">
      <c r="A1694" s="475" t="s">
        <v>5356</v>
      </c>
      <c r="B1694" s="475" t="s">
        <v>5357</v>
      </c>
      <c r="C1694" s="475" t="s">
        <v>5358</v>
      </c>
      <c r="D1694" s="475" t="s">
        <v>5359</v>
      </c>
      <c r="E1694" s="476" t="s">
        <v>34</v>
      </c>
      <c r="F1694" s="475" t="s">
        <v>34</v>
      </c>
      <c r="G1694" s="364">
        <v>90793</v>
      </c>
      <c r="H1694" s="475" t="s">
        <v>15136</v>
      </c>
      <c r="I1694" s="475" t="s">
        <v>171</v>
      </c>
      <c r="J1694" s="475" t="s">
        <v>337</v>
      </c>
      <c r="K1694" s="365">
        <v>463.3</v>
      </c>
      <c r="L1694" s="475" t="s">
        <v>141</v>
      </c>
      <c r="M1694" s="473"/>
    </row>
    <row r="1695" spans="1:13" ht="13.5">
      <c r="A1695" s="475" t="s">
        <v>5356</v>
      </c>
      <c r="B1695" s="475" t="s">
        <v>5357</v>
      </c>
      <c r="C1695" s="475" t="s">
        <v>5358</v>
      </c>
      <c r="D1695" s="475" t="s">
        <v>5359</v>
      </c>
      <c r="E1695" s="476" t="s">
        <v>34</v>
      </c>
      <c r="F1695" s="475" t="s">
        <v>34</v>
      </c>
      <c r="G1695" s="364">
        <v>90800</v>
      </c>
      <c r="H1695" s="475" t="s">
        <v>1440</v>
      </c>
      <c r="I1695" s="475" t="s">
        <v>171</v>
      </c>
      <c r="J1695" s="475" t="s">
        <v>337</v>
      </c>
      <c r="K1695" s="365">
        <v>243.18</v>
      </c>
      <c r="L1695" s="475" t="s">
        <v>141</v>
      </c>
      <c r="M1695" s="473"/>
    </row>
    <row r="1696" spans="1:13" ht="13.5">
      <c r="A1696" s="475" t="s">
        <v>5356</v>
      </c>
      <c r="B1696" s="475" t="s">
        <v>5357</v>
      </c>
      <c r="C1696" s="475" t="s">
        <v>5358</v>
      </c>
      <c r="D1696" s="475" t="s">
        <v>5359</v>
      </c>
      <c r="E1696" s="476" t="s">
        <v>34</v>
      </c>
      <c r="F1696" s="475" t="s">
        <v>34</v>
      </c>
      <c r="G1696" s="364">
        <v>90801</v>
      </c>
      <c r="H1696" s="475" t="s">
        <v>1441</v>
      </c>
      <c r="I1696" s="475" t="s">
        <v>171</v>
      </c>
      <c r="J1696" s="475" t="s">
        <v>337</v>
      </c>
      <c r="K1696" s="365">
        <v>249.85</v>
      </c>
      <c r="L1696" s="475" t="s">
        <v>141</v>
      </c>
      <c r="M1696" s="473"/>
    </row>
    <row r="1697" spans="1:13" ht="13.5">
      <c r="A1697" s="475" t="s">
        <v>5356</v>
      </c>
      <c r="B1697" s="475" t="s">
        <v>5357</v>
      </c>
      <c r="C1697" s="475" t="s">
        <v>5358</v>
      </c>
      <c r="D1697" s="475" t="s">
        <v>5359</v>
      </c>
      <c r="E1697" s="476" t="s">
        <v>34</v>
      </c>
      <c r="F1697" s="475" t="s">
        <v>34</v>
      </c>
      <c r="G1697" s="364">
        <v>90802</v>
      </c>
      <c r="H1697" s="475" t="s">
        <v>1442</v>
      </c>
      <c r="I1697" s="475" t="s">
        <v>171</v>
      </c>
      <c r="J1697" s="475" t="s">
        <v>337</v>
      </c>
      <c r="K1697" s="365">
        <v>256.54000000000002</v>
      </c>
      <c r="L1697" s="475" t="s">
        <v>141</v>
      </c>
      <c r="M1697" s="473"/>
    </row>
    <row r="1698" spans="1:13" ht="13.5">
      <c r="A1698" s="475" t="s">
        <v>5356</v>
      </c>
      <c r="B1698" s="475" t="s">
        <v>5357</v>
      </c>
      <c r="C1698" s="475" t="s">
        <v>5358</v>
      </c>
      <c r="D1698" s="475" t="s">
        <v>5359</v>
      </c>
      <c r="E1698" s="476" t="s">
        <v>34</v>
      </c>
      <c r="F1698" s="475" t="s">
        <v>34</v>
      </c>
      <c r="G1698" s="364">
        <v>90803</v>
      </c>
      <c r="H1698" s="475" t="s">
        <v>1443</v>
      </c>
      <c r="I1698" s="475" t="s">
        <v>171</v>
      </c>
      <c r="J1698" s="475" t="s">
        <v>337</v>
      </c>
      <c r="K1698" s="365">
        <v>263.20999999999998</v>
      </c>
      <c r="L1698" s="475" t="s">
        <v>141</v>
      </c>
      <c r="M1698" s="473"/>
    </row>
    <row r="1699" spans="1:13" ht="13.5">
      <c r="A1699" s="475" t="s">
        <v>5356</v>
      </c>
      <c r="B1699" s="475" t="s">
        <v>5357</v>
      </c>
      <c r="C1699" s="475" t="s">
        <v>5358</v>
      </c>
      <c r="D1699" s="475" t="s">
        <v>5359</v>
      </c>
      <c r="E1699" s="476" t="s">
        <v>34</v>
      </c>
      <c r="F1699" s="475" t="s">
        <v>34</v>
      </c>
      <c r="G1699" s="364">
        <v>90804</v>
      </c>
      <c r="H1699" s="475" t="s">
        <v>1444</v>
      </c>
      <c r="I1699" s="475" t="s">
        <v>171</v>
      </c>
      <c r="J1699" s="475" t="s">
        <v>337</v>
      </c>
      <c r="K1699" s="365">
        <v>301.37</v>
      </c>
      <c r="L1699" s="475" t="s">
        <v>141</v>
      </c>
      <c r="M1699" s="473"/>
    </row>
    <row r="1700" spans="1:13" ht="13.5">
      <c r="A1700" s="475" t="s">
        <v>5356</v>
      </c>
      <c r="B1700" s="475" t="s">
        <v>5357</v>
      </c>
      <c r="C1700" s="475" t="s">
        <v>5358</v>
      </c>
      <c r="D1700" s="475" t="s">
        <v>5359</v>
      </c>
      <c r="E1700" s="476" t="s">
        <v>34</v>
      </c>
      <c r="F1700" s="475" t="s">
        <v>34</v>
      </c>
      <c r="G1700" s="364">
        <v>90805</v>
      </c>
      <c r="H1700" s="475" t="s">
        <v>1445</v>
      </c>
      <c r="I1700" s="475" t="s">
        <v>171</v>
      </c>
      <c r="J1700" s="475" t="s">
        <v>337</v>
      </c>
      <c r="K1700" s="365">
        <v>58.19</v>
      </c>
      <c r="L1700" s="475" t="s">
        <v>141</v>
      </c>
      <c r="M1700" s="473"/>
    </row>
    <row r="1701" spans="1:13" ht="13.5">
      <c r="A1701" s="475" t="s">
        <v>5356</v>
      </c>
      <c r="B1701" s="475" t="s">
        <v>5357</v>
      </c>
      <c r="C1701" s="475" t="s">
        <v>5358</v>
      </c>
      <c r="D1701" s="475" t="s">
        <v>5359</v>
      </c>
      <c r="E1701" s="476" t="s">
        <v>34</v>
      </c>
      <c r="F1701" s="475" t="s">
        <v>34</v>
      </c>
      <c r="G1701" s="364">
        <v>90806</v>
      </c>
      <c r="H1701" s="475" t="s">
        <v>1446</v>
      </c>
      <c r="I1701" s="475" t="s">
        <v>171</v>
      </c>
      <c r="J1701" s="475" t="s">
        <v>337</v>
      </c>
      <c r="K1701" s="365">
        <v>312.91000000000003</v>
      </c>
      <c r="L1701" s="475" t="s">
        <v>141</v>
      </c>
      <c r="M1701" s="473"/>
    </row>
    <row r="1702" spans="1:13" ht="13.5">
      <c r="A1702" s="475" t="s">
        <v>5356</v>
      </c>
      <c r="B1702" s="475" t="s">
        <v>5357</v>
      </c>
      <c r="C1702" s="475" t="s">
        <v>5358</v>
      </c>
      <c r="D1702" s="475" t="s">
        <v>5359</v>
      </c>
      <c r="E1702" s="476" t="s">
        <v>34</v>
      </c>
      <c r="F1702" s="475" t="s">
        <v>34</v>
      </c>
      <c r="G1702" s="364">
        <v>90807</v>
      </c>
      <c r="H1702" s="475" t="s">
        <v>1447</v>
      </c>
      <c r="I1702" s="475" t="s">
        <v>171</v>
      </c>
      <c r="J1702" s="475" t="s">
        <v>337</v>
      </c>
      <c r="K1702" s="365">
        <v>63.06</v>
      </c>
      <c r="L1702" s="475" t="s">
        <v>141</v>
      </c>
      <c r="M1702" s="473"/>
    </row>
    <row r="1703" spans="1:13" ht="13.5">
      <c r="A1703" s="475" t="s">
        <v>5356</v>
      </c>
      <c r="B1703" s="475" t="s">
        <v>5357</v>
      </c>
      <c r="C1703" s="475" t="s">
        <v>5358</v>
      </c>
      <c r="D1703" s="475" t="s">
        <v>5359</v>
      </c>
      <c r="E1703" s="476" t="s">
        <v>34</v>
      </c>
      <c r="F1703" s="475" t="s">
        <v>34</v>
      </c>
      <c r="G1703" s="364">
        <v>90816</v>
      </c>
      <c r="H1703" s="475" t="s">
        <v>1448</v>
      </c>
      <c r="I1703" s="475" t="s">
        <v>171</v>
      </c>
      <c r="J1703" s="475" t="s">
        <v>337</v>
      </c>
      <c r="K1703" s="365">
        <v>324.47000000000003</v>
      </c>
      <c r="L1703" s="475" t="s">
        <v>141</v>
      </c>
      <c r="M1703" s="473"/>
    </row>
    <row r="1704" spans="1:13" ht="13.5">
      <c r="A1704" s="475" t="s">
        <v>5356</v>
      </c>
      <c r="B1704" s="475" t="s">
        <v>5357</v>
      </c>
      <c r="C1704" s="475" t="s">
        <v>5358</v>
      </c>
      <c r="D1704" s="475" t="s">
        <v>5359</v>
      </c>
      <c r="E1704" s="476" t="s">
        <v>34</v>
      </c>
      <c r="F1704" s="475" t="s">
        <v>34</v>
      </c>
      <c r="G1704" s="364">
        <v>90817</v>
      </c>
      <c r="H1704" s="475" t="s">
        <v>1449</v>
      </c>
      <c r="I1704" s="475" t="s">
        <v>171</v>
      </c>
      <c r="J1704" s="475" t="s">
        <v>337</v>
      </c>
      <c r="K1704" s="365">
        <v>67.930000000000007</v>
      </c>
      <c r="L1704" s="475" t="s">
        <v>141</v>
      </c>
      <c r="M1704" s="473"/>
    </row>
    <row r="1705" spans="1:13" ht="13.5">
      <c r="A1705" s="475" t="s">
        <v>5356</v>
      </c>
      <c r="B1705" s="475" t="s">
        <v>5357</v>
      </c>
      <c r="C1705" s="475" t="s">
        <v>5358</v>
      </c>
      <c r="D1705" s="475" t="s">
        <v>5359</v>
      </c>
      <c r="E1705" s="476" t="s">
        <v>34</v>
      </c>
      <c r="F1705" s="475" t="s">
        <v>34</v>
      </c>
      <c r="G1705" s="364">
        <v>90818</v>
      </c>
      <c r="H1705" s="475" t="s">
        <v>1450</v>
      </c>
      <c r="I1705" s="475" t="s">
        <v>171</v>
      </c>
      <c r="J1705" s="475" t="s">
        <v>337</v>
      </c>
      <c r="K1705" s="365">
        <v>336.03</v>
      </c>
      <c r="L1705" s="475" t="s">
        <v>141</v>
      </c>
      <c r="M1705" s="473"/>
    </row>
    <row r="1706" spans="1:13" ht="13.5">
      <c r="A1706" s="475" t="s">
        <v>5356</v>
      </c>
      <c r="B1706" s="475" t="s">
        <v>5357</v>
      </c>
      <c r="C1706" s="475" t="s">
        <v>5358</v>
      </c>
      <c r="D1706" s="475" t="s">
        <v>5359</v>
      </c>
      <c r="E1706" s="476" t="s">
        <v>34</v>
      </c>
      <c r="F1706" s="475" t="s">
        <v>34</v>
      </c>
      <c r="G1706" s="364">
        <v>90819</v>
      </c>
      <c r="H1706" s="475" t="s">
        <v>1451</v>
      </c>
      <c r="I1706" s="475" t="s">
        <v>171</v>
      </c>
      <c r="J1706" s="475" t="s">
        <v>337</v>
      </c>
      <c r="K1706" s="365">
        <v>72.819999999999993</v>
      </c>
      <c r="L1706" s="475" t="s">
        <v>141</v>
      </c>
      <c r="M1706" s="473"/>
    </row>
    <row r="1707" spans="1:13" ht="13.5">
      <c r="A1707" s="475" t="s">
        <v>5356</v>
      </c>
      <c r="B1707" s="475" t="s">
        <v>5357</v>
      </c>
      <c r="C1707" s="475" t="s">
        <v>5358</v>
      </c>
      <c r="D1707" s="475" t="s">
        <v>5359</v>
      </c>
      <c r="E1707" s="476" t="s">
        <v>34</v>
      </c>
      <c r="F1707" s="475" t="s">
        <v>34</v>
      </c>
      <c r="G1707" s="364">
        <v>90820</v>
      </c>
      <c r="H1707" s="475" t="s">
        <v>1452</v>
      </c>
      <c r="I1707" s="475" t="s">
        <v>171</v>
      </c>
      <c r="J1707" s="475" t="s">
        <v>337</v>
      </c>
      <c r="K1707" s="365">
        <v>260.75</v>
      </c>
      <c r="L1707" s="475" t="s">
        <v>141</v>
      </c>
      <c r="M1707" s="473"/>
    </row>
    <row r="1708" spans="1:13" ht="13.5">
      <c r="A1708" s="475" t="s">
        <v>5356</v>
      </c>
      <c r="B1708" s="475" t="s">
        <v>5357</v>
      </c>
      <c r="C1708" s="475" t="s">
        <v>5358</v>
      </c>
      <c r="D1708" s="475" t="s">
        <v>5359</v>
      </c>
      <c r="E1708" s="476" t="s">
        <v>34</v>
      </c>
      <c r="F1708" s="475" t="s">
        <v>34</v>
      </c>
      <c r="G1708" s="364">
        <v>90821</v>
      </c>
      <c r="H1708" s="475" t="s">
        <v>1453</v>
      </c>
      <c r="I1708" s="475" t="s">
        <v>171</v>
      </c>
      <c r="J1708" s="475" t="s">
        <v>337</v>
      </c>
      <c r="K1708" s="365">
        <v>283.98</v>
      </c>
      <c r="L1708" s="475" t="s">
        <v>141</v>
      </c>
      <c r="M1708" s="473"/>
    </row>
    <row r="1709" spans="1:13" ht="13.5">
      <c r="A1709" s="475" t="s">
        <v>5356</v>
      </c>
      <c r="B1709" s="475" t="s">
        <v>5357</v>
      </c>
      <c r="C1709" s="475" t="s">
        <v>5358</v>
      </c>
      <c r="D1709" s="475" t="s">
        <v>5359</v>
      </c>
      <c r="E1709" s="476" t="s">
        <v>34</v>
      </c>
      <c r="F1709" s="475" t="s">
        <v>34</v>
      </c>
      <c r="G1709" s="364">
        <v>90822</v>
      </c>
      <c r="H1709" s="475" t="s">
        <v>1454</v>
      </c>
      <c r="I1709" s="475" t="s">
        <v>171</v>
      </c>
      <c r="J1709" s="475" t="s">
        <v>337</v>
      </c>
      <c r="K1709" s="365">
        <v>280.92</v>
      </c>
      <c r="L1709" s="475" t="s">
        <v>141</v>
      </c>
      <c r="M1709" s="473"/>
    </row>
    <row r="1710" spans="1:13" ht="13.5">
      <c r="A1710" s="475" t="s">
        <v>5356</v>
      </c>
      <c r="B1710" s="475" t="s">
        <v>5357</v>
      </c>
      <c r="C1710" s="475" t="s">
        <v>5358</v>
      </c>
      <c r="D1710" s="475" t="s">
        <v>5359</v>
      </c>
      <c r="E1710" s="476" t="s">
        <v>34</v>
      </c>
      <c r="F1710" s="475" t="s">
        <v>34</v>
      </c>
      <c r="G1710" s="364">
        <v>90823</v>
      </c>
      <c r="H1710" s="475" t="s">
        <v>1455</v>
      </c>
      <c r="I1710" s="475" t="s">
        <v>171</v>
      </c>
      <c r="J1710" s="475" t="s">
        <v>337</v>
      </c>
      <c r="K1710" s="365">
        <v>295.69</v>
      </c>
      <c r="L1710" s="475" t="s">
        <v>141</v>
      </c>
      <c r="M1710" s="473"/>
    </row>
    <row r="1711" spans="1:13" ht="13.5">
      <c r="A1711" s="475" t="s">
        <v>5356</v>
      </c>
      <c r="B1711" s="475" t="s">
        <v>5357</v>
      </c>
      <c r="C1711" s="475" t="s">
        <v>5358</v>
      </c>
      <c r="D1711" s="475" t="s">
        <v>5359</v>
      </c>
      <c r="E1711" s="476" t="s">
        <v>34</v>
      </c>
      <c r="F1711" s="475" t="s">
        <v>34</v>
      </c>
      <c r="G1711" s="364">
        <v>90826</v>
      </c>
      <c r="H1711" s="475" t="s">
        <v>1456</v>
      </c>
      <c r="I1711" s="475" t="s">
        <v>171</v>
      </c>
      <c r="J1711" s="475" t="s">
        <v>337</v>
      </c>
      <c r="K1711" s="365">
        <v>38.25</v>
      </c>
      <c r="L1711" s="475" t="s">
        <v>141</v>
      </c>
      <c r="M1711" s="473"/>
    </row>
    <row r="1712" spans="1:13" ht="13.5">
      <c r="A1712" s="475" t="s">
        <v>5356</v>
      </c>
      <c r="B1712" s="475" t="s">
        <v>5357</v>
      </c>
      <c r="C1712" s="475" t="s">
        <v>5358</v>
      </c>
      <c r="D1712" s="475" t="s">
        <v>5359</v>
      </c>
      <c r="E1712" s="476" t="s">
        <v>34</v>
      </c>
      <c r="F1712" s="475" t="s">
        <v>34</v>
      </c>
      <c r="G1712" s="364">
        <v>90827</v>
      </c>
      <c r="H1712" s="475" t="s">
        <v>1457</v>
      </c>
      <c r="I1712" s="475" t="s">
        <v>171</v>
      </c>
      <c r="J1712" s="475" t="s">
        <v>337</v>
      </c>
      <c r="K1712" s="365">
        <v>39.79</v>
      </c>
      <c r="L1712" s="475" t="s">
        <v>141</v>
      </c>
      <c r="M1712" s="473"/>
    </row>
    <row r="1713" spans="1:13" ht="13.5">
      <c r="A1713" s="475" t="s">
        <v>5356</v>
      </c>
      <c r="B1713" s="475" t="s">
        <v>5357</v>
      </c>
      <c r="C1713" s="475" t="s">
        <v>5358</v>
      </c>
      <c r="D1713" s="475" t="s">
        <v>5359</v>
      </c>
      <c r="E1713" s="476" t="s">
        <v>34</v>
      </c>
      <c r="F1713" s="475" t="s">
        <v>34</v>
      </c>
      <c r="G1713" s="364">
        <v>90828</v>
      </c>
      <c r="H1713" s="475" t="s">
        <v>1458</v>
      </c>
      <c r="I1713" s="475" t="s">
        <v>171</v>
      </c>
      <c r="J1713" s="475" t="s">
        <v>337</v>
      </c>
      <c r="K1713" s="365">
        <v>41.32</v>
      </c>
      <c r="L1713" s="475" t="s">
        <v>141</v>
      </c>
      <c r="M1713" s="473"/>
    </row>
    <row r="1714" spans="1:13" ht="13.5">
      <c r="A1714" s="475" t="s">
        <v>5356</v>
      </c>
      <c r="B1714" s="475" t="s">
        <v>5357</v>
      </c>
      <c r="C1714" s="475" t="s">
        <v>5358</v>
      </c>
      <c r="D1714" s="475" t="s">
        <v>5359</v>
      </c>
      <c r="E1714" s="476" t="s">
        <v>34</v>
      </c>
      <c r="F1714" s="475" t="s">
        <v>34</v>
      </c>
      <c r="G1714" s="364">
        <v>90829</v>
      </c>
      <c r="H1714" s="475" t="s">
        <v>1459</v>
      </c>
      <c r="I1714" s="475" t="s">
        <v>171</v>
      </c>
      <c r="J1714" s="475" t="s">
        <v>337</v>
      </c>
      <c r="K1714" s="365">
        <v>42.89</v>
      </c>
      <c r="L1714" s="475" t="s">
        <v>141</v>
      </c>
      <c r="M1714" s="473"/>
    </row>
    <row r="1715" spans="1:13" ht="13.5">
      <c r="A1715" s="475" t="s">
        <v>5356</v>
      </c>
      <c r="B1715" s="475" t="s">
        <v>5357</v>
      </c>
      <c r="C1715" s="475" t="s">
        <v>5358</v>
      </c>
      <c r="D1715" s="475" t="s">
        <v>5359</v>
      </c>
      <c r="E1715" s="476" t="s">
        <v>34</v>
      </c>
      <c r="F1715" s="475" t="s">
        <v>34</v>
      </c>
      <c r="G1715" s="364">
        <v>90830</v>
      </c>
      <c r="H1715" s="475" t="s">
        <v>1460</v>
      </c>
      <c r="I1715" s="475" t="s">
        <v>171</v>
      </c>
      <c r="J1715" s="475" t="s">
        <v>337</v>
      </c>
      <c r="K1715" s="365">
        <v>96.39</v>
      </c>
      <c r="L1715" s="475" t="s">
        <v>141</v>
      </c>
      <c r="M1715" s="473"/>
    </row>
    <row r="1716" spans="1:13" ht="13.5">
      <c r="A1716" s="475" t="s">
        <v>5356</v>
      </c>
      <c r="B1716" s="475" t="s">
        <v>5357</v>
      </c>
      <c r="C1716" s="475" t="s">
        <v>5358</v>
      </c>
      <c r="D1716" s="475" t="s">
        <v>5359</v>
      </c>
      <c r="E1716" s="476" t="s">
        <v>34</v>
      </c>
      <c r="F1716" s="475" t="s">
        <v>34</v>
      </c>
      <c r="G1716" s="364">
        <v>90831</v>
      </c>
      <c r="H1716" s="475" t="s">
        <v>1461</v>
      </c>
      <c r="I1716" s="475" t="s">
        <v>171</v>
      </c>
      <c r="J1716" s="475" t="s">
        <v>337</v>
      </c>
      <c r="K1716" s="365">
        <v>75.569999999999993</v>
      </c>
      <c r="L1716" s="475" t="s">
        <v>141</v>
      </c>
      <c r="M1716" s="473"/>
    </row>
    <row r="1717" spans="1:13" ht="13.5">
      <c r="A1717" s="475" t="s">
        <v>5356</v>
      </c>
      <c r="B1717" s="475" t="s">
        <v>5357</v>
      </c>
      <c r="C1717" s="475" t="s">
        <v>5358</v>
      </c>
      <c r="D1717" s="475" t="s">
        <v>5359</v>
      </c>
      <c r="E1717" s="476" t="s">
        <v>34</v>
      </c>
      <c r="F1717" s="475" t="s">
        <v>34</v>
      </c>
      <c r="G1717" s="364">
        <v>90841</v>
      </c>
      <c r="H1717" s="475" t="s">
        <v>1462</v>
      </c>
      <c r="I1717" s="475" t="s">
        <v>171</v>
      </c>
      <c r="J1717" s="475" t="s">
        <v>337</v>
      </c>
      <c r="K1717" s="365">
        <v>714.19</v>
      </c>
      <c r="L1717" s="475" t="s">
        <v>141</v>
      </c>
      <c r="M1717" s="473"/>
    </row>
    <row r="1718" spans="1:13" ht="13.5">
      <c r="A1718" s="475" t="s">
        <v>5356</v>
      </c>
      <c r="B1718" s="475" t="s">
        <v>5357</v>
      </c>
      <c r="C1718" s="475" t="s">
        <v>5358</v>
      </c>
      <c r="D1718" s="475" t="s">
        <v>5359</v>
      </c>
      <c r="E1718" s="476" t="s">
        <v>34</v>
      </c>
      <c r="F1718" s="475" t="s">
        <v>34</v>
      </c>
      <c r="G1718" s="364">
        <v>90842</v>
      </c>
      <c r="H1718" s="475" t="s">
        <v>1463</v>
      </c>
      <c r="I1718" s="475" t="s">
        <v>171</v>
      </c>
      <c r="J1718" s="475" t="s">
        <v>337</v>
      </c>
      <c r="K1718" s="365">
        <v>758.83</v>
      </c>
      <c r="L1718" s="475" t="s">
        <v>141</v>
      </c>
      <c r="M1718" s="473"/>
    </row>
    <row r="1719" spans="1:13" ht="13.5">
      <c r="A1719" s="475" t="s">
        <v>5356</v>
      </c>
      <c r="B1719" s="475" t="s">
        <v>5357</v>
      </c>
      <c r="C1719" s="475" t="s">
        <v>5358</v>
      </c>
      <c r="D1719" s="475" t="s">
        <v>5359</v>
      </c>
      <c r="E1719" s="476" t="s">
        <v>34</v>
      </c>
      <c r="F1719" s="475" t="s">
        <v>34</v>
      </c>
      <c r="G1719" s="364">
        <v>90843</v>
      </c>
      <c r="H1719" s="475" t="s">
        <v>1464</v>
      </c>
      <c r="I1719" s="475" t="s">
        <v>171</v>
      </c>
      <c r="J1719" s="475" t="s">
        <v>337</v>
      </c>
      <c r="K1719" s="365">
        <v>784.42</v>
      </c>
      <c r="L1719" s="475" t="s">
        <v>141</v>
      </c>
      <c r="M1719" s="473"/>
    </row>
    <row r="1720" spans="1:13" ht="13.5">
      <c r="A1720" s="475" t="s">
        <v>5356</v>
      </c>
      <c r="B1720" s="475" t="s">
        <v>5357</v>
      </c>
      <c r="C1720" s="475" t="s">
        <v>5358</v>
      </c>
      <c r="D1720" s="475" t="s">
        <v>5359</v>
      </c>
      <c r="E1720" s="476" t="s">
        <v>34</v>
      </c>
      <c r="F1720" s="475" t="s">
        <v>34</v>
      </c>
      <c r="G1720" s="364">
        <v>90844</v>
      </c>
      <c r="H1720" s="475" t="s">
        <v>1465</v>
      </c>
      <c r="I1720" s="475" t="s">
        <v>171</v>
      </c>
      <c r="J1720" s="475" t="s">
        <v>337</v>
      </c>
      <c r="K1720" s="365">
        <v>813.89</v>
      </c>
      <c r="L1720" s="475" t="s">
        <v>141</v>
      </c>
      <c r="M1720" s="473"/>
    </row>
    <row r="1721" spans="1:13" ht="13.5">
      <c r="A1721" s="475" t="s">
        <v>5356</v>
      </c>
      <c r="B1721" s="475" t="s">
        <v>5357</v>
      </c>
      <c r="C1721" s="475" t="s">
        <v>5358</v>
      </c>
      <c r="D1721" s="475" t="s">
        <v>5359</v>
      </c>
      <c r="E1721" s="476" t="s">
        <v>34</v>
      </c>
      <c r="F1721" s="475" t="s">
        <v>34</v>
      </c>
      <c r="G1721" s="364">
        <v>90847</v>
      </c>
      <c r="H1721" s="475" t="s">
        <v>1466</v>
      </c>
      <c r="I1721" s="475" t="s">
        <v>171</v>
      </c>
      <c r="J1721" s="475" t="s">
        <v>337</v>
      </c>
      <c r="K1721" s="365">
        <v>638.62</v>
      </c>
      <c r="L1721" s="475" t="s">
        <v>141</v>
      </c>
      <c r="M1721" s="473"/>
    </row>
    <row r="1722" spans="1:13" ht="13.5">
      <c r="A1722" s="475" t="s">
        <v>5356</v>
      </c>
      <c r="B1722" s="475" t="s">
        <v>5357</v>
      </c>
      <c r="C1722" s="475" t="s">
        <v>5358</v>
      </c>
      <c r="D1722" s="475" t="s">
        <v>5359</v>
      </c>
      <c r="E1722" s="476" t="s">
        <v>34</v>
      </c>
      <c r="F1722" s="475" t="s">
        <v>34</v>
      </c>
      <c r="G1722" s="364">
        <v>90848</v>
      </c>
      <c r="H1722" s="475" t="s">
        <v>1467</v>
      </c>
      <c r="I1722" s="475" t="s">
        <v>171</v>
      </c>
      <c r="J1722" s="475" t="s">
        <v>337</v>
      </c>
      <c r="K1722" s="365">
        <v>676.47</v>
      </c>
      <c r="L1722" s="475" t="s">
        <v>141</v>
      </c>
      <c r="M1722" s="473"/>
    </row>
    <row r="1723" spans="1:13" ht="13.5">
      <c r="A1723" s="475" t="s">
        <v>5356</v>
      </c>
      <c r="B1723" s="475" t="s">
        <v>5357</v>
      </c>
      <c r="C1723" s="475" t="s">
        <v>5358</v>
      </c>
      <c r="D1723" s="475" t="s">
        <v>5359</v>
      </c>
      <c r="E1723" s="476" t="s">
        <v>34</v>
      </c>
      <c r="F1723" s="475" t="s">
        <v>34</v>
      </c>
      <c r="G1723" s="364">
        <v>90849</v>
      </c>
      <c r="H1723" s="475" t="s">
        <v>1468</v>
      </c>
      <c r="I1723" s="475" t="s">
        <v>171</v>
      </c>
      <c r="J1723" s="475" t="s">
        <v>337</v>
      </c>
      <c r="K1723" s="365">
        <v>688.03</v>
      </c>
      <c r="L1723" s="475" t="s">
        <v>141</v>
      </c>
      <c r="M1723" s="473"/>
    </row>
    <row r="1724" spans="1:13" ht="13.5">
      <c r="A1724" s="475" t="s">
        <v>5356</v>
      </c>
      <c r="B1724" s="475" t="s">
        <v>5357</v>
      </c>
      <c r="C1724" s="475" t="s">
        <v>5358</v>
      </c>
      <c r="D1724" s="475" t="s">
        <v>5359</v>
      </c>
      <c r="E1724" s="476" t="s">
        <v>34</v>
      </c>
      <c r="F1724" s="475" t="s">
        <v>34</v>
      </c>
      <c r="G1724" s="364">
        <v>90850</v>
      </c>
      <c r="H1724" s="475" t="s">
        <v>1469</v>
      </c>
      <c r="I1724" s="475" t="s">
        <v>171</v>
      </c>
      <c r="J1724" s="475" t="s">
        <v>337</v>
      </c>
      <c r="K1724" s="365">
        <v>717.5</v>
      </c>
      <c r="L1724" s="475" t="s">
        <v>141</v>
      </c>
      <c r="M1724" s="473"/>
    </row>
    <row r="1725" spans="1:13" ht="13.5">
      <c r="A1725" s="475" t="s">
        <v>5356</v>
      </c>
      <c r="B1725" s="475" t="s">
        <v>5357</v>
      </c>
      <c r="C1725" s="475" t="s">
        <v>5358</v>
      </c>
      <c r="D1725" s="475" t="s">
        <v>5359</v>
      </c>
      <c r="E1725" s="476" t="s">
        <v>34</v>
      </c>
      <c r="F1725" s="475" t="s">
        <v>34</v>
      </c>
      <c r="G1725" s="364">
        <v>91009</v>
      </c>
      <c r="H1725" s="475" t="s">
        <v>1470</v>
      </c>
      <c r="I1725" s="475" t="s">
        <v>171</v>
      </c>
      <c r="J1725" s="475" t="s">
        <v>337</v>
      </c>
      <c r="K1725" s="365">
        <v>266.93</v>
      </c>
      <c r="L1725" s="475" t="s">
        <v>141</v>
      </c>
      <c r="M1725" s="473"/>
    </row>
    <row r="1726" spans="1:13" ht="13.5">
      <c r="A1726" s="475" t="s">
        <v>5356</v>
      </c>
      <c r="B1726" s="475" t="s">
        <v>5357</v>
      </c>
      <c r="C1726" s="475" t="s">
        <v>5358</v>
      </c>
      <c r="D1726" s="475" t="s">
        <v>5359</v>
      </c>
      <c r="E1726" s="476" t="s">
        <v>34</v>
      </c>
      <c r="F1726" s="475" t="s">
        <v>34</v>
      </c>
      <c r="G1726" s="364">
        <v>91010</v>
      </c>
      <c r="H1726" s="475" t="s">
        <v>1471</v>
      </c>
      <c r="I1726" s="475" t="s">
        <v>171</v>
      </c>
      <c r="J1726" s="475" t="s">
        <v>337</v>
      </c>
      <c r="K1726" s="365">
        <v>216.23</v>
      </c>
      <c r="L1726" s="475" t="s">
        <v>141</v>
      </c>
      <c r="M1726" s="473"/>
    </row>
    <row r="1727" spans="1:13" ht="13.5">
      <c r="A1727" s="475" t="s">
        <v>5356</v>
      </c>
      <c r="B1727" s="475" t="s">
        <v>5357</v>
      </c>
      <c r="C1727" s="475" t="s">
        <v>5358</v>
      </c>
      <c r="D1727" s="475" t="s">
        <v>5359</v>
      </c>
      <c r="E1727" s="476" t="s">
        <v>34</v>
      </c>
      <c r="F1727" s="475" t="s">
        <v>34</v>
      </c>
      <c r="G1727" s="364">
        <v>91011</v>
      </c>
      <c r="H1727" s="475" t="s">
        <v>1472</v>
      </c>
      <c r="I1727" s="475" t="s">
        <v>171</v>
      </c>
      <c r="J1727" s="475" t="s">
        <v>337</v>
      </c>
      <c r="K1727" s="365">
        <v>304.07</v>
      </c>
      <c r="L1727" s="475" t="s">
        <v>141</v>
      </c>
      <c r="M1727" s="473"/>
    </row>
    <row r="1728" spans="1:13" ht="13.5">
      <c r="A1728" s="475" t="s">
        <v>5356</v>
      </c>
      <c r="B1728" s="475" t="s">
        <v>5357</v>
      </c>
      <c r="C1728" s="475" t="s">
        <v>5358</v>
      </c>
      <c r="D1728" s="475" t="s">
        <v>5359</v>
      </c>
      <c r="E1728" s="476" t="s">
        <v>34</v>
      </c>
      <c r="F1728" s="475" t="s">
        <v>34</v>
      </c>
      <c r="G1728" s="364">
        <v>91012</v>
      </c>
      <c r="H1728" s="475" t="s">
        <v>1473</v>
      </c>
      <c r="I1728" s="475" t="s">
        <v>171</v>
      </c>
      <c r="J1728" s="475" t="s">
        <v>337</v>
      </c>
      <c r="K1728" s="365">
        <v>290.93</v>
      </c>
      <c r="L1728" s="475" t="s">
        <v>141</v>
      </c>
      <c r="M1728" s="473"/>
    </row>
    <row r="1729" spans="1:13" ht="13.5">
      <c r="A1729" s="475" t="s">
        <v>5356</v>
      </c>
      <c r="B1729" s="475" t="s">
        <v>5357</v>
      </c>
      <c r="C1729" s="475" t="s">
        <v>5358</v>
      </c>
      <c r="D1729" s="475" t="s">
        <v>5359</v>
      </c>
      <c r="E1729" s="476" t="s">
        <v>34</v>
      </c>
      <c r="F1729" s="475" t="s">
        <v>34</v>
      </c>
      <c r="G1729" s="364">
        <v>91013</v>
      </c>
      <c r="H1729" s="475" t="s">
        <v>1474</v>
      </c>
      <c r="I1729" s="475" t="s">
        <v>171</v>
      </c>
      <c r="J1729" s="475" t="s">
        <v>337</v>
      </c>
      <c r="K1729" s="365">
        <v>644.79999999999995</v>
      </c>
      <c r="L1729" s="475" t="s">
        <v>141</v>
      </c>
      <c r="M1729" s="473"/>
    </row>
    <row r="1730" spans="1:13" ht="13.5">
      <c r="A1730" s="475" t="s">
        <v>5356</v>
      </c>
      <c r="B1730" s="475" t="s">
        <v>5357</v>
      </c>
      <c r="C1730" s="475" t="s">
        <v>5358</v>
      </c>
      <c r="D1730" s="475" t="s">
        <v>5359</v>
      </c>
      <c r="E1730" s="476" t="s">
        <v>34</v>
      </c>
      <c r="F1730" s="475" t="s">
        <v>34</v>
      </c>
      <c r="G1730" s="364">
        <v>91014</v>
      </c>
      <c r="H1730" s="475" t="s">
        <v>1475</v>
      </c>
      <c r="I1730" s="475" t="s">
        <v>171</v>
      </c>
      <c r="J1730" s="475" t="s">
        <v>337</v>
      </c>
      <c r="K1730" s="365">
        <v>608.72</v>
      </c>
      <c r="L1730" s="475" t="s">
        <v>141</v>
      </c>
      <c r="M1730" s="473"/>
    </row>
    <row r="1731" spans="1:13" ht="13.5">
      <c r="A1731" s="475" t="s">
        <v>5356</v>
      </c>
      <c r="B1731" s="475" t="s">
        <v>5357</v>
      </c>
      <c r="C1731" s="475" t="s">
        <v>5358</v>
      </c>
      <c r="D1731" s="475" t="s">
        <v>5359</v>
      </c>
      <c r="E1731" s="476" t="s">
        <v>34</v>
      </c>
      <c r="F1731" s="475" t="s">
        <v>34</v>
      </c>
      <c r="G1731" s="364">
        <v>91015</v>
      </c>
      <c r="H1731" s="475" t="s">
        <v>1476</v>
      </c>
      <c r="I1731" s="475" t="s">
        <v>171</v>
      </c>
      <c r="J1731" s="475" t="s">
        <v>337</v>
      </c>
      <c r="K1731" s="365">
        <v>711.18</v>
      </c>
      <c r="L1731" s="475" t="s">
        <v>141</v>
      </c>
      <c r="M1731" s="473"/>
    </row>
    <row r="1732" spans="1:13" ht="13.5">
      <c r="A1732" s="475" t="s">
        <v>5356</v>
      </c>
      <c r="B1732" s="475" t="s">
        <v>5357</v>
      </c>
      <c r="C1732" s="475" t="s">
        <v>5358</v>
      </c>
      <c r="D1732" s="475" t="s">
        <v>5359</v>
      </c>
      <c r="E1732" s="476" t="s">
        <v>34</v>
      </c>
      <c r="F1732" s="475" t="s">
        <v>34</v>
      </c>
      <c r="G1732" s="364">
        <v>91016</v>
      </c>
      <c r="H1732" s="475" t="s">
        <v>1477</v>
      </c>
      <c r="I1732" s="475" t="s">
        <v>171</v>
      </c>
      <c r="J1732" s="475" t="s">
        <v>337</v>
      </c>
      <c r="K1732" s="365">
        <v>712.74</v>
      </c>
      <c r="L1732" s="475" t="s">
        <v>141</v>
      </c>
      <c r="M1732" s="473"/>
    </row>
    <row r="1733" spans="1:13" ht="13.5">
      <c r="A1733" s="475" t="s">
        <v>5356</v>
      </c>
      <c r="B1733" s="475" t="s">
        <v>5357</v>
      </c>
      <c r="C1733" s="475" t="s">
        <v>5358</v>
      </c>
      <c r="D1733" s="475" t="s">
        <v>5359</v>
      </c>
      <c r="E1733" s="476" t="s">
        <v>34</v>
      </c>
      <c r="F1733" s="475" t="s">
        <v>34</v>
      </c>
      <c r="G1733" s="364">
        <v>91286</v>
      </c>
      <c r="H1733" s="475" t="s">
        <v>1478</v>
      </c>
      <c r="I1733" s="475" t="s">
        <v>171</v>
      </c>
      <c r="J1733" s="475" t="s">
        <v>337</v>
      </c>
      <c r="K1733" s="365">
        <v>182.82</v>
      </c>
      <c r="L1733" s="475" t="s">
        <v>141</v>
      </c>
      <c r="M1733" s="473"/>
    </row>
    <row r="1734" spans="1:13" ht="13.5">
      <c r="A1734" s="475" t="s">
        <v>5356</v>
      </c>
      <c r="B1734" s="475" t="s">
        <v>5357</v>
      </c>
      <c r="C1734" s="475" t="s">
        <v>5358</v>
      </c>
      <c r="D1734" s="475" t="s">
        <v>5359</v>
      </c>
      <c r="E1734" s="476" t="s">
        <v>34</v>
      </c>
      <c r="F1734" s="475" t="s">
        <v>34</v>
      </c>
      <c r="G1734" s="364">
        <v>91287</v>
      </c>
      <c r="H1734" s="475" t="s">
        <v>1479</v>
      </c>
      <c r="I1734" s="475" t="s">
        <v>171</v>
      </c>
      <c r="J1734" s="475" t="s">
        <v>337</v>
      </c>
      <c r="K1734" s="365">
        <v>189.49</v>
      </c>
      <c r="L1734" s="475" t="s">
        <v>141</v>
      </c>
      <c r="M1734" s="473"/>
    </row>
    <row r="1735" spans="1:13" ht="13.5">
      <c r="A1735" s="475" t="s">
        <v>5356</v>
      </c>
      <c r="B1735" s="475" t="s">
        <v>5357</v>
      </c>
      <c r="C1735" s="475" t="s">
        <v>5358</v>
      </c>
      <c r="D1735" s="475" t="s">
        <v>5359</v>
      </c>
      <c r="E1735" s="476" t="s">
        <v>34</v>
      </c>
      <c r="F1735" s="475" t="s">
        <v>34</v>
      </c>
      <c r="G1735" s="364">
        <v>91288</v>
      </c>
      <c r="H1735" s="475" t="s">
        <v>1480</v>
      </c>
      <c r="I1735" s="475" t="s">
        <v>171</v>
      </c>
      <c r="J1735" s="475" t="s">
        <v>337</v>
      </c>
      <c r="K1735" s="365">
        <v>196.18</v>
      </c>
      <c r="L1735" s="475" t="s">
        <v>141</v>
      </c>
      <c r="M1735" s="473"/>
    </row>
    <row r="1736" spans="1:13" ht="13.5">
      <c r="A1736" s="475" t="s">
        <v>5356</v>
      </c>
      <c r="B1736" s="475" t="s">
        <v>5357</v>
      </c>
      <c r="C1736" s="475" t="s">
        <v>5358</v>
      </c>
      <c r="D1736" s="475" t="s">
        <v>5359</v>
      </c>
      <c r="E1736" s="476" t="s">
        <v>34</v>
      </c>
      <c r="F1736" s="475" t="s">
        <v>34</v>
      </c>
      <c r="G1736" s="364">
        <v>91290</v>
      </c>
      <c r="H1736" s="475" t="s">
        <v>1481</v>
      </c>
      <c r="I1736" s="475" t="s">
        <v>171</v>
      </c>
      <c r="J1736" s="475" t="s">
        <v>337</v>
      </c>
      <c r="K1736" s="365">
        <v>202.85</v>
      </c>
      <c r="L1736" s="475" t="s">
        <v>141</v>
      </c>
      <c r="M1736" s="473"/>
    </row>
    <row r="1737" spans="1:13" ht="13.5">
      <c r="A1737" s="475" t="s">
        <v>5356</v>
      </c>
      <c r="B1737" s="475" t="s">
        <v>5357</v>
      </c>
      <c r="C1737" s="475" t="s">
        <v>5358</v>
      </c>
      <c r="D1737" s="475" t="s">
        <v>5359</v>
      </c>
      <c r="E1737" s="476" t="s">
        <v>34</v>
      </c>
      <c r="F1737" s="475" t="s">
        <v>34</v>
      </c>
      <c r="G1737" s="364">
        <v>91291</v>
      </c>
      <c r="H1737" s="475" t="s">
        <v>1482</v>
      </c>
      <c r="I1737" s="475" t="s">
        <v>171</v>
      </c>
      <c r="J1737" s="475" t="s">
        <v>337</v>
      </c>
      <c r="K1737" s="365">
        <v>241.01</v>
      </c>
      <c r="L1737" s="475" t="s">
        <v>141</v>
      </c>
      <c r="M1737" s="473"/>
    </row>
    <row r="1738" spans="1:13" ht="13.5">
      <c r="A1738" s="475" t="s">
        <v>5356</v>
      </c>
      <c r="B1738" s="475" t="s">
        <v>5357</v>
      </c>
      <c r="C1738" s="475" t="s">
        <v>5358</v>
      </c>
      <c r="D1738" s="475" t="s">
        <v>5359</v>
      </c>
      <c r="E1738" s="476" t="s">
        <v>34</v>
      </c>
      <c r="F1738" s="475" t="s">
        <v>34</v>
      </c>
      <c r="G1738" s="364">
        <v>91292</v>
      </c>
      <c r="H1738" s="475" t="s">
        <v>1483</v>
      </c>
      <c r="I1738" s="475" t="s">
        <v>171</v>
      </c>
      <c r="J1738" s="475" t="s">
        <v>337</v>
      </c>
      <c r="K1738" s="365">
        <v>252.55</v>
      </c>
      <c r="L1738" s="475" t="s">
        <v>141</v>
      </c>
      <c r="M1738" s="473"/>
    </row>
    <row r="1739" spans="1:13" ht="13.5">
      <c r="A1739" s="475" t="s">
        <v>5356</v>
      </c>
      <c r="B1739" s="475" t="s">
        <v>5357</v>
      </c>
      <c r="C1739" s="475" t="s">
        <v>5358</v>
      </c>
      <c r="D1739" s="475" t="s">
        <v>5359</v>
      </c>
      <c r="E1739" s="476" t="s">
        <v>34</v>
      </c>
      <c r="F1739" s="475" t="s">
        <v>34</v>
      </c>
      <c r="G1739" s="364">
        <v>91293</v>
      </c>
      <c r="H1739" s="475" t="s">
        <v>1484</v>
      </c>
      <c r="I1739" s="475" t="s">
        <v>171</v>
      </c>
      <c r="J1739" s="475" t="s">
        <v>337</v>
      </c>
      <c r="K1739" s="365">
        <v>264.11</v>
      </c>
      <c r="L1739" s="475" t="s">
        <v>141</v>
      </c>
      <c r="M1739" s="473"/>
    </row>
    <row r="1740" spans="1:13" ht="13.5">
      <c r="A1740" s="475" t="s">
        <v>5356</v>
      </c>
      <c r="B1740" s="475" t="s">
        <v>5357</v>
      </c>
      <c r="C1740" s="475" t="s">
        <v>5358</v>
      </c>
      <c r="D1740" s="475" t="s">
        <v>5359</v>
      </c>
      <c r="E1740" s="476" t="s">
        <v>34</v>
      </c>
      <c r="F1740" s="475" t="s">
        <v>34</v>
      </c>
      <c r="G1740" s="364">
        <v>91294</v>
      </c>
      <c r="H1740" s="475" t="s">
        <v>1485</v>
      </c>
      <c r="I1740" s="475" t="s">
        <v>171</v>
      </c>
      <c r="J1740" s="475" t="s">
        <v>337</v>
      </c>
      <c r="K1740" s="365">
        <v>275.67</v>
      </c>
      <c r="L1740" s="475" t="s">
        <v>141</v>
      </c>
      <c r="M1740" s="473"/>
    </row>
    <row r="1741" spans="1:13" ht="13.5">
      <c r="A1741" s="475" t="s">
        <v>5356</v>
      </c>
      <c r="B1741" s="475" t="s">
        <v>5357</v>
      </c>
      <c r="C1741" s="475" t="s">
        <v>5358</v>
      </c>
      <c r="D1741" s="475" t="s">
        <v>5359</v>
      </c>
      <c r="E1741" s="476" t="s">
        <v>34</v>
      </c>
      <c r="F1741" s="475" t="s">
        <v>34</v>
      </c>
      <c r="G1741" s="364">
        <v>91295</v>
      </c>
      <c r="H1741" s="475" t="s">
        <v>1486</v>
      </c>
      <c r="I1741" s="475" t="s">
        <v>171</v>
      </c>
      <c r="J1741" s="475" t="s">
        <v>337</v>
      </c>
      <c r="K1741" s="365">
        <v>250.32</v>
      </c>
      <c r="L1741" s="475" t="s">
        <v>141</v>
      </c>
      <c r="M1741" s="473"/>
    </row>
    <row r="1742" spans="1:13" ht="13.5">
      <c r="A1742" s="475" t="s">
        <v>5356</v>
      </c>
      <c r="B1742" s="475" t="s">
        <v>5357</v>
      </c>
      <c r="C1742" s="475" t="s">
        <v>5358</v>
      </c>
      <c r="D1742" s="475" t="s">
        <v>5359</v>
      </c>
      <c r="E1742" s="476" t="s">
        <v>34</v>
      </c>
      <c r="F1742" s="475" t="s">
        <v>34</v>
      </c>
      <c r="G1742" s="364">
        <v>91296</v>
      </c>
      <c r="H1742" s="475" t="s">
        <v>1487</v>
      </c>
      <c r="I1742" s="475" t="s">
        <v>171</v>
      </c>
      <c r="J1742" s="475" t="s">
        <v>337</v>
      </c>
      <c r="K1742" s="365">
        <v>265.92</v>
      </c>
      <c r="L1742" s="475" t="s">
        <v>141</v>
      </c>
      <c r="M1742" s="473"/>
    </row>
    <row r="1743" spans="1:13" ht="13.5">
      <c r="A1743" s="475" t="s">
        <v>5356</v>
      </c>
      <c r="B1743" s="475" t="s">
        <v>5357</v>
      </c>
      <c r="C1743" s="475" t="s">
        <v>5358</v>
      </c>
      <c r="D1743" s="475" t="s">
        <v>5359</v>
      </c>
      <c r="E1743" s="476" t="s">
        <v>34</v>
      </c>
      <c r="F1743" s="475" t="s">
        <v>34</v>
      </c>
      <c r="G1743" s="364">
        <v>91297</v>
      </c>
      <c r="H1743" s="475" t="s">
        <v>1488</v>
      </c>
      <c r="I1743" s="475" t="s">
        <v>171</v>
      </c>
      <c r="J1743" s="475" t="s">
        <v>337</v>
      </c>
      <c r="K1743" s="365">
        <v>305.77</v>
      </c>
      <c r="L1743" s="475" t="s">
        <v>141</v>
      </c>
      <c r="M1743" s="473"/>
    </row>
    <row r="1744" spans="1:13" ht="13.5">
      <c r="A1744" s="475" t="s">
        <v>5356</v>
      </c>
      <c r="B1744" s="475" t="s">
        <v>5357</v>
      </c>
      <c r="C1744" s="475" t="s">
        <v>5358</v>
      </c>
      <c r="D1744" s="475" t="s">
        <v>5359</v>
      </c>
      <c r="E1744" s="476" t="s">
        <v>34</v>
      </c>
      <c r="F1744" s="475" t="s">
        <v>34</v>
      </c>
      <c r="G1744" s="364">
        <v>91298</v>
      </c>
      <c r="H1744" s="475" t="s">
        <v>1489</v>
      </c>
      <c r="I1744" s="475" t="s">
        <v>171</v>
      </c>
      <c r="J1744" s="475" t="s">
        <v>140</v>
      </c>
      <c r="K1744" s="365">
        <v>545.44000000000005</v>
      </c>
      <c r="L1744" s="475" t="s">
        <v>141</v>
      </c>
      <c r="M1744" s="473"/>
    </row>
    <row r="1745" spans="1:13" ht="13.5">
      <c r="A1745" s="475" t="s">
        <v>5356</v>
      </c>
      <c r="B1745" s="475" t="s">
        <v>5357</v>
      </c>
      <c r="C1745" s="475" t="s">
        <v>5358</v>
      </c>
      <c r="D1745" s="475" t="s">
        <v>5359</v>
      </c>
      <c r="E1745" s="476" t="s">
        <v>34</v>
      </c>
      <c r="F1745" s="475" t="s">
        <v>34</v>
      </c>
      <c r="G1745" s="364">
        <v>91299</v>
      </c>
      <c r="H1745" s="475" t="s">
        <v>1490</v>
      </c>
      <c r="I1745" s="475" t="s">
        <v>171</v>
      </c>
      <c r="J1745" s="475" t="s">
        <v>140</v>
      </c>
      <c r="K1745" s="365">
        <v>755.94</v>
      </c>
      <c r="L1745" s="475" t="s">
        <v>141</v>
      </c>
      <c r="M1745" s="473"/>
    </row>
    <row r="1746" spans="1:13" ht="13.5">
      <c r="A1746" s="475" t="s">
        <v>5356</v>
      </c>
      <c r="B1746" s="475" t="s">
        <v>5357</v>
      </c>
      <c r="C1746" s="475" t="s">
        <v>5358</v>
      </c>
      <c r="D1746" s="475" t="s">
        <v>5359</v>
      </c>
      <c r="E1746" s="476" t="s">
        <v>34</v>
      </c>
      <c r="F1746" s="475" t="s">
        <v>34</v>
      </c>
      <c r="G1746" s="364">
        <v>91300</v>
      </c>
      <c r="H1746" s="475" t="s">
        <v>1491</v>
      </c>
      <c r="I1746" s="475" t="s">
        <v>171</v>
      </c>
      <c r="J1746" s="475" t="s">
        <v>337</v>
      </c>
      <c r="K1746" s="365">
        <v>31.19</v>
      </c>
      <c r="L1746" s="475" t="s">
        <v>141</v>
      </c>
      <c r="M1746" s="473"/>
    </row>
    <row r="1747" spans="1:13" ht="13.5">
      <c r="A1747" s="475" t="s">
        <v>5356</v>
      </c>
      <c r="B1747" s="475" t="s">
        <v>5357</v>
      </c>
      <c r="C1747" s="475" t="s">
        <v>5358</v>
      </c>
      <c r="D1747" s="475" t="s">
        <v>5359</v>
      </c>
      <c r="E1747" s="476" t="s">
        <v>34</v>
      </c>
      <c r="F1747" s="475" t="s">
        <v>34</v>
      </c>
      <c r="G1747" s="364">
        <v>91301</v>
      </c>
      <c r="H1747" s="475" t="s">
        <v>1492</v>
      </c>
      <c r="I1747" s="475" t="s">
        <v>171</v>
      </c>
      <c r="J1747" s="475" t="s">
        <v>337</v>
      </c>
      <c r="K1747" s="365">
        <v>32.61</v>
      </c>
      <c r="L1747" s="475" t="s">
        <v>141</v>
      </c>
      <c r="M1747" s="473"/>
    </row>
    <row r="1748" spans="1:13" ht="13.5">
      <c r="A1748" s="475" t="s">
        <v>5356</v>
      </c>
      <c r="B1748" s="475" t="s">
        <v>5357</v>
      </c>
      <c r="C1748" s="475" t="s">
        <v>5358</v>
      </c>
      <c r="D1748" s="475" t="s">
        <v>5359</v>
      </c>
      <c r="E1748" s="476" t="s">
        <v>34</v>
      </c>
      <c r="F1748" s="475" t="s">
        <v>34</v>
      </c>
      <c r="G1748" s="364">
        <v>91302</v>
      </c>
      <c r="H1748" s="475" t="s">
        <v>1493</v>
      </c>
      <c r="I1748" s="475" t="s">
        <v>171</v>
      </c>
      <c r="J1748" s="475" t="s">
        <v>337</v>
      </c>
      <c r="K1748" s="365">
        <v>34.01</v>
      </c>
      <c r="L1748" s="475" t="s">
        <v>141</v>
      </c>
      <c r="M1748" s="473"/>
    </row>
    <row r="1749" spans="1:13" ht="13.5">
      <c r="A1749" s="475" t="s">
        <v>5356</v>
      </c>
      <c r="B1749" s="475" t="s">
        <v>5357</v>
      </c>
      <c r="C1749" s="475" t="s">
        <v>5358</v>
      </c>
      <c r="D1749" s="475" t="s">
        <v>5359</v>
      </c>
      <c r="E1749" s="476" t="s">
        <v>34</v>
      </c>
      <c r="F1749" s="475" t="s">
        <v>34</v>
      </c>
      <c r="G1749" s="364">
        <v>91303</v>
      </c>
      <c r="H1749" s="475" t="s">
        <v>1494</v>
      </c>
      <c r="I1749" s="475" t="s">
        <v>171</v>
      </c>
      <c r="J1749" s="475" t="s">
        <v>337</v>
      </c>
      <c r="K1749" s="365">
        <v>35.450000000000003</v>
      </c>
      <c r="L1749" s="475" t="s">
        <v>141</v>
      </c>
      <c r="M1749" s="473"/>
    </row>
    <row r="1750" spans="1:13" ht="13.5">
      <c r="A1750" s="475" t="s">
        <v>5356</v>
      </c>
      <c r="B1750" s="475" t="s">
        <v>5357</v>
      </c>
      <c r="C1750" s="475" t="s">
        <v>5358</v>
      </c>
      <c r="D1750" s="475" t="s">
        <v>5359</v>
      </c>
      <c r="E1750" s="476" t="s">
        <v>34</v>
      </c>
      <c r="F1750" s="475" t="s">
        <v>34</v>
      </c>
      <c r="G1750" s="364">
        <v>91304</v>
      </c>
      <c r="H1750" s="475" t="s">
        <v>1495</v>
      </c>
      <c r="I1750" s="475" t="s">
        <v>171</v>
      </c>
      <c r="J1750" s="475" t="s">
        <v>337</v>
      </c>
      <c r="K1750" s="365">
        <v>72.64</v>
      </c>
      <c r="L1750" s="475" t="s">
        <v>141</v>
      </c>
      <c r="M1750" s="473"/>
    </row>
    <row r="1751" spans="1:13" ht="13.5">
      <c r="A1751" s="475" t="s">
        <v>5356</v>
      </c>
      <c r="B1751" s="475" t="s">
        <v>5357</v>
      </c>
      <c r="C1751" s="475" t="s">
        <v>5358</v>
      </c>
      <c r="D1751" s="475" t="s">
        <v>5359</v>
      </c>
      <c r="E1751" s="476" t="s">
        <v>34</v>
      </c>
      <c r="F1751" s="475" t="s">
        <v>34</v>
      </c>
      <c r="G1751" s="364">
        <v>91305</v>
      </c>
      <c r="H1751" s="475" t="s">
        <v>1496</v>
      </c>
      <c r="I1751" s="475" t="s">
        <v>171</v>
      </c>
      <c r="J1751" s="475" t="s">
        <v>337</v>
      </c>
      <c r="K1751" s="365">
        <v>54.81</v>
      </c>
      <c r="L1751" s="475" t="s">
        <v>141</v>
      </c>
      <c r="M1751" s="473"/>
    </row>
    <row r="1752" spans="1:13" ht="13.5">
      <c r="A1752" s="475" t="s">
        <v>5356</v>
      </c>
      <c r="B1752" s="475" t="s">
        <v>5357</v>
      </c>
      <c r="C1752" s="475" t="s">
        <v>5358</v>
      </c>
      <c r="D1752" s="475" t="s">
        <v>5359</v>
      </c>
      <c r="E1752" s="476" t="s">
        <v>34</v>
      </c>
      <c r="F1752" s="475" t="s">
        <v>34</v>
      </c>
      <c r="G1752" s="364">
        <v>91306</v>
      </c>
      <c r="H1752" s="475" t="s">
        <v>1497</v>
      </c>
      <c r="I1752" s="475" t="s">
        <v>171</v>
      </c>
      <c r="J1752" s="475" t="s">
        <v>337</v>
      </c>
      <c r="K1752" s="365">
        <v>82.36</v>
      </c>
      <c r="L1752" s="475" t="s">
        <v>141</v>
      </c>
      <c r="M1752" s="473"/>
    </row>
    <row r="1753" spans="1:13" ht="13.5">
      <c r="A1753" s="475" t="s">
        <v>5356</v>
      </c>
      <c r="B1753" s="475" t="s">
        <v>5357</v>
      </c>
      <c r="C1753" s="475" t="s">
        <v>5358</v>
      </c>
      <c r="D1753" s="475" t="s">
        <v>5359</v>
      </c>
      <c r="E1753" s="476" t="s">
        <v>34</v>
      </c>
      <c r="F1753" s="475" t="s">
        <v>34</v>
      </c>
      <c r="G1753" s="364">
        <v>91307</v>
      </c>
      <c r="H1753" s="475" t="s">
        <v>1498</v>
      </c>
      <c r="I1753" s="475" t="s">
        <v>171</v>
      </c>
      <c r="J1753" s="475" t="s">
        <v>337</v>
      </c>
      <c r="K1753" s="365">
        <v>57.6</v>
      </c>
      <c r="L1753" s="475" t="s">
        <v>141</v>
      </c>
      <c r="M1753" s="473"/>
    </row>
    <row r="1754" spans="1:13" ht="13.5">
      <c r="A1754" s="475" t="s">
        <v>5356</v>
      </c>
      <c r="B1754" s="475" t="s">
        <v>5357</v>
      </c>
      <c r="C1754" s="475" t="s">
        <v>5358</v>
      </c>
      <c r="D1754" s="475" t="s">
        <v>5359</v>
      </c>
      <c r="E1754" s="476" t="s">
        <v>34</v>
      </c>
      <c r="F1754" s="475" t="s">
        <v>34</v>
      </c>
      <c r="G1754" s="364">
        <v>91312</v>
      </c>
      <c r="H1754" s="475" t="s">
        <v>1499</v>
      </c>
      <c r="I1754" s="475" t="s">
        <v>171</v>
      </c>
      <c r="J1754" s="475" t="s">
        <v>337</v>
      </c>
      <c r="K1754" s="365">
        <v>618.95000000000005</v>
      </c>
      <c r="L1754" s="475" t="s">
        <v>141</v>
      </c>
      <c r="M1754" s="473"/>
    </row>
    <row r="1755" spans="1:13" ht="13.5">
      <c r="A1755" s="475" t="s">
        <v>5356</v>
      </c>
      <c r="B1755" s="475" t="s">
        <v>5357</v>
      </c>
      <c r="C1755" s="475" t="s">
        <v>5358</v>
      </c>
      <c r="D1755" s="475" t="s">
        <v>5359</v>
      </c>
      <c r="E1755" s="476" t="s">
        <v>34</v>
      </c>
      <c r="F1755" s="475" t="s">
        <v>34</v>
      </c>
      <c r="G1755" s="364">
        <v>91313</v>
      </c>
      <c r="H1755" s="475" t="s">
        <v>1500</v>
      </c>
      <c r="I1755" s="475" t="s">
        <v>171</v>
      </c>
      <c r="J1755" s="475" t="s">
        <v>337</v>
      </c>
      <c r="K1755" s="365">
        <v>659.35</v>
      </c>
      <c r="L1755" s="475" t="s">
        <v>141</v>
      </c>
      <c r="M1755" s="473"/>
    </row>
    <row r="1756" spans="1:13" ht="13.5">
      <c r="A1756" s="475" t="s">
        <v>5356</v>
      </c>
      <c r="B1756" s="475" t="s">
        <v>5357</v>
      </c>
      <c r="C1756" s="475" t="s">
        <v>5358</v>
      </c>
      <c r="D1756" s="475" t="s">
        <v>5359</v>
      </c>
      <c r="E1756" s="476" t="s">
        <v>34</v>
      </c>
      <c r="F1756" s="475" t="s">
        <v>34</v>
      </c>
      <c r="G1756" s="364">
        <v>91314</v>
      </c>
      <c r="H1756" s="475" t="s">
        <v>1501</v>
      </c>
      <c r="I1756" s="475" t="s">
        <v>171</v>
      </c>
      <c r="J1756" s="475" t="s">
        <v>337</v>
      </c>
      <c r="K1756" s="365">
        <v>685.69</v>
      </c>
      <c r="L1756" s="475" t="s">
        <v>141</v>
      </c>
      <c r="M1756" s="473"/>
    </row>
    <row r="1757" spans="1:13" ht="13.5">
      <c r="A1757" s="475" t="s">
        <v>5356</v>
      </c>
      <c r="B1757" s="475" t="s">
        <v>5357</v>
      </c>
      <c r="C1757" s="475" t="s">
        <v>5358</v>
      </c>
      <c r="D1757" s="475" t="s">
        <v>5359</v>
      </c>
      <c r="E1757" s="476" t="s">
        <v>34</v>
      </c>
      <c r="F1757" s="475" t="s">
        <v>34</v>
      </c>
      <c r="G1757" s="364">
        <v>91315</v>
      </c>
      <c r="H1757" s="475" t="s">
        <v>1502</v>
      </c>
      <c r="I1757" s="475" t="s">
        <v>171</v>
      </c>
      <c r="J1757" s="475" t="s">
        <v>337</v>
      </c>
      <c r="K1757" s="365">
        <v>714.9</v>
      </c>
      <c r="L1757" s="475" t="s">
        <v>141</v>
      </c>
      <c r="M1757" s="473"/>
    </row>
    <row r="1758" spans="1:13" ht="13.5">
      <c r="A1758" s="475" t="s">
        <v>5356</v>
      </c>
      <c r="B1758" s="475" t="s">
        <v>5357</v>
      </c>
      <c r="C1758" s="475" t="s">
        <v>5358</v>
      </c>
      <c r="D1758" s="475" t="s">
        <v>5359</v>
      </c>
      <c r="E1758" s="476" t="s">
        <v>34</v>
      </c>
      <c r="F1758" s="475" t="s">
        <v>34</v>
      </c>
      <c r="G1758" s="364">
        <v>91318</v>
      </c>
      <c r="H1758" s="475" t="s">
        <v>1503</v>
      </c>
      <c r="I1758" s="475" t="s">
        <v>171</v>
      </c>
      <c r="J1758" s="475" t="s">
        <v>337</v>
      </c>
      <c r="K1758" s="365">
        <v>564.14</v>
      </c>
      <c r="L1758" s="475" t="s">
        <v>141</v>
      </c>
      <c r="M1758" s="473"/>
    </row>
    <row r="1759" spans="1:13" ht="13.5">
      <c r="A1759" s="475" t="s">
        <v>5356</v>
      </c>
      <c r="B1759" s="475" t="s">
        <v>5357</v>
      </c>
      <c r="C1759" s="475" t="s">
        <v>5358</v>
      </c>
      <c r="D1759" s="475" t="s">
        <v>5359</v>
      </c>
      <c r="E1759" s="476" t="s">
        <v>34</v>
      </c>
      <c r="F1759" s="475" t="s">
        <v>34</v>
      </c>
      <c r="G1759" s="364">
        <v>91319</v>
      </c>
      <c r="H1759" s="475" t="s">
        <v>1504</v>
      </c>
      <c r="I1759" s="475" t="s">
        <v>171</v>
      </c>
      <c r="J1759" s="475" t="s">
        <v>337</v>
      </c>
      <c r="K1759" s="365">
        <v>601.75</v>
      </c>
      <c r="L1759" s="475" t="s">
        <v>141</v>
      </c>
      <c r="M1759" s="473"/>
    </row>
    <row r="1760" spans="1:13" ht="13.5">
      <c r="A1760" s="475" t="s">
        <v>5356</v>
      </c>
      <c r="B1760" s="475" t="s">
        <v>5357</v>
      </c>
      <c r="C1760" s="475" t="s">
        <v>5358</v>
      </c>
      <c r="D1760" s="475" t="s">
        <v>5359</v>
      </c>
      <c r="E1760" s="476" t="s">
        <v>34</v>
      </c>
      <c r="F1760" s="475" t="s">
        <v>34</v>
      </c>
      <c r="G1760" s="364">
        <v>91320</v>
      </c>
      <c r="H1760" s="475" t="s">
        <v>1505</v>
      </c>
      <c r="I1760" s="475" t="s">
        <v>171</v>
      </c>
      <c r="J1760" s="475" t="s">
        <v>337</v>
      </c>
      <c r="K1760" s="365">
        <v>613.04999999999995</v>
      </c>
      <c r="L1760" s="475" t="s">
        <v>141</v>
      </c>
      <c r="M1760" s="473"/>
    </row>
    <row r="1761" spans="1:13" ht="13.5">
      <c r="A1761" s="475" t="s">
        <v>5356</v>
      </c>
      <c r="B1761" s="475" t="s">
        <v>5357</v>
      </c>
      <c r="C1761" s="475" t="s">
        <v>5358</v>
      </c>
      <c r="D1761" s="475" t="s">
        <v>5359</v>
      </c>
      <c r="E1761" s="476" t="s">
        <v>34</v>
      </c>
      <c r="F1761" s="475" t="s">
        <v>34</v>
      </c>
      <c r="G1761" s="364">
        <v>91321</v>
      </c>
      <c r="H1761" s="475" t="s">
        <v>1506</v>
      </c>
      <c r="I1761" s="475" t="s">
        <v>171</v>
      </c>
      <c r="J1761" s="475" t="s">
        <v>337</v>
      </c>
      <c r="K1761" s="365">
        <v>642.26</v>
      </c>
      <c r="L1761" s="475" t="s">
        <v>141</v>
      </c>
      <c r="M1761" s="473"/>
    </row>
    <row r="1762" spans="1:13" ht="13.5">
      <c r="A1762" s="475" t="s">
        <v>5356</v>
      </c>
      <c r="B1762" s="475" t="s">
        <v>5357</v>
      </c>
      <c r="C1762" s="475" t="s">
        <v>5358</v>
      </c>
      <c r="D1762" s="475" t="s">
        <v>5359</v>
      </c>
      <c r="E1762" s="476" t="s">
        <v>34</v>
      </c>
      <c r="F1762" s="475" t="s">
        <v>34</v>
      </c>
      <c r="G1762" s="364">
        <v>91324</v>
      </c>
      <c r="H1762" s="475" t="s">
        <v>1507</v>
      </c>
      <c r="I1762" s="475" t="s">
        <v>171</v>
      </c>
      <c r="J1762" s="475" t="s">
        <v>337</v>
      </c>
      <c r="K1762" s="365">
        <v>570.32000000000005</v>
      </c>
      <c r="L1762" s="475" t="s">
        <v>141</v>
      </c>
      <c r="M1762" s="473"/>
    </row>
    <row r="1763" spans="1:13" ht="13.5">
      <c r="A1763" s="475" t="s">
        <v>5356</v>
      </c>
      <c r="B1763" s="475" t="s">
        <v>5357</v>
      </c>
      <c r="C1763" s="475" t="s">
        <v>5358</v>
      </c>
      <c r="D1763" s="475" t="s">
        <v>5359</v>
      </c>
      <c r="E1763" s="476" t="s">
        <v>34</v>
      </c>
      <c r="F1763" s="475" t="s">
        <v>34</v>
      </c>
      <c r="G1763" s="364">
        <v>91325</v>
      </c>
      <c r="H1763" s="475" t="s">
        <v>1508</v>
      </c>
      <c r="I1763" s="475" t="s">
        <v>171</v>
      </c>
      <c r="J1763" s="475" t="s">
        <v>337</v>
      </c>
      <c r="K1763" s="365">
        <v>534</v>
      </c>
      <c r="L1763" s="475" t="s">
        <v>141</v>
      </c>
      <c r="M1763" s="473"/>
    </row>
    <row r="1764" spans="1:13" ht="13.5">
      <c r="A1764" s="475" t="s">
        <v>5356</v>
      </c>
      <c r="B1764" s="475" t="s">
        <v>5357</v>
      </c>
      <c r="C1764" s="475" t="s">
        <v>5358</v>
      </c>
      <c r="D1764" s="475" t="s">
        <v>5359</v>
      </c>
      <c r="E1764" s="476" t="s">
        <v>34</v>
      </c>
      <c r="F1764" s="475" t="s">
        <v>34</v>
      </c>
      <c r="G1764" s="364">
        <v>91326</v>
      </c>
      <c r="H1764" s="475" t="s">
        <v>1509</v>
      </c>
      <c r="I1764" s="475" t="s">
        <v>171</v>
      </c>
      <c r="J1764" s="475" t="s">
        <v>337</v>
      </c>
      <c r="K1764" s="365">
        <v>636.20000000000005</v>
      </c>
      <c r="L1764" s="475" t="s">
        <v>141</v>
      </c>
      <c r="M1764" s="473"/>
    </row>
    <row r="1765" spans="1:13" ht="13.5">
      <c r="A1765" s="475" t="s">
        <v>5356</v>
      </c>
      <c r="B1765" s="475" t="s">
        <v>5357</v>
      </c>
      <c r="C1765" s="475" t="s">
        <v>5358</v>
      </c>
      <c r="D1765" s="475" t="s">
        <v>5359</v>
      </c>
      <c r="E1765" s="476" t="s">
        <v>34</v>
      </c>
      <c r="F1765" s="475" t="s">
        <v>34</v>
      </c>
      <c r="G1765" s="364">
        <v>91327</v>
      </c>
      <c r="H1765" s="475" t="s">
        <v>1510</v>
      </c>
      <c r="I1765" s="475" t="s">
        <v>171</v>
      </c>
      <c r="J1765" s="475" t="s">
        <v>337</v>
      </c>
      <c r="K1765" s="365">
        <v>637.5</v>
      </c>
      <c r="L1765" s="475" t="s">
        <v>141</v>
      </c>
      <c r="M1765" s="473"/>
    </row>
    <row r="1766" spans="1:13" ht="13.5">
      <c r="A1766" s="475" t="s">
        <v>5356</v>
      </c>
      <c r="B1766" s="475" t="s">
        <v>5357</v>
      </c>
      <c r="C1766" s="475" t="s">
        <v>5358</v>
      </c>
      <c r="D1766" s="475" t="s">
        <v>5359</v>
      </c>
      <c r="E1766" s="476" t="s">
        <v>34</v>
      </c>
      <c r="F1766" s="475" t="s">
        <v>34</v>
      </c>
      <c r="G1766" s="364">
        <v>91328</v>
      </c>
      <c r="H1766" s="475" t="s">
        <v>1511</v>
      </c>
      <c r="I1766" s="475" t="s">
        <v>171</v>
      </c>
      <c r="J1766" s="475" t="s">
        <v>337</v>
      </c>
      <c r="K1766" s="365">
        <v>628.19000000000005</v>
      </c>
      <c r="L1766" s="475" t="s">
        <v>141</v>
      </c>
      <c r="M1766" s="473"/>
    </row>
    <row r="1767" spans="1:13" ht="13.5">
      <c r="A1767" s="475" t="s">
        <v>5356</v>
      </c>
      <c r="B1767" s="475" t="s">
        <v>5357</v>
      </c>
      <c r="C1767" s="475" t="s">
        <v>5358</v>
      </c>
      <c r="D1767" s="475" t="s">
        <v>5359</v>
      </c>
      <c r="E1767" s="476" t="s">
        <v>34</v>
      </c>
      <c r="F1767" s="475" t="s">
        <v>34</v>
      </c>
      <c r="G1767" s="364">
        <v>91329</v>
      </c>
      <c r="H1767" s="475" t="s">
        <v>1512</v>
      </c>
      <c r="I1767" s="475" t="s">
        <v>171</v>
      </c>
      <c r="J1767" s="475" t="s">
        <v>337</v>
      </c>
      <c r="K1767" s="365">
        <v>553.71</v>
      </c>
      <c r="L1767" s="475" t="s">
        <v>141</v>
      </c>
      <c r="M1767" s="473"/>
    </row>
    <row r="1768" spans="1:13" ht="13.5">
      <c r="A1768" s="475" t="s">
        <v>5356</v>
      </c>
      <c r="B1768" s="475" t="s">
        <v>5357</v>
      </c>
      <c r="C1768" s="475" t="s">
        <v>5358</v>
      </c>
      <c r="D1768" s="475" t="s">
        <v>5359</v>
      </c>
      <c r="E1768" s="476" t="s">
        <v>34</v>
      </c>
      <c r="F1768" s="475" t="s">
        <v>34</v>
      </c>
      <c r="G1768" s="364">
        <v>91330</v>
      </c>
      <c r="H1768" s="475" t="s">
        <v>1513</v>
      </c>
      <c r="I1768" s="475" t="s">
        <v>171</v>
      </c>
      <c r="J1768" s="475" t="s">
        <v>337</v>
      </c>
      <c r="K1768" s="365">
        <v>658.41</v>
      </c>
      <c r="L1768" s="475" t="s">
        <v>141</v>
      </c>
      <c r="M1768" s="473"/>
    </row>
    <row r="1769" spans="1:13" ht="13.5">
      <c r="A1769" s="475" t="s">
        <v>5356</v>
      </c>
      <c r="B1769" s="475" t="s">
        <v>5357</v>
      </c>
      <c r="C1769" s="475" t="s">
        <v>5358</v>
      </c>
      <c r="D1769" s="475" t="s">
        <v>5359</v>
      </c>
      <c r="E1769" s="476" t="s">
        <v>34</v>
      </c>
      <c r="F1769" s="475" t="s">
        <v>34</v>
      </c>
      <c r="G1769" s="364">
        <v>91331</v>
      </c>
      <c r="H1769" s="475" t="s">
        <v>1514</v>
      </c>
      <c r="I1769" s="475" t="s">
        <v>171</v>
      </c>
      <c r="J1769" s="475" t="s">
        <v>337</v>
      </c>
      <c r="K1769" s="365">
        <v>583.69000000000005</v>
      </c>
      <c r="L1769" s="475" t="s">
        <v>141</v>
      </c>
      <c r="M1769" s="473"/>
    </row>
    <row r="1770" spans="1:13" ht="13.5">
      <c r="A1770" s="475" t="s">
        <v>5356</v>
      </c>
      <c r="B1770" s="475" t="s">
        <v>5357</v>
      </c>
      <c r="C1770" s="475" t="s">
        <v>5358</v>
      </c>
      <c r="D1770" s="475" t="s">
        <v>5359</v>
      </c>
      <c r="E1770" s="476" t="s">
        <v>34</v>
      </c>
      <c r="F1770" s="475" t="s">
        <v>34</v>
      </c>
      <c r="G1770" s="364">
        <v>91332</v>
      </c>
      <c r="H1770" s="475" t="s">
        <v>1515</v>
      </c>
      <c r="I1770" s="475" t="s">
        <v>171</v>
      </c>
      <c r="J1770" s="475" t="s">
        <v>337</v>
      </c>
      <c r="K1770" s="365">
        <v>712.88</v>
      </c>
      <c r="L1770" s="475" t="s">
        <v>141</v>
      </c>
      <c r="M1770" s="473"/>
    </row>
    <row r="1771" spans="1:13" ht="13.5">
      <c r="A1771" s="475" t="s">
        <v>5356</v>
      </c>
      <c r="B1771" s="475" t="s">
        <v>5357</v>
      </c>
      <c r="C1771" s="475" t="s">
        <v>5358</v>
      </c>
      <c r="D1771" s="475" t="s">
        <v>5359</v>
      </c>
      <c r="E1771" s="476" t="s">
        <v>34</v>
      </c>
      <c r="F1771" s="475" t="s">
        <v>34</v>
      </c>
      <c r="G1771" s="364">
        <v>91333</v>
      </c>
      <c r="H1771" s="475" t="s">
        <v>1516</v>
      </c>
      <c r="I1771" s="475" t="s">
        <v>171</v>
      </c>
      <c r="J1771" s="475" t="s">
        <v>337</v>
      </c>
      <c r="K1771" s="365">
        <v>637.9</v>
      </c>
      <c r="L1771" s="475" t="s">
        <v>141</v>
      </c>
      <c r="M1771" s="473"/>
    </row>
    <row r="1772" spans="1:13" ht="13.5">
      <c r="A1772" s="475" t="s">
        <v>5356</v>
      </c>
      <c r="B1772" s="475" t="s">
        <v>5357</v>
      </c>
      <c r="C1772" s="475" t="s">
        <v>5358</v>
      </c>
      <c r="D1772" s="475" t="s">
        <v>5359</v>
      </c>
      <c r="E1772" s="476" t="s">
        <v>34</v>
      </c>
      <c r="F1772" s="475" t="s">
        <v>34</v>
      </c>
      <c r="G1772" s="364">
        <v>91334</v>
      </c>
      <c r="H1772" s="475" t="s">
        <v>1517</v>
      </c>
      <c r="I1772" s="475" t="s">
        <v>171</v>
      </c>
      <c r="J1772" s="475" t="s">
        <v>140</v>
      </c>
      <c r="K1772" s="365">
        <v>952.55</v>
      </c>
      <c r="L1772" s="475" t="s">
        <v>141</v>
      </c>
      <c r="M1772" s="473"/>
    </row>
    <row r="1773" spans="1:13" ht="13.5">
      <c r="A1773" s="475" t="s">
        <v>5356</v>
      </c>
      <c r="B1773" s="475" t="s">
        <v>5357</v>
      </c>
      <c r="C1773" s="475" t="s">
        <v>5358</v>
      </c>
      <c r="D1773" s="475" t="s">
        <v>5359</v>
      </c>
      <c r="E1773" s="476" t="s">
        <v>34</v>
      </c>
      <c r="F1773" s="475" t="s">
        <v>34</v>
      </c>
      <c r="G1773" s="364">
        <v>91335</v>
      </c>
      <c r="H1773" s="475" t="s">
        <v>1518</v>
      </c>
      <c r="I1773" s="475" t="s">
        <v>171</v>
      </c>
      <c r="J1773" s="475" t="s">
        <v>140</v>
      </c>
      <c r="K1773" s="365">
        <v>877.57</v>
      </c>
      <c r="L1773" s="475" t="s">
        <v>141</v>
      </c>
      <c r="M1773" s="473"/>
    </row>
    <row r="1774" spans="1:13" ht="13.5">
      <c r="A1774" s="475" t="s">
        <v>5356</v>
      </c>
      <c r="B1774" s="475" t="s">
        <v>5357</v>
      </c>
      <c r="C1774" s="475" t="s">
        <v>5358</v>
      </c>
      <c r="D1774" s="475" t="s">
        <v>5359</v>
      </c>
      <c r="E1774" s="476" t="s">
        <v>34</v>
      </c>
      <c r="F1774" s="475" t="s">
        <v>34</v>
      </c>
      <c r="G1774" s="364">
        <v>91336</v>
      </c>
      <c r="H1774" s="475" t="s">
        <v>1519</v>
      </c>
      <c r="I1774" s="475" t="s">
        <v>171</v>
      </c>
      <c r="J1774" s="475" t="s">
        <v>140</v>
      </c>
      <c r="K1774" s="365">
        <v>1163.05</v>
      </c>
      <c r="L1774" s="475" t="s">
        <v>141</v>
      </c>
      <c r="M1774" s="473"/>
    </row>
    <row r="1775" spans="1:13" ht="13.5">
      <c r="A1775" s="475" t="s">
        <v>5356</v>
      </c>
      <c r="B1775" s="475" t="s">
        <v>5357</v>
      </c>
      <c r="C1775" s="475" t="s">
        <v>5358</v>
      </c>
      <c r="D1775" s="475" t="s">
        <v>5359</v>
      </c>
      <c r="E1775" s="476" t="s">
        <v>34</v>
      </c>
      <c r="F1775" s="475" t="s">
        <v>34</v>
      </c>
      <c r="G1775" s="364">
        <v>91337</v>
      </c>
      <c r="H1775" s="475" t="s">
        <v>1520</v>
      </c>
      <c r="I1775" s="475" t="s">
        <v>171</v>
      </c>
      <c r="J1775" s="475" t="s">
        <v>140</v>
      </c>
      <c r="K1775" s="365">
        <v>1088.07</v>
      </c>
      <c r="L1775" s="475" t="s">
        <v>141</v>
      </c>
      <c r="M1775" s="473"/>
    </row>
    <row r="1776" spans="1:13" ht="13.5">
      <c r="A1776" s="475" t="s">
        <v>5356</v>
      </c>
      <c r="B1776" s="475" t="s">
        <v>5357</v>
      </c>
      <c r="C1776" s="475" t="s">
        <v>5361</v>
      </c>
      <c r="D1776" s="475" t="s">
        <v>5362</v>
      </c>
      <c r="E1776" s="476">
        <v>73813</v>
      </c>
      <c r="F1776" s="475" t="s">
        <v>5361</v>
      </c>
      <c r="G1776" s="364" t="s">
        <v>1521</v>
      </c>
      <c r="H1776" s="475" t="s">
        <v>1522</v>
      </c>
      <c r="I1776" s="475" t="s">
        <v>171</v>
      </c>
      <c r="J1776" s="475" t="s">
        <v>140</v>
      </c>
      <c r="K1776" s="365">
        <v>2089.12</v>
      </c>
      <c r="L1776" s="475" t="s">
        <v>141</v>
      </c>
      <c r="M1776" s="473"/>
    </row>
    <row r="1777" spans="1:13" ht="13.5">
      <c r="A1777" s="475" t="s">
        <v>5356</v>
      </c>
      <c r="B1777" s="475" t="s">
        <v>5357</v>
      </c>
      <c r="C1777" s="475" t="s">
        <v>5361</v>
      </c>
      <c r="D1777" s="475" t="s">
        <v>5362</v>
      </c>
      <c r="E1777" s="476" t="s">
        <v>34</v>
      </c>
      <c r="F1777" s="475" t="s">
        <v>34</v>
      </c>
      <c r="G1777" s="364">
        <v>84844</v>
      </c>
      <c r="H1777" s="475" t="s">
        <v>1523</v>
      </c>
      <c r="I1777" s="475" t="s">
        <v>322</v>
      </c>
      <c r="J1777" s="475" t="s">
        <v>140</v>
      </c>
      <c r="K1777" s="365">
        <v>586.21</v>
      </c>
      <c r="L1777" s="475" t="s">
        <v>141</v>
      </c>
      <c r="M1777" s="473"/>
    </row>
    <row r="1778" spans="1:13" ht="13.5">
      <c r="A1778" s="475" t="s">
        <v>5356</v>
      </c>
      <c r="B1778" s="475" t="s">
        <v>5357</v>
      </c>
      <c r="C1778" s="475" t="s">
        <v>5361</v>
      </c>
      <c r="D1778" s="475" t="s">
        <v>5362</v>
      </c>
      <c r="E1778" s="476" t="s">
        <v>34</v>
      </c>
      <c r="F1778" s="475" t="s">
        <v>34</v>
      </c>
      <c r="G1778" s="364">
        <v>84845</v>
      </c>
      <c r="H1778" s="475" t="s">
        <v>1524</v>
      </c>
      <c r="I1778" s="475" t="s">
        <v>322</v>
      </c>
      <c r="J1778" s="475" t="s">
        <v>140</v>
      </c>
      <c r="K1778" s="365">
        <v>916.72</v>
      </c>
      <c r="L1778" s="475" t="s">
        <v>141</v>
      </c>
      <c r="M1778" s="473"/>
    </row>
    <row r="1779" spans="1:13" ht="13.5">
      <c r="A1779" s="475" t="s">
        <v>5356</v>
      </c>
      <c r="B1779" s="475" t="s">
        <v>5357</v>
      </c>
      <c r="C1779" s="475" t="s">
        <v>5361</v>
      </c>
      <c r="D1779" s="475" t="s">
        <v>5362</v>
      </c>
      <c r="E1779" s="476" t="s">
        <v>34</v>
      </c>
      <c r="F1779" s="475" t="s">
        <v>34</v>
      </c>
      <c r="G1779" s="364">
        <v>84846</v>
      </c>
      <c r="H1779" s="475" t="s">
        <v>1525</v>
      </c>
      <c r="I1779" s="475" t="s">
        <v>322</v>
      </c>
      <c r="J1779" s="475" t="s">
        <v>140</v>
      </c>
      <c r="K1779" s="365">
        <v>934.66</v>
      </c>
      <c r="L1779" s="475" t="s">
        <v>141</v>
      </c>
      <c r="M1779" s="473"/>
    </row>
    <row r="1780" spans="1:13" ht="13.5">
      <c r="A1780" s="475" t="s">
        <v>5356</v>
      </c>
      <c r="B1780" s="475" t="s">
        <v>5357</v>
      </c>
      <c r="C1780" s="475" t="s">
        <v>5361</v>
      </c>
      <c r="D1780" s="475" t="s">
        <v>5362</v>
      </c>
      <c r="E1780" s="476" t="s">
        <v>34</v>
      </c>
      <c r="F1780" s="475" t="s">
        <v>34</v>
      </c>
      <c r="G1780" s="364">
        <v>84847</v>
      </c>
      <c r="H1780" s="475" t="s">
        <v>1526</v>
      </c>
      <c r="I1780" s="475" t="s">
        <v>322</v>
      </c>
      <c r="J1780" s="475" t="s">
        <v>140</v>
      </c>
      <c r="K1780" s="365">
        <v>934.66</v>
      </c>
      <c r="L1780" s="475" t="s">
        <v>141</v>
      </c>
      <c r="M1780" s="473"/>
    </row>
    <row r="1781" spans="1:13" ht="13.5">
      <c r="A1781" s="475" t="s">
        <v>5356</v>
      </c>
      <c r="B1781" s="475" t="s">
        <v>5357</v>
      </c>
      <c r="C1781" s="475" t="s">
        <v>5361</v>
      </c>
      <c r="D1781" s="475" t="s">
        <v>5362</v>
      </c>
      <c r="E1781" s="476" t="s">
        <v>34</v>
      </c>
      <c r="F1781" s="475" t="s">
        <v>34</v>
      </c>
      <c r="G1781" s="364">
        <v>84848</v>
      </c>
      <c r="H1781" s="475" t="s">
        <v>1527</v>
      </c>
      <c r="I1781" s="475" t="s">
        <v>322</v>
      </c>
      <c r="J1781" s="475" t="s">
        <v>140</v>
      </c>
      <c r="K1781" s="365">
        <v>730.57</v>
      </c>
      <c r="L1781" s="475" t="s">
        <v>141</v>
      </c>
      <c r="M1781" s="473"/>
    </row>
    <row r="1782" spans="1:13" ht="13.5">
      <c r="A1782" s="475" t="s">
        <v>5356</v>
      </c>
      <c r="B1782" s="475" t="s">
        <v>5357</v>
      </c>
      <c r="C1782" s="475" t="s">
        <v>5363</v>
      </c>
      <c r="D1782" s="475" t="s">
        <v>5364</v>
      </c>
      <c r="E1782" s="476">
        <v>73933</v>
      </c>
      <c r="F1782" s="475" t="s">
        <v>5365</v>
      </c>
      <c r="G1782" s="364" t="s">
        <v>1528</v>
      </c>
      <c r="H1782" s="475" t="s">
        <v>1529</v>
      </c>
      <c r="I1782" s="475" t="s">
        <v>322</v>
      </c>
      <c r="J1782" s="475" t="s">
        <v>140</v>
      </c>
      <c r="K1782" s="365">
        <v>470.26</v>
      </c>
      <c r="L1782" s="475" t="s">
        <v>141</v>
      </c>
      <c r="M1782" s="473"/>
    </row>
    <row r="1783" spans="1:13" ht="13.5">
      <c r="A1783" s="475" t="s">
        <v>5356</v>
      </c>
      <c r="B1783" s="475" t="s">
        <v>5357</v>
      </c>
      <c r="C1783" s="475" t="s">
        <v>5363</v>
      </c>
      <c r="D1783" s="475" t="s">
        <v>5364</v>
      </c>
      <c r="E1783" s="476">
        <v>73933</v>
      </c>
      <c r="F1783" s="475" t="s">
        <v>5365</v>
      </c>
      <c r="G1783" s="364" t="s">
        <v>1530</v>
      </c>
      <c r="H1783" s="475" t="s">
        <v>1531</v>
      </c>
      <c r="I1783" s="475" t="s">
        <v>322</v>
      </c>
      <c r="J1783" s="475" t="s">
        <v>140</v>
      </c>
      <c r="K1783" s="365">
        <v>440.49</v>
      </c>
      <c r="L1783" s="475" t="s">
        <v>141</v>
      </c>
      <c r="M1783" s="473"/>
    </row>
    <row r="1784" spans="1:13" ht="13.5">
      <c r="A1784" s="475" t="s">
        <v>5356</v>
      </c>
      <c r="B1784" s="475" t="s">
        <v>5357</v>
      </c>
      <c r="C1784" s="475" t="s">
        <v>5363</v>
      </c>
      <c r="D1784" s="475" t="s">
        <v>5364</v>
      </c>
      <c r="E1784" s="476">
        <v>74073</v>
      </c>
      <c r="F1784" s="475" t="s">
        <v>5366</v>
      </c>
      <c r="G1784" s="364" t="s">
        <v>1532</v>
      </c>
      <c r="H1784" s="475" t="s">
        <v>1533</v>
      </c>
      <c r="I1784" s="475" t="s">
        <v>171</v>
      </c>
      <c r="J1784" s="475" t="s">
        <v>337</v>
      </c>
      <c r="K1784" s="365">
        <v>85.9</v>
      </c>
      <c r="L1784" s="475" t="s">
        <v>141</v>
      </c>
      <c r="M1784" s="473"/>
    </row>
    <row r="1785" spans="1:13" ht="13.5">
      <c r="A1785" s="475" t="s">
        <v>5356</v>
      </c>
      <c r="B1785" s="475" t="s">
        <v>5357</v>
      </c>
      <c r="C1785" s="475" t="s">
        <v>5363</v>
      </c>
      <c r="D1785" s="475" t="s">
        <v>5364</v>
      </c>
      <c r="E1785" s="476">
        <v>74073</v>
      </c>
      <c r="F1785" s="475" t="s">
        <v>5366</v>
      </c>
      <c r="G1785" s="364" t="s">
        <v>1534</v>
      </c>
      <c r="H1785" s="475" t="s">
        <v>1535</v>
      </c>
      <c r="I1785" s="475" t="s">
        <v>171</v>
      </c>
      <c r="J1785" s="475" t="s">
        <v>337</v>
      </c>
      <c r="K1785" s="365">
        <v>97.81</v>
      </c>
      <c r="L1785" s="475" t="s">
        <v>141</v>
      </c>
      <c r="M1785" s="473"/>
    </row>
    <row r="1786" spans="1:13" ht="13.5">
      <c r="A1786" s="475" t="s">
        <v>5356</v>
      </c>
      <c r="B1786" s="475" t="s">
        <v>5357</v>
      </c>
      <c r="C1786" s="475" t="s">
        <v>5363</v>
      </c>
      <c r="D1786" s="475" t="s">
        <v>5364</v>
      </c>
      <c r="E1786" s="476">
        <v>74136</v>
      </c>
      <c r="F1786" s="475" t="s">
        <v>5367</v>
      </c>
      <c r="G1786" s="364" t="s">
        <v>1536</v>
      </c>
      <c r="H1786" s="475" t="s">
        <v>1537</v>
      </c>
      <c r="I1786" s="475" t="s">
        <v>322</v>
      </c>
      <c r="J1786" s="475" t="s">
        <v>140</v>
      </c>
      <c r="K1786" s="365">
        <v>368.64</v>
      </c>
      <c r="L1786" s="475" t="s">
        <v>141</v>
      </c>
      <c r="M1786" s="473"/>
    </row>
    <row r="1787" spans="1:13" ht="13.5">
      <c r="A1787" s="475" t="s">
        <v>5356</v>
      </c>
      <c r="B1787" s="475" t="s">
        <v>5357</v>
      </c>
      <c r="C1787" s="475" t="s">
        <v>5363</v>
      </c>
      <c r="D1787" s="475" t="s">
        <v>5364</v>
      </c>
      <c r="E1787" s="476">
        <v>74136</v>
      </c>
      <c r="F1787" s="475" t="s">
        <v>5367</v>
      </c>
      <c r="G1787" s="364" t="s">
        <v>1538</v>
      </c>
      <c r="H1787" s="475" t="s">
        <v>1539</v>
      </c>
      <c r="I1787" s="475" t="s">
        <v>322</v>
      </c>
      <c r="J1787" s="475" t="s">
        <v>140</v>
      </c>
      <c r="K1787" s="365">
        <v>318.22000000000003</v>
      </c>
      <c r="L1787" s="475" t="s">
        <v>141</v>
      </c>
      <c r="M1787" s="473"/>
    </row>
    <row r="1788" spans="1:13" ht="13.5">
      <c r="A1788" s="475" t="s">
        <v>5356</v>
      </c>
      <c r="B1788" s="475" t="s">
        <v>5357</v>
      </c>
      <c r="C1788" s="475" t="s">
        <v>5363</v>
      </c>
      <c r="D1788" s="475" t="s">
        <v>5364</v>
      </c>
      <c r="E1788" s="476">
        <v>74136</v>
      </c>
      <c r="F1788" s="475" t="s">
        <v>5367</v>
      </c>
      <c r="G1788" s="364" t="s">
        <v>1540</v>
      </c>
      <c r="H1788" s="475" t="s">
        <v>1541</v>
      </c>
      <c r="I1788" s="475" t="s">
        <v>322</v>
      </c>
      <c r="J1788" s="475" t="s">
        <v>140</v>
      </c>
      <c r="K1788" s="365">
        <v>235.81</v>
      </c>
      <c r="L1788" s="475" t="s">
        <v>141</v>
      </c>
      <c r="M1788" s="473"/>
    </row>
    <row r="1789" spans="1:13" ht="13.5">
      <c r="A1789" s="475" t="s">
        <v>5356</v>
      </c>
      <c r="B1789" s="475" t="s">
        <v>5357</v>
      </c>
      <c r="C1789" s="475" t="s">
        <v>5363</v>
      </c>
      <c r="D1789" s="475" t="s">
        <v>5364</v>
      </c>
      <c r="E1789" s="476" t="s">
        <v>34</v>
      </c>
      <c r="F1789" s="475" t="s">
        <v>34</v>
      </c>
      <c r="G1789" s="364">
        <v>84854</v>
      </c>
      <c r="H1789" s="475" t="s">
        <v>1542</v>
      </c>
      <c r="I1789" s="475" t="s">
        <v>139</v>
      </c>
      <c r="J1789" s="475" t="s">
        <v>337</v>
      </c>
      <c r="K1789" s="365">
        <v>31.2</v>
      </c>
      <c r="L1789" s="475" t="s">
        <v>141</v>
      </c>
      <c r="M1789" s="473"/>
    </row>
    <row r="1790" spans="1:13" ht="13.5">
      <c r="A1790" s="475" t="s">
        <v>5356</v>
      </c>
      <c r="B1790" s="475" t="s">
        <v>5357</v>
      </c>
      <c r="C1790" s="475" t="s">
        <v>5368</v>
      </c>
      <c r="D1790" s="475" t="s">
        <v>5369</v>
      </c>
      <c r="E1790" s="476" t="s">
        <v>34</v>
      </c>
      <c r="F1790" s="475" t="s">
        <v>34</v>
      </c>
      <c r="G1790" s="364">
        <v>94559</v>
      </c>
      <c r="H1790" s="475" t="s">
        <v>1543</v>
      </c>
      <c r="I1790" s="475" t="s">
        <v>322</v>
      </c>
      <c r="J1790" s="475" t="s">
        <v>140</v>
      </c>
      <c r="K1790" s="365">
        <v>571.37</v>
      </c>
      <c r="L1790" s="475" t="s">
        <v>141</v>
      </c>
      <c r="M1790" s="473"/>
    </row>
    <row r="1791" spans="1:13" ht="13.5">
      <c r="A1791" s="475" t="s">
        <v>5356</v>
      </c>
      <c r="B1791" s="475" t="s">
        <v>5357</v>
      </c>
      <c r="C1791" s="475" t="s">
        <v>5368</v>
      </c>
      <c r="D1791" s="475" t="s">
        <v>5369</v>
      </c>
      <c r="E1791" s="476" t="s">
        <v>34</v>
      </c>
      <c r="F1791" s="475" t="s">
        <v>34</v>
      </c>
      <c r="G1791" s="364">
        <v>94560</v>
      </c>
      <c r="H1791" s="475" t="s">
        <v>1544</v>
      </c>
      <c r="I1791" s="475" t="s">
        <v>322</v>
      </c>
      <c r="J1791" s="475" t="s">
        <v>140</v>
      </c>
      <c r="K1791" s="365">
        <v>520.78</v>
      </c>
      <c r="L1791" s="475" t="s">
        <v>141</v>
      </c>
      <c r="M1791" s="473"/>
    </row>
    <row r="1792" spans="1:13" ht="13.5">
      <c r="A1792" s="475" t="s">
        <v>5356</v>
      </c>
      <c r="B1792" s="475" t="s">
        <v>5357</v>
      </c>
      <c r="C1792" s="475" t="s">
        <v>5368</v>
      </c>
      <c r="D1792" s="475" t="s">
        <v>5369</v>
      </c>
      <c r="E1792" s="476" t="s">
        <v>34</v>
      </c>
      <c r="F1792" s="475" t="s">
        <v>34</v>
      </c>
      <c r="G1792" s="364">
        <v>94562</v>
      </c>
      <c r="H1792" s="475" t="s">
        <v>1545</v>
      </c>
      <c r="I1792" s="475" t="s">
        <v>322</v>
      </c>
      <c r="J1792" s="475" t="s">
        <v>140</v>
      </c>
      <c r="K1792" s="365">
        <v>546.79999999999995</v>
      </c>
      <c r="L1792" s="475" t="s">
        <v>141</v>
      </c>
      <c r="M1792" s="473"/>
    </row>
    <row r="1793" spans="1:13" ht="13.5">
      <c r="A1793" s="475" t="s">
        <v>5356</v>
      </c>
      <c r="B1793" s="475" t="s">
        <v>5357</v>
      </c>
      <c r="C1793" s="475" t="s">
        <v>5368</v>
      </c>
      <c r="D1793" s="475" t="s">
        <v>5369</v>
      </c>
      <c r="E1793" s="476" t="s">
        <v>34</v>
      </c>
      <c r="F1793" s="475" t="s">
        <v>34</v>
      </c>
      <c r="G1793" s="364">
        <v>94563</v>
      </c>
      <c r="H1793" s="475" t="s">
        <v>1546</v>
      </c>
      <c r="I1793" s="475" t="s">
        <v>322</v>
      </c>
      <c r="J1793" s="475" t="s">
        <v>140</v>
      </c>
      <c r="K1793" s="365">
        <v>687.46</v>
      </c>
      <c r="L1793" s="475" t="s">
        <v>141</v>
      </c>
      <c r="M1793" s="473"/>
    </row>
    <row r="1794" spans="1:13" ht="13.5">
      <c r="A1794" s="475" t="s">
        <v>5356</v>
      </c>
      <c r="B1794" s="475" t="s">
        <v>5357</v>
      </c>
      <c r="C1794" s="475" t="s">
        <v>5368</v>
      </c>
      <c r="D1794" s="475" t="s">
        <v>5369</v>
      </c>
      <c r="E1794" s="476" t="s">
        <v>34</v>
      </c>
      <c r="F1794" s="475" t="s">
        <v>34</v>
      </c>
      <c r="G1794" s="364">
        <v>94564</v>
      </c>
      <c r="H1794" s="475" t="s">
        <v>1547</v>
      </c>
      <c r="I1794" s="475" t="s">
        <v>322</v>
      </c>
      <c r="J1794" s="475" t="s">
        <v>140</v>
      </c>
      <c r="K1794" s="365">
        <v>522.6</v>
      </c>
      <c r="L1794" s="475" t="s">
        <v>141</v>
      </c>
      <c r="M1794" s="473"/>
    </row>
    <row r="1795" spans="1:13" ht="13.5">
      <c r="A1795" s="475" t="s">
        <v>5356</v>
      </c>
      <c r="B1795" s="475" t="s">
        <v>5357</v>
      </c>
      <c r="C1795" s="475" t="s">
        <v>5368</v>
      </c>
      <c r="D1795" s="475" t="s">
        <v>5369</v>
      </c>
      <c r="E1795" s="476" t="s">
        <v>34</v>
      </c>
      <c r="F1795" s="475" t="s">
        <v>34</v>
      </c>
      <c r="G1795" s="364">
        <v>94565</v>
      </c>
      <c r="H1795" s="475" t="s">
        <v>1548</v>
      </c>
      <c r="I1795" s="475" t="s">
        <v>322</v>
      </c>
      <c r="J1795" s="475" t="s">
        <v>140</v>
      </c>
      <c r="K1795" s="365">
        <v>504.56</v>
      </c>
      <c r="L1795" s="475" t="s">
        <v>141</v>
      </c>
      <c r="M1795" s="473"/>
    </row>
    <row r="1796" spans="1:13" ht="13.5">
      <c r="A1796" s="475" t="s">
        <v>5356</v>
      </c>
      <c r="B1796" s="475" t="s">
        <v>5357</v>
      </c>
      <c r="C1796" s="475" t="s">
        <v>5368</v>
      </c>
      <c r="D1796" s="475" t="s">
        <v>5369</v>
      </c>
      <c r="E1796" s="476" t="s">
        <v>34</v>
      </c>
      <c r="F1796" s="475" t="s">
        <v>34</v>
      </c>
      <c r="G1796" s="364">
        <v>94567</v>
      </c>
      <c r="H1796" s="475" t="s">
        <v>1549</v>
      </c>
      <c r="I1796" s="475" t="s">
        <v>322</v>
      </c>
      <c r="J1796" s="475" t="s">
        <v>140</v>
      </c>
      <c r="K1796" s="365">
        <v>525.38</v>
      </c>
      <c r="L1796" s="475" t="s">
        <v>141</v>
      </c>
      <c r="M1796" s="473"/>
    </row>
    <row r="1797" spans="1:13" ht="13.5">
      <c r="A1797" s="475" t="s">
        <v>5356</v>
      </c>
      <c r="B1797" s="475" t="s">
        <v>5357</v>
      </c>
      <c r="C1797" s="475" t="s">
        <v>5368</v>
      </c>
      <c r="D1797" s="475" t="s">
        <v>5369</v>
      </c>
      <c r="E1797" s="476" t="s">
        <v>34</v>
      </c>
      <c r="F1797" s="475" t="s">
        <v>34</v>
      </c>
      <c r="G1797" s="364">
        <v>94568</v>
      </c>
      <c r="H1797" s="475" t="s">
        <v>1550</v>
      </c>
      <c r="I1797" s="475" t="s">
        <v>322</v>
      </c>
      <c r="J1797" s="475" t="s">
        <v>140</v>
      </c>
      <c r="K1797" s="365">
        <v>662.28</v>
      </c>
      <c r="L1797" s="475" t="s">
        <v>141</v>
      </c>
      <c r="M1797" s="473"/>
    </row>
    <row r="1798" spans="1:13" ht="13.5">
      <c r="A1798" s="475" t="s">
        <v>5356</v>
      </c>
      <c r="B1798" s="475" t="s">
        <v>5357</v>
      </c>
      <c r="C1798" s="475" t="s">
        <v>5370</v>
      </c>
      <c r="D1798" s="475" t="s">
        <v>5371</v>
      </c>
      <c r="E1798" s="476" t="s">
        <v>34</v>
      </c>
      <c r="F1798" s="475" t="s">
        <v>34</v>
      </c>
      <c r="G1798" s="364">
        <v>99837</v>
      </c>
      <c r="H1798" s="475" t="s">
        <v>15137</v>
      </c>
      <c r="I1798" s="475" t="s">
        <v>139</v>
      </c>
      <c r="J1798" s="475" t="s">
        <v>337</v>
      </c>
      <c r="K1798" s="365">
        <v>386.8</v>
      </c>
      <c r="L1798" s="475" t="s">
        <v>141</v>
      </c>
      <c r="M1798" s="473"/>
    </row>
    <row r="1799" spans="1:13" ht="13.5">
      <c r="A1799" s="475" t="s">
        <v>5356</v>
      </c>
      <c r="B1799" s="475" t="s">
        <v>5357</v>
      </c>
      <c r="C1799" s="475" t="s">
        <v>5370</v>
      </c>
      <c r="D1799" s="475" t="s">
        <v>5371</v>
      </c>
      <c r="E1799" s="476" t="s">
        <v>34</v>
      </c>
      <c r="F1799" s="475" t="s">
        <v>34</v>
      </c>
      <c r="G1799" s="364">
        <v>99839</v>
      </c>
      <c r="H1799" s="475" t="s">
        <v>15138</v>
      </c>
      <c r="I1799" s="475" t="s">
        <v>139</v>
      </c>
      <c r="J1799" s="475" t="s">
        <v>337</v>
      </c>
      <c r="K1799" s="365">
        <v>320.64999999999998</v>
      </c>
      <c r="L1799" s="475" t="s">
        <v>141</v>
      </c>
      <c r="M1799" s="473"/>
    </row>
    <row r="1800" spans="1:13" ht="13.5">
      <c r="A1800" s="475" t="s">
        <v>5356</v>
      </c>
      <c r="B1800" s="475" t="s">
        <v>5357</v>
      </c>
      <c r="C1800" s="475" t="s">
        <v>5370</v>
      </c>
      <c r="D1800" s="475" t="s">
        <v>5371</v>
      </c>
      <c r="E1800" s="476" t="s">
        <v>34</v>
      </c>
      <c r="F1800" s="475" t="s">
        <v>34</v>
      </c>
      <c r="G1800" s="364">
        <v>99841</v>
      </c>
      <c r="H1800" s="475" t="s">
        <v>15139</v>
      </c>
      <c r="I1800" s="475" t="s">
        <v>139</v>
      </c>
      <c r="J1800" s="475" t="s">
        <v>140</v>
      </c>
      <c r="K1800" s="365">
        <v>569.61</v>
      </c>
      <c r="L1800" s="475" t="s">
        <v>141</v>
      </c>
      <c r="M1800" s="473"/>
    </row>
    <row r="1801" spans="1:13" ht="13.5">
      <c r="A1801" s="475" t="s">
        <v>5356</v>
      </c>
      <c r="B1801" s="475" t="s">
        <v>5357</v>
      </c>
      <c r="C1801" s="475" t="s">
        <v>5370</v>
      </c>
      <c r="D1801" s="475" t="s">
        <v>5371</v>
      </c>
      <c r="E1801" s="476" t="s">
        <v>34</v>
      </c>
      <c r="F1801" s="475" t="s">
        <v>34</v>
      </c>
      <c r="G1801" s="364">
        <v>99855</v>
      </c>
      <c r="H1801" s="475" t="s">
        <v>15140</v>
      </c>
      <c r="I1801" s="475" t="s">
        <v>139</v>
      </c>
      <c r="J1801" s="475" t="s">
        <v>337</v>
      </c>
      <c r="K1801" s="365">
        <v>70.819999999999993</v>
      </c>
      <c r="L1801" s="475" t="s">
        <v>141</v>
      </c>
      <c r="M1801" s="473"/>
    </row>
    <row r="1802" spans="1:13" ht="13.5">
      <c r="A1802" s="475" t="s">
        <v>5356</v>
      </c>
      <c r="B1802" s="475" t="s">
        <v>5357</v>
      </c>
      <c r="C1802" s="475" t="s">
        <v>5370</v>
      </c>
      <c r="D1802" s="475" t="s">
        <v>5371</v>
      </c>
      <c r="E1802" s="476" t="s">
        <v>34</v>
      </c>
      <c r="F1802" s="475" t="s">
        <v>34</v>
      </c>
      <c r="G1802" s="364">
        <v>99857</v>
      </c>
      <c r="H1802" s="475" t="s">
        <v>15141</v>
      </c>
      <c r="I1802" s="475" t="s">
        <v>139</v>
      </c>
      <c r="J1802" s="475" t="s">
        <v>140</v>
      </c>
      <c r="K1802" s="365">
        <v>60.75</v>
      </c>
      <c r="L1802" s="475" t="s">
        <v>141</v>
      </c>
      <c r="M1802" s="473"/>
    </row>
    <row r="1803" spans="1:13" ht="13.5">
      <c r="A1803" s="475" t="s">
        <v>5356</v>
      </c>
      <c r="B1803" s="475" t="s">
        <v>5357</v>
      </c>
      <c r="C1803" s="475" t="s">
        <v>5370</v>
      </c>
      <c r="D1803" s="475" t="s">
        <v>5371</v>
      </c>
      <c r="E1803" s="476" t="s">
        <v>34</v>
      </c>
      <c r="F1803" s="475" t="s">
        <v>34</v>
      </c>
      <c r="G1803" s="364">
        <v>99861</v>
      </c>
      <c r="H1803" s="475" t="s">
        <v>15142</v>
      </c>
      <c r="I1803" s="475" t="s">
        <v>322</v>
      </c>
      <c r="J1803" s="475" t="s">
        <v>140</v>
      </c>
      <c r="K1803" s="365">
        <v>398.47</v>
      </c>
      <c r="L1803" s="475" t="s">
        <v>141</v>
      </c>
      <c r="M1803" s="473"/>
    </row>
    <row r="1804" spans="1:13" ht="13.5">
      <c r="A1804" s="475" t="s">
        <v>5356</v>
      </c>
      <c r="B1804" s="475" t="s">
        <v>5357</v>
      </c>
      <c r="C1804" s="475" t="s">
        <v>5370</v>
      </c>
      <c r="D1804" s="475" t="s">
        <v>5371</v>
      </c>
      <c r="E1804" s="476" t="s">
        <v>34</v>
      </c>
      <c r="F1804" s="475" t="s">
        <v>34</v>
      </c>
      <c r="G1804" s="364">
        <v>99862</v>
      </c>
      <c r="H1804" s="475" t="s">
        <v>15143</v>
      </c>
      <c r="I1804" s="475" t="s">
        <v>322</v>
      </c>
      <c r="J1804" s="475" t="s">
        <v>140</v>
      </c>
      <c r="K1804" s="365">
        <v>399.67</v>
      </c>
      <c r="L1804" s="475" t="s">
        <v>141</v>
      </c>
      <c r="M1804" s="473"/>
    </row>
    <row r="1805" spans="1:13" ht="13.5">
      <c r="A1805" s="475" t="s">
        <v>5356</v>
      </c>
      <c r="B1805" s="475" t="s">
        <v>5357</v>
      </c>
      <c r="C1805" s="475" t="s">
        <v>5372</v>
      </c>
      <c r="D1805" s="475" t="s">
        <v>5373</v>
      </c>
      <c r="E1805" s="476" t="s">
        <v>34</v>
      </c>
      <c r="F1805" s="475" t="s">
        <v>34</v>
      </c>
      <c r="G1805" s="364">
        <v>73665</v>
      </c>
      <c r="H1805" s="475" t="s">
        <v>1551</v>
      </c>
      <c r="I1805" s="475" t="s">
        <v>139</v>
      </c>
      <c r="J1805" s="475" t="s">
        <v>337</v>
      </c>
      <c r="K1805" s="365">
        <v>59.49</v>
      </c>
      <c r="L1805" s="475" t="s">
        <v>141</v>
      </c>
      <c r="M1805" s="473"/>
    </row>
    <row r="1806" spans="1:13" ht="13.5">
      <c r="A1806" s="475" t="s">
        <v>5356</v>
      </c>
      <c r="B1806" s="475" t="s">
        <v>5357</v>
      </c>
      <c r="C1806" s="475" t="s">
        <v>5372</v>
      </c>
      <c r="D1806" s="475" t="s">
        <v>5373</v>
      </c>
      <c r="E1806" s="476">
        <v>74194</v>
      </c>
      <c r="F1806" s="475" t="s">
        <v>5374</v>
      </c>
      <c r="G1806" s="364" t="s">
        <v>1552</v>
      </c>
      <c r="H1806" s="475" t="s">
        <v>1553</v>
      </c>
      <c r="I1806" s="475" t="s">
        <v>139</v>
      </c>
      <c r="J1806" s="475" t="s">
        <v>337</v>
      </c>
      <c r="K1806" s="365">
        <v>249.3</v>
      </c>
      <c r="L1806" s="475" t="s">
        <v>141</v>
      </c>
      <c r="M1806" s="473"/>
    </row>
    <row r="1807" spans="1:13" ht="13.5">
      <c r="A1807" s="475" t="s">
        <v>5356</v>
      </c>
      <c r="B1807" s="475" t="s">
        <v>5357</v>
      </c>
      <c r="C1807" s="475" t="s">
        <v>5375</v>
      </c>
      <c r="D1807" s="475" t="s">
        <v>5376</v>
      </c>
      <c r="E1807" s="476" t="s">
        <v>34</v>
      </c>
      <c r="F1807" s="475" t="s">
        <v>34</v>
      </c>
      <c r="G1807" s="364">
        <v>68050</v>
      </c>
      <c r="H1807" s="475" t="s">
        <v>1554</v>
      </c>
      <c r="I1807" s="475" t="s">
        <v>322</v>
      </c>
      <c r="J1807" s="475" t="s">
        <v>140</v>
      </c>
      <c r="K1807" s="365">
        <v>339.64</v>
      </c>
      <c r="L1807" s="475" t="s">
        <v>141</v>
      </c>
      <c r="M1807" s="473"/>
    </row>
    <row r="1808" spans="1:13" ht="13.5">
      <c r="A1808" s="475" t="s">
        <v>5356</v>
      </c>
      <c r="B1808" s="475" t="s">
        <v>5357</v>
      </c>
      <c r="C1808" s="475" t="s">
        <v>5375</v>
      </c>
      <c r="D1808" s="475" t="s">
        <v>5376</v>
      </c>
      <c r="E1808" s="476" t="s">
        <v>34</v>
      </c>
      <c r="F1808" s="475" t="s">
        <v>34</v>
      </c>
      <c r="G1808" s="364">
        <v>90838</v>
      </c>
      <c r="H1808" s="475" t="s">
        <v>1555</v>
      </c>
      <c r="I1808" s="475" t="s">
        <v>171</v>
      </c>
      <c r="J1808" s="475" t="s">
        <v>140</v>
      </c>
      <c r="K1808" s="365">
        <v>897.91</v>
      </c>
      <c r="L1808" s="475" t="s">
        <v>141</v>
      </c>
      <c r="M1808" s="473"/>
    </row>
    <row r="1809" spans="1:13" ht="13.5">
      <c r="A1809" s="475" t="s">
        <v>5356</v>
      </c>
      <c r="B1809" s="475" t="s">
        <v>5357</v>
      </c>
      <c r="C1809" s="475" t="s">
        <v>5375</v>
      </c>
      <c r="D1809" s="475" t="s">
        <v>5376</v>
      </c>
      <c r="E1809" s="476" t="s">
        <v>34</v>
      </c>
      <c r="F1809" s="475" t="s">
        <v>34</v>
      </c>
      <c r="G1809" s="364">
        <v>91338</v>
      </c>
      <c r="H1809" s="475" t="s">
        <v>6164</v>
      </c>
      <c r="I1809" s="475" t="s">
        <v>322</v>
      </c>
      <c r="J1809" s="475" t="s">
        <v>140</v>
      </c>
      <c r="K1809" s="365">
        <v>552.33000000000004</v>
      </c>
      <c r="L1809" s="475" t="s">
        <v>141</v>
      </c>
      <c r="M1809" s="473"/>
    </row>
    <row r="1810" spans="1:13" ht="13.5">
      <c r="A1810" s="475" t="s">
        <v>5356</v>
      </c>
      <c r="B1810" s="475" t="s">
        <v>5357</v>
      </c>
      <c r="C1810" s="475" t="s">
        <v>5375</v>
      </c>
      <c r="D1810" s="475" t="s">
        <v>5376</v>
      </c>
      <c r="E1810" s="476" t="s">
        <v>34</v>
      </c>
      <c r="F1810" s="475" t="s">
        <v>34</v>
      </c>
      <c r="G1810" s="364">
        <v>91341</v>
      </c>
      <c r="H1810" s="475" t="s">
        <v>1556</v>
      </c>
      <c r="I1810" s="475" t="s">
        <v>322</v>
      </c>
      <c r="J1810" s="475" t="s">
        <v>140</v>
      </c>
      <c r="K1810" s="365">
        <v>411.26</v>
      </c>
      <c r="L1810" s="475" t="s">
        <v>141</v>
      </c>
      <c r="M1810" s="473"/>
    </row>
    <row r="1811" spans="1:13" ht="13.5">
      <c r="A1811" s="475" t="s">
        <v>5356</v>
      </c>
      <c r="B1811" s="475" t="s">
        <v>5357</v>
      </c>
      <c r="C1811" s="475" t="s">
        <v>5375</v>
      </c>
      <c r="D1811" s="475" t="s">
        <v>5376</v>
      </c>
      <c r="E1811" s="476" t="s">
        <v>34</v>
      </c>
      <c r="F1811" s="475" t="s">
        <v>34</v>
      </c>
      <c r="G1811" s="364">
        <v>94805</v>
      </c>
      <c r="H1811" s="475" t="s">
        <v>1557</v>
      </c>
      <c r="I1811" s="475" t="s">
        <v>171</v>
      </c>
      <c r="J1811" s="475" t="s">
        <v>140</v>
      </c>
      <c r="K1811" s="365">
        <v>640.63</v>
      </c>
      <c r="L1811" s="475" t="s">
        <v>141</v>
      </c>
      <c r="M1811" s="473"/>
    </row>
    <row r="1812" spans="1:13" ht="13.5">
      <c r="A1812" s="475" t="s">
        <v>5356</v>
      </c>
      <c r="B1812" s="475" t="s">
        <v>5357</v>
      </c>
      <c r="C1812" s="475" t="s">
        <v>5375</v>
      </c>
      <c r="D1812" s="475" t="s">
        <v>5376</v>
      </c>
      <c r="E1812" s="476" t="s">
        <v>34</v>
      </c>
      <c r="F1812" s="475" t="s">
        <v>34</v>
      </c>
      <c r="G1812" s="364">
        <v>94806</v>
      </c>
      <c r="H1812" s="475" t="s">
        <v>1558</v>
      </c>
      <c r="I1812" s="475" t="s">
        <v>171</v>
      </c>
      <c r="J1812" s="475" t="s">
        <v>140</v>
      </c>
      <c r="K1812" s="365">
        <v>434.77</v>
      </c>
      <c r="L1812" s="475" t="s">
        <v>141</v>
      </c>
      <c r="M1812" s="473"/>
    </row>
    <row r="1813" spans="1:13" ht="13.5">
      <c r="A1813" s="475" t="s">
        <v>5356</v>
      </c>
      <c r="B1813" s="475" t="s">
        <v>5357</v>
      </c>
      <c r="C1813" s="475" t="s">
        <v>5375</v>
      </c>
      <c r="D1813" s="475" t="s">
        <v>5376</v>
      </c>
      <c r="E1813" s="476" t="s">
        <v>34</v>
      </c>
      <c r="F1813" s="475" t="s">
        <v>34</v>
      </c>
      <c r="G1813" s="364">
        <v>94807</v>
      </c>
      <c r="H1813" s="475" t="s">
        <v>1559</v>
      </c>
      <c r="I1813" s="475" t="s">
        <v>171</v>
      </c>
      <c r="J1813" s="475" t="s">
        <v>140</v>
      </c>
      <c r="K1813" s="365">
        <v>520.1</v>
      </c>
      <c r="L1813" s="475" t="s">
        <v>141</v>
      </c>
      <c r="M1813" s="473"/>
    </row>
    <row r="1814" spans="1:13" ht="13.5">
      <c r="A1814" s="475" t="s">
        <v>5356</v>
      </c>
      <c r="B1814" s="475" t="s">
        <v>5357</v>
      </c>
      <c r="C1814" s="475" t="s">
        <v>5377</v>
      </c>
      <c r="D1814" s="475" t="s">
        <v>5378</v>
      </c>
      <c r="E1814" s="476">
        <v>73736</v>
      </c>
      <c r="F1814" s="475" t="s">
        <v>5379</v>
      </c>
      <c r="G1814" s="364" t="s">
        <v>1560</v>
      </c>
      <c r="H1814" s="475" t="s">
        <v>1561</v>
      </c>
      <c r="I1814" s="475" t="s">
        <v>171</v>
      </c>
      <c r="J1814" s="475" t="s">
        <v>337</v>
      </c>
      <c r="K1814" s="365">
        <v>70.41</v>
      </c>
      <c r="L1814" s="475" t="s">
        <v>141</v>
      </c>
      <c r="M1814" s="473"/>
    </row>
    <row r="1815" spans="1:13" ht="13.5">
      <c r="A1815" s="475" t="s">
        <v>5356</v>
      </c>
      <c r="B1815" s="475" t="s">
        <v>5357</v>
      </c>
      <c r="C1815" s="475" t="s">
        <v>5377</v>
      </c>
      <c r="D1815" s="475" t="s">
        <v>5378</v>
      </c>
      <c r="E1815" s="476" t="s">
        <v>34</v>
      </c>
      <c r="F1815" s="475" t="s">
        <v>34</v>
      </c>
      <c r="G1815" s="364">
        <v>84885</v>
      </c>
      <c r="H1815" s="475" t="s">
        <v>1562</v>
      </c>
      <c r="I1815" s="475" t="s">
        <v>171</v>
      </c>
      <c r="J1815" s="475" t="s">
        <v>337</v>
      </c>
      <c r="K1815" s="365">
        <v>638.03</v>
      </c>
      <c r="L1815" s="475" t="s">
        <v>141</v>
      </c>
      <c r="M1815" s="473"/>
    </row>
    <row r="1816" spans="1:13" ht="13.5">
      <c r="A1816" s="475" t="s">
        <v>5356</v>
      </c>
      <c r="B1816" s="475" t="s">
        <v>5357</v>
      </c>
      <c r="C1816" s="475" t="s">
        <v>5377</v>
      </c>
      <c r="D1816" s="475" t="s">
        <v>5378</v>
      </c>
      <c r="E1816" s="476" t="s">
        <v>34</v>
      </c>
      <c r="F1816" s="475" t="s">
        <v>34</v>
      </c>
      <c r="G1816" s="364">
        <v>84886</v>
      </c>
      <c r="H1816" s="475" t="s">
        <v>1563</v>
      </c>
      <c r="I1816" s="475" t="s">
        <v>171</v>
      </c>
      <c r="J1816" s="475" t="s">
        <v>337</v>
      </c>
      <c r="K1816" s="365">
        <v>1184.6199999999999</v>
      </c>
      <c r="L1816" s="475" t="s">
        <v>141</v>
      </c>
      <c r="M1816" s="473"/>
    </row>
    <row r="1817" spans="1:13" ht="13.5">
      <c r="A1817" s="475" t="s">
        <v>5356</v>
      </c>
      <c r="B1817" s="475" t="s">
        <v>5357</v>
      </c>
      <c r="C1817" s="475" t="s">
        <v>5377</v>
      </c>
      <c r="D1817" s="475" t="s">
        <v>5378</v>
      </c>
      <c r="E1817" s="476" t="s">
        <v>34</v>
      </c>
      <c r="F1817" s="475" t="s">
        <v>34</v>
      </c>
      <c r="G1817" s="364">
        <v>84889</v>
      </c>
      <c r="H1817" s="475" t="s">
        <v>1564</v>
      </c>
      <c r="I1817" s="475" t="s">
        <v>171</v>
      </c>
      <c r="J1817" s="475" t="s">
        <v>337</v>
      </c>
      <c r="K1817" s="365">
        <v>17.48</v>
      </c>
      <c r="L1817" s="475" t="s">
        <v>141</v>
      </c>
      <c r="M1817" s="473"/>
    </row>
    <row r="1818" spans="1:13" ht="13.5">
      <c r="A1818" s="475" t="s">
        <v>5356</v>
      </c>
      <c r="B1818" s="475" t="s">
        <v>5357</v>
      </c>
      <c r="C1818" s="475" t="s">
        <v>5380</v>
      </c>
      <c r="D1818" s="475" t="s">
        <v>5381</v>
      </c>
      <c r="E1818" s="476" t="s">
        <v>34</v>
      </c>
      <c r="F1818" s="475" t="s">
        <v>34</v>
      </c>
      <c r="G1818" s="364">
        <v>84891</v>
      </c>
      <c r="H1818" s="475" t="s">
        <v>1565</v>
      </c>
      <c r="I1818" s="475" t="s">
        <v>171</v>
      </c>
      <c r="J1818" s="475" t="s">
        <v>337</v>
      </c>
      <c r="K1818" s="365">
        <v>182.24</v>
      </c>
      <c r="L1818" s="475" t="s">
        <v>141</v>
      </c>
      <c r="M1818" s="473"/>
    </row>
    <row r="1819" spans="1:13" ht="13.5">
      <c r="A1819" s="475" t="s">
        <v>5356</v>
      </c>
      <c r="B1819" s="475" t="s">
        <v>5357</v>
      </c>
      <c r="C1819" s="475" t="s">
        <v>5382</v>
      </c>
      <c r="D1819" s="475" t="s">
        <v>5383</v>
      </c>
      <c r="E1819" s="476">
        <v>74046</v>
      </c>
      <c r="F1819" s="475" t="s">
        <v>5384</v>
      </c>
      <c r="G1819" s="364" t="s">
        <v>1566</v>
      </c>
      <c r="H1819" s="475" t="s">
        <v>1567</v>
      </c>
      <c r="I1819" s="475" t="s">
        <v>171</v>
      </c>
      <c r="J1819" s="475" t="s">
        <v>337</v>
      </c>
      <c r="K1819" s="365">
        <v>33.49</v>
      </c>
      <c r="L1819" s="475" t="s">
        <v>141</v>
      </c>
      <c r="M1819" s="473"/>
    </row>
    <row r="1820" spans="1:13" ht="13.5">
      <c r="A1820" s="475" t="s">
        <v>5356</v>
      </c>
      <c r="B1820" s="475" t="s">
        <v>5357</v>
      </c>
      <c r="C1820" s="475" t="s">
        <v>5382</v>
      </c>
      <c r="D1820" s="475" t="s">
        <v>5383</v>
      </c>
      <c r="E1820" s="476">
        <v>74047</v>
      </c>
      <c r="F1820" s="475" t="s">
        <v>5385</v>
      </c>
      <c r="G1820" s="364" t="s">
        <v>1568</v>
      </c>
      <c r="H1820" s="475" t="s">
        <v>1569</v>
      </c>
      <c r="I1820" s="475" t="s">
        <v>171</v>
      </c>
      <c r="J1820" s="475" t="s">
        <v>337</v>
      </c>
      <c r="K1820" s="365">
        <v>21.9</v>
      </c>
      <c r="L1820" s="475" t="s">
        <v>141</v>
      </c>
      <c r="M1820" s="473"/>
    </row>
    <row r="1821" spans="1:13" ht="13.5">
      <c r="A1821" s="475" t="s">
        <v>5356</v>
      </c>
      <c r="B1821" s="475" t="s">
        <v>5357</v>
      </c>
      <c r="C1821" s="475" t="s">
        <v>5382</v>
      </c>
      <c r="D1821" s="475" t="s">
        <v>5383</v>
      </c>
      <c r="E1821" s="476">
        <v>74084</v>
      </c>
      <c r="F1821" s="475" t="s">
        <v>5386</v>
      </c>
      <c r="G1821" s="364" t="s">
        <v>1570</v>
      </c>
      <c r="H1821" s="475" t="s">
        <v>1571</v>
      </c>
      <c r="I1821" s="475" t="s">
        <v>171</v>
      </c>
      <c r="J1821" s="475" t="s">
        <v>337</v>
      </c>
      <c r="K1821" s="365">
        <v>145</v>
      </c>
      <c r="L1821" s="475" t="s">
        <v>141</v>
      </c>
      <c r="M1821" s="473"/>
    </row>
    <row r="1822" spans="1:13" ht="13.5">
      <c r="A1822" s="475" t="s">
        <v>5356</v>
      </c>
      <c r="B1822" s="475" t="s">
        <v>5357</v>
      </c>
      <c r="C1822" s="475" t="s">
        <v>5382</v>
      </c>
      <c r="D1822" s="475" t="s">
        <v>5383</v>
      </c>
      <c r="E1822" s="476" t="s">
        <v>34</v>
      </c>
      <c r="F1822" s="475" t="s">
        <v>34</v>
      </c>
      <c r="G1822" s="364">
        <v>84950</v>
      </c>
      <c r="H1822" s="475" t="s">
        <v>1572</v>
      </c>
      <c r="I1822" s="475" t="s">
        <v>171</v>
      </c>
      <c r="J1822" s="475" t="s">
        <v>337</v>
      </c>
      <c r="K1822" s="365">
        <v>47.18</v>
      </c>
      <c r="L1822" s="475" t="s">
        <v>141</v>
      </c>
      <c r="M1822" s="473"/>
    </row>
    <row r="1823" spans="1:13" ht="13.5">
      <c r="A1823" s="475" t="s">
        <v>5356</v>
      </c>
      <c r="B1823" s="475" t="s">
        <v>5357</v>
      </c>
      <c r="C1823" s="475" t="s">
        <v>5382</v>
      </c>
      <c r="D1823" s="475" t="s">
        <v>5383</v>
      </c>
      <c r="E1823" s="476" t="s">
        <v>34</v>
      </c>
      <c r="F1823" s="475" t="s">
        <v>34</v>
      </c>
      <c r="G1823" s="364">
        <v>84952</v>
      </c>
      <c r="H1823" s="475" t="s">
        <v>1573</v>
      </c>
      <c r="I1823" s="475" t="s">
        <v>171</v>
      </c>
      <c r="J1823" s="475" t="s">
        <v>337</v>
      </c>
      <c r="K1823" s="365">
        <v>35.520000000000003</v>
      </c>
      <c r="L1823" s="475" t="s">
        <v>141</v>
      </c>
      <c r="M1823" s="473"/>
    </row>
    <row r="1824" spans="1:13" ht="13.5">
      <c r="A1824" s="475" t="s">
        <v>5356</v>
      </c>
      <c r="B1824" s="475" t="s">
        <v>5357</v>
      </c>
      <c r="C1824" s="475" t="s">
        <v>5387</v>
      </c>
      <c r="D1824" s="475" t="s">
        <v>5388</v>
      </c>
      <c r="E1824" s="476" t="s">
        <v>34</v>
      </c>
      <c r="F1824" s="475" t="s">
        <v>34</v>
      </c>
      <c r="G1824" s="364">
        <v>72116</v>
      </c>
      <c r="H1824" s="475" t="s">
        <v>1574</v>
      </c>
      <c r="I1824" s="475" t="s">
        <v>322</v>
      </c>
      <c r="J1824" s="475" t="s">
        <v>337</v>
      </c>
      <c r="K1824" s="365">
        <v>70.400000000000006</v>
      </c>
      <c r="L1824" s="475" t="s">
        <v>141</v>
      </c>
      <c r="M1824" s="473"/>
    </row>
    <row r="1825" spans="1:13" ht="13.5">
      <c r="A1825" s="475" t="s">
        <v>5356</v>
      </c>
      <c r="B1825" s="475" t="s">
        <v>5357</v>
      </c>
      <c r="C1825" s="475" t="s">
        <v>5387</v>
      </c>
      <c r="D1825" s="475" t="s">
        <v>5388</v>
      </c>
      <c r="E1825" s="476" t="s">
        <v>34</v>
      </c>
      <c r="F1825" s="475" t="s">
        <v>34</v>
      </c>
      <c r="G1825" s="364">
        <v>72117</v>
      </c>
      <c r="H1825" s="475" t="s">
        <v>1575</v>
      </c>
      <c r="I1825" s="475" t="s">
        <v>322</v>
      </c>
      <c r="J1825" s="475" t="s">
        <v>337</v>
      </c>
      <c r="K1825" s="365">
        <v>89.43</v>
      </c>
      <c r="L1825" s="475" t="s">
        <v>141</v>
      </c>
      <c r="M1825" s="473"/>
    </row>
    <row r="1826" spans="1:13" ht="13.5">
      <c r="A1826" s="475" t="s">
        <v>5356</v>
      </c>
      <c r="B1826" s="475" t="s">
        <v>5357</v>
      </c>
      <c r="C1826" s="475" t="s">
        <v>5387</v>
      </c>
      <c r="D1826" s="475" t="s">
        <v>5388</v>
      </c>
      <c r="E1826" s="476" t="s">
        <v>34</v>
      </c>
      <c r="F1826" s="475" t="s">
        <v>34</v>
      </c>
      <c r="G1826" s="364">
        <v>72118</v>
      </c>
      <c r="H1826" s="475" t="s">
        <v>1576</v>
      </c>
      <c r="I1826" s="475" t="s">
        <v>322</v>
      </c>
      <c r="J1826" s="475" t="s">
        <v>337</v>
      </c>
      <c r="K1826" s="365">
        <v>104.46</v>
      </c>
      <c r="L1826" s="475" t="s">
        <v>141</v>
      </c>
      <c r="M1826" s="473"/>
    </row>
    <row r="1827" spans="1:13" ht="13.5">
      <c r="A1827" s="475" t="s">
        <v>5356</v>
      </c>
      <c r="B1827" s="475" t="s">
        <v>5357</v>
      </c>
      <c r="C1827" s="475" t="s">
        <v>5387</v>
      </c>
      <c r="D1827" s="475" t="s">
        <v>5388</v>
      </c>
      <c r="E1827" s="476" t="s">
        <v>34</v>
      </c>
      <c r="F1827" s="475" t="s">
        <v>34</v>
      </c>
      <c r="G1827" s="364">
        <v>72119</v>
      </c>
      <c r="H1827" s="475" t="s">
        <v>1577</v>
      </c>
      <c r="I1827" s="475" t="s">
        <v>322</v>
      </c>
      <c r="J1827" s="475" t="s">
        <v>337</v>
      </c>
      <c r="K1827" s="365">
        <v>129.44999999999999</v>
      </c>
      <c r="L1827" s="475" t="s">
        <v>141</v>
      </c>
      <c r="M1827" s="473"/>
    </row>
    <row r="1828" spans="1:13" ht="13.5">
      <c r="A1828" s="475" t="s">
        <v>5356</v>
      </c>
      <c r="B1828" s="475" t="s">
        <v>5357</v>
      </c>
      <c r="C1828" s="475" t="s">
        <v>5387</v>
      </c>
      <c r="D1828" s="475" t="s">
        <v>5388</v>
      </c>
      <c r="E1828" s="476" t="s">
        <v>34</v>
      </c>
      <c r="F1828" s="475" t="s">
        <v>34</v>
      </c>
      <c r="G1828" s="364">
        <v>72120</v>
      </c>
      <c r="H1828" s="475" t="s">
        <v>1578</v>
      </c>
      <c r="I1828" s="475" t="s">
        <v>322</v>
      </c>
      <c r="J1828" s="475" t="s">
        <v>337</v>
      </c>
      <c r="K1828" s="365">
        <v>161.31</v>
      </c>
      <c r="L1828" s="475" t="s">
        <v>141</v>
      </c>
      <c r="M1828" s="473"/>
    </row>
    <row r="1829" spans="1:13" ht="13.5">
      <c r="A1829" s="475" t="s">
        <v>5356</v>
      </c>
      <c r="B1829" s="475" t="s">
        <v>5357</v>
      </c>
      <c r="C1829" s="475" t="s">
        <v>5387</v>
      </c>
      <c r="D1829" s="475" t="s">
        <v>5388</v>
      </c>
      <c r="E1829" s="476" t="s">
        <v>34</v>
      </c>
      <c r="F1829" s="475" t="s">
        <v>34</v>
      </c>
      <c r="G1829" s="364">
        <v>72122</v>
      </c>
      <c r="H1829" s="475" t="s">
        <v>1579</v>
      </c>
      <c r="I1829" s="475" t="s">
        <v>322</v>
      </c>
      <c r="J1829" s="475" t="s">
        <v>337</v>
      </c>
      <c r="K1829" s="365">
        <v>77.67</v>
      </c>
      <c r="L1829" s="475" t="s">
        <v>141</v>
      </c>
      <c r="M1829" s="473"/>
    </row>
    <row r="1830" spans="1:13" ht="13.5">
      <c r="A1830" s="475" t="s">
        <v>5356</v>
      </c>
      <c r="B1830" s="475" t="s">
        <v>5357</v>
      </c>
      <c r="C1830" s="475" t="s">
        <v>5387</v>
      </c>
      <c r="D1830" s="475" t="s">
        <v>5388</v>
      </c>
      <c r="E1830" s="476" t="s">
        <v>34</v>
      </c>
      <c r="F1830" s="475" t="s">
        <v>34</v>
      </c>
      <c r="G1830" s="364">
        <v>72123</v>
      </c>
      <c r="H1830" s="475" t="s">
        <v>1580</v>
      </c>
      <c r="I1830" s="475" t="s">
        <v>322</v>
      </c>
      <c r="J1830" s="475" t="s">
        <v>337</v>
      </c>
      <c r="K1830" s="365">
        <v>196.67</v>
      </c>
      <c r="L1830" s="475" t="s">
        <v>141</v>
      </c>
      <c r="M1830" s="473"/>
    </row>
    <row r="1831" spans="1:13" ht="13.5">
      <c r="A1831" s="475" t="s">
        <v>5356</v>
      </c>
      <c r="B1831" s="475" t="s">
        <v>5357</v>
      </c>
      <c r="C1831" s="475" t="s">
        <v>5387</v>
      </c>
      <c r="D1831" s="475" t="s">
        <v>5388</v>
      </c>
      <c r="E1831" s="476">
        <v>73838</v>
      </c>
      <c r="F1831" s="475" t="s">
        <v>5389</v>
      </c>
      <c r="G1831" s="364" t="s">
        <v>1581</v>
      </c>
      <c r="H1831" s="475" t="s">
        <v>1582</v>
      </c>
      <c r="I1831" s="475" t="s">
        <v>171</v>
      </c>
      <c r="J1831" s="475" t="s">
        <v>337</v>
      </c>
      <c r="K1831" s="365">
        <v>1837.97</v>
      </c>
      <c r="L1831" s="475" t="s">
        <v>141</v>
      </c>
      <c r="M1831" s="473"/>
    </row>
    <row r="1832" spans="1:13" ht="13.5">
      <c r="A1832" s="475" t="s">
        <v>5356</v>
      </c>
      <c r="B1832" s="475" t="s">
        <v>5357</v>
      </c>
      <c r="C1832" s="475" t="s">
        <v>5387</v>
      </c>
      <c r="D1832" s="475" t="s">
        <v>5388</v>
      </c>
      <c r="E1832" s="476">
        <v>74125</v>
      </c>
      <c r="F1832" s="475" t="s">
        <v>5390</v>
      </c>
      <c r="G1832" s="364" t="s">
        <v>1583</v>
      </c>
      <c r="H1832" s="475" t="s">
        <v>1584</v>
      </c>
      <c r="I1832" s="475" t="s">
        <v>322</v>
      </c>
      <c r="J1832" s="475" t="s">
        <v>337</v>
      </c>
      <c r="K1832" s="365">
        <v>290.68</v>
      </c>
      <c r="L1832" s="475" t="s">
        <v>141</v>
      </c>
      <c r="M1832" s="473"/>
    </row>
    <row r="1833" spans="1:13" ht="13.5">
      <c r="A1833" s="475" t="s">
        <v>5356</v>
      </c>
      <c r="B1833" s="475" t="s">
        <v>5357</v>
      </c>
      <c r="C1833" s="475" t="s">
        <v>5387</v>
      </c>
      <c r="D1833" s="475" t="s">
        <v>5388</v>
      </c>
      <c r="E1833" s="476">
        <v>74125</v>
      </c>
      <c r="F1833" s="475" t="s">
        <v>5390</v>
      </c>
      <c r="G1833" s="364" t="s">
        <v>1585</v>
      </c>
      <c r="H1833" s="475" t="s">
        <v>1586</v>
      </c>
      <c r="I1833" s="475" t="s">
        <v>322</v>
      </c>
      <c r="J1833" s="475" t="s">
        <v>140</v>
      </c>
      <c r="K1833" s="365">
        <v>321.89999999999998</v>
      </c>
      <c r="L1833" s="475" t="s">
        <v>141</v>
      </c>
      <c r="M1833" s="473"/>
    </row>
    <row r="1834" spans="1:13" ht="13.5">
      <c r="A1834" s="475" t="s">
        <v>5356</v>
      </c>
      <c r="B1834" s="475" t="s">
        <v>5357</v>
      </c>
      <c r="C1834" s="475" t="s">
        <v>5387</v>
      </c>
      <c r="D1834" s="475" t="s">
        <v>5388</v>
      </c>
      <c r="E1834" s="476" t="s">
        <v>34</v>
      </c>
      <c r="F1834" s="475" t="s">
        <v>34</v>
      </c>
      <c r="G1834" s="364">
        <v>84957</v>
      </c>
      <c r="H1834" s="475" t="s">
        <v>1587</v>
      </c>
      <c r="I1834" s="475" t="s">
        <v>322</v>
      </c>
      <c r="J1834" s="475" t="s">
        <v>337</v>
      </c>
      <c r="K1834" s="365">
        <v>108.79</v>
      </c>
      <c r="L1834" s="475" t="s">
        <v>141</v>
      </c>
      <c r="M1834" s="473"/>
    </row>
    <row r="1835" spans="1:13" ht="13.5">
      <c r="A1835" s="475" t="s">
        <v>5356</v>
      </c>
      <c r="B1835" s="475" t="s">
        <v>5357</v>
      </c>
      <c r="C1835" s="475" t="s">
        <v>5387</v>
      </c>
      <c r="D1835" s="475" t="s">
        <v>5388</v>
      </c>
      <c r="E1835" s="476" t="s">
        <v>34</v>
      </c>
      <c r="F1835" s="475" t="s">
        <v>34</v>
      </c>
      <c r="G1835" s="364">
        <v>84959</v>
      </c>
      <c r="H1835" s="475" t="s">
        <v>1588</v>
      </c>
      <c r="I1835" s="475" t="s">
        <v>322</v>
      </c>
      <c r="J1835" s="475" t="s">
        <v>337</v>
      </c>
      <c r="K1835" s="365">
        <v>125.79</v>
      </c>
      <c r="L1835" s="475" t="s">
        <v>141</v>
      </c>
      <c r="M1835" s="473"/>
    </row>
    <row r="1836" spans="1:13" ht="13.5">
      <c r="A1836" s="475" t="s">
        <v>5356</v>
      </c>
      <c r="B1836" s="475" t="s">
        <v>5357</v>
      </c>
      <c r="C1836" s="475" t="s">
        <v>5387</v>
      </c>
      <c r="D1836" s="475" t="s">
        <v>5388</v>
      </c>
      <c r="E1836" s="476" t="s">
        <v>34</v>
      </c>
      <c r="F1836" s="475" t="s">
        <v>34</v>
      </c>
      <c r="G1836" s="364">
        <v>85001</v>
      </c>
      <c r="H1836" s="475" t="s">
        <v>1589</v>
      </c>
      <c r="I1836" s="475" t="s">
        <v>322</v>
      </c>
      <c r="J1836" s="475" t="s">
        <v>337</v>
      </c>
      <c r="K1836" s="365">
        <v>120.12</v>
      </c>
      <c r="L1836" s="475" t="s">
        <v>141</v>
      </c>
      <c r="M1836" s="473"/>
    </row>
    <row r="1837" spans="1:13" ht="13.5">
      <c r="A1837" s="475" t="s">
        <v>5356</v>
      </c>
      <c r="B1837" s="475" t="s">
        <v>5357</v>
      </c>
      <c r="C1837" s="475" t="s">
        <v>5387</v>
      </c>
      <c r="D1837" s="475" t="s">
        <v>5388</v>
      </c>
      <c r="E1837" s="476" t="s">
        <v>34</v>
      </c>
      <c r="F1837" s="475" t="s">
        <v>34</v>
      </c>
      <c r="G1837" s="364">
        <v>85002</v>
      </c>
      <c r="H1837" s="475" t="s">
        <v>1590</v>
      </c>
      <c r="I1837" s="475" t="s">
        <v>322</v>
      </c>
      <c r="J1837" s="475" t="s">
        <v>337</v>
      </c>
      <c r="K1837" s="365">
        <v>165.46</v>
      </c>
      <c r="L1837" s="475" t="s">
        <v>141</v>
      </c>
      <c r="M1837" s="473"/>
    </row>
    <row r="1838" spans="1:13" ht="13.5">
      <c r="A1838" s="475" t="s">
        <v>5356</v>
      </c>
      <c r="B1838" s="475" t="s">
        <v>5357</v>
      </c>
      <c r="C1838" s="475" t="s">
        <v>5387</v>
      </c>
      <c r="D1838" s="475" t="s">
        <v>5388</v>
      </c>
      <c r="E1838" s="476" t="s">
        <v>34</v>
      </c>
      <c r="F1838" s="475" t="s">
        <v>34</v>
      </c>
      <c r="G1838" s="364">
        <v>85004</v>
      </c>
      <c r="H1838" s="475" t="s">
        <v>1591</v>
      </c>
      <c r="I1838" s="475" t="s">
        <v>322</v>
      </c>
      <c r="J1838" s="475" t="s">
        <v>337</v>
      </c>
      <c r="K1838" s="365">
        <v>86.12</v>
      </c>
      <c r="L1838" s="475" t="s">
        <v>141</v>
      </c>
      <c r="M1838" s="473"/>
    </row>
    <row r="1839" spans="1:13" ht="13.5">
      <c r="A1839" s="475" t="s">
        <v>5356</v>
      </c>
      <c r="B1839" s="475" t="s">
        <v>5357</v>
      </c>
      <c r="C1839" s="475" t="s">
        <v>5387</v>
      </c>
      <c r="D1839" s="475" t="s">
        <v>5388</v>
      </c>
      <c r="E1839" s="476" t="s">
        <v>34</v>
      </c>
      <c r="F1839" s="475" t="s">
        <v>34</v>
      </c>
      <c r="G1839" s="364">
        <v>85005</v>
      </c>
      <c r="H1839" s="475" t="s">
        <v>1592</v>
      </c>
      <c r="I1839" s="475" t="s">
        <v>322</v>
      </c>
      <c r="J1839" s="475" t="s">
        <v>140</v>
      </c>
      <c r="K1839" s="365">
        <v>251.13</v>
      </c>
      <c r="L1839" s="475" t="s">
        <v>141</v>
      </c>
      <c r="M1839" s="473"/>
    </row>
    <row r="1840" spans="1:13" ht="13.5">
      <c r="A1840" s="475" t="s">
        <v>5356</v>
      </c>
      <c r="B1840" s="475" t="s">
        <v>5357</v>
      </c>
      <c r="C1840" s="475" t="s">
        <v>5391</v>
      </c>
      <c r="D1840" s="475" t="s">
        <v>5392</v>
      </c>
      <c r="E1840" s="476" t="s">
        <v>34</v>
      </c>
      <c r="F1840" s="475" t="s">
        <v>34</v>
      </c>
      <c r="G1840" s="364">
        <v>68054</v>
      </c>
      <c r="H1840" s="475" t="s">
        <v>1593</v>
      </c>
      <c r="I1840" s="475" t="s">
        <v>322</v>
      </c>
      <c r="J1840" s="475" t="s">
        <v>140</v>
      </c>
      <c r="K1840" s="365">
        <v>221.78</v>
      </c>
      <c r="L1840" s="475" t="s">
        <v>141</v>
      </c>
      <c r="M1840" s="473"/>
    </row>
    <row r="1841" spans="1:13" ht="13.5">
      <c r="A1841" s="475" t="s">
        <v>5356</v>
      </c>
      <c r="B1841" s="475" t="s">
        <v>5357</v>
      </c>
      <c r="C1841" s="475" t="s">
        <v>5391</v>
      </c>
      <c r="D1841" s="475" t="s">
        <v>5392</v>
      </c>
      <c r="E1841" s="476">
        <v>74100</v>
      </c>
      <c r="F1841" s="475" t="s">
        <v>5393</v>
      </c>
      <c r="G1841" s="364" t="s">
        <v>1594</v>
      </c>
      <c r="H1841" s="475" t="s">
        <v>1595</v>
      </c>
      <c r="I1841" s="475" t="s">
        <v>322</v>
      </c>
      <c r="J1841" s="475" t="s">
        <v>140</v>
      </c>
      <c r="K1841" s="365">
        <v>401.14</v>
      </c>
      <c r="L1841" s="475" t="s">
        <v>141</v>
      </c>
      <c r="M1841" s="473"/>
    </row>
    <row r="1842" spans="1:13" ht="13.5">
      <c r="A1842" s="475" t="s">
        <v>5356</v>
      </c>
      <c r="B1842" s="475" t="s">
        <v>5357</v>
      </c>
      <c r="C1842" s="475" t="s">
        <v>5391</v>
      </c>
      <c r="D1842" s="475" t="s">
        <v>5392</v>
      </c>
      <c r="E1842" s="476">
        <v>74238</v>
      </c>
      <c r="F1842" s="475" t="s">
        <v>5394</v>
      </c>
      <c r="G1842" s="364" t="s">
        <v>1596</v>
      </c>
      <c r="H1842" s="475" t="s">
        <v>1597</v>
      </c>
      <c r="I1842" s="475" t="s">
        <v>322</v>
      </c>
      <c r="J1842" s="475" t="s">
        <v>140</v>
      </c>
      <c r="K1842" s="365">
        <v>660.49</v>
      </c>
      <c r="L1842" s="475" t="s">
        <v>141</v>
      </c>
      <c r="M1842" s="473"/>
    </row>
    <row r="1843" spans="1:13" ht="13.5">
      <c r="A1843" s="475" t="s">
        <v>5356</v>
      </c>
      <c r="B1843" s="475" t="s">
        <v>5357</v>
      </c>
      <c r="C1843" s="475" t="s">
        <v>5391</v>
      </c>
      <c r="D1843" s="475" t="s">
        <v>5392</v>
      </c>
      <c r="E1843" s="476" t="s">
        <v>34</v>
      </c>
      <c r="F1843" s="475" t="s">
        <v>34</v>
      </c>
      <c r="G1843" s="364">
        <v>85188</v>
      </c>
      <c r="H1843" s="475" t="s">
        <v>1598</v>
      </c>
      <c r="I1843" s="475" t="s">
        <v>171</v>
      </c>
      <c r="J1843" s="475" t="s">
        <v>337</v>
      </c>
      <c r="K1843" s="365">
        <v>636.16999999999996</v>
      </c>
      <c r="L1843" s="475" t="s">
        <v>141</v>
      </c>
      <c r="M1843" s="473"/>
    </row>
    <row r="1844" spans="1:13" ht="13.5">
      <c r="A1844" s="475" t="s">
        <v>5356</v>
      </c>
      <c r="B1844" s="475" t="s">
        <v>5357</v>
      </c>
      <c r="C1844" s="475" t="s">
        <v>5391</v>
      </c>
      <c r="D1844" s="475" t="s">
        <v>5392</v>
      </c>
      <c r="E1844" s="476" t="s">
        <v>34</v>
      </c>
      <c r="F1844" s="475" t="s">
        <v>34</v>
      </c>
      <c r="G1844" s="364">
        <v>85189</v>
      </c>
      <c r="H1844" s="475" t="s">
        <v>1599</v>
      </c>
      <c r="I1844" s="475" t="s">
        <v>171</v>
      </c>
      <c r="J1844" s="475" t="s">
        <v>337</v>
      </c>
      <c r="K1844" s="365">
        <v>1309.58</v>
      </c>
      <c r="L1844" s="475" t="s">
        <v>141</v>
      </c>
      <c r="M1844" s="473"/>
    </row>
    <row r="1845" spans="1:13" ht="13.5">
      <c r="A1845" s="475" t="s">
        <v>5356</v>
      </c>
      <c r="B1845" s="475" t="s">
        <v>5357</v>
      </c>
      <c r="C1845" s="475" t="s">
        <v>5395</v>
      </c>
      <c r="D1845" s="475" t="s">
        <v>5396</v>
      </c>
      <c r="E1845" s="476" t="s">
        <v>34</v>
      </c>
      <c r="F1845" s="475" t="s">
        <v>34</v>
      </c>
      <c r="G1845" s="364">
        <v>85010</v>
      </c>
      <c r="H1845" s="475" t="s">
        <v>1600</v>
      </c>
      <c r="I1845" s="475" t="s">
        <v>322</v>
      </c>
      <c r="J1845" s="475" t="s">
        <v>140</v>
      </c>
      <c r="K1845" s="365">
        <v>300.91000000000003</v>
      </c>
      <c r="L1845" s="475" t="s">
        <v>141</v>
      </c>
      <c r="M1845" s="473"/>
    </row>
    <row r="1846" spans="1:13" ht="13.5">
      <c r="A1846" s="475" t="s">
        <v>5356</v>
      </c>
      <c r="B1846" s="475" t="s">
        <v>5357</v>
      </c>
      <c r="C1846" s="475" t="s">
        <v>5395</v>
      </c>
      <c r="D1846" s="475" t="s">
        <v>5396</v>
      </c>
      <c r="E1846" s="476" t="s">
        <v>34</v>
      </c>
      <c r="F1846" s="475" t="s">
        <v>34</v>
      </c>
      <c r="G1846" s="364">
        <v>94569</v>
      </c>
      <c r="H1846" s="475" t="s">
        <v>1601</v>
      </c>
      <c r="I1846" s="475" t="s">
        <v>322</v>
      </c>
      <c r="J1846" s="475" t="s">
        <v>140</v>
      </c>
      <c r="K1846" s="365">
        <v>413.04</v>
      </c>
      <c r="L1846" s="475" t="s">
        <v>141</v>
      </c>
      <c r="M1846" s="473"/>
    </row>
    <row r="1847" spans="1:13" ht="13.5">
      <c r="A1847" s="475" t="s">
        <v>5356</v>
      </c>
      <c r="B1847" s="475" t="s">
        <v>5357</v>
      </c>
      <c r="C1847" s="475" t="s">
        <v>5395</v>
      </c>
      <c r="D1847" s="475" t="s">
        <v>5396</v>
      </c>
      <c r="E1847" s="476" t="s">
        <v>34</v>
      </c>
      <c r="F1847" s="475" t="s">
        <v>34</v>
      </c>
      <c r="G1847" s="364">
        <v>94570</v>
      </c>
      <c r="H1847" s="475" t="s">
        <v>1602</v>
      </c>
      <c r="I1847" s="475" t="s">
        <v>322</v>
      </c>
      <c r="J1847" s="475" t="s">
        <v>140</v>
      </c>
      <c r="K1847" s="365">
        <v>258.83</v>
      </c>
      <c r="L1847" s="475" t="s">
        <v>141</v>
      </c>
      <c r="M1847" s="473"/>
    </row>
    <row r="1848" spans="1:13" ht="13.5">
      <c r="A1848" s="475" t="s">
        <v>5356</v>
      </c>
      <c r="B1848" s="475" t="s">
        <v>5357</v>
      </c>
      <c r="C1848" s="475" t="s">
        <v>5395</v>
      </c>
      <c r="D1848" s="475" t="s">
        <v>5396</v>
      </c>
      <c r="E1848" s="476" t="s">
        <v>34</v>
      </c>
      <c r="F1848" s="475" t="s">
        <v>34</v>
      </c>
      <c r="G1848" s="364">
        <v>94572</v>
      </c>
      <c r="H1848" s="475" t="s">
        <v>1603</v>
      </c>
      <c r="I1848" s="475" t="s">
        <v>322</v>
      </c>
      <c r="J1848" s="475" t="s">
        <v>140</v>
      </c>
      <c r="K1848" s="365">
        <v>389.27</v>
      </c>
      <c r="L1848" s="475" t="s">
        <v>141</v>
      </c>
      <c r="M1848" s="473"/>
    </row>
    <row r="1849" spans="1:13" ht="13.5">
      <c r="A1849" s="475" t="s">
        <v>5356</v>
      </c>
      <c r="B1849" s="475" t="s">
        <v>5357</v>
      </c>
      <c r="C1849" s="475" t="s">
        <v>5395</v>
      </c>
      <c r="D1849" s="475" t="s">
        <v>5396</v>
      </c>
      <c r="E1849" s="476" t="s">
        <v>34</v>
      </c>
      <c r="F1849" s="475" t="s">
        <v>34</v>
      </c>
      <c r="G1849" s="364">
        <v>94573</v>
      </c>
      <c r="H1849" s="475" t="s">
        <v>1604</v>
      </c>
      <c r="I1849" s="475" t="s">
        <v>322</v>
      </c>
      <c r="J1849" s="475" t="s">
        <v>140</v>
      </c>
      <c r="K1849" s="365">
        <v>300.20999999999998</v>
      </c>
      <c r="L1849" s="475" t="s">
        <v>141</v>
      </c>
      <c r="M1849" s="473"/>
    </row>
    <row r="1850" spans="1:13" ht="13.5">
      <c r="A1850" s="475" t="s">
        <v>5356</v>
      </c>
      <c r="B1850" s="475" t="s">
        <v>5357</v>
      </c>
      <c r="C1850" s="475" t="s">
        <v>5395</v>
      </c>
      <c r="D1850" s="475" t="s">
        <v>5396</v>
      </c>
      <c r="E1850" s="476" t="s">
        <v>34</v>
      </c>
      <c r="F1850" s="475" t="s">
        <v>34</v>
      </c>
      <c r="G1850" s="364">
        <v>94574</v>
      </c>
      <c r="H1850" s="475" t="s">
        <v>1605</v>
      </c>
      <c r="I1850" s="475" t="s">
        <v>322</v>
      </c>
      <c r="J1850" s="475" t="s">
        <v>140</v>
      </c>
      <c r="K1850" s="365">
        <v>441.06</v>
      </c>
      <c r="L1850" s="475" t="s">
        <v>141</v>
      </c>
      <c r="M1850" s="473"/>
    </row>
    <row r="1851" spans="1:13" ht="13.5">
      <c r="A1851" s="475" t="s">
        <v>5356</v>
      </c>
      <c r="B1851" s="475" t="s">
        <v>5357</v>
      </c>
      <c r="C1851" s="475" t="s">
        <v>5395</v>
      </c>
      <c r="D1851" s="475" t="s">
        <v>5396</v>
      </c>
      <c r="E1851" s="476" t="s">
        <v>34</v>
      </c>
      <c r="F1851" s="475" t="s">
        <v>34</v>
      </c>
      <c r="G1851" s="364">
        <v>94575</v>
      </c>
      <c r="H1851" s="475" t="s">
        <v>1606</v>
      </c>
      <c r="I1851" s="475" t="s">
        <v>322</v>
      </c>
      <c r="J1851" s="475" t="s">
        <v>140</v>
      </c>
      <c r="K1851" s="365">
        <v>452.08</v>
      </c>
      <c r="L1851" s="475" t="s">
        <v>141</v>
      </c>
      <c r="M1851" s="473"/>
    </row>
    <row r="1852" spans="1:13" ht="13.5">
      <c r="A1852" s="475" t="s">
        <v>5356</v>
      </c>
      <c r="B1852" s="475" t="s">
        <v>5357</v>
      </c>
      <c r="C1852" s="475" t="s">
        <v>5395</v>
      </c>
      <c r="D1852" s="475" t="s">
        <v>5396</v>
      </c>
      <c r="E1852" s="476" t="s">
        <v>34</v>
      </c>
      <c r="F1852" s="475" t="s">
        <v>34</v>
      </c>
      <c r="G1852" s="364">
        <v>94576</v>
      </c>
      <c r="H1852" s="475" t="s">
        <v>1607</v>
      </c>
      <c r="I1852" s="475" t="s">
        <v>322</v>
      </c>
      <c r="J1852" s="475" t="s">
        <v>140</v>
      </c>
      <c r="K1852" s="365">
        <v>269.82</v>
      </c>
      <c r="L1852" s="475" t="s">
        <v>141</v>
      </c>
      <c r="M1852" s="473"/>
    </row>
    <row r="1853" spans="1:13" ht="13.5">
      <c r="A1853" s="475" t="s">
        <v>5356</v>
      </c>
      <c r="B1853" s="475" t="s">
        <v>5357</v>
      </c>
      <c r="C1853" s="475" t="s">
        <v>5395</v>
      </c>
      <c r="D1853" s="475" t="s">
        <v>5396</v>
      </c>
      <c r="E1853" s="476" t="s">
        <v>34</v>
      </c>
      <c r="F1853" s="475" t="s">
        <v>34</v>
      </c>
      <c r="G1853" s="364">
        <v>94578</v>
      </c>
      <c r="H1853" s="475" t="s">
        <v>1608</v>
      </c>
      <c r="I1853" s="475" t="s">
        <v>322</v>
      </c>
      <c r="J1853" s="475" t="s">
        <v>140</v>
      </c>
      <c r="K1853" s="365">
        <v>400.44</v>
      </c>
      <c r="L1853" s="475" t="s">
        <v>141</v>
      </c>
      <c r="M1853" s="473"/>
    </row>
    <row r="1854" spans="1:13" ht="13.5">
      <c r="A1854" s="475" t="s">
        <v>5356</v>
      </c>
      <c r="B1854" s="475" t="s">
        <v>5357</v>
      </c>
      <c r="C1854" s="475" t="s">
        <v>5395</v>
      </c>
      <c r="D1854" s="475" t="s">
        <v>5396</v>
      </c>
      <c r="E1854" s="476" t="s">
        <v>34</v>
      </c>
      <c r="F1854" s="475" t="s">
        <v>34</v>
      </c>
      <c r="G1854" s="364">
        <v>94579</v>
      </c>
      <c r="H1854" s="475" t="s">
        <v>1609</v>
      </c>
      <c r="I1854" s="475" t="s">
        <v>322</v>
      </c>
      <c r="J1854" s="475" t="s">
        <v>140</v>
      </c>
      <c r="K1854" s="365">
        <v>312.12</v>
      </c>
      <c r="L1854" s="475" t="s">
        <v>141</v>
      </c>
      <c r="M1854" s="473"/>
    </row>
    <row r="1855" spans="1:13" ht="13.5">
      <c r="A1855" s="475" t="s">
        <v>5356</v>
      </c>
      <c r="B1855" s="475" t="s">
        <v>5357</v>
      </c>
      <c r="C1855" s="475" t="s">
        <v>5395</v>
      </c>
      <c r="D1855" s="475" t="s">
        <v>5396</v>
      </c>
      <c r="E1855" s="476" t="s">
        <v>34</v>
      </c>
      <c r="F1855" s="475" t="s">
        <v>34</v>
      </c>
      <c r="G1855" s="364">
        <v>94580</v>
      </c>
      <c r="H1855" s="475" t="s">
        <v>1610</v>
      </c>
      <c r="I1855" s="475" t="s">
        <v>322</v>
      </c>
      <c r="J1855" s="475" t="s">
        <v>140</v>
      </c>
      <c r="K1855" s="365">
        <v>452.57</v>
      </c>
      <c r="L1855" s="475" t="s">
        <v>141</v>
      </c>
      <c r="M1855" s="473"/>
    </row>
    <row r="1856" spans="1:13" ht="13.5">
      <c r="A1856" s="475" t="s">
        <v>5356</v>
      </c>
      <c r="B1856" s="475" t="s">
        <v>5357</v>
      </c>
      <c r="C1856" s="475" t="s">
        <v>5395</v>
      </c>
      <c r="D1856" s="475" t="s">
        <v>5396</v>
      </c>
      <c r="E1856" s="476" t="s">
        <v>34</v>
      </c>
      <c r="F1856" s="475" t="s">
        <v>34</v>
      </c>
      <c r="G1856" s="364">
        <v>94581</v>
      </c>
      <c r="H1856" s="475" t="s">
        <v>1611</v>
      </c>
      <c r="I1856" s="475" t="s">
        <v>322</v>
      </c>
      <c r="J1856" s="475" t="s">
        <v>140</v>
      </c>
      <c r="K1856" s="365">
        <v>449.23</v>
      </c>
      <c r="L1856" s="475" t="s">
        <v>141</v>
      </c>
      <c r="M1856" s="473"/>
    </row>
    <row r="1857" spans="1:13" ht="13.5">
      <c r="A1857" s="475" t="s">
        <v>5356</v>
      </c>
      <c r="B1857" s="475" t="s">
        <v>5357</v>
      </c>
      <c r="C1857" s="475" t="s">
        <v>5395</v>
      </c>
      <c r="D1857" s="475" t="s">
        <v>5396</v>
      </c>
      <c r="E1857" s="476" t="s">
        <v>34</v>
      </c>
      <c r="F1857" s="475" t="s">
        <v>34</v>
      </c>
      <c r="G1857" s="364">
        <v>94582</v>
      </c>
      <c r="H1857" s="475" t="s">
        <v>1612</v>
      </c>
      <c r="I1857" s="475" t="s">
        <v>322</v>
      </c>
      <c r="J1857" s="475" t="s">
        <v>140</v>
      </c>
      <c r="K1857" s="365">
        <v>269.3</v>
      </c>
      <c r="L1857" s="475" t="s">
        <v>141</v>
      </c>
      <c r="M1857" s="473"/>
    </row>
    <row r="1858" spans="1:13" ht="13.5">
      <c r="A1858" s="475" t="s">
        <v>5356</v>
      </c>
      <c r="B1858" s="475" t="s">
        <v>5357</v>
      </c>
      <c r="C1858" s="475" t="s">
        <v>5395</v>
      </c>
      <c r="D1858" s="475" t="s">
        <v>5396</v>
      </c>
      <c r="E1858" s="476" t="s">
        <v>34</v>
      </c>
      <c r="F1858" s="475" t="s">
        <v>34</v>
      </c>
      <c r="G1858" s="364">
        <v>94584</v>
      </c>
      <c r="H1858" s="475" t="s">
        <v>1613</v>
      </c>
      <c r="I1858" s="475" t="s">
        <v>322</v>
      </c>
      <c r="J1858" s="475" t="s">
        <v>140</v>
      </c>
      <c r="K1858" s="365">
        <v>405.81</v>
      </c>
      <c r="L1858" s="475" t="s">
        <v>141</v>
      </c>
      <c r="M1858" s="473"/>
    </row>
    <row r="1859" spans="1:13" ht="13.5">
      <c r="A1859" s="475" t="s">
        <v>5356</v>
      </c>
      <c r="B1859" s="475" t="s">
        <v>5357</v>
      </c>
      <c r="C1859" s="475" t="s">
        <v>5395</v>
      </c>
      <c r="D1859" s="475" t="s">
        <v>5396</v>
      </c>
      <c r="E1859" s="476" t="s">
        <v>34</v>
      </c>
      <c r="F1859" s="475" t="s">
        <v>34</v>
      </c>
      <c r="G1859" s="364">
        <v>94585</v>
      </c>
      <c r="H1859" s="475" t="s">
        <v>1614</v>
      </c>
      <c r="I1859" s="475" t="s">
        <v>322</v>
      </c>
      <c r="J1859" s="475" t="s">
        <v>140</v>
      </c>
      <c r="K1859" s="365">
        <v>310.95</v>
      </c>
      <c r="L1859" s="475" t="s">
        <v>141</v>
      </c>
      <c r="M1859" s="473"/>
    </row>
    <row r="1860" spans="1:13" ht="13.5">
      <c r="A1860" s="475" t="s">
        <v>5356</v>
      </c>
      <c r="B1860" s="475" t="s">
        <v>5357</v>
      </c>
      <c r="C1860" s="475" t="s">
        <v>5395</v>
      </c>
      <c r="D1860" s="475" t="s">
        <v>5396</v>
      </c>
      <c r="E1860" s="476" t="s">
        <v>34</v>
      </c>
      <c r="F1860" s="475" t="s">
        <v>34</v>
      </c>
      <c r="G1860" s="364">
        <v>94586</v>
      </c>
      <c r="H1860" s="475" t="s">
        <v>1615</v>
      </c>
      <c r="I1860" s="475" t="s">
        <v>322</v>
      </c>
      <c r="J1860" s="475" t="s">
        <v>140</v>
      </c>
      <c r="K1860" s="365">
        <v>458.96</v>
      </c>
      <c r="L1860" s="475" t="s">
        <v>141</v>
      </c>
      <c r="M1860" s="473"/>
    </row>
    <row r="1861" spans="1:13" ht="13.5">
      <c r="A1861" s="475" t="s">
        <v>5356</v>
      </c>
      <c r="B1861" s="475" t="s">
        <v>5357</v>
      </c>
      <c r="C1861" s="475" t="s">
        <v>5397</v>
      </c>
      <c r="D1861" s="475" t="s">
        <v>5398</v>
      </c>
      <c r="E1861" s="476">
        <v>73908</v>
      </c>
      <c r="F1861" s="475" t="s">
        <v>5399</v>
      </c>
      <c r="G1861" s="364" t="s">
        <v>1616</v>
      </c>
      <c r="H1861" s="475" t="s">
        <v>1617</v>
      </c>
      <c r="I1861" s="475" t="s">
        <v>139</v>
      </c>
      <c r="J1861" s="475" t="s">
        <v>140</v>
      </c>
      <c r="K1861" s="365">
        <v>39.11</v>
      </c>
      <c r="L1861" s="475" t="s">
        <v>141</v>
      </c>
      <c r="M1861" s="473"/>
    </row>
    <row r="1862" spans="1:13" ht="13.5">
      <c r="A1862" s="475" t="s">
        <v>5356</v>
      </c>
      <c r="B1862" s="475" t="s">
        <v>5357</v>
      </c>
      <c r="C1862" s="475" t="s">
        <v>5397</v>
      </c>
      <c r="D1862" s="475" t="s">
        <v>5398</v>
      </c>
      <c r="E1862" s="476">
        <v>73908</v>
      </c>
      <c r="F1862" s="475" t="s">
        <v>5399</v>
      </c>
      <c r="G1862" s="364" t="s">
        <v>1618</v>
      </c>
      <c r="H1862" s="475" t="s">
        <v>1619</v>
      </c>
      <c r="I1862" s="475" t="s">
        <v>139</v>
      </c>
      <c r="J1862" s="475" t="s">
        <v>140</v>
      </c>
      <c r="K1862" s="365">
        <v>30.19</v>
      </c>
      <c r="L1862" s="475" t="s">
        <v>141</v>
      </c>
      <c r="M1862" s="473"/>
    </row>
    <row r="1863" spans="1:13" ht="13.5">
      <c r="A1863" s="475" t="s">
        <v>5356</v>
      </c>
      <c r="B1863" s="475" t="s">
        <v>5357</v>
      </c>
      <c r="C1863" s="475" t="s">
        <v>5397</v>
      </c>
      <c r="D1863" s="475" t="s">
        <v>5398</v>
      </c>
      <c r="E1863" s="476" t="s">
        <v>34</v>
      </c>
      <c r="F1863" s="475" t="s">
        <v>34</v>
      </c>
      <c r="G1863" s="364">
        <v>85015</v>
      </c>
      <c r="H1863" s="475" t="s">
        <v>1620</v>
      </c>
      <c r="I1863" s="475" t="s">
        <v>139</v>
      </c>
      <c r="J1863" s="475" t="s">
        <v>337</v>
      </c>
      <c r="K1863" s="365">
        <v>21.86</v>
      </c>
      <c r="L1863" s="475" t="s">
        <v>141</v>
      </c>
      <c r="M1863" s="473"/>
    </row>
    <row r="1864" spans="1:13" ht="13.5">
      <c r="A1864" s="475" t="s">
        <v>5356</v>
      </c>
      <c r="B1864" s="475" t="s">
        <v>5357</v>
      </c>
      <c r="C1864" s="475" t="s">
        <v>5397</v>
      </c>
      <c r="D1864" s="475" t="s">
        <v>5398</v>
      </c>
      <c r="E1864" s="476" t="s">
        <v>34</v>
      </c>
      <c r="F1864" s="475" t="s">
        <v>34</v>
      </c>
      <c r="G1864" s="364">
        <v>85016</v>
      </c>
      <c r="H1864" s="475" t="s">
        <v>1621</v>
      </c>
      <c r="I1864" s="475" t="s">
        <v>139</v>
      </c>
      <c r="J1864" s="475" t="s">
        <v>337</v>
      </c>
      <c r="K1864" s="365">
        <v>27.39</v>
      </c>
      <c r="L1864" s="475" t="s">
        <v>141</v>
      </c>
      <c r="M1864" s="473"/>
    </row>
    <row r="1865" spans="1:13" ht="13.5">
      <c r="A1865" s="475" t="s">
        <v>5400</v>
      </c>
      <c r="B1865" s="475" t="s">
        <v>5401</v>
      </c>
      <c r="C1865" s="475" t="s">
        <v>5402</v>
      </c>
      <c r="D1865" s="475" t="s">
        <v>5403</v>
      </c>
      <c r="E1865" s="476" t="s">
        <v>34</v>
      </c>
      <c r="F1865" s="475" t="s">
        <v>34</v>
      </c>
      <c r="G1865" s="364">
        <v>97751</v>
      </c>
      <c r="H1865" s="475" t="s">
        <v>6077</v>
      </c>
      <c r="I1865" s="475" t="s">
        <v>1261</v>
      </c>
      <c r="J1865" s="475" t="s">
        <v>140</v>
      </c>
      <c r="K1865" s="365">
        <v>586.04999999999995</v>
      </c>
      <c r="L1865" s="475" t="s">
        <v>141</v>
      </c>
      <c r="M1865" s="473"/>
    </row>
    <row r="1866" spans="1:13" ht="13.5">
      <c r="A1866" s="475" t="s">
        <v>5400</v>
      </c>
      <c r="B1866" s="475" t="s">
        <v>5401</v>
      </c>
      <c r="C1866" s="475" t="s">
        <v>5402</v>
      </c>
      <c r="D1866" s="475" t="s">
        <v>5403</v>
      </c>
      <c r="E1866" s="476" t="s">
        <v>34</v>
      </c>
      <c r="F1866" s="475" t="s">
        <v>34</v>
      </c>
      <c r="G1866" s="364">
        <v>97752</v>
      </c>
      <c r="H1866" s="475" t="s">
        <v>6078</v>
      </c>
      <c r="I1866" s="475" t="s">
        <v>1261</v>
      </c>
      <c r="J1866" s="475" t="s">
        <v>140</v>
      </c>
      <c r="K1866" s="365">
        <v>558.27</v>
      </c>
      <c r="L1866" s="475" t="s">
        <v>141</v>
      </c>
      <c r="M1866" s="473"/>
    </row>
    <row r="1867" spans="1:13" ht="13.5">
      <c r="A1867" s="475" t="s">
        <v>5400</v>
      </c>
      <c r="B1867" s="475" t="s">
        <v>5401</v>
      </c>
      <c r="C1867" s="475" t="s">
        <v>5402</v>
      </c>
      <c r="D1867" s="475" t="s">
        <v>5403</v>
      </c>
      <c r="E1867" s="476" t="s">
        <v>34</v>
      </c>
      <c r="F1867" s="475" t="s">
        <v>34</v>
      </c>
      <c r="G1867" s="364">
        <v>97753</v>
      </c>
      <c r="H1867" s="475" t="s">
        <v>6079</v>
      </c>
      <c r="I1867" s="475" t="s">
        <v>1261</v>
      </c>
      <c r="J1867" s="475" t="s">
        <v>140</v>
      </c>
      <c r="K1867" s="365">
        <v>519.42999999999995</v>
      </c>
      <c r="L1867" s="475" t="s">
        <v>141</v>
      </c>
      <c r="M1867" s="473"/>
    </row>
    <row r="1868" spans="1:13" ht="13.5">
      <c r="A1868" s="475" t="s">
        <v>5400</v>
      </c>
      <c r="B1868" s="475" t="s">
        <v>5401</v>
      </c>
      <c r="C1868" s="475" t="s">
        <v>5402</v>
      </c>
      <c r="D1868" s="475" t="s">
        <v>5403</v>
      </c>
      <c r="E1868" s="476" t="s">
        <v>34</v>
      </c>
      <c r="F1868" s="475" t="s">
        <v>34</v>
      </c>
      <c r="G1868" s="364">
        <v>97754</v>
      </c>
      <c r="H1868" s="475" t="s">
        <v>6080</v>
      </c>
      <c r="I1868" s="475" t="s">
        <v>1261</v>
      </c>
      <c r="J1868" s="475" t="s">
        <v>140</v>
      </c>
      <c r="K1868" s="365">
        <v>493.95</v>
      </c>
      <c r="L1868" s="475" t="s">
        <v>141</v>
      </c>
      <c r="M1868" s="473"/>
    </row>
    <row r="1869" spans="1:13" ht="13.5">
      <c r="A1869" s="475" t="s">
        <v>5400</v>
      </c>
      <c r="B1869" s="475" t="s">
        <v>5401</v>
      </c>
      <c r="C1869" s="475" t="s">
        <v>5402</v>
      </c>
      <c r="D1869" s="475" t="s">
        <v>5403</v>
      </c>
      <c r="E1869" s="476" t="s">
        <v>34</v>
      </c>
      <c r="F1869" s="475" t="s">
        <v>34</v>
      </c>
      <c r="G1869" s="364">
        <v>97755</v>
      </c>
      <c r="H1869" s="475" t="s">
        <v>6081</v>
      </c>
      <c r="I1869" s="475" t="s">
        <v>1261</v>
      </c>
      <c r="J1869" s="475" t="s">
        <v>140</v>
      </c>
      <c r="K1869" s="365">
        <v>567.54999999999995</v>
      </c>
      <c r="L1869" s="475" t="s">
        <v>141</v>
      </c>
      <c r="M1869" s="473"/>
    </row>
    <row r="1870" spans="1:13" ht="13.5">
      <c r="A1870" s="475" t="s">
        <v>5400</v>
      </c>
      <c r="B1870" s="475" t="s">
        <v>5401</v>
      </c>
      <c r="C1870" s="475" t="s">
        <v>5402</v>
      </c>
      <c r="D1870" s="475" t="s">
        <v>5403</v>
      </c>
      <c r="E1870" s="476" t="s">
        <v>34</v>
      </c>
      <c r="F1870" s="475" t="s">
        <v>34</v>
      </c>
      <c r="G1870" s="364">
        <v>97756</v>
      </c>
      <c r="H1870" s="475" t="s">
        <v>6082</v>
      </c>
      <c r="I1870" s="475" t="s">
        <v>1261</v>
      </c>
      <c r="J1870" s="475" t="s">
        <v>140</v>
      </c>
      <c r="K1870" s="365">
        <v>542.79</v>
      </c>
      <c r="L1870" s="475" t="s">
        <v>141</v>
      </c>
      <c r="M1870" s="473"/>
    </row>
    <row r="1871" spans="1:13" ht="13.5">
      <c r="A1871" s="475" t="s">
        <v>5400</v>
      </c>
      <c r="B1871" s="475" t="s">
        <v>5401</v>
      </c>
      <c r="C1871" s="475" t="s">
        <v>5402</v>
      </c>
      <c r="D1871" s="475" t="s">
        <v>5403</v>
      </c>
      <c r="E1871" s="476" t="s">
        <v>34</v>
      </c>
      <c r="F1871" s="475" t="s">
        <v>34</v>
      </c>
      <c r="G1871" s="364">
        <v>97757</v>
      </c>
      <c r="H1871" s="475" t="s">
        <v>6083</v>
      </c>
      <c r="I1871" s="475" t="s">
        <v>1261</v>
      </c>
      <c r="J1871" s="475" t="s">
        <v>140</v>
      </c>
      <c r="K1871" s="365">
        <v>501.16</v>
      </c>
      <c r="L1871" s="475" t="s">
        <v>141</v>
      </c>
      <c r="M1871" s="473"/>
    </row>
    <row r="1872" spans="1:13" ht="13.5">
      <c r="A1872" s="475" t="s">
        <v>5400</v>
      </c>
      <c r="B1872" s="475" t="s">
        <v>5401</v>
      </c>
      <c r="C1872" s="475" t="s">
        <v>5402</v>
      </c>
      <c r="D1872" s="475" t="s">
        <v>5403</v>
      </c>
      <c r="E1872" s="476" t="s">
        <v>34</v>
      </c>
      <c r="F1872" s="475" t="s">
        <v>34</v>
      </c>
      <c r="G1872" s="364">
        <v>97758</v>
      </c>
      <c r="H1872" s="475" t="s">
        <v>6084</v>
      </c>
      <c r="I1872" s="475" t="s">
        <v>1261</v>
      </c>
      <c r="J1872" s="475" t="s">
        <v>140</v>
      </c>
      <c r="K1872" s="365">
        <v>469.88</v>
      </c>
      <c r="L1872" s="475" t="s">
        <v>141</v>
      </c>
      <c r="M1872" s="473"/>
    </row>
    <row r="1873" spans="1:13" ht="13.5">
      <c r="A1873" s="475" t="s">
        <v>5400</v>
      </c>
      <c r="B1873" s="475" t="s">
        <v>5401</v>
      </c>
      <c r="C1873" s="475" t="s">
        <v>5402</v>
      </c>
      <c r="D1873" s="475" t="s">
        <v>5403</v>
      </c>
      <c r="E1873" s="476" t="s">
        <v>34</v>
      </c>
      <c r="F1873" s="475" t="s">
        <v>34</v>
      </c>
      <c r="G1873" s="364">
        <v>97759</v>
      </c>
      <c r="H1873" s="475" t="s">
        <v>6085</v>
      </c>
      <c r="I1873" s="475" t="s">
        <v>1261</v>
      </c>
      <c r="J1873" s="475" t="s">
        <v>140</v>
      </c>
      <c r="K1873" s="365">
        <v>565.28</v>
      </c>
      <c r="L1873" s="475" t="s">
        <v>141</v>
      </c>
      <c r="M1873" s="473"/>
    </row>
    <row r="1874" spans="1:13" ht="13.5">
      <c r="A1874" s="475" t="s">
        <v>5400</v>
      </c>
      <c r="B1874" s="475" t="s">
        <v>5401</v>
      </c>
      <c r="C1874" s="475" t="s">
        <v>5402</v>
      </c>
      <c r="D1874" s="475" t="s">
        <v>5403</v>
      </c>
      <c r="E1874" s="476" t="s">
        <v>34</v>
      </c>
      <c r="F1874" s="475" t="s">
        <v>34</v>
      </c>
      <c r="G1874" s="364">
        <v>97760</v>
      </c>
      <c r="H1874" s="475" t="s">
        <v>6086</v>
      </c>
      <c r="I1874" s="475" t="s">
        <v>1261</v>
      </c>
      <c r="J1874" s="475" t="s">
        <v>140</v>
      </c>
      <c r="K1874" s="365">
        <v>533.11</v>
      </c>
      <c r="L1874" s="475" t="s">
        <v>141</v>
      </c>
      <c r="M1874" s="473"/>
    </row>
    <row r="1875" spans="1:13" ht="13.5">
      <c r="A1875" s="475" t="s">
        <v>5400</v>
      </c>
      <c r="B1875" s="475" t="s">
        <v>5401</v>
      </c>
      <c r="C1875" s="475" t="s">
        <v>5402</v>
      </c>
      <c r="D1875" s="475" t="s">
        <v>5403</v>
      </c>
      <c r="E1875" s="476" t="s">
        <v>34</v>
      </c>
      <c r="F1875" s="475" t="s">
        <v>34</v>
      </c>
      <c r="G1875" s="364">
        <v>97761</v>
      </c>
      <c r="H1875" s="475" t="s">
        <v>6087</v>
      </c>
      <c r="I1875" s="475" t="s">
        <v>1261</v>
      </c>
      <c r="J1875" s="475" t="s">
        <v>140</v>
      </c>
      <c r="K1875" s="365">
        <v>486.99</v>
      </c>
      <c r="L1875" s="475" t="s">
        <v>141</v>
      </c>
      <c r="M1875" s="473"/>
    </row>
    <row r="1876" spans="1:13" ht="13.5">
      <c r="A1876" s="475" t="s">
        <v>5400</v>
      </c>
      <c r="B1876" s="475" t="s">
        <v>5401</v>
      </c>
      <c r="C1876" s="475" t="s">
        <v>5402</v>
      </c>
      <c r="D1876" s="475" t="s">
        <v>5403</v>
      </c>
      <c r="E1876" s="476" t="s">
        <v>34</v>
      </c>
      <c r="F1876" s="475" t="s">
        <v>34</v>
      </c>
      <c r="G1876" s="364">
        <v>97762</v>
      </c>
      <c r="H1876" s="475" t="s">
        <v>6088</v>
      </c>
      <c r="I1876" s="475" t="s">
        <v>1261</v>
      </c>
      <c r="J1876" s="475" t="s">
        <v>140</v>
      </c>
      <c r="K1876" s="365">
        <v>452.01</v>
      </c>
      <c r="L1876" s="475" t="s">
        <v>141</v>
      </c>
      <c r="M1876" s="473"/>
    </row>
    <row r="1877" spans="1:13" ht="13.5">
      <c r="A1877" s="475" t="s">
        <v>5400</v>
      </c>
      <c r="B1877" s="475" t="s">
        <v>5401</v>
      </c>
      <c r="C1877" s="475" t="s">
        <v>5402</v>
      </c>
      <c r="D1877" s="475" t="s">
        <v>5403</v>
      </c>
      <c r="E1877" s="476" t="s">
        <v>34</v>
      </c>
      <c r="F1877" s="475" t="s">
        <v>34</v>
      </c>
      <c r="G1877" s="364">
        <v>97763</v>
      </c>
      <c r="H1877" s="475" t="s">
        <v>6089</v>
      </c>
      <c r="I1877" s="475" t="s">
        <v>1261</v>
      </c>
      <c r="J1877" s="475" t="s">
        <v>140</v>
      </c>
      <c r="K1877" s="365">
        <v>559.47</v>
      </c>
      <c r="L1877" s="475" t="s">
        <v>141</v>
      </c>
      <c r="M1877" s="473"/>
    </row>
    <row r="1878" spans="1:13" ht="13.5">
      <c r="A1878" s="475" t="s">
        <v>5400</v>
      </c>
      <c r="B1878" s="475" t="s">
        <v>5401</v>
      </c>
      <c r="C1878" s="475" t="s">
        <v>5402</v>
      </c>
      <c r="D1878" s="475" t="s">
        <v>5403</v>
      </c>
      <c r="E1878" s="476" t="s">
        <v>34</v>
      </c>
      <c r="F1878" s="475" t="s">
        <v>34</v>
      </c>
      <c r="G1878" s="364">
        <v>97764</v>
      </c>
      <c r="H1878" s="475" t="s">
        <v>6090</v>
      </c>
      <c r="I1878" s="475" t="s">
        <v>1261</v>
      </c>
      <c r="J1878" s="475" t="s">
        <v>140</v>
      </c>
      <c r="K1878" s="365">
        <v>497.52</v>
      </c>
      <c r="L1878" s="475" t="s">
        <v>141</v>
      </c>
      <c r="M1878" s="473"/>
    </row>
    <row r="1879" spans="1:13" ht="13.5">
      <c r="A1879" s="475" t="s">
        <v>5400</v>
      </c>
      <c r="B1879" s="475" t="s">
        <v>5401</v>
      </c>
      <c r="C1879" s="475" t="s">
        <v>5402</v>
      </c>
      <c r="D1879" s="475" t="s">
        <v>5403</v>
      </c>
      <c r="E1879" s="476" t="s">
        <v>34</v>
      </c>
      <c r="F1879" s="475" t="s">
        <v>34</v>
      </c>
      <c r="G1879" s="364">
        <v>97765</v>
      </c>
      <c r="H1879" s="475" t="s">
        <v>6091</v>
      </c>
      <c r="I1879" s="475" t="s">
        <v>1261</v>
      </c>
      <c r="J1879" s="475" t="s">
        <v>140</v>
      </c>
      <c r="K1879" s="365">
        <v>471.16</v>
      </c>
      <c r="L1879" s="475" t="s">
        <v>141</v>
      </c>
      <c r="M1879" s="473"/>
    </row>
    <row r="1880" spans="1:13" ht="13.5">
      <c r="A1880" s="475" t="s">
        <v>5400</v>
      </c>
      <c r="B1880" s="475" t="s">
        <v>5401</v>
      </c>
      <c r="C1880" s="475" t="s">
        <v>5402</v>
      </c>
      <c r="D1880" s="475" t="s">
        <v>5403</v>
      </c>
      <c r="E1880" s="476" t="s">
        <v>34</v>
      </c>
      <c r="F1880" s="475" t="s">
        <v>34</v>
      </c>
      <c r="G1880" s="364">
        <v>97766</v>
      </c>
      <c r="H1880" s="475" t="s">
        <v>6092</v>
      </c>
      <c r="I1880" s="475" t="s">
        <v>1261</v>
      </c>
      <c r="J1880" s="475" t="s">
        <v>140</v>
      </c>
      <c r="K1880" s="365">
        <v>454.58</v>
      </c>
      <c r="L1880" s="475" t="s">
        <v>141</v>
      </c>
      <c r="M1880" s="473"/>
    </row>
    <row r="1881" spans="1:13" ht="13.5">
      <c r="A1881" s="475" t="s">
        <v>5400</v>
      </c>
      <c r="B1881" s="475" t="s">
        <v>5401</v>
      </c>
      <c r="C1881" s="475" t="s">
        <v>5402</v>
      </c>
      <c r="D1881" s="475" t="s">
        <v>5403</v>
      </c>
      <c r="E1881" s="476" t="s">
        <v>34</v>
      </c>
      <c r="F1881" s="475" t="s">
        <v>34</v>
      </c>
      <c r="G1881" s="364">
        <v>97767</v>
      </c>
      <c r="H1881" s="475" t="s">
        <v>6093</v>
      </c>
      <c r="I1881" s="475" t="s">
        <v>1261</v>
      </c>
      <c r="J1881" s="475" t="s">
        <v>140</v>
      </c>
      <c r="K1881" s="365">
        <v>471.81</v>
      </c>
      <c r="L1881" s="475" t="s">
        <v>141</v>
      </c>
      <c r="M1881" s="473"/>
    </row>
    <row r="1882" spans="1:13" ht="13.5">
      <c r="A1882" s="475" t="s">
        <v>5400</v>
      </c>
      <c r="B1882" s="475" t="s">
        <v>5401</v>
      </c>
      <c r="C1882" s="475" t="s">
        <v>5402</v>
      </c>
      <c r="D1882" s="475" t="s">
        <v>5403</v>
      </c>
      <c r="E1882" s="476" t="s">
        <v>34</v>
      </c>
      <c r="F1882" s="475" t="s">
        <v>34</v>
      </c>
      <c r="G1882" s="364">
        <v>97768</v>
      </c>
      <c r="H1882" s="475" t="s">
        <v>6094</v>
      </c>
      <c r="I1882" s="475" t="s">
        <v>1261</v>
      </c>
      <c r="J1882" s="475" t="s">
        <v>140</v>
      </c>
      <c r="K1882" s="365">
        <v>460.72</v>
      </c>
      <c r="L1882" s="475" t="s">
        <v>141</v>
      </c>
      <c r="M1882" s="473"/>
    </row>
    <row r="1883" spans="1:13" ht="13.5">
      <c r="A1883" s="475" t="s">
        <v>5400</v>
      </c>
      <c r="B1883" s="475" t="s">
        <v>5401</v>
      </c>
      <c r="C1883" s="475" t="s">
        <v>5402</v>
      </c>
      <c r="D1883" s="475" t="s">
        <v>5403</v>
      </c>
      <c r="E1883" s="476" t="s">
        <v>34</v>
      </c>
      <c r="F1883" s="475" t="s">
        <v>34</v>
      </c>
      <c r="G1883" s="364">
        <v>97769</v>
      </c>
      <c r="H1883" s="475" t="s">
        <v>6095</v>
      </c>
      <c r="I1883" s="475" t="s">
        <v>1261</v>
      </c>
      <c r="J1883" s="475" t="s">
        <v>140</v>
      </c>
      <c r="K1883" s="365">
        <v>437.75</v>
      </c>
      <c r="L1883" s="475" t="s">
        <v>141</v>
      </c>
      <c r="M1883" s="473"/>
    </row>
    <row r="1884" spans="1:13" ht="13.5">
      <c r="A1884" s="475" t="s">
        <v>5400</v>
      </c>
      <c r="B1884" s="475" t="s">
        <v>5401</v>
      </c>
      <c r="C1884" s="475" t="s">
        <v>5402</v>
      </c>
      <c r="D1884" s="475" t="s">
        <v>5403</v>
      </c>
      <c r="E1884" s="476" t="s">
        <v>34</v>
      </c>
      <c r="F1884" s="475" t="s">
        <v>34</v>
      </c>
      <c r="G1884" s="364">
        <v>97770</v>
      </c>
      <c r="H1884" s="475" t="s">
        <v>6096</v>
      </c>
      <c r="I1884" s="475" t="s">
        <v>1261</v>
      </c>
      <c r="J1884" s="475" t="s">
        <v>140</v>
      </c>
      <c r="K1884" s="365">
        <v>418.51</v>
      </c>
      <c r="L1884" s="475" t="s">
        <v>141</v>
      </c>
      <c r="M1884" s="473"/>
    </row>
    <row r="1885" spans="1:13" ht="13.5">
      <c r="A1885" s="475" t="s">
        <v>5400</v>
      </c>
      <c r="B1885" s="475" t="s">
        <v>5401</v>
      </c>
      <c r="C1885" s="475" t="s">
        <v>5402</v>
      </c>
      <c r="D1885" s="475" t="s">
        <v>5403</v>
      </c>
      <c r="E1885" s="476" t="s">
        <v>34</v>
      </c>
      <c r="F1885" s="475" t="s">
        <v>34</v>
      </c>
      <c r="G1885" s="364">
        <v>97771</v>
      </c>
      <c r="H1885" s="475" t="s">
        <v>6097</v>
      </c>
      <c r="I1885" s="475" t="s">
        <v>1261</v>
      </c>
      <c r="J1885" s="475" t="s">
        <v>140</v>
      </c>
      <c r="K1885" s="365">
        <v>453.78</v>
      </c>
      <c r="L1885" s="475" t="s">
        <v>141</v>
      </c>
      <c r="M1885" s="473"/>
    </row>
    <row r="1886" spans="1:13" ht="13.5">
      <c r="A1886" s="475" t="s">
        <v>5400</v>
      </c>
      <c r="B1886" s="475" t="s">
        <v>5401</v>
      </c>
      <c r="C1886" s="475" t="s">
        <v>5402</v>
      </c>
      <c r="D1886" s="475" t="s">
        <v>5403</v>
      </c>
      <c r="E1886" s="476" t="s">
        <v>34</v>
      </c>
      <c r="F1886" s="475" t="s">
        <v>34</v>
      </c>
      <c r="G1886" s="364">
        <v>97772</v>
      </c>
      <c r="H1886" s="475" t="s">
        <v>6098</v>
      </c>
      <c r="I1886" s="475" t="s">
        <v>1261</v>
      </c>
      <c r="J1886" s="475" t="s">
        <v>140</v>
      </c>
      <c r="K1886" s="365">
        <v>438.56</v>
      </c>
      <c r="L1886" s="475" t="s">
        <v>141</v>
      </c>
      <c r="M1886" s="473"/>
    </row>
    <row r="1887" spans="1:13" ht="13.5">
      <c r="A1887" s="475" t="s">
        <v>5400</v>
      </c>
      <c r="B1887" s="475" t="s">
        <v>5401</v>
      </c>
      <c r="C1887" s="475" t="s">
        <v>5402</v>
      </c>
      <c r="D1887" s="475" t="s">
        <v>5403</v>
      </c>
      <c r="E1887" s="476" t="s">
        <v>34</v>
      </c>
      <c r="F1887" s="475" t="s">
        <v>34</v>
      </c>
      <c r="G1887" s="364">
        <v>97773</v>
      </c>
      <c r="H1887" s="475" t="s">
        <v>6099</v>
      </c>
      <c r="I1887" s="475" t="s">
        <v>1261</v>
      </c>
      <c r="J1887" s="475" t="s">
        <v>140</v>
      </c>
      <c r="K1887" s="365">
        <v>414.73</v>
      </c>
      <c r="L1887" s="475" t="s">
        <v>141</v>
      </c>
      <c r="M1887" s="473"/>
    </row>
    <row r="1888" spans="1:13" ht="13.5">
      <c r="A1888" s="475" t="s">
        <v>5400</v>
      </c>
      <c r="B1888" s="475" t="s">
        <v>5401</v>
      </c>
      <c r="C1888" s="475" t="s">
        <v>5402</v>
      </c>
      <c r="D1888" s="475" t="s">
        <v>5403</v>
      </c>
      <c r="E1888" s="476" t="s">
        <v>34</v>
      </c>
      <c r="F1888" s="475" t="s">
        <v>34</v>
      </c>
      <c r="G1888" s="364">
        <v>97774</v>
      </c>
      <c r="H1888" s="475" t="s">
        <v>6100</v>
      </c>
      <c r="I1888" s="475" t="s">
        <v>1261</v>
      </c>
      <c r="J1888" s="475" t="s">
        <v>140</v>
      </c>
      <c r="K1888" s="365">
        <v>394.02</v>
      </c>
      <c r="L1888" s="475" t="s">
        <v>141</v>
      </c>
      <c r="M1888" s="473"/>
    </row>
    <row r="1889" spans="1:13" ht="13.5">
      <c r="A1889" s="475" t="s">
        <v>5400</v>
      </c>
      <c r="B1889" s="475" t="s">
        <v>5401</v>
      </c>
      <c r="C1889" s="475" t="s">
        <v>5402</v>
      </c>
      <c r="D1889" s="475" t="s">
        <v>5403</v>
      </c>
      <c r="E1889" s="476" t="s">
        <v>34</v>
      </c>
      <c r="F1889" s="475" t="s">
        <v>34</v>
      </c>
      <c r="G1889" s="364">
        <v>97775</v>
      </c>
      <c r="H1889" s="475" t="s">
        <v>6101</v>
      </c>
      <c r="I1889" s="475" t="s">
        <v>1261</v>
      </c>
      <c r="J1889" s="475" t="s">
        <v>140</v>
      </c>
      <c r="K1889" s="365">
        <v>539.34</v>
      </c>
      <c r="L1889" s="475" t="s">
        <v>141</v>
      </c>
      <c r="M1889" s="473"/>
    </row>
    <row r="1890" spans="1:13" ht="13.5">
      <c r="A1890" s="475" t="s">
        <v>5400</v>
      </c>
      <c r="B1890" s="475" t="s">
        <v>5401</v>
      </c>
      <c r="C1890" s="475" t="s">
        <v>5402</v>
      </c>
      <c r="D1890" s="475" t="s">
        <v>5403</v>
      </c>
      <c r="E1890" s="476" t="s">
        <v>34</v>
      </c>
      <c r="F1890" s="475" t="s">
        <v>34</v>
      </c>
      <c r="G1890" s="364">
        <v>97776</v>
      </c>
      <c r="H1890" s="475" t="s">
        <v>6102</v>
      </c>
      <c r="I1890" s="475" t="s">
        <v>1261</v>
      </c>
      <c r="J1890" s="475" t="s">
        <v>140</v>
      </c>
      <c r="K1890" s="365">
        <v>511.79</v>
      </c>
      <c r="L1890" s="475" t="s">
        <v>141</v>
      </c>
      <c r="M1890" s="473"/>
    </row>
    <row r="1891" spans="1:13" ht="13.5">
      <c r="A1891" s="475" t="s">
        <v>5400</v>
      </c>
      <c r="B1891" s="475" t="s">
        <v>5401</v>
      </c>
      <c r="C1891" s="475" t="s">
        <v>5402</v>
      </c>
      <c r="D1891" s="475" t="s">
        <v>5403</v>
      </c>
      <c r="E1891" s="476" t="s">
        <v>34</v>
      </c>
      <c r="F1891" s="475" t="s">
        <v>34</v>
      </c>
      <c r="G1891" s="364">
        <v>97777</v>
      </c>
      <c r="H1891" s="475" t="s">
        <v>6103</v>
      </c>
      <c r="I1891" s="475" t="s">
        <v>1261</v>
      </c>
      <c r="J1891" s="475" t="s">
        <v>140</v>
      </c>
      <c r="K1891" s="365">
        <v>473.9</v>
      </c>
      <c r="L1891" s="475" t="s">
        <v>141</v>
      </c>
      <c r="M1891" s="473"/>
    </row>
    <row r="1892" spans="1:13" ht="13.5">
      <c r="A1892" s="475" t="s">
        <v>5400</v>
      </c>
      <c r="B1892" s="475" t="s">
        <v>5401</v>
      </c>
      <c r="C1892" s="475" t="s">
        <v>5402</v>
      </c>
      <c r="D1892" s="475" t="s">
        <v>5403</v>
      </c>
      <c r="E1892" s="476" t="s">
        <v>34</v>
      </c>
      <c r="F1892" s="475" t="s">
        <v>34</v>
      </c>
      <c r="G1892" s="364">
        <v>97778</v>
      </c>
      <c r="H1892" s="475" t="s">
        <v>6104</v>
      </c>
      <c r="I1892" s="475" t="s">
        <v>1261</v>
      </c>
      <c r="J1892" s="475" t="s">
        <v>140</v>
      </c>
      <c r="K1892" s="365">
        <v>449.48</v>
      </c>
      <c r="L1892" s="475" t="s">
        <v>141</v>
      </c>
      <c r="M1892" s="473"/>
    </row>
    <row r="1893" spans="1:13" ht="13.5">
      <c r="A1893" s="475" t="s">
        <v>5400</v>
      </c>
      <c r="B1893" s="475" t="s">
        <v>5401</v>
      </c>
      <c r="C1893" s="475" t="s">
        <v>5402</v>
      </c>
      <c r="D1893" s="475" t="s">
        <v>5403</v>
      </c>
      <c r="E1893" s="476" t="s">
        <v>34</v>
      </c>
      <c r="F1893" s="475" t="s">
        <v>34</v>
      </c>
      <c r="G1893" s="364">
        <v>97779</v>
      </c>
      <c r="H1893" s="475" t="s">
        <v>6105</v>
      </c>
      <c r="I1893" s="475" t="s">
        <v>1261</v>
      </c>
      <c r="J1893" s="475" t="s">
        <v>140</v>
      </c>
      <c r="K1893" s="365">
        <v>515.99</v>
      </c>
      <c r="L1893" s="475" t="s">
        <v>141</v>
      </c>
      <c r="M1893" s="473"/>
    </row>
    <row r="1894" spans="1:13" ht="13.5">
      <c r="A1894" s="475" t="s">
        <v>5400</v>
      </c>
      <c r="B1894" s="475" t="s">
        <v>5401</v>
      </c>
      <c r="C1894" s="475" t="s">
        <v>5402</v>
      </c>
      <c r="D1894" s="475" t="s">
        <v>5403</v>
      </c>
      <c r="E1894" s="476" t="s">
        <v>34</v>
      </c>
      <c r="F1894" s="475" t="s">
        <v>34</v>
      </c>
      <c r="G1894" s="364">
        <v>97780</v>
      </c>
      <c r="H1894" s="475" t="s">
        <v>6106</v>
      </c>
      <c r="I1894" s="475" t="s">
        <v>1261</v>
      </c>
      <c r="J1894" s="475" t="s">
        <v>140</v>
      </c>
      <c r="K1894" s="365">
        <v>491.92</v>
      </c>
      <c r="L1894" s="475" t="s">
        <v>141</v>
      </c>
      <c r="M1894" s="473"/>
    </row>
    <row r="1895" spans="1:13" ht="13.5">
      <c r="A1895" s="475" t="s">
        <v>5400</v>
      </c>
      <c r="B1895" s="475" t="s">
        <v>5401</v>
      </c>
      <c r="C1895" s="475" t="s">
        <v>5402</v>
      </c>
      <c r="D1895" s="475" t="s">
        <v>5403</v>
      </c>
      <c r="E1895" s="476" t="s">
        <v>34</v>
      </c>
      <c r="F1895" s="475" t="s">
        <v>34</v>
      </c>
      <c r="G1895" s="364">
        <v>97781</v>
      </c>
      <c r="H1895" s="475" t="s">
        <v>6107</v>
      </c>
      <c r="I1895" s="475" t="s">
        <v>1261</v>
      </c>
      <c r="J1895" s="475" t="s">
        <v>140</v>
      </c>
      <c r="K1895" s="365">
        <v>452.31</v>
      </c>
      <c r="L1895" s="475" t="s">
        <v>141</v>
      </c>
      <c r="M1895" s="473"/>
    </row>
    <row r="1896" spans="1:13" ht="13.5">
      <c r="A1896" s="475" t="s">
        <v>5400</v>
      </c>
      <c r="B1896" s="475" t="s">
        <v>5401</v>
      </c>
      <c r="C1896" s="475" t="s">
        <v>5402</v>
      </c>
      <c r="D1896" s="475" t="s">
        <v>5403</v>
      </c>
      <c r="E1896" s="476" t="s">
        <v>34</v>
      </c>
      <c r="F1896" s="475" t="s">
        <v>34</v>
      </c>
      <c r="G1896" s="364">
        <v>97782</v>
      </c>
      <c r="H1896" s="475" t="s">
        <v>6108</v>
      </c>
      <c r="I1896" s="475" t="s">
        <v>1261</v>
      </c>
      <c r="J1896" s="475" t="s">
        <v>140</v>
      </c>
      <c r="K1896" s="365">
        <v>422.99</v>
      </c>
      <c r="L1896" s="475" t="s">
        <v>141</v>
      </c>
      <c r="M1896" s="473"/>
    </row>
    <row r="1897" spans="1:13" ht="13.5">
      <c r="A1897" s="475" t="s">
        <v>5400</v>
      </c>
      <c r="B1897" s="475" t="s">
        <v>5401</v>
      </c>
      <c r="C1897" s="475" t="s">
        <v>5402</v>
      </c>
      <c r="D1897" s="475" t="s">
        <v>5403</v>
      </c>
      <c r="E1897" s="476" t="s">
        <v>34</v>
      </c>
      <c r="F1897" s="475" t="s">
        <v>34</v>
      </c>
      <c r="G1897" s="364">
        <v>97783</v>
      </c>
      <c r="H1897" s="475" t="s">
        <v>6109</v>
      </c>
      <c r="I1897" s="475" t="s">
        <v>1261</v>
      </c>
      <c r="J1897" s="475" t="s">
        <v>140</v>
      </c>
      <c r="K1897" s="365">
        <v>514.9</v>
      </c>
      <c r="L1897" s="475" t="s">
        <v>141</v>
      </c>
      <c r="M1897" s="473"/>
    </row>
    <row r="1898" spans="1:13" ht="13.5">
      <c r="A1898" s="475" t="s">
        <v>5400</v>
      </c>
      <c r="B1898" s="475" t="s">
        <v>5401</v>
      </c>
      <c r="C1898" s="475" t="s">
        <v>5402</v>
      </c>
      <c r="D1898" s="475" t="s">
        <v>5403</v>
      </c>
      <c r="E1898" s="476" t="s">
        <v>34</v>
      </c>
      <c r="F1898" s="475" t="s">
        <v>34</v>
      </c>
      <c r="G1898" s="364">
        <v>97784</v>
      </c>
      <c r="H1898" s="475" t="s">
        <v>6110</v>
      </c>
      <c r="I1898" s="475" t="s">
        <v>1261</v>
      </c>
      <c r="J1898" s="475" t="s">
        <v>140</v>
      </c>
      <c r="K1898" s="365">
        <v>484.13</v>
      </c>
      <c r="L1898" s="475" t="s">
        <v>141</v>
      </c>
      <c r="M1898" s="473"/>
    </row>
    <row r="1899" spans="1:13" ht="13.5">
      <c r="A1899" s="475" t="s">
        <v>5400</v>
      </c>
      <c r="B1899" s="475" t="s">
        <v>5401</v>
      </c>
      <c r="C1899" s="475" t="s">
        <v>5402</v>
      </c>
      <c r="D1899" s="475" t="s">
        <v>5403</v>
      </c>
      <c r="E1899" s="476" t="s">
        <v>34</v>
      </c>
      <c r="F1899" s="475" t="s">
        <v>34</v>
      </c>
      <c r="G1899" s="364">
        <v>97785</v>
      </c>
      <c r="H1899" s="475" t="s">
        <v>6111</v>
      </c>
      <c r="I1899" s="475" t="s">
        <v>1261</v>
      </c>
      <c r="J1899" s="475" t="s">
        <v>140</v>
      </c>
      <c r="K1899" s="365">
        <v>440.45</v>
      </c>
      <c r="L1899" s="475" t="s">
        <v>141</v>
      </c>
      <c r="M1899" s="473"/>
    </row>
    <row r="1900" spans="1:13" ht="13.5">
      <c r="A1900" s="475" t="s">
        <v>5400</v>
      </c>
      <c r="B1900" s="475" t="s">
        <v>5401</v>
      </c>
      <c r="C1900" s="475" t="s">
        <v>5402</v>
      </c>
      <c r="D1900" s="475" t="s">
        <v>5403</v>
      </c>
      <c r="E1900" s="476" t="s">
        <v>34</v>
      </c>
      <c r="F1900" s="475" t="s">
        <v>34</v>
      </c>
      <c r="G1900" s="364">
        <v>97786</v>
      </c>
      <c r="H1900" s="475" t="s">
        <v>6112</v>
      </c>
      <c r="I1900" s="475" t="s">
        <v>1261</v>
      </c>
      <c r="J1900" s="475" t="s">
        <v>140</v>
      </c>
      <c r="K1900" s="365">
        <v>407.73</v>
      </c>
      <c r="L1900" s="475" t="s">
        <v>141</v>
      </c>
      <c r="M1900" s="473"/>
    </row>
    <row r="1901" spans="1:13" ht="13.5">
      <c r="A1901" s="475" t="s">
        <v>5400</v>
      </c>
      <c r="B1901" s="475" t="s">
        <v>5401</v>
      </c>
      <c r="C1901" s="475" t="s">
        <v>5402</v>
      </c>
      <c r="D1901" s="475" t="s">
        <v>5403</v>
      </c>
      <c r="E1901" s="476" t="s">
        <v>34</v>
      </c>
      <c r="F1901" s="475" t="s">
        <v>34</v>
      </c>
      <c r="G1901" s="364">
        <v>97787</v>
      </c>
      <c r="H1901" s="475" t="s">
        <v>6113</v>
      </c>
      <c r="I1901" s="475" t="s">
        <v>1261</v>
      </c>
      <c r="J1901" s="475" t="s">
        <v>140</v>
      </c>
      <c r="K1901" s="365">
        <v>470.32</v>
      </c>
      <c r="L1901" s="475" t="s">
        <v>141</v>
      </c>
      <c r="M1901" s="473"/>
    </row>
    <row r="1902" spans="1:13" ht="13.5">
      <c r="A1902" s="475" t="s">
        <v>5400</v>
      </c>
      <c r="B1902" s="475" t="s">
        <v>5401</v>
      </c>
      <c r="C1902" s="475" t="s">
        <v>5402</v>
      </c>
      <c r="D1902" s="475" t="s">
        <v>5403</v>
      </c>
      <c r="E1902" s="476" t="s">
        <v>34</v>
      </c>
      <c r="F1902" s="475" t="s">
        <v>34</v>
      </c>
      <c r="G1902" s="364">
        <v>97788</v>
      </c>
      <c r="H1902" s="475" t="s">
        <v>6114</v>
      </c>
      <c r="I1902" s="475" t="s">
        <v>1261</v>
      </c>
      <c r="J1902" s="475" t="s">
        <v>140</v>
      </c>
      <c r="K1902" s="365">
        <v>451.04</v>
      </c>
      <c r="L1902" s="475" t="s">
        <v>141</v>
      </c>
      <c r="M1902" s="473"/>
    </row>
    <row r="1903" spans="1:13" ht="13.5">
      <c r="A1903" s="475" t="s">
        <v>5400</v>
      </c>
      <c r="B1903" s="475" t="s">
        <v>5401</v>
      </c>
      <c r="C1903" s="475" t="s">
        <v>5402</v>
      </c>
      <c r="D1903" s="475" t="s">
        <v>5403</v>
      </c>
      <c r="E1903" s="476" t="s">
        <v>34</v>
      </c>
      <c r="F1903" s="475" t="s">
        <v>34</v>
      </c>
      <c r="G1903" s="364">
        <v>97789</v>
      </c>
      <c r="H1903" s="475" t="s">
        <v>6115</v>
      </c>
      <c r="I1903" s="475" t="s">
        <v>1261</v>
      </c>
      <c r="J1903" s="475" t="s">
        <v>140</v>
      </c>
      <c r="K1903" s="365">
        <v>425.63</v>
      </c>
      <c r="L1903" s="475" t="s">
        <v>141</v>
      </c>
      <c r="M1903" s="473"/>
    </row>
    <row r="1904" spans="1:13" ht="13.5">
      <c r="A1904" s="475" t="s">
        <v>5400</v>
      </c>
      <c r="B1904" s="475" t="s">
        <v>5401</v>
      </c>
      <c r="C1904" s="475" t="s">
        <v>5402</v>
      </c>
      <c r="D1904" s="475" t="s">
        <v>5403</v>
      </c>
      <c r="E1904" s="476" t="s">
        <v>34</v>
      </c>
      <c r="F1904" s="475" t="s">
        <v>34</v>
      </c>
      <c r="G1904" s="364">
        <v>97790</v>
      </c>
      <c r="H1904" s="475" t="s">
        <v>6116</v>
      </c>
      <c r="I1904" s="475" t="s">
        <v>1261</v>
      </c>
      <c r="J1904" s="475" t="s">
        <v>140</v>
      </c>
      <c r="K1904" s="365">
        <v>410.11</v>
      </c>
      <c r="L1904" s="475" t="s">
        <v>141</v>
      </c>
      <c r="M1904" s="473"/>
    </row>
    <row r="1905" spans="1:13" ht="13.5">
      <c r="A1905" s="475" t="s">
        <v>5400</v>
      </c>
      <c r="B1905" s="475" t="s">
        <v>5401</v>
      </c>
      <c r="C1905" s="475" t="s">
        <v>5402</v>
      </c>
      <c r="D1905" s="475" t="s">
        <v>5403</v>
      </c>
      <c r="E1905" s="476" t="s">
        <v>34</v>
      </c>
      <c r="F1905" s="475" t="s">
        <v>34</v>
      </c>
      <c r="G1905" s="364">
        <v>97791</v>
      </c>
      <c r="H1905" s="475" t="s">
        <v>6117</v>
      </c>
      <c r="I1905" s="475" t="s">
        <v>1261</v>
      </c>
      <c r="J1905" s="475" t="s">
        <v>140</v>
      </c>
      <c r="K1905" s="365">
        <v>420.25</v>
      </c>
      <c r="L1905" s="475" t="s">
        <v>141</v>
      </c>
      <c r="M1905" s="473"/>
    </row>
    <row r="1906" spans="1:13" ht="13.5">
      <c r="A1906" s="475" t="s">
        <v>5400</v>
      </c>
      <c r="B1906" s="475" t="s">
        <v>5401</v>
      </c>
      <c r="C1906" s="475" t="s">
        <v>5402</v>
      </c>
      <c r="D1906" s="475" t="s">
        <v>5403</v>
      </c>
      <c r="E1906" s="476" t="s">
        <v>34</v>
      </c>
      <c r="F1906" s="475" t="s">
        <v>34</v>
      </c>
      <c r="G1906" s="364">
        <v>97792</v>
      </c>
      <c r="H1906" s="475" t="s">
        <v>6118</v>
      </c>
      <c r="I1906" s="475" t="s">
        <v>1261</v>
      </c>
      <c r="J1906" s="475" t="s">
        <v>140</v>
      </c>
      <c r="K1906" s="365">
        <v>409.85</v>
      </c>
      <c r="L1906" s="475" t="s">
        <v>141</v>
      </c>
      <c r="M1906" s="473"/>
    </row>
    <row r="1907" spans="1:13" ht="13.5">
      <c r="A1907" s="475" t="s">
        <v>5400</v>
      </c>
      <c r="B1907" s="475" t="s">
        <v>5401</v>
      </c>
      <c r="C1907" s="475" t="s">
        <v>5402</v>
      </c>
      <c r="D1907" s="475" t="s">
        <v>5403</v>
      </c>
      <c r="E1907" s="476" t="s">
        <v>34</v>
      </c>
      <c r="F1907" s="475" t="s">
        <v>34</v>
      </c>
      <c r="G1907" s="364">
        <v>97793</v>
      </c>
      <c r="H1907" s="475" t="s">
        <v>6119</v>
      </c>
      <c r="I1907" s="475" t="s">
        <v>1261</v>
      </c>
      <c r="J1907" s="475" t="s">
        <v>140</v>
      </c>
      <c r="K1907" s="365">
        <v>388.9</v>
      </c>
      <c r="L1907" s="475" t="s">
        <v>141</v>
      </c>
      <c r="M1907" s="473"/>
    </row>
    <row r="1908" spans="1:13" ht="13.5">
      <c r="A1908" s="475" t="s">
        <v>5400</v>
      </c>
      <c r="B1908" s="475" t="s">
        <v>5401</v>
      </c>
      <c r="C1908" s="475" t="s">
        <v>5402</v>
      </c>
      <c r="D1908" s="475" t="s">
        <v>5403</v>
      </c>
      <c r="E1908" s="476" t="s">
        <v>34</v>
      </c>
      <c r="F1908" s="475" t="s">
        <v>34</v>
      </c>
      <c r="G1908" s="364">
        <v>97794</v>
      </c>
      <c r="H1908" s="475" t="s">
        <v>6120</v>
      </c>
      <c r="I1908" s="475" t="s">
        <v>1261</v>
      </c>
      <c r="J1908" s="475" t="s">
        <v>140</v>
      </c>
      <c r="K1908" s="365">
        <v>371.62</v>
      </c>
      <c r="L1908" s="475" t="s">
        <v>141</v>
      </c>
      <c r="M1908" s="473"/>
    </row>
    <row r="1909" spans="1:13" ht="13.5">
      <c r="A1909" s="475" t="s">
        <v>5400</v>
      </c>
      <c r="B1909" s="475" t="s">
        <v>5401</v>
      </c>
      <c r="C1909" s="475" t="s">
        <v>5402</v>
      </c>
      <c r="D1909" s="475" t="s">
        <v>5403</v>
      </c>
      <c r="E1909" s="476" t="s">
        <v>34</v>
      </c>
      <c r="F1909" s="475" t="s">
        <v>34</v>
      </c>
      <c r="G1909" s="364">
        <v>97795</v>
      </c>
      <c r="H1909" s="475" t="s">
        <v>6121</v>
      </c>
      <c r="I1909" s="475" t="s">
        <v>1261</v>
      </c>
      <c r="J1909" s="475" t="s">
        <v>140</v>
      </c>
      <c r="K1909" s="365">
        <v>403.4</v>
      </c>
      <c r="L1909" s="475" t="s">
        <v>141</v>
      </c>
      <c r="M1909" s="473"/>
    </row>
    <row r="1910" spans="1:13" ht="13.5">
      <c r="A1910" s="475" t="s">
        <v>5400</v>
      </c>
      <c r="B1910" s="475" t="s">
        <v>5401</v>
      </c>
      <c r="C1910" s="475" t="s">
        <v>5402</v>
      </c>
      <c r="D1910" s="475" t="s">
        <v>5403</v>
      </c>
      <c r="E1910" s="476" t="s">
        <v>34</v>
      </c>
      <c r="F1910" s="475" t="s">
        <v>34</v>
      </c>
      <c r="G1910" s="364">
        <v>97796</v>
      </c>
      <c r="H1910" s="475" t="s">
        <v>6122</v>
      </c>
      <c r="I1910" s="475" t="s">
        <v>1261</v>
      </c>
      <c r="J1910" s="475" t="s">
        <v>140</v>
      </c>
      <c r="K1910" s="365">
        <v>389.58</v>
      </c>
      <c r="L1910" s="475" t="s">
        <v>141</v>
      </c>
      <c r="M1910" s="473"/>
    </row>
    <row r="1911" spans="1:13" ht="13.5">
      <c r="A1911" s="475" t="s">
        <v>5400</v>
      </c>
      <c r="B1911" s="475" t="s">
        <v>5401</v>
      </c>
      <c r="C1911" s="475" t="s">
        <v>5402</v>
      </c>
      <c r="D1911" s="475" t="s">
        <v>5403</v>
      </c>
      <c r="E1911" s="476" t="s">
        <v>34</v>
      </c>
      <c r="F1911" s="475" t="s">
        <v>34</v>
      </c>
      <c r="G1911" s="364">
        <v>97797</v>
      </c>
      <c r="H1911" s="475" t="s">
        <v>6123</v>
      </c>
      <c r="I1911" s="475" t="s">
        <v>1261</v>
      </c>
      <c r="J1911" s="475" t="s">
        <v>140</v>
      </c>
      <c r="K1911" s="365">
        <v>368.19</v>
      </c>
      <c r="L1911" s="475" t="s">
        <v>141</v>
      </c>
      <c r="M1911" s="473"/>
    </row>
    <row r="1912" spans="1:13" ht="13.5">
      <c r="A1912" s="475" t="s">
        <v>5400</v>
      </c>
      <c r="B1912" s="475" t="s">
        <v>5401</v>
      </c>
      <c r="C1912" s="475" t="s">
        <v>5402</v>
      </c>
      <c r="D1912" s="475" t="s">
        <v>5403</v>
      </c>
      <c r="E1912" s="476" t="s">
        <v>34</v>
      </c>
      <c r="F1912" s="475" t="s">
        <v>34</v>
      </c>
      <c r="G1912" s="364">
        <v>97798</v>
      </c>
      <c r="H1912" s="475" t="s">
        <v>6124</v>
      </c>
      <c r="I1912" s="475" t="s">
        <v>1261</v>
      </c>
      <c r="J1912" s="475" t="s">
        <v>140</v>
      </c>
      <c r="K1912" s="365">
        <v>349.74</v>
      </c>
      <c r="L1912" s="475" t="s">
        <v>141</v>
      </c>
      <c r="M1912" s="473"/>
    </row>
    <row r="1913" spans="1:13" ht="13.5">
      <c r="A1913" s="475" t="s">
        <v>5400</v>
      </c>
      <c r="B1913" s="475" t="s">
        <v>5401</v>
      </c>
      <c r="C1913" s="475" t="s">
        <v>5402</v>
      </c>
      <c r="D1913" s="475" t="s">
        <v>5403</v>
      </c>
      <c r="E1913" s="476" t="s">
        <v>34</v>
      </c>
      <c r="F1913" s="475" t="s">
        <v>34</v>
      </c>
      <c r="G1913" s="364">
        <v>97799</v>
      </c>
      <c r="H1913" s="475" t="s">
        <v>6125</v>
      </c>
      <c r="I1913" s="475" t="s">
        <v>1261</v>
      </c>
      <c r="J1913" s="475" t="s">
        <v>140</v>
      </c>
      <c r="K1913" s="365">
        <v>516.32000000000005</v>
      </c>
      <c r="L1913" s="475" t="s">
        <v>141</v>
      </c>
      <c r="M1913" s="473"/>
    </row>
    <row r="1914" spans="1:13" ht="13.5">
      <c r="A1914" s="475" t="s">
        <v>5400</v>
      </c>
      <c r="B1914" s="475" t="s">
        <v>5401</v>
      </c>
      <c r="C1914" s="475" t="s">
        <v>5402</v>
      </c>
      <c r="D1914" s="475" t="s">
        <v>5403</v>
      </c>
      <c r="E1914" s="476" t="s">
        <v>34</v>
      </c>
      <c r="F1914" s="475" t="s">
        <v>34</v>
      </c>
      <c r="G1914" s="364">
        <v>97800</v>
      </c>
      <c r="H1914" s="475" t="s">
        <v>6126</v>
      </c>
      <c r="I1914" s="475" t="s">
        <v>1261</v>
      </c>
      <c r="J1914" s="475" t="s">
        <v>140</v>
      </c>
      <c r="K1914" s="365">
        <v>472.76</v>
      </c>
      <c r="L1914" s="475" t="s">
        <v>141</v>
      </c>
      <c r="M1914" s="473"/>
    </row>
    <row r="1915" spans="1:13" ht="13.5">
      <c r="A1915" s="475" t="s">
        <v>5400</v>
      </c>
      <c r="B1915" s="475" t="s">
        <v>5401</v>
      </c>
      <c r="C1915" s="475" t="s">
        <v>5404</v>
      </c>
      <c r="D1915" s="475" t="s">
        <v>5405</v>
      </c>
      <c r="E1915" s="476" t="s">
        <v>34</v>
      </c>
      <c r="F1915" s="475" t="s">
        <v>34</v>
      </c>
      <c r="G1915" s="364">
        <v>89198</v>
      </c>
      <c r="H1915" s="475" t="s">
        <v>1622</v>
      </c>
      <c r="I1915" s="475" t="s">
        <v>139</v>
      </c>
      <c r="J1915" s="475" t="s">
        <v>140</v>
      </c>
      <c r="K1915" s="365">
        <v>73.040000000000006</v>
      </c>
      <c r="L1915" s="475" t="s">
        <v>141</v>
      </c>
      <c r="M1915" s="473"/>
    </row>
    <row r="1916" spans="1:13" ht="13.5">
      <c r="A1916" s="475" t="s">
        <v>5400</v>
      </c>
      <c r="B1916" s="475" t="s">
        <v>5401</v>
      </c>
      <c r="C1916" s="475" t="s">
        <v>5404</v>
      </c>
      <c r="D1916" s="475" t="s">
        <v>5405</v>
      </c>
      <c r="E1916" s="476" t="s">
        <v>34</v>
      </c>
      <c r="F1916" s="475" t="s">
        <v>34</v>
      </c>
      <c r="G1916" s="364">
        <v>89199</v>
      </c>
      <c r="H1916" s="475" t="s">
        <v>1623</v>
      </c>
      <c r="I1916" s="475" t="s">
        <v>139</v>
      </c>
      <c r="J1916" s="475" t="s">
        <v>140</v>
      </c>
      <c r="K1916" s="365">
        <v>96.07</v>
      </c>
      <c r="L1916" s="475" t="s">
        <v>141</v>
      </c>
      <c r="M1916" s="473"/>
    </row>
    <row r="1917" spans="1:13" ht="13.5">
      <c r="A1917" s="475" t="s">
        <v>5400</v>
      </c>
      <c r="B1917" s="475" t="s">
        <v>5401</v>
      </c>
      <c r="C1917" s="475" t="s">
        <v>5404</v>
      </c>
      <c r="D1917" s="475" t="s">
        <v>5405</v>
      </c>
      <c r="E1917" s="476" t="s">
        <v>34</v>
      </c>
      <c r="F1917" s="475" t="s">
        <v>34</v>
      </c>
      <c r="G1917" s="364">
        <v>89200</v>
      </c>
      <c r="H1917" s="475" t="s">
        <v>1624</v>
      </c>
      <c r="I1917" s="475" t="s">
        <v>139</v>
      </c>
      <c r="J1917" s="475" t="s">
        <v>140</v>
      </c>
      <c r="K1917" s="365">
        <v>225.95</v>
      </c>
      <c r="L1917" s="475" t="s">
        <v>141</v>
      </c>
      <c r="M1917" s="473"/>
    </row>
    <row r="1918" spans="1:13" ht="13.5">
      <c r="A1918" s="475" t="s">
        <v>5400</v>
      </c>
      <c r="B1918" s="475" t="s">
        <v>5401</v>
      </c>
      <c r="C1918" s="475" t="s">
        <v>5404</v>
      </c>
      <c r="D1918" s="475" t="s">
        <v>5405</v>
      </c>
      <c r="E1918" s="476" t="s">
        <v>34</v>
      </c>
      <c r="F1918" s="475" t="s">
        <v>34</v>
      </c>
      <c r="G1918" s="364">
        <v>89201</v>
      </c>
      <c r="H1918" s="475" t="s">
        <v>1625</v>
      </c>
      <c r="I1918" s="475" t="s">
        <v>139</v>
      </c>
      <c r="J1918" s="475" t="s">
        <v>140</v>
      </c>
      <c r="K1918" s="365">
        <v>58.5</v>
      </c>
      <c r="L1918" s="475" t="s">
        <v>141</v>
      </c>
      <c r="M1918" s="473"/>
    </row>
    <row r="1919" spans="1:13" ht="13.5">
      <c r="A1919" s="475" t="s">
        <v>5400</v>
      </c>
      <c r="B1919" s="475" t="s">
        <v>5401</v>
      </c>
      <c r="C1919" s="475" t="s">
        <v>5404</v>
      </c>
      <c r="D1919" s="475" t="s">
        <v>5405</v>
      </c>
      <c r="E1919" s="476" t="s">
        <v>34</v>
      </c>
      <c r="F1919" s="475" t="s">
        <v>34</v>
      </c>
      <c r="G1919" s="364">
        <v>89202</v>
      </c>
      <c r="H1919" s="475" t="s">
        <v>1626</v>
      </c>
      <c r="I1919" s="475" t="s">
        <v>139</v>
      </c>
      <c r="J1919" s="475" t="s">
        <v>140</v>
      </c>
      <c r="K1919" s="365">
        <v>75.87</v>
      </c>
      <c r="L1919" s="475" t="s">
        <v>141</v>
      </c>
      <c r="M1919" s="473"/>
    </row>
    <row r="1920" spans="1:13" ht="13.5">
      <c r="A1920" s="475" t="s">
        <v>5400</v>
      </c>
      <c r="B1920" s="475" t="s">
        <v>5401</v>
      </c>
      <c r="C1920" s="475" t="s">
        <v>5404</v>
      </c>
      <c r="D1920" s="475" t="s">
        <v>5405</v>
      </c>
      <c r="E1920" s="476" t="s">
        <v>34</v>
      </c>
      <c r="F1920" s="475" t="s">
        <v>34</v>
      </c>
      <c r="G1920" s="364">
        <v>89203</v>
      </c>
      <c r="H1920" s="475" t="s">
        <v>1627</v>
      </c>
      <c r="I1920" s="475" t="s">
        <v>139</v>
      </c>
      <c r="J1920" s="475" t="s">
        <v>140</v>
      </c>
      <c r="K1920" s="365">
        <v>177.43</v>
      </c>
      <c r="L1920" s="475" t="s">
        <v>141</v>
      </c>
      <c r="M1920" s="473"/>
    </row>
    <row r="1921" spans="1:13" ht="13.5">
      <c r="A1921" s="475" t="s">
        <v>5400</v>
      </c>
      <c r="B1921" s="475" t="s">
        <v>5401</v>
      </c>
      <c r="C1921" s="475" t="s">
        <v>5404</v>
      </c>
      <c r="D1921" s="475" t="s">
        <v>5405</v>
      </c>
      <c r="E1921" s="476" t="s">
        <v>34</v>
      </c>
      <c r="F1921" s="475" t="s">
        <v>34</v>
      </c>
      <c r="G1921" s="364">
        <v>89204</v>
      </c>
      <c r="H1921" s="475" t="s">
        <v>1628</v>
      </c>
      <c r="I1921" s="475" t="s">
        <v>139</v>
      </c>
      <c r="J1921" s="475" t="s">
        <v>140</v>
      </c>
      <c r="K1921" s="365">
        <v>53.24</v>
      </c>
      <c r="L1921" s="475" t="s">
        <v>141</v>
      </c>
      <c r="M1921" s="473"/>
    </row>
    <row r="1922" spans="1:13" ht="13.5">
      <c r="A1922" s="475" t="s">
        <v>5400</v>
      </c>
      <c r="B1922" s="475" t="s">
        <v>5401</v>
      </c>
      <c r="C1922" s="475" t="s">
        <v>5404</v>
      </c>
      <c r="D1922" s="475" t="s">
        <v>5405</v>
      </c>
      <c r="E1922" s="476" t="s">
        <v>34</v>
      </c>
      <c r="F1922" s="475" t="s">
        <v>34</v>
      </c>
      <c r="G1922" s="364">
        <v>89205</v>
      </c>
      <c r="H1922" s="475" t="s">
        <v>1629</v>
      </c>
      <c r="I1922" s="475" t="s">
        <v>139</v>
      </c>
      <c r="J1922" s="475" t="s">
        <v>140</v>
      </c>
      <c r="K1922" s="365">
        <v>69.72</v>
      </c>
      <c r="L1922" s="475" t="s">
        <v>141</v>
      </c>
      <c r="M1922" s="473"/>
    </row>
    <row r="1923" spans="1:13" ht="13.5">
      <c r="A1923" s="475" t="s">
        <v>5400</v>
      </c>
      <c r="B1923" s="475" t="s">
        <v>5401</v>
      </c>
      <c r="C1923" s="475" t="s">
        <v>5404</v>
      </c>
      <c r="D1923" s="475" t="s">
        <v>5405</v>
      </c>
      <c r="E1923" s="476" t="s">
        <v>34</v>
      </c>
      <c r="F1923" s="475" t="s">
        <v>34</v>
      </c>
      <c r="G1923" s="364">
        <v>89206</v>
      </c>
      <c r="H1923" s="475" t="s">
        <v>1630</v>
      </c>
      <c r="I1923" s="475" t="s">
        <v>139</v>
      </c>
      <c r="J1923" s="475" t="s">
        <v>140</v>
      </c>
      <c r="K1923" s="365">
        <v>165.74</v>
      </c>
      <c r="L1923" s="475" t="s">
        <v>141</v>
      </c>
      <c r="M1923" s="473"/>
    </row>
    <row r="1924" spans="1:13" ht="13.5">
      <c r="A1924" s="475" t="s">
        <v>5400</v>
      </c>
      <c r="B1924" s="475" t="s">
        <v>5401</v>
      </c>
      <c r="C1924" s="475" t="s">
        <v>5404</v>
      </c>
      <c r="D1924" s="475" t="s">
        <v>5405</v>
      </c>
      <c r="E1924" s="476" t="s">
        <v>34</v>
      </c>
      <c r="F1924" s="475" t="s">
        <v>34</v>
      </c>
      <c r="G1924" s="364">
        <v>90808</v>
      </c>
      <c r="H1924" s="475" t="s">
        <v>1631</v>
      </c>
      <c r="I1924" s="475" t="s">
        <v>139</v>
      </c>
      <c r="J1924" s="475" t="s">
        <v>140</v>
      </c>
      <c r="K1924" s="365">
        <v>57.65</v>
      </c>
      <c r="L1924" s="475" t="s">
        <v>141</v>
      </c>
      <c r="M1924" s="473"/>
    </row>
    <row r="1925" spans="1:13" ht="13.5">
      <c r="A1925" s="475" t="s">
        <v>5400</v>
      </c>
      <c r="B1925" s="475" t="s">
        <v>5401</v>
      </c>
      <c r="C1925" s="475" t="s">
        <v>5404</v>
      </c>
      <c r="D1925" s="475" t="s">
        <v>5405</v>
      </c>
      <c r="E1925" s="476" t="s">
        <v>34</v>
      </c>
      <c r="F1925" s="475" t="s">
        <v>34</v>
      </c>
      <c r="G1925" s="364">
        <v>90809</v>
      </c>
      <c r="H1925" s="475" t="s">
        <v>1632</v>
      </c>
      <c r="I1925" s="475" t="s">
        <v>139</v>
      </c>
      <c r="J1925" s="475" t="s">
        <v>140</v>
      </c>
      <c r="K1925" s="365">
        <v>55.57</v>
      </c>
      <c r="L1925" s="475" t="s">
        <v>141</v>
      </c>
      <c r="M1925" s="473"/>
    </row>
    <row r="1926" spans="1:13" ht="13.5">
      <c r="A1926" s="475" t="s">
        <v>5400</v>
      </c>
      <c r="B1926" s="475" t="s">
        <v>5401</v>
      </c>
      <c r="C1926" s="475" t="s">
        <v>5404</v>
      </c>
      <c r="D1926" s="475" t="s">
        <v>5405</v>
      </c>
      <c r="E1926" s="476" t="s">
        <v>34</v>
      </c>
      <c r="F1926" s="475" t="s">
        <v>34</v>
      </c>
      <c r="G1926" s="364">
        <v>90810</v>
      </c>
      <c r="H1926" s="475" t="s">
        <v>1633</v>
      </c>
      <c r="I1926" s="475" t="s">
        <v>139</v>
      </c>
      <c r="J1926" s="475" t="s">
        <v>140</v>
      </c>
      <c r="K1926" s="365">
        <v>122.19</v>
      </c>
      <c r="L1926" s="475" t="s">
        <v>141</v>
      </c>
      <c r="M1926" s="473"/>
    </row>
    <row r="1927" spans="1:13" ht="13.5">
      <c r="A1927" s="475" t="s">
        <v>5400</v>
      </c>
      <c r="B1927" s="475" t="s">
        <v>5401</v>
      </c>
      <c r="C1927" s="475" t="s">
        <v>5404</v>
      </c>
      <c r="D1927" s="475" t="s">
        <v>5405</v>
      </c>
      <c r="E1927" s="476" t="s">
        <v>34</v>
      </c>
      <c r="F1927" s="475" t="s">
        <v>34</v>
      </c>
      <c r="G1927" s="364">
        <v>90811</v>
      </c>
      <c r="H1927" s="475" t="s">
        <v>1634</v>
      </c>
      <c r="I1927" s="475" t="s">
        <v>139</v>
      </c>
      <c r="J1927" s="475" t="s">
        <v>140</v>
      </c>
      <c r="K1927" s="365">
        <v>115.94</v>
      </c>
      <c r="L1927" s="475" t="s">
        <v>141</v>
      </c>
      <c r="M1927" s="473"/>
    </row>
    <row r="1928" spans="1:13" ht="13.5">
      <c r="A1928" s="475" t="s">
        <v>5400</v>
      </c>
      <c r="B1928" s="475" t="s">
        <v>5401</v>
      </c>
      <c r="C1928" s="475" t="s">
        <v>5404</v>
      </c>
      <c r="D1928" s="475" t="s">
        <v>5405</v>
      </c>
      <c r="E1928" s="476" t="s">
        <v>34</v>
      </c>
      <c r="F1928" s="475" t="s">
        <v>34</v>
      </c>
      <c r="G1928" s="364">
        <v>90812</v>
      </c>
      <c r="H1928" s="475" t="s">
        <v>1635</v>
      </c>
      <c r="I1928" s="475" t="s">
        <v>139</v>
      </c>
      <c r="J1928" s="475" t="s">
        <v>140</v>
      </c>
      <c r="K1928" s="365">
        <v>209.04</v>
      </c>
      <c r="L1928" s="475" t="s">
        <v>141</v>
      </c>
      <c r="M1928" s="473"/>
    </row>
    <row r="1929" spans="1:13" ht="13.5">
      <c r="A1929" s="475" t="s">
        <v>5400</v>
      </c>
      <c r="B1929" s="475" t="s">
        <v>5401</v>
      </c>
      <c r="C1929" s="475" t="s">
        <v>5404</v>
      </c>
      <c r="D1929" s="475" t="s">
        <v>5405</v>
      </c>
      <c r="E1929" s="476" t="s">
        <v>34</v>
      </c>
      <c r="F1929" s="475" t="s">
        <v>34</v>
      </c>
      <c r="G1929" s="364">
        <v>90813</v>
      </c>
      <c r="H1929" s="475" t="s">
        <v>1636</v>
      </c>
      <c r="I1929" s="475" t="s">
        <v>139</v>
      </c>
      <c r="J1929" s="475" t="s">
        <v>140</v>
      </c>
      <c r="K1929" s="365">
        <v>200.45</v>
      </c>
      <c r="L1929" s="475" t="s">
        <v>141</v>
      </c>
      <c r="M1929" s="473"/>
    </row>
    <row r="1930" spans="1:13" ht="13.5">
      <c r="A1930" s="475" t="s">
        <v>5400</v>
      </c>
      <c r="B1930" s="475" t="s">
        <v>5401</v>
      </c>
      <c r="C1930" s="475" t="s">
        <v>5404</v>
      </c>
      <c r="D1930" s="475" t="s">
        <v>5405</v>
      </c>
      <c r="E1930" s="476" t="s">
        <v>34</v>
      </c>
      <c r="F1930" s="475" t="s">
        <v>34</v>
      </c>
      <c r="G1930" s="364">
        <v>90814</v>
      </c>
      <c r="H1930" s="475" t="s">
        <v>1637</v>
      </c>
      <c r="I1930" s="475" t="s">
        <v>139</v>
      </c>
      <c r="J1930" s="475" t="s">
        <v>140</v>
      </c>
      <c r="K1930" s="365">
        <v>252.45</v>
      </c>
      <c r="L1930" s="475" t="s">
        <v>141</v>
      </c>
      <c r="M1930" s="473"/>
    </row>
    <row r="1931" spans="1:13" ht="13.5">
      <c r="A1931" s="475" t="s">
        <v>5400</v>
      </c>
      <c r="B1931" s="475" t="s">
        <v>5401</v>
      </c>
      <c r="C1931" s="475" t="s">
        <v>5404</v>
      </c>
      <c r="D1931" s="475" t="s">
        <v>5405</v>
      </c>
      <c r="E1931" s="476" t="s">
        <v>34</v>
      </c>
      <c r="F1931" s="475" t="s">
        <v>34</v>
      </c>
      <c r="G1931" s="364">
        <v>90815</v>
      </c>
      <c r="H1931" s="475" t="s">
        <v>1638</v>
      </c>
      <c r="I1931" s="475" t="s">
        <v>139</v>
      </c>
      <c r="J1931" s="475" t="s">
        <v>140</v>
      </c>
      <c r="K1931" s="365">
        <v>306.33</v>
      </c>
      <c r="L1931" s="475" t="s">
        <v>141</v>
      </c>
      <c r="M1931" s="473"/>
    </row>
    <row r="1932" spans="1:13" ht="13.5">
      <c r="A1932" s="475" t="s">
        <v>5400</v>
      </c>
      <c r="B1932" s="475" t="s">
        <v>5401</v>
      </c>
      <c r="C1932" s="475" t="s">
        <v>5404</v>
      </c>
      <c r="D1932" s="475" t="s">
        <v>5405</v>
      </c>
      <c r="E1932" s="476" t="s">
        <v>34</v>
      </c>
      <c r="F1932" s="475" t="s">
        <v>34</v>
      </c>
      <c r="G1932" s="364">
        <v>90877</v>
      </c>
      <c r="H1932" s="475" t="s">
        <v>1639</v>
      </c>
      <c r="I1932" s="475" t="s">
        <v>139</v>
      </c>
      <c r="J1932" s="475" t="s">
        <v>140</v>
      </c>
      <c r="K1932" s="365">
        <v>36.39</v>
      </c>
      <c r="L1932" s="475" t="s">
        <v>141</v>
      </c>
      <c r="M1932" s="473"/>
    </row>
    <row r="1933" spans="1:13" ht="13.5">
      <c r="A1933" s="475" t="s">
        <v>5400</v>
      </c>
      <c r="B1933" s="475" t="s">
        <v>5401</v>
      </c>
      <c r="C1933" s="475" t="s">
        <v>5404</v>
      </c>
      <c r="D1933" s="475" t="s">
        <v>5405</v>
      </c>
      <c r="E1933" s="476" t="s">
        <v>34</v>
      </c>
      <c r="F1933" s="475" t="s">
        <v>34</v>
      </c>
      <c r="G1933" s="364">
        <v>90878</v>
      </c>
      <c r="H1933" s="475" t="s">
        <v>1640</v>
      </c>
      <c r="I1933" s="475" t="s">
        <v>139</v>
      </c>
      <c r="J1933" s="475" t="s">
        <v>140</v>
      </c>
      <c r="K1933" s="365">
        <v>34.840000000000003</v>
      </c>
      <c r="L1933" s="475" t="s">
        <v>141</v>
      </c>
      <c r="M1933" s="473"/>
    </row>
    <row r="1934" spans="1:13" ht="13.5">
      <c r="A1934" s="475" t="s">
        <v>5400</v>
      </c>
      <c r="B1934" s="475" t="s">
        <v>5401</v>
      </c>
      <c r="C1934" s="475" t="s">
        <v>5404</v>
      </c>
      <c r="D1934" s="475" t="s">
        <v>5405</v>
      </c>
      <c r="E1934" s="476" t="s">
        <v>34</v>
      </c>
      <c r="F1934" s="475" t="s">
        <v>34</v>
      </c>
      <c r="G1934" s="364">
        <v>90880</v>
      </c>
      <c r="H1934" s="475" t="s">
        <v>1641</v>
      </c>
      <c r="I1934" s="475" t="s">
        <v>139</v>
      </c>
      <c r="J1934" s="475" t="s">
        <v>140</v>
      </c>
      <c r="K1934" s="365">
        <v>48.48</v>
      </c>
      <c r="L1934" s="475" t="s">
        <v>141</v>
      </c>
      <c r="M1934" s="473"/>
    </row>
    <row r="1935" spans="1:13" ht="13.5">
      <c r="A1935" s="475" t="s">
        <v>5400</v>
      </c>
      <c r="B1935" s="475" t="s">
        <v>5401</v>
      </c>
      <c r="C1935" s="475" t="s">
        <v>5404</v>
      </c>
      <c r="D1935" s="475" t="s">
        <v>5405</v>
      </c>
      <c r="E1935" s="476" t="s">
        <v>34</v>
      </c>
      <c r="F1935" s="475" t="s">
        <v>34</v>
      </c>
      <c r="G1935" s="364">
        <v>90881</v>
      </c>
      <c r="H1935" s="475" t="s">
        <v>1642</v>
      </c>
      <c r="I1935" s="475" t="s">
        <v>139</v>
      </c>
      <c r="J1935" s="475" t="s">
        <v>140</v>
      </c>
      <c r="K1935" s="365">
        <v>44.59</v>
      </c>
      <c r="L1935" s="475" t="s">
        <v>141</v>
      </c>
      <c r="M1935" s="473"/>
    </row>
    <row r="1936" spans="1:13" ht="13.5">
      <c r="A1936" s="475" t="s">
        <v>5400</v>
      </c>
      <c r="B1936" s="475" t="s">
        <v>5401</v>
      </c>
      <c r="C1936" s="475" t="s">
        <v>5404</v>
      </c>
      <c r="D1936" s="475" t="s">
        <v>5405</v>
      </c>
      <c r="E1936" s="476" t="s">
        <v>34</v>
      </c>
      <c r="F1936" s="475" t="s">
        <v>34</v>
      </c>
      <c r="G1936" s="364">
        <v>90883</v>
      </c>
      <c r="H1936" s="475" t="s">
        <v>1643</v>
      </c>
      <c r="I1936" s="475" t="s">
        <v>139</v>
      </c>
      <c r="J1936" s="475" t="s">
        <v>140</v>
      </c>
      <c r="K1936" s="365">
        <v>61.34</v>
      </c>
      <c r="L1936" s="475" t="s">
        <v>141</v>
      </c>
      <c r="M1936" s="473"/>
    </row>
    <row r="1937" spans="1:13" ht="13.5">
      <c r="A1937" s="475" t="s">
        <v>5400</v>
      </c>
      <c r="B1937" s="475" t="s">
        <v>5401</v>
      </c>
      <c r="C1937" s="475" t="s">
        <v>5404</v>
      </c>
      <c r="D1937" s="475" t="s">
        <v>5405</v>
      </c>
      <c r="E1937" s="476" t="s">
        <v>34</v>
      </c>
      <c r="F1937" s="475" t="s">
        <v>34</v>
      </c>
      <c r="G1937" s="364">
        <v>90884</v>
      </c>
      <c r="H1937" s="475" t="s">
        <v>1644</v>
      </c>
      <c r="I1937" s="475" t="s">
        <v>139</v>
      </c>
      <c r="J1937" s="475" t="s">
        <v>140</v>
      </c>
      <c r="K1937" s="365">
        <v>59.56</v>
      </c>
      <c r="L1937" s="475" t="s">
        <v>141</v>
      </c>
      <c r="M1937" s="473"/>
    </row>
    <row r="1938" spans="1:13" ht="13.5">
      <c r="A1938" s="475" t="s">
        <v>5400</v>
      </c>
      <c r="B1938" s="475" t="s">
        <v>5401</v>
      </c>
      <c r="C1938" s="475" t="s">
        <v>5404</v>
      </c>
      <c r="D1938" s="475" t="s">
        <v>5405</v>
      </c>
      <c r="E1938" s="476" t="s">
        <v>34</v>
      </c>
      <c r="F1938" s="475" t="s">
        <v>34</v>
      </c>
      <c r="G1938" s="364">
        <v>90885</v>
      </c>
      <c r="H1938" s="475" t="s">
        <v>1645</v>
      </c>
      <c r="I1938" s="475" t="s">
        <v>139</v>
      </c>
      <c r="J1938" s="475" t="s">
        <v>140</v>
      </c>
      <c r="K1938" s="365">
        <v>58.77</v>
      </c>
      <c r="L1938" s="475" t="s">
        <v>141</v>
      </c>
      <c r="M1938" s="473"/>
    </row>
    <row r="1939" spans="1:13" ht="13.5">
      <c r="A1939" s="475" t="s">
        <v>5400</v>
      </c>
      <c r="B1939" s="475" t="s">
        <v>5401</v>
      </c>
      <c r="C1939" s="475" t="s">
        <v>5404</v>
      </c>
      <c r="D1939" s="475" t="s">
        <v>5405</v>
      </c>
      <c r="E1939" s="476" t="s">
        <v>34</v>
      </c>
      <c r="F1939" s="475" t="s">
        <v>34</v>
      </c>
      <c r="G1939" s="364">
        <v>90886</v>
      </c>
      <c r="H1939" s="475" t="s">
        <v>1646</v>
      </c>
      <c r="I1939" s="475" t="s">
        <v>139</v>
      </c>
      <c r="J1939" s="475" t="s">
        <v>140</v>
      </c>
      <c r="K1939" s="365">
        <v>118.43</v>
      </c>
      <c r="L1939" s="475" t="s">
        <v>141</v>
      </c>
      <c r="M1939" s="473"/>
    </row>
    <row r="1940" spans="1:13" ht="13.5">
      <c r="A1940" s="475" t="s">
        <v>5400</v>
      </c>
      <c r="B1940" s="475" t="s">
        <v>5401</v>
      </c>
      <c r="C1940" s="475" t="s">
        <v>5404</v>
      </c>
      <c r="D1940" s="475" t="s">
        <v>5405</v>
      </c>
      <c r="E1940" s="476" t="s">
        <v>34</v>
      </c>
      <c r="F1940" s="475" t="s">
        <v>34</v>
      </c>
      <c r="G1940" s="364">
        <v>90887</v>
      </c>
      <c r="H1940" s="475" t="s">
        <v>1647</v>
      </c>
      <c r="I1940" s="475" t="s">
        <v>139</v>
      </c>
      <c r="J1940" s="475" t="s">
        <v>140</v>
      </c>
      <c r="K1940" s="365">
        <v>116.43</v>
      </c>
      <c r="L1940" s="475" t="s">
        <v>141</v>
      </c>
      <c r="M1940" s="473"/>
    </row>
    <row r="1941" spans="1:13" ht="13.5">
      <c r="A1941" s="475" t="s">
        <v>5400</v>
      </c>
      <c r="B1941" s="475" t="s">
        <v>5401</v>
      </c>
      <c r="C1941" s="475" t="s">
        <v>5404</v>
      </c>
      <c r="D1941" s="475" t="s">
        <v>5405</v>
      </c>
      <c r="E1941" s="476" t="s">
        <v>34</v>
      </c>
      <c r="F1941" s="475" t="s">
        <v>34</v>
      </c>
      <c r="G1941" s="364">
        <v>90888</v>
      </c>
      <c r="H1941" s="475" t="s">
        <v>1648</v>
      </c>
      <c r="I1941" s="475" t="s">
        <v>139</v>
      </c>
      <c r="J1941" s="475" t="s">
        <v>140</v>
      </c>
      <c r="K1941" s="365">
        <v>115.59</v>
      </c>
      <c r="L1941" s="475" t="s">
        <v>141</v>
      </c>
      <c r="M1941" s="473"/>
    </row>
    <row r="1942" spans="1:13" ht="13.5">
      <c r="A1942" s="475" t="s">
        <v>5400</v>
      </c>
      <c r="B1942" s="475" t="s">
        <v>5401</v>
      </c>
      <c r="C1942" s="475" t="s">
        <v>5404</v>
      </c>
      <c r="D1942" s="475" t="s">
        <v>5405</v>
      </c>
      <c r="E1942" s="476" t="s">
        <v>34</v>
      </c>
      <c r="F1942" s="475" t="s">
        <v>34</v>
      </c>
      <c r="G1942" s="364">
        <v>90889</v>
      </c>
      <c r="H1942" s="475" t="s">
        <v>1649</v>
      </c>
      <c r="I1942" s="475" t="s">
        <v>139</v>
      </c>
      <c r="J1942" s="475" t="s">
        <v>140</v>
      </c>
      <c r="K1942" s="365">
        <v>139.5</v>
      </c>
      <c r="L1942" s="475" t="s">
        <v>141</v>
      </c>
      <c r="M1942" s="473"/>
    </row>
    <row r="1943" spans="1:13" ht="13.5">
      <c r="A1943" s="475" t="s">
        <v>5400</v>
      </c>
      <c r="B1943" s="475" t="s">
        <v>5401</v>
      </c>
      <c r="C1943" s="475" t="s">
        <v>5404</v>
      </c>
      <c r="D1943" s="475" t="s">
        <v>5405</v>
      </c>
      <c r="E1943" s="476" t="s">
        <v>34</v>
      </c>
      <c r="F1943" s="475" t="s">
        <v>34</v>
      </c>
      <c r="G1943" s="364">
        <v>90890</v>
      </c>
      <c r="H1943" s="475" t="s">
        <v>1650</v>
      </c>
      <c r="I1943" s="475" t="s">
        <v>139</v>
      </c>
      <c r="J1943" s="475" t="s">
        <v>140</v>
      </c>
      <c r="K1943" s="365">
        <v>136.49</v>
      </c>
      <c r="L1943" s="475" t="s">
        <v>141</v>
      </c>
      <c r="M1943" s="473"/>
    </row>
    <row r="1944" spans="1:13" ht="13.5">
      <c r="A1944" s="475" t="s">
        <v>5400</v>
      </c>
      <c r="B1944" s="475" t="s">
        <v>5401</v>
      </c>
      <c r="C1944" s="475" t="s">
        <v>5404</v>
      </c>
      <c r="D1944" s="475" t="s">
        <v>5405</v>
      </c>
      <c r="E1944" s="476" t="s">
        <v>34</v>
      </c>
      <c r="F1944" s="475" t="s">
        <v>34</v>
      </c>
      <c r="G1944" s="364">
        <v>90891</v>
      </c>
      <c r="H1944" s="475" t="s">
        <v>1651</v>
      </c>
      <c r="I1944" s="475" t="s">
        <v>139</v>
      </c>
      <c r="J1944" s="475" t="s">
        <v>140</v>
      </c>
      <c r="K1944" s="365">
        <v>135.16999999999999</v>
      </c>
      <c r="L1944" s="475" t="s">
        <v>141</v>
      </c>
      <c r="M1944" s="473"/>
    </row>
    <row r="1945" spans="1:13" ht="13.5">
      <c r="A1945" s="475" t="s">
        <v>5400</v>
      </c>
      <c r="B1945" s="475" t="s">
        <v>5401</v>
      </c>
      <c r="C1945" s="475" t="s">
        <v>5404</v>
      </c>
      <c r="D1945" s="475" t="s">
        <v>5405</v>
      </c>
      <c r="E1945" s="476" t="s">
        <v>34</v>
      </c>
      <c r="F1945" s="475" t="s">
        <v>34</v>
      </c>
      <c r="G1945" s="364">
        <v>95601</v>
      </c>
      <c r="H1945" s="475" t="s">
        <v>1652</v>
      </c>
      <c r="I1945" s="475" t="s">
        <v>171</v>
      </c>
      <c r="J1945" s="475" t="s">
        <v>140</v>
      </c>
      <c r="K1945" s="365">
        <v>15.06</v>
      </c>
      <c r="L1945" s="475" t="s">
        <v>141</v>
      </c>
      <c r="M1945" s="473"/>
    </row>
    <row r="1946" spans="1:13" ht="13.5">
      <c r="A1946" s="475" t="s">
        <v>5400</v>
      </c>
      <c r="B1946" s="475" t="s">
        <v>5401</v>
      </c>
      <c r="C1946" s="475" t="s">
        <v>5404</v>
      </c>
      <c r="D1946" s="475" t="s">
        <v>5405</v>
      </c>
      <c r="E1946" s="476" t="s">
        <v>34</v>
      </c>
      <c r="F1946" s="475" t="s">
        <v>34</v>
      </c>
      <c r="G1946" s="364">
        <v>95602</v>
      </c>
      <c r="H1946" s="475" t="s">
        <v>1653</v>
      </c>
      <c r="I1946" s="475" t="s">
        <v>171</v>
      </c>
      <c r="J1946" s="475" t="s">
        <v>140</v>
      </c>
      <c r="K1946" s="365">
        <v>19.170000000000002</v>
      </c>
      <c r="L1946" s="475" t="s">
        <v>141</v>
      </c>
      <c r="M1946" s="473"/>
    </row>
    <row r="1947" spans="1:13" ht="13.5">
      <c r="A1947" s="475" t="s">
        <v>5400</v>
      </c>
      <c r="B1947" s="475" t="s">
        <v>5401</v>
      </c>
      <c r="C1947" s="475" t="s">
        <v>5404</v>
      </c>
      <c r="D1947" s="475" t="s">
        <v>5405</v>
      </c>
      <c r="E1947" s="476" t="s">
        <v>34</v>
      </c>
      <c r="F1947" s="475" t="s">
        <v>34</v>
      </c>
      <c r="G1947" s="364">
        <v>95603</v>
      </c>
      <c r="H1947" s="475" t="s">
        <v>1654</v>
      </c>
      <c r="I1947" s="475" t="s">
        <v>171</v>
      </c>
      <c r="J1947" s="475" t="s">
        <v>140</v>
      </c>
      <c r="K1947" s="365">
        <v>25.17</v>
      </c>
      <c r="L1947" s="475" t="s">
        <v>141</v>
      </c>
      <c r="M1947" s="473"/>
    </row>
    <row r="1948" spans="1:13" ht="13.5">
      <c r="A1948" s="475" t="s">
        <v>5400</v>
      </c>
      <c r="B1948" s="475" t="s">
        <v>5401</v>
      </c>
      <c r="C1948" s="475" t="s">
        <v>5404</v>
      </c>
      <c r="D1948" s="475" t="s">
        <v>5405</v>
      </c>
      <c r="E1948" s="476" t="s">
        <v>34</v>
      </c>
      <c r="F1948" s="475" t="s">
        <v>34</v>
      </c>
      <c r="G1948" s="364">
        <v>95604</v>
      </c>
      <c r="H1948" s="475" t="s">
        <v>1655</v>
      </c>
      <c r="I1948" s="475" t="s">
        <v>171</v>
      </c>
      <c r="J1948" s="475" t="s">
        <v>140</v>
      </c>
      <c r="K1948" s="365">
        <v>33.130000000000003</v>
      </c>
      <c r="L1948" s="475" t="s">
        <v>141</v>
      </c>
      <c r="M1948" s="473"/>
    </row>
    <row r="1949" spans="1:13" ht="13.5">
      <c r="A1949" s="475" t="s">
        <v>5400</v>
      </c>
      <c r="B1949" s="475" t="s">
        <v>5401</v>
      </c>
      <c r="C1949" s="475" t="s">
        <v>5404</v>
      </c>
      <c r="D1949" s="475" t="s">
        <v>5405</v>
      </c>
      <c r="E1949" s="476" t="s">
        <v>34</v>
      </c>
      <c r="F1949" s="475" t="s">
        <v>34</v>
      </c>
      <c r="G1949" s="364">
        <v>95605</v>
      </c>
      <c r="H1949" s="475" t="s">
        <v>1656</v>
      </c>
      <c r="I1949" s="475" t="s">
        <v>171</v>
      </c>
      <c r="J1949" s="475" t="s">
        <v>140</v>
      </c>
      <c r="K1949" s="365">
        <v>51.94</v>
      </c>
      <c r="L1949" s="475" t="s">
        <v>141</v>
      </c>
      <c r="M1949" s="473"/>
    </row>
    <row r="1950" spans="1:13" ht="13.5">
      <c r="A1950" s="475" t="s">
        <v>5400</v>
      </c>
      <c r="B1950" s="475" t="s">
        <v>5401</v>
      </c>
      <c r="C1950" s="475" t="s">
        <v>5404</v>
      </c>
      <c r="D1950" s="475" t="s">
        <v>5405</v>
      </c>
      <c r="E1950" s="476" t="s">
        <v>34</v>
      </c>
      <c r="F1950" s="475" t="s">
        <v>34</v>
      </c>
      <c r="G1950" s="364">
        <v>95607</v>
      </c>
      <c r="H1950" s="475" t="s">
        <v>1657</v>
      </c>
      <c r="I1950" s="475" t="s">
        <v>171</v>
      </c>
      <c r="J1950" s="475" t="s">
        <v>140</v>
      </c>
      <c r="K1950" s="365">
        <v>4.8899999999999997</v>
      </c>
      <c r="L1950" s="475" t="s">
        <v>141</v>
      </c>
      <c r="M1950" s="473"/>
    </row>
    <row r="1951" spans="1:13" ht="13.5">
      <c r="A1951" s="475" t="s">
        <v>5400</v>
      </c>
      <c r="B1951" s="475" t="s">
        <v>5401</v>
      </c>
      <c r="C1951" s="475" t="s">
        <v>5404</v>
      </c>
      <c r="D1951" s="475" t="s">
        <v>5405</v>
      </c>
      <c r="E1951" s="476" t="s">
        <v>34</v>
      </c>
      <c r="F1951" s="475" t="s">
        <v>34</v>
      </c>
      <c r="G1951" s="364">
        <v>95608</v>
      </c>
      <c r="H1951" s="475" t="s">
        <v>1658</v>
      </c>
      <c r="I1951" s="475" t="s">
        <v>171</v>
      </c>
      <c r="J1951" s="475" t="s">
        <v>140</v>
      </c>
      <c r="K1951" s="365">
        <v>5.63</v>
      </c>
      <c r="L1951" s="475" t="s">
        <v>141</v>
      </c>
      <c r="M1951" s="473"/>
    </row>
    <row r="1952" spans="1:13" ht="13.5">
      <c r="A1952" s="475" t="s">
        <v>5400</v>
      </c>
      <c r="B1952" s="475" t="s">
        <v>5401</v>
      </c>
      <c r="C1952" s="475" t="s">
        <v>5404</v>
      </c>
      <c r="D1952" s="475" t="s">
        <v>5405</v>
      </c>
      <c r="E1952" s="476" t="s">
        <v>34</v>
      </c>
      <c r="F1952" s="475" t="s">
        <v>34</v>
      </c>
      <c r="G1952" s="364">
        <v>95609</v>
      </c>
      <c r="H1952" s="475" t="s">
        <v>1659</v>
      </c>
      <c r="I1952" s="475" t="s">
        <v>171</v>
      </c>
      <c r="J1952" s="475" t="s">
        <v>140</v>
      </c>
      <c r="K1952" s="365">
        <v>6.28</v>
      </c>
      <c r="L1952" s="475" t="s">
        <v>141</v>
      </c>
      <c r="M1952" s="473"/>
    </row>
    <row r="1953" spans="1:13" ht="13.5">
      <c r="A1953" s="475" t="s">
        <v>5400</v>
      </c>
      <c r="B1953" s="475" t="s">
        <v>5401</v>
      </c>
      <c r="C1953" s="475" t="s">
        <v>5404</v>
      </c>
      <c r="D1953" s="475" t="s">
        <v>5405</v>
      </c>
      <c r="E1953" s="476" t="s">
        <v>34</v>
      </c>
      <c r="F1953" s="475" t="s">
        <v>34</v>
      </c>
      <c r="G1953" s="364">
        <v>96160</v>
      </c>
      <c r="H1953" s="475" t="s">
        <v>1660</v>
      </c>
      <c r="I1953" s="475" t="s">
        <v>139</v>
      </c>
      <c r="J1953" s="475" t="s">
        <v>140</v>
      </c>
      <c r="K1953" s="365">
        <v>163.44</v>
      </c>
      <c r="L1953" s="475" t="s">
        <v>141</v>
      </c>
      <c r="M1953" s="473"/>
    </row>
    <row r="1954" spans="1:13" ht="13.5">
      <c r="A1954" s="475" t="s">
        <v>5400</v>
      </c>
      <c r="B1954" s="475" t="s">
        <v>5401</v>
      </c>
      <c r="C1954" s="475" t="s">
        <v>5404</v>
      </c>
      <c r="D1954" s="475" t="s">
        <v>5405</v>
      </c>
      <c r="E1954" s="476" t="s">
        <v>34</v>
      </c>
      <c r="F1954" s="475" t="s">
        <v>34</v>
      </c>
      <c r="G1954" s="364">
        <v>96161</v>
      </c>
      <c r="H1954" s="475" t="s">
        <v>1661</v>
      </c>
      <c r="I1954" s="475" t="s">
        <v>139</v>
      </c>
      <c r="J1954" s="475" t="s">
        <v>140</v>
      </c>
      <c r="K1954" s="365">
        <v>242.41</v>
      </c>
      <c r="L1954" s="475" t="s">
        <v>141</v>
      </c>
      <c r="M1954" s="473"/>
    </row>
    <row r="1955" spans="1:13" ht="13.5">
      <c r="A1955" s="475" t="s">
        <v>5400</v>
      </c>
      <c r="B1955" s="475" t="s">
        <v>5401</v>
      </c>
      <c r="C1955" s="475" t="s">
        <v>5404</v>
      </c>
      <c r="D1955" s="475" t="s">
        <v>5405</v>
      </c>
      <c r="E1955" s="476" t="s">
        <v>34</v>
      </c>
      <c r="F1955" s="475" t="s">
        <v>34</v>
      </c>
      <c r="G1955" s="364">
        <v>96162</v>
      </c>
      <c r="H1955" s="475" t="s">
        <v>1662</v>
      </c>
      <c r="I1955" s="475" t="s">
        <v>139</v>
      </c>
      <c r="J1955" s="475" t="s">
        <v>140</v>
      </c>
      <c r="K1955" s="365">
        <v>315.33</v>
      </c>
      <c r="L1955" s="475" t="s">
        <v>141</v>
      </c>
      <c r="M1955" s="473"/>
    </row>
    <row r="1956" spans="1:13" ht="13.5">
      <c r="A1956" s="475" t="s">
        <v>5400</v>
      </c>
      <c r="B1956" s="475" t="s">
        <v>5401</v>
      </c>
      <c r="C1956" s="475" t="s">
        <v>5404</v>
      </c>
      <c r="D1956" s="475" t="s">
        <v>5405</v>
      </c>
      <c r="E1956" s="476" t="s">
        <v>34</v>
      </c>
      <c r="F1956" s="475" t="s">
        <v>34</v>
      </c>
      <c r="G1956" s="364">
        <v>96163</v>
      </c>
      <c r="H1956" s="475" t="s">
        <v>1663</v>
      </c>
      <c r="I1956" s="475" t="s">
        <v>139</v>
      </c>
      <c r="J1956" s="475" t="s">
        <v>140</v>
      </c>
      <c r="K1956" s="365">
        <v>357.01</v>
      </c>
      <c r="L1956" s="475" t="s">
        <v>141</v>
      </c>
      <c r="M1956" s="473"/>
    </row>
    <row r="1957" spans="1:13" ht="13.5">
      <c r="A1957" s="475" t="s">
        <v>5400</v>
      </c>
      <c r="B1957" s="475" t="s">
        <v>5401</v>
      </c>
      <c r="C1957" s="475" t="s">
        <v>5404</v>
      </c>
      <c r="D1957" s="475" t="s">
        <v>5405</v>
      </c>
      <c r="E1957" s="476" t="s">
        <v>34</v>
      </c>
      <c r="F1957" s="475" t="s">
        <v>34</v>
      </c>
      <c r="G1957" s="364">
        <v>96164</v>
      </c>
      <c r="H1957" s="475" t="s">
        <v>1664</v>
      </c>
      <c r="I1957" s="475" t="s">
        <v>139</v>
      </c>
      <c r="J1957" s="475" t="s">
        <v>140</v>
      </c>
      <c r="K1957" s="365">
        <v>149.86000000000001</v>
      </c>
      <c r="L1957" s="475" t="s">
        <v>141</v>
      </c>
      <c r="M1957" s="473"/>
    </row>
    <row r="1958" spans="1:13" ht="13.5">
      <c r="A1958" s="475" t="s">
        <v>5400</v>
      </c>
      <c r="B1958" s="475" t="s">
        <v>5401</v>
      </c>
      <c r="C1958" s="475" t="s">
        <v>5404</v>
      </c>
      <c r="D1958" s="475" t="s">
        <v>5405</v>
      </c>
      <c r="E1958" s="476" t="s">
        <v>34</v>
      </c>
      <c r="F1958" s="475" t="s">
        <v>34</v>
      </c>
      <c r="G1958" s="364">
        <v>96165</v>
      </c>
      <c r="H1958" s="475" t="s">
        <v>1665</v>
      </c>
      <c r="I1958" s="475" t="s">
        <v>139</v>
      </c>
      <c r="J1958" s="475" t="s">
        <v>140</v>
      </c>
      <c r="K1958" s="365">
        <v>223.8</v>
      </c>
      <c r="L1958" s="475" t="s">
        <v>141</v>
      </c>
      <c r="M1958" s="473"/>
    </row>
    <row r="1959" spans="1:13" ht="13.5">
      <c r="A1959" s="475" t="s">
        <v>5400</v>
      </c>
      <c r="B1959" s="475" t="s">
        <v>5401</v>
      </c>
      <c r="C1959" s="475" t="s">
        <v>5404</v>
      </c>
      <c r="D1959" s="475" t="s">
        <v>5405</v>
      </c>
      <c r="E1959" s="476" t="s">
        <v>34</v>
      </c>
      <c r="F1959" s="475" t="s">
        <v>34</v>
      </c>
      <c r="G1959" s="364">
        <v>96166</v>
      </c>
      <c r="H1959" s="475" t="s">
        <v>1666</v>
      </c>
      <c r="I1959" s="475" t="s">
        <v>139</v>
      </c>
      <c r="J1959" s="475" t="s">
        <v>140</v>
      </c>
      <c r="K1959" s="365">
        <v>286.64</v>
      </c>
      <c r="L1959" s="475" t="s">
        <v>141</v>
      </c>
      <c r="M1959" s="473"/>
    </row>
    <row r="1960" spans="1:13" ht="13.5">
      <c r="A1960" s="475" t="s">
        <v>5400</v>
      </c>
      <c r="B1960" s="475" t="s">
        <v>5401</v>
      </c>
      <c r="C1960" s="475" t="s">
        <v>5404</v>
      </c>
      <c r="D1960" s="475" t="s">
        <v>5405</v>
      </c>
      <c r="E1960" s="476" t="s">
        <v>34</v>
      </c>
      <c r="F1960" s="475" t="s">
        <v>34</v>
      </c>
      <c r="G1960" s="364">
        <v>96167</v>
      </c>
      <c r="H1960" s="475" t="s">
        <v>1667</v>
      </c>
      <c r="I1960" s="475" t="s">
        <v>139</v>
      </c>
      <c r="J1960" s="475" t="s">
        <v>140</v>
      </c>
      <c r="K1960" s="365">
        <v>316.14</v>
      </c>
      <c r="L1960" s="475" t="s">
        <v>141</v>
      </c>
      <c r="M1960" s="473"/>
    </row>
    <row r="1961" spans="1:13" ht="13.5">
      <c r="A1961" s="475" t="s">
        <v>5400</v>
      </c>
      <c r="B1961" s="475" t="s">
        <v>5401</v>
      </c>
      <c r="C1961" s="475" t="s">
        <v>5404</v>
      </c>
      <c r="D1961" s="475" t="s">
        <v>5405</v>
      </c>
      <c r="E1961" s="476" t="s">
        <v>34</v>
      </c>
      <c r="F1961" s="475" t="s">
        <v>34</v>
      </c>
      <c r="G1961" s="364">
        <v>96168</v>
      </c>
      <c r="H1961" s="475" t="s">
        <v>1668</v>
      </c>
      <c r="I1961" s="475" t="s">
        <v>139</v>
      </c>
      <c r="J1961" s="475" t="s">
        <v>140</v>
      </c>
      <c r="K1961" s="365">
        <v>143.26</v>
      </c>
      <c r="L1961" s="475" t="s">
        <v>141</v>
      </c>
      <c r="M1961" s="473"/>
    </row>
    <row r="1962" spans="1:13" ht="13.5">
      <c r="A1962" s="475" t="s">
        <v>5400</v>
      </c>
      <c r="B1962" s="475" t="s">
        <v>5401</v>
      </c>
      <c r="C1962" s="475" t="s">
        <v>5404</v>
      </c>
      <c r="D1962" s="475" t="s">
        <v>5405</v>
      </c>
      <c r="E1962" s="476" t="s">
        <v>34</v>
      </c>
      <c r="F1962" s="475" t="s">
        <v>34</v>
      </c>
      <c r="G1962" s="364">
        <v>96169</v>
      </c>
      <c r="H1962" s="475" t="s">
        <v>1669</v>
      </c>
      <c r="I1962" s="475" t="s">
        <v>139</v>
      </c>
      <c r="J1962" s="475" t="s">
        <v>140</v>
      </c>
      <c r="K1962" s="365">
        <v>215.31</v>
      </c>
      <c r="L1962" s="475" t="s">
        <v>141</v>
      </c>
      <c r="M1962" s="473"/>
    </row>
    <row r="1963" spans="1:13" ht="13.5">
      <c r="A1963" s="475" t="s">
        <v>5400</v>
      </c>
      <c r="B1963" s="475" t="s">
        <v>5401</v>
      </c>
      <c r="C1963" s="475" t="s">
        <v>5404</v>
      </c>
      <c r="D1963" s="475" t="s">
        <v>5405</v>
      </c>
      <c r="E1963" s="476" t="s">
        <v>34</v>
      </c>
      <c r="F1963" s="475" t="s">
        <v>34</v>
      </c>
      <c r="G1963" s="364">
        <v>96170</v>
      </c>
      <c r="H1963" s="475" t="s">
        <v>1670</v>
      </c>
      <c r="I1963" s="475" t="s">
        <v>139</v>
      </c>
      <c r="J1963" s="475" t="s">
        <v>140</v>
      </c>
      <c r="K1963" s="365">
        <v>276.17</v>
      </c>
      <c r="L1963" s="475" t="s">
        <v>141</v>
      </c>
      <c r="M1963" s="473"/>
    </row>
    <row r="1964" spans="1:13" ht="13.5">
      <c r="A1964" s="475" t="s">
        <v>5400</v>
      </c>
      <c r="B1964" s="475" t="s">
        <v>5401</v>
      </c>
      <c r="C1964" s="475" t="s">
        <v>5404</v>
      </c>
      <c r="D1964" s="475" t="s">
        <v>5405</v>
      </c>
      <c r="E1964" s="476" t="s">
        <v>34</v>
      </c>
      <c r="F1964" s="475" t="s">
        <v>34</v>
      </c>
      <c r="G1964" s="364">
        <v>96171</v>
      </c>
      <c r="H1964" s="475" t="s">
        <v>1671</v>
      </c>
      <c r="I1964" s="475" t="s">
        <v>139</v>
      </c>
      <c r="J1964" s="475" t="s">
        <v>140</v>
      </c>
      <c r="K1964" s="365">
        <v>302.11</v>
      </c>
      <c r="L1964" s="475" t="s">
        <v>141</v>
      </c>
      <c r="M1964" s="473"/>
    </row>
    <row r="1965" spans="1:13" ht="13.5">
      <c r="A1965" s="475" t="s">
        <v>5400</v>
      </c>
      <c r="B1965" s="475" t="s">
        <v>5401</v>
      </c>
      <c r="C1965" s="475" t="s">
        <v>5404</v>
      </c>
      <c r="D1965" s="475" t="s">
        <v>5405</v>
      </c>
      <c r="E1965" s="476" t="s">
        <v>34</v>
      </c>
      <c r="F1965" s="475" t="s">
        <v>34</v>
      </c>
      <c r="G1965" s="364">
        <v>96172</v>
      </c>
      <c r="H1965" s="475" t="s">
        <v>1672</v>
      </c>
      <c r="I1965" s="475" t="s">
        <v>139</v>
      </c>
      <c r="J1965" s="475" t="s">
        <v>140</v>
      </c>
      <c r="K1965" s="365">
        <v>173.44</v>
      </c>
      <c r="L1965" s="475" t="s">
        <v>141</v>
      </c>
      <c r="M1965" s="473"/>
    </row>
    <row r="1966" spans="1:13" ht="13.5">
      <c r="A1966" s="475" t="s">
        <v>5400</v>
      </c>
      <c r="B1966" s="475" t="s">
        <v>5401</v>
      </c>
      <c r="C1966" s="475" t="s">
        <v>5404</v>
      </c>
      <c r="D1966" s="475" t="s">
        <v>5405</v>
      </c>
      <c r="E1966" s="476" t="s">
        <v>34</v>
      </c>
      <c r="F1966" s="475" t="s">
        <v>34</v>
      </c>
      <c r="G1966" s="364">
        <v>96173</v>
      </c>
      <c r="H1966" s="475" t="s">
        <v>1673</v>
      </c>
      <c r="I1966" s="475" t="s">
        <v>139</v>
      </c>
      <c r="J1966" s="475" t="s">
        <v>140</v>
      </c>
      <c r="K1966" s="365">
        <v>254.96</v>
      </c>
      <c r="L1966" s="475" t="s">
        <v>141</v>
      </c>
      <c r="M1966" s="473"/>
    </row>
    <row r="1967" spans="1:13" ht="13.5">
      <c r="A1967" s="475" t="s">
        <v>5400</v>
      </c>
      <c r="B1967" s="475" t="s">
        <v>5401</v>
      </c>
      <c r="C1967" s="475" t="s">
        <v>5404</v>
      </c>
      <c r="D1967" s="475" t="s">
        <v>5405</v>
      </c>
      <c r="E1967" s="476" t="s">
        <v>34</v>
      </c>
      <c r="F1967" s="475" t="s">
        <v>34</v>
      </c>
      <c r="G1967" s="364">
        <v>96174</v>
      </c>
      <c r="H1967" s="475" t="s">
        <v>1674</v>
      </c>
      <c r="I1967" s="475" t="s">
        <v>139</v>
      </c>
      <c r="J1967" s="475" t="s">
        <v>140</v>
      </c>
      <c r="K1967" s="365">
        <v>331.36</v>
      </c>
      <c r="L1967" s="475" t="s">
        <v>141</v>
      </c>
      <c r="M1967" s="473"/>
    </row>
    <row r="1968" spans="1:13" ht="13.5">
      <c r="A1968" s="475" t="s">
        <v>5400</v>
      </c>
      <c r="B1968" s="475" t="s">
        <v>5401</v>
      </c>
      <c r="C1968" s="475" t="s">
        <v>5404</v>
      </c>
      <c r="D1968" s="475" t="s">
        <v>5405</v>
      </c>
      <c r="E1968" s="476" t="s">
        <v>34</v>
      </c>
      <c r="F1968" s="475" t="s">
        <v>34</v>
      </c>
      <c r="G1968" s="364">
        <v>96175</v>
      </c>
      <c r="H1968" s="475" t="s">
        <v>1675</v>
      </c>
      <c r="I1968" s="475" t="s">
        <v>139</v>
      </c>
      <c r="J1968" s="475" t="s">
        <v>140</v>
      </c>
      <c r="K1968" s="365">
        <v>375.68</v>
      </c>
      <c r="L1968" s="475" t="s">
        <v>141</v>
      </c>
      <c r="M1968" s="473"/>
    </row>
    <row r="1969" spans="1:13" ht="13.5">
      <c r="A1969" s="475" t="s">
        <v>5400</v>
      </c>
      <c r="B1969" s="475" t="s">
        <v>5401</v>
      </c>
      <c r="C1969" s="475" t="s">
        <v>5404</v>
      </c>
      <c r="D1969" s="475" t="s">
        <v>5405</v>
      </c>
      <c r="E1969" s="476" t="s">
        <v>34</v>
      </c>
      <c r="F1969" s="475" t="s">
        <v>34</v>
      </c>
      <c r="G1969" s="364">
        <v>96176</v>
      </c>
      <c r="H1969" s="475" t="s">
        <v>1676</v>
      </c>
      <c r="I1969" s="475" t="s">
        <v>139</v>
      </c>
      <c r="J1969" s="475" t="s">
        <v>140</v>
      </c>
      <c r="K1969" s="365">
        <v>156.54</v>
      </c>
      <c r="L1969" s="475" t="s">
        <v>141</v>
      </c>
      <c r="M1969" s="473"/>
    </row>
    <row r="1970" spans="1:13" ht="13.5">
      <c r="A1970" s="475" t="s">
        <v>5400</v>
      </c>
      <c r="B1970" s="475" t="s">
        <v>5401</v>
      </c>
      <c r="C1970" s="475" t="s">
        <v>5404</v>
      </c>
      <c r="D1970" s="475" t="s">
        <v>5405</v>
      </c>
      <c r="E1970" s="476" t="s">
        <v>34</v>
      </c>
      <c r="F1970" s="475" t="s">
        <v>34</v>
      </c>
      <c r="G1970" s="364">
        <v>96177</v>
      </c>
      <c r="H1970" s="475" t="s">
        <v>1677</v>
      </c>
      <c r="I1970" s="475" t="s">
        <v>139</v>
      </c>
      <c r="J1970" s="475" t="s">
        <v>140</v>
      </c>
      <c r="K1970" s="365">
        <v>231.48</v>
      </c>
      <c r="L1970" s="475" t="s">
        <v>141</v>
      </c>
      <c r="M1970" s="473"/>
    </row>
    <row r="1971" spans="1:13" ht="13.5">
      <c r="A1971" s="475" t="s">
        <v>5400</v>
      </c>
      <c r="B1971" s="475" t="s">
        <v>5401</v>
      </c>
      <c r="C1971" s="475" t="s">
        <v>5404</v>
      </c>
      <c r="D1971" s="475" t="s">
        <v>5405</v>
      </c>
      <c r="E1971" s="476" t="s">
        <v>34</v>
      </c>
      <c r="F1971" s="475" t="s">
        <v>34</v>
      </c>
      <c r="G1971" s="364">
        <v>96178</v>
      </c>
      <c r="H1971" s="475" t="s">
        <v>1678</v>
      </c>
      <c r="I1971" s="475" t="s">
        <v>139</v>
      </c>
      <c r="J1971" s="475" t="s">
        <v>140</v>
      </c>
      <c r="K1971" s="365">
        <v>295.73</v>
      </c>
      <c r="L1971" s="475" t="s">
        <v>141</v>
      </c>
      <c r="M1971" s="473"/>
    </row>
    <row r="1972" spans="1:13" ht="13.5">
      <c r="A1972" s="475" t="s">
        <v>5400</v>
      </c>
      <c r="B1972" s="475" t="s">
        <v>5401</v>
      </c>
      <c r="C1972" s="475" t="s">
        <v>5404</v>
      </c>
      <c r="D1972" s="475" t="s">
        <v>5405</v>
      </c>
      <c r="E1972" s="476" t="s">
        <v>34</v>
      </c>
      <c r="F1972" s="475" t="s">
        <v>34</v>
      </c>
      <c r="G1972" s="364">
        <v>96179</v>
      </c>
      <c r="H1972" s="475" t="s">
        <v>1679</v>
      </c>
      <c r="I1972" s="475" t="s">
        <v>139</v>
      </c>
      <c r="J1972" s="475" t="s">
        <v>140</v>
      </c>
      <c r="K1972" s="365">
        <v>326.02</v>
      </c>
      <c r="L1972" s="475" t="s">
        <v>141</v>
      </c>
      <c r="M1972" s="473"/>
    </row>
    <row r="1973" spans="1:13" ht="13.5">
      <c r="A1973" s="475" t="s">
        <v>5400</v>
      </c>
      <c r="B1973" s="475" t="s">
        <v>5401</v>
      </c>
      <c r="C1973" s="475" t="s">
        <v>5404</v>
      </c>
      <c r="D1973" s="475" t="s">
        <v>5405</v>
      </c>
      <c r="E1973" s="476" t="s">
        <v>34</v>
      </c>
      <c r="F1973" s="475" t="s">
        <v>34</v>
      </c>
      <c r="G1973" s="364">
        <v>96180</v>
      </c>
      <c r="H1973" s="475" t="s">
        <v>1680</v>
      </c>
      <c r="I1973" s="475" t="s">
        <v>139</v>
      </c>
      <c r="J1973" s="475" t="s">
        <v>140</v>
      </c>
      <c r="K1973" s="365">
        <v>148.18</v>
      </c>
      <c r="L1973" s="475" t="s">
        <v>141</v>
      </c>
      <c r="M1973" s="473"/>
    </row>
    <row r="1974" spans="1:13" ht="13.5">
      <c r="A1974" s="475" t="s">
        <v>5400</v>
      </c>
      <c r="B1974" s="475" t="s">
        <v>5401</v>
      </c>
      <c r="C1974" s="475" t="s">
        <v>5404</v>
      </c>
      <c r="D1974" s="475" t="s">
        <v>5405</v>
      </c>
      <c r="E1974" s="476" t="s">
        <v>34</v>
      </c>
      <c r="F1974" s="475" t="s">
        <v>34</v>
      </c>
      <c r="G1974" s="364">
        <v>96181</v>
      </c>
      <c r="H1974" s="475" t="s">
        <v>1681</v>
      </c>
      <c r="I1974" s="475" t="s">
        <v>139</v>
      </c>
      <c r="J1974" s="475" t="s">
        <v>140</v>
      </c>
      <c r="K1974" s="365">
        <v>221.04</v>
      </c>
      <c r="L1974" s="475" t="s">
        <v>141</v>
      </c>
      <c r="M1974" s="473"/>
    </row>
    <row r="1975" spans="1:13" ht="13.5">
      <c r="A1975" s="475" t="s">
        <v>5400</v>
      </c>
      <c r="B1975" s="475" t="s">
        <v>5401</v>
      </c>
      <c r="C1975" s="475" t="s">
        <v>5404</v>
      </c>
      <c r="D1975" s="475" t="s">
        <v>5405</v>
      </c>
      <c r="E1975" s="476" t="s">
        <v>34</v>
      </c>
      <c r="F1975" s="475" t="s">
        <v>34</v>
      </c>
      <c r="G1975" s="364">
        <v>96182</v>
      </c>
      <c r="H1975" s="475" t="s">
        <v>1682</v>
      </c>
      <c r="I1975" s="475" t="s">
        <v>139</v>
      </c>
      <c r="J1975" s="475" t="s">
        <v>140</v>
      </c>
      <c r="K1975" s="365">
        <v>281.74</v>
      </c>
      <c r="L1975" s="475" t="s">
        <v>141</v>
      </c>
      <c r="M1975" s="473"/>
    </row>
    <row r="1976" spans="1:13" ht="13.5">
      <c r="A1976" s="475" t="s">
        <v>5400</v>
      </c>
      <c r="B1976" s="475" t="s">
        <v>5401</v>
      </c>
      <c r="C1976" s="475" t="s">
        <v>5404</v>
      </c>
      <c r="D1976" s="475" t="s">
        <v>5405</v>
      </c>
      <c r="E1976" s="476" t="s">
        <v>34</v>
      </c>
      <c r="F1976" s="475" t="s">
        <v>34</v>
      </c>
      <c r="G1976" s="364">
        <v>96183</v>
      </c>
      <c r="H1976" s="475" t="s">
        <v>1683</v>
      </c>
      <c r="I1976" s="475" t="s">
        <v>139</v>
      </c>
      <c r="J1976" s="475" t="s">
        <v>140</v>
      </c>
      <c r="K1976" s="365">
        <v>308.83</v>
      </c>
      <c r="L1976" s="475" t="s">
        <v>141</v>
      </c>
      <c r="M1976" s="473"/>
    </row>
    <row r="1977" spans="1:13" ht="13.5">
      <c r="A1977" s="475" t="s">
        <v>5400</v>
      </c>
      <c r="B1977" s="475" t="s">
        <v>5401</v>
      </c>
      <c r="C1977" s="475" t="s">
        <v>5404</v>
      </c>
      <c r="D1977" s="475" t="s">
        <v>5405</v>
      </c>
      <c r="E1977" s="476" t="s">
        <v>34</v>
      </c>
      <c r="F1977" s="475" t="s">
        <v>34</v>
      </c>
      <c r="G1977" s="364">
        <v>98228</v>
      </c>
      <c r="H1977" s="475" t="s">
        <v>6273</v>
      </c>
      <c r="I1977" s="475" t="s">
        <v>139</v>
      </c>
      <c r="J1977" s="475" t="s">
        <v>337</v>
      </c>
      <c r="K1977" s="365">
        <v>46.75</v>
      </c>
      <c r="L1977" s="475" t="s">
        <v>141</v>
      </c>
      <c r="M1977" s="473"/>
    </row>
    <row r="1978" spans="1:13" ht="13.5">
      <c r="A1978" s="475" t="s">
        <v>5400</v>
      </c>
      <c r="B1978" s="475" t="s">
        <v>5401</v>
      </c>
      <c r="C1978" s="475" t="s">
        <v>5404</v>
      </c>
      <c r="D1978" s="475" t="s">
        <v>5405</v>
      </c>
      <c r="E1978" s="476" t="s">
        <v>34</v>
      </c>
      <c r="F1978" s="475" t="s">
        <v>34</v>
      </c>
      <c r="G1978" s="364">
        <v>98229</v>
      </c>
      <c r="H1978" s="475" t="s">
        <v>6274</v>
      </c>
      <c r="I1978" s="475" t="s">
        <v>139</v>
      </c>
      <c r="J1978" s="475" t="s">
        <v>337</v>
      </c>
      <c r="K1978" s="365">
        <v>63.19</v>
      </c>
      <c r="L1978" s="475" t="s">
        <v>141</v>
      </c>
      <c r="M1978" s="473"/>
    </row>
    <row r="1979" spans="1:13" ht="13.5">
      <c r="A1979" s="475" t="s">
        <v>5400</v>
      </c>
      <c r="B1979" s="475" t="s">
        <v>5401</v>
      </c>
      <c r="C1979" s="475" t="s">
        <v>5404</v>
      </c>
      <c r="D1979" s="475" t="s">
        <v>5405</v>
      </c>
      <c r="E1979" s="476" t="s">
        <v>34</v>
      </c>
      <c r="F1979" s="475" t="s">
        <v>34</v>
      </c>
      <c r="G1979" s="364">
        <v>98230</v>
      </c>
      <c r="H1979" s="475" t="s">
        <v>6275</v>
      </c>
      <c r="I1979" s="475" t="s">
        <v>139</v>
      </c>
      <c r="J1979" s="475" t="s">
        <v>337</v>
      </c>
      <c r="K1979" s="365">
        <v>85.77</v>
      </c>
      <c r="L1979" s="475" t="s">
        <v>141</v>
      </c>
      <c r="M1979" s="473"/>
    </row>
    <row r="1980" spans="1:13" ht="13.5">
      <c r="A1980" s="475" t="s">
        <v>5400</v>
      </c>
      <c r="B1980" s="475" t="s">
        <v>5401</v>
      </c>
      <c r="C1980" s="475" t="s">
        <v>5404</v>
      </c>
      <c r="D1980" s="475" t="s">
        <v>5405</v>
      </c>
      <c r="E1980" s="476" t="s">
        <v>34</v>
      </c>
      <c r="F1980" s="475" t="s">
        <v>34</v>
      </c>
      <c r="G1980" s="364">
        <v>100035</v>
      </c>
      <c r="H1980" s="475" t="s">
        <v>15144</v>
      </c>
      <c r="I1980" s="475" t="s">
        <v>315</v>
      </c>
      <c r="J1980" s="475" t="s">
        <v>140</v>
      </c>
      <c r="K1980" s="365">
        <v>7.5</v>
      </c>
      <c r="L1980" s="475" t="s">
        <v>141</v>
      </c>
      <c r="M1980" s="473"/>
    </row>
    <row r="1981" spans="1:13" ht="13.5">
      <c r="A1981" s="475" t="s">
        <v>5400</v>
      </c>
      <c r="B1981" s="475" t="s">
        <v>5401</v>
      </c>
      <c r="C1981" s="475" t="s">
        <v>5404</v>
      </c>
      <c r="D1981" s="475" t="s">
        <v>5405</v>
      </c>
      <c r="E1981" s="476" t="s">
        <v>34</v>
      </c>
      <c r="F1981" s="475" t="s">
        <v>34</v>
      </c>
      <c r="G1981" s="364">
        <v>100036</v>
      </c>
      <c r="H1981" s="475" t="s">
        <v>15145</v>
      </c>
      <c r="I1981" s="475" t="s">
        <v>315</v>
      </c>
      <c r="J1981" s="475" t="s">
        <v>140</v>
      </c>
      <c r="K1981" s="365">
        <v>7.36</v>
      </c>
      <c r="L1981" s="475" t="s">
        <v>141</v>
      </c>
      <c r="M1981" s="473"/>
    </row>
    <row r="1982" spans="1:13" ht="13.5">
      <c r="A1982" s="475" t="s">
        <v>5400</v>
      </c>
      <c r="B1982" s="475" t="s">
        <v>5401</v>
      </c>
      <c r="C1982" s="475" t="s">
        <v>5404</v>
      </c>
      <c r="D1982" s="475" t="s">
        <v>5405</v>
      </c>
      <c r="E1982" s="476" t="s">
        <v>34</v>
      </c>
      <c r="F1982" s="475" t="s">
        <v>34</v>
      </c>
      <c r="G1982" s="364">
        <v>100037</v>
      </c>
      <c r="H1982" s="475" t="s">
        <v>15146</v>
      </c>
      <c r="I1982" s="475" t="s">
        <v>315</v>
      </c>
      <c r="J1982" s="475" t="s">
        <v>140</v>
      </c>
      <c r="K1982" s="365">
        <v>7.16</v>
      </c>
      <c r="L1982" s="475" t="s">
        <v>141</v>
      </c>
      <c r="M1982" s="473"/>
    </row>
    <row r="1983" spans="1:13" ht="13.5">
      <c r="A1983" s="475" t="s">
        <v>5400</v>
      </c>
      <c r="B1983" s="475" t="s">
        <v>5401</v>
      </c>
      <c r="C1983" s="475" t="s">
        <v>5406</v>
      </c>
      <c r="D1983" s="475" t="s">
        <v>5407</v>
      </c>
      <c r="E1983" s="476" t="s">
        <v>34</v>
      </c>
      <c r="F1983" s="475" t="s">
        <v>34</v>
      </c>
      <c r="G1983" s="364">
        <v>83534</v>
      </c>
      <c r="H1983" s="475" t="s">
        <v>1684</v>
      </c>
      <c r="I1983" s="475" t="s">
        <v>1261</v>
      </c>
      <c r="J1983" s="475" t="s">
        <v>337</v>
      </c>
      <c r="K1983" s="365">
        <v>491.11</v>
      </c>
      <c r="L1983" s="475" t="s">
        <v>141</v>
      </c>
      <c r="M1983" s="473"/>
    </row>
    <row r="1984" spans="1:13" ht="13.5">
      <c r="A1984" s="475" t="s">
        <v>5400</v>
      </c>
      <c r="B1984" s="475" t="s">
        <v>5401</v>
      </c>
      <c r="C1984" s="475" t="s">
        <v>5406</v>
      </c>
      <c r="D1984" s="475" t="s">
        <v>5407</v>
      </c>
      <c r="E1984" s="476" t="s">
        <v>34</v>
      </c>
      <c r="F1984" s="475" t="s">
        <v>34</v>
      </c>
      <c r="G1984" s="364">
        <v>95240</v>
      </c>
      <c r="H1984" s="475" t="s">
        <v>6463</v>
      </c>
      <c r="I1984" s="475" t="s">
        <v>322</v>
      </c>
      <c r="J1984" s="475" t="s">
        <v>337</v>
      </c>
      <c r="K1984" s="365">
        <v>12.64</v>
      </c>
      <c r="L1984" s="475" t="s">
        <v>141</v>
      </c>
      <c r="M1984" s="473"/>
    </row>
    <row r="1985" spans="1:13" ht="13.5">
      <c r="A1985" s="475" t="s">
        <v>5400</v>
      </c>
      <c r="B1985" s="475" t="s">
        <v>5401</v>
      </c>
      <c r="C1985" s="475" t="s">
        <v>5406</v>
      </c>
      <c r="D1985" s="475" t="s">
        <v>5407</v>
      </c>
      <c r="E1985" s="476" t="s">
        <v>34</v>
      </c>
      <c r="F1985" s="475" t="s">
        <v>34</v>
      </c>
      <c r="G1985" s="364">
        <v>95241</v>
      </c>
      <c r="H1985" s="475" t="s">
        <v>6464</v>
      </c>
      <c r="I1985" s="475" t="s">
        <v>322</v>
      </c>
      <c r="J1985" s="475" t="s">
        <v>337</v>
      </c>
      <c r="K1985" s="365">
        <v>21.08</v>
      </c>
      <c r="L1985" s="475" t="s">
        <v>141</v>
      </c>
      <c r="M1985" s="473"/>
    </row>
    <row r="1986" spans="1:13" ht="13.5">
      <c r="A1986" s="475" t="s">
        <v>5400</v>
      </c>
      <c r="B1986" s="475" t="s">
        <v>5401</v>
      </c>
      <c r="C1986" s="475" t="s">
        <v>5406</v>
      </c>
      <c r="D1986" s="475" t="s">
        <v>5407</v>
      </c>
      <c r="E1986" s="476" t="s">
        <v>34</v>
      </c>
      <c r="F1986" s="475" t="s">
        <v>34</v>
      </c>
      <c r="G1986" s="364">
        <v>96616</v>
      </c>
      <c r="H1986" s="475" t="s">
        <v>1685</v>
      </c>
      <c r="I1986" s="475" t="s">
        <v>1261</v>
      </c>
      <c r="J1986" s="475" t="s">
        <v>337</v>
      </c>
      <c r="K1986" s="365">
        <v>439.96</v>
      </c>
      <c r="L1986" s="475" t="s">
        <v>141</v>
      </c>
      <c r="M1986" s="473"/>
    </row>
    <row r="1987" spans="1:13" ht="13.5">
      <c r="A1987" s="475" t="s">
        <v>5400</v>
      </c>
      <c r="B1987" s="475" t="s">
        <v>5401</v>
      </c>
      <c r="C1987" s="475" t="s">
        <v>5406</v>
      </c>
      <c r="D1987" s="475" t="s">
        <v>5407</v>
      </c>
      <c r="E1987" s="476" t="s">
        <v>34</v>
      </c>
      <c r="F1987" s="475" t="s">
        <v>34</v>
      </c>
      <c r="G1987" s="364">
        <v>96617</v>
      </c>
      <c r="H1987" s="475" t="s">
        <v>1686</v>
      </c>
      <c r="I1987" s="475" t="s">
        <v>322</v>
      </c>
      <c r="J1987" s="475" t="s">
        <v>337</v>
      </c>
      <c r="K1987" s="365">
        <v>13.18</v>
      </c>
      <c r="L1987" s="475" t="s">
        <v>141</v>
      </c>
      <c r="M1987" s="473"/>
    </row>
    <row r="1988" spans="1:13" ht="13.5">
      <c r="A1988" s="475" t="s">
        <v>5400</v>
      </c>
      <c r="B1988" s="475" t="s">
        <v>5401</v>
      </c>
      <c r="C1988" s="475" t="s">
        <v>5406</v>
      </c>
      <c r="D1988" s="475" t="s">
        <v>5407</v>
      </c>
      <c r="E1988" s="476" t="s">
        <v>34</v>
      </c>
      <c r="F1988" s="475" t="s">
        <v>34</v>
      </c>
      <c r="G1988" s="364">
        <v>96619</v>
      </c>
      <c r="H1988" s="475" t="s">
        <v>1687</v>
      </c>
      <c r="I1988" s="475" t="s">
        <v>322</v>
      </c>
      <c r="J1988" s="475" t="s">
        <v>337</v>
      </c>
      <c r="K1988" s="365">
        <v>21.98</v>
      </c>
      <c r="L1988" s="475" t="s">
        <v>141</v>
      </c>
      <c r="M1988" s="473"/>
    </row>
    <row r="1989" spans="1:13" ht="13.5">
      <c r="A1989" s="475" t="s">
        <v>5400</v>
      </c>
      <c r="B1989" s="475" t="s">
        <v>5401</v>
      </c>
      <c r="C1989" s="475" t="s">
        <v>5406</v>
      </c>
      <c r="D1989" s="475" t="s">
        <v>5407</v>
      </c>
      <c r="E1989" s="476" t="s">
        <v>34</v>
      </c>
      <c r="F1989" s="475" t="s">
        <v>34</v>
      </c>
      <c r="G1989" s="364">
        <v>96620</v>
      </c>
      <c r="H1989" s="475" t="s">
        <v>1688</v>
      </c>
      <c r="I1989" s="475" t="s">
        <v>1261</v>
      </c>
      <c r="J1989" s="475" t="s">
        <v>337</v>
      </c>
      <c r="K1989" s="365">
        <v>422</v>
      </c>
      <c r="L1989" s="475" t="s">
        <v>141</v>
      </c>
      <c r="M1989" s="473"/>
    </row>
    <row r="1990" spans="1:13" ht="13.5">
      <c r="A1990" s="475" t="s">
        <v>5400</v>
      </c>
      <c r="B1990" s="475" t="s">
        <v>5401</v>
      </c>
      <c r="C1990" s="475" t="s">
        <v>5406</v>
      </c>
      <c r="D1990" s="475" t="s">
        <v>5407</v>
      </c>
      <c r="E1990" s="476" t="s">
        <v>34</v>
      </c>
      <c r="F1990" s="475" t="s">
        <v>34</v>
      </c>
      <c r="G1990" s="364">
        <v>96621</v>
      </c>
      <c r="H1990" s="475" t="s">
        <v>1689</v>
      </c>
      <c r="I1990" s="475" t="s">
        <v>1261</v>
      </c>
      <c r="J1990" s="475" t="s">
        <v>337</v>
      </c>
      <c r="K1990" s="365">
        <v>174.24</v>
      </c>
      <c r="L1990" s="475" t="s">
        <v>141</v>
      </c>
      <c r="M1990" s="473"/>
    </row>
    <row r="1991" spans="1:13" ht="13.5">
      <c r="A1991" s="475" t="s">
        <v>5400</v>
      </c>
      <c r="B1991" s="475" t="s">
        <v>5401</v>
      </c>
      <c r="C1991" s="475" t="s">
        <v>5406</v>
      </c>
      <c r="D1991" s="475" t="s">
        <v>5407</v>
      </c>
      <c r="E1991" s="476" t="s">
        <v>34</v>
      </c>
      <c r="F1991" s="475" t="s">
        <v>34</v>
      </c>
      <c r="G1991" s="364">
        <v>96622</v>
      </c>
      <c r="H1991" s="475" t="s">
        <v>1690</v>
      </c>
      <c r="I1991" s="475" t="s">
        <v>1261</v>
      </c>
      <c r="J1991" s="475" t="s">
        <v>337</v>
      </c>
      <c r="K1991" s="365">
        <v>121.53</v>
      </c>
      <c r="L1991" s="475" t="s">
        <v>141</v>
      </c>
      <c r="M1991" s="473"/>
    </row>
    <row r="1992" spans="1:13" ht="13.5">
      <c r="A1992" s="475" t="s">
        <v>5400</v>
      </c>
      <c r="B1992" s="475" t="s">
        <v>5401</v>
      </c>
      <c r="C1992" s="475" t="s">
        <v>5406</v>
      </c>
      <c r="D1992" s="475" t="s">
        <v>5407</v>
      </c>
      <c r="E1992" s="476" t="s">
        <v>34</v>
      </c>
      <c r="F1992" s="475" t="s">
        <v>34</v>
      </c>
      <c r="G1992" s="364">
        <v>96623</v>
      </c>
      <c r="H1992" s="475" t="s">
        <v>1691</v>
      </c>
      <c r="I1992" s="475" t="s">
        <v>1261</v>
      </c>
      <c r="J1992" s="475" t="s">
        <v>337</v>
      </c>
      <c r="K1992" s="365">
        <v>161.94</v>
      </c>
      <c r="L1992" s="475" t="s">
        <v>141</v>
      </c>
      <c r="M1992" s="473"/>
    </row>
    <row r="1993" spans="1:13" ht="13.5">
      <c r="A1993" s="475" t="s">
        <v>5400</v>
      </c>
      <c r="B1993" s="475" t="s">
        <v>5401</v>
      </c>
      <c r="C1993" s="475" t="s">
        <v>5406</v>
      </c>
      <c r="D1993" s="475" t="s">
        <v>5407</v>
      </c>
      <c r="E1993" s="476" t="s">
        <v>34</v>
      </c>
      <c r="F1993" s="475" t="s">
        <v>34</v>
      </c>
      <c r="G1993" s="364">
        <v>96624</v>
      </c>
      <c r="H1993" s="475" t="s">
        <v>15147</v>
      </c>
      <c r="I1993" s="475" t="s">
        <v>1261</v>
      </c>
      <c r="J1993" s="475" t="s">
        <v>337</v>
      </c>
      <c r="K1993" s="365">
        <v>117.19</v>
      </c>
      <c r="L1993" s="475" t="s">
        <v>141</v>
      </c>
      <c r="M1993" s="473"/>
    </row>
    <row r="1994" spans="1:13" ht="13.5">
      <c r="A1994" s="475" t="s">
        <v>5400</v>
      </c>
      <c r="B1994" s="475" t="s">
        <v>5401</v>
      </c>
      <c r="C1994" s="475" t="s">
        <v>5406</v>
      </c>
      <c r="D1994" s="475" t="s">
        <v>5407</v>
      </c>
      <c r="E1994" s="476" t="s">
        <v>34</v>
      </c>
      <c r="F1994" s="475" t="s">
        <v>34</v>
      </c>
      <c r="G1994" s="364">
        <v>97082</v>
      </c>
      <c r="H1994" s="475" t="s">
        <v>5891</v>
      </c>
      <c r="I1994" s="475" t="s">
        <v>1261</v>
      </c>
      <c r="J1994" s="475" t="s">
        <v>363</v>
      </c>
      <c r="K1994" s="365">
        <v>41.7</v>
      </c>
      <c r="L1994" s="475" t="s">
        <v>141</v>
      </c>
      <c r="M1994" s="473"/>
    </row>
    <row r="1995" spans="1:13" ht="13.5">
      <c r="A1995" s="475" t="s">
        <v>5400</v>
      </c>
      <c r="B1995" s="475" t="s">
        <v>5401</v>
      </c>
      <c r="C1995" s="475" t="s">
        <v>5406</v>
      </c>
      <c r="D1995" s="475" t="s">
        <v>5407</v>
      </c>
      <c r="E1995" s="476" t="s">
        <v>34</v>
      </c>
      <c r="F1995" s="475" t="s">
        <v>34</v>
      </c>
      <c r="G1995" s="364">
        <v>97083</v>
      </c>
      <c r="H1995" s="475" t="s">
        <v>5892</v>
      </c>
      <c r="I1995" s="475" t="s">
        <v>322</v>
      </c>
      <c r="J1995" s="475" t="s">
        <v>140</v>
      </c>
      <c r="K1995" s="365">
        <v>2.2400000000000002</v>
      </c>
      <c r="L1995" s="475" t="s">
        <v>141</v>
      </c>
      <c r="M1995" s="473"/>
    </row>
    <row r="1996" spans="1:13" ht="13.5">
      <c r="A1996" s="475" t="s">
        <v>5400</v>
      </c>
      <c r="B1996" s="475" t="s">
        <v>5401</v>
      </c>
      <c r="C1996" s="475" t="s">
        <v>5406</v>
      </c>
      <c r="D1996" s="475" t="s">
        <v>5407</v>
      </c>
      <c r="E1996" s="476" t="s">
        <v>34</v>
      </c>
      <c r="F1996" s="475" t="s">
        <v>34</v>
      </c>
      <c r="G1996" s="364">
        <v>97084</v>
      </c>
      <c r="H1996" s="475" t="s">
        <v>5893</v>
      </c>
      <c r="I1996" s="475" t="s">
        <v>322</v>
      </c>
      <c r="J1996" s="475" t="s">
        <v>337</v>
      </c>
      <c r="K1996" s="365">
        <v>0.46</v>
      </c>
      <c r="L1996" s="475" t="s">
        <v>141</v>
      </c>
      <c r="M1996" s="473"/>
    </row>
    <row r="1997" spans="1:13" ht="13.5">
      <c r="A1997" s="475" t="s">
        <v>5400</v>
      </c>
      <c r="B1997" s="475" t="s">
        <v>5401</v>
      </c>
      <c r="C1997" s="475" t="s">
        <v>5406</v>
      </c>
      <c r="D1997" s="475" t="s">
        <v>5407</v>
      </c>
      <c r="E1997" s="476" t="s">
        <v>34</v>
      </c>
      <c r="F1997" s="475" t="s">
        <v>34</v>
      </c>
      <c r="G1997" s="364">
        <v>97086</v>
      </c>
      <c r="H1997" s="475" t="s">
        <v>5894</v>
      </c>
      <c r="I1997" s="475" t="s">
        <v>322</v>
      </c>
      <c r="J1997" s="475" t="s">
        <v>337</v>
      </c>
      <c r="K1997" s="365">
        <v>85.03</v>
      </c>
      <c r="L1997" s="475" t="s">
        <v>141</v>
      </c>
      <c r="M1997" s="473"/>
    </row>
    <row r="1998" spans="1:13" ht="13.5">
      <c r="A1998" s="475" t="s">
        <v>5400</v>
      </c>
      <c r="B1998" s="475" t="s">
        <v>5401</v>
      </c>
      <c r="C1998" s="475" t="s">
        <v>5406</v>
      </c>
      <c r="D1998" s="475" t="s">
        <v>5407</v>
      </c>
      <c r="E1998" s="476" t="s">
        <v>34</v>
      </c>
      <c r="F1998" s="475" t="s">
        <v>34</v>
      </c>
      <c r="G1998" s="364">
        <v>97094</v>
      </c>
      <c r="H1998" s="475" t="s">
        <v>5895</v>
      </c>
      <c r="I1998" s="475" t="s">
        <v>1261</v>
      </c>
      <c r="J1998" s="475" t="s">
        <v>140</v>
      </c>
      <c r="K1998" s="365">
        <v>367.8</v>
      </c>
      <c r="L1998" s="475" t="s">
        <v>141</v>
      </c>
      <c r="M1998" s="473"/>
    </row>
    <row r="1999" spans="1:13" ht="13.5">
      <c r="A1999" s="475" t="s">
        <v>5400</v>
      </c>
      <c r="B1999" s="475" t="s">
        <v>5401</v>
      </c>
      <c r="C1999" s="475" t="s">
        <v>5406</v>
      </c>
      <c r="D1999" s="475" t="s">
        <v>5407</v>
      </c>
      <c r="E1999" s="476" t="s">
        <v>34</v>
      </c>
      <c r="F1999" s="475" t="s">
        <v>34</v>
      </c>
      <c r="G1999" s="364">
        <v>97095</v>
      </c>
      <c r="H1999" s="475" t="s">
        <v>5896</v>
      </c>
      <c r="I1999" s="475" t="s">
        <v>1261</v>
      </c>
      <c r="J1999" s="475" t="s">
        <v>140</v>
      </c>
      <c r="K1999" s="365">
        <v>345.19</v>
      </c>
      <c r="L1999" s="475" t="s">
        <v>141</v>
      </c>
      <c r="M1999" s="473"/>
    </row>
    <row r="2000" spans="1:13" ht="13.5">
      <c r="A2000" s="475" t="s">
        <v>5400</v>
      </c>
      <c r="B2000" s="475" t="s">
        <v>5401</v>
      </c>
      <c r="C2000" s="475" t="s">
        <v>5406</v>
      </c>
      <c r="D2000" s="475" t="s">
        <v>5407</v>
      </c>
      <c r="E2000" s="476" t="s">
        <v>34</v>
      </c>
      <c r="F2000" s="475" t="s">
        <v>34</v>
      </c>
      <c r="G2000" s="364">
        <v>97096</v>
      </c>
      <c r="H2000" s="475" t="s">
        <v>5897</v>
      </c>
      <c r="I2000" s="475" t="s">
        <v>1261</v>
      </c>
      <c r="J2000" s="475" t="s">
        <v>140</v>
      </c>
      <c r="K2000" s="365">
        <v>333.58</v>
      </c>
      <c r="L2000" s="475" t="s">
        <v>141</v>
      </c>
      <c r="M2000" s="473"/>
    </row>
    <row r="2001" spans="1:13" ht="13.5">
      <c r="A2001" s="475" t="s">
        <v>5400</v>
      </c>
      <c r="B2001" s="475" t="s">
        <v>5401</v>
      </c>
      <c r="C2001" s="475" t="s">
        <v>5406</v>
      </c>
      <c r="D2001" s="475" t="s">
        <v>5407</v>
      </c>
      <c r="E2001" s="476" t="s">
        <v>34</v>
      </c>
      <c r="F2001" s="475" t="s">
        <v>34</v>
      </c>
      <c r="G2001" s="364">
        <v>100322</v>
      </c>
      <c r="H2001" s="475" t="s">
        <v>15148</v>
      </c>
      <c r="I2001" s="475" t="s">
        <v>1261</v>
      </c>
      <c r="J2001" s="475" t="s">
        <v>337</v>
      </c>
      <c r="K2001" s="365">
        <v>117.19</v>
      </c>
      <c r="L2001" s="475" t="s">
        <v>141</v>
      </c>
      <c r="M2001" s="473"/>
    </row>
    <row r="2002" spans="1:13" ht="13.5">
      <c r="A2002" s="475" t="s">
        <v>5400</v>
      </c>
      <c r="B2002" s="475" t="s">
        <v>5401</v>
      </c>
      <c r="C2002" s="475" t="s">
        <v>5406</v>
      </c>
      <c r="D2002" s="475" t="s">
        <v>5407</v>
      </c>
      <c r="E2002" s="476" t="s">
        <v>34</v>
      </c>
      <c r="F2002" s="475" t="s">
        <v>34</v>
      </c>
      <c r="G2002" s="364">
        <v>100323</v>
      </c>
      <c r="H2002" s="475" t="s">
        <v>15149</v>
      </c>
      <c r="I2002" s="475" t="s">
        <v>1261</v>
      </c>
      <c r="J2002" s="475" t="s">
        <v>337</v>
      </c>
      <c r="K2002" s="365">
        <v>125.67</v>
      </c>
      <c r="L2002" s="475" t="s">
        <v>141</v>
      </c>
      <c r="M2002" s="473"/>
    </row>
    <row r="2003" spans="1:13" ht="13.5">
      <c r="A2003" s="475" t="s">
        <v>5400</v>
      </c>
      <c r="B2003" s="475" t="s">
        <v>5401</v>
      </c>
      <c r="C2003" s="475" t="s">
        <v>5406</v>
      </c>
      <c r="D2003" s="475" t="s">
        <v>5407</v>
      </c>
      <c r="E2003" s="476" t="s">
        <v>34</v>
      </c>
      <c r="F2003" s="475" t="s">
        <v>34</v>
      </c>
      <c r="G2003" s="364">
        <v>100324</v>
      </c>
      <c r="H2003" s="475" t="s">
        <v>15150</v>
      </c>
      <c r="I2003" s="475" t="s">
        <v>1261</v>
      </c>
      <c r="J2003" s="475" t="s">
        <v>337</v>
      </c>
      <c r="K2003" s="365">
        <v>117.19</v>
      </c>
      <c r="L2003" s="475" t="s">
        <v>141</v>
      </c>
      <c r="M2003" s="473"/>
    </row>
    <row r="2004" spans="1:13" ht="13.5">
      <c r="A2004" s="475" t="s">
        <v>5400</v>
      </c>
      <c r="B2004" s="475" t="s">
        <v>5401</v>
      </c>
      <c r="C2004" s="475" t="s">
        <v>5408</v>
      </c>
      <c r="D2004" s="475" t="s">
        <v>5409</v>
      </c>
      <c r="E2004" s="476" t="s">
        <v>34</v>
      </c>
      <c r="F2004" s="475" t="s">
        <v>34</v>
      </c>
      <c r="G2004" s="364">
        <v>90996</v>
      </c>
      <c r="H2004" s="475" t="s">
        <v>1692</v>
      </c>
      <c r="I2004" s="475" t="s">
        <v>322</v>
      </c>
      <c r="J2004" s="475" t="s">
        <v>140</v>
      </c>
      <c r="K2004" s="365">
        <v>11.61</v>
      </c>
      <c r="L2004" s="475" t="s">
        <v>141</v>
      </c>
      <c r="M2004" s="473"/>
    </row>
    <row r="2005" spans="1:13" ht="13.5">
      <c r="A2005" s="475" t="s">
        <v>5400</v>
      </c>
      <c r="B2005" s="475" t="s">
        <v>5401</v>
      </c>
      <c r="C2005" s="475" t="s">
        <v>5408</v>
      </c>
      <c r="D2005" s="475" t="s">
        <v>5409</v>
      </c>
      <c r="E2005" s="476" t="s">
        <v>34</v>
      </c>
      <c r="F2005" s="475" t="s">
        <v>34</v>
      </c>
      <c r="G2005" s="364">
        <v>90997</v>
      </c>
      <c r="H2005" s="475" t="s">
        <v>1693</v>
      </c>
      <c r="I2005" s="475" t="s">
        <v>322</v>
      </c>
      <c r="J2005" s="475" t="s">
        <v>140</v>
      </c>
      <c r="K2005" s="365">
        <v>15.78</v>
      </c>
      <c r="L2005" s="475" t="s">
        <v>141</v>
      </c>
      <c r="M2005" s="473"/>
    </row>
    <row r="2006" spans="1:13" ht="13.5">
      <c r="A2006" s="475" t="s">
        <v>5400</v>
      </c>
      <c r="B2006" s="475" t="s">
        <v>5401</v>
      </c>
      <c r="C2006" s="475" t="s">
        <v>5408</v>
      </c>
      <c r="D2006" s="475" t="s">
        <v>5409</v>
      </c>
      <c r="E2006" s="476" t="s">
        <v>34</v>
      </c>
      <c r="F2006" s="475" t="s">
        <v>34</v>
      </c>
      <c r="G2006" s="364">
        <v>90998</v>
      </c>
      <c r="H2006" s="475" t="s">
        <v>1694</v>
      </c>
      <c r="I2006" s="475" t="s">
        <v>322</v>
      </c>
      <c r="J2006" s="475" t="s">
        <v>140</v>
      </c>
      <c r="K2006" s="365">
        <v>19.05</v>
      </c>
      <c r="L2006" s="475" t="s">
        <v>141</v>
      </c>
      <c r="M2006" s="473"/>
    </row>
    <row r="2007" spans="1:13" ht="13.5">
      <c r="A2007" s="475" t="s">
        <v>5400</v>
      </c>
      <c r="B2007" s="475" t="s">
        <v>5401</v>
      </c>
      <c r="C2007" s="475" t="s">
        <v>5408</v>
      </c>
      <c r="D2007" s="475" t="s">
        <v>5409</v>
      </c>
      <c r="E2007" s="476" t="s">
        <v>34</v>
      </c>
      <c r="F2007" s="475" t="s">
        <v>34</v>
      </c>
      <c r="G2007" s="364">
        <v>91000</v>
      </c>
      <c r="H2007" s="475" t="s">
        <v>1695</v>
      </c>
      <c r="I2007" s="475" t="s">
        <v>322</v>
      </c>
      <c r="J2007" s="475" t="s">
        <v>140</v>
      </c>
      <c r="K2007" s="365">
        <v>14.54</v>
      </c>
      <c r="L2007" s="475" t="s">
        <v>141</v>
      </c>
      <c r="M2007" s="473"/>
    </row>
    <row r="2008" spans="1:13" ht="13.5">
      <c r="A2008" s="475" t="s">
        <v>5400</v>
      </c>
      <c r="B2008" s="475" t="s">
        <v>5401</v>
      </c>
      <c r="C2008" s="475" t="s">
        <v>5408</v>
      </c>
      <c r="D2008" s="475" t="s">
        <v>5409</v>
      </c>
      <c r="E2008" s="476" t="s">
        <v>34</v>
      </c>
      <c r="F2008" s="475" t="s">
        <v>34</v>
      </c>
      <c r="G2008" s="364">
        <v>91002</v>
      </c>
      <c r="H2008" s="475" t="s">
        <v>1696</v>
      </c>
      <c r="I2008" s="475" t="s">
        <v>322</v>
      </c>
      <c r="J2008" s="475" t="s">
        <v>140</v>
      </c>
      <c r="K2008" s="365">
        <v>13.37</v>
      </c>
      <c r="L2008" s="475" t="s">
        <v>141</v>
      </c>
      <c r="M2008" s="473"/>
    </row>
    <row r="2009" spans="1:13" ht="13.5">
      <c r="A2009" s="475" t="s">
        <v>5400</v>
      </c>
      <c r="B2009" s="475" t="s">
        <v>5401</v>
      </c>
      <c r="C2009" s="475" t="s">
        <v>5408</v>
      </c>
      <c r="D2009" s="475" t="s">
        <v>5409</v>
      </c>
      <c r="E2009" s="476" t="s">
        <v>34</v>
      </c>
      <c r="F2009" s="475" t="s">
        <v>34</v>
      </c>
      <c r="G2009" s="364">
        <v>91003</v>
      </c>
      <c r="H2009" s="475" t="s">
        <v>1697</v>
      </c>
      <c r="I2009" s="475" t="s">
        <v>322</v>
      </c>
      <c r="J2009" s="475" t="s">
        <v>140</v>
      </c>
      <c r="K2009" s="365">
        <v>15.48</v>
      </c>
      <c r="L2009" s="475" t="s">
        <v>141</v>
      </c>
      <c r="M2009" s="473"/>
    </row>
    <row r="2010" spans="1:13" ht="13.5">
      <c r="A2010" s="475" t="s">
        <v>5400</v>
      </c>
      <c r="B2010" s="475" t="s">
        <v>5401</v>
      </c>
      <c r="C2010" s="475" t="s">
        <v>5408</v>
      </c>
      <c r="D2010" s="475" t="s">
        <v>5409</v>
      </c>
      <c r="E2010" s="476" t="s">
        <v>34</v>
      </c>
      <c r="F2010" s="475" t="s">
        <v>34</v>
      </c>
      <c r="G2010" s="364">
        <v>91004</v>
      </c>
      <c r="H2010" s="475" t="s">
        <v>1698</v>
      </c>
      <c r="I2010" s="475" t="s">
        <v>322</v>
      </c>
      <c r="J2010" s="475" t="s">
        <v>140</v>
      </c>
      <c r="K2010" s="365">
        <v>12.27</v>
      </c>
      <c r="L2010" s="475" t="s">
        <v>141</v>
      </c>
      <c r="M2010" s="473"/>
    </row>
    <row r="2011" spans="1:13" ht="13.5">
      <c r="A2011" s="475" t="s">
        <v>5400</v>
      </c>
      <c r="B2011" s="475" t="s">
        <v>5401</v>
      </c>
      <c r="C2011" s="475" t="s">
        <v>5408</v>
      </c>
      <c r="D2011" s="475" t="s">
        <v>5409</v>
      </c>
      <c r="E2011" s="476" t="s">
        <v>34</v>
      </c>
      <c r="F2011" s="475" t="s">
        <v>34</v>
      </c>
      <c r="G2011" s="364">
        <v>91005</v>
      </c>
      <c r="H2011" s="475" t="s">
        <v>1699</v>
      </c>
      <c r="I2011" s="475" t="s">
        <v>322</v>
      </c>
      <c r="J2011" s="475" t="s">
        <v>140</v>
      </c>
      <c r="K2011" s="365">
        <v>14.71</v>
      </c>
      <c r="L2011" s="475" t="s">
        <v>141</v>
      </c>
      <c r="M2011" s="473"/>
    </row>
    <row r="2012" spans="1:13" ht="13.5">
      <c r="A2012" s="475" t="s">
        <v>5400</v>
      </c>
      <c r="B2012" s="475" t="s">
        <v>5401</v>
      </c>
      <c r="C2012" s="475" t="s">
        <v>5408</v>
      </c>
      <c r="D2012" s="475" t="s">
        <v>5409</v>
      </c>
      <c r="E2012" s="476" t="s">
        <v>34</v>
      </c>
      <c r="F2012" s="475" t="s">
        <v>34</v>
      </c>
      <c r="G2012" s="364">
        <v>91006</v>
      </c>
      <c r="H2012" s="475" t="s">
        <v>1700</v>
      </c>
      <c r="I2012" s="475" t="s">
        <v>322</v>
      </c>
      <c r="J2012" s="475" t="s">
        <v>140</v>
      </c>
      <c r="K2012" s="365">
        <v>11.34</v>
      </c>
      <c r="L2012" s="475" t="s">
        <v>141</v>
      </c>
      <c r="M2012" s="473"/>
    </row>
    <row r="2013" spans="1:13" ht="13.5">
      <c r="A2013" s="475" t="s">
        <v>5400</v>
      </c>
      <c r="B2013" s="475" t="s">
        <v>5401</v>
      </c>
      <c r="C2013" s="475" t="s">
        <v>5408</v>
      </c>
      <c r="D2013" s="475" t="s">
        <v>5409</v>
      </c>
      <c r="E2013" s="476" t="s">
        <v>34</v>
      </c>
      <c r="F2013" s="475" t="s">
        <v>34</v>
      </c>
      <c r="G2013" s="364">
        <v>91007</v>
      </c>
      <c r="H2013" s="475" t="s">
        <v>1701</v>
      </c>
      <c r="I2013" s="475" t="s">
        <v>322</v>
      </c>
      <c r="J2013" s="475" t="s">
        <v>140</v>
      </c>
      <c r="K2013" s="365">
        <v>10.17</v>
      </c>
      <c r="L2013" s="475" t="s">
        <v>141</v>
      </c>
      <c r="M2013" s="473"/>
    </row>
    <row r="2014" spans="1:13" ht="13.5">
      <c r="A2014" s="475" t="s">
        <v>5400</v>
      </c>
      <c r="B2014" s="475" t="s">
        <v>5401</v>
      </c>
      <c r="C2014" s="475" t="s">
        <v>5408</v>
      </c>
      <c r="D2014" s="475" t="s">
        <v>5409</v>
      </c>
      <c r="E2014" s="476" t="s">
        <v>34</v>
      </c>
      <c r="F2014" s="475" t="s">
        <v>34</v>
      </c>
      <c r="G2014" s="364">
        <v>91008</v>
      </c>
      <c r="H2014" s="475" t="s">
        <v>1702</v>
      </c>
      <c r="I2014" s="475" t="s">
        <v>322</v>
      </c>
      <c r="J2014" s="475" t="s">
        <v>140</v>
      </c>
      <c r="K2014" s="365">
        <v>12.28</v>
      </c>
      <c r="L2014" s="475" t="s">
        <v>141</v>
      </c>
      <c r="M2014" s="473"/>
    </row>
    <row r="2015" spans="1:13" ht="13.5">
      <c r="A2015" s="475" t="s">
        <v>5400</v>
      </c>
      <c r="B2015" s="475" t="s">
        <v>5401</v>
      </c>
      <c r="C2015" s="475" t="s">
        <v>5408</v>
      </c>
      <c r="D2015" s="475" t="s">
        <v>5409</v>
      </c>
      <c r="E2015" s="476" t="s">
        <v>34</v>
      </c>
      <c r="F2015" s="475" t="s">
        <v>34</v>
      </c>
      <c r="G2015" s="364">
        <v>92263</v>
      </c>
      <c r="H2015" s="475" t="s">
        <v>1703</v>
      </c>
      <c r="I2015" s="475" t="s">
        <v>322</v>
      </c>
      <c r="J2015" s="475" t="s">
        <v>337</v>
      </c>
      <c r="K2015" s="365">
        <v>88.99</v>
      </c>
      <c r="L2015" s="475" t="s">
        <v>141</v>
      </c>
      <c r="M2015" s="473"/>
    </row>
    <row r="2016" spans="1:13" ht="13.5">
      <c r="A2016" s="475" t="s">
        <v>5400</v>
      </c>
      <c r="B2016" s="475" t="s">
        <v>5401</v>
      </c>
      <c r="C2016" s="475" t="s">
        <v>5408</v>
      </c>
      <c r="D2016" s="475" t="s">
        <v>5409</v>
      </c>
      <c r="E2016" s="476" t="s">
        <v>34</v>
      </c>
      <c r="F2016" s="475" t="s">
        <v>34</v>
      </c>
      <c r="G2016" s="364">
        <v>92264</v>
      </c>
      <c r="H2016" s="475" t="s">
        <v>1704</v>
      </c>
      <c r="I2016" s="475" t="s">
        <v>322</v>
      </c>
      <c r="J2016" s="475" t="s">
        <v>337</v>
      </c>
      <c r="K2016" s="365">
        <v>106.54</v>
      </c>
      <c r="L2016" s="475" t="s">
        <v>141</v>
      </c>
      <c r="M2016" s="473"/>
    </row>
    <row r="2017" spans="1:13" ht="13.5">
      <c r="A2017" s="475" t="s">
        <v>5400</v>
      </c>
      <c r="B2017" s="475" t="s">
        <v>5401</v>
      </c>
      <c r="C2017" s="475" t="s">
        <v>5408</v>
      </c>
      <c r="D2017" s="475" t="s">
        <v>5409</v>
      </c>
      <c r="E2017" s="476" t="s">
        <v>34</v>
      </c>
      <c r="F2017" s="475" t="s">
        <v>34</v>
      </c>
      <c r="G2017" s="364">
        <v>92265</v>
      </c>
      <c r="H2017" s="475" t="s">
        <v>1705</v>
      </c>
      <c r="I2017" s="475" t="s">
        <v>322</v>
      </c>
      <c r="J2017" s="475" t="s">
        <v>337</v>
      </c>
      <c r="K2017" s="365">
        <v>69.53</v>
      </c>
      <c r="L2017" s="475" t="s">
        <v>141</v>
      </c>
      <c r="M2017" s="473"/>
    </row>
    <row r="2018" spans="1:13" ht="13.5">
      <c r="A2018" s="475" t="s">
        <v>5400</v>
      </c>
      <c r="B2018" s="475" t="s">
        <v>5401</v>
      </c>
      <c r="C2018" s="475" t="s">
        <v>5408</v>
      </c>
      <c r="D2018" s="475" t="s">
        <v>5409</v>
      </c>
      <c r="E2018" s="476" t="s">
        <v>34</v>
      </c>
      <c r="F2018" s="475" t="s">
        <v>34</v>
      </c>
      <c r="G2018" s="364">
        <v>92266</v>
      </c>
      <c r="H2018" s="475" t="s">
        <v>1706</v>
      </c>
      <c r="I2018" s="475" t="s">
        <v>322</v>
      </c>
      <c r="J2018" s="475" t="s">
        <v>337</v>
      </c>
      <c r="K2018" s="365">
        <v>85.18</v>
      </c>
      <c r="L2018" s="475" t="s">
        <v>141</v>
      </c>
      <c r="M2018" s="473"/>
    </row>
    <row r="2019" spans="1:13" ht="13.5">
      <c r="A2019" s="475" t="s">
        <v>5400</v>
      </c>
      <c r="B2019" s="475" t="s">
        <v>5401</v>
      </c>
      <c r="C2019" s="475" t="s">
        <v>5408</v>
      </c>
      <c r="D2019" s="475" t="s">
        <v>5409</v>
      </c>
      <c r="E2019" s="476" t="s">
        <v>34</v>
      </c>
      <c r="F2019" s="475" t="s">
        <v>34</v>
      </c>
      <c r="G2019" s="364">
        <v>92267</v>
      </c>
      <c r="H2019" s="475" t="s">
        <v>1707</v>
      </c>
      <c r="I2019" s="475" t="s">
        <v>322</v>
      </c>
      <c r="J2019" s="475" t="s">
        <v>337</v>
      </c>
      <c r="K2019" s="365">
        <v>26.38</v>
      </c>
      <c r="L2019" s="475" t="s">
        <v>141</v>
      </c>
      <c r="M2019" s="473"/>
    </row>
    <row r="2020" spans="1:13" ht="13.5">
      <c r="A2020" s="475" t="s">
        <v>5400</v>
      </c>
      <c r="B2020" s="475" t="s">
        <v>5401</v>
      </c>
      <c r="C2020" s="475" t="s">
        <v>5408</v>
      </c>
      <c r="D2020" s="475" t="s">
        <v>5409</v>
      </c>
      <c r="E2020" s="476" t="s">
        <v>34</v>
      </c>
      <c r="F2020" s="475" t="s">
        <v>34</v>
      </c>
      <c r="G2020" s="364">
        <v>92268</v>
      </c>
      <c r="H2020" s="475" t="s">
        <v>1708</v>
      </c>
      <c r="I2020" s="475" t="s">
        <v>322</v>
      </c>
      <c r="J2020" s="475" t="s">
        <v>337</v>
      </c>
      <c r="K2020" s="365">
        <v>40.19</v>
      </c>
      <c r="L2020" s="475" t="s">
        <v>141</v>
      </c>
      <c r="M2020" s="473"/>
    </row>
    <row r="2021" spans="1:13" ht="13.5">
      <c r="A2021" s="475" t="s">
        <v>5400</v>
      </c>
      <c r="B2021" s="475" t="s">
        <v>5401</v>
      </c>
      <c r="C2021" s="475" t="s">
        <v>5408</v>
      </c>
      <c r="D2021" s="475" t="s">
        <v>5409</v>
      </c>
      <c r="E2021" s="476" t="s">
        <v>34</v>
      </c>
      <c r="F2021" s="475" t="s">
        <v>34</v>
      </c>
      <c r="G2021" s="364">
        <v>92269</v>
      </c>
      <c r="H2021" s="475" t="s">
        <v>1709</v>
      </c>
      <c r="I2021" s="475" t="s">
        <v>322</v>
      </c>
      <c r="J2021" s="475" t="s">
        <v>337</v>
      </c>
      <c r="K2021" s="365">
        <v>87.18</v>
      </c>
      <c r="L2021" s="475" t="s">
        <v>141</v>
      </c>
      <c r="M2021" s="473"/>
    </row>
    <row r="2022" spans="1:13" ht="13.5">
      <c r="A2022" s="475" t="s">
        <v>5400</v>
      </c>
      <c r="B2022" s="475" t="s">
        <v>5401</v>
      </c>
      <c r="C2022" s="475" t="s">
        <v>5408</v>
      </c>
      <c r="D2022" s="475" t="s">
        <v>5409</v>
      </c>
      <c r="E2022" s="476" t="s">
        <v>34</v>
      </c>
      <c r="F2022" s="475" t="s">
        <v>34</v>
      </c>
      <c r="G2022" s="364">
        <v>92270</v>
      </c>
      <c r="H2022" s="475" t="s">
        <v>1710</v>
      </c>
      <c r="I2022" s="475" t="s">
        <v>322</v>
      </c>
      <c r="J2022" s="475" t="s">
        <v>337</v>
      </c>
      <c r="K2022" s="365">
        <v>72.400000000000006</v>
      </c>
      <c r="L2022" s="475" t="s">
        <v>141</v>
      </c>
      <c r="M2022" s="473"/>
    </row>
    <row r="2023" spans="1:13" ht="13.5">
      <c r="A2023" s="475" t="s">
        <v>5400</v>
      </c>
      <c r="B2023" s="475" t="s">
        <v>5401</v>
      </c>
      <c r="C2023" s="475" t="s">
        <v>5408</v>
      </c>
      <c r="D2023" s="475" t="s">
        <v>5409</v>
      </c>
      <c r="E2023" s="476" t="s">
        <v>34</v>
      </c>
      <c r="F2023" s="475" t="s">
        <v>34</v>
      </c>
      <c r="G2023" s="364">
        <v>92271</v>
      </c>
      <c r="H2023" s="475" t="s">
        <v>1711</v>
      </c>
      <c r="I2023" s="475" t="s">
        <v>322</v>
      </c>
      <c r="J2023" s="475" t="s">
        <v>337</v>
      </c>
      <c r="K2023" s="365">
        <v>55.29</v>
      </c>
      <c r="L2023" s="475" t="s">
        <v>141</v>
      </c>
      <c r="M2023" s="473"/>
    </row>
    <row r="2024" spans="1:13" ht="13.5">
      <c r="A2024" s="475" t="s">
        <v>5400</v>
      </c>
      <c r="B2024" s="475" t="s">
        <v>5401</v>
      </c>
      <c r="C2024" s="475" t="s">
        <v>5408</v>
      </c>
      <c r="D2024" s="475" t="s">
        <v>5409</v>
      </c>
      <c r="E2024" s="476" t="s">
        <v>34</v>
      </c>
      <c r="F2024" s="475" t="s">
        <v>34</v>
      </c>
      <c r="G2024" s="364">
        <v>92272</v>
      </c>
      <c r="H2024" s="475" t="s">
        <v>1712</v>
      </c>
      <c r="I2024" s="475" t="s">
        <v>139</v>
      </c>
      <c r="J2024" s="475" t="s">
        <v>337</v>
      </c>
      <c r="K2024" s="365">
        <v>17.47</v>
      </c>
      <c r="L2024" s="475" t="s">
        <v>141</v>
      </c>
      <c r="M2024" s="473"/>
    </row>
    <row r="2025" spans="1:13" ht="13.5">
      <c r="A2025" s="475" t="s">
        <v>5400</v>
      </c>
      <c r="B2025" s="475" t="s">
        <v>5401</v>
      </c>
      <c r="C2025" s="475" t="s">
        <v>5408</v>
      </c>
      <c r="D2025" s="475" t="s">
        <v>5409</v>
      </c>
      <c r="E2025" s="476" t="s">
        <v>34</v>
      </c>
      <c r="F2025" s="475" t="s">
        <v>34</v>
      </c>
      <c r="G2025" s="364">
        <v>92273</v>
      </c>
      <c r="H2025" s="475" t="s">
        <v>1713</v>
      </c>
      <c r="I2025" s="475" t="s">
        <v>139</v>
      </c>
      <c r="J2025" s="475" t="s">
        <v>337</v>
      </c>
      <c r="K2025" s="365">
        <v>7.12</v>
      </c>
      <c r="L2025" s="475" t="s">
        <v>141</v>
      </c>
      <c r="M2025" s="473"/>
    </row>
    <row r="2026" spans="1:13" ht="13.5">
      <c r="A2026" s="475" t="s">
        <v>5400</v>
      </c>
      <c r="B2026" s="475" t="s">
        <v>5401</v>
      </c>
      <c r="C2026" s="475" t="s">
        <v>5408</v>
      </c>
      <c r="D2026" s="475" t="s">
        <v>5409</v>
      </c>
      <c r="E2026" s="476" t="s">
        <v>34</v>
      </c>
      <c r="F2026" s="475" t="s">
        <v>34</v>
      </c>
      <c r="G2026" s="364">
        <v>92408</v>
      </c>
      <c r="H2026" s="475" t="s">
        <v>1714</v>
      </c>
      <c r="I2026" s="475" t="s">
        <v>322</v>
      </c>
      <c r="J2026" s="475" t="s">
        <v>337</v>
      </c>
      <c r="K2026" s="365">
        <v>164.96</v>
      </c>
      <c r="L2026" s="475" t="s">
        <v>141</v>
      </c>
      <c r="M2026" s="473"/>
    </row>
    <row r="2027" spans="1:13" ht="13.5">
      <c r="A2027" s="475" t="s">
        <v>5400</v>
      </c>
      <c r="B2027" s="475" t="s">
        <v>5401</v>
      </c>
      <c r="C2027" s="475" t="s">
        <v>5408</v>
      </c>
      <c r="D2027" s="475" t="s">
        <v>5409</v>
      </c>
      <c r="E2027" s="476" t="s">
        <v>34</v>
      </c>
      <c r="F2027" s="475" t="s">
        <v>34</v>
      </c>
      <c r="G2027" s="364">
        <v>92409</v>
      </c>
      <c r="H2027" s="475" t="s">
        <v>1715</v>
      </c>
      <c r="I2027" s="475" t="s">
        <v>322</v>
      </c>
      <c r="J2027" s="475" t="s">
        <v>337</v>
      </c>
      <c r="K2027" s="365">
        <v>156.13</v>
      </c>
      <c r="L2027" s="475" t="s">
        <v>141</v>
      </c>
      <c r="M2027" s="473"/>
    </row>
    <row r="2028" spans="1:13" ht="13.5">
      <c r="A2028" s="475" t="s">
        <v>5400</v>
      </c>
      <c r="B2028" s="475" t="s">
        <v>5401</v>
      </c>
      <c r="C2028" s="475" t="s">
        <v>5408</v>
      </c>
      <c r="D2028" s="475" t="s">
        <v>5409</v>
      </c>
      <c r="E2028" s="476" t="s">
        <v>34</v>
      </c>
      <c r="F2028" s="475" t="s">
        <v>34</v>
      </c>
      <c r="G2028" s="364">
        <v>92410</v>
      </c>
      <c r="H2028" s="475" t="s">
        <v>1716</v>
      </c>
      <c r="I2028" s="475" t="s">
        <v>322</v>
      </c>
      <c r="J2028" s="475" t="s">
        <v>337</v>
      </c>
      <c r="K2028" s="365">
        <v>113.38</v>
      </c>
      <c r="L2028" s="475" t="s">
        <v>141</v>
      </c>
      <c r="M2028" s="473"/>
    </row>
    <row r="2029" spans="1:13" ht="13.5">
      <c r="A2029" s="475" t="s">
        <v>5400</v>
      </c>
      <c r="B2029" s="475" t="s">
        <v>5401</v>
      </c>
      <c r="C2029" s="475" t="s">
        <v>5408</v>
      </c>
      <c r="D2029" s="475" t="s">
        <v>5409</v>
      </c>
      <c r="E2029" s="476" t="s">
        <v>34</v>
      </c>
      <c r="F2029" s="475" t="s">
        <v>34</v>
      </c>
      <c r="G2029" s="364">
        <v>92411</v>
      </c>
      <c r="H2029" s="475" t="s">
        <v>1717</v>
      </c>
      <c r="I2029" s="475" t="s">
        <v>322</v>
      </c>
      <c r="J2029" s="475" t="s">
        <v>337</v>
      </c>
      <c r="K2029" s="365">
        <v>105.58</v>
      </c>
      <c r="L2029" s="475" t="s">
        <v>141</v>
      </c>
      <c r="M2029" s="473"/>
    </row>
    <row r="2030" spans="1:13" ht="13.5">
      <c r="A2030" s="475" t="s">
        <v>5400</v>
      </c>
      <c r="B2030" s="475" t="s">
        <v>5401</v>
      </c>
      <c r="C2030" s="475" t="s">
        <v>5408</v>
      </c>
      <c r="D2030" s="475" t="s">
        <v>5409</v>
      </c>
      <c r="E2030" s="476" t="s">
        <v>34</v>
      </c>
      <c r="F2030" s="475" t="s">
        <v>34</v>
      </c>
      <c r="G2030" s="364">
        <v>92412</v>
      </c>
      <c r="H2030" s="475" t="s">
        <v>1718</v>
      </c>
      <c r="I2030" s="475" t="s">
        <v>322</v>
      </c>
      <c r="J2030" s="475" t="s">
        <v>337</v>
      </c>
      <c r="K2030" s="365">
        <v>75.739999999999995</v>
      </c>
      <c r="L2030" s="475" t="s">
        <v>141</v>
      </c>
      <c r="M2030" s="473"/>
    </row>
    <row r="2031" spans="1:13" ht="13.5">
      <c r="A2031" s="475" t="s">
        <v>5400</v>
      </c>
      <c r="B2031" s="475" t="s">
        <v>5401</v>
      </c>
      <c r="C2031" s="475" t="s">
        <v>5408</v>
      </c>
      <c r="D2031" s="475" t="s">
        <v>5409</v>
      </c>
      <c r="E2031" s="476" t="s">
        <v>34</v>
      </c>
      <c r="F2031" s="475" t="s">
        <v>34</v>
      </c>
      <c r="G2031" s="364">
        <v>92413</v>
      </c>
      <c r="H2031" s="475" t="s">
        <v>1719</v>
      </c>
      <c r="I2031" s="475" t="s">
        <v>322</v>
      </c>
      <c r="J2031" s="475" t="s">
        <v>337</v>
      </c>
      <c r="K2031" s="365">
        <v>69.73</v>
      </c>
      <c r="L2031" s="475" t="s">
        <v>141</v>
      </c>
      <c r="M2031" s="473"/>
    </row>
    <row r="2032" spans="1:13" ht="13.5">
      <c r="A2032" s="475" t="s">
        <v>5400</v>
      </c>
      <c r="B2032" s="475" t="s">
        <v>5401</v>
      </c>
      <c r="C2032" s="475" t="s">
        <v>5408</v>
      </c>
      <c r="D2032" s="475" t="s">
        <v>5409</v>
      </c>
      <c r="E2032" s="476" t="s">
        <v>34</v>
      </c>
      <c r="F2032" s="475" t="s">
        <v>34</v>
      </c>
      <c r="G2032" s="364">
        <v>92414</v>
      </c>
      <c r="H2032" s="475" t="s">
        <v>1720</v>
      </c>
      <c r="I2032" s="475" t="s">
        <v>322</v>
      </c>
      <c r="J2032" s="475" t="s">
        <v>337</v>
      </c>
      <c r="K2032" s="365">
        <v>88.23</v>
      </c>
      <c r="L2032" s="475" t="s">
        <v>141</v>
      </c>
      <c r="M2032" s="473"/>
    </row>
    <row r="2033" spans="1:13" ht="13.5">
      <c r="A2033" s="475" t="s">
        <v>5400</v>
      </c>
      <c r="B2033" s="475" t="s">
        <v>5401</v>
      </c>
      <c r="C2033" s="475" t="s">
        <v>5408</v>
      </c>
      <c r="D2033" s="475" t="s">
        <v>5409</v>
      </c>
      <c r="E2033" s="476" t="s">
        <v>34</v>
      </c>
      <c r="F2033" s="475" t="s">
        <v>34</v>
      </c>
      <c r="G2033" s="364">
        <v>92415</v>
      </c>
      <c r="H2033" s="475" t="s">
        <v>1721</v>
      </c>
      <c r="I2033" s="475" t="s">
        <v>322</v>
      </c>
      <c r="J2033" s="475" t="s">
        <v>337</v>
      </c>
      <c r="K2033" s="365">
        <v>80.430000000000007</v>
      </c>
      <c r="L2033" s="475" t="s">
        <v>141</v>
      </c>
      <c r="M2033" s="473"/>
    </row>
    <row r="2034" spans="1:13" ht="13.5">
      <c r="A2034" s="475" t="s">
        <v>5400</v>
      </c>
      <c r="B2034" s="475" t="s">
        <v>5401</v>
      </c>
      <c r="C2034" s="475" t="s">
        <v>5408</v>
      </c>
      <c r="D2034" s="475" t="s">
        <v>5409</v>
      </c>
      <c r="E2034" s="476" t="s">
        <v>34</v>
      </c>
      <c r="F2034" s="475" t="s">
        <v>34</v>
      </c>
      <c r="G2034" s="364">
        <v>92416</v>
      </c>
      <c r="H2034" s="475" t="s">
        <v>1722</v>
      </c>
      <c r="I2034" s="475" t="s">
        <v>322</v>
      </c>
      <c r="J2034" s="475" t="s">
        <v>337</v>
      </c>
      <c r="K2034" s="365">
        <v>104.28</v>
      </c>
      <c r="L2034" s="475" t="s">
        <v>141</v>
      </c>
      <c r="M2034" s="473"/>
    </row>
    <row r="2035" spans="1:13" ht="13.5">
      <c r="A2035" s="475" t="s">
        <v>5400</v>
      </c>
      <c r="B2035" s="475" t="s">
        <v>5401</v>
      </c>
      <c r="C2035" s="475" t="s">
        <v>5408</v>
      </c>
      <c r="D2035" s="475" t="s">
        <v>5409</v>
      </c>
      <c r="E2035" s="476" t="s">
        <v>34</v>
      </c>
      <c r="F2035" s="475" t="s">
        <v>34</v>
      </c>
      <c r="G2035" s="364">
        <v>92417</v>
      </c>
      <c r="H2035" s="475" t="s">
        <v>1723</v>
      </c>
      <c r="I2035" s="475" t="s">
        <v>322</v>
      </c>
      <c r="J2035" s="475" t="s">
        <v>337</v>
      </c>
      <c r="K2035" s="365">
        <v>96.51</v>
      </c>
      <c r="L2035" s="475" t="s">
        <v>141</v>
      </c>
      <c r="M2035" s="473"/>
    </row>
    <row r="2036" spans="1:13" ht="13.5">
      <c r="A2036" s="475" t="s">
        <v>5400</v>
      </c>
      <c r="B2036" s="475" t="s">
        <v>5401</v>
      </c>
      <c r="C2036" s="475" t="s">
        <v>5408</v>
      </c>
      <c r="D2036" s="475" t="s">
        <v>5409</v>
      </c>
      <c r="E2036" s="476" t="s">
        <v>34</v>
      </c>
      <c r="F2036" s="475" t="s">
        <v>34</v>
      </c>
      <c r="G2036" s="364">
        <v>92418</v>
      </c>
      <c r="H2036" s="475" t="s">
        <v>1724</v>
      </c>
      <c r="I2036" s="475" t="s">
        <v>322</v>
      </c>
      <c r="J2036" s="475" t="s">
        <v>337</v>
      </c>
      <c r="K2036" s="365">
        <v>57.37</v>
      </c>
      <c r="L2036" s="475" t="s">
        <v>141</v>
      </c>
      <c r="M2036" s="473"/>
    </row>
    <row r="2037" spans="1:13" ht="13.5">
      <c r="A2037" s="475" t="s">
        <v>5400</v>
      </c>
      <c r="B2037" s="475" t="s">
        <v>5401</v>
      </c>
      <c r="C2037" s="475" t="s">
        <v>5408</v>
      </c>
      <c r="D2037" s="475" t="s">
        <v>5409</v>
      </c>
      <c r="E2037" s="476" t="s">
        <v>34</v>
      </c>
      <c r="F2037" s="475" t="s">
        <v>34</v>
      </c>
      <c r="G2037" s="364">
        <v>92419</v>
      </c>
      <c r="H2037" s="475" t="s">
        <v>1725</v>
      </c>
      <c r="I2037" s="475" t="s">
        <v>322</v>
      </c>
      <c r="J2037" s="475" t="s">
        <v>337</v>
      </c>
      <c r="K2037" s="365">
        <v>51.4</v>
      </c>
      <c r="L2037" s="475" t="s">
        <v>141</v>
      </c>
      <c r="M2037" s="473"/>
    </row>
    <row r="2038" spans="1:13" ht="13.5">
      <c r="A2038" s="475" t="s">
        <v>5400</v>
      </c>
      <c r="B2038" s="475" t="s">
        <v>5401</v>
      </c>
      <c r="C2038" s="475" t="s">
        <v>5408</v>
      </c>
      <c r="D2038" s="475" t="s">
        <v>5409</v>
      </c>
      <c r="E2038" s="476" t="s">
        <v>34</v>
      </c>
      <c r="F2038" s="475" t="s">
        <v>34</v>
      </c>
      <c r="G2038" s="364">
        <v>92420</v>
      </c>
      <c r="H2038" s="475" t="s">
        <v>1726</v>
      </c>
      <c r="I2038" s="475" t="s">
        <v>322</v>
      </c>
      <c r="J2038" s="475" t="s">
        <v>337</v>
      </c>
      <c r="K2038" s="365">
        <v>69.72</v>
      </c>
      <c r="L2038" s="475" t="s">
        <v>141</v>
      </c>
      <c r="M2038" s="473"/>
    </row>
    <row r="2039" spans="1:13" ht="13.5">
      <c r="A2039" s="475" t="s">
        <v>5400</v>
      </c>
      <c r="B2039" s="475" t="s">
        <v>5401</v>
      </c>
      <c r="C2039" s="475" t="s">
        <v>5408</v>
      </c>
      <c r="D2039" s="475" t="s">
        <v>5409</v>
      </c>
      <c r="E2039" s="476" t="s">
        <v>34</v>
      </c>
      <c r="F2039" s="475" t="s">
        <v>34</v>
      </c>
      <c r="G2039" s="364">
        <v>92421</v>
      </c>
      <c r="H2039" s="475" t="s">
        <v>1727</v>
      </c>
      <c r="I2039" s="475" t="s">
        <v>322</v>
      </c>
      <c r="J2039" s="475" t="s">
        <v>337</v>
      </c>
      <c r="K2039" s="365">
        <v>63.72</v>
      </c>
      <c r="L2039" s="475" t="s">
        <v>141</v>
      </c>
      <c r="M2039" s="473"/>
    </row>
    <row r="2040" spans="1:13" ht="13.5">
      <c r="A2040" s="475" t="s">
        <v>5400</v>
      </c>
      <c r="B2040" s="475" t="s">
        <v>5401</v>
      </c>
      <c r="C2040" s="475" t="s">
        <v>5408</v>
      </c>
      <c r="D2040" s="475" t="s">
        <v>5409</v>
      </c>
      <c r="E2040" s="476" t="s">
        <v>34</v>
      </c>
      <c r="F2040" s="475" t="s">
        <v>34</v>
      </c>
      <c r="G2040" s="364">
        <v>92422</v>
      </c>
      <c r="H2040" s="475" t="s">
        <v>1728</v>
      </c>
      <c r="I2040" s="475" t="s">
        <v>322</v>
      </c>
      <c r="J2040" s="475" t="s">
        <v>337</v>
      </c>
      <c r="K2040" s="365">
        <v>47.4</v>
      </c>
      <c r="L2040" s="475" t="s">
        <v>141</v>
      </c>
      <c r="M2040" s="473"/>
    </row>
    <row r="2041" spans="1:13" ht="13.5">
      <c r="A2041" s="475" t="s">
        <v>5400</v>
      </c>
      <c r="B2041" s="475" t="s">
        <v>5401</v>
      </c>
      <c r="C2041" s="475" t="s">
        <v>5408</v>
      </c>
      <c r="D2041" s="475" t="s">
        <v>5409</v>
      </c>
      <c r="E2041" s="476" t="s">
        <v>34</v>
      </c>
      <c r="F2041" s="475" t="s">
        <v>34</v>
      </c>
      <c r="G2041" s="364">
        <v>92423</v>
      </c>
      <c r="H2041" s="475" t="s">
        <v>1729</v>
      </c>
      <c r="I2041" s="475" t="s">
        <v>322</v>
      </c>
      <c r="J2041" s="475" t="s">
        <v>337</v>
      </c>
      <c r="K2041" s="365">
        <v>42.21</v>
      </c>
      <c r="L2041" s="475" t="s">
        <v>141</v>
      </c>
      <c r="M2041" s="473"/>
    </row>
    <row r="2042" spans="1:13" ht="13.5">
      <c r="A2042" s="475" t="s">
        <v>5400</v>
      </c>
      <c r="B2042" s="475" t="s">
        <v>5401</v>
      </c>
      <c r="C2042" s="475" t="s">
        <v>5408</v>
      </c>
      <c r="D2042" s="475" t="s">
        <v>5409</v>
      </c>
      <c r="E2042" s="476" t="s">
        <v>34</v>
      </c>
      <c r="F2042" s="475" t="s">
        <v>34</v>
      </c>
      <c r="G2042" s="364">
        <v>92424</v>
      </c>
      <c r="H2042" s="475" t="s">
        <v>1730</v>
      </c>
      <c r="I2042" s="475" t="s">
        <v>322</v>
      </c>
      <c r="J2042" s="475" t="s">
        <v>337</v>
      </c>
      <c r="K2042" s="365">
        <v>58.14</v>
      </c>
      <c r="L2042" s="475" t="s">
        <v>141</v>
      </c>
      <c r="M2042" s="473"/>
    </row>
    <row r="2043" spans="1:13" ht="13.5">
      <c r="A2043" s="475" t="s">
        <v>5400</v>
      </c>
      <c r="B2043" s="475" t="s">
        <v>5401</v>
      </c>
      <c r="C2043" s="475" t="s">
        <v>5408</v>
      </c>
      <c r="D2043" s="475" t="s">
        <v>5409</v>
      </c>
      <c r="E2043" s="476" t="s">
        <v>34</v>
      </c>
      <c r="F2043" s="475" t="s">
        <v>34</v>
      </c>
      <c r="G2043" s="364">
        <v>92425</v>
      </c>
      <c r="H2043" s="475" t="s">
        <v>1731</v>
      </c>
      <c r="I2043" s="475" t="s">
        <v>322</v>
      </c>
      <c r="J2043" s="475" t="s">
        <v>337</v>
      </c>
      <c r="K2043" s="365">
        <v>52.93</v>
      </c>
      <c r="L2043" s="475" t="s">
        <v>141</v>
      </c>
      <c r="M2043" s="473"/>
    </row>
    <row r="2044" spans="1:13" ht="13.5">
      <c r="A2044" s="475" t="s">
        <v>5400</v>
      </c>
      <c r="B2044" s="475" t="s">
        <v>5401</v>
      </c>
      <c r="C2044" s="475" t="s">
        <v>5408</v>
      </c>
      <c r="D2044" s="475" t="s">
        <v>5409</v>
      </c>
      <c r="E2044" s="476" t="s">
        <v>34</v>
      </c>
      <c r="F2044" s="475" t="s">
        <v>34</v>
      </c>
      <c r="G2044" s="364">
        <v>92426</v>
      </c>
      <c r="H2044" s="475" t="s">
        <v>1732</v>
      </c>
      <c r="I2044" s="475" t="s">
        <v>322</v>
      </c>
      <c r="J2044" s="475" t="s">
        <v>337</v>
      </c>
      <c r="K2044" s="365">
        <v>42.37</v>
      </c>
      <c r="L2044" s="475" t="s">
        <v>141</v>
      </c>
      <c r="M2044" s="473"/>
    </row>
    <row r="2045" spans="1:13" ht="13.5">
      <c r="A2045" s="475" t="s">
        <v>5400</v>
      </c>
      <c r="B2045" s="475" t="s">
        <v>5401</v>
      </c>
      <c r="C2045" s="475" t="s">
        <v>5408</v>
      </c>
      <c r="D2045" s="475" t="s">
        <v>5409</v>
      </c>
      <c r="E2045" s="476" t="s">
        <v>34</v>
      </c>
      <c r="F2045" s="475" t="s">
        <v>34</v>
      </c>
      <c r="G2045" s="364">
        <v>92427</v>
      </c>
      <c r="H2045" s="475" t="s">
        <v>1733</v>
      </c>
      <c r="I2045" s="475" t="s">
        <v>322</v>
      </c>
      <c r="J2045" s="475" t="s">
        <v>337</v>
      </c>
      <c r="K2045" s="365">
        <v>37.549999999999997</v>
      </c>
      <c r="L2045" s="475" t="s">
        <v>141</v>
      </c>
      <c r="M2045" s="473"/>
    </row>
    <row r="2046" spans="1:13" ht="13.5">
      <c r="A2046" s="475" t="s">
        <v>5400</v>
      </c>
      <c r="B2046" s="475" t="s">
        <v>5401</v>
      </c>
      <c r="C2046" s="475" t="s">
        <v>5408</v>
      </c>
      <c r="D2046" s="475" t="s">
        <v>5409</v>
      </c>
      <c r="E2046" s="476" t="s">
        <v>34</v>
      </c>
      <c r="F2046" s="475" t="s">
        <v>34</v>
      </c>
      <c r="G2046" s="364">
        <v>92428</v>
      </c>
      <c r="H2046" s="475" t="s">
        <v>1734</v>
      </c>
      <c r="I2046" s="475" t="s">
        <v>322</v>
      </c>
      <c r="J2046" s="475" t="s">
        <v>337</v>
      </c>
      <c r="K2046" s="365">
        <v>52.31</v>
      </c>
      <c r="L2046" s="475" t="s">
        <v>141</v>
      </c>
      <c r="M2046" s="473"/>
    </row>
    <row r="2047" spans="1:13" ht="13.5">
      <c r="A2047" s="475" t="s">
        <v>5400</v>
      </c>
      <c r="B2047" s="475" t="s">
        <v>5401</v>
      </c>
      <c r="C2047" s="475" t="s">
        <v>5408</v>
      </c>
      <c r="D2047" s="475" t="s">
        <v>5409</v>
      </c>
      <c r="E2047" s="476" t="s">
        <v>34</v>
      </c>
      <c r="F2047" s="475" t="s">
        <v>34</v>
      </c>
      <c r="G2047" s="364">
        <v>92429</v>
      </c>
      <c r="H2047" s="475" t="s">
        <v>1735</v>
      </c>
      <c r="I2047" s="475" t="s">
        <v>322</v>
      </c>
      <c r="J2047" s="475" t="s">
        <v>337</v>
      </c>
      <c r="K2047" s="365">
        <v>47.49</v>
      </c>
      <c r="L2047" s="475" t="s">
        <v>141</v>
      </c>
      <c r="M2047" s="473"/>
    </row>
    <row r="2048" spans="1:13" ht="13.5">
      <c r="A2048" s="475" t="s">
        <v>5400</v>
      </c>
      <c r="B2048" s="475" t="s">
        <v>5401</v>
      </c>
      <c r="C2048" s="475" t="s">
        <v>5408</v>
      </c>
      <c r="D2048" s="475" t="s">
        <v>5409</v>
      </c>
      <c r="E2048" s="476" t="s">
        <v>34</v>
      </c>
      <c r="F2048" s="475" t="s">
        <v>34</v>
      </c>
      <c r="G2048" s="364">
        <v>92430</v>
      </c>
      <c r="H2048" s="475" t="s">
        <v>1736</v>
      </c>
      <c r="I2048" s="475" t="s">
        <v>322</v>
      </c>
      <c r="J2048" s="475" t="s">
        <v>337</v>
      </c>
      <c r="K2048" s="365">
        <v>39.18</v>
      </c>
      <c r="L2048" s="475" t="s">
        <v>141</v>
      </c>
      <c r="M2048" s="473"/>
    </row>
    <row r="2049" spans="1:13" ht="13.5">
      <c r="A2049" s="475" t="s">
        <v>5400</v>
      </c>
      <c r="B2049" s="475" t="s">
        <v>5401</v>
      </c>
      <c r="C2049" s="475" t="s">
        <v>5408</v>
      </c>
      <c r="D2049" s="475" t="s">
        <v>5409</v>
      </c>
      <c r="E2049" s="476" t="s">
        <v>34</v>
      </c>
      <c r="F2049" s="475" t="s">
        <v>34</v>
      </c>
      <c r="G2049" s="364">
        <v>92431</v>
      </c>
      <c r="H2049" s="475" t="s">
        <v>1737</v>
      </c>
      <c r="I2049" s="475" t="s">
        <v>322</v>
      </c>
      <c r="J2049" s="475" t="s">
        <v>337</v>
      </c>
      <c r="K2049" s="365">
        <v>34.6</v>
      </c>
      <c r="L2049" s="475" t="s">
        <v>141</v>
      </c>
      <c r="M2049" s="473"/>
    </row>
    <row r="2050" spans="1:13" ht="13.5">
      <c r="A2050" s="475" t="s">
        <v>5400</v>
      </c>
      <c r="B2050" s="475" t="s">
        <v>5401</v>
      </c>
      <c r="C2050" s="475" t="s">
        <v>5408</v>
      </c>
      <c r="D2050" s="475" t="s">
        <v>5409</v>
      </c>
      <c r="E2050" s="476" t="s">
        <v>34</v>
      </c>
      <c r="F2050" s="475" t="s">
        <v>34</v>
      </c>
      <c r="G2050" s="364">
        <v>92432</v>
      </c>
      <c r="H2050" s="475" t="s">
        <v>1738</v>
      </c>
      <c r="I2050" s="475" t="s">
        <v>322</v>
      </c>
      <c r="J2050" s="475" t="s">
        <v>337</v>
      </c>
      <c r="K2050" s="365">
        <v>48.61</v>
      </c>
      <c r="L2050" s="475" t="s">
        <v>141</v>
      </c>
      <c r="M2050" s="473"/>
    </row>
    <row r="2051" spans="1:13" ht="13.5">
      <c r="A2051" s="475" t="s">
        <v>5400</v>
      </c>
      <c r="B2051" s="475" t="s">
        <v>5401</v>
      </c>
      <c r="C2051" s="475" t="s">
        <v>5408</v>
      </c>
      <c r="D2051" s="475" t="s">
        <v>5409</v>
      </c>
      <c r="E2051" s="476" t="s">
        <v>34</v>
      </c>
      <c r="F2051" s="475" t="s">
        <v>34</v>
      </c>
      <c r="G2051" s="364">
        <v>92433</v>
      </c>
      <c r="H2051" s="475" t="s">
        <v>1739</v>
      </c>
      <c r="I2051" s="475" t="s">
        <v>322</v>
      </c>
      <c r="J2051" s="475" t="s">
        <v>337</v>
      </c>
      <c r="K2051" s="365">
        <v>44.04</v>
      </c>
      <c r="L2051" s="475" t="s">
        <v>141</v>
      </c>
      <c r="M2051" s="473"/>
    </row>
    <row r="2052" spans="1:13" ht="13.5">
      <c r="A2052" s="475" t="s">
        <v>5400</v>
      </c>
      <c r="B2052" s="475" t="s">
        <v>5401</v>
      </c>
      <c r="C2052" s="475" t="s">
        <v>5408</v>
      </c>
      <c r="D2052" s="475" t="s">
        <v>5409</v>
      </c>
      <c r="E2052" s="476" t="s">
        <v>34</v>
      </c>
      <c r="F2052" s="475" t="s">
        <v>34</v>
      </c>
      <c r="G2052" s="364">
        <v>92434</v>
      </c>
      <c r="H2052" s="475" t="s">
        <v>1740</v>
      </c>
      <c r="I2052" s="475" t="s">
        <v>322</v>
      </c>
      <c r="J2052" s="475" t="s">
        <v>337</v>
      </c>
      <c r="K2052" s="365">
        <v>37.36</v>
      </c>
      <c r="L2052" s="475" t="s">
        <v>141</v>
      </c>
      <c r="M2052" s="473"/>
    </row>
    <row r="2053" spans="1:13" ht="13.5">
      <c r="A2053" s="475" t="s">
        <v>5400</v>
      </c>
      <c r="B2053" s="475" t="s">
        <v>5401</v>
      </c>
      <c r="C2053" s="475" t="s">
        <v>5408</v>
      </c>
      <c r="D2053" s="475" t="s">
        <v>5409</v>
      </c>
      <c r="E2053" s="476" t="s">
        <v>34</v>
      </c>
      <c r="F2053" s="475" t="s">
        <v>34</v>
      </c>
      <c r="G2053" s="364">
        <v>92435</v>
      </c>
      <c r="H2053" s="475" t="s">
        <v>1741</v>
      </c>
      <c r="I2053" s="475" t="s">
        <v>322</v>
      </c>
      <c r="J2053" s="475" t="s">
        <v>337</v>
      </c>
      <c r="K2053" s="365">
        <v>32.93</v>
      </c>
      <c r="L2053" s="475" t="s">
        <v>141</v>
      </c>
      <c r="M2053" s="473"/>
    </row>
    <row r="2054" spans="1:13" ht="13.5">
      <c r="A2054" s="475" t="s">
        <v>5400</v>
      </c>
      <c r="B2054" s="475" t="s">
        <v>5401</v>
      </c>
      <c r="C2054" s="475" t="s">
        <v>5408</v>
      </c>
      <c r="D2054" s="475" t="s">
        <v>5409</v>
      </c>
      <c r="E2054" s="476" t="s">
        <v>34</v>
      </c>
      <c r="F2054" s="475" t="s">
        <v>34</v>
      </c>
      <c r="G2054" s="364">
        <v>92436</v>
      </c>
      <c r="H2054" s="475" t="s">
        <v>1742</v>
      </c>
      <c r="I2054" s="475" t="s">
        <v>322</v>
      </c>
      <c r="J2054" s="475" t="s">
        <v>337</v>
      </c>
      <c r="K2054" s="365">
        <v>46.45</v>
      </c>
      <c r="L2054" s="475" t="s">
        <v>141</v>
      </c>
      <c r="M2054" s="473"/>
    </row>
    <row r="2055" spans="1:13" ht="13.5">
      <c r="A2055" s="475" t="s">
        <v>5400</v>
      </c>
      <c r="B2055" s="475" t="s">
        <v>5401</v>
      </c>
      <c r="C2055" s="475" t="s">
        <v>5408</v>
      </c>
      <c r="D2055" s="475" t="s">
        <v>5409</v>
      </c>
      <c r="E2055" s="476" t="s">
        <v>34</v>
      </c>
      <c r="F2055" s="475" t="s">
        <v>34</v>
      </c>
      <c r="G2055" s="364">
        <v>92437</v>
      </c>
      <c r="H2055" s="475" t="s">
        <v>1743</v>
      </c>
      <c r="I2055" s="475" t="s">
        <v>322</v>
      </c>
      <c r="J2055" s="475" t="s">
        <v>337</v>
      </c>
      <c r="K2055" s="365">
        <v>42.04</v>
      </c>
      <c r="L2055" s="475" t="s">
        <v>141</v>
      </c>
      <c r="M2055" s="473"/>
    </row>
    <row r="2056" spans="1:13" ht="13.5">
      <c r="A2056" s="475" t="s">
        <v>5400</v>
      </c>
      <c r="B2056" s="475" t="s">
        <v>5401</v>
      </c>
      <c r="C2056" s="475" t="s">
        <v>5408</v>
      </c>
      <c r="D2056" s="475" t="s">
        <v>5409</v>
      </c>
      <c r="E2056" s="476" t="s">
        <v>34</v>
      </c>
      <c r="F2056" s="475" t="s">
        <v>34</v>
      </c>
      <c r="G2056" s="364">
        <v>92438</v>
      </c>
      <c r="H2056" s="475" t="s">
        <v>1744</v>
      </c>
      <c r="I2056" s="475" t="s">
        <v>322</v>
      </c>
      <c r="J2056" s="475" t="s">
        <v>337</v>
      </c>
      <c r="K2056" s="365">
        <v>36.04</v>
      </c>
      <c r="L2056" s="475" t="s">
        <v>141</v>
      </c>
      <c r="M2056" s="473"/>
    </row>
    <row r="2057" spans="1:13" ht="13.5">
      <c r="A2057" s="475" t="s">
        <v>5400</v>
      </c>
      <c r="B2057" s="475" t="s">
        <v>5401</v>
      </c>
      <c r="C2057" s="475" t="s">
        <v>5408</v>
      </c>
      <c r="D2057" s="475" t="s">
        <v>5409</v>
      </c>
      <c r="E2057" s="476" t="s">
        <v>34</v>
      </c>
      <c r="F2057" s="475" t="s">
        <v>34</v>
      </c>
      <c r="G2057" s="364">
        <v>92439</v>
      </c>
      <c r="H2057" s="475" t="s">
        <v>1745</v>
      </c>
      <c r="I2057" s="475" t="s">
        <v>322</v>
      </c>
      <c r="J2057" s="475" t="s">
        <v>337</v>
      </c>
      <c r="K2057" s="365">
        <v>31.73</v>
      </c>
      <c r="L2057" s="475" t="s">
        <v>141</v>
      </c>
      <c r="M2057" s="473"/>
    </row>
    <row r="2058" spans="1:13" ht="13.5">
      <c r="A2058" s="475" t="s">
        <v>5400</v>
      </c>
      <c r="B2058" s="475" t="s">
        <v>5401</v>
      </c>
      <c r="C2058" s="475" t="s">
        <v>5408</v>
      </c>
      <c r="D2058" s="475" t="s">
        <v>5409</v>
      </c>
      <c r="E2058" s="476" t="s">
        <v>34</v>
      </c>
      <c r="F2058" s="475" t="s">
        <v>34</v>
      </c>
      <c r="G2058" s="364">
        <v>92440</v>
      </c>
      <c r="H2058" s="475" t="s">
        <v>1746</v>
      </c>
      <c r="I2058" s="475" t="s">
        <v>322</v>
      </c>
      <c r="J2058" s="475" t="s">
        <v>337</v>
      </c>
      <c r="K2058" s="365">
        <v>44.89</v>
      </c>
      <c r="L2058" s="475" t="s">
        <v>141</v>
      </c>
      <c r="M2058" s="473"/>
    </row>
    <row r="2059" spans="1:13" ht="13.5">
      <c r="A2059" s="475" t="s">
        <v>5400</v>
      </c>
      <c r="B2059" s="475" t="s">
        <v>5401</v>
      </c>
      <c r="C2059" s="475" t="s">
        <v>5408</v>
      </c>
      <c r="D2059" s="475" t="s">
        <v>5409</v>
      </c>
      <c r="E2059" s="476" t="s">
        <v>34</v>
      </c>
      <c r="F2059" s="475" t="s">
        <v>34</v>
      </c>
      <c r="G2059" s="364">
        <v>92441</v>
      </c>
      <c r="H2059" s="475" t="s">
        <v>1747</v>
      </c>
      <c r="I2059" s="475" t="s">
        <v>322</v>
      </c>
      <c r="J2059" s="475" t="s">
        <v>337</v>
      </c>
      <c r="K2059" s="365">
        <v>40.61</v>
      </c>
      <c r="L2059" s="475" t="s">
        <v>141</v>
      </c>
      <c r="M2059" s="473"/>
    </row>
    <row r="2060" spans="1:13" ht="13.5">
      <c r="A2060" s="475" t="s">
        <v>5400</v>
      </c>
      <c r="B2060" s="475" t="s">
        <v>5401</v>
      </c>
      <c r="C2060" s="475" t="s">
        <v>5408</v>
      </c>
      <c r="D2060" s="475" t="s">
        <v>5409</v>
      </c>
      <c r="E2060" s="476" t="s">
        <v>34</v>
      </c>
      <c r="F2060" s="475" t="s">
        <v>34</v>
      </c>
      <c r="G2060" s="364">
        <v>92442</v>
      </c>
      <c r="H2060" s="475" t="s">
        <v>1748</v>
      </c>
      <c r="I2060" s="475" t="s">
        <v>322</v>
      </c>
      <c r="J2060" s="475" t="s">
        <v>337</v>
      </c>
      <c r="K2060" s="365">
        <v>33.369999999999997</v>
      </c>
      <c r="L2060" s="475" t="s">
        <v>141</v>
      </c>
      <c r="M2060" s="473"/>
    </row>
    <row r="2061" spans="1:13" ht="13.5">
      <c r="A2061" s="475" t="s">
        <v>5400</v>
      </c>
      <c r="B2061" s="475" t="s">
        <v>5401</v>
      </c>
      <c r="C2061" s="475" t="s">
        <v>5408</v>
      </c>
      <c r="D2061" s="475" t="s">
        <v>5409</v>
      </c>
      <c r="E2061" s="476" t="s">
        <v>34</v>
      </c>
      <c r="F2061" s="475" t="s">
        <v>34</v>
      </c>
      <c r="G2061" s="364">
        <v>92443</v>
      </c>
      <c r="H2061" s="475" t="s">
        <v>1749</v>
      </c>
      <c r="I2061" s="475" t="s">
        <v>322</v>
      </c>
      <c r="J2061" s="475" t="s">
        <v>337</v>
      </c>
      <c r="K2061" s="365">
        <v>29.21</v>
      </c>
      <c r="L2061" s="475" t="s">
        <v>141</v>
      </c>
      <c r="M2061" s="473"/>
    </row>
    <row r="2062" spans="1:13" ht="13.5">
      <c r="A2062" s="475" t="s">
        <v>5400</v>
      </c>
      <c r="B2062" s="475" t="s">
        <v>5401</v>
      </c>
      <c r="C2062" s="475" t="s">
        <v>5408</v>
      </c>
      <c r="D2062" s="475" t="s">
        <v>5409</v>
      </c>
      <c r="E2062" s="476" t="s">
        <v>34</v>
      </c>
      <c r="F2062" s="475" t="s">
        <v>34</v>
      </c>
      <c r="G2062" s="364">
        <v>92444</v>
      </c>
      <c r="H2062" s="475" t="s">
        <v>1750</v>
      </c>
      <c r="I2062" s="475" t="s">
        <v>322</v>
      </c>
      <c r="J2062" s="475" t="s">
        <v>337</v>
      </c>
      <c r="K2062" s="365">
        <v>41.94</v>
      </c>
      <c r="L2062" s="475" t="s">
        <v>141</v>
      </c>
      <c r="M2062" s="473"/>
    </row>
    <row r="2063" spans="1:13" ht="13.5">
      <c r="A2063" s="475" t="s">
        <v>5400</v>
      </c>
      <c r="B2063" s="475" t="s">
        <v>5401</v>
      </c>
      <c r="C2063" s="475" t="s">
        <v>5408</v>
      </c>
      <c r="D2063" s="475" t="s">
        <v>5409</v>
      </c>
      <c r="E2063" s="476" t="s">
        <v>34</v>
      </c>
      <c r="F2063" s="475" t="s">
        <v>34</v>
      </c>
      <c r="G2063" s="364">
        <v>92445</v>
      </c>
      <c r="H2063" s="475" t="s">
        <v>1751</v>
      </c>
      <c r="I2063" s="475" t="s">
        <v>322</v>
      </c>
      <c r="J2063" s="475" t="s">
        <v>337</v>
      </c>
      <c r="K2063" s="365">
        <v>37.78</v>
      </c>
      <c r="L2063" s="475" t="s">
        <v>141</v>
      </c>
      <c r="M2063" s="473"/>
    </row>
    <row r="2064" spans="1:13" ht="13.5">
      <c r="A2064" s="475" t="s">
        <v>5400</v>
      </c>
      <c r="B2064" s="475" t="s">
        <v>5401</v>
      </c>
      <c r="C2064" s="475" t="s">
        <v>5408</v>
      </c>
      <c r="D2064" s="475" t="s">
        <v>5409</v>
      </c>
      <c r="E2064" s="476" t="s">
        <v>34</v>
      </c>
      <c r="F2064" s="475" t="s">
        <v>34</v>
      </c>
      <c r="G2064" s="364">
        <v>92446</v>
      </c>
      <c r="H2064" s="475" t="s">
        <v>1752</v>
      </c>
      <c r="I2064" s="475" t="s">
        <v>322</v>
      </c>
      <c r="J2064" s="475" t="s">
        <v>337</v>
      </c>
      <c r="K2064" s="365">
        <v>150.9</v>
      </c>
      <c r="L2064" s="475" t="s">
        <v>141</v>
      </c>
      <c r="M2064" s="473"/>
    </row>
    <row r="2065" spans="1:13" ht="13.5">
      <c r="A2065" s="475" t="s">
        <v>5400</v>
      </c>
      <c r="B2065" s="475" t="s">
        <v>5401</v>
      </c>
      <c r="C2065" s="475" t="s">
        <v>5408</v>
      </c>
      <c r="D2065" s="475" t="s">
        <v>5409</v>
      </c>
      <c r="E2065" s="476" t="s">
        <v>34</v>
      </c>
      <c r="F2065" s="475" t="s">
        <v>34</v>
      </c>
      <c r="G2065" s="364">
        <v>92447</v>
      </c>
      <c r="H2065" s="475" t="s">
        <v>1753</v>
      </c>
      <c r="I2065" s="475" t="s">
        <v>322</v>
      </c>
      <c r="J2065" s="475" t="s">
        <v>337</v>
      </c>
      <c r="K2065" s="365">
        <v>107.59</v>
      </c>
      <c r="L2065" s="475" t="s">
        <v>141</v>
      </c>
      <c r="M2065" s="473"/>
    </row>
    <row r="2066" spans="1:13" ht="13.5">
      <c r="A2066" s="475" t="s">
        <v>5400</v>
      </c>
      <c r="B2066" s="475" t="s">
        <v>5401</v>
      </c>
      <c r="C2066" s="475" t="s">
        <v>5408</v>
      </c>
      <c r="D2066" s="475" t="s">
        <v>5409</v>
      </c>
      <c r="E2066" s="476" t="s">
        <v>34</v>
      </c>
      <c r="F2066" s="475" t="s">
        <v>34</v>
      </c>
      <c r="G2066" s="364">
        <v>92448</v>
      </c>
      <c r="H2066" s="475" t="s">
        <v>1754</v>
      </c>
      <c r="I2066" s="475" t="s">
        <v>322</v>
      </c>
      <c r="J2066" s="475" t="s">
        <v>337</v>
      </c>
      <c r="K2066" s="365">
        <v>85.22</v>
      </c>
      <c r="L2066" s="475" t="s">
        <v>141</v>
      </c>
      <c r="M2066" s="473"/>
    </row>
    <row r="2067" spans="1:13" ht="13.5">
      <c r="A2067" s="475" t="s">
        <v>5400</v>
      </c>
      <c r="B2067" s="475" t="s">
        <v>5401</v>
      </c>
      <c r="C2067" s="475" t="s">
        <v>5408</v>
      </c>
      <c r="D2067" s="475" t="s">
        <v>5409</v>
      </c>
      <c r="E2067" s="476" t="s">
        <v>34</v>
      </c>
      <c r="F2067" s="475" t="s">
        <v>34</v>
      </c>
      <c r="G2067" s="364">
        <v>92449</v>
      </c>
      <c r="H2067" s="475" t="s">
        <v>1755</v>
      </c>
      <c r="I2067" s="475" t="s">
        <v>322</v>
      </c>
      <c r="J2067" s="475" t="s">
        <v>337</v>
      </c>
      <c r="K2067" s="365">
        <v>151.04</v>
      </c>
      <c r="L2067" s="475" t="s">
        <v>141</v>
      </c>
      <c r="M2067" s="473"/>
    </row>
    <row r="2068" spans="1:13" ht="13.5">
      <c r="A2068" s="475" t="s">
        <v>5400</v>
      </c>
      <c r="B2068" s="475" t="s">
        <v>5401</v>
      </c>
      <c r="C2068" s="475" t="s">
        <v>5408</v>
      </c>
      <c r="D2068" s="475" t="s">
        <v>5409</v>
      </c>
      <c r="E2068" s="476" t="s">
        <v>34</v>
      </c>
      <c r="F2068" s="475" t="s">
        <v>34</v>
      </c>
      <c r="G2068" s="364">
        <v>92450</v>
      </c>
      <c r="H2068" s="475" t="s">
        <v>1756</v>
      </c>
      <c r="I2068" s="475" t="s">
        <v>322</v>
      </c>
      <c r="J2068" s="475" t="s">
        <v>337</v>
      </c>
      <c r="K2068" s="365">
        <v>170.77</v>
      </c>
      <c r="L2068" s="475" t="s">
        <v>141</v>
      </c>
      <c r="M2068" s="473"/>
    </row>
    <row r="2069" spans="1:13" ht="13.5">
      <c r="A2069" s="475" t="s">
        <v>5400</v>
      </c>
      <c r="B2069" s="475" t="s">
        <v>5401</v>
      </c>
      <c r="C2069" s="475" t="s">
        <v>5408</v>
      </c>
      <c r="D2069" s="475" t="s">
        <v>5409</v>
      </c>
      <c r="E2069" s="476" t="s">
        <v>34</v>
      </c>
      <c r="F2069" s="475" t="s">
        <v>34</v>
      </c>
      <c r="G2069" s="364">
        <v>92451</v>
      </c>
      <c r="H2069" s="475" t="s">
        <v>1757</v>
      </c>
      <c r="I2069" s="475" t="s">
        <v>322</v>
      </c>
      <c r="J2069" s="475" t="s">
        <v>337</v>
      </c>
      <c r="K2069" s="365">
        <v>105.14</v>
      </c>
      <c r="L2069" s="475" t="s">
        <v>141</v>
      </c>
      <c r="M2069" s="473"/>
    </row>
    <row r="2070" spans="1:13" ht="13.5">
      <c r="A2070" s="475" t="s">
        <v>5400</v>
      </c>
      <c r="B2070" s="475" t="s">
        <v>5401</v>
      </c>
      <c r="C2070" s="475" t="s">
        <v>5408</v>
      </c>
      <c r="D2070" s="475" t="s">
        <v>5409</v>
      </c>
      <c r="E2070" s="476" t="s">
        <v>34</v>
      </c>
      <c r="F2070" s="475" t="s">
        <v>34</v>
      </c>
      <c r="G2070" s="364">
        <v>92452</v>
      </c>
      <c r="H2070" s="475" t="s">
        <v>1758</v>
      </c>
      <c r="I2070" s="475" t="s">
        <v>322</v>
      </c>
      <c r="J2070" s="475" t="s">
        <v>337</v>
      </c>
      <c r="K2070" s="365">
        <v>98.07</v>
      </c>
      <c r="L2070" s="475" t="s">
        <v>141</v>
      </c>
      <c r="M2070" s="473"/>
    </row>
    <row r="2071" spans="1:13" ht="13.5">
      <c r="A2071" s="475" t="s">
        <v>5400</v>
      </c>
      <c r="B2071" s="475" t="s">
        <v>5401</v>
      </c>
      <c r="C2071" s="475" t="s">
        <v>5408</v>
      </c>
      <c r="D2071" s="475" t="s">
        <v>5409</v>
      </c>
      <c r="E2071" s="476" t="s">
        <v>34</v>
      </c>
      <c r="F2071" s="475" t="s">
        <v>34</v>
      </c>
      <c r="G2071" s="364">
        <v>92453</v>
      </c>
      <c r="H2071" s="475" t="s">
        <v>1759</v>
      </c>
      <c r="I2071" s="475" t="s">
        <v>322</v>
      </c>
      <c r="J2071" s="475" t="s">
        <v>337</v>
      </c>
      <c r="K2071" s="365">
        <v>128.66</v>
      </c>
      <c r="L2071" s="475" t="s">
        <v>141</v>
      </c>
      <c r="M2071" s="473"/>
    </row>
    <row r="2072" spans="1:13" ht="13.5">
      <c r="A2072" s="475" t="s">
        <v>5400</v>
      </c>
      <c r="B2072" s="475" t="s">
        <v>5401</v>
      </c>
      <c r="C2072" s="475" t="s">
        <v>5408</v>
      </c>
      <c r="D2072" s="475" t="s">
        <v>5409</v>
      </c>
      <c r="E2072" s="476" t="s">
        <v>34</v>
      </c>
      <c r="F2072" s="475" t="s">
        <v>34</v>
      </c>
      <c r="G2072" s="364">
        <v>92454</v>
      </c>
      <c r="H2072" s="475" t="s">
        <v>1760</v>
      </c>
      <c r="I2072" s="475" t="s">
        <v>322</v>
      </c>
      <c r="J2072" s="475" t="s">
        <v>337</v>
      </c>
      <c r="K2072" s="365">
        <v>182.56</v>
      </c>
      <c r="L2072" s="475" t="s">
        <v>141</v>
      </c>
      <c r="M2072" s="473"/>
    </row>
    <row r="2073" spans="1:13" ht="13.5">
      <c r="A2073" s="475" t="s">
        <v>5400</v>
      </c>
      <c r="B2073" s="475" t="s">
        <v>5401</v>
      </c>
      <c r="C2073" s="475" t="s">
        <v>5408</v>
      </c>
      <c r="D2073" s="475" t="s">
        <v>5409</v>
      </c>
      <c r="E2073" s="476" t="s">
        <v>34</v>
      </c>
      <c r="F2073" s="475" t="s">
        <v>34</v>
      </c>
      <c r="G2073" s="364">
        <v>92455</v>
      </c>
      <c r="H2073" s="475" t="s">
        <v>1761</v>
      </c>
      <c r="I2073" s="475" t="s">
        <v>322</v>
      </c>
      <c r="J2073" s="475" t="s">
        <v>337</v>
      </c>
      <c r="K2073" s="365">
        <v>85.87</v>
      </c>
      <c r="L2073" s="475" t="s">
        <v>141</v>
      </c>
      <c r="M2073" s="473"/>
    </row>
    <row r="2074" spans="1:13" ht="13.5">
      <c r="A2074" s="475" t="s">
        <v>5400</v>
      </c>
      <c r="B2074" s="475" t="s">
        <v>5401</v>
      </c>
      <c r="C2074" s="475" t="s">
        <v>5408</v>
      </c>
      <c r="D2074" s="475" t="s">
        <v>5409</v>
      </c>
      <c r="E2074" s="476" t="s">
        <v>34</v>
      </c>
      <c r="F2074" s="475" t="s">
        <v>34</v>
      </c>
      <c r="G2074" s="364">
        <v>92456</v>
      </c>
      <c r="H2074" s="475" t="s">
        <v>1762</v>
      </c>
      <c r="I2074" s="475" t="s">
        <v>322</v>
      </c>
      <c r="J2074" s="475" t="s">
        <v>337</v>
      </c>
      <c r="K2074" s="365">
        <v>83</v>
      </c>
      <c r="L2074" s="475" t="s">
        <v>141</v>
      </c>
      <c r="M2074" s="473"/>
    </row>
    <row r="2075" spans="1:13" ht="13.5">
      <c r="A2075" s="475" t="s">
        <v>5400</v>
      </c>
      <c r="B2075" s="475" t="s">
        <v>5401</v>
      </c>
      <c r="C2075" s="475" t="s">
        <v>5408</v>
      </c>
      <c r="D2075" s="475" t="s">
        <v>5409</v>
      </c>
      <c r="E2075" s="476" t="s">
        <v>34</v>
      </c>
      <c r="F2075" s="475" t="s">
        <v>34</v>
      </c>
      <c r="G2075" s="364">
        <v>92457</v>
      </c>
      <c r="H2075" s="475" t="s">
        <v>1763</v>
      </c>
      <c r="I2075" s="475" t="s">
        <v>322</v>
      </c>
      <c r="J2075" s="475" t="s">
        <v>337</v>
      </c>
      <c r="K2075" s="365">
        <v>111.73</v>
      </c>
      <c r="L2075" s="475" t="s">
        <v>141</v>
      </c>
      <c r="M2075" s="473"/>
    </row>
    <row r="2076" spans="1:13" ht="13.5">
      <c r="A2076" s="475" t="s">
        <v>5400</v>
      </c>
      <c r="B2076" s="475" t="s">
        <v>5401</v>
      </c>
      <c r="C2076" s="475" t="s">
        <v>5408</v>
      </c>
      <c r="D2076" s="475" t="s">
        <v>5409</v>
      </c>
      <c r="E2076" s="476" t="s">
        <v>34</v>
      </c>
      <c r="F2076" s="475" t="s">
        <v>34</v>
      </c>
      <c r="G2076" s="364">
        <v>92458</v>
      </c>
      <c r="H2076" s="475" t="s">
        <v>1764</v>
      </c>
      <c r="I2076" s="475" t="s">
        <v>322</v>
      </c>
      <c r="J2076" s="475" t="s">
        <v>337</v>
      </c>
      <c r="K2076" s="365">
        <v>170.77</v>
      </c>
      <c r="L2076" s="475" t="s">
        <v>141</v>
      </c>
      <c r="M2076" s="473"/>
    </row>
    <row r="2077" spans="1:13" ht="13.5">
      <c r="A2077" s="475" t="s">
        <v>5400</v>
      </c>
      <c r="B2077" s="475" t="s">
        <v>5401</v>
      </c>
      <c r="C2077" s="475" t="s">
        <v>5408</v>
      </c>
      <c r="D2077" s="475" t="s">
        <v>5409</v>
      </c>
      <c r="E2077" s="476" t="s">
        <v>34</v>
      </c>
      <c r="F2077" s="475" t="s">
        <v>34</v>
      </c>
      <c r="G2077" s="364">
        <v>92459</v>
      </c>
      <c r="H2077" s="475" t="s">
        <v>1765</v>
      </c>
      <c r="I2077" s="475" t="s">
        <v>322</v>
      </c>
      <c r="J2077" s="475" t="s">
        <v>337</v>
      </c>
      <c r="K2077" s="365">
        <v>72.900000000000006</v>
      </c>
      <c r="L2077" s="475" t="s">
        <v>141</v>
      </c>
      <c r="M2077" s="473"/>
    </row>
    <row r="2078" spans="1:13" ht="13.5">
      <c r="A2078" s="475" t="s">
        <v>5400</v>
      </c>
      <c r="B2078" s="475" t="s">
        <v>5401</v>
      </c>
      <c r="C2078" s="475" t="s">
        <v>5408</v>
      </c>
      <c r="D2078" s="475" t="s">
        <v>5409</v>
      </c>
      <c r="E2078" s="476" t="s">
        <v>34</v>
      </c>
      <c r="F2078" s="475" t="s">
        <v>34</v>
      </c>
      <c r="G2078" s="364">
        <v>92460</v>
      </c>
      <c r="H2078" s="475" t="s">
        <v>1766</v>
      </c>
      <c r="I2078" s="475" t="s">
        <v>322</v>
      </c>
      <c r="J2078" s="475" t="s">
        <v>337</v>
      </c>
      <c r="K2078" s="365">
        <v>68.400000000000006</v>
      </c>
      <c r="L2078" s="475" t="s">
        <v>141</v>
      </c>
      <c r="M2078" s="473"/>
    </row>
    <row r="2079" spans="1:13" ht="13.5">
      <c r="A2079" s="475" t="s">
        <v>5400</v>
      </c>
      <c r="B2079" s="475" t="s">
        <v>5401</v>
      </c>
      <c r="C2079" s="475" t="s">
        <v>5408</v>
      </c>
      <c r="D2079" s="475" t="s">
        <v>5409</v>
      </c>
      <c r="E2079" s="476" t="s">
        <v>34</v>
      </c>
      <c r="F2079" s="475" t="s">
        <v>34</v>
      </c>
      <c r="G2079" s="364">
        <v>92461</v>
      </c>
      <c r="H2079" s="475" t="s">
        <v>1767</v>
      </c>
      <c r="I2079" s="475" t="s">
        <v>322</v>
      </c>
      <c r="J2079" s="475" t="s">
        <v>337</v>
      </c>
      <c r="K2079" s="365">
        <v>102.71</v>
      </c>
      <c r="L2079" s="475" t="s">
        <v>141</v>
      </c>
      <c r="M2079" s="473"/>
    </row>
    <row r="2080" spans="1:13" ht="13.5">
      <c r="A2080" s="475" t="s">
        <v>5400</v>
      </c>
      <c r="B2080" s="475" t="s">
        <v>5401</v>
      </c>
      <c r="C2080" s="475" t="s">
        <v>5408</v>
      </c>
      <c r="D2080" s="475" t="s">
        <v>5409</v>
      </c>
      <c r="E2080" s="476" t="s">
        <v>34</v>
      </c>
      <c r="F2080" s="475" t="s">
        <v>34</v>
      </c>
      <c r="G2080" s="364">
        <v>92462</v>
      </c>
      <c r="H2080" s="475" t="s">
        <v>1768</v>
      </c>
      <c r="I2080" s="475" t="s">
        <v>322</v>
      </c>
      <c r="J2080" s="475" t="s">
        <v>337</v>
      </c>
      <c r="K2080" s="365">
        <v>163.13999999999999</v>
      </c>
      <c r="L2080" s="475" t="s">
        <v>141</v>
      </c>
      <c r="M2080" s="473"/>
    </row>
    <row r="2081" spans="1:13" ht="13.5">
      <c r="A2081" s="475" t="s">
        <v>5400</v>
      </c>
      <c r="B2081" s="475" t="s">
        <v>5401</v>
      </c>
      <c r="C2081" s="475" t="s">
        <v>5408</v>
      </c>
      <c r="D2081" s="475" t="s">
        <v>5409</v>
      </c>
      <c r="E2081" s="476" t="s">
        <v>34</v>
      </c>
      <c r="F2081" s="475" t="s">
        <v>34</v>
      </c>
      <c r="G2081" s="364">
        <v>92463</v>
      </c>
      <c r="H2081" s="475" t="s">
        <v>1769</v>
      </c>
      <c r="I2081" s="475" t="s">
        <v>322</v>
      </c>
      <c r="J2081" s="475" t="s">
        <v>337</v>
      </c>
      <c r="K2081" s="365">
        <v>65.849999999999994</v>
      </c>
      <c r="L2081" s="475" t="s">
        <v>141</v>
      </c>
      <c r="M2081" s="473"/>
    </row>
    <row r="2082" spans="1:13" ht="13.5">
      <c r="A2082" s="475" t="s">
        <v>5400</v>
      </c>
      <c r="B2082" s="475" t="s">
        <v>5401</v>
      </c>
      <c r="C2082" s="475" t="s">
        <v>5408</v>
      </c>
      <c r="D2082" s="475" t="s">
        <v>5409</v>
      </c>
      <c r="E2082" s="476" t="s">
        <v>34</v>
      </c>
      <c r="F2082" s="475" t="s">
        <v>34</v>
      </c>
      <c r="G2082" s="364">
        <v>92464</v>
      </c>
      <c r="H2082" s="475" t="s">
        <v>1770</v>
      </c>
      <c r="I2082" s="475" t="s">
        <v>322</v>
      </c>
      <c r="J2082" s="475" t="s">
        <v>337</v>
      </c>
      <c r="K2082" s="365">
        <v>64.540000000000006</v>
      </c>
      <c r="L2082" s="475" t="s">
        <v>141</v>
      </c>
      <c r="M2082" s="473"/>
    </row>
    <row r="2083" spans="1:13" ht="13.5">
      <c r="A2083" s="475" t="s">
        <v>5400</v>
      </c>
      <c r="B2083" s="475" t="s">
        <v>5401</v>
      </c>
      <c r="C2083" s="475" t="s">
        <v>5408</v>
      </c>
      <c r="D2083" s="475" t="s">
        <v>5409</v>
      </c>
      <c r="E2083" s="476" t="s">
        <v>34</v>
      </c>
      <c r="F2083" s="475" t="s">
        <v>34</v>
      </c>
      <c r="G2083" s="364">
        <v>92465</v>
      </c>
      <c r="H2083" s="475" t="s">
        <v>1771</v>
      </c>
      <c r="I2083" s="475" t="s">
        <v>322</v>
      </c>
      <c r="J2083" s="475" t="s">
        <v>337</v>
      </c>
      <c r="K2083" s="365">
        <v>82.61</v>
      </c>
      <c r="L2083" s="475" t="s">
        <v>141</v>
      </c>
      <c r="M2083" s="473"/>
    </row>
    <row r="2084" spans="1:13" ht="13.5">
      <c r="A2084" s="475" t="s">
        <v>5400</v>
      </c>
      <c r="B2084" s="475" t="s">
        <v>5401</v>
      </c>
      <c r="C2084" s="475" t="s">
        <v>5408</v>
      </c>
      <c r="D2084" s="475" t="s">
        <v>5409</v>
      </c>
      <c r="E2084" s="476" t="s">
        <v>34</v>
      </c>
      <c r="F2084" s="475" t="s">
        <v>34</v>
      </c>
      <c r="G2084" s="364">
        <v>92466</v>
      </c>
      <c r="H2084" s="475" t="s">
        <v>1772</v>
      </c>
      <c r="I2084" s="475" t="s">
        <v>322</v>
      </c>
      <c r="J2084" s="475" t="s">
        <v>337</v>
      </c>
      <c r="K2084" s="365">
        <v>157.65</v>
      </c>
      <c r="L2084" s="475" t="s">
        <v>141</v>
      </c>
      <c r="M2084" s="473"/>
    </row>
    <row r="2085" spans="1:13" ht="13.5">
      <c r="A2085" s="475" t="s">
        <v>5400</v>
      </c>
      <c r="B2085" s="475" t="s">
        <v>5401</v>
      </c>
      <c r="C2085" s="475" t="s">
        <v>5408</v>
      </c>
      <c r="D2085" s="475" t="s">
        <v>5409</v>
      </c>
      <c r="E2085" s="476" t="s">
        <v>34</v>
      </c>
      <c r="F2085" s="475" t="s">
        <v>34</v>
      </c>
      <c r="G2085" s="364">
        <v>92467</v>
      </c>
      <c r="H2085" s="475" t="s">
        <v>1773</v>
      </c>
      <c r="I2085" s="475" t="s">
        <v>322</v>
      </c>
      <c r="J2085" s="475" t="s">
        <v>337</v>
      </c>
      <c r="K2085" s="365">
        <v>54.22</v>
      </c>
      <c r="L2085" s="475" t="s">
        <v>141</v>
      </c>
      <c r="M2085" s="473"/>
    </row>
    <row r="2086" spans="1:13" ht="13.5">
      <c r="A2086" s="475" t="s">
        <v>5400</v>
      </c>
      <c r="B2086" s="475" t="s">
        <v>5401</v>
      </c>
      <c r="C2086" s="475" t="s">
        <v>5408</v>
      </c>
      <c r="D2086" s="475" t="s">
        <v>5409</v>
      </c>
      <c r="E2086" s="476" t="s">
        <v>34</v>
      </c>
      <c r="F2086" s="475" t="s">
        <v>34</v>
      </c>
      <c r="G2086" s="364">
        <v>92468</v>
      </c>
      <c r="H2086" s="475" t="s">
        <v>1774</v>
      </c>
      <c r="I2086" s="475" t="s">
        <v>322</v>
      </c>
      <c r="J2086" s="475" t="s">
        <v>337</v>
      </c>
      <c r="K2086" s="365">
        <v>59.5</v>
      </c>
      <c r="L2086" s="475" t="s">
        <v>141</v>
      </c>
      <c r="M2086" s="473"/>
    </row>
    <row r="2087" spans="1:13" ht="13.5">
      <c r="A2087" s="475" t="s">
        <v>5400</v>
      </c>
      <c r="B2087" s="475" t="s">
        <v>5401</v>
      </c>
      <c r="C2087" s="475" t="s">
        <v>5408</v>
      </c>
      <c r="D2087" s="475" t="s">
        <v>5409</v>
      </c>
      <c r="E2087" s="476" t="s">
        <v>34</v>
      </c>
      <c r="F2087" s="475" t="s">
        <v>34</v>
      </c>
      <c r="G2087" s="364">
        <v>92469</v>
      </c>
      <c r="H2087" s="475" t="s">
        <v>1775</v>
      </c>
      <c r="I2087" s="475" t="s">
        <v>322</v>
      </c>
      <c r="J2087" s="475" t="s">
        <v>337</v>
      </c>
      <c r="K2087" s="365">
        <v>75.38</v>
      </c>
      <c r="L2087" s="475" t="s">
        <v>141</v>
      </c>
      <c r="M2087" s="473"/>
    </row>
    <row r="2088" spans="1:13" ht="13.5">
      <c r="A2088" s="475" t="s">
        <v>5400</v>
      </c>
      <c r="B2088" s="475" t="s">
        <v>5401</v>
      </c>
      <c r="C2088" s="475" t="s">
        <v>5408</v>
      </c>
      <c r="D2088" s="475" t="s">
        <v>5409</v>
      </c>
      <c r="E2088" s="476" t="s">
        <v>34</v>
      </c>
      <c r="F2088" s="475" t="s">
        <v>34</v>
      </c>
      <c r="G2088" s="364">
        <v>92470</v>
      </c>
      <c r="H2088" s="475" t="s">
        <v>1776</v>
      </c>
      <c r="I2088" s="475" t="s">
        <v>322</v>
      </c>
      <c r="J2088" s="475" t="s">
        <v>337</v>
      </c>
      <c r="K2088" s="365">
        <v>153.33000000000001</v>
      </c>
      <c r="L2088" s="475" t="s">
        <v>141</v>
      </c>
      <c r="M2088" s="473"/>
    </row>
    <row r="2089" spans="1:13" ht="13.5">
      <c r="A2089" s="475" t="s">
        <v>5400</v>
      </c>
      <c r="B2089" s="475" t="s">
        <v>5401</v>
      </c>
      <c r="C2089" s="475" t="s">
        <v>5408</v>
      </c>
      <c r="D2089" s="475" t="s">
        <v>5409</v>
      </c>
      <c r="E2089" s="476" t="s">
        <v>34</v>
      </c>
      <c r="F2089" s="475" t="s">
        <v>34</v>
      </c>
      <c r="G2089" s="364">
        <v>92471</v>
      </c>
      <c r="H2089" s="475" t="s">
        <v>1777</v>
      </c>
      <c r="I2089" s="475" t="s">
        <v>322</v>
      </c>
      <c r="J2089" s="475" t="s">
        <v>337</v>
      </c>
      <c r="K2089" s="365">
        <v>49.53</v>
      </c>
      <c r="L2089" s="475" t="s">
        <v>141</v>
      </c>
      <c r="M2089" s="473"/>
    </row>
    <row r="2090" spans="1:13" ht="13.5">
      <c r="A2090" s="475" t="s">
        <v>5400</v>
      </c>
      <c r="B2090" s="475" t="s">
        <v>5401</v>
      </c>
      <c r="C2090" s="475" t="s">
        <v>5408</v>
      </c>
      <c r="D2090" s="475" t="s">
        <v>5409</v>
      </c>
      <c r="E2090" s="476" t="s">
        <v>34</v>
      </c>
      <c r="F2090" s="475" t="s">
        <v>34</v>
      </c>
      <c r="G2090" s="364">
        <v>92472</v>
      </c>
      <c r="H2090" s="475" t="s">
        <v>1778</v>
      </c>
      <c r="I2090" s="475" t="s">
        <v>322</v>
      </c>
      <c r="J2090" s="475" t="s">
        <v>337</v>
      </c>
      <c r="K2090" s="365">
        <v>55.81</v>
      </c>
      <c r="L2090" s="475" t="s">
        <v>141</v>
      </c>
      <c r="M2090" s="473"/>
    </row>
    <row r="2091" spans="1:13" ht="13.5">
      <c r="A2091" s="475" t="s">
        <v>5400</v>
      </c>
      <c r="B2091" s="475" t="s">
        <v>5401</v>
      </c>
      <c r="C2091" s="475" t="s">
        <v>5408</v>
      </c>
      <c r="D2091" s="475" t="s">
        <v>5409</v>
      </c>
      <c r="E2091" s="476" t="s">
        <v>34</v>
      </c>
      <c r="F2091" s="475" t="s">
        <v>34</v>
      </c>
      <c r="G2091" s="364">
        <v>92473</v>
      </c>
      <c r="H2091" s="475" t="s">
        <v>1779</v>
      </c>
      <c r="I2091" s="475" t="s">
        <v>322</v>
      </c>
      <c r="J2091" s="475" t="s">
        <v>337</v>
      </c>
      <c r="K2091" s="365">
        <v>69.47</v>
      </c>
      <c r="L2091" s="475" t="s">
        <v>141</v>
      </c>
      <c r="M2091" s="473"/>
    </row>
    <row r="2092" spans="1:13" ht="13.5">
      <c r="A2092" s="475" t="s">
        <v>5400</v>
      </c>
      <c r="B2092" s="475" t="s">
        <v>5401</v>
      </c>
      <c r="C2092" s="475" t="s">
        <v>5408</v>
      </c>
      <c r="D2092" s="475" t="s">
        <v>5409</v>
      </c>
      <c r="E2092" s="476" t="s">
        <v>34</v>
      </c>
      <c r="F2092" s="475" t="s">
        <v>34</v>
      </c>
      <c r="G2092" s="364">
        <v>92474</v>
      </c>
      <c r="H2092" s="475" t="s">
        <v>1780</v>
      </c>
      <c r="I2092" s="475" t="s">
        <v>322</v>
      </c>
      <c r="J2092" s="475" t="s">
        <v>337</v>
      </c>
      <c r="K2092" s="365">
        <v>149.56</v>
      </c>
      <c r="L2092" s="475" t="s">
        <v>141</v>
      </c>
      <c r="M2092" s="473"/>
    </row>
    <row r="2093" spans="1:13" ht="13.5">
      <c r="A2093" s="475" t="s">
        <v>5400</v>
      </c>
      <c r="B2093" s="475" t="s">
        <v>5401</v>
      </c>
      <c r="C2093" s="475" t="s">
        <v>5408</v>
      </c>
      <c r="D2093" s="475" t="s">
        <v>5409</v>
      </c>
      <c r="E2093" s="476" t="s">
        <v>34</v>
      </c>
      <c r="F2093" s="475" t="s">
        <v>34</v>
      </c>
      <c r="G2093" s="364">
        <v>92475</v>
      </c>
      <c r="H2093" s="475" t="s">
        <v>1781</v>
      </c>
      <c r="I2093" s="475" t="s">
        <v>322</v>
      </c>
      <c r="J2093" s="475" t="s">
        <v>337</v>
      </c>
      <c r="K2093" s="365">
        <v>45.68</v>
      </c>
      <c r="L2093" s="475" t="s">
        <v>141</v>
      </c>
      <c r="M2093" s="473"/>
    </row>
    <row r="2094" spans="1:13" ht="13.5">
      <c r="A2094" s="475" t="s">
        <v>5400</v>
      </c>
      <c r="B2094" s="475" t="s">
        <v>5401</v>
      </c>
      <c r="C2094" s="475" t="s">
        <v>5408</v>
      </c>
      <c r="D2094" s="475" t="s">
        <v>5409</v>
      </c>
      <c r="E2094" s="476" t="s">
        <v>34</v>
      </c>
      <c r="F2094" s="475" t="s">
        <v>34</v>
      </c>
      <c r="G2094" s="364">
        <v>92476</v>
      </c>
      <c r="H2094" s="475" t="s">
        <v>1782</v>
      </c>
      <c r="I2094" s="475" t="s">
        <v>322</v>
      </c>
      <c r="J2094" s="475" t="s">
        <v>337</v>
      </c>
      <c r="K2094" s="365">
        <v>52.64</v>
      </c>
      <c r="L2094" s="475" t="s">
        <v>141</v>
      </c>
      <c r="M2094" s="473"/>
    </row>
    <row r="2095" spans="1:13" ht="13.5">
      <c r="A2095" s="475" t="s">
        <v>5400</v>
      </c>
      <c r="B2095" s="475" t="s">
        <v>5401</v>
      </c>
      <c r="C2095" s="475" t="s">
        <v>5408</v>
      </c>
      <c r="D2095" s="475" t="s">
        <v>5409</v>
      </c>
      <c r="E2095" s="476" t="s">
        <v>34</v>
      </c>
      <c r="F2095" s="475" t="s">
        <v>34</v>
      </c>
      <c r="G2095" s="364">
        <v>92477</v>
      </c>
      <c r="H2095" s="475" t="s">
        <v>1783</v>
      </c>
      <c r="I2095" s="475" t="s">
        <v>322</v>
      </c>
      <c r="J2095" s="475" t="s">
        <v>337</v>
      </c>
      <c r="K2095" s="365">
        <v>57.05</v>
      </c>
      <c r="L2095" s="475" t="s">
        <v>141</v>
      </c>
      <c r="M2095" s="473"/>
    </row>
    <row r="2096" spans="1:13" ht="13.5">
      <c r="A2096" s="475" t="s">
        <v>5400</v>
      </c>
      <c r="B2096" s="475" t="s">
        <v>5401</v>
      </c>
      <c r="C2096" s="475" t="s">
        <v>5408</v>
      </c>
      <c r="D2096" s="475" t="s">
        <v>5409</v>
      </c>
      <c r="E2096" s="476" t="s">
        <v>34</v>
      </c>
      <c r="F2096" s="475" t="s">
        <v>34</v>
      </c>
      <c r="G2096" s="364">
        <v>92478</v>
      </c>
      <c r="H2096" s="475" t="s">
        <v>1784</v>
      </c>
      <c r="I2096" s="475" t="s">
        <v>322</v>
      </c>
      <c r="J2096" s="475" t="s">
        <v>337</v>
      </c>
      <c r="K2096" s="365">
        <v>142.25</v>
      </c>
      <c r="L2096" s="475" t="s">
        <v>141</v>
      </c>
      <c r="M2096" s="473"/>
    </row>
    <row r="2097" spans="1:13" ht="13.5">
      <c r="A2097" s="475" t="s">
        <v>5400</v>
      </c>
      <c r="B2097" s="475" t="s">
        <v>5401</v>
      </c>
      <c r="C2097" s="475" t="s">
        <v>5408</v>
      </c>
      <c r="D2097" s="475" t="s">
        <v>5409</v>
      </c>
      <c r="E2097" s="476" t="s">
        <v>34</v>
      </c>
      <c r="F2097" s="475" t="s">
        <v>34</v>
      </c>
      <c r="G2097" s="364">
        <v>92479</v>
      </c>
      <c r="H2097" s="475" t="s">
        <v>1785</v>
      </c>
      <c r="I2097" s="475" t="s">
        <v>322</v>
      </c>
      <c r="J2097" s="475" t="s">
        <v>337</v>
      </c>
      <c r="K2097" s="365">
        <v>37.6</v>
      </c>
      <c r="L2097" s="475" t="s">
        <v>141</v>
      </c>
      <c r="M2097" s="473"/>
    </row>
    <row r="2098" spans="1:13" ht="13.5">
      <c r="A2098" s="475" t="s">
        <v>5400</v>
      </c>
      <c r="B2098" s="475" t="s">
        <v>5401</v>
      </c>
      <c r="C2098" s="475" t="s">
        <v>5408</v>
      </c>
      <c r="D2098" s="475" t="s">
        <v>5409</v>
      </c>
      <c r="E2098" s="476" t="s">
        <v>34</v>
      </c>
      <c r="F2098" s="475" t="s">
        <v>34</v>
      </c>
      <c r="G2098" s="364">
        <v>92480</v>
      </c>
      <c r="H2098" s="475" t="s">
        <v>1786</v>
      </c>
      <c r="I2098" s="475" t="s">
        <v>322</v>
      </c>
      <c r="J2098" s="475" t="s">
        <v>337</v>
      </c>
      <c r="K2098" s="365">
        <v>46.4</v>
      </c>
      <c r="L2098" s="475" t="s">
        <v>141</v>
      </c>
      <c r="M2098" s="473"/>
    </row>
    <row r="2099" spans="1:13" ht="13.5">
      <c r="A2099" s="475" t="s">
        <v>5400</v>
      </c>
      <c r="B2099" s="475" t="s">
        <v>5401</v>
      </c>
      <c r="C2099" s="475" t="s">
        <v>5408</v>
      </c>
      <c r="D2099" s="475" t="s">
        <v>5409</v>
      </c>
      <c r="E2099" s="476" t="s">
        <v>34</v>
      </c>
      <c r="F2099" s="475" t="s">
        <v>34</v>
      </c>
      <c r="G2099" s="364">
        <v>92481</v>
      </c>
      <c r="H2099" s="475" t="s">
        <v>1787</v>
      </c>
      <c r="I2099" s="475" t="s">
        <v>322</v>
      </c>
      <c r="J2099" s="475" t="s">
        <v>337</v>
      </c>
      <c r="K2099" s="365">
        <v>196.99</v>
      </c>
      <c r="L2099" s="475" t="s">
        <v>141</v>
      </c>
      <c r="M2099" s="473"/>
    </row>
    <row r="2100" spans="1:13" ht="13.5">
      <c r="A2100" s="475" t="s">
        <v>5400</v>
      </c>
      <c r="B2100" s="475" t="s">
        <v>5401</v>
      </c>
      <c r="C2100" s="475" t="s">
        <v>5408</v>
      </c>
      <c r="D2100" s="475" t="s">
        <v>5409</v>
      </c>
      <c r="E2100" s="476" t="s">
        <v>34</v>
      </c>
      <c r="F2100" s="475" t="s">
        <v>34</v>
      </c>
      <c r="G2100" s="364">
        <v>92482</v>
      </c>
      <c r="H2100" s="475" t="s">
        <v>1788</v>
      </c>
      <c r="I2100" s="475" t="s">
        <v>322</v>
      </c>
      <c r="J2100" s="475" t="s">
        <v>337</v>
      </c>
      <c r="K2100" s="365">
        <v>186.7</v>
      </c>
      <c r="L2100" s="475" t="s">
        <v>141</v>
      </c>
      <c r="M2100" s="473"/>
    </row>
    <row r="2101" spans="1:13" ht="13.5">
      <c r="A2101" s="475" t="s">
        <v>5400</v>
      </c>
      <c r="B2101" s="475" t="s">
        <v>5401</v>
      </c>
      <c r="C2101" s="475" t="s">
        <v>5408</v>
      </c>
      <c r="D2101" s="475" t="s">
        <v>5409</v>
      </c>
      <c r="E2101" s="476" t="s">
        <v>34</v>
      </c>
      <c r="F2101" s="475" t="s">
        <v>34</v>
      </c>
      <c r="G2101" s="364">
        <v>92483</v>
      </c>
      <c r="H2101" s="475" t="s">
        <v>1789</v>
      </c>
      <c r="I2101" s="475" t="s">
        <v>322</v>
      </c>
      <c r="J2101" s="475" t="s">
        <v>337</v>
      </c>
      <c r="K2101" s="365">
        <v>147.07</v>
      </c>
      <c r="L2101" s="475" t="s">
        <v>141</v>
      </c>
      <c r="M2101" s="473"/>
    </row>
    <row r="2102" spans="1:13" ht="13.5">
      <c r="A2102" s="475" t="s">
        <v>5400</v>
      </c>
      <c r="B2102" s="475" t="s">
        <v>5401</v>
      </c>
      <c r="C2102" s="475" t="s">
        <v>5408</v>
      </c>
      <c r="D2102" s="475" t="s">
        <v>5409</v>
      </c>
      <c r="E2102" s="476" t="s">
        <v>34</v>
      </c>
      <c r="F2102" s="475" t="s">
        <v>34</v>
      </c>
      <c r="G2102" s="364">
        <v>92484</v>
      </c>
      <c r="H2102" s="475" t="s">
        <v>1790</v>
      </c>
      <c r="I2102" s="475" t="s">
        <v>322</v>
      </c>
      <c r="J2102" s="475" t="s">
        <v>337</v>
      </c>
      <c r="K2102" s="365">
        <v>137.97</v>
      </c>
      <c r="L2102" s="475" t="s">
        <v>141</v>
      </c>
      <c r="M2102" s="473"/>
    </row>
    <row r="2103" spans="1:13" ht="13.5">
      <c r="A2103" s="475" t="s">
        <v>5400</v>
      </c>
      <c r="B2103" s="475" t="s">
        <v>5401</v>
      </c>
      <c r="C2103" s="475" t="s">
        <v>5408</v>
      </c>
      <c r="D2103" s="475" t="s">
        <v>5409</v>
      </c>
      <c r="E2103" s="476" t="s">
        <v>34</v>
      </c>
      <c r="F2103" s="475" t="s">
        <v>34</v>
      </c>
      <c r="G2103" s="364">
        <v>92485</v>
      </c>
      <c r="H2103" s="475" t="s">
        <v>1791</v>
      </c>
      <c r="I2103" s="475" t="s">
        <v>322</v>
      </c>
      <c r="J2103" s="475" t="s">
        <v>337</v>
      </c>
      <c r="K2103" s="365">
        <v>104.18</v>
      </c>
      <c r="L2103" s="475" t="s">
        <v>141</v>
      </c>
      <c r="M2103" s="473"/>
    </row>
    <row r="2104" spans="1:13" ht="13.5">
      <c r="A2104" s="475" t="s">
        <v>5400</v>
      </c>
      <c r="B2104" s="475" t="s">
        <v>5401</v>
      </c>
      <c r="C2104" s="475" t="s">
        <v>5408</v>
      </c>
      <c r="D2104" s="475" t="s">
        <v>5409</v>
      </c>
      <c r="E2104" s="476" t="s">
        <v>34</v>
      </c>
      <c r="F2104" s="475" t="s">
        <v>34</v>
      </c>
      <c r="G2104" s="364">
        <v>92486</v>
      </c>
      <c r="H2104" s="475" t="s">
        <v>1792</v>
      </c>
      <c r="I2104" s="475" t="s">
        <v>322</v>
      </c>
      <c r="J2104" s="475" t="s">
        <v>337</v>
      </c>
      <c r="K2104" s="365">
        <v>97.2</v>
      </c>
      <c r="L2104" s="475" t="s">
        <v>141</v>
      </c>
      <c r="M2104" s="473"/>
    </row>
    <row r="2105" spans="1:13" ht="13.5">
      <c r="A2105" s="475" t="s">
        <v>5400</v>
      </c>
      <c r="B2105" s="475" t="s">
        <v>5401</v>
      </c>
      <c r="C2105" s="475" t="s">
        <v>5408</v>
      </c>
      <c r="D2105" s="475" t="s">
        <v>5409</v>
      </c>
      <c r="E2105" s="476" t="s">
        <v>34</v>
      </c>
      <c r="F2105" s="475" t="s">
        <v>34</v>
      </c>
      <c r="G2105" s="364">
        <v>92487</v>
      </c>
      <c r="H2105" s="475" t="s">
        <v>1793</v>
      </c>
      <c r="I2105" s="475" t="s">
        <v>322</v>
      </c>
      <c r="J2105" s="475" t="s">
        <v>140</v>
      </c>
      <c r="K2105" s="365">
        <v>64.27</v>
      </c>
      <c r="L2105" s="475" t="s">
        <v>141</v>
      </c>
      <c r="M2105" s="473"/>
    </row>
    <row r="2106" spans="1:13" ht="13.5">
      <c r="A2106" s="475" t="s">
        <v>5400</v>
      </c>
      <c r="B2106" s="475" t="s">
        <v>5401</v>
      </c>
      <c r="C2106" s="475" t="s">
        <v>5408</v>
      </c>
      <c r="D2106" s="475" t="s">
        <v>5409</v>
      </c>
      <c r="E2106" s="476" t="s">
        <v>34</v>
      </c>
      <c r="F2106" s="475" t="s">
        <v>34</v>
      </c>
      <c r="G2106" s="364">
        <v>92488</v>
      </c>
      <c r="H2106" s="475" t="s">
        <v>1794</v>
      </c>
      <c r="I2106" s="475" t="s">
        <v>322</v>
      </c>
      <c r="J2106" s="475" t="s">
        <v>140</v>
      </c>
      <c r="K2106" s="365">
        <v>61.85</v>
      </c>
      <c r="L2106" s="475" t="s">
        <v>141</v>
      </c>
      <c r="M2106" s="473"/>
    </row>
    <row r="2107" spans="1:13" ht="13.5">
      <c r="A2107" s="475" t="s">
        <v>5400</v>
      </c>
      <c r="B2107" s="475" t="s">
        <v>5401</v>
      </c>
      <c r="C2107" s="475" t="s">
        <v>5408</v>
      </c>
      <c r="D2107" s="475" t="s">
        <v>5409</v>
      </c>
      <c r="E2107" s="476" t="s">
        <v>34</v>
      </c>
      <c r="F2107" s="475" t="s">
        <v>34</v>
      </c>
      <c r="G2107" s="364">
        <v>92489</v>
      </c>
      <c r="H2107" s="475" t="s">
        <v>1795</v>
      </c>
      <c r="I2107" s="475" t="s">
        <v>322</v>
      </c>
      <c r="J2107" s="475" t="s">
        <v>140</v>
      </c>
      <c r="K2107" s="365">
        <v>37.700000000000003</v>
      </c>
      <c r="L2107" s="475" t="s">
        <v>141</v>
      </c>
      <c r="M2107" s="473"/>
    </row>
    <row r="2108" spans="1:13" ht="13.5">
      <c r="A2108" s="475" t="s">
        <v>5400</v>
      </c>
      <c r="B2108" s="475" t="s">
        <v>5401</v>
      </c>
      <c r="C2108" s="475" t="s">
        <v>5408</v>
      </c>
      <c r="D2108" s="475" t="s">
        <v>5409</v>
      </c>
      <c r="E2108" s="476" t="s">
        <v>34</v>
      </c>
      <c r="F2108" s="475" t="s">
        <v>34</v>
      </c>
      <c r="G2108" s="364">
        <v>92490</v>
      </c>
      <c r="H2108" s="475" t="s">
        <v>1796</v>
      </c>
      <c r="I2108" s="475" t="s">
        <v>322</v>
      </c>
      <c r="J2108" s="475" t="s">
        <v>140</v>
      </c>
      <c r="K2108" s="365">
        <v>35.5</v>
      </c>
      <c r="L2108" s="475" t="s">
        <v>141</v>
      </c>
      <c r="M2108" s="473"/>
    </row>
    <row r="2109" spans="1:13" ht="13.5">
      <c r="A2109" s="475" t="s">
        <v>5400</v>
      </c>
      <c r="B2109" s="475" t="s">
        <v>5401</v>
      </c>
      <c r="C2109" s="475" t="s">
        <v>5408</v>
      </c>
      <c r="D2109" s="475" t="s">
        <v>5409</v>
      </c>
      <c r="E2109" s="476" t="s">
        <v>34</v>
      </c>
      <c r="F2109" s="475" t="s">
        <v>34</v>
      </c>
      <c r="G2109" s="364">
        <v>92491</v>
      </c>
      <c r="H2109" s="475" t="s">
        <v>1797</v>
      </c>
      <c r="I2109" s="475" t="s">
        <v>322</v>
      </c>
      <c r="J2109" s="475" t="s">
        <v>140</v>
      </c>
      <c r="K2109" s="365">
        <v>61.9</v>
      </c>
      <c r="L2109" s="475" t="s">
        <v>141</v>
      </c>
      <c r="M2109" s="473"/>
    </row>
    <row r="2110" spans="1:13" ht="13.5">
      <c r="A2110" s="475" t="s">
        <v>5400</v>
      </c>
      <c r="B2110" s="475" t="s">
        <v>5401</v>
      </c>
      <c r="C2110" s="475" t="s">
        <v>5408</v>
      </c>
      <c r="D2110" s="475" t="s">
        <v>5409</v>
      </c>
      <c r="E2110" s="476" t="s">
        <v>34</v>
      </c>
      <c r="F2110" s="475" t="s">
        <v>34</v>
      </c>
      <c r="G2110" s="364">
        <v>92492</v>
      </c>
      <c r="H2110" s="475" t="s">
        <v>1798</v>
      </c>
      <c r="I2110" s="475" t="s">
        <v>322</v>
      </c>
      <c r="J2110" s="475" t="s">
        <v>140</v>
      </c>
      <c r="K2110" s="365">
        <v>59.61</v>
      </c>
      <c r="L2110" s="475" t="s">
        <v>141</v>
      </c>
      <c r="M2110" s="473"/>
    </row>
    <row r="2111" spans="1:13" ht="13.5">
      <c r="A2111" s="475" t="s">
        <v>5400</v>
      </c>
      <c r="B2111" s="475" t="s">
        <v>5401</v>
      </c>
      <c r="C2111" s="475" t="s">
        <v>5408</v>
      </c>
      <c r="D2111" s="475" t="s">
        <v>5409</v>
      </c>
      <c r="E2111" s="476" t="s">
        <v>34</v>
      </c>
      <c r="F2111" s="475" t="s">
        <v>34</v>
      </c>
      <c r="G2111" s="364">
        <v>92493</v>
      </c>
      <c r="H2111" s="475" t="s">
        <v>1799</v>
      </c>
      <c r="I2111" s="475" t="s">
        <v>322</v>
      </c>
      <c r="J2111" s="475" t="s">
        <v>140</v>
      </c>
      <c r="K2111" s="365">
        <v>33.82</v>
      </c>
      <c r="L2111" s="475" t="s">
        <v>141</v>
      </c>
      <c r="M2111" s="473"/>
    </row>
    <row r="2112" spans="1:13" ht="13.5">
      <c r="A2112" s="475" t="s">
        <v>5400</v>
      </c>
      <c r="B2112" s="475" t="s">
        <v>5401</v>
      </c>
      <c r="C2112" s="475" t="s">
        <v>5408</v>
      </c>
      <c r="D2112" s="475" t="s">
        <v>5409</v>
      </c>
      <c r="E2112" s="476" t="s">
        <v>34</v>
      </c>
      <c r="F2112" s="475" t="s">
        <v>34</v>
      </c>
      <c r="G2112" s="364">
        <v>92494</v>
      </c>
      <c r="H2112" s="475" t="s">
        <v>1800</v>
      </c>
      <c r="I2112" s="475" t="s">
        <v>322</v>
      </c>
      <c r="J2112" s="475" t="s">
        <v>140</v>
      </c>
      <c r="K2112" s="365">
        <v>33.6</v>
      </c>
      <c r="L2112" s="475" t="s">
        <v>141</v>
      </c>
      <c r="M2112" s="473"/>
    </row>
    <row r="2113" spans="1:13" ht="13.5">
      <c r="A2113" s="475" t="s">
        <v>5400</v>
      </c>
      <c r="B2113" s="475" t="s">
        <v>5401</v>
      </c>
      <c r="C2113" s="475" t="s">
        <v>5408</v>
      </c>
      <c r="D2113" s="475" t="s">
        <v>5409</v>
      </c>
      <c r="E2113" s="476" t="s">
        <v>34</v>
      </c>
      <c r="F2113" s="475" t="s">
        <v>34</v>
      </c>
      <c r="G2113" s="364">
        <v>92495</v>
      </c>
      <c r="H2113" s="475" t="s">
        <v>1801</v>
      </c>
      <c r="I2113" s="475" t="s">
        <v>322</v>
      </c>
      <c r="J2113" s="475" t="s">
        <v>140</v>
      </c>
      <c r="K2113" s="365">
        <v>60.28</v>
      </c>
      <c r="L2113" s="475" t="s">
        <v>141</v>
      </c>
      <c r="M2113" s="473"/>
    </row>
    <row r="2114" spans="1:13" ht="13.5">
      <c r="A2114" s="475" t="s">
        <v>5400</v>
      </c>
      <c r="B2114" s="475" t="s">
        <v>5401</v>
      </c>
      <c r="C2114" s="475" t="s">
        <v>5408</v>
      </c>
      <c r="D2114" s="475" t="s">
        <v>5409</v>
      </c>
      <c r="E2114" s="476" t="s">
        <v>34</v>
      </c>
      <c r="F2114" s="475" t="s">
        <v>34</v>
      </c>
      <c r="G2114" s="364">
        <v>92496</v>
      </c>
      <c r="H2114" s="475" t="s">
        <v>1802</v>
      </c>
      <c r="I2114" s="475" t="s">
        <v>322</v>
      </c>
      <c r="J2114" s="475" t="s">
        <v>140</v>
      </c>
      <c r="K2114" s="365">
        <v>58.08</v>
      </c>
      <c r="L2114" s="475" t="s">
        <v>141</v>
      </c>
      <c r="M2114" s="473"/>
    </row>
    <row r="2115" spans="1:13" ht="13.5">
      <c r="A2115" s="475" t="s">
        <v>5400</v>
      </c>
      <c r="B2115" s="475" t="s">
        <v>5401</v>
      </c>
      <c r="C2115" s="475" t="s">
        <v>5408</v>
      </c>
      <c r="D2115" s="475" t="s">
        <v>5409</v>
      </c>
      <c r="E2115" s="476" t="s">
        <v>34</v>
      </c>
      <c r="F2115" s="475" t="s">
        <v>34</v>
      </c>
      <c r="G2115" s="364">
        <v>92497</v>
      </c>
      <c r="H2115" s="475" t="s">
        <v>1803</v>
      </c>
      <c r="I2115" s="475" t="s">
        <v>322</v>
      </c>
      <c r="J2115" s="475" t="s">
        <v>140</v>
      </c>
      <c r="K2115" s="365">
        <v>34.380000000000003</v>
      </c>
      <c r="L2115" s="475" t="s">
        <v>141</v>
      </c>
      <c r="M2115" s="473"/>
    </row>
    <row r="2116" spans="1:13" ht="13.5">
      <c r="A2116" s="475" t="s">
        <v>5400</v>
      </c>
      <c r="B2116" s="475" t="s">
        <v>5401</v>
      </c>
      <c r="C2116" s="475" t="s">
        <v>5408</v>
      </c>
      <c r="D2116" s="475" t="s">
        <v>5409</v>
      </c>
      <c r="E2116" s="476" t="s">
        <v>34</v>
      </c>
      <c r="F2116" s="475" t="s">
        <v>34</v>
      </c>
      <c r="G2116" s="364">
        <v>92498</v>
      </c>
      <c r="H2116" s="475" t="s">
        <v>1804</v>
      </c>
      <c r="I2116" s="475" t="s">
        <v>322</v>
      </c>
      <c r="J2116" s="475" t="s">
        <v>140</v>
      </c>
      <c r="K2116" s="365">
        <v>32.32</v>
      </c>
      <c r="L2116" s="475" t="s">
        <v>141</v>
      </c>
      <c r="M2116" s="473"/>
    </row>
    <row r="2117" spans="1:13" ht="13.5">
      <c r="A2117" s="475" t="s">
        <v>5400</v>
      </c>
      <c r="B2117" s="475" t="s">
        <v>5401</v>
      </c>
      <c r="C2117" s="475" t="s">
        <v>5408</v>
      </c>
      <c r="D2117" s="475" t="s">
        <v>5409</v>
      </c>
      <c r="E2117" s="476" t="s">
        <v>34</v>
      </c>
      <c r="F2117" s="475" t="s">
        <v>34</v>
      </c>
      <c r="G2117" s="364">
        <v>92499</v>
      </c>
      <c r="H2117" s="475" t="s">
        <v>1805</v>
      </c>
      <c r="I2117" s="475" t="s">
        <v>322</v>
      </c>
      <c r="J2117" s="475" t="s">
        <v>140</v>
      </c>
      <c r="K2117" s="365">
        <v>59.32</v>
      </c>
      <c r="L2117" s="475" t="s">
        <v>141</v>
      </c>
      <c r="M2117" s="473"/>
    </row>
    <row r="2118" spans="1:13" ht="13.5">
      <c r="A2118" s="475" t="s">
        <v>5400</v>
      </c>
      <c r="B2118" s="475" t="s">
        <v>5401</v>
      </c>
      <c r="C2118" s="475" t="s">
        <v>5408</v>
      </c>
      <c r="D2118" s="475" t="s">
        <v>5409</v>
      </c>
      <c r="E2118" s="476" t="s">
        <v>34</v>
      </c>
      <c r="F2118" s="475" t="s">
        <v>34</v>
      </c>
      <c r="G2118" s="364">
        <v>92500</v>
      </c>
      <c r="H2118" s="475" t="s">
        <v>1806</v>
      </c>
      <c r="I2118" s="475" t="s">
        <v>322</v>
      </c>
      <c r="J2118" s="475" t="s">
        <v>140</v>
      </c>
      <c r="K2118" s="365">
        <v>57.18</v>
      </c>
      <c r="L2118" s="475" t="s">
        <v>141</v>
      </c>
      <c r="M2118" s="473"/>
    </row>
    <row r="2119" spans="1:13" ht="13.5">
      <c r="A2119" s="475" t="s">
        <v>5400</v>
      </c>
      <c r="B2119" s="475" t="s">
        <v>5401</v>
      </c>
      <c r="C2119" s="475" t="s">
        <v>5408</v>
      </c>
      <c r="D2119" s="475" t="s">
        <v>5409</v>
      </c>
      <c r="E2119" s="476" t="s">
        <v>34</v>
      </c>
      <c r="F2119" s="475" t="s">
        <v>34</v>
      </c>
      <c r="G2119" s="364">
        <v>92501</v>
      </c>
      <c r="H2119" s="475" t="s">
        <v>1807</v>
      </c>
      <c r="I2119" s="475" t="s">
        <v>322</v>
      </c>
      <c r="J2119" s="475" t="s">
        <v>140</v>
      </c>
      <c r="K2119" s="365">
        <v>33.58</v>
      </c>
      <c r="L2119" s="475" t="s">
        <v>141</v>
      </c>
      <c r="M2119" s="473"/>
    </row>
    <row r="2120" spans="1:13" ht="13.5">
      <c r="A2120" s="475" t="s">
        <v>5400</v>
      </c>
      <c r="B2120" s="475" t="s">
        <v>5401</v>
      </c>
      <c r="C2120" s="475" t="s">
        <v>5408</v>
      </c>
      <c r="D2120" s="475" t="s">
        <v>5409</v>
      </c>
      <c r="E2120" s="476" t="s">
        <v>34</v>
      </c>
      <c r="F2120" s="475" t="s">
        <v>34</v>
      </c>
      <c r="G2120" s="364">
        <v>92502</v>
      </c>
      <c r="H2120" s="475" t="s">
        <v>1808</v>
      </c>
      <c r="I2120" s="475" t="s">
        <v>322</v>
      </c>
      <c r="J2120" s="475" t="s">
        <v>140</v>
      </c>
      <c r="K2120" s="365">
        <v>31.58</v>
      </c>
      <c r="L2120" s="475" t="s">
        <v>141</v>
      </c>
      <c r="M2120" s="473"/>
    </row>
    <row r="2121" spans="1:13" ht="13.5">
      <c r="A2121" s="475" t="s">
        <v>5400</v>
      </c>
      <c r="B2121" s="475" t="s">
        <v>5401</v>
      </c>
      <c r="C2121" s="475" t="s">
        <v>5408</v>
      </c>
      <c r="D2121" s="475" t="s">
        <v>5409</v>
      </c>
      <c r="E2121" s="476" t="s">
        <v>34</v>
      </c>
      <c r="F2121" s="475" t="s">
        <v>34</v>
      </c>
      <c r="G2121" s="364">
        <v>92503</v>
      </c>
      <c r="H2121" s="475" t="s">
        <v>1809</v>
      </c>
      <c r="I2121" s="475" t="s">
        <v>322</v>
      </c>
      <c r="J2121" s="475" t="s">
        <v>140</v>
      </c>
      <c r="K2121" s="365">
        <v>57.78</v>
      </c>
      <c r="L2121" s="475" t="s">
        <v>141</v>
      </c>
      <c r="M2121" s="473"/>
    </row>
    <row r="2122" spans="1:13" ht="13.5">
      <c r="A2122" s="475" t="s">
        <v>5400</v>
      </c>
      <c r="B2122" s="475" t="s">
        <v>5401</v>
      </c>
      <c r="C2122" s="475" t="s">
        <v>5408</v>
      </c>
      <c r="D2122" s="475" t="s">
        <v>5409</v>
      </c>
      <c r="E2122" s="476" t="s">
        <v>34</v>
      </c>
      <c r="F2122" s="475" t="s">
        <v>34</v>
      </c>
      <c r="G2122" s="364">
        <v>92504</v>
      </c>
      <c r="H2122" s="475" t="s">
        <v>1810</v>
      </c>
      <c r="I2122" s="475" t="s">
        <v>322</v>
      </c>
      <c r="J2122" s="475" t="s">
        <v>140</v>
      </c>
      <c r="K2122" s="365">
        <v>36.869999999999997</v>
      </c>
      <c r="L2122" s="475" t="s">
        <v>141</v>
      </c>
      <c r="M2122" s="473"/>
    </row>
    <row r="2123" spans="1:13" ht="13.5">
      <c r="A2123" s="475" t="s">
        <v>5400</v>
      </c>
      <c r="B2123" s="475" t="s">
        <v>5401</v>
      </c>
      <c r="C2123" s="475" t="s">
        <v>5408</v>
      </c>
      <c r="D2123" s="475" t="s">
        <v>5409</v>
      </c>
      <c r="E2123" s="476" t="s">
        <v>34</v>
      </c>
      <c r="F2123" s="475" t="s">
        <v>34</v>
      </c>
      <c r="G2123" s="364">
        <v>92505</v>
      </c>
      <c r="H2123" s="475" t="s">
        <v>1811</v>
      </c>
      <c r="I2123" s="475" t="s">
        <v>322</v>
      </c>
      <c r="J2123" s="475" t="s">
        <v>140</v>
      </c>
      <c r="K2123" s="365">
        <v>32.270000000000003</v>
      </c>
      <c r="L2123" s="475" t="s">
        <v>141</v>
      </c>
      <c r="M2123" s="473"/>
    </row>
    <row r="2124" spans="1:13" ht="13.5">
      <c r="A2124" s="475" t="s">
        <v>5400</v>
      </c>
      <c r="B2124" s="475" t="s">
        <v>5401</v>
      </c>
      <c r="C2124" s="475" t="s">
        <v>5408</v>
      </c>
      <c r="D2124" s="475" t="s">
        <v>5409</v>
      </c>
      <c r="E2124" s="476" t="s">
        <v>34</v>
      </c>
      <c r="F2124" s="475" t="s">
        <v>34</v>
      </c>
      <c r="G2124" s="364">
        <v>92506</v>
      </c>
      <c r="H2124" s="475" t="s">
        <v>1812</v>
      </c>
      <c r="I2124" s="475" t="s">
        <v>322</v>
      </c>
      <c r="J2124" s="475" t="s">
        <v>140</v>
      </c>
      <c r="K2124" s="365">
        <v>30.35</v>
      </c>
      <c r="L2124" s="475" t="s">
        <v>141</v>
      </c>
      <c r="M2124" s="473"/>
    </row>
    <row r="2125" spans="1:13" ht="13.5">
      <c r="A2125" s="475" t="s">
        <v>5400</v>
      </c>
      <c r="B2125" s="475" t="s">
        <v>5401</v>
      </c>
      <c r="C2125" s="475" t="s">
        <v>5408</v>
      </c>
      <c r="D2125" s="475" t="s">
        <v>5409</v>
      </c>
      <c r="E2125" s="476" t="s">
        <v>34</v>
      </c>
      <c r="F2125" s="475" t="s">
        <v>34</v>
      </c>
      <c r="G2125" s="364">
        <v>92507</v>
      </c>
      <c r="H2125" s="475" t="s">
        <v>1813</v>
      </c>
      <c r="I2125" s="475" t="s">
        <v>322</v>
      </c>
      <c r="J2125" s="475" t="s">
        <v>140</v>
      </c>
      <c r="K2125" s="365">
        <v>59.01</v>
      </c>
      <c r="L2125" s="475" t="s">
        <v>141</v>
      </c>
      <c r="M2125" s="473"/>
    </row>
    <row r="2126" spans="1:13" ht="13.5">
      <c r="A2126" s="475" t="s">
        <v>5400</v>
      </c>
      <c r="B2126" s="475" t="s">
        <v>5401</v>
      </c>
      <c r="C2126" s="475" t="s">
        <v>5408</v>
      </c>
      <c r="D2126" s="475" t="s">
        <v>5409</v>
      </c>
      <c r="E2126" s="476" t="s">
        <v>34</v>
      </c>
      <c r="F2126" s="475" t="s">
        <v>34</v>
      </c>
      <c r="G2126" s="364">
        <v>92508</v>
      </c>
      <c r="H2126" s="475" t="s">
        <v>1814</v>
      </c>
      <c r="I2126" s="475" t="s">
        <v>322</v>
      </c>
      <c r="J2126" s="475" t="s">
        <v>140</v>
      </c>
      <c r="K2126" s="365">
        <v>57.09</v>
      </c>
      <c r="L2126" s="475" t="s">
        <v>141</v>
      </c>
      <c r="M2126" s="473"/>
    </row>
    <row r="2127" spans="1:13" ht="13.5">
      <c r="A2127" s="475" t="s">
        <v>5400</v>
      </c>
      <c r="B2127" s="475" t="s">
        <v>5401</v>
      </c>
      <c r="C2127" s="475" t="s">
        <v>5408</v>
      </c>
      <c r="D2127" s="475" t="s">
        <v>5409</v>
      </c>
      <c r="E2127" s="476" t="s">
        <v>34</v>
      </c>
      <c r="F2127" s="475" t="s">
        <v>34</v>
      </c>
      <c r="G2127" s="364">
        <v>92509</v>
      </c>
      <c r="H2127" s="475" t="s">
        <v>1815</v>
      </c>
      <c r="I2127" s="475" t="s">
        <v>322</v>
      </c>
      <c r="J2127" s="475" t="s">
        <v>140</v>
      </c>
      <c r="K2127" s="365">
        <v>34.65</v>
      </c>
      <c r="L2127" s="475" t="s">
        <v>141</v>
      </c>
      <c r="M2127" s="473"/>
    </row>
    <row r="2128" spans="1:13" ht="13.5">
      <c r="A2128" s="475" t="s">
        <v>5400</v>
      </c>
      <c r="B2128" s="475" t="s">
        <v>5401</v>
      </c>
      <c r="C2128" s="475" t="s">
        <v>5408</v>
      </c>
      <c r="D2128" s="475" t="s">
        <v>5409</v>
      </c>
      <c r="E2128" s="476" t="s">
        <v>34</v>
      </c>
      <c r="F2128" s="475" t="s">
        <v>34</v>
      </c>
      <c r="G2128" s="364">
        <v>92510</v>
      </c>
      <c r="H2128" s="475" t="s">
        <v>1816</v>
      </c>
      <c r="I2128" s="475" t="s">
        <v>322</v>
      </c>
      <c r="J2128" s="475" t="s">
        <v>140</v>
      </c>
      <c r="K2128" s="365">
        <v>32.880000000000003</v>
      </c>
      <c r="L2128" s="475" t="s">
        <v>141</v>
      </c>
      <c r="M2128" s="473"/>
    </row>
    <row r="2129" spans="1:13" ht="13.5">
      <c r="A2129" s="475" t="s">
        <v>5400</v>
      </c>
      <c r="B2129" s="475" t="s">
        <v>5401</v>
      </c>
      <c r="C2129" s="475" t="s">
        <v>5408</v>
      </c>
      <c r="D2129" s="475" t="s">
        <v>5409</v>
      </c>
      <c r="E2129" s="476" t="s">
        <v>34</v>
      </c>
      <c r="F2129" s="475" t="s">
        <v>34</v>
      </c>
      <c r="G2129" s="364">
        <v>92511</v>
      </c>
      <c r="H2129" s="475" t="s">
        <v>1817</v>
      </c>
      <c r="I2129" s="475" t="s">
        <v>322</v>
      </c>
      <c r="J2129" s="475" t="s">
        <v>140</v>
      </c>
      <c r="K2129" s="365">
        <v>52.95</v>
      </c>
      <c r="L2129" s="475" t="s">
        <v>141</v>
      </c>
      <c r="M2129" s="473"/>
    </row>
    <row r="2130" spans="1:13" ht="13.5">
      <c r="A2130" s="475" t="s">
        <v>5400</v>
      </c>
      <c r="B2130" s="475" t="s">
        <v>5401</v>
      </c>
      <c r="C2130" s="475" t="s">
        <v>5408</v>
      </c>
      <c r="D2130" s="475" t="s">
        <v>5409</v>
      </c>
      <c r="E2130" s="476" t="s">
        <v>34</v>
      </c>
      <c r="F2130" s="475" t="s">
        <v>34</v>
      </c>
      <c r="G2130" s="364">
        <v>92512</v>
      </c>
      <c r="H2130" s="475" t="s">
        <v>1818</v>
      </c>
      <c r="I2130" s="475" t="s">
        <v>322</v>
      </c>
      <c r="J2130" s="475" t="s">
        <v>140</v>
      </c>
      <c r="K2130" s="365">
        <v>51.47</v>
      </c>
      <c r="L2130" s="475" t="s">
        <v>141</v>
      </c>
      <c r="M2130" s="473"/>
    </row>
    <row r="2131" spans="1:13" ht="13.5">
      <c r="A2131" s="475" t="s">
        <v>5400</v>
      </c>
      <c r="B2131" s="475" t="s">
        <v>5401</v>
      </c>
      <c r="C2131" s="475" t="s">
        <v>5408</v>
      </c>
      <c r="D2131" s="475" t="s">
        <v>5409</v>
      </c>
      <c r="E2131" s="476" t="s">
        <v>34</v>
      </c>
      <c r="F2131" s="475" t="s">
        <v>34</v>
      </c>
      <c r="G2131" s="364">
        <v>92513</v>
      </c>
      <c r="H2131" s="475" t="s">
        <v>1819</v>
      </c>
      <c r="I2131" s="475" t="s">
        <v>322</v>
      </c>
      <c r="J2131" s="475" t="s">
        <v>140</v>
      </c>
      <c r="K2131" s="365">
        <v>25.55</v>
      </c>
      <c r="L2131" s="475" t="s">
        <v>141</v>
      </c>
      <c r="M2131" s="473"/>
    </row>
    <row r="2132" spans="1:13" ht="13.5">
      <c r="A2132" s="475" t="s">
        <v>5400</v>
      </c>
      <c r="B2132" s="475" t="s">
        <v>5401</v>
      </c>
      <c r="C2132" s="475" t="s">
        <v>5408</v>
      </c>
      <c r="D2132" s="475" t="s">
        <v>5409</v>
      </c>
      <c r="E2132" s="476" t="s">
        <v>34</v>
      </c>
      <c r="F2132" s="475" t="s">
        <v>34</v>
      </c>
      <c r="G2132" s="364">
        <v>92514</v>
      </c>
      <c r="H2132" s="475" t="s">
        <v>1820</v>
      </c>
      <c r="I2132" s="475" t="s">
        <v>322</v>
      </c>
      <c r="J2132" s="475" t="s">
        <v>140</v>
      </c>
      <c r="K2132" s="365">
        <v>24.18</v>
      </c>
      <c r="L2132" s="475" t="s">
        <v>141</v>
      </c>
      <c r="M2132" s="473"/>
    </row>
    <row r="2133" spans="1:13" ht="13.5">
      <c r="A2133" s="475" t="s">
        <v>5400</v>
      </c>
      <c r="B2133" s="475" t="s">
        <v>5401</v>
      </c>
      <c r="C2133" s="475" t="s">
        <v>5408</v>
      </c>
      <c r="D2133" s="475" t="s">
        <v>5409</v>
      </c>
      <c r="E2133" s="476" t="s">
        <v>34</v>
      </c>
      <c r="F2133" s="475" t="s">
        <v>34</v>
      </c>
      <c r="G2133" s="364">
        <v>92515</v>
      </c>
      <c r="H2133" s="475" t="s">
        <v>1821</v>
      </c>
      <c r="I2133" s="475" t="s">
        <v>322</v>
      </c>
      <c r="J2133" s="475" t="s">
        <v>140</v>
      </c>
      <c r="K2133" s="365">
        <v>47.57</v>
      </c>
      <c r="L2133" s="475" t="s">
        <v>141</v>
      </c>
      <c r="M2133" s="473"/>
    </row>
    <row r="2134" spans="1:13" ht="13.5">
      <c r="A2134" s="475" t="s">
        <v>5400</v>
      </c>
      <c r="B2134" s="475" t="s">
        <v>5401</v>
      </c>
      <c r="C2134" s="475" t="s">
        <v>5408</v>
      </c>
      <c r="D2134" s="475" t="s">
        <v>5409</v>
      </c>
      <c r="E2134" s="476" t="s">
        <v>34</v>
      </c>
      <c r="F2134" s="475" t="s">
        <v>34</v>
      </c>
      <c r="G2134" s="364">
        <v>92516</v>
      </c>
      <c r="H2134" s="475" t="s">
        <v>1822</v>
      </c>
      <c r="I2134" s="475" t="s">
        <v>322</v>
      </c>
      <c r="J2134" s="475" t="s">
        <v>140</v>
      </c>
      <c r="K2134" s="365">
        <v>46.3</v>
      </c>
      <c r="L2134" s="475" t="s">
        <v>141</v>
      </c>
      <c r="M2134" s="473"/>
    </row>
    <row r="2135" spans="1:13" ht="13.5">
      <c r="A2135" s="475" t="s">
        <v>5400</v>
      </c>
      <c r="B2135" s="475" t="s">
        <v>5401</v>
      </c>
      <c r="C2135" s="475" t="s">
        <v>5408</v>
      </c>
      <c r="D2135" s="475" t="s">
        <v>5409</v>
      </c>
      <c r="E2135" s="476" t="s">
        <v>34</v>
      </c>
      <c r="F2135" s="475" t="s">
        <v>34</v>
      </c>
      <c r="G2135" s="364">
        <v>92517</v>
      </c>
      <c r="H2135" s="475" t="s">
        <v>1823</v>
      </c>
      <c r="I2135" s="475" t="s">
        <v>322</v>
      </c>
      <c r="J2135" s="475" t="s">
        <v>140</v>
      </c>
      <c r="K2135" s="365">
        <v>21.31</v>
      </c>
      <c r="L2135" s="475" t="s">
        <v>141</v>
      </c>
      <c r="M2135" s="473"/>
    </row>
    <row r="2136" spans="1:13" ht="13.5">
      <c r="A2136" s="475" t="s">
        <v>5400</v>
      </c>
      <c r="B2136" s="475" t="s">
        <v>5401</v>
      </c>
      <c r="C2136" s="475" t="s">
        <v>5408</v>
      </c>
      <c r="D2136" s="475" t="s">
        <v>5409</v>
      </c>
      <c r="E2136" s="476" t="s">
        <v>34</v>
      </c>
      <c r="F2136" s="475" t="s">
        <v>34</v>
      </c>
      <c r="G2136" s="364">
        <v>92518</v>
      </c>
      <c r="H2136" s="475" t="s">
        <v>1824</v>
      </c>
      <c r="I2136" s="475" t="s">
        <v>322</v>
      </c>
      <c r="J2136" s="475" t="s">
        <v>140</v>
      </c>
      <c r="K2136" s="365">
        <v>20.12</v>
      </c>
      <c r="L2136" s="475" t="s">
        <v>141</v>
      </c>
      <c r="M2136" s="473"/>
    </row>
    <row r="2137" spans="1:13" ht="13.5">
      <c r="A2137" s="475" t="s">
        <v>5400</v>
      </c>
      <c r="B2137" s="475" t="s">
        <v>5401</v>
      </c>
      <c r="C2137" s="475" t="s">
        <v>5408</v>
      </c>
      <c r="D2137" s="475" t="s">
        <v>5409</v>
      </c>
      <c r="E2137" s="476" t="s">
        <v>34</v>
      </c>
      <c r="F2137" s="475" t="s">
        <v>34</v>
      </c>
      <c r="G2137" s="364">
        <v>92519</v>
      </c>
      <c r="H2137" s="475" t="s">
        <v>1825</v>
      </c>
      <c r="I2137" s="475" t="s">
        <v>322</v>
      </c>
      <c r="J2137" s="475" t="s">
        <v>140</v>
      </c>
      <c r="K2137" s="365">
        <v>44.82</v>
      </c>
      <c r="L2137" s="475" t="s">
        <v>141</v>
      </c>
      <c r="M2137" s="473"/>
    </row>
    <row r="2138" spans="1:13" ht="13.5">
      <c r="A2138" s="475" t="s">
        <v>5400</v>
      </c>
      <c r="B2138" s="475" t="s">
        <v>5401</v>
      </c>
      <c r="C2138" s="475" t="s">
        <v>5408</v>
      </c>
      <c r="D2138" s="475" t="s">
        <v>5409</v>
      </c>
      <c r="E2138" s="476" t="s">
        <v>34</v>
      </c>
      <c r="F2138" s="475" t="s">
        <v>34</v>
      </c>
      <c r="G2138" s="364">
        <v>92520</v>
      </c>
      <c r="H2138" s="475" t="s">
        <v>1826</v>
      </c>
      <c r="I2138" s="475" t="s">
        <v>322</v>
      </c>
      <c r="J2138" s="475" t="s">
        <v>140</v>
      </c>
      <c r="K2138" s="365">
        <v>43.65</v>
      </c>
      <c r="L2138" s="475" t="s">
        <v>141</v>
      </c>
      <c r="M2138" s="473"/>
    </row>
    <row r="2139" spans="1:13" ht="13.5">
      <c r="A2139" s="475" t="s">
        <v>5400</v>
      </c>
      <c r="B2139" s="475" t="s">
        <v>5401</v>
      </c>
      <c r="C2139" s="475" t="s">
        <v>5408</v>
      </c>
      <c r="D2139" s="475" t="s">
        <v>5409</v>
      </c>
      <c r="E2139" s="476" t="s">
        <v>34</v>
      </c>
      <c r="F2139" s="475" t="s">
        <v>34</v>
      </c>
      <c r="G2139" s="364">
        <v>92521</v>
      </c>
      <c r="H2139" s="475" t="s">
        <v>1827</v>
      </c>
      <c r="I2139" s="475" t="s">
        <v>322</v>
      </c>
      <c r="J2139" s="475" t="s">
        <v>140</v>
      </c>
      <c r="K2139" s="365">
        <v>19.14</v>
      </c>
      <c r="L2139" s="475" t="s">
        <v>141</v>
      </c>
      <c r="M2139" s="473"/>
    </row>
    <row r="2140" spans="1:13" ht="13.5">
      <c r="A2140" s="475" t="s">
        <v>5400</v>
      </c>
      <c r="B2140" s="475" t="s">
        <v>5401</v>
      </c>
      <c r="C2140" s="475" t="s">
        <v>5408</v>
      </c>
      <c r="D2140" s="475" t="s">
        <v>5409</v>
      </c>
      <c r="E2140" s="476" t="s">
        <v>34</v>
      </c>
      <c r="F2140" s="475" t="s">
        <v>34</v>
      </c>
      <c r="G2140" s="364">
        <v>92522</v>
      </c>
      <c r="H2140" s="475" t="s">
        <v>1828</v>
      </c>
      <c r="I2140" s="475" t="s">
        <v>322</v>
      </c>
      <c r="J2140" s="475" t="s">
        <v>140</v>
      </c>
      <c r="K2140" s="365">
        <v>18.03</v>
      </c>
      <c r="L2140" s="475" t="s">
        <v>141</v>
      </c>
      <c r="M2140" s="473"/>
    </row>
    <row r="2141" spans="1:13" ht="13.5">
      <c r="A2141" s="475" t="s">
        <v>5400</v>
      </c>
      <c r="B2141" s="475" t="s">
        <v>5401</v>
      </c>
      <c r="C2141" s="475" t="s">
        <v>5408</v>
      </c>
      <c r="D2141" s="475" t="s">
        <v>5409</v>
      </c>
      <c r="E2141" s="476" t="s">
        <v>34</v>
      </c>
      <c r="F2141" s="475" t="s">
        <v>34</v>
      </c>
      <c r="G2141" s="364">
        <v>92523</v>
      </c>
      <c r="H2141" s="475" t="s">
        <v>1829</v>
      </c>
      <c r="I2141" s="475" t="s">
        <v>322</v>
      </c>
      <c r="J2141" s="475" t="s">
        <v>140</v>
      </c>
      <c r="K2141" s="365">
        <v>44.25</v>
      </c>
      <c r="L2141" s="475" t="s">
        <v>141</v>
      </c>
      <c r="M2141" s="473"/>
    </row>
    <row r="2142" spans="1:13" ht="13.5">
      <c r="A2142" s="475" t="s">
        <v>5400</v>
      </c>
      <c r="B2142" s="475" t="s">
        <v>5401</v>
      </c>
      <c r="C2142" s="475" t="s">
        <v>5408</v>
      </c>
      <c r="D2142" s="475" t="s">
        <v>5409</v>
      </c>
      <c r="E2142" s="476" t="s">
        <v>34</v>
      </c>
      <c r="F2142" s="475" t="s">
        <v>34</v>
      </c>
      <c r="G2142" s="364">
        <v>92524</v>
      </c>
      <c r="H2142" s="475" t="s">
        <v>1830</v>
      </c>
      <c r="I2142" s="475" t="s">
        <v>322</v>
      </c>
      <c r="J2142" s="475" t="s">
        <v>140</v>
      </c>
      <c r="K2142" s="365">
        <v>43.12</v>
      </c>
      <c r="L2142" s="475" t="s">
        <v>141</v>
      </c>
      <c r="M2142" s="473"/>
    </row>
    <row r="2143" spans="1:13" ht="13.5">
      <c r="A2143" s="475" t="s">
        <v>5400</v>
      </c>
      <c r="B2143" s="475" t="s">
        <v>5401</v>
      </c>
      <c r="C2143" s="475" t="s">
        <v>5408</v>
      </c>
      <c r="D2143" s="475" t="s">
        <v>5409</v>
      </c>
      <c r="E2143" s="476" t="s">
        <v>34</v>
      </c>
      <c r="F2143" s="475" t="s">
        <v>34</v>
      </c>
      <c r="G2143" s="364">
        <v>92525</v>
      </c>
      <c r="H2143" s="475" t="s">
        <v>1831</v>
      </c>
      <c r="I2143" s="475" t="s">
        <v>322</v>
      </c>
      <c r="J2143" s="475" t="s">
        <v>140</v>
      </c>
      <c r="K2143" s="365">
        <v>18.91</v>
      </c>
      <c r="L2143" s="475" t="s">
        <v>141</v>
      </c>
      <c r="M2143" s="473"/>
    </row>
    <row r="2144" spans="1:13" ht="13.5">
      <c r="A2144" s="475" t="s">
        <v>5400</v>
      </c>
      <c r="B2144" s="475" t="s">
        <v>5401</v>
      </c>
      <c r="C2144" s="475" t="s">
        <v>5408</v>
      </c>
      <c r="D2144" s="475" t="s">
        <v>5409</v>
      </c>
      <c r="E2144" s="476" t="s">
        <v>34</v>
      </c>
      <c r="F2144" s="475" t="s">
        <v>34</v>
      </c>
      <c r="G2144" s="364">
        <v>92526</v>
      </c>
      <c r="H2144" s="475" t="s">
        <v>1832</v>
      </c>
      <c r="I2144" s="475" t="s">
        <v>322</v>
      </c>
      <c r="J2144" s="475" t="s">
        <v>140</v>
      </c>
      <c r="K2144" s="365">
        <v>17.850000000000001</v>
      </c>
      <c r="L2144" s="475" t="s">
        <v>141</v>
      </c>
      <c r="M2144" s="473"/>
    </row>
    <row r="2145" spans="1:13" ht="13.5">
      <c r="A2145" s="475" t="s">
        <v>5400</v>
      </c>
      <c r="B2145" s="475" t="s">
        <v>5401</v>
      </c>
      <c r="C2145" s="475" t="s">
        <v>5408</v>
      </c>
      <c r="D2145" s="475" t="s">
        <v>5409</v>
      </c>
      <c r="E2145" s="476" t="s">
        <v>34</v>
      </c>
      <c r="F2145" s="475" t="s">
        <v>34</v>
      </c>
      <c r="G2145" s="364">
        <v>92527</v>
      </c>
      <c r="H2145" s="475" t="s">
        <v>1833</v>
      </c>
      <c r="I2145" s="475" t="s">
        <v>322</v>
      </c>
      <c r="J2145" s="475" t="s">
        <v>140</v>
      </c>
      <c r="K2145" s="365">
        <v>43.12</v>
      </c>
      <c r="L2145" s="475" t="s">
        <v>141</v>
      </c>
      <c r="M2145" s="473"/>
    </row>
    <row r="2146" spans="1:13" ht="13.5">
      <c r="A2146" s="475" t="s">
        <v>5400</v>
      </c>
      <c r="B2146" s="475" t="s">
        <v>5401</v>
      </c>
      <c r="C2146" s="475" t="s">
        <v>5408</v>
      </c>
      <c r="D2146" s="475" t="s">
        <v>5409</v>
      </c>
      <c r="E2146" s="476" t="s">
        <v>34</v>
      </c>
      <c r="F2146" s="475" t="s">
        <v>34</v>
      </c>
      <c r="G2146" s="364">
        <v>92528</v>
      </c>
      <c r="H2146" s="475" t="s">
        <v>1834</v>
      </c>
      <c r="I2146" s="475" t="s">
        <v>322</v>
      </c>
      <c r="J2146" s="475" t="s">
        <v>140</v>
      </c>
      <c r="K2146" s="365">
        <v>42.04</v>
      </c>
      <c r="L2146" s="475" t="s">
        <v>141</v>
      </c>
      <c r="M2146" s="473"/>
    </row>
    <row r="2147" spans="1:13" ht="13.5">
      <c r="A2147" s="475" t="s">
        <v>5400</v>
      </c>
      <c r="B2147" s="475" t="s">
        <v>5401</v>
      </c>
      <c r="C2147" s="475" t="s">
        <v>5408</v>
      </c>
      <c r="D2147" s="475" t="s">
        <v>5409</v>
      </c>
      <c r="E2147" s="476" t="s">
        <v>34</v>
      </c>
      <c r="F2147" s="475" t="s">
        <v>34</v>
      </c>
      <c r="G2147" s="364">
        <v>92529</v>
      </c>
      <c r="H2147" s="475" t="s">
        <v>1835</v>
      </c>
      <c r="I2147" s="475" t="s">
        <v>322</v>
      </c>
      <c r="J2147" s="475" t="s">
        <v>140</v>
      </c>
      <c r="K2147" s="365">
        <v>17.989999999999998</v>
      </c>
      <c r="L2147" s="475" t="s">
        <v>141</v>
      </c>
      <c r="M2147" s="473"/>
    </row>
    <row r="2148" spans="1:13" ht="13.5">
      <c r="A2148" s="475" t="s">
        <v>5400</v>
      </c>
      <c r="B2148" s="475" t="s">
        <v>5401</v>
      </c>
      <c r="C2148" s="475" t="s">
        <v>5408</v>
      </c>
      <c r="D2148" s="475" t="s">
        <v>5409</v>
      </c>
      <c r="E2148" s="476" t="s">
        <v>34</v>
      </c>
      <c r="F2148" s="475" t="s">
        <v>34</v>
      </c>
      <c r="G2148" s="364">
        <v>92530</v>
      </c>
      <c r="H2148" s="475" t="s">
        <v>1836</v>
      </c>
      <c r="I2148" s="475" t="s">
        <v>322</v>
      </c>
      <c r="J2148" s="475" t="s">
        <v>140</v>
      </c>
      <c r="K2148" s="365">
        <v>16.97</v>
      </c>
      <c r="L2148" s="475" t="s">
        <v>141</v>
      </c>
      <c r="M2148" s="473"/>
    </row>
    <row r="2149" spans="1:13" ht="13.5">
      <c r="A2149" s="475" t="s">
        <v>5400</v>
      </c>
      <c r="B2149" s="475" t="s">
        <v>5401</v>
      </c>
      <c r="C2149" s="475" t="s">
        <v>5408</v>
      </c>
      <c r="D2149" s="475" t="s">
        <v>5409</v>
      </c>
      <c r="E2149" s="476" t="s">
        <v>34</v>
      </c>
      <c r="F2149" s="475" t="s">
        <v>34</v>
      </c>
      <c r="G2149" s="364">
        <v>92531</v>
      </c>
      <c r="H2149" s="475" t="s">
        <v>1837</v>
      </c>
      <c r="I2149" s="475" t="s">
        <v>322</v>
      </c>
      <c r="J2149" s="475" t="s">
        <v>140</v>
      </c>
      <c r="K2149" s="365">
        <v>42.27</v>
      </c>
      <c r="L2149" s="475" t="s">
        <v>141</v>
      </c>
      <c r="M2149" s="473"/>
    </row>
    <row r="2150" spans="1:13" ht="13.5">
      <c r="A2150" s="475" t="s">
        <v>5400</v>
      </c>
      <c r="B2150" s="475" t="s">
        <v>5401</v>
      </c>
      <c r="C2150" s="475" t="s">
        <v>5408</v>
      </c>
      <c r="D2150" s="475" t="s">
        <v>5409</v>
      </c>
      <c r="E2150" s="476" t="s">
        <v>34</v>
      </c>
      <c r="F2150" s="475" t="s">
        <v>34</v>
      </c>
      <c r="G2150" s="364">
        <v>92532</v>
      </c>
      <c r="H2150" s="475" t="s">
        <v>1838</v>
      </c>
      <c r="I2150" s="475" t="s">
        <v>322</v>
      </c>
      <c r="J2150" s="475" t="s">
        <v>140</v>
      </c>
      <c r="K2150" s="365">
        <v>41.21</v>
      </c>
      <c r="L2150" s="475" t="s">
        <v>141</v>
      </c>
      <c r="M2150" s="473"/>
    </row>
    <row r="2151" spans="1:13" ht="13.5">
      <c r="A2151" s="475" t="s">
        <v>5400</v>
      </c>
      <c r="B2151" s="475" t="s">
        <v>5401</v>
      </c>
      <c r="C2151" s="475" t="s">
        <v>5408</v>
      </c>
      <c r="D2151" s="475" t="s">
        <v>5409</v>
      </c>
      <c r="E2151" s="476" t="s">
        <v>34</v>
      </c>
      <c r="F2151" s="475" t="s">
        <v>34</v>
      </c>
      <c r="G2151" s="364">
        <v>92533</v>
      </c>
      <c r="H2151" s="475" t="s">
        <v>1839</v>
      </c>
      <c r="I2151" s="475" t="s">
        <v>322</v>
      </c>
      <c r="J2151" s="475" t="s">
        <v>140</v>
      </c>
      <c r="K2151" s="365">
        <v>17.309999999999999</v>
      </c>
      <c r="L2151" s="475" t="s">
        <v>141</v>
      </c>
      <c r="M2151" s="473"/>
    </row>
    <row r="2152" spans="1:13" ht="13.5">
      <c r="A2152" s="475" t="s">
        <v>5400</v>
      </c>
      <c r="B2152" s="475" t="s">
        <v>5401</v>
      </c>
      <c r="C2152" s="475" t="s">
        <v>5408</v>
      </c>
      <c r="D2152" s="475" t="s">
        <v>5409</v>
      </c>
      <c r="E2152" s="476" t="s">
        <v>34</v>
      </c>
      <c r="F2152" s="475" t="s">
        <v>34</v>
      </c>
      <c r="G2152" s="364">
        <v>92534</v>
      </c>
      <c r="H2152" s="475" t="s">
        <v>1840</v>
      </c>
      <c r="I2152" s="475" t="s">
        <v>322</v>
      </c>
      <c r="J2152" s="475" t="s">
        <v>140</v>
      </c>
      <c r="K2152" s="365">
        <v>16.34</v>
      </c>
      <c r="L2152" s="475" t="s">
        <v>141</v>
      </c>
      <c r="M2152" s="473"/>
    </row>
    <row r="2153" spans="1:13" ht="13.5">
      <c r="A2153" s="475" t="s">
        <v>5400</v>
      </c>
      <c r="B2153" s="475" t="s">
        <v>5401</v>
      </c>
      <c r="C2153" s="475" t="s">
        <v>5408</v>
      </c>
      <c r="D2153" s="475" t="s">
        <v>5409</v>
      </c>
      <c r="E2153" s="476" t="s">
        <v>34</v>
      </c>
      <c r="F2153" s="475" t="s">
        <v>34</v>
      </c>
      <c r="G2153" s="364">
        <v>92535</v>
      </c>
      <c r="H2153" s="475" t="s">
        <v>1841</v>
      </c>
      <c r="I2153" s="475" t="s">
        <v>322</v>
      </c>
      <c r="J2153" s="475" t="s">
        <v>140</v>
      </c>
      <c r="K2153" s="365">
        <v>40.770000000000003</v>
      </c>
      <c r="L2153" s="475" t="s">
        <v>141</v>
      </c>
      <c r="M2153" s="473"/>
    </row>
    <row r="2154" spans="1:13" ht="13.5">
      <c r="A2154" s="475" t="s">
        <v>5400</v>
      </c>
      <c r="B2154" s="475" t="s">
        <v>5401</v>
      </c>
      <c r="C2154" s="475" t="s">
        <v>5408</v>
      </c>
      <c r="D2154" s="475" t="s">
        <v>5409</v>
      </c>
      <c r="E2154" s="476" t="s">
        <v>34</v>
      </c>
      <c r="F2154" s="475" t="s">
        <v>34</v>
      </c>
      <c r="G2154" s="364">
        <v>92536</v>
      </c>
      <c r="H2154" s="475" t="s">
        <v>1842</v>
      </c>
      <c r="I2154" s="475" t="s">
        <v>322</v>
      </c>
      <c r="J2154" s="475" t="s">
        <v>140</v>
      </c>
      <c r="K2154" s="365">
        <v>39.74</v>
      </c>
      <c r="L2154" s="475" t="s">
        <v>141</v>
      </c>
      <c r="M2154" s="473"/>
    </row>
    <row r="2155" spans="1:13" ht="13.5">
      <c r="A2155" s="475" t="s">
        <v>5400</v>
      </c>
      <c r="B2155" s="475" t="s">
        <v>5401</v>
      </c>
      <c r="C2155" s="475" t="s">
        <v>5408</v>
      </c>
      <c r="D2155" s="475" t="s">
        <v>5409</v>
      </c>
      <c r="E2155" s="476" t="s">
        <v>34</v>
      </c>
      <c r="F2155" s="475" t="s">
        <v>34</v>
      </c>
      <c r="G2155" s="364">
        <v>92537</v>
      </c>
      <c r="H2155" s="475" t="s">
        <v>1843</v>
      </c>
      <c r="I2155" s="475" t="s">
        <v>322</v>
      </c>
      <c r="J2155" s="475" t="s">
        <v>140</v>
      </c>
      <c r="K2155" s="365">
        <v>16.010000000000002</v>
      </c>
      <c r="L2155" s="475" t="s">
        <v>141</v>
      </c>
      <c r="M2155" s="473"/>
    </row>
    <row r="2156" spans="1:13" ht="13.5">
      <c r="A2156" s="475" t="s">
        <v>5400</v>
      </c>
      <c r="B2156" s="475" t="s">
        <v>5401</v>
      </c>
      <c r="C2156" s="475" t="s">
        <v>5408</v>
      </c>
      <c r="D2156" s="475" t="s">
        <v>5409</v>
      </c>
      <c r="E2156" s="476" t="s">
        <v>34</v>
      </c>
      <c r="F2156" s="475" t="s">
        <v>34</v>
      </c>
      <c r="G2156" s="364">
        <v>92538</v>
      </c>
      <c r="H2156" s="475" t="s">
        <v>1844</v>
      </c>
      <c r="I2156" s="475" t="s">
        <v>322</v>
      </c>
      <c r="J2156" s="475" t="s">
        <v>140</v>
      </c>
      <c r="K2156" s="365">
        <v>15.05</v>
      </c>
      <c r="L2156" s="475" t="s">
        <v>141</v>
      </c>
      <c r="M2156" s="473"/>
    </row>
    <row r="2157" spans="1:13" ht="13.5">
      <c r="A2157" s="475" t="s">
        <v>5400</v>
      </c>
      <c r="B2157" s="475" t="s">
        <v>5401</v>
      </c>
      <c r="C2157" s="475" t="s">
        <v>5408</v>
      </c>
      <c r="D2157" s="475" t="s">
        <v>5409</v>
      </c>
      <c r="E2157" s="476" t="s">
        <v>34</v>
      </c>
      <c r="F2157" s="475" t="s">
        <v>34</v>
      </c>
      <c r="G2157" s="364">
        <v>95934</v>
      </c>
      <c r="H2157" s="475" t="s">
        <v>1845</v>
      </c>
      <c r="I2157" s="475" t="s">
        <v>322</v>
      </c>
      <c r="J2157" s="475" t="s">
        <v>337</v>
      </c>
      <c r="K2157" s="365">
        <v>102.09</v>
      </c>
      <c r="L2157" s="475" t="s">
        <v>141</v>
      </c>
      <c r="M2157" s="473"/>
    </row>
    <row r="2158" spans="1:13" ht="13.5">
      <c r="A2158" s="475" t="s">
        <v>5400</v>
      </c>
      <c r="B2158" s="475" t="s">
        <v>5401</v>
      </c>
      <c r="C2158" s="475" t="s">
        <v>5408</v>
      </c>
      <c r="D2158" s="475" t="s">
        <v>5409</v>
      </c>
      <c r="E2158" s="476" t="s">
        <v>34</v>
      </c>
      <c r="F2158" s="475" t="s">
        <v>34</v>
      </c>
      <c r="G2158" s="364">
        <v>95935</v>
      </c>
      <c r="H2158" s="475" t="s">
        <v>1846</v>
      </c>
      <c r="I2158" s="475" t="s">
        <v>322</v>
      </c>
      <c r="J2158" s="475" t="s">
        <v>337</v>
      </c>
      <c r="K2158" s="365">
        <v>84.4</v>
      </c>
      <c r="L2158" s="475" t="s">
        <v>141</v>
      </c>
      <c r="M2158" s="473"/>
    </row>
    <row r="2159" spans="1:13" ht="13.5">
      <c r="A2159" s="475" t="s">
        <v>5400</v>
      </c>
      <c r="B2159" s="475" t="s">
        <v>5401</v>
      </c>
      <c r="C2159" s="475" t="s">
        <v>5408</v>
      </c>
      <c r="D2159" s="475" t="s">
        <v>5409</v>
      </c>
      <c r="E2159" s="476" t="s">
        <v>34</v>
      </c>
      <c r="F2159" s="475" t="s">
        <v>34</v>
      </c>
      <c r="G2159" s="364">
        <v>95936</v>
      </c>
      <c r="H2159" s="475" t="s">
        <v>1847</v>
      </c>
      <c r="I2159" s="475" t="s">
        <v>322</v>
      </c>
      <c r="J2159" s="475" t="s">
        <v>337</v>
      </c>
      <c r="K2159" s="365">
        <v>122.27</v>
      </c>
      <c r="L2159" s="475" t="s">
        <v>141</v>
      </c>
      <c r="M2159" s="473"/>
    </row>
    <row r="2160" spans="1:13" ht="13.5">
      <c r="A2160" s="475" t="s">
        <v>5400</v>
      </c>
      <c r="B2160" s="475" t="s">
        <v>5401</v>
      </c>
      <c r="C2160" s="475" t="s">
        <v>5408</v>
      </c>
      <c r="D2160" s="475" t="s">
        <v>5409</v>
      </c>
      <c r="E2160" s="476" t="s">
        <v>34</v>
      </c>
      <c r="F2160" s="475" t="s">
        <v>34</v>
      </c>
      <c r="G2160" s="364">
        <v>95937</v>
      </c>
      <c r="H2160" s="475" t="s">
        <v>1848</v>
      </c>
      <c r="I2160" s="475" t="s">
        <v>322</v>
      </c>
      <c r="J2160" s="475" t="s">
        <v>337</v>
      </c>
      <c r="K2160" s="365">
        <v>264.05</v>
      </c>
      <c r="L2160" s="475" t="s">
        <v>141</v>
      </c>
      <c r="M2160" s="473"/>
    </row>
    <row r="2161" spans="1:13" ht="13.5">
      <c r="A2161" s="475" t="s">
        <v>5400</v>
      </c>
      <c r="B2161" s="475" t="s">
        <v>5401</v>
      </c>
      <c r="C2161" s="475" t="s">
        <v>5408</v>
      </c>
      <c r="D2161" s="475" t="s">
        <v>5409</v>
      </c>
      <c r="E2161" s="476" t="s">
        <v>34</v>
      </c>
      <c r="F2161" s="475" t="s">
        <v>34</v>
      </c>
      <c r="G2161" s="364">
        <v>95938</v>
      </c>
      <c r="H2161" s="475" t="s">
        <v>1849</v>
      </c>
      <c r="I2161" s="475" t="s">
        <v>322</v>
      </c>
      <c r="J2161" s="475" t="s">
        <v>337</v>
      </c>
      <c r="K2161" s="365">
        <v>221.45</v>
      </c>
      <c r="L2161" s="475" t="s">
        <v>141</v>
      </c>
      <c r="M2161" s="473"/>
    </row>
    <row r="2162" spans="1:13" ht="13.5">
      <c r="A2162" s="475" t="s">
        <v>5400</v>
      </c>
      <c r="B2162" s="475" t="s">
        <v>5401</v>
      </c>
      <c r="C2162" s="475" t="s">
        <v>5408</v>
      </c>
      <c r="D2162" s="475" t="s">
        <v>5409</v>
      </c>
      <c r="E2162" s="476" t="s">
        <v>34</v>
      </c>
      <c r="F2162" s="475" t="s">
        <v>34</v>
      </c>
      <c r="G2162" s="364">
        <v>95939</v>
      </c>
      <c r="H2162" s="475" t="s">
        <v>1850</v>
      </c>
      <c r="I2162" s="475" t="s">
        <v>322</v>
      </c>
      <c r="J2162" s="475" t="s">
        <v>337</v>
      </c>
      <c r="K2162" s="365">
        <v>139.06</v>
      </c>
      <c r="L2162" s="475" t="s">
        <v>141</v>
      </c>
      <c r="M2162" s="473"/>
    </row>
    <row r="2163" spans="1:13" ht="13.5">
      <c r="A2163" s="475" t="s">
        <v>5400</v>
      </c>
      <c r="B2163" s="475" t="s">
        <v>5401</v>
      </c>
      <c r="C2163" s="475" t="s">
        <v>5408</v>
      </c>
      <c r="D2163" s="475" t="s">
        <v>5409</v>
      </c>
      <c r="E2163" s="476" t="s">
        <v>34</v>
      </c>
      <c r="F2163" s="475" t="s">
        <v>34</v>
      </c>
      <c r="G2163" s="364">
        <v>95940</v>
      </c>
      <c r="H2163" s="475" t="s">
        <v>1851</v>
      </c>
      <c r="I2163" s="475" t="s">
        <v>322</v>
      </c>
      <c r="J2163" s="475" t="s">
        <v>337</v>
      </c>
      <c r="K2163" s="365">
        <v>114.8</v>
      </c>
      <c r="L2163" s="475" t="s">
        <v>141</v>
      </c>
      <c r="M2163" s="473"/>
    </row>
    <row r="2164" spans="1:13" ht="13.5">
      <c r="A2164" s="475" t="s">
        <v>5400</v>
      </c>
      <c r="B2164" s="475" t="s">
        <v>5401</v>
      </c>
      <c r="C2164" s="475" t="s">
        <v>5408</v>
      </c>
      <c r="D2164" s="475" t="s">
        <v>5409</v>
      </c>
      <c r="E2164" s="476" t="s">
        <v>34</v>
      </c>
      <c r="F2164" s="475" t="s">
        <v>34</v>
      </c>
      <c r="G2164" s="364">
        <v>95941</v>
      </c>
      <c r="H2164" s="475" t="s">
        <v>1852</v>
      </c>
      <c r="I2164" s="475" t="s">
        <v>322</v>
      </c>
      <c r="J2164" s="475" t="s">
        <v>337</v>
      </c>
      <c r="K2164" s="365">
        <v>101.52</v>
      </c>
      <c r="L2164" s="475" t="s">
        <v>141</v>
      </c>
      <c r="M2164" s="473"/>
    </row>
    <row r="2165" spans="1:13" ht="13.5">
      <c r="A2165" s="475" t="s">
        <v>5400</v>
      </c>
      <c r="B2165" s="475" t="s">
        <v>5401</v>
      </c>
      <c r="C2165" s="475" t="s">
        <v>5408</v>
      </c>
      <c r="D2165" s="475" t="s">
        <v>5409</v>
      </c>
      <c r="E2165" s="476" t="s">
        <v>34</v>
      </c>
      <c r="F2165" s="475" t="s">
        <v>34</v>
      </c>
      <c r="G2165" s="364">
        <v>95942</v>
      </c>
      <c r="H2165" s="475" t="s">
        <v>1853</v>
      </c>
      <c r="I2165" s="475" t="s">
        <v>322</v>
      </c>
      <c r="J2165" s="475" t="s">
        <v>337</v>
      </c>
      <c r="K2165" s="365">
        <v>93.25</v>
      </c>
      <c r="L2165" s="475" t="s">
        <v>141</v>
      </c>
      <c r="M2165" s="473"/>
    </row>
    <row r="2166" spans="1:13" ht="13.5">
      <c r="A2166" s="475" t="s">
        <v>5400</v>
      </c>
      <c r="B2166" s="475" t="s">
        <v>5401</v>
      </c>
      <c r="C2166" s="475" t="s">
        <v>5408</v>
      </c>
      <c r="D2166" s="475" t="s">
        <v>5409</v>
      </c>
      <c r="E2166" s="476" t="s">
        <v>34</v>
      </c>
      <c r="F2166" s="475" t="s">
        <v>34</v>
      </c>
      <c r="G2166" s="364">
        <v>96252</v>
      </c>
      <c r="H2166" s="475" t="s">
        <v>1854</v>
      </c>
      <c r="I2166" s="475" t="s">
        <v>322</v>
      </c>
      <c r="J2166" s="475" t="s">
        <v>337</v>
      </c>
      <c r="K2166" s="365">
        <v>148.54</v>
      </c>
      <c r="L2166" s="475" t="s">
        <v>141</v>
      </c>
      <c r="M2166" s="473"/>
    </row>
    <row r="2167" spans="1:13" ht="13.5">
      <c r="A2167" s="475" t="s">
        <v>5400</v>
      </c>
      <c r="B2167" s="475" t="s">
        <v>5401</v>
      </c>
      <c r="C2167" s="475" t="s">
        <v>5408</v>
      </c>
      <c r="D2167" s="475" t="s">
        <v>5409</v>
      </c>
      <c r="E2167" s="476" t="s">
        <v>34</v>
      </c>
      <c r="F2167" s="475" t="s">
        <v>34</v>
      </c>
      <c r="G2167" s="364">
        <v>96257</v>
      </c>
      <c r="H2167" s="475" t="s">
        <v>1855</v>
      </c>
      <c r="I2167" s="475" t="s">
        <v>322</v>
      </c>
      <c r="J2167" s="475" t="s">
        <v>337</v>
      </c>
      <c r="K2167" s="365">
        <v>127.86</v>
      </c>
      <c r="L2167" s="475" t="s">
        <v>141</v>
      </c>
      <c r="M2167" s="473"/>
    </row>
    <row r="2168" spans="1:13" ht="13.5">
      <c r="A2168" s="475" t="s">
        <v>5400</v>
      </c>
      <c r="B2168" s="475" t="s">
        <v>5401</v>
      </c>
      <c r="C2168" s="475" t="s">
        <v>5408</v>
      </c>
      <c r="D2168" s="475" t="s">
        <v>5409</v>
      </c>
      <c r="E2168" s="476" t="s">
        <v>34</v>
      </c>
      <c r="F2168" s="475" t="s">
        <v>34</v>
      </c>
      <c r="G2168" s="364">
        <v>96258</v>
      </c>
      <c r="H2168" s="475" t="s">
        <v>1856</v>
      </c>
      <c r="I2168" s="475" t="s">
        <v>322</v>
      </c>
      <c r="J2168" s="475" t="s">
        <v>337</v>
      </c>
      <c r="K2168" s="365">
        <v>119.51</v>
      </c>
      <c r="L2168" s="475" t="s">
        <v>141</v>
      </c>
      <c r="M2168" s="473"/>
    </row>
    <row r="2169" spans="1:13" ht="13.5">
      <c r="A2169" s="475" t="s">
        <v>5400</v>
      </c>
      <c r="B2169" s="475" t="s">
        <v>5401</v>
      </c>
      <c r="C2169" s="475" t="s">
        <v>5408</v>
      </c>
      <c r="D2169" s="475" t="s">
        <v>5409</v>
      </c>
      <c r="E2169" s="476" t="s">
        <v>34</v>
      </c>
      <c r="F2169" s="475" t="s">
        <v>34</v>
      </c>
      <c r="G2169" s="364">
        <v>96259</v>
      </c>
      <c r="H2169" s="475" t="s">
        <v>1857</v>
      </c>
      <c r="I2169" s="475" t="s">
        <v>322</v>
      </c>
      <c r="J2169" s="475" t="s">
        <v>337</v>
      </c>
      <c r="K2169" s="365">
        <v>145.21</v>
      </c>
      <c r="L2169" s="475" t="s">
        <v>141</v>
      </c>
      <c r="M2169" s="473"/>
    </row>
    <row r="2170" spans="1:13" ht="13.5">
      <c r="A2170" s="475" t="s">
        <v>5400</v>
      </c>
      <c r="B2170" s="475" t="s">
        <v>5401</v>
      </c>
      <c r="C2170" s="475" t="s">
        <v>5408</v>
      </c>
      <c r="D2170" s="475" t="s">
        <v>5409</v>
      </c>
      <c r="E2170" s="476" t="s">
        <v>34</v>
      </c>
      <c r="F2170" s="475" t="s">
        <v>34</v>
      </c>
      <c r="G2170" s="364">
        <v>96529</v>
      </c>
      <c r="H2170" s="475" t="s">
        <v>1858</v>
      </c>
      <c r="I2170" s="475" t="s">
        <v>322</v>
      </c>
      <c r="J2170" s="475" t="s">
        <v>337</v>
      </c>
      <c r="K2170" s="365">
        <v>209.49</v>
      </c>
      <c r="L2170" s="475" t="s">
        <v>141</v>
      </c>
      <c r="M2170" s="473"/>
    </row>
    <row r="2171" spans="1:13" ht="13.5">
      <c r="A2171" s="475" t="s">
        <v>5400</v>
      </c>
      <c r="B2171" s="475" t="s">
        <v>5401</v>
      </c>
      <c r="C2171" s="475" t="s">
        <v>5408</v>
      </c>
      <c r="D2171" s="475" t="s">
        <v>5409</v>
      </c>
      <c r="E2171" s="476" t="s">
        <v>34</v>
      </c>
      <c r="F2171" s="475" t="s">
        <v>34</v>
      </c>
      <c r="G2171" s="364">
        <v>96530</v>
      </c>
      <c r="H2171" s="475" t="s">
        <v>1859</v>
      </c>
      <c r="I2171" s="475" t="s">
        <v>322</v>
      </c>
      <c r="J2171" s="475" t="s">
        <v>337</v>
      </c>
      <c r="K2171" s="365">
        <v>109.18</v>
      </c>
      <c r="L2171" s="475" t="s">
        <v>141</v>
      </c>
      <c r="M2171" s="473"/>
    </row>
    <row r="2172" spans="1:13" ht="13.5">
      <c r="A2172" s="475" t="s">
        <v>5400</v>
      </c>
      <c r="B2172" s="475" t="s">
        <v>5401</v>
      </c>
      <c r="C2172" s="475" t="s">
        <v>5408</v>
      </c>
      <c r="D2172" s="475" t="s">
        <v>5409</v>
      </c>
      <c r="E2172" s="476" t="s">
        <v>34</v>
      </c>
      <c r="F2172" s="475" t="s">
        <v>34</v>
      </c>
      <c r="G2172" s="364">
        <v>96531</v>
      </c>
      <c r="H2172" s="475" t="s">
        <v>1860</v>
      </c>
      <c r="I2172" s="475" t="s">
        <v>322</v>
      </c>
      <c r="J2172" s="475" t="s">
        <v>337</v>
      </c>
      <c r="K2172" s="365">
        <v>79.06</v>
      </c>
      <c r="L2172" s="475" t="s">
        <v>141</v>
      </c>
      <c r="M2172" s="473"/>
    </row>
    <row r="2173" spans="1:13" ht="13.5">
      <c r="A2173" s="475" t="s">
        <v>5400</v>
      </c>
      <c r="B2173" s="475" t="s">
        <v>5401</v>
      </c>
      <c r="C2173" s="475" t="s">
        <v>5408</v>
      </c>
      <c r="D2173" s="475" t="s">
        <v>5409</v>
      </c>
      <c r="E2173" s="476" t="s">
        <v>34</v>
      </c>
      <c r="F2173" s="475" t="s">
        <v>34</v>
      </c>
      <c r="G2173" s="364">
        <v>96532</v>
      </c>
      <c r="H2173" s="475" t="s">
        <v>1861</v>
      </c>
      <c r="I2173" s="475" t="s">
        <v>322</v>
      </c>
      <c r="J2173" s="475" t="s">
        <v>337</v>
      </c>
      <c r="K2173" s="365">
        <v>136.51</v>
      </c>
      <c r="L2173" s="475" t="s">
        <v>141</v>
      </c>
      <c r="M2173" s="473"/>
    </row>
    <row r="2174" spans="1:13" ht="13.5">
      <c r="A2174" s="475" t="s">
        <v>5400</v>
      </c>
      <c r="B2174" s="475" t="s">
        <v>5401</v>
      </c>
      <c r="C2174" s="475" t="s">
        <v>5408</v>
      </c>
      <c r="D2174" s="475" t="s">
        <v>5409</v>
      </c>
      <c r="E2174" s="476" t="s">
        <v>34</v>
      </c>
      <c r="F2174" s="475" t="s">
        <v>34</v>
      </c>
      <c r="G2174" s="364">
        <v>96533</v>
      </c>
      <c r="H2174" s="475" t="s">
        <v>1862</v>
      </c>
      <c r="I2174" s="475" t="s">
        <v>322</v>
      </c>
      <c r="J2174" s="475" t="s">
        <v>337</v>
      </c>
      <c r="K2174" s="365">
        <v>69.47</v>
      </c>
      <c r="L2174" s="475" t="s">
        <v>141</v>
      </c>
      <c r="M2174" s="473"/>
    </row>
    <row r="2175" spans="1:13" ht="13.5">
      <c r="A2175" s="475" t="s">
        <v>5400</v>
      </c>
      <c r="B2175" s="475" t="s">
        <v>5401</v>
      </c>
      <c r="C2175" s="475" t="s">
        <v>5408</v>
      </c>
      <c r="D2175" s="475" t="s">
        <v>5409</v>
      </c>
      <c r="E2175" s="476" t="s">
        <v>34</v>
      </c>
      <c r="F2175" s="475" t="s">
        <v>34</v>
      </c>
      <c r="G2175" s="364">
        <v>96534</v>
      </c>
      <c r="H2175" s="475" t="s">
        <v>1863</v>
      </c>
      <c r="I2175" s="475" t="s">
        <v>322</v>
      </c>
      <c r="J2175" s="475" t="s">
        <v>337</v>
      </c>
      <c r="K2175" s="365">
        <v>57.16</v>
      </c>
      <c r="L2175" s="475" t="s">
        <v>141</v>
      </c>
      <c r="M2175" s="473"/>
    </row>
    <row r="2176" spans="1:13" ht="13.5">
      <c r="A2176" s="475" t="s">
        <v>5400</v>
      </c>
      <c r="B2176" s="475" t="s">
        <v>5401</v>
      </c>
      <c r="C2176" s="475" t="s">
        <v>5408</v>
      </c>
      <c r="D2176" s="475" t="s">
        <v>5409</v>
      </c>
      <c r="E2176" s="476" t="s">
        <v>34</v>
      </c>
      <c r="F2176" s="475" t="s">
        <v>34</v>
      </c>
      <c r="G2176" s="364">
        <v>96535</v>
      </c>
      <c r="H2176" s="475" t="s">
        <v>1864</v>
      </c>
      <c r="I2176" s="475" t="s">
        <v>322</v>
      </c>
      <c r="J2176" s="475" t="s">
        <v>337</v>
      </c>
      <c r="K2176" s="365">
        <v>98.49</v>
      </c>
      <c r="L2176" s="475" t="s">
        <v>141</v>
      </c>
      <c r="M2176" s="473"/>
    </row>
    <row r="2177" spans="1:13" ht="13.5">
      <c r="A2177" s="475" t="s">
        <v>5400</v>
      </c>
      <c r="B2177" s="475" t="s">
        <v>5401</v>
      </c>
      <c r="C2177" s="475" t="s">
        <v>5408</v>
      </c>
      <c r="D2177" s="475" t="s">
        <v>5409</v>
      </c>
      <c r="E2177" s="476" t="s">
        <v>34</v>
      </c>
      <c r="F2177" s="475" t="s">
        <v>34</v>
      </c>
      <c r="G2177" s="364">
        <v>96536</v>
      </c>
      <c r="H2177" s="475" t="s">
        <v>1865</v>
      </c>
      <c r="I2177" s="475" t="s">
        <v>322</v>
      </c>
      <c r="J2177" s="475" t="s">
        <v>337</v>
      </c>
      <c r="K2177" s="365">
        <v>48.82</v>
      </c>
      <c r="L2177" s="475" t="s">
        <v>141</v>
      </c>
      <c r="M2177" s="473"/>
    </row>
    <row r="2178" spans="1:13" ht="13.5">
      <c r="A2178" s="475" t="s">
        <v>5400</v>
      </c>
      <c r="B2178" s="475" t="s">
        <v>5401</v>
      </c>
      <c r="C2178" s="475" t="s">
        <v>5408</v>
      </c>
      <c r="D2178" s="475" t="s">
        <v>5409</v>
      </c>
      <c r="E2178" s="476" t="s">
        <v>34</v>
      </c>
      <c r="F2178" s="475" t="s">
        <v>34</v>
      </c>
      <c r="G2178" s="364">
        <v>96537</v>
      </c>
      <c r="H2178" s="475" t="s">
        <v>1866</v>
      </c>
      <c r="I2178" s="475" t="s">
        <v>322</v>
      </c>
      <c r="J2178" s="475" t="s">
        <v>337</v>
      </c>
      <c r="K2178" s="365">
        <v>115.48</v>
      </c>
      <c r="L2178" s="475" t="s">
        <v>141</v>
      </c>
      <c r="M2178" s="473"/>
    </row>
    <row r="2179" spans="1:13" ht="13.5">
      <c r="A2179" s="475" t="s">
        <v>5400</v>
      </c>
      <c r="B2179" s="475" t="s">
        <v>5401</v>
      </c>
      <c r="C2179" s="475" t="s">
        <v>5408</v>
      </c>
      <c r="D2179" s="475" t="s">
        <v>5409</v>
      </c>
      <c r="E2179" s="476" t="s">
        <v>34</v>
      </c>
      <c r="F2179" s="475" t="s">
        <v>34</v>
      </c>
      <c r="G2179" s="364">
        <v>96538</v>
      </c>
      <c r="H2179" s="475" t="s">
        <v>1867</v>
      </c>
      <c r="I2179" s="475" t="s">
        <v>322</v>
      </c>
      <c r="J2179" s="475" t="s">
        <v>337</v>
      </c>
      <c r="K2179" s="365">
        <v>169.28</v>
      </c>
      <c r="L2179" s="475" t="s">
        <v>141</v>
      </c>
      <c r="M2179" s="473"/>
    </row>
    <row r="2180" spans="1:13" ht="13.5">
      <c r="A2180" s="475" t="s">
        <v>5400</v>
      </c>
      <c r="B2180" s="475" t="s">
        <v>5401</v>
      </c>
      <c r="C2180" s="475" t="s">
        <v>5408</v>
      </c>
      <c r="D2180" s="475" t="s">
        <v>5409</v>
      </c>
      <c r="E2180" s="476" t="s">
        <v>34</v>
      </c>
      <c r="F2180" s="475" t="s">
        <v>34</v>
      </c>
      <c r="G2180" s="364">
        <v>96539</v>
      </c>
      <c r="H2180" s="475" t="s">
        <v>1868</v>
      </c>
      <c r="I2180" s="475" t="s">
        <v>322</v>
      </c>
      <c r="J2180" s="475" t="s">
        <v>337</v>
      </c>
      <c r="K2180" s="365">
        <v>75.84</v>
      </c>
      <c r="L2180" s="475" t="s">
        <v>141</v>
      </c>
      <c r="M2180" s="473"/>
    </row>
    <row r="2181" spans="1:13" ht="13.5">
      <c r="A2181" s="475" t="s">
        <v>5400</v>
      </c>
      <c r="B2181" s="475" t="s">
        <v>5401</v>
      </c>
      <c r="C2181" s="475" t="s">
        <v>5408</v>
      </c>
      <c r="D2181" s="475" t="s">
        <v>5409</v>
      </c>
      <c r="E2181" s="476" t="s">
        <v>34</v>
      </c>
      <c r="F2181" s="475" t="s">
        <v>34</v>
      </c>
      <c r="G2181" s="364">
        <v>96540</v>
      </c>
      <c r="H2181" s="475" t="s">
        <v>1869</v>
      </c>
      <c r="I2181" s="475" t="s">
        <v>322</v>
      </c>
      <c r="J2181" s="475" t="s">
        <v>337</v>
      </c>
      <c r="K2181" s="365">
        <v>83.65</v>
      </c>
      <c r="L2181" s="475" t="s">
        <v>141</v>
      </c>
      <c r="M2181" s="473"/>
    </row>
    <row r="2182" spans="1:13" ht="13.5">
      <c r="A2182" s="475" t="s">
        <v>5400</v>
      </c>
      <c r="B2182" s="475" t="s">
        <v>5401</v>
      </c>
      <c r="C2182" s="475" t="s">
        <v>5408</v>
      </c>
      <c r="D2182" s="475" t="s">
        <v>5409</v>
      </c>
      <c r="E2182" s="476" t="s">
        <v>34</v>
      </c>
      <c r="F2182" s="475" t="s">
        <v>34</v>
      </c>
      <c r="G2182" s="364">
        <v>96541</v>
      </c>
      <c r="H2182" s="475" t="s">
        <v>1870</v>
      </c>
      <c r="I2182" s="475" t="s">
        <v>322</v>
      </c>
      <c r="J2182" s="475" t="s">
        <v>337</v>
      </c>
      <c r="K2182" s="365">
        <v>123.65</v>
      </c>
      <c r="L2182" s="475" t="s">
        <v>141</v>
      </c>
      <c r="M2182" s="473"/>
    </row>
    <row r="2183" spans="1:13" ht="13.5">
      <c r="A2183" s="475" t="s">
        <v>5400</v>
      </c>
      <c r="B2183" s="475" t="s">
        <v>5401</v>
      </c>
      <c r="C2183" s="475" t="s">
        <v>5408</v>
      </c>
      <c r="D2183" s="475" t="s">
        <v>5409</v>
      </c>
      <c r="E2183" s="476" t="s">
        <v>34</v>
      </c>
      <c r="F2183" s="475" t="s">
        <v>34</v>
      </c>
      <c r="G2183" s="364">
        <v>96542</v>
      </c>
      <c r="H2183" s="475" t="s">
        <v>1871</v>
      </c>
      <c r="I2183" s="475" t="s">
        <v>322</v>
      </c>
      <c r="J2183" s="475" t="s">
        <v>337</v>
      </c>
      <c r="K2183" s="365">
        <v>59.31</v>
      </c>
      <c r="L2183" s="475" t="s">
        <v>141</v>
      </c>
      <c r="M2183" s="473"/>
    </row>
    <row r="2184" spans="1:13" ht="13.5">
      <c r="A2184" s="475" t="s">
        <v>5400</v>
      </c>
      <c r="B2184" s="475" t="s">
        <v>5401</v>
      </c>
      <c r="C2184" s="475" t="s">
        <v>5408</v>
      </c>
      <c r="D2184" s="475" t="s">
        <v>5409</v>
      </c>
      <c r="E2184" s="476" t="s">
        <v>34</v>
      </c>
      <c r="F2184" s="475" t="s">
        <v>34</v>
      </c>
      <c r="G2184" s="364">
        <v>96543</v>
      </c>
      <c r="H2184" s="475" t="s">
        <v>1872</v>
      </c>
      <c r="I2184" s="475" t="s">
        <v>315</v>
      </c>
      <c r="J2184" s="475" t="s">
        <v>140</v>
      </c>
      <c r="K2184" s="365">
        <v>11.94</v>
      </c>
      <c r="L2184" s="475" t="s">
        <v>141</v>
      </c>
      <c r="M2184" s="473"/>
    </row>
    <row r="2185" spans="1:13" ht="13.5">
      <c r="A2185" s="475" t="s">
        <v>5400</v>
      </c>
      <c r="B2185" s="475" t="s">
        <v>5401</v>
      </c>
      <c r="C2185" s="475" t="s">
        <v>5408</v>
      </c>
      <c r="D2185" s="475" t="s">
        <v>5409</v>
      </c>
      <c r="E2185" s="476" t="s">
        <v>34</v>
      </c>
      <c r="F2185" s="475" t="s">
        <v>34</v>
      </c>
      <c r="G2185" s="364">
        <v>97747</v>
      </c>
      <c r="H2185" s="475" t="s">
        <v>6127</v>
      </c>
      <c r="I2185" s="475" t="s">
        <v>322</v>
      </c>
      <c r="J2185" s="475" t="s">
        <v>337</v>
      </c>
      <c r="K2185" s="365">
        <v>134.37</v>
      </c>
      <c r="L2185" s="475" t="s">
        <v>141</v>
      </c>
      <c r="M2185" s="473"/>
    </row>
    <row r="2186" spans="1:13" ht="13.5">
      <c r="A2186" s="475" t="s">
        <v>5400</v>
      </c>
      <c r="B2186" s="475" t="s">
        <v>5401</v>
      </c>
      <c r="C2186" s="475" t="s">
        <v>5410</v>
      </c>
      <c r="D2186" s="475" t="s">
        <v>5411</v>
      </c>
      <c r="E2186" s="476">
        <v>73771</v>
      </c>
      <c r="F2186" s="475" t="s">
        <v>5412</v>
      </c>
      <c r="G2186" s="364" t="s">
        <v>1873</v>
      </c>
      <c r="H2186" s="475" t="s">
        <v>1874</v>
      </c>
      <c r="I2186" s="475" t="s">
        <v>171</v>
      </c>
      <c r="J2186" s="475" t="s">
        <v>337</v>
      </c>
      <c r="K2186" s="365">
        <v>19.78</v>
      </c>
      <c r="L2186" s="475" t="s">
        <v>141</v>
      </c>
      <c r="M2186" s="473"/>
    </row>
    <row r="2187" spans="1:13" ht="13.5">
      <c r="A2187" s="475" t="s">
        <v>5400</v>
      </c>
      <c r="B2187" s="475" t="s">
        <v>5401</v>
      </c>
      <c r="C2187" s="475" t="s">
        <v>5410</v>
      </c>
      <c r="D2187" s="475" t="s">
        <v>5411</v>
      </c>
      <c r="E2187" s="476">
        <v>73990</v>
      </c>
      <c r="F2187" s="475" t="s">
        <v>5413</v>
      </c>
      <c r="G2187" s="364" t="s">
        <v>1875</v>
      </c>
      <c r="H2187" s="475" t="s">
        <v>1876</v>
      </c>
      <c r="I2187" s="475" t="s">
        <v>171</v>
      </c>
      <c r="J2187" s="475" t="s">
        <v>140</v>
      </c>
      <c r="K2187" s="365">
        <v>544.39</v>
      </c>
      <c r="L2187" s="475" t="s">
        <v>141</v>
      </c>
      <c r="M2187" s="473"/>
    </row>
    <row r="2188" spans="1:13" ht="13.5">
      <c r="A2188" s="475" t="s">
        <v>5400</v>
      </c>
      <c r="B2188" s="475" t="s">
        <v>5401</v>
      </c>
      <c r="C2188" s="475" t="s">
        <v>5410</v>
      </c>
      <c r="D2188" s="475" t="s">
        <v>5411</v>
      </c>
      <c r="E2188" s="476" t="s">
        <v>34</v>
      </c>
      <c r="F2188" s="475" t="s">
        <v>34</v>
      </c>
      <c r="G2188" s="364">
        <v>85662</v>
      </c>
      <c r="H2188" s="475" t="s">
        <v>1877</v>
      </c>
      <c r="I2188" s="475" t="s">
        <v>322</v>
      </c>
      <c r="J2188" s="475" t="s">
        <v>337</v>
      </c>
      <c r="K2188" s="365">
        <v>10.97</v>
      </c>
      <c r="L2188" s="475" t="s">
        <v>141</v>
      </c>
      <c r="M2188" s="473"/>
    </row>
    <row r="2189" spans="1:13" ht="13.5">
      <c r="A2189" s="475" t="s">
        <v>5400</v>
      </c>
      <c r="B2189" s="475" t="s">
        <v>5401</v>
      </c>
      <c r="C2189" s="475" t="s">
        <v>5410</v>
      </c>
      <c r="D2189" s="475" t="s">
        <v>5411</v>
      </c>
      <c r="E2189" s="476" t="s">
        <v>34</v>
      </c>
      <c r="F2189" s="475" t="s">
        <v>34</v>
      </c>
      <c r="G2189" s="364">
        <v>89996</v>
      </c>
      <c r="H2189" s="475" t="s">
        <v>1878</v>
      </c>
      <c r="I2189" s="475" t="s">
        <v>315</v>
      </c>
      <c r="J2189" s="475" t="s">
        <v>337</v>
      </c>
      <c r="K2189" s="365">
        <v>6.6</v>
      </c>
      <c r="L2189" s="475" t="s">
        <v>141</v>
      </c>
      <c r="M2189" s="473"/>
    </row>
    <row r="2190" spans="1:13" ht="13.5">
      <c r="A2190" s="475" t="s">
        <v>5400</v>
      </c>
      <c r="B2190" s="475" t="s">
        <v>5401</v>
      </c>
      <c r="C2190" s="475" t="s">
        <v>5410</v>
      </c>
      <c r="D2190" s="475" t="s">
        <v>5411</v>
      </c>
      <c r="E2190" s="476" t="s">
        <v>34</v>
      </c>
      <c r="F2190" s="475" t="s">
        <v>34</v>
      </c>
      <c r="G2190" s="364">
        <v>89997</v>
      </c>
      <c r="H2190" s="475" t="s">
        <v>1879</v>
      </c>
      <c r="I2190" s="475" t="s">
        <v>315</v>
      </c>
      <c r="J2190" s="475" t="s">
        <v>337</v>
      </c>
      <c r="K2190" s="365">
        <v>5.72</v>
      </c>
      <c r="L2190" s="475" t="s">
        <v>141</v>
      </c>
      <c r="M2190" s="473"/>
    </row>
    <row r="2191" spans="1:13" ht="13.5">
      <c r="A2191" s="475" t="s">
        <v>5400</v>
      </c>
      <c r="B2191" s="475" t="s">
        <v>5401</v>
      </c>
      <c r="C2191" s="475" t="s">
        <v>5410</v>
      </c>
      <c r="D2191" s="475" t="s">
        <v>5411</v>
      </c>
      <c r="E2191" s="476" t="s">
        <v>34</v>
      </c>
      <c r="F2191" s="475" t="s">
        <v>34</v>
      </c>
      <c r="G2191" s="364">
        <v>89998</v>
      </c>
      <c r="H2191" s="475" t="s">
        <v>1880</v>
      </c>
      <c r="I2191" s="475" t="s">
        <v>315</v>
      </c>
      <c r="J2191" s="475" t="s">
        <v>337</v>
      </c>
      <c r="K2191" s="365">
        <v>6.2</v>
      </c>
      <c r="L2191" s="475" t="s">
        <v>141</v>
      </c>
      <c r="M2191" s="473"/>
    </row>
    <row r="2192" spans="1:13" ht="13.5">
      <c r="A2192" s="475" t="s">
        <v>5400</v>
      </c>
      <c r="B2192" s="475" t="s">
        <v>5401</v>
      </c>
      <c r="C2192" s="475" t="s">
        <v>5410</v>
      </c>
      <c r="D2192" s="475" t="s">
        <v>5411</v>
      </c>
      <c r="E2192" s="476" t="s">
        <v>34</v>
      </c>
      <c r="F2192" s="475" t="s">
        <v>34</v>
      </c>
      <c r="G2192" s="364">
        <v>89999</v>
      </c>
      <c r="H2192" s="475" t="s">
        <v>1881</v>
      </c>
      <c r="I2192" s="475" t="s">
        <v>315</v>
      </c>
      <c r="J2192" s="475" t="s">
        <v>337</v>
      </c>
      <c r="K2192" s="365">
        <v>10.07</v>
      </c>
      <c r="L2192" s="475" t="s">
        <v>141</v>
      </c>
      <c r="M2192" s="473"/>
    </row>
    <row r="2193" spans="1:13" ht="13.5">
      <c r="A2193" s="475" t="s">
        <v>5400</v>
      </c>
      <c r="B2193" s="475" t="s">
        <v>5401</v>
      </c>
      <c r="C2193" s="475" t="s">
        <v>5410</v>
      </c>
      <c r="D2193" s="475" t="s">
        <v>5411</v>
      </c>
      <c r="E2193" s="476" t="s">
        <v>34</v>
      </c>
      <c r="F2193" s="475" t="s">
        <v>34</v>
      </c>
      <c r="G2193" s="364">
        <v>90000</v>
      </c>
      <c r="H2193" s="475" t="s">
        <v>1882</v>
      </c>
      <c r="I2193" s="475" t="s">
        <v>315</v>
      </c>
      <c r="J2193" s="475" t="s">
        <v>337</v>
      </c>
      <c r="K2193" s="365">
        <v>7.62</v>
      </c>
      <c r="L2193" s="475" t="s">
        <v>141</v>
      </c>
      <c r="M2193" s="473"/>
    </row>
    <row r="2194" spans="1:13" ht="13.5">
      <c r="A2194" s="475" t="s">
        <v>5400</v>
      </c>
      <c r="B2194" s="475" t="s">
        <v>5401</v>
      </c>
      <c r="C2194" s="475" t="s">
        <v>5410</v>
      </c>
      <c r="D2194" s="475" t="s">
        <v>5411</v>
      </c>
      <c r="E2194" s="476" t="s">
        <v>34</v>
      </c>
      <c r="F2194" s="475" t="s">
        <v>34</v>
      </c>
      <c r="G2194" s="364">
        <v>91593</v>
      </c>
      <c r="H2194" s="475" t="s">
        <v>15151</v>
      </c>
      <c r="I2194" s="475" t="s">
        <v>315</v>
      </c>
      <c r="J2194" s="475" t="s">
        <v>140</v>
      </c>
      <c r="K2194" s="365">
        <v>7.3</v>
      </c>
      <c r="L2194" s="475" t="s">
        <v>141</v>
      </c>
      <c r="M2194" s="473"/>
    </row>
    <row r="2195" spans="1:13" ht="13.5">
      <c r="A2195" s="475" t="s">
        <v>5400</v>
      </c>
      <c r="B2195" s="475" t="s">
        <v>5401</v>
      </c>
      <c r="C2195" s="475" t="s">
        <v>5410</v>
      </c>
      <c r="D2195" s="475" t="s">
        <v>5411</v>
      </c>
      <c r="E2195" s="476" t="s">
        <v>34</v>
      </c>
      <c r="F2195" s="475" t="s">
        <v>34</v>
      </c>
      <c r="G2195" s="364">
        <v>91594</v>
      </c>
      <c r="H2195" s="475" t="s">
        <v>15152</v>
      </c>
      <c r="I2195" s="475" t="s">
        <v>315</v>
      </c>
      <c r="J2195" s="475" t="s">
        <v>140</v>
      </c>
      <c r="K2195" s="365">
        <v>7.62</v>
      </c>
      <c r="L2195" s="475" t="s">
        <v>141</v>
      </c>
      <c r="M2195" s="473"/>
    </row>
    <row r="2196" spans="1:13" ht="13.5">
      <c r="A2196" s="475" t="s">
        <v>5400</v>
      </c>
      <c r="B2196" s="475" t="s">
        <v>5401</v>
      </c>
      <c r="C2196" s="475" t="s">
        <v>5410</v>
      </c>
      <c r="D2196" s="475" t="s">
        <v>5411</v>
      </c>
      <c r="E2196" s="476" t="s">
        <v>34</v>
      </c>
      <c r="F2196" s="475" t="s">
        <v>34</v>
      </c>
      <c r="G2196" s="364">
        <v>91595</v>
      </c>
      <c r="H2196" s="475" t="s">
        <v>15153</v>
      </c>
      <c r="I2196" s="475" t="s">
        <v>315</v>
      </c>
      <c r="J2196" s="475" t="s">
        <v>140</v>
      </c>
      <c r="K2196" s="365">
        <v>8.42</v>
      </c>
      <c r="L2196" s="475" t="s">
        <v>141</v>
      </c>
      <c r="M2196" s="473"/>
    </row>
    <row r="2197" spans="1:13" ht="13.5">
      <c r="A2197" s="475" t="s">
        <v>5400</v>
      </c>
      <c r="B2197" s="475" t="s">
        <v>5401</v>
      </c>
      <c r="C2197" s="475" t="s">
        <v>5410</v>
      </c>
      <c r="D2197" s="475" t="s">
        <v>5411</v>
      </c>
      <c r="E2197" s="476" t="s">
        <v>34</v>
      </c>
      <c r="F2197" s="475" t="s">
        <v>34</v>
      </c>
      <c r="G2197" s="364">
        <v>91596</v>
      </c>
      <c r="H2197" s="475" t="s">
        <v>15154</v>
      </c>
      <c r="I2197" s="475" t="s">
        <v>315</v>
      </c>
      <c r="J2197" s="475" t="s">
        <v>140</v>
      </c>
      <c r="K2197" s="365">
        <v>7.53</v>
      </c>
      <c r="L2197" s="475" t="s">
        <v>141</v>
      </c>
      <c r="M2197" s="473"/>
    </row>
    <row r="2198" spans="1:13" ht="13.5">
      <c r="A2198" s="475" t="s">
        <v>5400</v>
      </c>
      <c r="B2198" s="475" t="s">
        <v>5401</v>
      </c>
      <c r="C2198" s="475" t="s">
        <v>5410</v>
      </c>
      <c r="D2198" s="475" t="s">
        <v>5411</v>
      </c>
      <c r="E2198" s="476" t="s">
        <v>34</v>
      </c>
      <c r="F2198" s="475" t="s">
        <v>34</v>
      </c>
      <c r="G2198" s="364">
        <v>91597</v>
      </c>
      <c r="H2198" s="475" t="s">
        <v>15155</v>
      </c>
      <c r="I2198" s="475" t="s">
        <v>315</v>
      </c>
      <c r="J2198" s="475" t="s">
        <v>140</v>
      </c>
      <c r="K2198" s="365">
        <v>5.27</v>
      </c>
      <c r="L2198" s="475" t="s">
        <v>141</v>
      </c>
      <c r="M2198" s="473"/>
    </row>
    <row r="2199" spans="1:13" ht="13.5">
      <c r="A2199" s="475" t="s">
        <v>5400</v>
      </c>
      <c r="B2199" s="475" t="s">
        <v>5401</v>
      </c>
      <c r="C2199" s="475" t="s">
        <v>5410</v>
      </c>
      <c r="D2199" s="475" t="s">
        <v>5411</v>
      </c>
      <c r="E2199" s="476" t="s">
        <v>34</v>
      </c>
      <c r="F2199" s="475" t="s">
        <v>34</v>
      </c>
      <c r="G2199" s="364">
        <v>91598</v>
      </c>
      <c r="H2199" s="475" t="s">
        <v>15156</v>
      </c>
      <c r="I2199" s="475" t="s">
        <v>315</v>
      </c>
      <c r="J2199" s="475" t="s">
        <v>140</v>
      </c>
      <c r="K2199" s="365">
        <v>7.45</v>
      </c>
      <c r="L2199" s="475" t="s">
        <v>141</v>
      </c>
      <c r="M2199" s="473"/>
    </row>
    <row r="2200" spans="1:13" ht="13.5">
      <c r="A2200" s="475" t="s">
        <v>5400</v>
      </c>
      <c r="B2200" s="475" t="s">
        <v>5401</v>
      </c>
      <c r="C2200" s="475" t="s">
        <v>5410</v>
      </c>
      <c r="D2200" s="475" t="s">
        <v>5411</v>
      </c>
      <c r="E2200" s="476" t="s">
        <v>34</v>
      </c>
      <c r="F2200" s="475" t="s">
        <v>34</v>
      </c>
      <c r="G2200" s="364">
        <v>91599</v>
      </c>
      <c r="H2200" s="475" t="s">
        <v>15157</v>
      </c>
      <c r="I2200" s="475" t="s">
        <v>315</v>
      </c>
      <c r="J2200" s="475" t="s">
        <v>140</v>
      </c>
      <c r="K2200" s="365">
        <v>7.97</v>
      </c>
      <c r="L2200" s="475" t="s">
        <v>141</v>
      </c>
      <c r="M2200" s="473"/>
    </row>
    <row r="2201" spans="1:13" ht="13.5">
      <c r="A2201" s="475" t="s">
        <v>5400</v>
      </c>
      <c r="B2201" s="475" t="s">
        <v>5401</v>
      </c>
      <c r="C2201" s="475" t="s">
        <v>5410</v>
      </c>
      <c r="D2201" s="475" t="s">
        <v>5411</v>
      </c>
      <c r="E2201" s="476" t="s">
        <v>34</v>
      </c>
      <c r="F2201" s="475" t="s">
        <v>34</v>
      </c>
      <c r="G2201" s="364">
        <v>91600</v>
      </c>
      <c r="H2201" s="475" t="s">
        <v>15158</v>
      </c>
      <c r="I2201" s="475" t="s">
        <v>315</v>
      </c>
      <c r="J2201" s="475" t="s">
        <v>140</v>
      </c>
      <c r="K2201" s="365">
        <v>9.3800000000000008</v>
      </c>
      <c r="L2201" s="475" t="s">
        <v>141</v>
      </c>
      <c r="M2201" s="473"/>
    </row>
    <row r="2202" spans="1:13" ht="13.5">
      <c r="A2202" s="475" t="s">
        <v>5400</v>
      </c>
      <c r="B2202" s="475" t="s">
        <v>5401</v>
      </c>
      <c r="C2202" s="475" t="s">
        <v>5410</v>
      </c>
      <c r="D2202" s="475" t="s">
        <v>5411</v>
      </c>
      <c r="E2202" s="476" t="s">
        <v>34</v>
      </c>
      <c r="F2202" s="475" t="s">
        <v>34</v>
      </c>
      <c r="G2202" s="364">
        <v>91601</v>
      </c>
      <c r="H2202" s="475" t="s">
        <v>15159</v>
      </c>
      <c r="I2202" s="475" t="s">
        <v>315</v>
      </c>
      <c r="J2202" s="475" t="s">
        <v>337</v>
      </c>
      <c r="K2202" s="365">
        <v>7.52</v>
      </c>
      <c r="L2202" s="475" t="s">
        <v>141</v>
      </c>
      <c r="M2202" s="473"/>
    </row>
    <row r="2203" spans="1:13" ht="13.5">
      <c r="A2203" s="475" t="s">
        <v>5400</v>
      </c>
      <c r="B2203" s="475" t="s">
        <v>5401</v>
      </c>
      <c r="C2203" s="475" t="s">
        <v>5410</v>
      </c>
      <c r="D2203" s="475" t="s">
        <v>5411</v>
      </c>
      <c r="E2203" s="476" t="s">
        <v>34</v>
      </c>
      <c r="F2203" s="475" t="s">
        <v>34</v>
      </c>
      <c r="G2203" s="364">
        <v>91602</v>
      </c>
      <c r="H2203" s="475" t="s">
        <v>15160</v>
      </c>
      <c r="I2203" s="475" t="s">
        <v>315</v>
      </c>
      <c r="J2203" s="475" t="s">
        <v>337</v>
      </c>
      <c r="K2203" s="365">
        <v>7.45</v>
      </c>
      <c r="L2203" s="475" t="s">
        <v>141</v>
      </c>
      <c r="M2203" s="473"/>
    </row>
    <row r="2204" spans="1:13" ht="13.5">
      <c r="A2204" s="475" t="s">
        <v>5400</v>
      </c>
      <c r="B2204" s="475" t="s">
        <v>5401</v>
      </c>
      <c r="C2204" s="475" t="s">
        <v>5410</v>
      </c>
      <c r="D2204" s="475" t="s">
        <v>5411</v>
      </c>
      <c r="E2204" s="476" t="s">
        <v>34</v>
      </c>
      <c r="F2204" s="475" t="s">
        <v>34</v>
      </c>
      <c r="G2204" s="364">
        <v>91603</v>
      </c>
      <c r="H2204" s="475" t="s">
        <v>15161</v>
      </c>
      <c r="I2204" s="475" t="s">
        <v>315</v>
      </c>
      <c r="J2204" s="475" t="s">
        <v>337</v>
      </c>
      <c r="K2204" s="365">
        <v>6.46</v>
      </c>
      <c r="L2204" s="475" t="s">
        <v>141</v>
      </c>
      <c r="M2204" s="473"/>
    </row>
    <row r="2205" spans="1:13" ht="13.5">
      <c r="A2205" s="475" t="s">
        <v>5400</v>
      </c>
      <c r="B2205" s="475" t="s">
        <v>5401</v>
      </c>
      <c r="C2205" s="475" t="s">
        <v>5410</v>
      </c>
      <c r="D2205" s="475" t="s">
        <v>5411</v>
      </c>
      <c r="E2205" s="476" t="s">
        <v>34</v>
      </c>
      <c r="F2205" s="475" t="s">
        <v>34</v>
      </c>
      <c r="G2205" s="364">
        <v>92759</v>
      </c>
      <c r="H2205" s="475" t="s">
        <v>1883</v>
      </c>
      <c r="I2205" s="475" t="s">
        <v>315</v>
      </c>
      <c r="J2205" s="475" t="s">
        <v>140</v>
      </c>
      <c r="K2205" s="365">
        <v>9.82</v>
      </c>
      <c r="L2205" s="475" t="s">
        <v>141</v>
      </c>
      <c r="M2205" s="473"/>
    </row>
    <row r="2206" spans="1:13" ht="13.5">
      <c r="A2206" s="475" t="s">
        <v>5400</v>
      </c>
      <c r="B2206" s="475" t="s">
        <v>5401</v>
      </c>
      <c r="C2206" s="475" t="s">
        <v>5410</v>
      </c>
      <c r="D2206" s="475" t="s">
        <v>5411</v>
      </c>
      <c r="E2206" s="476" t="s">
        <v>34</v>
      </c>
      <c r="F2206" s="475" t="s">
        <v>34</v>
      </c>
      <c r="G2206" s="364">
        <v>92760</v>
      </c>
      <c r="H2206" s="475" t="s">
        <v>1884</v>
      </c>
      <c r="I2206" s="475" t="s">
        <v>315</v>
      </c>
      <c r="J2206" s="475" t="s">
        <v>140</v>
      </c>
      <c r="K2206" s="365">
        <v>8.6999999999999993</v>
      </c>
      <c r="L2206" s="475" t="s">
        <v>141</v>
      </c>
      <c r="M2206" s="473"/>
    </row>
    <row r="2207" spans="1:13" ht="13.5">
      <c r="A2207" s="475" t="s">
        <v>5400</v>
      </c>
      <c r="B2207" s="475" t="s">
        <v>5401</v>
      </c>
      <c r="C2207" s="475" t="s">
        <v>5410</v>
      </c>
      <c r="D2207" s="475" t="s">
        <v>5411</v>
      </c>
      <c r="E2207" s="476" t="s">
        <v>34</v>
      </c>
      <c r="F2207" s="475" t="s">
        <v>34</v>
      </c>
      <c r="G2207" s="364">
        <v>92761</v>
      </c>
      <c r="H2207" s="475" t="s">
        <v>1885</v>
      </c>
      <c r="I2207" s="475" t="s">
        <v>315</v>
      </c>
      <c r="J2207" s="475" t="s">
        <v>140</v>
      </c>
      <c r="K2207" s="365">
        <v>8.6</v>
      </c>
      <c r="L2207" s="475" t="s">
        <v>141</v>
      </c>
      <c r="M2207" s="473"/>
    </row>
    <row r="2208" spans="1:13" ht="13.5">
      <c r="A2208" s="475" t="s">
        <v>5400</v>
      </c>
      <c r="B2208" s="475" t="s">
        <v>5401</v>
      </c>
      <c r="C2208" s="475" t="s">
        <v>5410</v>
      </c>
      <c r="D2208" s="475" t="s">
        <v>5411</v>
      </c>
      <c r="E2208" s="476" t="s">
        <v>34</v>
      </c>
      <c r="F2208" s="475" t="s">
        <v>34</v>
      </c>
      <c r="G2208" s="364">
        <v>92762</v>
      </c>
      <c r="H2208" s="475" t="s">
        <v>1886</v>
      </c>
      <c r="I2208" s="475" t="s">
        <v>315</v>
      </c>
      <c r="J2208" s="475" t="s">
        <v>140</v>
      </c>
      <c r="K2208" s="365">
        <v>7.04</v>
      </c>
      <c r="L2208" s="475" t="s">
        <v>141</v>
      </c>
      <c r="M2208" s="473"/>
    </row>
    <row r="2209" spans="1:13" ht="13.5">
      <c r="A2209" s="475" t="s">
        <v>5400</v>
      </c>
      <c r="B2209" s="475" t="s">
        <v>5401</v>
      </c>
      <c r="C2209" s="475" t="s">
        <v>5410</v>
      </c>
      <c r="D2209" s="475" t="s">
        <v>5411</v>
      </c>
      <c r="E2209" s="476" t="s">
        <v>34</v>
      </c>
      <c r="F2209" s="475" t="s">
        <v>34</v>
      </c>
      <c r="G2209" s="364">
        <v>92763</v>
      </c>
      <c r="H2209" s="475" t="s">
        <v>1887</v>
      </c>
      <c r="I2209" s="475" t="s">
        <v>315</v>
      </c>
      <c r="J2209" s="475" t="s">
        <v>140</v>
      </c>
      <c r="K2209" s="365">
        <v>6.33</v>
      </c>
      <c r="L2209" s="475" t="s">
        <v>141</v>
      </c>
      <c r="M2209" s="473"/>
    </row>
    <row r="2210" spans="1:13" ht="13.5">
      <c r="A2210" s="475" t="s">
        <v>5400</v>
      </c>
      <c r="B2210" s="475" t="s">
        <v>5401</v>
      </c>
      <c r="C2210" s="475" t="s">
        <v>5410</v>
      </c>
      <c r="D2210" s="475" t="s">
        <v>5411</v>
      </c>
      <c r="E2210" s="476" t="s">
        <v>34</v>
      </c>
      <c r="F2210" s="475" t="s">
        <v>34</v>
      </c>
      <c r="G2210" s="364">
        <v>92764</v>
      </c>
      <c r="H2210" s="475" t="s">
        <v>1888</v>
      </c>
      <c r="I2210" s="475" t="s">
        <v>315</v>
      </c>
      <c r="J2210" s="475" t="s">
        <v>140</v>
      </c>
      <c r="K2210" s="365">
        <v>5.98</v>
      </c>
      <c r="L2210" s="475" t="s">
        <v>141</v>
      </c>
      <c r="M2210" s="473"/>
    </row>
    <row r="2211" spans="1:13" ht="13.5">
      <c r="A2211" s="475" t="s">
        <v>5400</v>
      </c>
      <c r="B2211" s="475" t="s">
        <v>5401</v>
      </c>
      <c r="C2211" s="475" t="s">
        <v>5410</v>
      </c>
      <c r="D2211" s="475" t="s">
        <v>5411</v>
      </c>
      <c r="E2211" s="476" t="s">
        <v>34</v>
      </c>
      <c r="F2211" s="475" t="s">
        <v>34</v>
      </c>
      <c r="G2211" s="364">
        <v>92765</v>
      </c>
      <c r="H2211" s="475" t="s">
        <v>1889</v>
      </c>
      <c r="I2211" s="475" t="s">
        <v>315</v>
      </c>
      <c r="J2211" s="475" t="s">
        <v>140</v>
      </c>
      <c r="K2211" s="365">
        <v>5.52</v>
      </c>
      <c r="L2211" s="475" t="s">
        <v>141</v>
      </c>
      <c r="M2211" s="473"/>
    </row>
    <row r="2212" spans="1:13" ht="13.5">
      <c r="A2212" s="475" t="s">
        <v>5400</v>
      </c>
      <c r="B2212" s="475" t="s">
        <v>5401</v>
      </c>
      <c r="C2212" s="475" t="s">
        <v>5410</v>
      </c>
      <c r="D2212" s="475" t="s">
        <v>5411</v>
      </c>
      <c r="E2212" s="476" t="s">
        <v>34</v>
      </c>
      <c r="F2212" s="475" t="s">
        <v>34</v>
      </c>
      <c r="G2212" s="364">
        <v>92766</v>
      </c>
      <c r="H2212" s="475" t="s">
        <v>1890</v>
      </c>
      <c r="I2212" s="475" t="s">
        <v>315</v>
      </c>
      <c r="J2212" s="475" t="s">
        <v>337</v>
      </c>
      <c r="K2212" s="365">
        <v>6.1</v>
      </c>
      <c r="L2212" s="475" t="s">
        <v>141</v>
      </c>
      <c r="M2212" s="473"/>
    </row>
    <row r="2213" spans="1:13" ht="13.5">
      <c r="A2213" s="475" t="s">
        <v>5400</v>
      </c>
      <c r="B2213" s="475" t="s">
        <v>5401</v>
      </c>
      <c r="C2213" s="475" t="s">
        <v>5410</v>
      </c>
      <c r="D2213" s="475" t="s">
        <v>5411</v>
      </c>
      <c r="E2213" s="476" t="s">
        <v>34</v>
      </c>
      <c r="F2213" s="475" t="s">
        <v>34</v>
      </c>
      <c r="G2213" s="364">
        <v>92767</v>
      </c>
      <c r="H2213" s="475" t="s">
        <v>1891</v>
      </c>
      <c r="I2213" s="475" t="s">
        <v>315</v>
      </c>
      <c r="J2213" s="475" t="s">
        <v>140</v>
      </c>
      <c r="K2213" s="365">
        <v>9.99</v>
      </c>
      <c r="L2213" s="475" t="s">
        <v>141</v>
      </c>
      <c r="M2213" s="473"/>
    </row>
    <row r="2214" spans="1:13" ht="13.5">
      <c r="A2214" s="475" t="s">
        <v>5400</v>
      </c>
      <c r="B2214" s="475" t="s">
        <v>5401</v>
      </c>
      <c r="C2214" s="475" t="s">
        <v>5410</v>
      </c>
      <c r="D2214" s="475" t="s">
        <v>5411</v>
      </c>
      <c r="E2214" s="476" t="s">
        <v>34</v>
      </c>
      <c r="F2214" s="475" t="s">
        <v>34</v>
      </c>
      <c r="G2214" s="364">
        <v>92768</v>
      </c>
      <c r="H2214" s="475" t="s">
        <v>1892</v>
      </c>
      <c r="I2214" s="475" t="s">
        <v>315</v>
      </c>
      <c r="J2214" s="475" t="s">
        <v>140</v>
      </c>
      <c r="K2214" s="365">
        <v>8.73</v>
      </c>
      <c r="L2214" s="475" t="s">
        <v>141</v>
      </c>
      <c r="M2214" s="473"/>
    </row>
    <row r="2215" spans="1:13" ht="13.5">
      <c r="A2215" s="475" t="s">
        <v>5400</v>
      </c>
      <c r="B2215" s="475" t="s">
        <v>5401</v>
      </c>
      <c r="C2215" s="475" t="s">
        <v>5410</v>
      </c>
      <c r="D2215" s="475" t="s">
        <v>5411</v>
      </c>
      <c r="E2215" s="476" t="s">
        <v>34</v>
      </c>
      <c r="F2215" s="475" t="s">
        <v>34</v>
      </c>
      <c r="G2215" s="364">
        <v>92769</v>
      </c>
      <c r="H2215" s="475" t="s">
        <v>1893</v>
      </c>
      <c r="I2215" s="475" t="s">
        <v>315</v>
      </c>
      <c r="J2215" s="475" t="s">
        <v>140</v>
      </c>
      <c r="K2215" s="365">
        <v>7.86</v>
      </c>
      <c r="L2215" s="475" t="s">
        <v>141</v>
      </c>
      <c r="M2215" s="473"/>
    </row>
    <row r="2216" spans="1:13" ht="13.5">
      <c r="A2216" s="475" t="s">
        <v>5400</v>
      </c>
      <c r="B2216" s="475" t="s">
        <v>5401</v>
      </c>
      <c r="C2216" s="475" t="s">
        <v>5410</v>
      </c>
      <c r="D2216" s="475" t="s">
        <v>5411</v>
      </c>
      <c r="E2216" s="476" t="s">
        <v>34</v>
      </c>
      <c r="F2216" s="475" t="s">
        <v>34</v>
      </c>
      <c r="G2216" s="364">
        <v>92770</v>
      </c>
      <c r="H2216" s="475" t="s">
        <v>1894</v>
      </c>
      <c r="I2216" s="475" t="s">
        <v>315</v>
      </c>
      <c r="J2216" s="475" t="s">
        <v>140</v>
      </c>
      <c r="K2216" s="365">
        <v>7.97</v>
      </c>
      <c r="L2216" s="475" t="s">
        <v>141</v>
      </c>
      <c r="M2216" s="473"/>
    </row>
    <row r="2217" spans="1:13" ht="13.5">
      <c r="A2217" s="475" t="s">
        <v>5400</v>
      </c>
      <c r="B2217" s="475" t="s">
        <v>5401</v>
      </c>
      <c r="C2217" s="475" t="s">
        <v>5410</v>
      </c>
      <c r="D2217" s="475" t="s">
        <v>5411</v>
      </c>
      <c r="E2217" s="476" t="s">
        <v>34</v>
      </c>
      <c r="F2217" s="475" t="s">
        <v>34</v>
      </c>
      <c r="G2217" s="364">
        <v>92771</v>
      </c>
      <c r="H2217" s="475" t="s">
        <v>1895</v>
      </c>
      <c r="I2217" s="475" t="s">
        <v>315</v>
      </c>
      <c r="J2217" s="475" t="s">
        <v>140</v>
      </c>
      <c r="K2217" s="365">
        <v>6.54</v>
      </c>
      <c r="L2217" s="475" t="s">
        <v>141</v>
      </c>
      <c r="M2217" s="473"/>
    </row>
    <row r="2218" spans="1:13" ht="13.5">
      <c r="A2218" s="475" t="s">
        <v>5400</v>
      </c>
      <c r="B2218" s="475" t="s">
        <v>5401</v>
      </c>
      <c r="C2218" s="475" t="s">
        <v>5410</v>
      </c>
      <c r="D2218" s="475" t="s">
        <v>5411</v>
      </c>
      <c r="E2218" s="476" t="s">
        <v>34</v>
      </c>
      <c r="F2218" s="475" t="s">
        <v>34</v>
      </c>
      <c r="G2218" s="364">
        <v>92772</v>
      </c>
      <c r="H2218" s="475" t="s">
        <v>1896</v>
      </c>
      <c r="I2218" s="475" t="s">
        <v>315</v>
      </c>
      <c r="J2218" s="475" t="s">
        <v>140</v>
      </c>
      <c r="K2218" s="365">
        <v>5.97</v>
      </c>
      <c r="L2218" s="475" t="s">
        <v>141</v>
      </c>
      <c r="M2218" s="473"/>
    </row>
    <row r="2219" spans="1:13" ht="13.5">
      <c r="A2219" s="475" t="s">
        <v>5400</v>
      </c>
      <c r="B2219" s="475" t="s">
        <v>5401</v>
      </c>
      <c r="C2219" s="475" t="s">
        <v>5410</v>
      </c>
      <c r="D2219" s="475" t="s">
        <v>5411</v>
      </c>
      <c r="E2219" s="476" t="s">
        <v>34</v>
      </c>
      <c r="F2219" s="475" t="s">
        <v>34</v>
      </c>
      <c r="G2219" s="364">
        <v>92773</v>
      </c>
      <c r="H2219" s="475" t="s">
        <v>1897</v>
      </c>
      <c r="I2219" s="475" t="s">
        <v>315</v>
      </c>
      <c r="J2219" s="475" t="s">
        <v>337</v>
      </c>
      <c r="K2219" s="365">
        <v>5.69</v>
      </c>
      <c r="L2219" s="475" t="s">
        <v>141</v>
      </c>
      <c r="M2219" s="473"/>
    </row>
    <row r="2220" spans="1:13" ht="13.5">
      <c r="A2220" s="475" t="s">
        <v>5400</v>
      </c>
      <c r="B2220" s="475" t="s">
        <v>5401</v>
      </c>
      <c r="C2220" s="475" t="s">
        <v>5410</v>
      </c>
      <c r="D2220" s="475" t="s">
        <v>5411</v>
      </c>
      <c r="E2220" s="476" t="s">
        <v>34</v>
      </c>
      <c r="F2220" s="475" t="s">
        <v>34</v>
      </c>
      <c r="G2220" s="364">
        <v>92774</v>
      </c>
      <c r="H2220" s="475" t="s">
        <v>1898</v>
      </c>
      <c r="I2220" s="475" t="s">
        <v>315</v>
      </c>
      <c r="J2220" s="475" t="s">
        <v>337</v>
      </c>
      <c r="K2220" s="365">
        <v>5.34</v>
      </c>
      <c r="L2220" s="475" t="s">
        <v>141</v>
      </c>
      <c r="M2220" s="473"/>
    </row>
    <row r="2221" spans="1:13" ht="13.5">
      <c r="A2221" s="475" t="s">
        <v>5400</v>
      </c>
      <c r="B2221" s="475" t="s">
        <v>5401</v>
      </c>
      <c r="C2221" s="475" t="s">
        <v>5410</v>
      </c>
      <c r="D2221" s="475" t="s">
        <v>5411</v>
      </c>
      <c r="E2221" s="476" t="s">
        <v>34</v>
      </c>
      <c r="F2221" s="475" t="s">
        <v>34</v>
      </c>
      <c r="G2221" s="364">
        <v>92775</v>
      </c>
      <c r="H2221" s="475" t="s">
        <v>1899</v>
      </c>
      <c r="I2221" s="475" t="s">
        <v>315</v>
      </c>
      <c r="J2221" s="475" t="s">
        <v>140</v>
      </c>
      <c r="K2221" s="365">
        <v>12</v>
      </c>
      <c r="L2221" s="475" t="s">
        <v>141</v>
      </c>
      <c r="M2221" s="473"/>
    </row>
    <row r="2222" spans="1:13" ht="13.5">
      <c r="A2222" s="475" t="s">
        <v>5400</v>
      </c>
      <c r="B2222" s="475" t="s">
        <v>5401</v>
      </c>
      <c r="C2222" s="475" t="s">
        <v>5410</v>
      </c>
      <c r="D2222" s="475" t="s">
        <v>5411</v>
      </c>
      <c r="E2222" s="476" t="s">
        <v>34</v>
      </c>
      <c r="F2222" s="475" t="s">
        <v>34</v>
      </c>
      <c r="G2222" s="364">
        <v>92776</v>
      </c>
      <c r="H2222" s="475" t="s">
        <v>1900</v>
      </c>
      <c r="I2222" s="475" t="s">
        <v>315</v>
      </c>
      <c r="J2222" s="475" t="s">
        <v>140</v>
      </c>
      <c r="K2222" s="365">
        <v>10.36</v>
      </c>
      <c r="L2222" s="475" t="s">
        <v>141</v>
      </c>
      <c r="M2222" s="473"/>
    </row>
    <row r="2223" spans="1:13" ht="13.5">
      <c r="A2223" s="475" t="s">
        <v>5400</v>
      </c>
      <c r="B2223" s="475" t="s">
        <v>5401</v>
      </c>
      <c r="C2223" s="475" t="s">
        <v>5410</v>
      </c>
      <c r="D2223" s="475" t="s">
        <v>5411</v>
      </c>
      <c r="E2223" s="476" t="s">
        <v>34</v>
      </c>
      <c r="F2223" s="475" t="s">
        <v>34</v>
      </c>
      <c r="G2223" s="364">
        <v>92777</v>
      </c>
      <c r="H2223" s="475" t="s">
        <v>1901</v>
      </c>
      <c r="I2223" s="475" t="s">
        <v>315</v>
      </c>
      <c r="J2223" s="475" t="s">
        <v>140</v>
      </c>
      <c r="K2223" s="365">
        <v>9.83</v>
      </c>
      <c r="L2223" s="475" t="s">
        <v>141</v>
      </c>
      <c r="M2223" s="473"/>
    </row>
    <row r="2224" spans="1:13" ht="13.5">
      <c r="A2224" s="475" t="s">
        <v>5400</v>
      </c>
      <c r="B2224" s="475" t="s">
        <v>5401</v>
      </c>
      <c r="C2224" s="475" t="s">
        <v>5410</v>
      </c>
      <c r="D2224" s="475" t="s">
        <v>5411</v>
      </c>
      <c r="E2224" s="476" t="s">
        <v>34</v>
      </c>
      <c r="F2224" s="475" t="s">
        <v>34</v>
      </c>
      <c r="G2224" s="364">
        <v>92778</v>
      </c>
      <c r="H2224" s="475" t="s">
        <v>1902</v>
      </c>
      <c r="I2224" s="475" t="s">
        <v>315</v>
      </c>
      <c r="J2224" s="475" t="s">
        <v>140</v>
      </c>
      <c r="K2224" s="365">
        <v>7.97</v>
      </c>
      <c r="L2224" s="475" t="s">
        <v>141</v>
      </c>
      <c r="M2224" s="473"/>
    </row>
    <row r="2225" spans="1:13" ht="13.5">
      <c r="A2225" s="475" t="s">
        <v>5400</v>
      </c>
      <c r="B2225" s="475" t="s">
        <v>5401</v>
      </c>
      <c r="C2225" s="475" t="s">
        <v>5410</v>
      </c>
      <c r="D2225" s="475" t="s">
        <v>5411</v>
      </c>
      <c r="E2225" s="476" t="s">
        <v>34</v>
      </c>
      <c r="F2225" s="475" t="s">
        <v>34</v>
      </c>
      <c r="G2225" s="364">
        <v>92779</v>
      </c>
      <c r="H2225" s="475" t="s">
        <v>1903</v>
      </c>
      <c r="I2225" s="475" t="s">
        <v>315</v>
      </c>
      <c r="J2225" s="475" t="s">
        <v>140</v>
      </c>
      <c r="K2225" s="365">
        <v>7.01</v>
      </c>
      <c r="L2225" s="475" t="s">
        <v>141</v>
      </c>
      <c r="M2225" s="473"/>
    </row>
    <row r="2226" spans="1:13" ht="13.5">
      <c r="A2226" s="475" t="s">
        <v>5400</v>
      </c>
      <c r="B2226" s="475" t="s">
        <v>5401</v>
      </c>
      <c r="C2226" s="475" t="s">
        <v>5410</v>
      </c>
      <c r="D2226" s="475" t="s">
        <v>5411</v>
      </c>
      <c r="E2226" s="476" t="s">
        <v>34</v>
      </c>
      <c r="F2226" s="475" t="s">
        <v>34</v>
      </c>
      <c r="G2226" s="364">
        <v>92780</v>
      </c>
      <c r="H2226" s="475" t="s">
        <v>1904</v>
      </c>
      <c r="I2226" s="475" t="s">
        <v>315</v>
      </c>
      <c r="J2226" s="475" t="s">
        <v>140</v>
      </c>
      <c r="K2226" s="365">
        <v>6.43</v>
      </c>
      <c r="L2226" s="475" t="s">
        <v>141</v>
      </c>
      <c r="M2226" s="473"/>
    </row>
    <row r="2227" spans="1:13" ht="13.5">
      <c r="A2227" s="475" t="s">
        <v>5400</v>
      </c>
      <c r="B2227" s="475" t="s">
        <v>5401</v>
      </c>
      <c r="C2227" s="475" t="s">
        <v>5410</v>
      </c>
      <c r="D2227" s="475" t="s">
        <v>5411</v>
      </c>
      <c r="E2227" s="476" t="s">
        <v>34</v>
      </c>
      <c r="F2227" s="475" t="s">
        <v>34</v>
      </c>
      <c r="G2227" s="364">
        <v>92781</v>
      </c>
      <c r="H2227" s="475" t="s">
        <v>1905</v>
      </c>
      <c r="I2227" s="475" t="s">
        <v>315</v>
      </c>
      <c r="J2227" s="475" t="s">
        <v>140</v>
      </c>
      <c r="K2227" s="365">
        <v>5.82</v>
      </c>
      <c r="L2227" s="475" t="s">
        <v>141</v>
      </c>
      <c r="M2227" s="473"/>
    </row>
    <row r="2228" spans="1:13" ht="13.5">
      <c r="A2228" s="475" t="s">
        <v>5400</v>
      </c>
      <c r="B2228" s="475" t="s">
        <v>5401</v>
      </c>
      <c r="C2228" s="475" t="s">
        <v>5410</v>
      </c>
      <c r="D2228" s="475" t="s">
        <v>5411</v>
      </c>
      <c r="E2228" s="476" t="s">
        <v>34</v>
      </c>
      <c r="F2228" s="475" t="s">
        <v>34</v>
      </c>
      <c r="G2228" s="364">
        <v>92782</v>
      </c>
      <c r="H2228" s="475" t="s">
        <v>1906</v>
      </c>
      <c r="I2228" s="475" t="s">
        <v>315</v>
      </c>
      <c r="J2228" s="475" t="s">
        <v>337</v>
      </c>
      <c r="K2228" s="365">
        <v>6.28</v>
      </c>
      <c r="L2228" s="475" t="s">
        <v>141</v>
      </c>
      <c r="M2228" s="473"/>
    </row>
    <row r="2229" spans="1:13" ht="13.5">
      <c r="A2229" s="475" t="s">
        <v>5400</v>
      </c>
      <c r="B2229" s="475" t="s">
        <v>5401</v>
      </c>
      <c r="C2229" s="475" t="s">
        <v>5410</v>
      </c>
      <c r="D2229" s="475" t="s">
        <v>5411</v>
      </c>
      <c r="E2229" s="476" t="s">
        <v>34</v>
      </c>
      <c r="F2229" s="475" t="s">
        <v>34</v>
      </c>
      <c r="G2229" s="364">
        <v>92783</v>
      </c>
      <c r="H2229" s="475" t="s">
        <v>1907</v>
      </c>
      <c r="I2229" s="475" t="s">
        <v>315</v>
      </c>
      <c r="J2229" s="475" t="s">
        <v>140</v>
      </c>
      <c r="K2229" s="365">
        <v>11.83</v>
      </c>
      <c r="L2229" s="475" t="s">
        <v>141</v>
      </c>
      <c r="M2229" s="473"/>
    </row>
    <row r="2230" spans="1:13" ht="13.5">
      <c r="A2230" s="475" t="s">
        <v>5400</v>
      </c>
      <c r="B2230" s="475" t="s">
        <v>5401</v>
      </c>
      <c r="C2230" s="475" t="s">
        <v>5410</v>
      </c>
      <c r="D2230" s="475" t="s">
        <v>5411</v>
      </c>
      <c r="E2230" s="476" t="s">
        <v>34</v>
      </c>
      <c r="F2230" s="475" t="s">
        <v>34</v>
      </c>
      <c r="G2230" s="364">
        <v>92784</v>
      </c>
      <c r="H2230" s="475" t="s">
        <v>1908</v>
      </c>
      <c r="I2230" s="475" t="s">
        <v>315</v>
      </c>
      <c r="J2230" s="475" t="s">
        <v>140</v>
      </c>
      <c r="K2230" s="365">
        <v>10.23</v>
      </c>
      <c r="L2230" s="475" t="s">
        <v>141</v>
      </c>
      <c r="M2230" s="473"/>
    </row>
    <row r="2231" spans="1:13" ht="13.5">
      <c r="A2231" s="475" t="s">
        <v>5400</v>
      </c>
      <c r="B2231" s="475" t="s">
        <v>5401</v>
      </c>
      <c r="C2231" s="475" t="s">
        <v>5410</v>
      </c>
      <c r="D2231" s="475" t="s">
        <v>5411</v>
      </c>
      <c r="E2231" s="476" t="s">
        <v>34</v>
      </c>
      <c r="F2231" s="475" t="s">
        <v>34</v>
      </c>
      <c r="G2231" s="364">
        <v>92785</v>
      </c>
      <c r="H2231" s="475" t="s">
        <v>1909</v>
      </c>
      <c r="I2231" s="475" t="s">
        <v>315</v>
      </c>
      <c r="J2231" s="475" t="s">
        <v>140</v>
      </c>
      <c r="K2231" s="365">
        <v>8.99</v>
      </c>
      <c r="L2231" s="475" t="s">
        <v>141</v>
      </c>
      <c r="M2231" s="473"/>
    </row>
    <row r="2232" spans="1:13" ht="13.5">
      <c r="A2232" s="475" t="s">
        <v>5400</v>
      </c>
      <c r="B2232" s="475" t="s">
        <v>5401</v>
      </c>
      <c r="C2232" s="475" t="s">
        <v>5410</v>
      </c>
      <c r="D2232" s="475" t="s">
        <v>5411</v>
      </c>
      <c r="E2232" s="476" t="s">
        <v>34</v>
      </c>
      <c r="F2232" s="475" t="s">
        <v>34</v>
      </c>
      <c r="G2232" s="364">
        <v>92786</v>
      </c>
      <c r="H2232" s="475" t="s">
        <v>1910</v>
      </c>
      <c r="I2232" s="475" t="s">
        <v>315</v>
      </c>
      <c r="J2232" s="475" t="s">
        <v>140</v>
      </c>
      <c r="K2232" s="365">
        <v>8.8000000000000007</v>
      </c>
      <c r="L2232" s="475" t="s">
        <v>141</v>
      </c>
      <c r="M2232" s="473"/>
    </row>
    <row r="2233" spans="1:13" ht="13.5">
      <c r="A2233" s="475" t="s">
        <v>5400</v>
      </c>
      <c r="B2233" s="475" t="s">
        <v>5401</v>
      </c>
      <c r="C2233" s="475" t="s">
        <v>5410</v>
      </c>
      <c r="D2233" s="475" t="s">
        <v>5411</v>
      </c>
      <c r="E2233" s="476" t="s">
        <v>34</v>
      </c>
      <c r="F2233" s="475" t="s">
        <v>34</v>
      </c>
      <c r="G2233" s="364">
        <v>92787</v>
      </c>
      <c r="H2233" s="475" t="s">
        <v>1911</v>
      </c>
      <c r="I2233" s="475" t="s">
        <v>315</v>
      </c>
      <c r="J2233" s="475" t="s">
        <v>140</v>
      </c>
      <c r="K2233" s="365">
        <v>7.15</v>
      </c>
      <c r="L2233" s="475" t="s">
        <v>141</v>
      </c>
      <c r="M2233" s="473"/>
    </row>
    <row r="2234" spans="1:13" ht="13.5">
      <c r="A2234" s="475" t="s">
        <v>5400</v>
      </c>
      <c r="B2234" s="475" t="s">
        <v>5401</v>
      </c>
      <c r="C2234" s="475" t="s">
        <v>5410</v>
      </c>
      <c r="D2234" s="475" t="s">
        <v>5411</v>
      </c>
      <c r="E2234" s="476" t="s">
        <v>34</v>
      </c>
      <c r="F2234" s="475" t="s">
        <v>34</v>
      </c>
      <c r="G2234" s="364">
        <v>92788</v>
      </c>
      <c r="H2234" s="475" t="s">
        <v>1912</v>
      </c>
      <c r="I2234" s="475" t="s">
        <v>315</v>
      </c>
      <c r="J2234" s="475" t="s">
        <v>140</v>
      </c>
      <c r="K2234" s="365">
        <v>6.39</v>
      </c>
      <c r="L2234" s="475" t="s">
        <v>141</v>
      </c>
      <c r="M2234" s="473"/>
    </row>
    <row r="2235" spans="1:13" ht="13.5">
      <c r="A2235" s="475" t="s">
        <v>5400</v>
      </c>
      <c r="B2235" s="475" t="s">
        <v>5401</v>
      </c>
      <c r="C2235" s="475" t="s">
        <v>5410</v>
      </c>
      <c r="D2235" s="475" t="s">
        <v>5411</v>
      </c>
      <c r="E2235" s="476" t="s">
        <v>34</v>
      </c>
      <c r="F2235" s="475" t="s">
        <v>34</v>
      </c>
      <c r="G2235" s="364">
        <v>92789</v>
      </c>
      <c r="H2235" s="475" t="s">
        <v>1913</v>
      </c>
      <c r="I2235" s="475" t="s">
        <v>315</v>
      </c>
      <c r="J2235" s="475" t="s">
        <v>337</v>
      </c>
      <c r="K2235" s="365">
        <v>5.97</v>
      </c>
      <c r="L2235" s="475" t="s">
        <v>141</v>
      </c>
      <c r="M2235" s="473"/>
    </row>
    <row r="2236" spans="1:13" ht="13.5">
      <c r="A2236" s="475" t="s">
        <v>5400</v>
      </c>
      <c r="B2236" s="475" t="s">
        <v>5401</v>
      </c>
      <c r="C2236" s="475" t="s">
        <v>5410</v>
      </c>
      <c r="D2236" s="475" t="s">
        <v>5411</v>
      </c>
      <c r="E2236" s="476" t="s">
        <v>34</v>
      </c>
      <c r="F2236" s="475" t="s">
        <v>34</v>
      </c>
      <c r="G2236" s="364">
        <v>92790</v>
      </c>
      <c r="H2236" s="475" t="s">
        <v>1914</v>
      </c>
      <c r="I2236" s="475" t="s">
        <v>315</v>
      </c>
      <c r="J2236" s="475" t="s">
        <v>337</v>
      </c>
      <c r="K2236" s="365">
        <v>5.5</v>
      </c>
      <c r="L2236" s="475" t="s">
        <v>141</v>
      </c>
      <c r="M2236" s="473"/>
    </row>
    <row r="2237" spans="1:13" ht="13.5">
      <c r="A2237" s="475" t="s">
        <v>5400</v>
      </c>
      <c r="B2237" s="475" t="s">
        <v>5401</v>
      </c>
      <c r="C2237" s="475" t="s">
        <v>5410</v>
      </c>
      <c r="D2237" s="475" t="s">
        <v>5411</v>
      </c>
      <c r="E2237" s="476" t="s">
        <v>34</v>
      </c>
      <c r="F2237" s="475" t="s">
        <v>34</v>
      </c>
      <c r="G2237" s="364">
        <v>92791</v>
      </c>
      <c r="H2237" s="475" t="s">
        <v>1915</v>
      </c>
      <c r="I2237" s="475" t="s">
        <v>315</v>
      </c>
      <c r="J2237" s="475" t="s">
        <v>337</v>
      </c>
      <c r="K2237" s="365">
        <v>6.69</v>
      </c>
      <c r="L2237" s="475" t="s">
        <v>141</v>
      </c>
      <c r="M2237" s="473"/>
    </row>
    <row r="2238" spans="1:13" ht="13.5">
      <c r="A2238" s="475" t="s">
        <v>5400</v>
      </c>
      <c r="B2238" s="475" t="s">
        <v>5401</v>
      </c>
      <c r="C2238" s="475" t="s">
        <v>5410</v>
      </c>
      <c r="D2238" s="475" t="s">
        <v>5411</v>
      </c>
      <c r="E2238" s="476" t="s">
        <v>34</v>
      </c>
      <c r="F2238" s="475" t="s">
        <v>34</v>
      </c>
      <c r="G2238" s="364">
        <v>92792</v>
      </c>
      <c r="H2238" s="475" t="s">
        <v>1916</v>
      </c>
      <c r="I2238" s="475" t="s">
        <v>315</v>
      </c>
      <c r="J2238" s="475" t="s">
        <v>337</v>
      </c>
      <c r="K2238" s="365">
        <v>6.23</v>
      </c>
      <c r="L2238" s="475" t="s">
        <v>141</v>
      </c>
      <c r="M2238" s="473"/>
    </row>
    <row r="2239" spans="1:13" ht="13.5">
      <c r="A2239" s="475" t="s">
        <v>5400</v>
      </c>
      <c r="B2239" s="475" t="s">
        <v>5401</v>
      </c>
      <c r="C2239" s="475" t="s">
        <v>5410</v>
      </c>
      <c r="D2239" s="475" t="s">
        <v>5411</v>
      </c>
      <c r="E2239" s="476" t="s">
        <v>34</v>
      </c>
      <c r="F2239" s="475" t="s">
        <v>34</v>
      </c>
      <c r="G2239" s="364">
        <v>92793</v>
      </c>
      <c r="H2239" s="475" t="s">
        <v>1917</v>
      </c>
      <c r="I2239" s="475" t="s">
        <v>315</v>
      </c>
      <c r="J2239" s="475" t="s">
        <v>337</v>
      </c>
      <c r="K2239" s="365">
        <v>6.68</v>
      </c>
      <c r="L2239" s="475" t="s">
        <v>141</v>
      </c>
      <c r="M2239" s="473"/>
    </row>
    <row r="2240" spans="1:13" ht="13.5">
      <c r="A2240" s="475" t="s">
        <v>5400</v>
      </c>
      <c r="B2240" s="475" t="s">
        <v>5401</v>
      </c>
      <c r="C2240" s="475" t="s">
        <v>5410</v>
      </c>
      <c r="D2240" s="475" t="s">
        <v>5411</v>
      </c>
      <c r="E2240" s="476" t="s">
        <v>34</v>
      </c>
      <c r="F2240" s="475" t="s">
        <v>34</v>
      </c>
      <c r="G2240" s="364">
        <v>92794</v>
      </c>
      <c r="H2240" s="475" t="s">
        <v>1918</v>
      </c>
      <c r="I2240" s="475" t="s">
        <v>315</v>
      </c>
      <c r="J2240" s="475" t="s">
        <v>337</v>
      </c>
      <c r="K2240" s="365">
        <v>5.54</v>
      </c>
      <c r="L2240" s="475" t="s">
        <v>141</v>
      </c>
      <c r="M2240" s="473"/>
    </row>
    <row r="2241" spans="1:13" ht="13.5">
      <c r="A2241" s="475" t="s">
        <v>5400</v>
      </c>
      <c r="B2241" s="475" t="s">
        <v>5401</v>
      </c>
      <c r="C2241" s="475" t="s">
        <v>5410</v>
      </c>
      <c r="D2241" s="475" t="s">
        <v>5411</v>
      </c>
      <c r="E2241" s="476" t="s">
        <v>34</v>
      </c>
      <c r="F2241" s="475" t="s">
        <v>34</v>
      </c>
      <c r="G2241" s="364">
        <v>92795</v>
      </c>
      <c r="H2241" s="475" t="s">
        <v>1919</v>
      </c>
      <c r="I2241" s="475" t="s">
        <v>315</v>
      </c>
      <c r="J2241" s="475" t="s">
        <v>337</v>
      </c>
      <c r="K2241" s="365">
        <v>5.17</v>
      </c>
      <c r="L2241" s="475" t="s">
        <v>141</v>
      </c>
      <c r="M2241" s="473"/>
    </row>
    <row r="2242" spans="1:13" ht="13.5">
      <c r="A2242" s="475" t="s">
        <v>5400</v>
      </c>
      <c r="B2242" s="475" t="s">
        <v>5401</v>
      </c>
      <c r="C2242" s="475" t="s">
        <v>5410</v>
      </c>
      <c r="D2242" s="475" t="s">
        <v>5411</v>
      </c>
      <c r="E2242" s="476" t="s">
        <v>34</v>
      </c>
      <c r="F2242" s="475" t="s">
        <v>34</v>
      </c>
      <c r="G2242" s="364">
        <v>92796</v>
      </c>
      <c r="H2242" s="475" t="s">
        <v>1920</v>
      </c>
      <c r="I2242" s="475" t="s">
        <v>315</v>
      </c>
      <c r="J2242" s="475" t="s">
        <v>337</v>
      </c>
      <c r="K2242" s="365">
        <v>5.0999999999999996</v>
      </c>
      <c r="L2242" s="475" t="s">
        <v>141</v>
      </c>
      <c r="M2242" s="473"/>
    </row>
    <row r="2243" spans="1:13" ht="13.5">
      <c r="A2243" s="475" t="s">
        <v>5400</v>
      </c>
      <c r="B2243" s="475" t="s">
        <v>5401</v>
      </c>
      <c r="C2243" s="475" t="s">
        <v>5410</v>
      </c>
      <c r="D2243" s="475" t="s">
        <v>5411</v>
      </c>
      <c r="E2243" s="476" t="s">
        <v>34</v>
      </c>
      <c r="F2243" s="475" t="s">
        <v>34</v>
      </c>
      <c r="G2243" s="364">
        <v>92797</v>
      </c>
      <c r="H2243" s="475" t="s">
        <v>1921</v>
      </c>
      <c r="I2243" s="475" t="s">
        <v>315</v>
      </c>
      <c r="J2243" s="475" t="s">
        <v>337</v>
      </c>
      <c r="K2243" s="365">
        <v>4.8600000000000003</v>
      </c>
      <c r="L2243" s="475" t="s">
        <v>141</v>
      </c>
      <c r="M2243" s="473"/>
    </row>
    <row r="2244" spans="1:13" ht="13.5">
      <c r="A2244" s="475" t="s">
        <v>5400</v>
      </c>
      <c r="B2244" s="475" t="s">
        <v>5401</v>
      </c>
      <c r="C2244" s="475" t="s">
        <v>5410</v>
      </c>
      <c r="D2244" s="475" t="s">
        <v>5411</v>
      </c>
      <c r="E2244" s="476" t="s">
        <v>34</v>
      </c>
      <c r="F2244" s="475" t="s">
        <v>34</v>
      </c>
      <c r="G2244" s="364">
        <v>92798</v>
      </c>
      <c r="H2244" s="475" t="s">
        <v>1922</v>
      </c>
      <c r="I2244" s="475" t="s">
        <v>315</v>
      </c>
      <c r="J2244" s="475" t="s">
        <v>337</v>
      </c>
      <c r="K2244" s="365">
        <v>5.6</v>
      </c>
      <c r="L2244" s="475" t="s">
        <v>141</v>
      </c>
      <c r="M2244" s="473"/>
    </row>
    <row r="2245" spans="1:13" ht="13.5">
      <c r="A2245" s="475" t="s">
        <v>5400</v>
      </c>
      <c r="B2245" s="475" t="s">
        <v>5401</v>
      </c>
      <c r="C2245" s="475" t="s">
        <v>5410</v>
      </c>
      <c r="D2245" s="475" t="s">
        <v>5411</v>
      </c>
      <c r="E2245" s="476" t="s">
        <v>34</v>
      </c>
      <c r="F2245" s="475" t="s">
        <v>34</v>
      </c>
      <c r="G2245" s="364">
        <v>92799</v>
      </c>
      <c r="H2245" s="475" t="s">
        <v>1923</v>
      </c>
      <c r="I2245" s="475" t="s">
        <v>315</v>
      </c>
      <c r="J2245" s="475" t="s">
        <v>337</v>
      </c>
      <c r="K2245" s="365">
        <v>7.03</v>
      </c>
      <c r="L2245" s="475" t="s">
        <v>141</v>
      </c>
      <c r="M2245" s="473"/>
    </row>
    <row r="2246" spans="1:13" ht="13.5">
      <c r="A2246" s="475" t="s">
        <v>5400</v>
      </c>
      <c r="B2246" s="475" t="s">
        <v>5401</v>
      </c>
      <c r="C2246" s="475" t="s">
        <v>5410</v>
      </c>
      <c r="D2246" s="475" t="s">
        <v>5411</v>
      </c>
      <c r="E2246" s="476" t="s">
        <v>34</v>
      </c>
      <c r="F2246" s="475" t="s">
        <v>34</v>
      </c>
      <c r="G2246" s="364">
        <v>92800</v>
      </c>
      <c r="H2246" s="475" t="s">
        <v>1924</v>
      </c>
      <c r="I2246" s="475" t="s">
        <v>315</v>
      </c>
      <c r="J2246" s="475" t="s">
        <v>337</v>
      </c>
      <c r="K2246" s="365">
        <v>6.29</v>
      </c>
      <c r="L2246" s="475" t="s">
        <v>141</v>
      </c>
      <c r="M2246" s="473"/>
    </row>
    <row r="2247" spans="1:13" ht="13.5">
      <c r="A2247" s="475" t="s">
        <v>5400</v>
      </c>
      <c r="B2247" s="475" t="s">
        <v>5401</v>
      </c>
      <c r="C2247" s="475" t="s">
        <v>5410</v>
      </c>
      <c r="D2247" s="475" t="s">
        <v>5411</v>
      </c>
      <c r="E2247" s="476" t="s">
        <v>34</v>
      </c>
      <c r="F2247" s="475" t="s">
        <v>34</v>
      </c>
      <c r="G2247" s="364">
        <v>92801</v>
      </c>
      <c r="H2247" s="475" t="s">
        <v>1925</v>
      </c>
      <c r="I2247" s="475" t="s">
        <v>315</v>
      </c>
      <c r="J2247" s="475" t="s">
        <v>337</v>
      </c>
      <c r="K2247" s="365">
        <v>6</v>
      </c>
      <c r="L2247" s="475" t="s">
        <v>141</v>
      </c>
      <c r="M2247" s="473"/>
    </row>
    <row r="2248" spans="1:13" ht="13.5">
      <c r="A2248" s="475" t="s">
        <v>5400</v>
      </c>
      <c r="B2248" s="475" t="s">
        <v>5401</v>
      </c>
      <c r="C2248" s="475" t="s">
        <v>5410</v>
      </c>
      <c r="D2248" s="475" t="s">
        <v>5411</v>
      </c>
      <c r="E2248" s="476" t="s">
        <v>34</v>
      </c>
      <c r="F2248" s="475" t="s">
        <v>34</v>
      </c>
      <c r="G2248" s="364">
        <v>92802</v>
      </c>
      <c r="H2248" s="475" t="s">
        <v>1926</v>
      </c>
      <c r="I2248" s="475" t="s">
        <v>315</v>
      </c>
      <c r="J2248" s="475" t="s">
        <v>337</v>
      </c>
      <c r="K2248" s="365">
        <v>6.56</v>
      </c>
      <c r="L2248" s="475" t="s">
        <v>141</v>
      </c>
      <c r="M2248" s="473"/>
    </row>
    <row r="2249" spans="1:13" ht="13.5">
      <c r="A2249" s="475" t="s">
        <v>5400</v>
      </c>
      <c r="B2249" s="475" t="s">
        <v>5401</v>
      </c>
      <c r="C2249" s="475" t="s">
        <v>5410</v>
      </c>
      <c r="D2249" s="475" t="s">
        <v>5411</v>
      </c>
      <c r="E2249" s="476" t="s">
        <v>34</v>
      </c>
      <c r="F2249" s="475" t="s">
        <v>34</v>
      </c>
      <c r="G2249" s="364">
        <v>92803</v>
      </c>
      <c r="H2249" s="475" t="s">
        <v>1927</v>
      </c>
      <c r="I2249" s="475" t="s">
        <v>315</v>
      </c>
      <c r="J2249" s="475" t="s">
        <v>337</v>
      </c>
      <c r="K2249" s="365">
        <v>5.46</v>
      </c>
      <c r="L2249" s="475" t="s">
        <v>141</v>
      </c>
      <c r="M2249" s="473"/>
    </row>
    <row r="2250" spans="1:13" ht="13.5">
      <c r="A2250" s="475" t="s">
        <v>5400</v>
      </c>
      <c r="B2250" s="475" t="s">
        <v>5401</v>
      </c>
      <c r="C2250" s="475" t="s">
        <v>5410</v>
      </c>
      <c r="D2250" s="475" t="s">
        <v>5411</v>
      </c>
      <c r="E2250" s="476" t="s">
        <v>34</v>
      </c>
      <c r="F2250" s="475" t="s">
        <v>34</v>
      </c>
      <c r="G2250" s="364">
        <v>92804</v>
      </c>
      <c r="H2250" s="475" t="s">
        <v>1928</v>
      </c>
      <c r="I2250" s="475" t="s">
        <v>315</v>
      </c>
      <c r="J2250" s="475" t="s">
        <v>337</v>
      </c>
      <c r="K2250" s="365">
        <v>5.13</v>
      </c>
      <c r="L2250" s="475" t="s">
        <v>141</v>
      </c>
      <c r="M2250" s="473"/>
    </row>
    <row r="2251" spans="1:13" ht="13.5">
      <c r="A2251" s="475" t="s">
        <v>5400</v>
      </c>
      <c r="B2251" s="475" t="s">
        <v>5401</v>
      </c>
      <c r="C2251" s="475" t="s">
        <v>5410</v>
      </c>
      <c r="D2251" s="475" t="s">
        <v>5411</v>
      </c>
      <c r="E2251" s="476" t="s">
        <v>34</v>
      </c>
      <c r="F2251" s="475" t="s">
        <v>34</v>
      </c>
      <c r="G2251" s="364">
        <v>92805</v>
      </c>
      <c r="H2251" s="475" t="s">
        <v>1929</v>
      </c>
      <c r="I2251" s="475" t="s">
        <v>315</v>
      </c>
      <c r="J2251" s="475" t="s">
        <v>337</v>
      </c>
      <c r="K2251" s="365">
        <v>5.07</v>
      </c>
      <c r="L2251" s="475" t="s">
        <v>141</v>
      </c>
      <c r="M2251" s="473"/>
    </row>
    <row r="2252" spans="1:13" ht="13.5">
      <c r="A2252" s="475" t="s">
        <v>5400</v>
      </c>
      <c r="B2252" s="475" t="s">
        <v>5401</v>
      </c>
      <c r="C2252" s="475" t="s">
        <v>5410</v>
      </c>
      <c r="D2252" s="475" t="s">
        <v>5411</v>
      </c>
      <c r="E2252" s="476" t="s">
        <v>34</v>
      </c>
      <c r="F2252" s="475" t="s">
        <v>34</v>
      </c>
      <c r="G2252" s="364">
        <v>92806</v>
      </c>
      <c r="H2252" s="475" t="s">
        <v>1930</v>
      </c>
      <c r="I2252" s="475" t="s">
        <v>315</v>
      </c>
      <c r="J2252" s="475" t="s">
        <v>337</v>
      </c>
      <c r="K2252" s="365">
        <v>4.8499999999999996</v>
      </c>
      <c r="L2252" s="475" t="s">
        <v>141</v>
      </c>
      <c r="M2252" s="473"/>
    </row>
    <row r="2253" spans="1:13" ht="13.5">
      <c r="A2253" s="475" t="s">
        <v>5400</v>
      </c>
      <c r="B2253" s="475" t="s">
        <v>5401</v>
      </c>
      <c r="C2253" s="475" t="s">
        <v>5410</v>
      </c>
      <c r="D2253" s="475" t="s">
        <v>5411</v>
      </c>
      <c r="E2253" s="476" t="s">
        <v>34</v>
      </c>
      <c r="F2253" s="475" t="s">
        <v>34</v>
      </c>
      <c r="G2253" s="364">
        <v>92875</v>
      </c>
      <c r="H2253" s="475" t="s">
        <v>1931</v>
      </c>
      <c r="I2253" s="475" t="s">
        <v>315</v>
      </c>
      <c r="J2253" s="475" t="s">
        <v>337</v>
      </c>
      <c r="K2253" s="365">
        <v>6.3</v>
      </c>
      <c r="L2253" s="475" t="s">
        <v>141</v>
      </c>
      <c r="M2253" s="473"/>
    </row>
    <row r="2254" spans="1:13" ht="13.5">
      <c r="A2254" s="475" t="s">
        <v>5400</v>
      </c>
      <c r="B2254" s="475" t="s">
        <v>5401</v>
      </c>
      <c r="C2254" s="475" t="s">
        <v>5410</v>
      </c>
      <c r="D2254" s="475" t="s">
        <v>5411</v>
      </c>
      <c r="E2254" s="476" t="s">
        <v>34</v>
      </c>
      <c r="F2254" s="475" t="s">
        <v>34</v>
      </c>
      <c r="G2254" s="364">
        <v>92876</v>
      </c>
      <c r="H2254" s="475" t="s">
        <v>1932</v>
      </c>
      <c r="I2254" s="475" t="s">
        <v>315</v>
      </c>
      <c r="J2254" s="475" t="s">
        <v>337</v>
      </c>
      <c r="K2254" s="365">
        <v>6.04</v>
      </c>
      <c r="L2254" s="475" t="s">
        <v>141</v>
      </c>
      <c r="M2254" s="473"/>
    </row>
    <row r="2255" spans="1:13" ht="13.5">
      <c r="A2255" s="475" t="s">
        <v>5400</v>
      </c>
      <c r="B2255" s="475" t="s">
        <v>5401</v>
      </c>
      <c r="C2255" s="475" t="s">
        <v>5410</v>
      </c>
      <c r="D2255" s="475" t="s">
        <v>5411</v>
      </c>
      <c r="E2255" s="476" t="s">
        <v>34</v>
      </c>
      <c r="F2255" s="475" t="s">
        <v>34</v>
      </c>
      <c r="G2255" s="364">
        <v>92877</v>
      </c>
      <c r="H2255" s="475" t="s">
        <v>1933</v>
      </c>
      <c r="I2255" s="475" t="s">
        <v>315</v>
      </c>
      <c r="J2255" s="475" t="s">
        <v>337</v>
      </c>
      <c r="K2255" s="365">
        <v>5.47</v>
      </c>
      <c r="L2255" s="475" t="s">
        <v>141</v>
      </c>
      <c r="M2255" s="473"/>
    </row>
    <row r="2256" spans="1:13" ht="13.5">
      <c r="A2256" s="475" t="s">
        <v>5400</v>
      </c>
      <c r="B2256" s="475" t="s">
        <v>5401</v>
      </c>
      <c r="C2256" s="475" t="s">
        <v>5410</v>
      </c>
      <c r="D2256" s="475" t="s">
        <v>5411</v>
      </c>
      <c r="E2256" s="476" t="s">
        <v>34</v>
      </c>
      <c r="F2256" s="475" t="s">
        <v>34</v>
      </c>
      <c r="G2256" s="364">
        <v>92878</v>
      </c>
      <c r="H2256" s="475" t="s">
        <v>1934</v>
      </c>
      <c r="I2256" s="475" t="s">
        <v>315</v>
      </c>
      <c r="J2256" s="475" t="s">
        <v>337</v>
      </c>
      <c r="K2256" s="365">
        <v>5.4</v>
      </c>
      <c r="L2256" s="475" t="s">
        <v>141</v>
      </c>
      <c r="M2256" s="473"/>
    </row>
    <row r="2257" spans="1:13" ht="13.5">
      <c r="A2257" s="475" t="s">
        <v>5400</v>
      </c>
      <c r="B2257" s="475" t="s">
        <v>5401</v>
      </c>
      <c r="C2257" s="475" t="s">
        <v>5410</v>
      </c>
      <c r="D2257" s="475" t="s">
        <v>5411</v>
      </c>
      <c r="E2257" s="476" t="s">
        <v>34</v>
      </c>
      <c r="F2257" s="475" t="s">
        <v>34</v>
      </c>
      <c r="G2257" s="364">
        <v>92879</v>
      </c>
      <c r="H2257" s="475" t="s">
        <v>1935</v>
      </c>
      <c r="I2257" s="475" t="s">
        <v>315</v>
      </c>
      <c r="J2257" s="475" t="s">
        <v>337</v>
      </c>
      <c r="K2257" s="365">
        <v>5.33</v>
      </c>
      <c r="L2257" s="475" t="s">
        <v>141</v>
      </c>
      <c r="M2257" s="473"/>
    </row>
    <row r="2258" spans="1:13" ht="13.5">
      <c r="A2258" s="475" t="s">
        <v>5400</v>
      </c>
      <c r="B2258" s="475" t="s">
        <v>5401</v>
      </c>
      <c r="C2258" s="475" t="s">
        <v>5410</v>
      </c>
      <c r="D2258" s="475" t="s">
        <v>5411</v>
      </c>
      <c r="E2258" s="476" t="s">
        <v>34</v>
      </c>
      <c r="F2258" s="475" t="s">
        <v>34</v>
      </c>
      <c r="G2258" s="364">
        <v>92880</v>
      </c>
      <c r="H2258" s="475" t="s">
        <v>1936</v>
      </c>
      <c r="I2258" s="475" t="s">
        <v>315</v>
      </c>
      <c r="J2258" s="475" t="s">
        <v>337</v>
      </c>
      <c r="K2258" s="365">
        <v>5.43</v>
      </c>
      <c r="L2258" s="475" t="s">
        <v>141</v>
      </c>
      <c r="M2258" s="473"/>
    </row>
    <row r="2259" spans="1:13" ht="13.5">
      <c r="A2259" s="475" t="s">
        <v>5400</v>
      </c>
      <c r="B2259" s="475" t="s">
        <v>5401</v>
      </c>
      <c r="C2259" s="475" t="s">
        <v>5410</v>
      </c>
      <c r="D2259" s="475" t="s">
        <v>5411</v>
      </c>
      <c r="E2259" s="476" t="s">
        <v>34</v>
      </c>
      <c r="F2259" s="475" t="s">
        <v>34</v>
      </c>
      <c r="G2259" s="364">
        <v>92881</v>
      </c>
      <c r="H2259" s="475" t="s">
        <v>1937</v>
      </c>
      <c r="I2259" s="475" t="s">
        <v>315</v>
      </c>
      <c r="J2259" s="475" t="s">
        <v>337</v>
      </c>
      <c r="K2259" s="365">
        <v>5.42</v>
      </c>
      <c r="L2259" s="475" t="s">
        <v>141</v>
      </c>
      <c r="M2259" s="473"/>
    </row>
    <row r="2260" spans="1:13" ht="13.5">
      <c r="A2260" s="475" t="s">
        <v>5400</v>
      </c>
      <c r="B2260" s="475" t="s">
        <v>5401</v>
      </c>
      <c r="C2260" s="475" t="s">
        <v>5410</v>
      </c>
      <c r="D2260" s="475" t="s">
        <v>5411</v>
      </c>
      <c r="E2260" s="476" t="s">
        <v>34</v>
      </c>
      <c r="F2260" s="475" t="s">
        <v>34</v>
      </c>
      <c r="G2260" s="364">
        <v>92882</v>
      </c>
      <c r="H2260" s="475" t="s">
        <v>1938</v>
      </c>
      <c r="I2260" s="475" t="s">
        <v>315</v>
      </c>
      <c r="J2260" s="475" t="s">
        <v>140</v>
      </c>
      <c r="K2260" s="365">
        <v>8.77</v>
      </c>
      <c r="L2260" s="475" t="s">
        <v>141</v>
      </c>
      <c r="M2260" s="473"/>
    </row>
    <row r="2261" spans="1:13" ht="13.5">
      <c r="A2261" s="475" t="s">
        <v>5400</v>
      </c>
      <c r="B2261" s="475" t="s">
        <v>5401</v>
      </c>
      <c r="C2261" s="475" t="s">
        <v>5410</v>
      </c>
      <c r="D2261" s="475" t="s">
        <v>5411</v>
      </c>
      <c r="E2261" s="476" t="s">
        <v>34</v>
      </c>
      <c r="F2261" s="475" t="s">
        <v>34</v>
      </c>
      <c r="G2261" s="364">
        <v>92883</v>
      </c>
      <c r="H2261" s="475" t="s">
        <v>1939</v>
      </c>
      <c r="I2261" s="475" t="s">
        <v>315</v>
      </c>
      <c r="J2261" s="475" t="s">
        <v>140</v>
      </c>
      <c r="K2261" s="365">
        <v>7.96</v>
      </c>
      <c r="L2261" s="475" t="s">
        <v>141</v>
      </c>
      <c r="M2261" s="473"/>
    </row>
    <row r="2262" spans="1:13" ht="13.5">
      <c r="A2262" s="475" t="s">
        <v>5400</v>
      </c>
      <c r="B2262" s="475" t="s">
        <v>5401</v>
      </c>
      <c r="C2262" s="475" t="s">
        <v>5410</v>
      </c>
      <c r="D2262" s="475" t="s">
        <v>5411</v>
      </c>
      <c r="E2262" s="476" t="s">
        <v>34</v>
      </c>
      <c r="F2262" s="475" t="s">
        <v>34</v>
      </c>
      <c r="G2262" s="364">
        <v>92884</v>
      </c>
      <c r="H2262" s="475" t="s">
        <v>1940</v>
      </c>
      <c r="I2262" s="475" t="s">
        <v>315</v>
      </c>
      <c r="J2262" s="475" t="s">
        <v>140</v>
      </c>
      <c r="K2262" s="365">
        <v>6.97</v>
      </c>
      <c r="L2262" s="475" t="s">
        <v>141</v>
      </c>
      <c r="M2262" s="473"/>
    </row>
    <row r="2263" spans="1:13" ht="13.5">
      <c r="A2263" s="475" t="s">
        <v>5400</v>
      </c>
      <c r="B2263" s="475" t="s">
        <v>5401</v>
      </c>
      <c r="C2263" s="475" t="s">
        <v>5410</v>
      </c>
      <c r="D2263" s="475" t="s">
        <v>5411</v>
      </c>
      <c r="E2263" s="476" t="s">
        <v>34</v>
      </c>
      <c r="F2263" s="475" t="s">
        <v>34</v>
      </c>
      <c r="G2263" s="364">
        <v>92885</v>
      </c>
      <c r="H2263" s="475" t="s">
        <v>1941</v>
      </c>
      <c r="I2263" s="475" t="s">
        <v>315</v>
      </c>
      <c r="J2263" s="475" t="s">
        <v>140</v>
      </c>
      <c r="K2263" s="365">
        <v>6.56</v>
      </c>
      <c r="L2263" s="475" t="s">
        <v>141</v>
      </c>
      <c r="M2263" s="473"/>
    </row>
    <row r="2264" spans="1:13" ht="13.5">
      <c r="A2264" s="475" t="s">
        <v>5400</v>
      </c>
      <c r="B2264" s="475" t="s">
        <v>5401</v>
      </c>
      <c r="C2264" s="475" t="s">
        <v>5410</v>
      </c>
      <c r="D2264" s="475" t="s">
        <v>5411</v>
      </c>
      <c r="E2264" s="476" t="s">
        <v>34</v>
      </c>
      <c r="F2264" s="475" t="s">
        <v>34</v>
      </c>
      <c r="G2264" s="364">
        <v>92886</v>
      </c>
      <c r="H2264" s="475" t="s">
        <v>1942</v>
      </c>
      <c r="I2264" s="475" t="s">
        <v>315</v>
      </c>
      <c r="J2264" s="475" t="s">
        <v>140</v>
      </c>
      <c r="K2264" s="365">
        <v>6.21</v>
      </c>
      <c r="L2264" s="475" t="s">
        <v>141</v>
      </c>
      <c r="M2264" s="473"/>
    </row>
    <row r="2265" spans="1:13" ht="13.5">
      <c r="A2265" s="475" t="s">
        <v>5400</v>
      </c>
      <c r="B2265" s="475" t="s">
        <v>5401</v>
      </c>
      <c r="C2265" s="475" t="s">
        <v>5410</v>
      </c>
      <c r="D2265" s="475" t="s">
        <v>5411</v>
      </c>
      <c r="E2265" s="476" t="s">
        <v>34</v>
      </c>
      <c r="F2265" s="475" t="s">
        <v>34</v>
      </c>
      <c r="G2265" s="364">
        <v>92887</v>
      </c>
      <c r="H2265" s="475" t="s">
        <v>1943</v>
      </c>
      <c r="I2265" s="475" t="s">
        <v>315</v>
      </c>
      <c r="J2265" s="475" t="s">
        <v>140</v>
      </c>
      <c r="K2265" s="365">
        <v>6.09</v>
      </c>
      <c r="L2265" s="475" t="s">
        <v>141</v>
      </c>
      <c r="M2265" s="473"/>
    </row>
    <row r="2266" spans="1:13" ht="13.5">
      <c r="A2266" s="475" t="s">
        <v>5400</v>
      </c>
      <c r="B2266" s="475" t="s">
        <v>5401</v>
      </c>
      <c r="C2266" s="475" t="s">
        <v>5410</v>
      </c>
      <c r="D2266" s="475" t="s">
        <v>5411</v>
      </c>
      <c r="E2266" s="476" t="s">
        <v>34</v>
      </c>
      <c r="F2266" s="475" t="s">
        <v>34</v>
      </c>
      <c r="G2266" s="364">
        <v>92888</v>
      </c>
      <c r="H2266" s="475" t="s">
        <v>1944</v>
      </c>
      <c r="I2266" s="475" t="s">
        <v>315</v>
      </c>
      <c r="J2266" s="475" t="s">
        <v>337</v>
      </c>
      <c r="K2266" s="365">
        <v>5.92</v>
      </c>
      <c r="L2266" s="475" t="s">
        <v>141</v>
      </c>
      <c r="M2266" s="473"/>
    </row>
    <row r="2267" spans="1:13" ht="13.5">
      <c r="A2267" s="475" t="s">
        <v>5400</v>
      </c>
      <c r="B2267" s="475" t="s">
        <v>5401</v>
      </c>
      <c r="C2267" s="475" t="s">
        <v>5410</v>
      </c>
      <c r="D2267" s="475" t="s">
        <v>5411</v>
      </c>
      <c r="E2267" s="476" t="s">
        <v>34</v>
      </c>
      <c r="F2267" s="475" t="s">
        <v>34</v>
      </c>
      <c r="G2267" s="364">
        <v>92915</v>
      </c>
      <c r="H2267" s="475" t="s">
        <v>1945</v>
      </c>
      <c r="I2267" s="475" t="s">
        <v>315</v>
      </c>
      <c r="J2267" s="475" t="s">
        <v>140</v>
      </c>
      <c r="K2267" s="365">
        <v>10.9</v>
      </c>
      <c r="L2267" s="475" t="s">
        <v>141</v>
      </c>
      <c r="M2267" s="473"/>
    </row>
    <row r="2268" spans="1:13" ht="13.5">
      <c r="A2268" s="475" t="s">
        <v>5400</v>
      </c>
      <c r="B2268" s="475" t="s">
        <v>5401</v>
      </c>
      <c r="C2268" s="475" t="s">
        <v>5410</v>
      </c>
      <c r="D2268" s="475" t="s">
        <v>5411</v>
      </c>
      <c r="E2268" s="476" t="s">
        <v>34</v>
      </c>
      <c r="F2268" s="475" t="s">
        <v>34</v>
      </c>
      <c r="G2268" s="364">
        <v>92916</v>
      </c>
      <c r="H2268" s="475" t="s">
        <v>1946</v>
      </c>
      <c r="I2268" s="475" t="s">
        <v>315</v>
      </c>
      <c r="J2268" s="475" t="s">
        <v>140</v>
      </c>
      <c r="K2268" s="365">
        <v>9.52</v>
      </c>
      <c r="L2268" s="475" t="s">
        <v>141</v>
      </c>
      <c r="M2268" s="473"/>
    </row>
    <row r="2269" spans="1:13" ht="13.5">
      <c r="A2269" s="475" t="s">
        <v>5400</v>
      </c>
      <c r="B2269" s="475" t="s">
        <v>5401</v>
      </c>
      <c r="C2269" s="475" t="s">
        <v>5410</v>
      </c>
      <c r="D2269" s="475" t="s">
        <v>5411</v>
      </c>
      <c r="E2269" s="476" t="s">
        <v>34</v>
      </c>
      <c r="F2269" s="475" t="s">
        <v>34</v>
      </c>
      <c r="G2269" s="364">
        <v>92917</v>
      </c>
      <c r="H2269" s="475" t="s">
        <v>1947</v>
      </c>
      <c r="I2269" s="475" t="s">
        <v>315</v>
      </c>
      <c r="J2269" s="475" t="s">
        <v>140</v>
      </c>
      <c r="K2269" s="365">
        <v>9.2200000000000006</v>
      </c>
      <c r="L2269" s="475" t="s">
        <v>141</v>
      </c>
      <c r="M2269" s="473"/>
    </row>
    <row r="2270" spans="1:13" ht="13.5">
      <c r="A2270" s="475" t="s">
        <v>5400</v>
      </c>
      <c r="B2270" s="475" t="s">
        <v>5401</v>
      </c>
      <c r="C2270" s="475" t="s">
        <v>5410</v>
      </c>
      <c r="D2270" s="475" t="s">
        <v>5411</v>
      </c>
      <c r="E2270" s="476" t="s">
        <v>34</v>
      </c>
      <c r="F2270" s="475" t="s">
        <v>34</v>
      </c>
      <c r="G2270" s="364">
        <v>92919</v>
      </c>
      <c r="H2270" s="475" t="s">
        <v>1948</v>
      </c>
      <c r="I2270" s="475" t="s">
        <v>315</v>
      </c>
      <c r="J2270" s="475" t="s">
        <v>140</v>
      </c>
      <c r="K2270" s="365">
        <v>7.51</v>
      </c>
      <c r="L2270" s="475" t="s">
        <v>141</v>
      </c>
      <c r="M2270" s="473"/>
    </row>
    <row r="2271" spans="1:13" ht="13.5">
      <c r="A2271" s="475" t="s">
        <v>5400</v>
      </c>
      <c r="B2271" s="475" t="s">
        <v>5401</v>
      </c>
      <c r="C2271" s="475" t="s">
        <v>5410</v>
      </c>
      <c r="D2271" s="475" t="s">
        <v>5411</v>
      </c>
      <c r="E2271" s="476" t="s">
        <v>34</v>
      </c>
      <c r="F2271" s="475" t="s">
        <v>34</v>
      </c>
      <c r="G2271" s="364">
        <v>92921</v>
      </c>
      <c r="H2271" s="475" t="s">
        <v>1949</v>
      </c>
      <c r="I2271" s="475" t="s">
        <v>315</v>
      </c>
      <c r="J2271" s="475" t="s">
        <v>140</v>
      </c>
      <c r="K2271" s="365">
        <v>6.67</v>
      </c>
      <c r="L2271" s="475" t="s">
        <v>141</v>
      </c>
      <c r="M2271" s="473"/>
    </row>
    <row r="2272" spans="1:13" ht="13.5">
      <c r="A2272" s="475" t="s">
        <v>5400</v>
      </c>
      <c r="B2272" s="475" t="s">
        <v>5401</v>
      </c>
      <c r="C2272" s="475" t="s">
        <v>5410</v>
      </c>
      <c r="D2272" s="475" t="s">
        <v>5411</v>
      </c>
      <c r="E2272" s="476" t="s">
        <v>34</v>
      </c>
      <c r="F2272" s="475" t="s">
        <v>34</v>
      </c>
      <c r="G2272" s="364">
        <v>92922</v>
      </c>
      <c r="H2272" s="475" t="s">
        <v>1950</v>
      </c>
      <c r="I2272" s="475" t="s">
        <v>315</v>
      </c>
      <c r="J2272" s="475" t="s">
        <v>140</v>
      </c>
      <c r="K2272" s="365">
        <v>6.21</v>
      </c>
      <c r="L2272" s="475" t="s">
        <v>141</v>
      </c>
      <c r="M2272" s="473"/>
    </row>
    <row r="2273" spans="1:13" ht="13.5">
      <c r="A2273" s="475" t="s">
        <v>5400</v>
      </c>
      <c r="B2273" s="475" t="s">
        <v>5401</v>
      </c>
      <c r="C2273" s="475" t="s">
        <v>5410</v>
      </c>
      <c r="D2273" s="475" t="s">
        <v>5411</v>
      </c>
      <c r="E2273" s="476" t="s">
        <v>34</v>
      </c>
      <c r="F2273" s="475" t="s">
        <v>34</v>
      </c>
      <c r="G2273" s="364">
        <v>92923</v>
      </c>
      <c r="H2273" s="475" t="s">
        <v>1951</v>
      </c>
      <c r="I2273" s="475" t="s">
        <v>315</v>
      </c>
      <c r="J2273" s="475" t="s">
        <v>140</v>
      </c>
      <c r="K2273" s="365">
        <v>5.68</v>
      </c>
      <c r="L2273" s="475" t="s">
        <v>141</v>
      </c>
      <c r="M2273" s="473"/>
    </row>
    <row r="2274" spans="1:13" ht="13.5">
      <c r="A2274" s="475" t="s">
        <v>5400</v>
      </c>
      <c r="B2274" s="475" t="s">
        <v>5401</v>
      </c>
      <c r="C2274" s="475" t="s">
        <v>5410</v>
      </c>
      <c r="D2274" s="475" t="s">
        <v>5411</v>
      </c>
      <c r="E2274" s="476" t="s">
        <v>34</v>
      </c>
      <c r="F2274" s="475" t="s">
        <v>34</v>
      </c>
      <c r="G2274" s="364">
        <v>92924</v>
      </c>
      <c r="H2274" s="475" t="s">
        <v>1952</v>
      </c>
      <c r="I2274" s="475" t="s">
        <v>315</v>
      </c>
      <c r="J2274" s="475" t="s">
        <v>337</v>
      </c>
      <c r="K2274" s="365">
        <v>6.19</v>
      </c>
      <c r="L2274" s="475" t="s">
        <v>141</v>
      </c>
      <c r="M2274" s="473"/>
    </row>
    <row r="2275" spans="1:13" ht="13.5">
      <c r="A2275" s="475" t="s">
        <v>5400</v>
      </c>
      <c r="B2275" s="475" t="s">
        <v>5401</v>
      </c>
      <c r="C2275" s="475" t="s">
        <v>5410</v>
      </c>
      <c r="D2275" s="475" t="s">
        <v>5411</v>
      </c>
      <c r="E2275" s="476" t="s">
        <v>34</v>
      </c>
      <c r="F2275" s="475" t="s">
        <v>34</v>
      </c>
      <c r="G2275" s="364">
        <v>95445</v>
      </c>
      <c r="H2275" s="475" t="s">
        <v>1953</v>
      </c>
      <c r="I2275" s="475" t="s">
        <v>315</v>
      </c>
      <c r="J2275" s="475" t="s">
        <v>337</v>
      </c>
      <c r="K2275" s="365">
        <v>5.27</v>
      </c>
      <c r="L2275" s="475" t="s">
        <v>141</v>
      </c>
      <c r="M2275" s="473"/>
    </row>
    <row r="2276" spans="1:13" ht="13.5">
      <c r="A2276" s="475" t="s">
        <v>5400</v>
      </c>
      <c r="B2276" s="475" t="s">
        <v>5401</v>
      </c>
      <c r="C2276" s="475" t="s">
        <v>5410</v>
      </c>
      <c r="D2276" s="475" t="s">
        <v>5411</v>
      </c>
      <c r="E2276" s="476" t="s">
        <v>34</v>
      </c>
      <c r="F2276" s="475" t="s">
        <v>34</v>
      </c>
      <c r="G2276" s="364">
        <v>95446</v>
      </c>
      <c r="H2276" s="475" t="s">
        <v>1954</v>
      </c>
      <c r="I2276" s="475" t="s">
        <v>315</v>
      </c>
      <c r="J2276" s="475" t="s">
        <v>337</v>
      </c>
      <c r="K2276" s="365">
        <v>5.4</v>
      </c>
      <c r="L2276" s="475" t="s">
        <v>141</v>
      </c>
      <c r="M2276" s="473"/>
    </row>
    <row r="2277" spans="1:13" ht="13.5">
      <c r="A2277" s="475" t="s">
        <v>5400</v>
      </c>
      <c r="B2277" s="475" t="s">
        <v>5401</v>
      </c>
      <c r="C2277" s="475" t="s">
        <v>5410</v>
      </c>
      <c r="D2277" s="475" t="s">
        <v>5411</v>
      </c>
      <c r="E2277" s="476" t="s">
        <v>34</v>
      </c>
      <c r="F2277" s="475" t="s">
        <v>34</v>
      </c>
      <c r="G2277" s="364">
        <v>95576</v>
      </c>
      <c r="H2277" s="475" t="s">
        <v>5968</v>
      </c>
      <c r="I2277" s="475" t="s">
        <v>315</v>
      </c>
      <c r="J2277" s="475" t="s">
        <v>337</v>
      </c>
      <c r="K2277" s="365">
        <v>8.7200000000000006</v>
      </c>
      <c r="L2277" s="475" t="s">
        <v>141</v>
      </c>
      <c r="M2277" s="473"/>
    </row>
    <row r="2278" spans="1:13" ht="13.5">
      <c r="A2278" s="475" t="s">
        <v>5400</v>
      </c>
      <c r="B2278" s="475" t="s">
        <v>5401</v>
      </c>
      <c r="C2278" s="475" t="s">
        <v>5410</v>
      </c>
      <c r="D2278" s="475" t="s">
        <v>5411</v>
      </c>
      <c r="E2278" s="476" t="s">
        <v>34</v>
      </c>
      <c r="F2278" s="475" t="s">
        <v>34</v>
      </c>
      <c r="G2278" s="364">
        <v>95577</v>
      </c>
      <c r="H2278" s="475" t="s">
        <v>1955</v>
      </c>
      <c r="I2278" s="475" t="s">
        <v>315</v>
      </c>
      <c r="J2278" s="475" t="s">
        <v>337</v>
      </c>
      <c r="K2278" s="365">
        <v>7.23</v>
      </c>
      <c r="L2278" s="475" t="s">
        <v>141</v>
      </c>
      <c r="M2278" s="473"/>
    </row>
    <row r="2279" spans="1:13" ht="13.5">
      <c r="A2279" s="475" t="s">
        <v>5400</v>
      </c>
      <c r="B2279" s="475" t="s">
        <v>5401</v>
      </c>
      <c r="C2279" s="475" t="s">
        <v>5410</v>
      </c>
      <c r="D2279" s="475" t="s">
        <v>5411</v>
      </c>
      <c r="E2279" s="476" t="s">
        <v>34</v>
      </c>
      <c r="F2279" s="475" t="s">
        <v>34</v>
      </c>
      <c r="G2279" s="364">
        <v>95578</v>
      </c>
      <c r="H2279" s="475" t="s">
        <v>5969</v>
      </c>
      <c r="I2279" s="475" t="s">
        <v>315</v>
      </c>
      <c r="J2279" s="475" t="s">
        <v>337</v>
      </c>
      <c r="K2279" s="365">
        <v>6.58</v>
      </c>
      <c r="L2279" s="475" t="s">
        <v>141</v>
      </c>
      <c r="M2279" s="473"/>
    </row>
    <row r="2280" spans="1:13" ht="13.5">
      <c r="A2280" s="475" t="s">
        <v>5400</v>
      </c>
      <c r="B2280" s="475" t="s">
        <v>5401</v>
      </c>
      <c r="C2280" s="475" t="s">
        <v>5410</v>
      </c>
      <c r="D2280" s="475" t="s">
        <v>5411</v>
      </c>
      <c r="E2280" s="476" t="s">
        <v>34</v>
      </c>
      <c r="F2280" s="475" t="s">
        <v>34</v>
      </c>
      <c r="G2280" s="364">
        <v>95579</v>
      </c>
      <c r="H2280" s="475" t="s">
        <v>1956</v>
      </c>
      <c r="I2280" s="475" t="s">
        <v>315</v>
      </c>
      <c r="J2280" s="475" t="s">
        <v>337</v>
      </c>
      <c r="K2280" s="365">
        <v>6.24</v>
      </c>
      <c r="L2280" s="475" t="s">
        <v>141</v>
      </c>
      <c r="M2280" s="473"/>
    </row>
    <row r="2281" spans="1:13" ht="13.5">
      <c r="A2281" s="475" t="s">
        <v>5400</v>
      </c>
      <c r="B2281" s="475" t="s">
        <v>5401</v>
      </c>
      <c r="C2281" s="475" t="s">
        <v>5410</v>
      </c>
      <c r="D2281" s="475" t="s">
        <v>5411</v>
      </c>
      <c r="E2281" s="476" t="s">
        <v>34</v>
      </c>
      <c r="F2281" s="475" t="s">
        <v>34</v>
      </c>
      <c r="G2281" s="364">
        <v>95580</v>
      </c>
      <c r="H2281" s="475" t="s">
        <v>1957</v>
      </c>
      <c r="I2281" s="475" t="s">
        <v>315</v>
      </c>
      <c r="J2281" s="475" t="s">
        <v>337</v>
      </c>
      <c r="K2281" s="365">
        <v>5.83</v>
      </c>
      <c r="L2281" s="475" t="s">
        <v>141</v>
      </c>
      <c r="M2281" s="473"/>
    </row>
    <row r="2282" spans="1:13" ht="13.5">
      <c r="A2282" s="475" t="s">
        <v>5400</v>
      </c>
      <c r="B2282" s="475" t="s">
        <v>5401</v>
      </c>
      <c r="C2282" s="475" t="s">
        <v>5410</v>
      </c>
      <c r="D2282" s="475" t="s">
        <v>5411</v>
      </c>
      <c r="E2282" s="476" t="s">
        <v>34</v>
      </c>
      <c r="F2282" s="475" t="s">
        <v>34</v>
      </c>
      <c r="G2282" s="364">
        <v>95581</v>
      </c>
      <c r="H2282" s="475" t="s">
        <v>1958</v>
      </c>
      <c r="I2282" s="475" t="s">
        <v>315</v>
      </c>
      <c r="J2282" s="475" t="s">
        <v>337</v>
      </c>
      <c r="K2282" s="365">
        <v>6.42</v>
      </c>
      <c r="L2282" s="475" t="s">
        <v>141</v>
      </c>
      <c r="M2282" s="473"/>
    </row>
    <row r="2283" spans="1:13" ht="13.5">
      <c r="A2283" s="475" t="s">
        <v>5400</v>
      </c>
      <c r="B2283" s="475" t="s">
        <v>5401</v>
      </c>
      <c r="C2283" s="475" t="s">
        <v>5410</v>
      </c>
      <c r="D2283" s="475" t="s">
        <v>5411</v>
      </c>
      <c r="E2283" s="476" t="s">
        <v>34</v>
      </c>
      <c r="F2283" s="475" t="s">
        <v>34</v>
      </c>
      <c r="G2283" s="364">
        <v>95583</v>
      </c>
      <c r="H2283" s="475" t="s">
        <v>1959</v>
      </c>
      <c r="I2283" s="475" t="s">
        <v>315</v>
      </c>
      <c r="J2283" s="475" t="s">
        <v>337</v>
      </c>
      <c r="K2283" s="365">
        <v>11.3</v>
      </c>
      <c r="L2283" s="475" t="s">
        <v>141</v>
      </c>
      <c r="M2283" s="473"/>
    </row>
    <row r="2284" spans="1:13" ht="13.5">
      <c r="A2284" s="475" t="s">
        <v>5400</v>
      </c>
      <c r="B2284" s="475" t="s">
        <v>5401</v>
      </c>
      <c r="C2284" s="475" t="s">
        <v>5410</v>
      </c>
      <c r="D2284" s="475" t="s">
        <v>5411</v>
      </c>
      <c r="E2284" s="476" t="s">
        <v>34</v>
      </c>
      <c r="F2284" s="475" t="s">
        <v>34</v>
      </c>
      <c r="G2284" s="364">
        <v>95584</v>
      </c>
      <c r="H2284" s="475" t="s">
        <v>1960</v>
      </c>
      <c r="I2284" s="475" t="s">
        <v>315</v>
      </c>
      <c r="J2284" s="475" t="s">
        <v>337</v>
      </c>
      <c r="K2284" s="365">
        <v>9.24</v>
      </c>
      <c r="L2284" s="475" t="s">
        <v>141</v>
      </c>
      <c r="M2284" s="473"/>
    </row>
    <row r="2285" spans="1:13" ht="13.5">
      <c r="A2285" s="475" t="s">
        <v>5400</v>
      </c>
      <c r="B2285" s="475" t="s">
        <v>5401</v>
      </c>
      <c r="C2285" s="475" t="s">
        <v>5410</v>
      </c>
      <c r="D2285" s="475" t="s">
        <v>5411</v>
      </c>
      <c r="E2285" s="476" t="s">
        <v>34</v>
      </c>
      <c r="F2285" s="475" t="s">
        <v>34</v>
      </c>
      <c r="G2285" s="364">
        <v>95585</v>
      </c>
      <c r="H2285" s="475" t="s">
        <v>5970</v>
      </c>
      <c r="I2285" s="475" t="s">
        <v>315</v>
      </c>
      <c r="J2285" s="475" t="s">
        <v>337</v>
      </c>
      <c r="K2285" s="365">
        <v>9.1</v>
      </c>
      <c r="L2285" s="475" t="s">
        <v>141</v>
      </c>
      <c r="M2285" s="473"/>
    </row>
    <row r="2286" spans="1:13" ht="13.5">
      <c r="A2286" s="475" t="s">
        <v>5400</v>
      </c>
      <c r="B2286" s="475" t="s">
        <v>5401</v>
      </c>
      <c r="C2286" s="475" t="s">
        <v>5410</v>
      </c>
      <c r="D2286" s="475" t="s">
        <v>5411</v>
      </c>
      <c r="E2286" s="476" t="s">
        <v>34</v>
      </c>
      <c r="F2286" s="475" t="s">
        <v>34</v>
      </c>
      <c r="G2286" s="364">
        <v>95586</v>
      </c>
      <c r="H2286" s="475" t="s">
        <v>1961</v>
      </c>
      <c r="I2286" s="475" t="s">
        <v>315</v>
      </c>
      <c r="J2286" s="475" t="s">
        <v>337</v>
      </c>
      <c r="K2286" s="365">
        <v>7.5</v>
      </c>
      <c r="L2286" s="475" t="s">
        <v>141</v>
      </c>
      <c r="M2286" s="473"/>
    </row>
    <row r="2287" spans="1:13" ht="13.5">
      <c r="A2287" s="475" t="s">
        <v>5400</v>
      </c>
      <c r="B2287" s="475" t="s">
        <v>5401</v>
      </c>
      <c r="C2287" s="475" t="s">
        <v>5410</v>
      </c>
      <c r="D2287" s="475" t="s">
        <v>5411</v>
      </c>
      <c r="E2287" s="476" t="s">
        <v>34</v>
      </c>
      <c r="F2287" s="475" t="s">
        <v>34</v>
      </c>
      <c r="G2287" s="364">
        <v>95587</v>
      </c>
      <c r="H2287" s="475" t="s">
        <v>5971</v>
      </c>
      <c r="I2287" s="475" t="s">
        <v>315</v>
      </c>
      <c r="J2287" s="475" t="s">
        <v>337</v>
      </c>
      <c r="K2287" s="365">
        <v>6.82</v>
      </c>
      <c r="L2287" s="475" t="s">
        <v>141</v>
      </c>
      <c r="M2287" s="473"/>
    </row>
    <row r="2288" spans="1:13" ht="13.5">
      <c r="A2288" s="475" t="s">
        <v>5400</v>
      </c>
      <c r="B2288" s="475" t="s">
        <v>5401</v>
      </c>
      <c r="C2288" s="475" t="s">
        <v>5410</v>
      </c>
      <c r="D2288" s="475" t="s">
        <v>5411</v>
      </c>
      <c r="E2288" s="476" t="s">
        <v>34</v>
      </c>
      <c r="F2288" s="475" t="s">
        <v>34</v>
      </c>
      <c r="G2288" s="364">
        <v>95588</v>
      </c>
      <c r="H2288" s="475" t="s">
        <v>1962</v>
      </c>
      <c r="I2288" s="475" t="s">
        <v>315</v>
      </c>
      <c r="J2288" s="475" t="s">
        <v>337</v>
      </c>
      <c r="K2288" s="365">
        <v>6.43</v>
      </c>
      <c r="L2288" s="475" t="s">
        <v>141</v>
      </c>
      <c r="M2288" s="473"/>
    </row>
    <row r="2289" spans="1:13" ht="13.5">
      <c r="A2289" s="475" t="s">
        <v>5400</v>
      </c>
      <c r="B2289" s="475" t="s">
        <v>5401</v>
      </c>
      <c r="C2289" s="475" t="s">
        <v>5410</v>
      </c>
      <c r="D2289" s="475" t="s">
        <v>5411</v>
      </c>
      <c r="E2289" s="476" t="s">
        <v>34</v>
      </c>
      <c r="F2289" s="475" t="s">
        <v>34</v>
      </c>
      <c r="G2289" s="364">
        <v>95589</v>
      </c>
      <c r="H2289" s="475" t="s">
        <v>1963</v>
      </c>
      <c r="I2289" s="475" t="s">
        <v>315</v>
      </c>
      <c r="J2289" s="475" t="s">
        <v>337</v>
      </c>
      <c r="K2289" s="365">
        <v>5.98</v>
      </c>
      <c r="L2289" s="475" t="s">
        <v>141</v>
      </c>
      <c r="M2289" s="473"/>
    </row>
    <row r="2290" spans="1:13" ht="13.5">
      <c r="A2290" s="475" t="s">
        <v>5400</v>
      </c>
      <c r="B2290" s="475" t="s">
        <v>5401</v>
      </c>
      <c r="C2290" s="475" t="s">
        <v>5410</v>
      </c>
      <c r="D2290" s="475" t="s">
        <v>5411</v>
      </c>
      <c r="E2290" s="476" t="s">
        <v>34</v>
      </c>
      <c r="F2290" s="475" t="s">
        <v>34</v>
      </c>
      <c r="G2290" s="364">
        <v>95590</v>
      </c>
      <c r="H2290" s="475" t="s">
        <v>1964</v>
      </c>
      <c r="I2290" s="475" t="s">
        <v>315</v>
      </c>
      <c r="J2290" s="475" t="s">
        <v>337</v>
      </c>
      <c r="K2290" s="365">
        <v>6.56</v>
      </c>
      <c r="L2290" s="475" t="s">
        <v>141</v>
      </c>
      <c r="M2290" s="473"/>
    </row>
    <row r="2291" spans="1:13" ht="13.5">
      <c r="A2291" s="475" t="s">
        <v>5400</v>
      </c>
      <c r="B2291" s="475" t="s">
        <v>5401</v>
      </c>
      <c r="C2291" s="475" t="s">
        <v>5410</v>
      </c>
      <c r="D2291" s="475" t="s">
        <v>5411</v>
      </c>
      <c r="E2291" s="476" t="s">
        <v>34</v>
      </c>
      <c r="F2291" s="475" t="s">
        <v>34</v>
      </c>
      <c r="G2291" s="364">
        <v>95592</v>
      </c>
      <c r="H2291" s="475" t="s">
        <v>1965</v>
      </c>
      <c r="I2291" s="475" t="s">
        <v>315</v>
      </c>
      <c r="J2291" s="475" t="s">
        <v>337</v>
      </c>
      <c r="K2291" s="365">
        <v>13.88</v>
      </c>
      <c r="L2291" s="475" t="s">
        <v>141</v>
      </c>
      <c r="M2291" s="473"/>
    </row>
    <row r="2292" spans="1:13" ht="13.5">
      <c r="A2292" s="475" t="s">
        <v>5400</v>
      </c>
      <c r="B2292" s="475" t="s">
        <v>5401</v>
      </c>
      <c r="C2292" s="475" t="s">
        <v>5410</v>
      </c>
      <c r="D2292" s="475" t="s">
        <v>5411</v>
      </c>
      <c r="E2292" s="476" t="s">
        <v>34</v>
      </c>
      <c r="F2292" s="475" t="s">
        <v>34</v>
      </c>
      <c r="G2292" s="364">
        <v>95593</v>
      </c>
      <c r="H2292" s="475" t="s">
        <v>1966</v>
      </c>
      <c r="I2292" s="475" t="s">
        <v>315</v>
      </c>
      <c r="J2292" s="475" t="s">
        <v>337</v>
      </c>
      <c r="K2292" s="365">
        <v>10.78</v>
      </c>
      <c r="L2292" s="475" t="s">
        <v>141</v>
      </c>
      <c r="M2292" s="473"/>
    </row>
    <row r="2293" spans="1:13" ht="13.5">
      <c r="A2293" s="475" t="s">
        <v>5400</v>
      </c>
      <c r="B2293" s="475" t="s">
        <v>5401</v>
      </c>
      <c r="C2293" s="475" t="s">
        <v>5410</v>
      </c>
      <c r="D2293" s="475" t="s">
        <v>5411</v>
      </c>
      <c r="E2293" s="476" t="s">
        <v>34</v>
      </c>
      <c r="F2293" s="475" t="s">
        <v>34</v>
      </c>
      <c r="G2293" s="364">
        <v>95943</v>
      </c>
      <c r="H2293" s="475" t="s">
        <v>1967</v>
      </c>
      <c r="I2293" s="475" t="s">
        <v>315</v>
      </c>
      <c r="J2293" s="475" t="s">
        <v>140</v>
      </c>
      <c r="K2293" s="365">
        <v>14.61</v>
      </c>
      <c r="L2293" s="475" t="s">
        <v>141</v>
      </c>
      <c r="M2293" s="473"/>
    </row>
    <row r="2294" spans="1:13" ht="13.5">
      <c r="A2294" s="475" t="s">
        <v>5400</v>
      </c>
      <c r="B2294" s="475" t="s">
        <v>5401</v>
      </c>
      <c r="C2294" s="475" t="s">
        <v>5410</v>
      </c>
      <c r="D2294" s="475" t="s">
        <v>5411</v>
      </c>
      <c r="E2294" s="476" t="s">
        <v>34</v>
      </c>
      <c r="F2294" s="475" t="s">
        <v>34</v>
      </c>
      <c r="G2294" s="364">
        <v>95944</v>
      </c>
      <c r="H2294" s="475" t="s">
        <v>1968</v>
      </c>
      <c r="I2294" s="475" t="s">
        <v>315</v>
      </c>
      <c r="J2294" s="475" t="s">
        <v>140</v>
      </c>
      <c r="K2294" s="365">
        <v>12.8</v>
      </c>
      <c r="L2294" s="475" t="s">
        <v>141</v>
      </c>
      <c r="M2294" s="473"/>
    </row>
    <row r="2295" spans="1:13" ht="13.5">
      <c r="A2295" s="475" t="s">
        <v>5400</v>
      </c>
      <c r="B2295" s="475" t="s">
        <v>5401</v>
      </c>
      <c r="C2295" s="475" t="s">
        <v>5410</v>
      </c>
      <c r="D2295" s="475" t="s">
        <v>5411</v>
      </c>
      <c r="E2295" s="476" t="s">
        <v>34</v>
      </c>
      <c r="F2295" s="475" t="s">
        <v>34</v>
      </c>
      <c r="G2295" s="364">
        <v>95945</v>
      </c>
      <c r="H2295" s="475" t="s">
        <v>1969</v>
      </c>
      <c r="I2295" s="475" t="s">
        <v>315</v>
      </c>
      <c r="J2295" s="475" t="s">
        <v>140</v>
      </c>
      <c r="K2295" s="365">
        <v>10.71</v>
      </c>
      <c r="L2295" s="475" t="s">
        <v>141</v>
      </c>
      <c r="M2295" s="473"/>
    </row>
    <row r="2296" spans="1:13" ht="13.5">
      <c r="A2296" s="475" t="s">
        <v>5400</v>
      </c>
      <c r="B2296" s="475" t="s">
        <v>5401</v>
      </c>
      <c r="C2296" s="475" t="s">
        <v>5410</v>
      </c>
      <c r="D2296" s="475" t="s">
        <v>5411</v>
      </c>
      <c r="E2296" s="476" t="s">
        <v>34</v>
      </c>
      <c r="F2296" s="475" t="s">
        <v>34</v>
      </c>
      <c r="G2296" s="364">
        <v>95946</v>
      </c>
      <c r="H2296" s="475" t="s">
        <v>1970</v>
      </c>
      <c r="I2296" s="475" t="s">
        <v>315</v>
      </c>
      <c r="J2296" s="475" t="s">
        <v>140</v>
      </c>
      <c r="K2296" s="365">
        <v>7.83</v>
      </c>
      <c r="L2296" s="475" t="s">
        <v>141</v>
      </c>
      <c r="M2296" s="473"/>
    </row>
    <row r="2297" spans="1:13" ht="13.5">
      <c r="A2297" s="475" t="s">
        <v>5400</v>
      </c>
      <c r="B2297" s="475" t="s">
        <v>5401</v>
      </c>
      <c r="C2297" s="475" t="s">
        <v>5410</v>
      </c>
      <c r="D2297" s="475" t="s">
        <v>5411</v>
      </c>
      <c r="E2297" s="476" t="s">
        <v>34</v>
      </c>
      <c r="F2297" s="475" t="s">
        <v>34</v>
      </c>
      <c r="G2297" s="364">
        <v>95947</v>
      </c>
      <c r="H2297" s="475" t="s">
        <v>1971</v>
      </c>
      <c r="I2297" s="475" t="s">
        <v>315</v>
      </c>
      <c r="J2297" s="475" t="s">
        <v>140</v>
      </c>
      <c r="K2297" s="365">
        <v>6.36</v>
      </c>
      <c r="L2297" s="475" t="s">
        <v>141</v>
      </c>
      <c r="M2297" s="473"/>
    </row>
    <row r="2298" spans="1:13" ht="13.5">
      <c r="A2298" s="475" t="s">
        <v>5400</v>
      </c>
      <c r="B2298" s="475" t="s">
        <v>5401</v>
      </c>
      <c r="C2298" s="475" t="s">
        <v>5410</v>
      </c>
      <c r="D2298" s="475" t="s">
        <v>5411</v>
      </c>
      <c r="E2298" s="476" t="s">
        <v>34</v>
      </c>
      <c r="F2298" s="475" t="s">
        <v>34</v>
      </c>
      <c r="G2298" s="364">
        <v>95948</v>
      </c>
      <c r="H2298" s="475" t="s">
        <v>1972</v>
      </c>
      <c r="I2298" s="475" t="s">
        <v>315</v>
      </c>
      <c r="J2298" s="475" t="s">
        <v>140</v>
      </c>
      <c r="K2298" s="365">
        <v>5.52</v>
      </c>
      <c r="L2298" s="475" t="s">
        <v>141</v>
      </c>
      <c r="M2298" s="473"/>
    </row>
    <row r="2299" spans="1:13" ht="13.5">
      <c r="A2299" s="475" t="s">
        <v>5400</v>
      </c>
      <c r="B2299" s="475" t="s">
        <v>5401</v>
      </c>
      <c r="C2299" s="475" t="s">
        <v>5410</v>
      </c>
      <c r="D2299" s="475" t="s">
        <v>5411</v>
      </c>
      <c r="E2299" s="476" t="s">
        <v>34</v>
      </c>
      <c r="F2299" s="475" t="s">
        <v>34</v>
      </c>
      <c r="G2299" s="364">
        <v>96544</v>
      </c>
      <c r="H2299" s="475" t="s">
        <v>1973</v>
      </c>
      <c r="I2299" s="475" t="s">
        <v>315</v>
      </c>
      <c r="J2299" s="475" t="s">
        <v>140</v>
      </c>
      <c r="K2299" s="365">
        <v>10.31</v>
      </c>
      <c r="L2299" s="475" t="s">
        <v>141</v>
      </c>
      <c r="M2299" s="473"/>
    </row>
    <row r="2300" spans="1:13" ht="13.5">
      <c r="A2300" s="475" t="s">
        <v>5400</v>
      </c>
      <c r="B2300" s="475" t="s">
        <v>5401</v>
      </c>
      <c r="C2300" s="475" t="s">
        <v>5410</v>
      </c>
      <c r="D2300" s="475" t="s">
        <v>5411</v>
      </c>
      <c r="E2300" s="476" t="s">
        <v>34</v>
      </c>
      <c r="F2300" s="475" t="s">
        <v>34</v>
      </c>
      <c r="G2300" s="364">
        <v>96545</v>
      </c>
      <c r="H2300" s="475" t="s">
        <v>1974</v>
      </c>
      <c r="I2300" s="475" t="s">
        <v>315</v>
      </c>
      <c r="J2300" s="475" t="s">
        <v>140</v>
      </c>
      <c r="K2300" s="365">
        <v>9.84</v>
      </c>
      <c r="L2300" s="475" t="s">
        <v>141</v>
      </c>
      <c r="M2300" s="473"/>
    </row>
    <row r="2301" spans="1:13" ht="13.5">
      <c r="A2301" s="475" t="s">
        <v>5400</v>
      </c>
      <c r="B2301" s="475" t="s">
        <v>5401</v>
      </c>
      <c r="C2301" s="475" t="s">
        <v>5410</v>
      </c>
      <c r="D2301" s="475" t="s">
        <v>5411</v>
      </c>
      <c r="E2301" s="476" t="s">
        <v>34</v>
      </c>
      <c r="F2301" s="475" t="s">
        <v>34</v>
      </c>
      <c r="G2301" s="364">
        <v>96546</v>
      </c>
      <c r="H2301" s="475" t="s">
        <v>1975</v>
      </c>
      <c r="I2301" s="475" t="s">
        <v>315</v>
      </c>
      <c r="J2301" s="475" t="s">
        <v>140</v>
      </c>
      <c r="K2301" s="365">
        <v>8.02</v>
      </c>
      <c r="L2301" s="475" t="s">
        <v>141</v>
      </c>
      <c r="M2301" s="473"/>
    </row>
    <row r="2302" spans="1:13" ht="13.5">
      <c r="A2302" s="475" t="s">
        <v>5400</v>
      </c>
      <c r="B2302" s="475" t="s">
        <v>5401</v>
      </c>
      <c r="C2302" s="475" t="s">
        <v>5410</v>
      </c>
      <c r="D2302" s="475" t="s">
        <v>5411</v>
      </c>
      <c r="E2302" s="476" t="s">
        <v>34</v>
      </c>
      <c r="F2302" s="475" t="s">
        <v>34</v>
      </c>
      <c r="G2302" s="364">
        <v>96547</v>
      </c>
      <c r="H2302" s="475" t="s">
        <v>1976</v>
      </c>
      <c r="I2302" s="475" t="s">
        <v>315</v>
      </c>
      <c r="J2302" s="475" t="s">
        <v>140</v>
      </c>
      <c r="K2302" s="365">
        <v>7.13</v>
      </c>
      <c r="L2302" s="475" t="s">
        <v>141</v>
      </c>
      <c r="M2302" s="473"/>
    </row>
    <row r="2303" spans="1:13" ht="13.5">
      <c r="A2303" s="475" t="s">
        <v>5400</v>
      </c>
      <c r="B2303" s="475" t="s">
        <v>5401</v>
      </c>
      <c r="C2303" s="475" t="s">
        <v>5410</v>
      </c>
      <c r="D2303" s="475" t="s">
        <v>5411</v>
      </c>
      <c r="E2303" s="476" t="s">
        <v>34</v>
      </c>
      <c r="F2303" s="475" t="s">
        <v>34</v>
      </c>
      <c r="G2303" s="364">
        <v>96548</v>
      </c>
      <c r="H2303" s="475" t="s">
        <v>1977</v>
      </c>
      <c r="I2303" s="475" t="s">
        <v>315</v>
      </c>
      <c r="J2303" s="475" t="s">
        <v>140</v>
      </c>
      <c r="K2303" s="365">
        <v>6.59</v>
      </c>
      <c r="L2303" s="475" t="s">
        <v>141</v>
      </c>
      <c r="M2303" s="473"/>
    </row>
    <row r="2304" spans="1:13" ht="13.5">
      <c r="A2304" s="475" t="s">
        <v>5400</v>
      </c>
      <c r="B2304" s="475" t="s">
        <v>5401</v>
      </c>
      <c r="C2304" s="475" t="s">
        <v>5410</v>
      </c>
      <c r="D2304" s="475" t="s">
        <v>5411</v>
      </c>
      <c r="E2304" s="476" t="s">
        <v>34</v>
      </c>
      <c r="F2304" s="475" t="s">
        <v>34</v>
      </c>
      <c r="G2304" s="364">
        <v>96549</v>
      </c>
      <c r="H2304" s="475" t="s">
        <v>1978</v>
      </c>
      <c r="I2304" s="475" t="s">
        <v>315</v>
      </c>
      <c r="J2304" s="475" t="s">
        <v>140</v>
      </c>
      <c r="K2304" s="365">
        <v>6.04</v>
      </c>
      <c r="L2304" s="475" t="s">
        <v>141</v>
      </c>
      <c r="M2304" s="473"/>
    </row>
    <row r="2305" spans="1:13" ht="13.5">
      <c r="A2305" s="475" t="s">
        <v>5400</v>
      </c>
      <c r="B2305" s="475" t="s">
        <v>5401</v>
      </c>
      <c r="C2305" s="475" t="s">
        <v>5410</v>
      </c>
      <c r="D2305" s="475" t="s">
        <v>5411</v>
      </c>
      <c r="E2305" s="476" t="s">
        <v>34</v>
      </c>
      <c r="F2305" s="475" t="s">
        <v>34</v>
      </c>
      <c r="G2305" s="364">
        <v>96550</v>
      </c>
      <c r="H2305" s="475" t="s">
        <v>1979</v>
      </c>
      <c r="I2305" s="475" t="s">
        <v>315</v>
      </c>
      <c r="J2305" s="475" t="s">
        <v>140</v>
      </c>
      <c r="K2305" s="365">
        <v>6.51</v>
      </c>
      <c r="L2305" s="475" t="s">
        <v>141</v>
      </c>
      <c r="M2305" s="473"/>
    </row>
    <row r="2306" spans="1:13" ht="13.5">
      <c r="A2306" s="475" t="s">
        <v>5400</v>
      </c>
      <c r="B2306" s="475" t="s">
        <v>5401</v>
      </c>
      <c r="C2306" s="475" t="s">
        <v>5410</v>
      </c>
      <c r="D2306" s="475" t="s">
        <v>5411</v>
      </c>
      <c r="E2306" s="476" t="s">
        <v>34</v>
      </c>
      <c r="F2306" s="475" t="s">
        <v>34</v>
      </c>
      <c r="G2306" s="364">
        <v>100066</v>
      </c>
      <c r="H2306" s="475" t="s">
        <v>15162</v>
      </c>
      <c r="I2306" s="475" t="s">
        <v>315</v>
      </c>
      <c r="J2306" s="475" t="s">
        <v>140</v>
      </c>
      <c r="K2306" s="365">
        <v>7.04</v>
      </c>
      <c r="L2306" s="475" t="s">
        <v>141</v>
      </c>
      <c r="M2306" s="473"/>
    </row>
    <row r="2307" spans="1:13" ht="13.5">
      <c r="A2307" s="475" t="s">
        <v>5400</v>
      </c>
      <c r="B2307" s="475" t="s">
        <v>5401</v>
      </c>
      <c r="C2307" s="475" t="s">
        <v>5410</v>
      </c>
      <c r="D2307" s="475" t="s">
        <v>5411</v>
      </c>
      <c r="E2307" s="476" t="s">
        <v>34</v>
      </c>
      <c r="F2307" s="475" t="s">
        <v>34</v>
      </c>
      <c r="G2307" s="364">
        <v>100067</v>
      </c>
      <c r="H2307" s="475" t="s">
        <v>15163</v>
      </c>
      <c r="I2307" s="475" t="s">
        <v>315</v>
      </c>
      <c r="J2307" s="475" t="s">
        <v>337</v>
      </c>
      <c r="K2307" s="365">
        <v>7.68</v>
      </c>
      <c r="L2307" s="475" t="s">
        <v>141</v>
      </c>
      <c r="M2307" s="473"/>
    </row>
    <row r="2308" spans="1:13" ht="13.5">
      <c r="A2308" s="475" t="s">
        <v>5400</v>
      </c>
      <c r="B2308" s="475" t="s">
        <v>5401</v>
      </c>
      <c r="C2308" s="475" t="s">
        <v>5410</v>
      </c>
      <c r="D2308" s="475" t="s">
        <v>5411</v>
      </c>
      <c r="E2308" s="476" t="s">
        <v>34</v>
      </c>
      <c r="F2308" s="475" t="s">
        <v>34</v>
      </c>
      <c r="G2308" s="364">
        <v>100068</v>
      </c>
      <c r="H2308" s="475" t="s">
        <v>15164</v>
      </c>
      <c r="I2308" s="475" t="s">
        <v>315</v>
      </c>
      <c r="J2308" s="475" t="s">
        <v>337</v>
      </c>
      <c r="K2308" s="365">
        <v>5.96</v>
      </c>
      <c r="L2308" s="475" t="s">
        <v>141</v>
      </c>
      <c r="M2308" s="473"/>
    </row>
    <row r="2309" spans="1:13" ht="13.5">
      <c r="A2309" s="475" t="s">
        <v>5400</v>
      </c>
      <c r="B2309" s="475" t="s">
        <v>5401</v>
      </c>
      <c r="C2309" s="475" t="s">
        <v>5414</v>
      </c>
      <c r="D2309" s="475" t="s">
        <v>5415</v>
      </c>
      <c r="E2309" s="476" t="s">
        <v>34</v>
      </c>
      <c r="F2309" s="475" t="s">
        <v>34</v>
      </c>
      <c r="G2309" s="364">
        <v>40780</v>
      </c>
      <c r="H2309" s="475" t="s">
        <v>1980</v>
      </c>
      <c r="I2309" s="475" t="s">
        <v>322</v>
      </c>
      <c r="J2309" s="475" t="s">
        <v>337</v>
      </c>
      <c r="K2309" s="365">
        <v>8.94</v>
      </c>
      <c r="L2309" s="475" t="s">
        <v>141</v>
      </c>
      <c r="M2309" s="473"/>
    </row>
    <row r="2310" spans="1:13" ht="13.5">
      <c r="A2310" s="475" t="s">
        <v>5400</v>
      </c>
      <c r="B2310" s="475" t="s">
        <v>5401</v>
      </c>
      <c r="C2310" s="475" t="s">
        <v>5414</v>
      </c>
      <c r="D2310" s="475" t="s">
        <v>5415</v>
      </c>
      <c r="E2310" s="476">
        <v>74157</v>
      </c>
      <c r="F2310" s="475" t="s">
        <v>5416</v>
      </c>
      <c r="G2310" s="364" t="s">
        <v>1981</v>
      </c>
      <c r="H2310" s="475" t="s">
        <v>1982</v>
      </c>
      <c r="I2310" s="475" t="s">
        <v>1261</v>
      </c>
      <c r="J2310" s="475" t="s">
        <v>140</v>
      </c>
      <c r="K2310" s="365">
        <v>96.8</v>
      </c>
      <c r="L2310" s="475" t="s">
        <v>141</v>
      </c>
      <c r="M2310" s="473"/>
    </row>
    <row r="2311" spans="1:13" ht="13.5">
      <c r="A2311" s="475" t="s">
        <v>5400</v>
      </c>
      <c r="B2311" s="475" t="s">
        <v>5401</v>
      </c>
      <c r="C2311" s="475" t="s">
        <v>5414</v>
      </c>
      <c r="D2311" s="475" t="s">
        <v>5415</v>
      </c>
      <c r="E2311" s="476" t="s">
        <v>34</v>
      </c>
      <c r="F2311" s="475" t="s">
        <v>34</v>
      </c>
      <c r="G2311" s="364">
        <v>89993</v>
      </c>
      <c r="H2311" s="475" t="s">
        <v>1983</v>
      </c>
      <c r="I2311" s="475" t="s">
        <v>1261</v>
      </c>
      <c r="J2311" s="475" t="s">
        <v>337</v>
      </c>
      <c r="K2311" s="365">
        <v>625.59</v>
      </c>
      <c r="L2311" s="475" t="s">
        <v>141</v>
      </c>
      <c r="M2311" s="473"/>
    </row>
    <row r="2312" spans="1:13" ht="13.5">
      <c r="A2312" s="475" t="s">
        <v>5400</v>
      </c>
      <c r="B2312" s="475" t="s">
        <v>5401</v>
      </c>
      <c r="C2312" s="475" t="s">
        <v>5414</v>
      </c>
      <c r="D2312" s="475" t="s">
        <v>5415</v>
      </c>
      <c r="E2312" s="476" t="s">
        <v>34</v>
      </c>
      <c r="F2312" s="475" t="s">
        <v>34</v>
      </c>
      <c r="G2312" s="364">
        <v>89994</v>
      </c>
      <c r="H2312" s="475" t="s">
        <v>1984</v>
      </c>
      <c r="I2312" s="475" t="s">
        <v>1261</v>
      </c>
      <c r="J2312" s="475" t="s">
        <v>337</v>
      </c>
      <c r="K2312" s="365">
        <v>526.46</v>
      </c>
      <c r="L2312" s="475" t="s">
        <v>141</v>
      </c>
      <c r="M2312" s="473"/>
    </row>
    <row r="2313" spans="1:13" ht="13.5">
      <c r="A2313" s="475" t="s">
        <v>5400</v>
      </c>
      <c r="B2313" s="475" t="s">
        <v>5401</v>
      </c>
      <c r="C2313" s="475" t="s">
        <v>5414</v>
      </c>
      <c r="D2313" s="475" t="s">
        <v>5415</v>
      </c>
      <c r="E2313" s="476" t="s">
        <v>34</v>
      </c>
      <c r="F2313" s="475" t="s">
        <v>34</v>
      </c>
      <c r="G2313" s="364">
        <v>89995</v>
      </c>
      <c r="H2313" s="475" t="s">
        <v>1985</v>
      </c>
      <c r="I2313" s="475" t="s">
        <v>1261</v>
      </c>
      <c r="J2313" s="475" t="s">
        <v>337</v>
      </c>
      <c r="K2313" s="365">
        <v>600.23</v>
      </c>
      <c r="L2313" s="475" t="s">
        <v>141</v>
      </c>
      <c r="M2313" s="473"/>
    </row>
    <row r="2314" spans="1:13" ht="13.5">
      <c r="A2314" s="475" t="s">
        <v>5400</v>
      </c>
      <c r="B2314" s="475" t="s">
        <v>5401</v>
      </c>
      <c r="C2314" s="475" t="s">
        <v>5414</v>
      </c>
      <c r="D2314" s="475" t="s">
        <v>5415</v>
      </c>
      <c r="E2314" s="476" t="s">
        <v>34</v>
      </c>
      <c r="F2314" s="475" t="s">
        <v>34</v>
      </c>
      <c r="G2314" s="364">
        <v>90278</v>
      </c>
      <c r="H2314" s="475" t="s">
        <v>1986</v>
      </c>
      <c r="I2314" s="475" t="s">
        <v>1261</v>
      </c>
      <c r="J2314" s="475" t="s">
        <v>337</v>
      </c>
      <c r="K2314" s="365">
        <v>310.42</v>
      </c>
      <c r="L2314" s="475" t="s">
        <v>141</v>
      </c>
      <c r="M2314" s="473"/>
    </row>
    <row r="2315" spans="1:13" ht="13.5">
      <c r="A2315" s="475" t="s">
        <v>5400</v>
      </c>
      <c r="B2315" s="475" t="s">
        <v>5401</v>
      </c>
      <c r="C2315" s="475" t="s">
        <v>5414</v>
      </c>
      <c r="D2315" s="475" t="s">
        <v>5415</v>
      </c>
      <c r="E2315" s="476" t="s">
        <v>34</v>
      </c>
      <c r="F2315" s="475" t="s">
        <v>34</v>
      </c>
      <c r="G2315" s="364">
        <v>90279</v>
      </c>
      <c r="H2315" s="475" t="s">
        <v>1987</v>
      </c>
      <c r="I2315" s="475" t="s">
        <v>1261</v>
      </c>
      <c r="J2315" s="475" t="s">
        <v>337</v>
      </c>
      <c r="K2315" s="365">
        <v>321.89999999999998</v>
      </c>
      <c r="L2315" s="475" t="s">
        <v>141</v>
      </c>
      <c r="M2315" s="473"/>
    </row>
    <row r="2316" spans="1:13" ht="13.5">
      <c r="A2316" s="475" t="s">
        <v>5400</v>
      </c>
      <c r="B2316" s="475" t="s">
        <v>5401</v>
      </c>
      <c r="C2316" s="475" t="s">
        <v>5414</v>
      </c>
      <c r="D2316" s="475" t="s">
        <v>5415</v>
      </c>
      <c r="E2316" s="476" t="s">
        <v>34</v>
      </c>
      <c r="F2316" s="475" t="s">
        <v>34</v>
      </c>
      <c r="G2316" s="364">
        <v>90280</v>
      </c>
      <c r="H2316" s="475" t="s">
        <v>1988</v>
      </c>
      <c r="I2316" s="475" t="s">
        <v>1261</v>
      </c>
      <c r="J2316" s="475" t="s">
        <v>337</v>
      </c>
      <c r="K2316" s="365">
        <v>347.01</v>
      </c>
      <c r="L2316" s="475" t="s">
        <v>141</v>
      </c>
      <c r="M2316" s="473"/>
    </row>
    <row r="2317" spans="1:13" ht="13.5">
      <c r="A2317" s="475" t="s">
        <v>5400</v>
      </c>
      <c r="B2317" s="475" t="s">
        <v>5401</v>
      </c>
      <c r="C2317" s="475" t="s">
        <v>5414</v>
      </c>
      <c r="D2317" s="475" t="s">
        <v>5415</v>
      </c>
      <c r="E2317" s="476" t="s">
        <v>34</v>
      </c>
      <c r="F2317" s="475" t="s">
        <v>34</v>
      </c>
      <c r="G2317" s="364">
        <v>90281</v>
      </c>
      <c r="H2317" s="475" t="s">
        <v>1989</v>
      </c>
      <c r="I2317" s="475" t="s">
        <v>1261</v>
      </c>
      <c r="J2317" s="475" t="s">
        <v>337</v>
      </c>
      <c r="K2317" s="365">
        <v>380.93</v>
      </c>
      <c r="L2317" s="475" t="s">
        <v>141</v>
      </c>
      <c r="M2317" s="473"/>
    </row>
    <row r="2318" spans="1:13" ht="13.5">
      <c r="A2318" s="475" t="s">
        <v>5400</v>
      </c>
      <c r="B2318" s="475" t="s">
        <v>5401</v>
      </c>
      <c r="C2318" s="475" t="s">
        <v>5414</v>
      </c>
      <c r="D2318" s="475" t="s">
        <v>5415</v>
      </c>
      <c r="E2318" s="476" t="s">
        <v>34</v>
      </c>
      <c r="F2318" s="475" t="s">
        <v>34</v>
      </c>
      <c r="G2318" s="364">
        <v>90282</v>
      </c>
      <c r="H2318" s="475" t="s">
        <v>1990</v>
      </c>
      <c r="I2318" s="475" t="s">
        <v>1261</v>
      </c>
      <c r="J2318" s="475" t="s">
        <v>337</v>
      </c>
      <c r="K2318" s="365">
        <v>313.55</v>
      </c>
      <c r="L2318" s="475" t="s">
        <v>141</v>
      </c>
      <c r="M2318" s="473"/>
    </row>
    <row r="2319" spans="1:13" ht="13.5">
      <c r="A2319" s="475" t="s">
        <v>5400</v>
      </c>
      <c r="B2319" s="475" t="s">
        <v>5401</v>
      </c>
      <c r="C2319" s="475" t="s">
        <v>5414</v>
      </c>
      <c r="D2319" s="475" t="s">
        <v>5415</v>
      </c>
      <c r="E2319" s="476" t="s">
        <v>34</v>
      </c>
      <c r="F2319" s="475" t="s">
        <v>34</v>
      </c>
      <c r="G2319" s="364">
        <v>90283</v>
      </c>
      <c r="H2319" s="475" t="s">
        <v>1991</v>
      </c>
      <c r="I2319" s="475" t="s">
        <v>1261</v>
      </c>
      <c r="J2319" s="475" t="s">
        <v>337</v>
      </c>
      <c r="K2319" s="365">
        <v>326.48</v>
      </c>
      <c r="L2319" s="475" t="s">
        <v>141</v>
      </c>
      <c r="M2319" s="473"/>
    </row>
    <row r="2320" spans="1:13" ht="13.5">
      <c r="A2320" s="475" t="s">
        <v>5400</v>
      </c>
      <c r="B2320" s="475" t="s">
        <v>5401</v>
      </c>
      <c r="C2320" s="475" t="s">
        <v>5414</v>
      </c>
      <c r="D2320" s="475" t="s">
        <v>5415</v>
      </c>
      <c r="E2320" s="476" t="s">
        <v>34</v>
      </c>
      <c r="F2320" s="475" t="s">
        <v>34</v>
      </c>
      <c r="G2320" s="364">
        <v>90284</v>
      </c>
      <c r="H2320" s="475" t="s">
        <v>1992</v>
      </c>
      <c r="I2320" s="475" t="s">
        <v>1261</v>
      </c>
      <c r="J2320" s="475" t="s">
        <v>337</v>
      </c>
      <c r="K2320" s="365">
        <v>352.29</v>
      </c>
      <c r="L2320" s="475" t="s">
        <v>141</v>
      </c>
      <c r="M2320" s="473"/>
    </row>
    <row r="2321" spans="1:13" ht="13.5">
      <c r="A2321" s="475" t="s">
        <v>5400</v>
      </c>
      <c r="B2321" s="475" t="s">
        <v>5401</v>
      </c>
      <c r="C2321" s="475" t="s">
        <v>5414</v>
      </c>
      <c r="D2321" s="475" t="s">
        <v>5415</v>
      </c>
      <c r="E2321" s="476" t="s">
        <v>34</v>
      </c>
      <c r="F2321" s="475" t="s">
        <v>34</v>
      </c>
      <c r="G2321" s="364">
        <v>90285</v>
      </c>
      <c r="H2321" s="475" t="s">
        <v>1993</v>
      </c>
      <c r="I2321" s="475" t="s">
        <v>1261</v>
      </c>
      <c r="J2321" s="475" t="s">
        <v>337</v>
      </c>
      <c r="K2321" s="365">
        <v>389.05</v>
      </c>
      <c r="L2321" s="475" t="s">
        <v>141</v>
      </c>
      <c r="M2321" s="473"/>
    </row>
    <row r="2322" spans="1:13" ht="13.5">
      <c r="A2322" s="475" t="s">
        <v>5400</v>
      </c>
      <c r="B2322" s="475" t="s">
        <v>5401</v>
      </c>
      <c r="C2322" s="475" t="s">
        <v>5414</v>
      </c>
      <c r="D2322" s="475" t="s">
        <v>5415</v>
      </c>
      <c r="E2322" s="476" t="s">
        <v>34</v>
      </c>
      <c r="F2322" s="475" t="s">
        <v>34</v>
      </c>
      <c r="G2322" s="364">
        <v>90853</v>
      </c>
      <c r="H2322" s="475" t="s">
        <v>8953</v>
      </c>
      <c r="I2322" s="475" t="s">
        <v>1261</v>
      </c>
      <c r="J2322" s="475" t="s">
        <v>140</v>
      </c>
      <c r="K2322" s="365">
        <v>353.17</v>
      </c>
      <c r="L2322" s="475" t="s">
        <v>141</v>
      </c>
      <c r="M2322" s="473"/>
    </row>
    <row r="2323" spans="1:13" ht="13.5">
      <c r="A2323" s="475" t="s">
        <v>5400</v>
      </c>
      <c r="B2323" s="475" t="s">
        <v>5401</v>
      </c>
      <c r="C2323" s="475" t="s">
        <v>5414</v>
      </c>
      <c r="D2323" s="475" t="s">
        <v>5415</v>
      </c>
      <c r="E2323" s="476" t="s">
        <v>34</v>
      </c>
      <c r="F2323" s="475" t="s">
        <v>34</v>
      </c>
      <c r="G2323" s="364">
        <v>90854</v>
      </c>
      <c r="H2323" s="475" t="s">
        <v>8954</v>
      </c>
      <c r="I2323" s="475" t="s">
        <v>1261</v>
      </c>
      <c r="J2323" s="475" t="s">
        <v>140</v>
      </c>
      <c r="K2323" s="365">
        <v>342.21</v>
      </c>
      <c r="L2323" s="475" t="s">
        <v>141</v>
      </c>
      <c r="M2323" s="473"/>
    </row>
    <row r="2324" spans="1:13" ht="13.5">
      <c r="A2324" s="475" t="s">
        <v>5400</v>
      </c>
      <c r="B2324" s="475" t="s">
        <v>5401</v>
      </c>
      <c r="C2324" s="475" t="s">
        <v>5414</v>
      </c>
      <c r="D2324" s="475" t="s">
        <v>5415</v>
      </c>
      <c r="E2324" s="476" t="s">
        <v>34</v>
      </c>
      <c r="F2324" s="475" t="s">
        <v>34</v>
      </c>
      <c r="G2324" s="364">
        <v>90855</v>
      </c>
      <c r="H2324" s="475" t="s">
        <v>8955</v>
      </c>
      <c r="I2324" s="475" t="s">
        <v>1261</v>
      </c>
      <c r="J2324" s="475" t="s">
        <v>140</v>
      </c>
      <c r="K2324" s="365">
        <v>376.08</v>
      </c>
      <c r="L2324" s="475" t="s">
        <v>141</v>
      </c>
      <c r="M2324" s="473"/>
    </row>
    <row r="2325" spans="1:13" ht="13.5">
      <c r="A2325" s="475" t="s">
        <v>5400</v>
      </c>
      <c r="B2325" s="475" t="s">
        <v>5401</v>
      </c>
      <c r="C2325" s="475" t="s">
        <v>5414</v>
      </c>
      <c r="D2325" s="475" t="s">
        <v>5415</v>
      </c>
      <c r="E2325" s="476" t="s">
        <v>34</v>
      </c>
      <c r="F2325" s="475" t="s">
        <v>34</v>
      </c>
      <c r="G2325" s="364">
        <v>90856</v>
      </c>
      <c r="H2325" s="475" t="s">
        <v>8956</v>
      </c>
      <c r="I2325" s="475" t="s">
        <v>1261</v>
      </c>
      <c r="J2325" s="475" t="s">
        <v>140</v>
      </c>
      <c r="K2325" s="365">
        <v>356.57</v>
      </c>
      <c r="L2325" s="475" t="s">
        <v>141</v>
      </c>
      <c r="M2325" s="473"/>
    </row>
    <row r="2326" spans="1:13" ht="13.5">
      <c r="A2326" s="475" t="s">
        <v>5400</v>
      </c>
      <c r="B2326" s="475" t="s">
        <v>5401</v>
      </c>
      <c r="C2326" s="475" t="s">
        <v>5414</v>
      </c>
      <c r="D2326" s="475" t="s">
        <v>5415</v>
      </c>
      <c r="E2326" s="476" t="s">
        <v>34</v>
      </c>
      <c r="F2326" s="475" t="s">
        <v>34</v>
      </c>
      <c r="G2326" s="364">
        <v>90857</v>
      </c>
      <c r="H2326" s="475" t="s">
        <v>8957</v>
      </c>
      <c r="I2326" s="475" t="s">
        <v>1261</v>
      </c>
      <c r="J2326" s="475" t="s">
        <v>140</v>
      </c>
      <c r="K2326" s="365">
        <v>344.43</v>
      </c>
      <c r="L2326" s="475" t="s">
        <v>141</v>
      </c>
      <c r="M2326" s="473"/>
    </row>
    <row r="2327" spans="1:13" ht="13.5">
      <c r="A2327" s="475" t="s">
        <v>5400</v>
      </c>
      <c r="B2327" s="475" t="s">
        <v>5401</v>
      </c>
      <c r="C2327" s="475" t="s">
        <v>5414</v>
      </c>
      <c r="D2327" s="475" t="s">
        <v>5415</v>
      </c>
      <c r="E2327" s="476" t="s">
        <v>34</v>
      </c>
      <c r="F2327" s="475" t="s">
        <v>34</v>
      </c>
      <c r="G2327" s="364">
        <v>90858</v>
      </c>
      <c r="H2327" s="475" t="s">
        <v>8958</v>
      </c>
      <c r="I2327" s="475" t="s">
        <v>1261</v>
      </c>
      <c r="J2327" s="475" t="s">
        <v>140</v>
      </c>
      <c r="K2327" s="365">
        <v>391.58</v>
      </c>
      <c r="L2327" s="475" t="s">
        <v>141</v>
      </c>
      <c r="M2327" s="473"/>
    </row>
    <row r="2328" spans="1:13" ht="13.5">
      <c r="A2328" s="475" t="s">
        <v>5400</v>
      </c>
      <c r="B2328" s="475" t="s">
        <v>5401</v>
      </c>
      <c r="C2328" s="475" t="s">
        <v>5414</v>
      </c>
      <c r="D2328" s="475" t="s">
        <v>5415</v>
      </c>
      <c r="E2328" s="476" t="s">
        <v>34</v>
      </c>
      <c r="F2328" s="475" t="s">
        <v>34</v>
      </c>
      <c r="G2328" s="364">
        <v>90859</v>
      </c>
      <c r="H2328" s="475" t="s">
        <v>8959</v>
      </c>
      <c r="I2328" s="475" t="s">
        <v>1261</v>
      </c>
      <c r="J2328" s="475" t="s">
        <v>337</v>
      </c>
      <c r="K2328" s="365">
        <v>335.68</v>
      </c>
      <c r="L2328" s="475" t="s">
        <v>141</v>
      </c>
      <c r="M2328" s="473"/>
    </row>
    <row r="2329" spans="1:13" ht="13.5">
      <c r="A2329" s="475" t="s">
        <v>5400</v>
      </c>
      <c r="B2329" s="475" t="s">
        <v>5401</v>
      </c>
      <c r="C2329" s="475" t="s">
        <v>5414</v>
      </c>
      <c r="D2329" s="475" t="s">
        <v>5415</v>
      </c>
      <c r="E2329" s="476" t="s">
        <v>34</v>
      </c>
      <c r="F2329" s="475" t="s">
        <v>34</v>
      </c>
      <c r="G2329" s="364">
        <v>90860</v>
      </c>
      <c r="H2329" s="475" t="s">
        <v>8960</v>
      </c>
      <c r="I2329" s="475" t="s">
        <v>1261</v>
      </c>
      <c r="J2329" s="475" t="s">
        <v>337</v>
      </c>
      <c r="K2329" s="365">
        <v>340.37</v>
      </c>
      <c r="L2329" s="475" t="s">
        <v>141</v>
      </c>
      <c r="M2329" s="473"/>
    </row>
    <row r="2330" spans="1:13" ht="13.5">
      <c r="A2330" s="475" t="s">
        <v>5400</v>
      </c>
      <c r="B2330" s="475" t="s">
        <v>5401</v>
      </c>
      <c r="C2330" s="475" t="s">
        <v>5414</v>
      </c>
      <c r="D2330" s="475" t="s">
        <v>5415</v>
      </c>
      <c r="E2330" s="476" t="s">
        <v>34</v>
      </c>
      <c r="F2330" s="475" t="s">
        <v>34</v>
      </c>
      <c r="G2330" s="364">
        <v>90861</v>
      </c>
      <c r="H2330" s="475" t="s">
        <v>8961</v>
      </c>
      <c r="I2330" s="475" t="s">
        <v>1261</v>
      </c>
      <c r="J2330" s="475" t="s">
        <v>140</v>
      </c>
      <c r="K2330" s="365">
        <v>347.75</v>
      </c>
      <c r="L2330" s="475" t="s">
        <v>141</v>
      </c>
      <c r="M2330" s="473"/>
    </row>
    <row r="2331" spans="1:13" ht="13.5">
      <c r="A2331" s="475" t="s">
        <v>5400</v>
      </c>
      <c r="B2331" s="475" t="s">
        <v>5401</v>
      </c>
      <c r="C2331" s="475" t="s">
        <v>5414</v>
      </c>
      <c r="D2331" s="475" t="s">
        <v>5415</v>
      </c>
      <c r="E2331" s="476" t="s">
        <v>34</v>
      </c>
      <c r="F2331" s="475" t="s">
        <v>34</v>
      </c>
      <c r="G2331" s="364">
        <v>90862</v>
      </c>
      <c r="H2331" s="475" t="s">
        <v>8962</v>
      </c>
      <c r="I2331" s="475" t="s">
        <v>1261</v>
      </c>
      <c r="J2331" s="475" t="s">
        <v>337</v>
      </c>
      <c r="K2331" s="365">
        <v>315</v>
      </c>
      <c r="L2331" s="475" t="s">
        <v>141</v>
      </c>
      <c r="M2331" s="473"/>
    </row>
    <row r="2332" spans="1:13" ht="13.5">
      <c r="A2332" s="475" t="s">
        <v>5400</v>
      </c>
      <c r="B2332" s="475" t="s">
        <v>5401</v>
      </c>
      <c r="C2332" s="475" t="s">
        <v>5414</v>
      </c>
      <c r="D2332" s="475" t="s">
        <v>5415</v>
      </c>
      <c r="E2332" s="476" t="s">
        <v>34</v>
      </c>
      <c r="F2332" s="475" t="s">
        <v>34</v>
      </c>
      <c r="G2332" s="364">
        <v>92718</v>
      </c>
      <c r="H2332" s="475" t="s">
        <v>1994</v>
      </c>
      <c r="I2332" s="475" t="s">
        <v>1261</v>
      </c>
      <c r="J2332" s="475" t="s">
        <v>140</v>
      </c>
      <c r="K2332" s="365">
        <v>427.37</v>
      </c>
      <c r="L2332" s="475" t="s">
        <v>141</v>
      </c>
      <c r="M2332" s="473"/>
    </row>
    <row r="2333" spans="1:13" ht="13.5">
      <c r="A2333" s="475" t="s">
        <v>5400</v>
      </c>
      <c r="B2333" s="475" t="s">
        <v>5401</v>
      </c>
      <c r="C2333" s="475" t="s">
        <v>5414</v>
      </c>
      <c r="D2333" s="475" t="s">
        <v>5415</v>
      </c>
      <c r="E2333" s="476" t="s">
        <v>34</v>
      </c>
      <c r="F2333" s="475" t="s">
        <v>34</v>
      </c>
      <c r="G2333" s="364">
        <v>92719</v>
      </c>
      <c r="H2333" s="475" t="s">
        <v>1995</v>
      </c>
      <c r="I2333" s="475" t="s">
        <v>1261</v>
      </c>
      <c r="J2333" s="475" t="s">
        <v>140</v>
      </c>
      <c r="K2333" s="365">
        <v>304.76</v>
      </c>
      <c r="L2333" s="475" t="s">
        <v>141</v>
      </c>
      <c r="M2333" s="473"/>
    </row>
    <row r="2334" spans="1:13" ht="13.5">
      <c r="A2334" s="475" t="s">
        <v>5400</v>
      </c>
      <c r="B2334" s="475" t="s">
        <v>5401</v>
      </c>
      <c r="C2334" s="475" t="s">
        <v>5414</v>
      </c>
      <c r="D2334" s="475" t="s">
        <v>5415</v>
      </c>
      <c r="E2334" s="476" t="s">
        <v>34</v>
      </c>
      <c r="F2334" s="475" t="s">
        <v>34</v>
      </c>
      <c r="G2334" s="364">
        <v>92720</v>
      </c>
      <c r="H2334" s="475" t="s">
        <v>1996</v>
      </c>
      <c r="I2334" s="475" t="s">
        <v>1261</v>
      </c>
      <c r="J2334" s="475" t="s">
        <v>140</v>
      </c>
      <c r="K2334" s="365">
        <v>346.68</v>
      </c>
      <c r="L2334" s="475" t="s">
        <v>141</v>
      </c>
      <c r="M2334" s="473"/>
    </row>
    <row r="2335" spans="1:13" ht="13.5">
      <c r="A2335" s="475" t="s">
        <v>5400</v>
      </c>
      <c r="B2335" s="475" t="s">
        <v>5401</v>
      </c>
      <c r="C2335" s="475" t="s">
        <v>5414</v>
      </c>
      <c r="D2335" s="475" t="s">
        <v>5415</v>
      </c>
      <c r="E2335" s="476" t="s">
        <v>34</v>
      </c>
      <c r="F2335" s="475" t="s">
        <v>34</v>
      </c>
      <c r="G2335" s="364">
        <v>92721</v>
      </c>
      <c r="H2335" s="475" t="s">
        <v>1997</v>
      </c>
      <c r="I2335" s="475" t="s">
        <v>1261</v>
      </c>
      <c r="J2335" s="475" t="s">
        <v>140</v>
      </c>
      <c r="K2335" s="365">
        <v>297.25</v>
      </c>
      <c r="L2335" s="475" t="s">
        <v>141</v>
      </c>
      <c r="M2335" s="473"/>
    </row>
    <row r="2336" spans="1:13" ht="13.5">
      <c r="A2336" s="475" t="s">
        <v>5400</v>
      </c>
      <c r="B2336" s="475" t="s">
        <v>5401</v>
      </c>
      <c r="C2336" s="475" t="s">
        <v>5414</v>
      </c>
      <c r="D2336" s="475" t="s">
        <v>5415</v>
      </c>
      <c r="E2336" s="476" t="s">
        <v>34</v>
      </c>
      <c r="F2336" s="475" t="s">
        <v>34</v>
      </c>
      <c r="G2336" s="364">
        <v>92722</v>
      </c>
      <c r="H2336" s="475" t="s">
        <v>1998</v>
      </c>
      <c r="I2336" s="475" t="s">
        <v>1261</v>
      </c>
      <c r="J2336" s="475" t="s">
        <v>140</v>
      </c>
      <c r="K2336" s="365">
        <v>343.6</v>
      </c>
      <c r="L2336" s="475" t="s">
        <v>141</v>
      </c>
      <c r="M2336" s="473"/>
    </row>
    <row r="2337" spans="1:13" ht="13.5">
      <c r="A2337" s="475" t="s">
        <v>5400</v>
      </c>
      <c r="B2337" s="475" t="s">
        <v>5401</v>
      </c>
      <c r="C2337" s="475" t="s">
        <v>5414</v>
      </c>
      <c r="D2337" s="475" t="s">
        <v>5415</v>
      </c>
      <c r="E2337" s="476" t="s">
        <v>34</v>
      </c>
      <c r="F2337" s="475" t="s">
        <v>34</v>
      </c>
      <c r="G2337" s="364">
        <v>92723</v>
      </c>
      <c r="H2337" s="475" t="s">
        <v>1999</v>
      </c>
      <c r="I2337" s="475" t="s">
        <v>1261</v>
      </c>
      <c r="J2337" s="475" t="s">
        <v>140</v>
      </c>
      <c r="K2337" s="365">
        <v>334.71</v>
      </c>
      <c r="L2337" s="475" t="s">
        <v>141</v>
      </c>
      <c r="M2337" s="473"/>
    </row>
    <row r="2338" spans="1:13" ht="13.5">
      <c r="A2338" s="475" t="s">
        <v>5400</v>
      </c>
      <c r="B2338" s="475" t="s">
        <v>5401</v>
      </c>
      <c r="C2338" s="475" t="s">
        <v>5414</v>
      </c>
      <c r="D2338" s="475" t="s">
        <v>5415</v>
      </c>
      <c r="E2338" s="476" t="s">
        <v>34</v>
      </c>
      <c r="F2338" s="475" t="s">
        <v>34</v>
      </c>
      <c r="G2338" s="364">
        <v>92724</v>
      </c>
      <c r="H2338" s="475" t="s">
        <v>2000</v>
      </c>
      <c r="I2338" s="475" t="s">
        <v>1261</v>
      </c>
      <c r="J2338" s="475" t="s">
        <v>140</v>
      </c>
      <c r="K2338" s="365">
        <v>331.94</v>
      </c>
      <c r="L2338" s="475" t="s">
        <v>141</v>
      </c>
      <c r="M2338" s="473"/>
    </row>
    <row r="2339" spans="1:13" ht="13.5">
      <c r="A2339" s="475" t="s">
        <v>5400</v>
      </c>
      <c r="B2339" s="475" t="s">
        <v>5401</v>
      </c>
      <c r="C2339" s="475" t="s">
        <v>5414</v>
      </c>
      <c r="D2339" s="475" t="s">
        <v>5415</v>
      </c>
      <c r="E2339" s="476" t="s">
        <v>34</v>
      </c>
      <c r="F2339" s="475" t="s">
        <v>34</v>
      </c>
      <c r="G2339" s="364">
        <v>92725</v>
      </c>
      <c r="H2339" s="475" t="s">
        <v>2001</v>
      </c>
      <c r="I2339" s="475" t="s">
        <v>1261</v>
      </c>
      <c r="J2339" s="475" t="s">
        <v>140</v>
      </c>
      <c r="K2339" s="365">
        <v>330.77</v>
      </c>
      <c r="L2339" s="475" t="s">
        <v>141</v>
      </c>
      <c r="M2339" s="473"/>
    </row>
    <row r="2340" spans="1:13" ht="13.5">
      <c r="A2340" s="475" t="s">
        <v>5400</v>
      </c>
      <c r="B2340" s="475" t="s">
        <v>5401</v>
      </c>
      <c r="C2340" s="475" t="s">
        <v>5414</v>
      </c>
      <c r="D2340" s="475" t="s">
        <v>5415</v>
      </c>
      <c r="E2340" s="476" t="s">
        <v>34</v>
      </c>
      <c r="F2340" s="475" t="s">
        <v>34</v>
      </c>
      <c r="G2340" s="364">
        <v>92726</v>
      </c>
      <c r="H2340" s="475" t="s">
        <v>2002</v>
      </c>
      <c r="I2340" s="475" t="s">
        <v>1261</v>
      </c>
      <c r="J2340" s="475" t="s">
        <v>140</v>
      </c>
      <c r="K2340" s="365">
        <v>328.81</v>
      </c>
      <c r="L2340" s="475" t="s">
        <v>141</v>
      </c>
      <c r="M2340" s="473"/>
    </row>
    <row r="2341" spans="1:13" ht="13.5">
      <c r="A2341" s="475" t="s">
        <v>5400</v>
      </c>
      <c r="B2341" s="475" t="s">
        <v>5401</v>
      </c>
      <c r="C2341" s="475" t="s">
        <v>5414</v>
      </c>
      <c r="D2341" s="475" t="s">
        <v>5415</v>
      </c>
      <c r="E2341" s="476" t="s">
        <v>34</v>
      </c>
      <c r="F2341" s="475" t="s">
        <v>34</v>
      </c>
      <c r="G2341" s="364">
        <v>92727</v>
      </c>
      <c r="H2341" s="475" t="s">
        <v>2003</v>
      </c>
      <c r="I2341" s="475" t="s">
        <v>1261</v>
      </c>
      <c r="J2341" s="475" t="s">
        <v>140</v>
      </c>
      <c r="K2341" s="365">
        <v>371.34</v>
      </c>
      <c r="L2341" s="475" t="s">
        <v>141</v>
      </c>
      <c r="M2341" s="473"/>
    </row>
    <row r="2342" spans="1:13" ht="13.5">
      <c r="A2342" s="475" t="s">
        <v>5400</v>
      </c>
      <c r="B2342" s="475" t="s">
        <v>5401</v>
      </c>
      <c r="C2342" s="475" t="s">
        <v>5414</v>
      </c>
      <c r="D2342" s="475" t="s">
        <v>5415</v>
      </c>
      <c r="E2342" s="476" t="s">
        <v>34</v>
      </c>
      <c r="F2342" s="475" t="s">
        <v>34</v>
      </c>
      <c r="G2342" s="364">
        <v>92728</v>
      </c>
      <c r="H2342" s="475" t="s">
        <v>2004</v>
      </c>
      <c r="I2342" s="475" t="s">
        <v>1261</v>
      </c>
      <c r="J2342" s="475" t="s">
        <v>140</v>
      </c>
      <c r="K2342" s="365">
        <v>351.89</v>
      </c>
      <c r="L2342" s="475" t="s">
        <v>141</v>
      </c>
      <c r="M2342" s="473"/>
    </row>
    <row r="2343" spans="1:13" ht="13.5">
      <c r="A2343" s="475" t="s">
        <v>5400</v>
      </c>
      <c r="B2343" s="475" t="s">
        <v>5401</v>
      </c>
      <c r="C2343" s="475" t="s">
        <v>5414</v>
      </c>
      <c r="D2343" s="475" t="s">
        <v>5415</v>
      </c>
      <c r="E2343" s="476" t="s">
        <v>34</v>
      </c>
      <c r="F2343" s="475" t="s">
        <v>34</v>
      </c>
      <c r="G2343" s="364">
        <v>92729</v>
      </c>
      <c r="H2343" s="475" t="s">
        <v>7541</v>
      </c>
      <c r="I2343" s="475" t="s">
        <v>1261</v>
      </c>
      <c r="J2343" s="475" t="s">
        <v>140</v>
      </c>
      <c r="K2343" s="365">
        <v>343.66</v>
      </c>
      <c r="L2343" s="475" t="s">
        <v>141</v>
      </c>
      <c r="M2343" s="473"/>
    </row>
    <row r="2344" spans="1:13" ht="13.5">
      <c r="A2344" s="475" t="s">
        <v>5400</v>
      </c>
      <c r="B2344" s="475" t="s">
        <v>5401</v>
      </c>
      <c r="C2344" s="475" t="s">
        <v>5414</v>
      </c>
      <c r="D2344" s="475" t="s">
        <v>5415</v>
      </c>
      <c r="E2344" s="476" t="s">
        <v>34</v>
      </c>
      <c r="F2344" s="475" t="s">
        <v>34</v>
      </c>
      <c r="G2344" s="364">
        <v>92730</v>
      </c>
      <c r="H2344" s="475" t="s">
        <v>2005</v>
      </c>
      <c r="I2344" s="475" t="s">
        <v>1261</v>
      </c>
      <c r="J2344" s="475" t="s">
        <v>140</v>
      </c>
      <c r="K2344" s="365">
        <v>329.94</v>
      </c>
      <c r="L2344" s="475" t="s">
        <v>141</v>
      </c>
      <c r="M2344" s="473"/>
    </row>
    <row r="2345" spans="1:13" ht="13.5">
      <c r="A2345" s="475" t="s">
        <v>5400</v>
      </c>
      <c r="B2345" s="475" t="s">
        <v>5401</v>
      </c>
      <c r="C2345" s="475" t="s">
        <v>5414</v>
      </c>
      <c r="D2345" s="475" t="s">
        <v>5415</v>
      </c>
      <c r="E2345" s="476" t="s">
        <v>34</v>
      </c>
      <c r="F2345" s="475" t="s">
        <v>34</v>
      </c>
      <c r="G2345" s="364">
        <v>92731</v>
      </c>
      <c r="H2345" s="475" t="s">
        <v>2006</v>
      </c>
      <c r="I2345" s="475" t="s">
        <v>1261</v>
      </c>
      <c r="J2345" s="475" t="s">
        <v>140</v>
      </c>
      <c r="K2345" s="365">
        <v>345.7</v>
      </c>
      <c r="L2345" s="475" t="s">
        <v>141</v>
      </c>
      <c r="M2345" s="473"/>
    </row>
    <row r="2346" spans="1:13" ht="13.5">
      <c r="A2346" s="475" t="s">
        <v>5400</v>
      </c>
      <c r="B2346" s="475" t="s">
        <v>5401</v>
      </c>
      <c r="C2346" s="475" t="s">
        <v>5414</v>
      </c>
      <c r="D2346" s="475" t="s">
        <v>5415</v>
      </c>
      <c r="E2346" s="476" t="s">
        <v>34</v>
      </c>
      <c r="F2346" s="475" t="s">
        <v>34</v>
      </c>
      <c r="G2346" s="364">
        <v>92732</v>
      </c>
      <c r="H2346" s="475" t="s">
        <v>2007</v>
      </c>
      <c r="I2346" s="475" t="s">
        <v>1261</v>
      </c>
      <c r="J2346" s="475" t="s">
        <v>140</v>
      </c>
      <c r="K2346" s="365">
        <v>332.4</v>
      </c>
      <c r="L2346" s="475" t="s">
        <v>141</v>
      </c>
      <c r="M2346" s="473"/>
    </row>
    <row r="2347" spans="1:13" ht="13.5">
      <c r="A2347" s="475" t="s">
        <v>5400</v>
      </c>
      <c r="B2347" s="475" t="s">
        <v>5401</v>
      </c>
      <c r="C2347" s="475" t="s">
        <v>5414</v>
      </c>
      <c r="D2347" s="475" t="s">
        <v>5415</v>
      </c>
      <c r="E2347" s="476" t="s">
        <v>34</v>
      </c>
      <c r="F2347" s="475" t="s">
        <v>34</v>
      </c>
      <c r="G2347" s="364">
        <v>92733</v>
      </c>
      <c r="H2347" s="475" t="s">
        <v>2008</v>
      </c>
      <c r="I2347" s="475" t="s">
        <v>1261</v>
      </c>
      <c r="J2347" s="475" t="s">
        <v>140</v>
      </c>
      <c r="K2347" s="365">
        <v>326.74</v>
      </c>
      <c r="L2347" s="475" t="s">
        <v>141</v>
      </c>
      <c r="M2347" s="473"/>
    </row>
    <row r="2348" spans="1:13" ht="13.5">
      <c r="A2348" s="475" t="s">
        <v>5400</v>
      </c>
      <c r="B2348" s="475" t="s">
        <v>5401</v>
      </c>
      <c r="C2348" s="475" t="s">
        <v>5414</v>
      </c>
      <c r="D2348" s="475" t="s">
        <v>5415</v>
      </c>
      <c r="E2348" s="476" t="s">
        <v>34</v>
      </c>
      <c r="F2348" s="475" t="s">
        <v>34</v>
      </c>
      <c r="G2348" s="364">
        <v>92734</v>
      </c>
      <c r="H2348" s="475" t="s">
        <v>2009</v>
      </c>
      <c r="I2348" s="475" t="s">
        <v>1261</v>
      </c>
      <c r="J2348" s="475" t="s">
        <v>140</v>
      </c>
      <c r="K2348" s="365">
        <v>317.33999999999997</v>
      </c>
      <c r="L2348" s="475" t="s">
        <v>141</v>
      </c>
      <c r="M2348" s="473"/>
    </row>
    <row r="2349" spans="1:13" ht="13.5">
      <c r="A2349" s="475" t="s">
        <v>5400</v>
      </c>
      <c r="B2349" s="475" t="s">
        <v>5401</v>
      </c>
      <c r="C2349" s="475" t="s">
        <v>5414</v>
      </c>
      <c r="D2349" s="475" t="s">
        <v>5415</v>
      </c>
      <c r="E2349" s="476" t="s">
        <v>34</v>
      </c>
      <c r="F2349" s="475" t="s">
        <v>34</v>
      </c>
      <c r="G2349" s="364">
        <v>92735</v>
      </c>
      <c r="H2349" s="475" t="s">
        <v>2010</v>
      </c>
      <c r="I2349" s="475" t="s">
        <v>1261</v>
      </c>
      <c r="J2349" s="475" t="s">
        <v>140</v>
      </c>
      <c r="K2349" s="365">
        <v>323.98</v>
      </c>
      <c r="L2349" s="475" t="s">
        <v>141</v>
      </c>
      <c r="M2349" s="473"/>
    </row>
    <row r="2350" spans="1:13" ht="13.5">
      <c r="A2350" s="475" t="s">
        <v>5400</v>
      </c>
      <c r="B2350" s="475" t="s">
        <v>5401</v>
      </c>
      <c r="C2350" s="475" t="s">
        <v>5414</v>
      </c>
      <c r="D2350" s="475" t="s">
        <v>5415</v>
      </c>
      <c r="E2350" s="476" t="s">
        <v>34</v>
      </c>
      <c r="F2350" s="475" t="s">
        <v>34</v>
      </c>
      <c r="G2350" s="364">
        <v>92736</v>
      </c>
      <c r="H2350" s="475" t="s">
        <v>2011</v>
      </c>
      <c r="I2350" s="475" t="s">
        <v>1261</v>
      </c>
      <c r="J2350" s="475" t="s">
        <v>140</v>
      </c>
      <c r="K2350" s="365">
        <v>313.61</v>
      </c>
      <c r="L2350" s="475" t="s">
        <v>141</v>
      </c>
      <c r="M2350" s="473"/>
    </row>
    <row r="2351" spans="1:13" ht="13.5">
      <c r="A2351" s="475" t="s">
        <v>5400</v>
      </c>
      <c r="B2351" s="475" t="s">
        <v>5401</v>
      </c>
      <c r="C2351" s="475" t="s">
        <v>5414</v>
      </c>
      <c r="D2351" s="475" t="s">
        <v>5415</v>
      </c>
      <c r="E2351" s="476" t="s">
        <v>34</v>
      </c>
      <c r="F2351" s="475" t="s">
        <v>34</v>
      </c>
      <c r="G2351" s="364">
        <v>92739</v>
      </c>
      <c r="H2351" s="475" t="s">
        <v>2012</v>
      </c>
      <c r="I2351" s="475" t="s">
        <v>1261</v>
      </c>
      <c r="J2351" s="475" t="s">
        <v>140</v>
      </c>
      <c r="K2351" s="365">
        <v>298.58</v>
      </c>
      <c r="L2351" s="475" t="s">
        <v>141</v>
      </c>
      <c r="M2351" s="473"/>
    </row>
    <row r="2352" spans="1:13" ht="13.5">
      <c r="A2352" s="475" t="s">
        <v>5400</v>
      </c>
      <c r="B2352" s="475" t="s">
        <v>5401</v>
      </c>
      <c r="C2352" s="475" t="s">
        <v>5414</v>
      </c>
      <c r="D2352" s="475" t="s">
        <v>5415</v>
      </c>
      <c r="E2352" s="476" t="s">
        <v>34</v>
      </c>
      <c r="F2352" s="475" t="s">
        <v>34</v>
      </c>
      <c r="G2352" s="364">
        <v>92740</v>
      </c>
      <c r="H2352" s="475" t="s">
        <v>2013</v>
      </c>
      <c r="I2352" s="475" t="s">
        <v>1261</v>
      </c>
      <c r="J2352" s="475" t="s">
        <v>140</v>
      </c>
      <c r="K2352" s="365">
        <v>293.44</v>
      </c>
      <c r="L2352" s="475" t="s">
        <v>141</v>
      </c>
      <c r="M2352" s="473"/>
    </row>
    <row r="2353" spans="1:13" ht="13.5">
      <c r="A2353" s="475" t="s">
        <v>5400</v>
      </c>
      <c r="B2353" s="475" t="s">
        <v>5401</v>
      </c>
      <c r="C2353" s="475" t="s">
        <v>5414</v>
      </c>
      <c r="D2353" s="475" t="s">
        <v>5415</v>
      </c>
      <c r="E2353" s="476" t="s">
        <v>34</v>
      </c>
      <c r="F2353" s="475" t="s">
        <v>34</v>
      </c>
      <c r="G2353" s="364">
        <v>92741</v>
      </c>
      <c r="H2353" s="475" t="s">
        <v>2014</v>
      </c>
      <c r="I2353" s="475" t="s">
        <v>1261</v>
      </c>
      <c r="J2353" s="475" t="s">
        <v>140</v>
      </c>
      <c r="K2353" s="365">
        <v>478.72</v>
      </c>
      <c r="L2353" s="475" t="s">
        <v>141</v>
      </c>
      <c r="M2353" s="473"/>
    </row>
    <row r="2354" spans="1:13" ht="13.5">
      <c r="A2354" s="475" t="s">
        <v>5400</v>
      </c>
      <c r="B2354" s="475" t="s">
        <v>5401</v>
      </c>
      <c r="C2354" s="475" t="s">
        <v>5414</v>
      </c>
      <c r="D2354" s="475" t="s">
        <v>5415</v>
      </c>
      <c r="E2354" s="476" t="s">
        <v>34</v>
      </c>
      <c r="F2354" s="475" t="s">
        <v>34</v>
      </c>
      <c r="G2354" s="364">
        <v>92742</v>
      </c>
      <c r="H2354" s="475" t="s">
        <v>2015</v>
      </c>
      <c r="I2354" s="475" t="s">
        <v>1261</v>
      </c>
      <c r="J2354" s="475" t="s">
        <v>140</v>
      </c>
      <c r="K2354" s="365">
        <v>673.99</v>
      </c>
      <c r="L2354" s="475" t="s">
        <v>141</v>
      </c>
      <c r="M2354" s="473"/>
    </row>
    <row r="2355" spans="1:13" ht="13.5">
      <c r="A2355" s="475" t="s">
        <v>5400</v>
      </c>
      <c r="B2355" s="475" t="s">
        <v>5401</v>
      </c>
      <c r="C2355" s="475" t="s">
        <v>5414</v>
      </c>
      <c r="D2355" s="475" t="s">
        <v>5415</v>
      </c>
      <c r="E2355" s="476" t="s">
        <v>34</v>
      </c>
      <c r="F2355" s="475" t="s">
        <v>34</v>
      </c>
      <c r="G2355" s="364">
        <v>92873</v>
      </c>
      <c r="H2355" s="475" t="s">
        <v>2016</v>
      </c>
      <c r="I2355" s="475" t="s">
        <v>1261</v>
      </c>
      <c r="J2355" s="475" t="s">
        <v>140</v>
      </c>
      <c r="K2355" s="365">
        <v>151.59</v>
      </c>
      <c r="L2355" s="475" t="s">
        <v>141</v>
      </c>
      <c r="M2355" s="473"/>
    </row>
    <row r="2356" spans="1:13" ht="13.5">
      <c r="A2356" s="475" t="s">
        <v>5400</v>
      </c>
      <c r="B2356" s="475" t="s">
        <v>5401</v>
      </c>
      <c r="C2356" s="475" t="s">
        <v>5414</v>
      </c>
      <c r="D2356" s="475" t="s">
        <v>5415</v>
      </c>
      <c r="E2356" s="476" t="s">
        <v>34</v>
      </c>
      <c r="F2356" s="475" t="s">
        <v>34</v>
      </c>
      <c r="G2356" s="364">
        <v>92874</v>
      </c>
      <c r="H2356" s="475" t="s">
        <v>2017</v>
      </c>
      <c r="I2356" s="475" t="s">
        <v>1261</v>
      </c>
      <c r="J2356" s="475" t="s">
        <v>140</v>
      </c>
      <c r="K2356" s="365">
        <v>24.85</v>
      </c>
      <c r="L2356" s="475" t="s">
        <v>141</v>
      </c>
      <c r="M2356" s="473"/>
    </row>
    <row r="2357" spans="1:13" ht="13.5">
      <c r="A2357" s="475" t="s">
        <v>5400</v>
      </c>
      <c r="B2357" s="475" t="s">
        <v>5401</v>
      </c>
      <c r="C2357" s="475" t="s">
        <v>5414</v>
      </c>
      <c r="D2357" s="475" t="s">
        <v>5415</v>
      </c>
      <c r="E2357" s="476" t="s">
        <v>34</v>
      </c>
      <c r="F2357" s="475" t="s">
        <v>34</v>
      </c>
      <c r="G2357" s="364">
        <v>94962</v>
      </c>
      <c r="H2357" s="475" t="s">
        <v>2018</v>
      </c>
      <c r="I2357" s="475" t="s">
        <v>1261</v>
      </c>
      <c r="J2357" s="475" t="s">
        <v>337</v>
      </c>
      <c r="K2357" s="365">
        <v>264.01</v>
      </c>
      <c r="L2357" s="475" t="s">
        <v>141</v>
      </c>
      <c r="M2357" s="473"/>
    </row>
    <row r="2358" spans="1:13" ht="13.5">
      <c r="A2358" s="475" t="s">
        <v>5400</v>
      </c>
      <c r="B2358" s="475" t="s">
        <v>5401</v>
      </c>
      <c r="C2358" s="475" t="s">
        <v>5414</v>
      </c>
      <c r="D2358" s="475" t="s">
        <v>5415</v>
      </c>
      <c r="E2358" s="476" t="s">
        <v>34</v>
      </c>
      <c r="F2358" s="475" t="s">
        <v>34</v>
      </c>
      <c r="G2358" s="364">
        <v>94963</v>
      </c>
      <c r="H2358" s="475" t="s">
        <v>2019</v>
      </c>
      <c r="I2358" s="475" t="s">
        <v>1261</v>
      </c>
      <c r="J2358" s="475" t="s">
        <v>337</v>
      </c>
      <c r="K2358" s="365">
        <v>286.86</v>
      </c>
      <c r="L2358" s="475" t="s">
        <v>141</v>
      </c>
      <c r="M2358" s="473"/>
    </row>
    <row r="2359" spans="1:13" ht="13.5">
      <c r="A2359" s="475" t="s">
        <v>5400</v>
      </c>
      <c r="B2359" s="475" t="s">
        <v>5401</v>
      </c>
      <c r="C2359" s="475" t="s">
        <v>5414</v>
      </c>
      <c r="D2359" s="475" t="s">
        <v>5415</v>
      </c>
      <c r="E2359" s="476" t="s">
        <v>34</v>
      </c>
      <c r="F2359" s="475" t="s">
        <v>34</v>
      </c>
      <c r="G2359" s="364">
        <v>94964</v>
      </c>
      <c r="H2359" s="475" t="s">
        <v>2020</v>
      </c>
      <c r="I2359" s="475" t="s">
        <v>1261</v>
      </c>
      <c r="J2359" s="475" t="s">
        <v>337</v>
      </c>
      <c r="K2359" s="365">
        <v>308.47000000000003</v>
      </c>
      <c r="L2359" s="475" t="s">
        <v>141</v>
      </c>
      <c r="M2359" s="473"/>
    </row>
    <row r="2360" spans="1:13" ht="13.5">
      <c r="A2360" s="475" t="s">
        <v>5400</v>
      </c>
      <c r="B2360" s="475" t="s">
        <v>5401</v>
      </c>
      <c r="C2360" s="475" t="s">
        <v>5414</v>
      </c>
      <c r="D2360" s="475" t="s">
        <v>5415</v>
      </c>
      <c r="E2360" s="476" t="s">
        <v>34</v>
      </c>
      <c r="F2360" s="475" t="s">
        <v>34</v>
      </c>
      <c r="G2360" s="364">
        <v>94965</v>
      </c>
      <c r="H2360" s="475" t="s">
        <v>2021</v>
      </c>
      <c r="I2360" s="475" t="s">
        <v>1261</v>
      </c>
      <c r="J2360" s="475" t="s">
        <v>337</v>
      </c>
      <c r="K2360" s="365">
        <v>317</v>
      </c>
      <c r="L2360" s="475" t="s">
        <v>141</v>
      </c>
      <c r="M2360" s="473"/>
    </row>
    <row r="2361" spans="1:13" ht="13.5">
      <c r="A2361" s="475" t="s">
        <v>5400</v>
      </c>
      <c r="B2361" s="475" t="s">
        <v>5401</v>
      </c>
      <c r="C2361" s="475" t="s">
        <v>5414</v>
      </c>
      <c r="D2361" s="475" t="s">
        <v>5415</v>
      </c>
      <c r="E2361" s="476" t="s">
        <v>34</v>
      </c>
      <c r="F2361" s="475" t="s">
        <v>34</v>
      </c>
      <c r="G2361" s="364">
        <v>94966</v>
      </c>
      <c r="H2361" s="475" t="s">
        <v>2022</v>
      </c>
      <c r="I2361" s="475" t="s">
        <v>1261</v>
      </c>
      <c r="J2361" s="475" t="s">
        <v>337</v>
      </c>
      <c r="K2361" s="365">
        <v>325.79000000000002</v>
      </c>
      <c r="L2361" s="475" t="s">
        <v>141</v>
      </c>
      <c r="M2361" s="473"/>
    </row>
    <row r="2362" spans="1:13" ht="13.5">
      <c r="A2362" s="475" t="s">
        <v>5400</v>
      </c>
      <c r="B2362" s="475" t="s">
        <v>5401</v>
      </c>
      <c r="C2362" s="475" t="s">
        <v>5414</v>
      </c>
      <c r="D2362" s="475" t="s">
        <v>5415</v>
      </c>
      <c r="E2362" s="476" t="s">
        <v>34</v>
      </c>
      <c r="F2362" s="475" t="s">
        <v>34</v>
      </c>
      <c r="G2362" s="364">
        <v>94967</v>
      </c>
      <c r="H2362" s="475" t="s">
        <v>2023</v>
      </c>
      <c r="I2362" s="475" t="s">
        <v>1261</v>
      </c>
      <c r="J2362" s="475" t="s">
        <v>337</v>
      </c>
      <c r="K2362" s="365">
        <v>364.08</v>
      </c>
      <c r="L2362" s="475" t="s">
        <v>141</v>
      </c>
      <c r="M2362" s="473"/>
    </row>
    <row r="2363" spans="1:13" ht="13.5">
      <c r="A2363" s="475" t="s">
        <v>5400</v>
      </c>
      <c r="B2363" s="475" t="s">
        <v>5401</v>
      </c>
      <c r="C2363" s="475" t="s">
        <v>5414</v>
      </c>
      <c r="D2363" s="475" t="s">
        <v>5415</v>
      </c>
      <c r="E2363" s="476" t="s">
        <v>34</v>
      </c>
      <c r="F2363" s="475" t="s">
        <v>34</v>
      </c>
      <c r="G2363" s="364">
        <v>94968</v>
      </c>
      <c r="H2363" s="475" t="s">
        <v>2024</v>
      </c>
      <c r="I2363" s="475" t="s">
        <v>1261</v>
      </c>
      <c r="J2363" s="475" t="s">
        <v>337</v>
      </c>
      <c r="K2363" s="365">
        <v>261.89999999999998</v>
      </c>
      <c r="L2363" s="475" t="s">
        <v>141</v>
      </c>
      <c r="M2363" s="473"/>
    </row>
    <row r="2364" spans="1:13" ht="13.5">
      <c r="A2364" s="475" t="s">
        <v>5400</v>
      </c>
      <c r="B2364" s="475" t="s">
        <v>5401</v>
      </c>
      <c r="C2364" s="475" t="s">
        <v>5414</v>
      </c>
      <c r="D2364" s="475" t="s">
        <v>5415</v>
      </c>
      <c r="E2364" s="476" t="s">
        <v>34</v>
      </c>
      <c r="F2364" s="475" t="s">
        <v>34</v>
      </c>
      <c r="G2364" s="364">
        <v>94969</v>
      </c>
      <c r="H2364" s="475" t="s">
        <v>2025</v>
      </c>
      <c r="I2364" s="475" t="s">
        <v>1261</v>
      </c>
      <c r="J2364" s="475" t="s">
        <v>337</v>
      </c>
      <c r="K2364" s="365">
        <v>282.52</v>
      </c>
      <c r="L2364" s="475" t="s">
        <v>141</v>
      </c>
      <c r="M2364" s="473"/>
    </row>
    <row r="2365" spans="1:13" ht="13.5">
      <c r="A2365" s="475" t="s">
        <v>5400</v>
      </c>
      <c r="B2365" s="475" t="s">
        <v>5401</v>
      </c>
      <c r="C2365" s="475" t="s">
        <v>5414</v>
      </c>
      <c r="D2365" s="475" t="s">
        <v>5415</v>
      </c>
      <c r="E2365" s="476" t="s">
        <v>34</v>
      </c>
      <c r="F2365" s="475" t="s">
        <v>34</v>
      </c>
      <c r="G2365" s="364">
        <v>94970</v>
      </c>
      <c r="H2365" s="475" t="s">
        <v>2026</v>
      </c>
      <c r="I2365" s="475" t="s">
        <v>1261</v>
      </c>
      <c r="J2365" s="475" t="s">
        <v>337</v>
      </c>
      <c r="K2365" s="365">
        <v>300.08999999999997</v>
      </c>
      <c r="L2365" s="475" t="s">
        <v>141</v>
      </c>
      <c r="M2365" s="473"/>
    </row>
    <row r="2366" spans="1:13" ht="13.5">
      <c r="A2366" s="475" t="s">
        <v>5400</v>
      </c>
      <c r="B2366" s="475" t="s">
        <v>5401</v>
      </c>
      <c r="C2366" s="475" t="s">
        <v>5414</v>
      </c>
      <c r="D2366" s="475" t="s">
        <v>5415</v>
      </c>
      <c r="E2366" s="476" t="s">
        <v>34</v>
      </c>
      <c r="F2366" s="475" t="s">
        <v>34</v>
      </c>
      <c r="G2366" s="364">
        <v>94971</v>
      </c>
      <c r="H2366" s="475" t="s">
        <v>2027</v>
      </c>
      <c r="I2366" s="475" t="s">
        <v>1261</v>
      </c>
      <c r="J2366" s="475" t="s">
        <v>337</v>
      </c>
      <c r="K2366" s="365">
        <v>312.63</v>
      </c>
      <c r="L2366" s="475" t="s">
        <v>141</v>
      </c>
      <c r="M2366" s="473"/>
    </row>
    <row r="2367" spans="1:13" ht="13.5">
      <c r="A2367" s="475" t="s">
        <v>5400</v>
      </c>
      <c r="B2367" s="475" t="s">
        <v>5401</v>
      </c>
      <c r="C2367" s="475" t="s">
        <v>5414</v>
      </c>
      <c r="D2367" s="475" t="s">
        <v>5415</v>
      </c>
      <c r="E2367" s="476" t="s">
        <v>34</v>
      </c>
      <c r="F2367" s="475" t="s">
        <v>34</v>
      </c>
      <c r="G2367" s="364">
        <v>94972</v>
      </c>
      <c r="H2367" s="475" t="s">
        <v>2028</v>
      </c>
      <c r="I2367" s="475" t="s">
        <v>1261</v>
      </c>
      <c r="J2367" s="475" t="s">
        <v>337</v>
      </c>
      <c r="K2367" s="365">
        <v>321.26</v>
      </c>
      <c r="L2367" s="475" t="s">
        <v>141</v>
      </c>
      <c r="M2367" s="473"/>
    </row>
    <row r="2368" spans="1:13" ht="13.5">
      <c r="A2368" s="475" t="s">
        <v>5400</v>
      </c>
      <c r="B2368" s="475" t="s">
        <v>5401</v>
      </c>
      <c r="C2368" s="475" t="s">
        <v>5414</v>
      </c>
      <c r="D2368" s="475" t="s">
        <v>5415</v>
      </c>
      <c r="E2368" s="476" t="s">
        <v>34</v>
      </c>
      <c r="F2368" s="475" t="s">
        <v>34</v>
      </c>
      <c r="G2368" s="364">
        <v>94973</v>
      </c>
      <c r="H2368" s="475" t="s">
        <v>2029</v>
      </c>
      <c r="I2368" s="475" t="s">
        <v>1261</v>
      </c>
      <c r="J2368" s="475" t="s">
        <v>337</v>
      </c>
      <c r="K2368" s="365">
        <v>358.48</v>
      </c>
      <c r="L2368" s="475" t="s">
        <v>141</v>
      </c>
      <c r="M2368" s="473"/>
    </row>
    <row r="2369" spans="1:13" ht="13.5">
      <c r="A2369" s="475" t="s">
        <v>5400</v>
      </c>
      <c r="B2369" s="475" t="s">
        <v>5401</v>
      </c>
      <c r="C2369" s="475" t="s">
        <v>5414</v>
      </c>
      <c r="D2369" s="475" t="s">
        <v>5415</v>
      </c>
      <c r="E2369" s="476" t="s">
        <v>34</v>
      </c>
      <c r="F2369" s="475" t="s">
        <v>34</v>
      </c>
      <c r="G2369" s="364">
        <v>94974</v>
      </c>
      <c r="H2369" s="475" t="s">
        <v>2030</v>
      </c>
      <c r="I2369" s="475" t="s">
        <v>1261</v>
      </c>
      <c r="J2369" s="475" t="s">
        <v>337</v>
      </c>
      <c r="K2369" s="365">
        <v>357.97</v>
      </c>
      <c r="L2369" s="475" t="s">
        <v>141</v>
      </c>
      <c r="M2369" s="473"/>
    </row>
    <row r="2370" spans="1:13" ht="13.5">
      <c r="A2370" s="475" t="s">
        <v>5400</v>
      </c>
      <c r="B2370" s="475" t="s">
        <v>5401</v>
      </c>
      <c r="C2370" s="475" t="s">
        <v>5414</v>
      </c>
      <c r="D2370" s="475" t="s">
        <v>5415</v>
      </c>
      <c r="E2370" s="476" t="s">
        <v>34</v>
      </c>
      <c r="F2370" s="475" t="s">
        <v>34</v>
      </c>
      <c r="G2370" s="364">
        <v>94975</v>
      </c>
      <c r="H2370" s="475" t="s">
        <v>2031</v>
      </c>
      <c r="I2370" s="475" t="s">
        <v>1261</v>
      </c>
      <c r="J2370" s="475" t="s">
        <v>337</v>
      </c>
      <c r="K2370" s="365">
        <v>378.78</v>
      </c>
      <c r="L2370" s="475" t="s">
        <v>141</v>
      </c>
      <c r="M2370" s="473"/>
    </row>
    <row r="2371" spans="1:13" ht="13.5">
      <c r="A2371" s="475" t="s">
        <v>5400</v>
      </c>
      <c r="B2371" s="475" t="s">
        <v>5401</v>
      </c>
      <c r="C2371" s="475" t="s">
        <v>5414</v>
      </c>
      <c r="D2371" s="475" t="s">
        <v>5415</v>
      </c>
      <c r="E2371" s="476" t="s">
        <v>34</v>
      </c>
      <c r="F2371" s="475" t="s">
        <v>34</v>
      </c>
      <c r="G2371" s="364">
        <v>96555</v>
      </c>
      <c r="H2371" s="475" t="s">
        <v>2032</v>
      </c>
      <c r="I2371" s="475" t="s">
        <v>1261</v>
      </c>
      <c r="J2371" s="475" t="s">
        <v>140</v>
      </c>
      <c r="K2371" s="365">
        <v>451.25</v>
      </c>
      <c r="L2371" s="475" t="s">
        <v>141</v>
      </c>
      <c r="M2371" s="473"/>
    </row>
    <row r="2372" spans="1:13" ht="13.5">
      <c r="A2372" s="475" t="s">
        <v>5400</v>
      </c>
      <c r="B2372" s="475" t="s">
        <v>5401</v>
      </c>
      <c r="C2372" s="475" t="s">
        <v>5414</v>
      </c>
      <c r="D2372" s="475" t="s">
        <v>5415</v>
      </c>
      <c r="E2372" s="476" t="s">
        <v>34</v>
      </c>
      <c r="F2372" s="475" t="s">
        <v>34</v>
      </c>
      <c r="G2372" s="364">
        <v>96556</v>
      </c>
      <c r="H2372" s="475" t="s">
        <v>2033</v>
      </c>
      <c r="I2372" s="475" t="s">
        <v>1261</v>
      </c>
      <c r="J2372" s="475" t="s">
        <v>140</v>
      </c>
      <c r="K2372" s="365">
        <v>512.19000000000005</v>
      </c>
      <c r="L2372" s="475" t="s">
        <v>141</v>
      </c>
      <c r="M2372" s="473"/>
    </row>
    <row r="2373" spans="1:13" ht="13.5">
      <c r="A2373" s="475" t="s">
        <v>5400</v>
      </c>
      <c r="B2373" s="475" t="s">
        <v>5401</v>
      </c>
      <c r="C2373" s="475" t="s">
        <v>5414</v>
      </c>
      <c r="D2373" s="475" t="s">
        <v>5415</v>
      </c>
      <c r="E2373" s="476" t="s">
        <v>34</v>
      </c>
      <c r="F2373" s="475" t="s">
        <v>34</v>
      </c>
      <c r="G2373" s="364">
        <v>96557</v>
      </c>
      <c r="H2373" s="475" t="s">
        <v>2034</v>
      </c>
      <c r="I2373" s="475" t="s">
        <v>1261</v>
      </c>
      <c r="J2373" s="475" t="s">
        <v>140</v>
      </c>
      <c r="K2373" s="365">
        <v>361.78</v>
      </c>
      <c r="L2373" s="475" t="s">
        <v>141</v>
      </c>
      <c r="M2373" s="473"/>
    </row>
    <row r="2374" spans="1:13" ht="13.5">
      <c r="A2374" s="475" t="s">
        <v>5400</v>
      </c>
      <c r="B2374" s="475" t="s">
        <v>5401</v>
      </c>
      <c r="C2374" s="475" t="s">
        <v>5414</v>
      </c>
      <c r="D2374" s="475" t="s">
        <v>5415</v>
      </c>
      <c r="E2374" s="476" t="s">
        <v>34</v>
      </c>
      <c r="F2374" s="475" t="s">
        <v>34</v>
      </c>
      <c r="G2374" s="364">
        <v>96558</v>
      </c>
      <c r="H2374" s="475" t="s">
        <v>2035</v>
      </c>
      <c r="I2374" s="475" t="s">
        <v>1261</v>
      </c>
      <c r="J2374" s="475" t="s">
        <v>140</v>
      </c>
      <c r="K2374" s="365">
        <v>367.15</v>
      </c>
      <c r="L2374" s="475" t="s">
        <v>141</v>
      </c>
      <c r="M2374" s="473"/>
    </row>
    <row r="2375" spans="1:13" ht="13.5">
      <c r="A2375" s="475" t="s">
        <v>5400</v>
      </c>
      <c r="B2375" s="475" t="s">
        <v>5401</v>
      </c>
      <c r="C2375" s="475" t="s">
        <v>5414</v>
      </c>
      <c r="D2375" s="475" t="s">
        <v>5415</v>
      </c>
      <c r="E2375" s="476" t="s">
        <v>34</v>
      </c>
      <c r="F2375" s="475" t="s">
        <v>34</v>
      </c>
      <c r="G2375" s="364">
        <v>99235</v>
      </c>
      <c r="H2375" s="475" t="s">
        <v>8963</v>
      </c>
      <c r="I2375" s="475" t="s">
        <v>1261</v>
      </c>
      <c r="J2375" s="475" t="s">
        <v>337</v>
      </c>
      <c r="K2375" s="365">
        <v>325.72000000000003</v>
      </c>
      <c r="L2375" s="475" t="s">
        <v>141</v>
      </c>
      <c r="M2375" s="473"/>
    </row>
    <row r="2376" spans="1:13" ht="13.5">
      <c r="A2376" s="475" t="s">
        <v>5400</v>
      </c>
      <c r="B2376" s="475" t="s">
        <v>5401</v>
      </c>
      <c r="C2376" s="475" t="s">
        <v>5414</v>
      </c>
      <c r="D2376" s="475" t="s">
        <v>5415</v>
      </c>
      <c r="E2376" s="476" t="s">
        <v>34</v>
      </c>
      <c r="F2376" s="475" t="s">
        <v>34</v>
      </c>
      <c r="G2376" s="364">
        <v>99431</v>
      </c>
      <c r="H2376" s="475" t="s">
        <v>8964</v>
      </c>
      <c r="I2376" s="475" t="s">
        <v>1261</v>
      </c>
      <c r="J2376" s="475" t="s">
        <v>140</v>
      </c>
      <c r="K2376" s="365">
        <v>387.42</v>
      </c>
      <c r="L2376" s="475" t="s">
        <v>141</v>
      </c>
      <c r="M2376" s="473"/>
    </row>
    <row r="2377" spans="1:13" ht="13.5">
      <c r="A2377" s="475" t="s">
        <v>5400</v>
      </c>
      <c r="B2377" s="475" t="s">
        <v>5401</v>
      </c>
      <c r="C2377" s="475" t="s">
        <v>5414</v>
      </c>
      <c r="D2377" s="475" t="s">
        <v>5415</v>
      </c>
      <c r="E2377" s="476" t="s">
        <v>34</v>
      </c>
      <c r="F2377" s="475" t="s">
        <v>34</v>
      </c>
      <c r="G2377" s="364">
        <v>99432</v>
      </c>
      <c r="H2377" s="475" t="s">
        <v>8965</v>
      </c>
      <c r="I2377" s="475" t="s">
        <v>1261</v>
      </c>
      <c r="J2377" s="475" t="s">
        <v>140</v>
      </c>
      <c r="K2377" s="365">
        <v>366.02</v>
      </c>
      <c r="L2377" s="475" t="s">
        <v>141</v>
      </c>
      <c r="M2377" s="473"/>
    </row>
    <row r="2378" spans="1:13" ht="13.5">
      <c r="A2378" s="475" t="s">
        <v>5400</v>
      </c>
      <c r="B2378" s="475" t="s">
        <v>5401</v>
      </c>
      <c r="C2378" s="475" t="s">
        <v>5414</v>
      </c>
      <c r="D2378" s="475" t="s">
        <v>5415</v>
      </c>
      <c r="E2378" s="476" t="s">
        <v>34</v>
      </c>
      <c r="F2378" s="475" t="s">
        <v>34</v>
      </c>
      <c r="G2378" s="364">
        <v>99433</v>
      </c>
      <c r="H2378" s="475" t="s">
        <v>8966</v>
      </c>
      <c r="I2378" s="475" t="s">
        <v>1261</v>
      </c>
      <c r="J2378" s="475" t="s">
        <v>140</v>
      </c>
      <c r="K2378" s="365">
        <v>411.56</v>
      </c>
      <c r="L2378" s="475" t="s">
        <v>141</v>
      </c>
      <c r="M2378" s="473"/>
    </row>
    <row r="2379" spans="1:13" ht="13.5">
      <c r="A2379" s="475" t="s">
        <v>5400</v>
      </c>
      <c r="B2379" s="475" t="s">
        <v>5401</v>
      </c>
      <c r="C2379" s="475" t="s">
        <v>5414</v>
      </c>
      <c r="D2379" s="475" t="s">
        <v>5415</v>
      </c>
      <c r="E2379" s="476" t="s">
        <v>34</v>
      </c>
      <c r="F2379" s="475" t="s">
        <v>34</v>
      </c>
      <c r="G2379" s="364">
        <v>99434</v>
      </c>
      <c r="H2379" s="475" t="s">
        <v>8967</v>
      </c>
      <c r="I2379" s="475" t="s">
        <v>1261</v>
      </c>
      <c r="J2379" s="475" t="s">
        <v>140</v>
      </c>
      <c r="K2379" s="365">
        <v>390.82</v>
      </c>
      <c r="L2379" s="475" t="s">
        <v>141</v>
      </c>
      <c r="M2379" s="473"/>
    </row>
    <row r="2380" spans="1:13" ht="13.5">
      <c r="A2380" s="475" t="s">
        <v>5400</v>
      </c>
      <c r="B2380" s="475" t="s">
        <v>5401</v>
      </c>
      <c r="C2380" s="475" t="s">
        <v>5414</v>
      </c>
      <c r="D2380" s="475" t="s">
        <v>5415</v>
      </c>
      <c r="E2380" s="476" t="s">
        <v>34</v>
      </c>
      <c r="F2380" s="475" t="s">
        <v>34</v>
      </c>
      <c r="G2380" s="364">
        <v>99435</v>
      </c>
      <c r="H2380" s="475" t="s">
        <v>8968</v>
      </c>
      <c r="I2380" s="475" t="s">
        <v>1261</v>
      </c>
      <c r="J2380" s="475" t="s">
        <v>140</v>
      </c>
      <c r="K2380" s="365">
        <v>377.74</v>
      </c>
      <c r="L2380" s="475" t="s">
        <v>141</v>
      </c>
      <c r="M2380" s="473"/>
    </row>
    <row r="2381" spans="1:13" ht="13.5">
      <c r="A2381" s="475" t="s">
        <v>5400</v>
      </c>
      <c r="B2381" s="475" t="s">
        <v>5401</v>
      </c>
      <c r="C2381" s="475" t="s">
        <v>5414</v>
      </c>
      <c r="D2381" s="475" t="s">
        <v>5415</v>
      </c>
      <c r="E2381" s="476" t="s">
        <v>34</v>
      </c>
      <c r="F2381" s="475" t="s">
        <v>34</v>
      </c>
      <c r="G2381" s="364">
        <v>99436</v>
      </c>
      <c r="H2381" s="475" t="s">
        <v>8969</v>
      </c>
      <c r="I2381" s="475" t="s">
        <v>1261</v>
      </c>
      <c r="J2381" s="475" t="s">
        <v>140</v>
      </c>
      <c r="K2381" s="365">
        <v>427.06</v>
      </c>
      <c r="L2381" s="475" t="s">
        <v>141</v>
      </c>
      <c r="M2381" s="473"/>
    </row>
    <row r="2382" spans="1:13" ht="13.5">
      <c r="A2382" s="475" t="s">
        <v>5400</v>
      </c>
      <c r="B2382" s="475" t="s">
        <v>5401</v>
      </c>
      <c r="C2382" s="475" t="s">
        <v>5414</v>
      </c>
      <c r="D2382" s="475" t="s">
        <v>5415</v>
      </c>
      <c r="E2382" s="476" t="s">
        <v>34</v>
      </c>
      <c r="F2382" s="475" t="s">
        <v>34</v>
      </c>
      <c r="G2382" s="364">
        <v>99437</v>
      </c>
      <c r="H2382" s="475" t="s">
        <v>8970</v>
      </c>
      <c r="I2382" s="475" t="s">
        <v>1261</v>
      </c>
      <c r="J2382" s="475" t="s">
        <v>337</v>
      </c>
      <c r="K2382" s="365">
        <v>346.98</v>
      </c>
      <c r="L2382" s="475" t="s">
        <v>141</v>
      </c>
      <c r="M2382" s="473"/>
    </row>
    <row r="2383" spans="1:13" ht="13.5">
      <c r="A2383" s="475" t="s">
        <v>5400</v>
      </c>
      <c r="B2383" s="475" t="s">
        <v>5401</v>
      </c>
      <c r="C2383" s="475" t="s">
        <v>5414</v>
      </c>
      <c r="D2383" s="475" t="s">
        <v>5415</v>
      </c>
      <c r="E2383" s="476" t="s">
        <v>34</v>
      </c>
      <c r="F2383" s="475" t="s">
        <v>34</v>
      </c>
      <c r="G2383" s="364">
        <v>99438</v>
      </c>
      <c r="H2383" s="475" t="s">
        <v>8971</v>
      </c>
      <c r="I2383" s="475" t="s">
        <v>1261</v>
      </c>
      <c r="J2383" s="475" t="s">
        <v>337</v>
      </c>
      <c r="K2383" s="365">
        <v>351.67</v>
      </c>
      <c r="L2383" s="475" t="s">
        <v>141</v>
      </c>
      <c r="M2383" s="473"/>
    </row>
    <row r="2384" spans="1:13" ht="13.5">
      <c r="A2384" s="475" t="s">
        <v>5400</v>
      </c>
      <c r="B2384" s="475" t="s">
        <v>5401</v>
      </c>
      <c r="C2384" s="475" t="s">
        <v>5414</v>
      </c>
      <c r="D2384" s="475" t="s">
        <v>5415</v>
      </c>
      <c r="E2384" s="476" t="s">
        <v>34</v>
      </c>
      <c r="F2384" s="475" t="s">
        <v>34</v>
      </c>
      <c r="G2384" s="364">
        <v>99439</v>
      </c>
      <c r="H2384" s="475" t="s">
        <v>8972</v>
      </c>
      <c r="I2384" s="475" t="s">
        <v>1261</v>
      </c>
      <c r="J2384" s="475" t="s">
        <v>140</v>
      </c>
      <c r="K2384" s="365">
        <v>381.37</v>
      </c>
      <c r="L2384" s="475" t="s">
        <v>141</v>
      </c>
      <c r="M2384" s="473"/>
    </row>
    <row r="2385" spans="1:13" ht="13.5">
      <c r="A2385" s="475" t="s">
        <v>5400</v>
      </c>
      <c r="B2385" s="475" t="s">
        <v>5401</v>
      </c>
      <c r="C2385" s="475" t="s">
        <v>5417</v>
      </c>
      <c r="D2385" s="475" t="s">
        <v>5418</v>
      </c>
      <c r="E2385" s="476">
        <v>74141</v>
      </c>
      <c r="F2385" s="475" t="s">
        <v>5419</v>
      </c>
      <c r="G2385" s="364" t="s">
        <v>2036</v>
      </c>
      <c r="H2385" s="475" t="s">
        <v>2037</v>
      </c>
      <c r="I2385" s="475" t="s">
        <v>322</v>
      </c>
      <c r="J2385" s="475" t="s">
        <v>140</v>
      </c>
      <c r="K2385" s="365">
        <v>68.47</v>
      </c>
      <c r="L2385" s="475" t="s">
        <v>141</v>
      </c>
      <c r="M2385" s="473"/>
    </row>
    <row r="2386" spans="1:13" ht="13.5">
      <c r="A2386" s="475" t="s">
        <v>5400</v>
      </c>
      <c r="B2386" s="475" t="s">
        <v>5401</v>
      </c>
      <c r="C2386" s="475" t="s">
        <v>5417</v>
      </c>
      <c r="D2386" s="475" t="s">
        <v>5418</v>
      </c>
      <c r="E2386" s="476">
        <v>74141</v>
      </c>
      <c r="F2386" s="475" t="s">
        <v>5419</v>
      </c>
      <c r="G2386" s="364" t="s">
        <v>2038</v>
      </c>
      <c r="H2386" s="475" t="s">
        <v>2039</v>
      </c>
      <c r="I2386" s="475" t="s">
        <v>322</v>
      </c>
      <c r="J2386" s="475" t="s">
        <v>140</v>
      </c>
      <c r="K2386" s="365">
        <v>75.92</v>
      </c>
      <c r="L2386" s="475" t="s">
        <v>141</v>
      </c>
      <c r="M2386" s="473"/>
    </row>
    <row r="2387" spans="1:13" ht="13.5">
      <c r="A2387" s="475" t="s">
        <v>5400</v>
      </c>
      <c r="B2387" s="475" t="s">
        <v>5401</v>
      </c>
      <c r="C2387" s="475" t="s">
        <v>5417</v>
      </c>
      <c r="D2387" s="475" t="s">
        <v>5418</v>
      </c>
      <c r="E2387" s="476">
        <v>74141</v>
      </c>
      <c r="F2387" s="475" t="s">
        <v>5419</v>
      </c>
      <c r="G2387" s="364" t="s">
        <v>2040</v>
      </c>
      <c r="H2387" s="475" t="s">
        <v>2041</v>
      </c>
      <c r="I2387" s="475" t="s">
        <v>322</v>
      </c>
      <c r="J2387" s="475" t="s">
        <v>140</v>
      </c>
      <c r="K2387" s="365">
        <v>90.19</v>
      </c>
      <c r="L2387" s="475" t="s">
        <v>141</v>
      </c>
      <c r="M2387" s="473"/>
    </row>
    <row r="2388" spans="1:13" ht="13.5">
      <c r="A2388" s="475" t="s">
        <v>5400</v>
      </c>
      <c r="B2388" s="475" t="s">
        <v>5401</v>
      </c>
      <c r="C2388" s="475" t="s">
        <v>5417</v>
      </c>
      <c r="D2388" s="475" t="s">
        <v>5418</v>
      </c>
      <c r="E2388" s="476">
        <v>74141</v>
      </c>
      <c r="F2388" s="475" t="s">
        <v>5419</v>
      </c>
      <c r="G2388" s="364" t="s">
        <v>2042</v>
      </c>
      <c r="H2388" s="475" t="s">
        <v>2043</v>
      </c>
      <c r="I2388" s="475" t="s">
        <v>322</v>
      </c>
      <c r="J2388" s="475" t="s">
        <v>140</v>
      </c>
      <c r="K2388" s="365">
        <v>103.14</v>
      </c>
      <c r="L2388" s="475" t="s">
        <v>141</v>
      </c>
      <c r="M2388" s="473"/>
    </row>
    <row r="2389" spans="1:13" ht="13.5">
      <c r="A2389" s="475" t="s">
        <v>5400</v>
      </c>
      <c r="B2389" s="475" t="s">
        <v>5401</v>
      </c>
      <c r="C2389" s="475" t="s">
        <v>5417</v>
      </c>
      <c r="D2389" s="475" t="s">
        <v>5418</v>
      </c>
      <c r="E2389" s="476">
        <v>74202</v>
      </c>
      <c r="F2389" s="475" t="s">
        <v>5419</v>
      </c>
      <c r="G2389" s="364" t="s">
        <v>2044</v>
      </c>
      <c r="H2389" s="475" t="s">
        <v>2045</v>
      </c>
      <c r="I2389" s="475" t="s">
        <v>322</v>
      </c>
      <c r="J2389" s="475" t="s">
        <v>140</v>
      </c>
      <c r="K2389" s="365">
        <v>61.35</v>
      </c>
      <c r="L2389" s="475" t="s">
        <v>141</v>
      </c>
      <c r="M2389" s="473"/>
    </row>
    <row r="2390" spans="1:13" ht="13.5">
      <c r="A2390" s="475" t="s">
        <v>5400</v>
      </c>
      <c r="B2390" s="475" t="s">
        <v>5401</v>
      </c>
      <c r="C2390" s="475" t="s">
        <v>5417</v>
      </c>
      <c r="D2390" s="475" t="s">
        <v>5418</v>
      </c>
      <c r="E2390" s="476">
        <v>74202</v>
      </c>
      <c r="F2390" s="475" t="s">
        <v>5419</v>
      </c>
      <c r="G2390" s="364" t="s">
        <v>2046</v>
      </c>
      <c r="H2390" s="475" t="s">
        <v>2047</v>
      </c>
      <c r="I2390" s="475" t="s">
        <v>322</v>
      </c>
      <c r="J2390" s="475" t="s">
        <v>140</v>
      </c>
      <c r="K2390" s="365">
        <v>67.739999999999995</v>
      </c>
      <c r="L2390" s="475" t="s">
        <v>141</v>
      </c>
      <c r="M2390" s="473"/>
    </row>
    <row r="2391" spans="1:13" ht="13.5">
      <c r="A2391" s="475" t="s">
        <v>5400</v>
      </c>
      <c r="B2391" s="475" t="s">
        <v>5401</v>
      </c>
      <c r="C2391" s="475" t="s">
        <v>5420</v>
      </c>
      <c r="D2391" s="475" t="s">
        <v>5421</v>
      </c>
      <c r="E2391" s="476">
        <v>73817</v>
      </c>
      <c r="F2391" s="475" t="s">
        <v>5422</v>
      </c>
      <c r="G2391" s="364" t="s">
        <v>2048</v>
      </c>
      <c r="H2391" s="475" t="s">
        <v>2049</v>
      </c>
      <c r="I2391" s="475" t="s">
        <v>1261</v>
      </c>
      <c r="J2391" s="475" t="s">
        <v>337</v>
      </c>
      <c r="K2391" s="365">
        <v>108.31</v>
      </c>
      <c r="L2391" s="475" t="s">
        <v>141</v>
      </c>
      <c r="M2391" s="473"/>
    </row>
    <row r="2392" spans="1:13" ht="13.5">
      <c r="A2392" s="475" t="s">
        <v>5400</v>
      </c>
      <c r="B2392" s="475" t="s">
        <v>5401</v>
      </c>
      <c r="C2392" s="475" t="s">
        <v>5420</v>
      </c>
      <c r="D2392" s="475" t="s">
        <v>5421</v>
      </c>
      <c r="E2392" s="476">
        <v>73817</v>
      </c>
      <c r="F2392" s="475" t="s">
        <v>5422</v>
      </c>
      <c r="G2392" s="364" t="s">
        <v>2050</v>
      </c>
      <c r="H2392" s="475" t="s">
        <v>2051</v>
      </c>
      <c r="I2392" s="475" t="s">
        <v>1261</v>
      </c>
      <c r="J2392" s="475" t="s">
        <v>337</v>
      </c>
      <c r="K2392" s="365">
        <v>138.36000000000001</v>
      </c>
      <c r="L2392" s="475" t="s">
        <v>141</v>
      </c>
      <c r="M2392" s="473"/>
    </row>
    <row r="2393" spans="1:13" ht="13.5">
      <c r="A2393" s="475" t="s">
        <v>5400</v>
      </c>
      <c r="B2393" s="475" t="s">
        <v>5401</v>
      </c>
      <c r="C2393" s="475" t="s">
        <v>5420</v>
      </c>
      <c r="D2393" s="475" t="s">
        <v>5421</v>
      </c>
      <c r="E2393" s="476">
        <v>74078</v>
      </c>
      <c r="F2393" s="475" t="s">
        <v>5423</v>
      </c>
      <c r="G2393" s="364" t="s">
        <v>2052</v>
      </c>
      <c r="H2393" s="475" t="s">
        <v>2053</v>
      </c>
      <c r="I2393" s="475" t="s">
        <v>322</v>
      </c>
      <c r="J2393" s="475" t="s">
        <v>337</v>
      </c>
      <c r="K2393" s="365">
        <v>30.07</v>
      </c>
      <c r="L2393" s="475" t="s">
        <v>141</v>
      </c>
      <c r="M2393" s="473"/>
    </row>
    <row r="2394" spans="1:13" ht="13.5">
      <c r="A2394" s="475" t="s">
        <v>5400</v>
      </c>
      <c r="B2394" s="475" t="s">
        <v>5401</v>
      </c>
      <c r="C2394" s="475" t="s">
        <v>5420</v>
      </c>
      <c r="D2394" s="475" t="s">
        <v>5421</v>
      </c>
      <c r="E2394" s="476" t="s">
        <v>34</v>
      </c>
      <c r="F2394" s="475" t="s">
        <v>34</v>
      </c>
      <c r="G2394" s="364">
        <v>83518</v>
      </c>
      <c r="H2394" s="475" t="s">
        <v>2054</v>
      </c>
      <c r="I2394" s="475" t="s">
        <v>1261</v>
      </c>
      <c r="J2394" s="475" t="s">
        <v>337</v>
      </c>
      <c r="K2394" s="365">
        <v>294.04000000000002</v>
      </c>
      <c r="L2394" s="475" t="s">
        <v>141</v>
      </c>
      <c r="M2394" s="473"/>
    </row>
    <row r="2395" spans="1:13" ht="13.5">
      <c r="A2395" s="475" t="s">
        <v>5400</v>
      </c>
      <c r="B2395" s="475" t="s">
        <v>5401</v>
      </c>
      <c r="C2395" s="475" t="s">
        <v>5420</v>
      </c>
      <c r="D2395" s="475" t="s">
        <v>5421</v>
      </c>
      <c r="E2395" s="476" t="s">
        <v>34</v>
      </c>
      <c r="F2395" s="475" t="s">
        <v>34</v>
      </c>
      <c r="G2395" s="364">
        <v>95467</v>
      </c>
      <c r="H2395" s="475" t="s">
        <v>2055</v>
      </c>
      <c r="I2395" s="475" t="s">
        <v>1261</v>
      </c>
      <c r="J2395" s="475" t="s">
        <v>337</v>
      </c>
      <c r="K2395" s="365">
        <v>395.69</v>
      </c>
      <c r="L2395" s="475" t="s">
        <v>141</v>
      </c>
      <c r="M2395" s="473"/>
    </row>
    <row r="2396" spans="1:13" ht="13.5">
      <c r="A2396" s="475" t="s">
        <v>5400</v>
      </c>
      <c r="B2396" s="475" t="s">
        <v>5401</v>
      </c>
      <c r="C2396" s="475" t="s">
        <v>5424</v>
      </c>
      <c r="D2396" s="475" t="s">
        <v>5425</v>
      </c>
      <c r="E2396" s="476" t="s">
        <v>34</v>
      </c>
      <c r="F2396" s="475" t="s">
        <v>34</v>
      </c>
      <c r="G2396" s="364">
        <v>68328</v>
      </c>
      <c r="H2396" s="475" t="s">
        <v>2056</v>
      </c>
      <c r="I2396" s="475" t="s">
        <v>322</v>
      </c>
      <c r="J2396" s="475" t="s">
        <v>140</v>
      </c>
      <c r="K2396" s="365">
        <v>15.66</v>
      </c>
      <c r="L2396" s="475" t="s">
        <v>141</v>
      </c>
      <c r="M2396" s="473"/>
    </row>
    <row r="2397" spans="1:13" ht="13.5">
      <c r="A2397" s="475" t="s">
        <v>5400</v>
      </c>
      <c r="B2397" s="475" t="s">
        <v>5401</v>
      </c>
      <c r="C2397" s="475" t="s">
        <v>5424</v>
      </c>
      <c r="D2397" s="475" t="s">
        <v>5425</v>
      </c>
      <c r="E2397" s="476">
        <v>73898</v>
      </c>
      <c r="F2397" s="475" t="s">
        <v>5426</v>
      </c>
      <c r="G2397" s="364" t="s">
        <v>2057</v>
      </c>
      <c r="H2397" s="475" t="s">
        <v>2058</v>
      </c>
      <c r="I2397" s="475" t="s">
        <v>139</v>
      </c>
      <c r="J2397" s="475" t="s">
        <v>337</v>
      </c>
      <c r="K2397" s="365">
        <v>87.86</v>
      </c>
      <c r="L2397" s="475" t="s">
        <v>141</v>
      </c>
      <c r="M2397" s="473"/>
    </row>
    <row r="2398" spans="1:13" ht="13.5">
      <c r="A2398" s="475" t="s">
        <v>5400</v>
      </c>
      <c r="B2398" s="475" t="s">
        <v>5401</v>
      </c>
      <c r="C2398" s="475" t="s">
        <v>5424</v>
      </c>
      <c r="D2398" s="475" t="s">
        <v>5425</v>
      </c>
      <c r="E2398" s="476" t="s">
        <v>34</v>
      </c>
      <c r="F2398" s="475" t="s">
        <v>34</v>
      </c>
      <c r="G2398" s="364">
        <v>79471</v>
      </c>
      <c r="H2398" s="475" t="s">
        <v>2059</v>
      </c>
      <c r="I2398" s="475" t="s">
        <v>315</v>
      </c>
      <c r="J2398" s="475" t="s">
        <v>337</v>
      </c>
      <c r="K2398" s="365">
        <v>60.58</v>
      </c>
      <c r="L2398" s="475" t="s">
        <v>141</v>
      </c>
      <c r="M2398" s="473"/>
    </row>
    <row r="2399" spans="1:13" ht="13.5">
      <c r="A2399" s="475" t="s">
        <v>5400</v>
      </c>
      <c r="B2399" s="475" t="s">
        <v>5401</v>
      </c>
      <c r="C2399" s="475" t="s">
        <v>5424</v>
      </c>
      <c r="D2399" s="475" t="s">
        <v>5425</v>
      </c>
      <c r="E2399" s="476" t="s">
        <v>34</v>
      </c>
      <c r="F2399" s="475" t="s">
        <v>34</v>
      </c>
      <c r="G2399" s="364">
        <v>98576</v>
      </c>
      <c r="H2399" s="475" t="s">
        <v>6465</v>
      </c>
      <c r="I2399" s="475" t="s">
        <v>139</v>
      </c>
      <c r="J2399" s="475" t="s">
        <v>140</v>
      </c>
      <c r="K2399" s="365">
        <v>15.12</v>
      </c>
      <c r="L2399" s="475" t="s">
        <v>141</v>
      </c>
      <c r="M2399" s="473"/>
    </row>
    <row r="2400" spans="1:13" ht="13.5">
      <c r="A2400" s="475" t="s">
        <v>5400</v>
      </c>
      <c r="B2400" s="475" t="s">
        <v>5401</v>
      </c>
      <c r="C2400" s="475" t="s">
        <v>5427</v>
      </c>
      <c r="D2400" s="475" t="s">
        <v>5428</v>
      </c>
      <c r="E2400" s="476" t="s">
        <v>34</v>
      </c>
      <c r="F2400" s="475" t="s">
        <v>34</v>
      </c>
      <c r="G2400" s="364">
        <v>93182</v>
      </c>
      <c r="H2400" s="475" t="s">
        <v>2060</v>
      </c>
      <c r="I2400" s="475" t="s">
        <v>139</v>
      </c>
      <c r="J2400" s="475" t="s">
        <v>140</v>
      </c>
      <c r="K2400" s="365">
        <v>25.48</v>
      </c>
      <c r="L2400" s="475" t="s">
        <v>141</v>
      </c>
      <c r="M2400" s="473"/>
    </row>
    <row r="2401" spans="1:13" ht="13.5">
      <c r="A2401" s="475" t="s">
        <v>5400</v>
      </c>
      <c r="B2401" s="475" t="s">
        <v>5401</v>
      </c>
      <c r="C2401" s="475" t="s">
        <v>5427</v>
      </c>
      <c r="D2401" s="475" t="s">
        <v>5428</v>
      </c>
      <c r="E2401" s="476" t="s">
        <v>34</v>
      </c>
      <c r="F2401" s="475" t="s">
        <v>34</v>
      </c>
      <c r="G2401" s="364">
        <v>93183</v>
      </c>
      <c r="H2401" s="475" t="s">
        <v>2061</v>
      </c>
      <c r="I2401" s="475" t="s">
        <v>139</v>
      </c>
      <c r="J2401" s="475" t="s">
        <v>140</v>
      </c>
      <c r="K2401" s="365">
        <v>32.5</v>
      </c>
      <c r="L2401" s="475" t="s">
        <v>141</v>
      </c>
      <c r="M2401" s="473"/>
    </row>
    <row r="2402" spans="1:13" ht="13.5">
      <c r="A2402" s="475" t="s">
        <v>5400</v>
      </c>
      <c r="B2402" s="475" t="s">
        <v>5401</v>
      </c>
      <c r="C2402" s="475" t="s">
        <v>5427</v>
      </c>
      <c r="D2402" s="475" t="s">
        <v>5428</v>
      </c>
      <c r="E2402" s="476" t="s">
        <v>34</v>
      </c>
      <c r="F2402" s="475" t="s">
        <v>34</v>
      </c>
      <c r="G2402" s="364">
        <v>93184</v>
      </c>
      <c r="H2402" s="475" t="s">
        <v>2062</v>
      </c>
      <c r="I2402" s="475" t="s">
        <v>139</v>
      </c>
      <c r="J2402" s="475" t="s">
        <v>140</v>
      </c>
      <c r="K2402" s="365">
        <v>19.489999999999998</v>
      </c>
      <c r="L2402" s="475" t="s">
        <v>141</v>
      </c>
      <c r="M2402" s="473"/>
    </row>
    <row r="2403" spans="1:13" ht="13.5">
      <c r="A2403" s="475" t="s">
        <v>5400</v>
      </c>
      <c r="B2403" s="475" t="s">
        <v>5401</v>
      </c>
      <c r="C2403" s="475" t="s">
        <v>5427</v>
      </c>
      <c r="D2403" s="475" t="s">
        <v>5428</v>
      </c>
      <c r="E2403" s="476" t="s">
        <v>34</v>
      </c>
      <c r="F2403" s="475" t="s">
        <v>34</v>
      </c>
      <c r="G2403" s="364">
        <v>93185</v>
      </c>
      <c r="H2403" s="475" t="s">
        <v>2063</v>
      </c>
      <c r="I2403" s="475" t="s">
        <v>139</v>
      </c>
      <c r="J2403" s="475" t="s">
        <v>140</v>
      </c>
      <c r="K2403" s="365">
        <v>31.97</v>
      </c>
      <c r="L2403" s="475" t="s">
        <v>141</v>
      </c>
      <c r="M2403" s="473"/>
    </row>
    <row r="2404" spans="1:13" ht="13.5">
      <c r="A2404" s="475" t="s">
        <v>5400</v>
      </c>
      <c r="B2404" s="475" t="s">
        <v>5401</v>
      </c>
      <c r="C2404" s="475" t="s">
        <v>5427</v>
      </c>
      <c r="D2404" s="475" t="s">
        <v>5428</v>
      </c>
      <c r="E2404" s="476" t="s">
        <v>34</v>
      </c>
      <c r="F2404" s="475" t="s">
        <v>34</v>
      </c>
      <c r="G2404" s="364">
        <v>93186</v>
      </c>
      <c r="H2404" s="475" t="s">
        <v>2064</v>
      </c>
      <c r="I2404" s="475" t="s">
        <v>139</v>
      </c>
      <c r="J2404" s="475" t="s">
        <v>140</v>
      </c>
      <c r="K2404" s="365">
        <v>45.92</v>
      </c>
      <c r="L2404" s="475" t="s">
        <v>141</v>
      </c>
      <c r="M2404" s="473"/>
    </row>
    <row r="2405" spans="1:13" ht="13.5">
      <c r="A2405" s="475" t="s">
        <v>5400</v>
      </c>
      <c r="B2405" s="475" t="s">
        <v>5401</v>
      </c>
      <c r="C2405" s="475" t="s">
        <v>5427</v>
      </c>
      <c r="D2405" s="475" t="s">
        <v>5428</v>
      </c>
      <c r="E2405" s="476" t="s">
        <v>34</v>
      </c>
      <c r="F2405" s="475" t="s">
        <v>34</v>
      </c>
      <c r="G2405" s="364">
        <v>93187</v>
      </c>
      <c r="H2405" s="475" t="s">
        <v>2065</v>
      </c>
      <c r="I2405" s="475" t="s">
        <v>139</v>
      </c>
      <c r="J2405" s="475" t="s">
        <v>140</v>
      </c>
      <c r="K2405" s="365">
        <v>52.67</v>
      </c>
      <c r="L2405" s="475" t="s">
        <v>141</v>
      </c>
      <c r="M2405" s="473"/>
    </row>
    <row r="2406" spans="1:13" ht="13.5">
      <c r="A2406" s="475" t="s">
        <v>5400</v>
      </c>
      <c r="B2406" s="475" t="s">
        <v>5401</v>
      </c>
      <c r="C2406" s="475" t="s">
        <v>5427</v>
      </c>
      <c r="D2406" s="475" t="s">
        <v>5428</v>
      </c>
      <c r="E2406" s="476" t="s">
        <v>34</v>
      </c>
      <c r="F2406" s="475" t="s">
        <v>34</v>
      </c>
      <c r="G2406" s="364">
        <v>93188</v>
      </c>
      <c r="H2406" s="475" t="s">
        <v>2066</v>
      </c>
      <c r="I2406" s="475" t="s">
        <v>139</v>
      </c>
      <c r="J2406" s="475" t="s">
        <v>140</v>
      </c>
      <c r="K2406" s="365">
        <v>42.92</v>
      </c>
      <c r="L2406" s="475" t="s">
        <v>141</v>
      </c>
      <c r="M2406" s="473"/>
    </row>
    <row r="2407" spans="1:13" ht="13.5">
      <c r="A2407" s="475" t="s">
        <v>5400</v>
      </c>
      <c r="B2407" s="475" t="s">
        <v>5401</v>
      </c>
      <c r="C2407" s="475" t="s">
        <v>5427</v>
      </c>
      <c r="D2407" s="475" t="s">
        <v>5428</v>
      </c>
      <c r="E2407" s="476" t="s">
        <v>34</v>
      </c>
      <c r="F2407" s="475" t="s">
        <v>34</v>
      </c>
      <c r="G2407" s="364">
        <v>93189</v>
      </c>
      <c r="H2407" s="475" t="s">
        <v>2067</v>
      </c>
      <c r="I2407" s="475" t="s">
        <v>139</v>
      </c>
      <c r="J2407" s="475" t="s">
        <v>140</v>
      </c>
      <c r="K2407" s="365">
        <v>52.98</v>
      </c>
      <c r="L2407" s="475" t="s">
        <v>141</v>
      </c>
      <c r="M2407" s="473"/>
    </row>
    <row r="2408" spans="1:13" ht="13.5">
      <c r="A2408" s="475" t="s">
        <v>5400</v>
      </c>
      <c r="B2408" s="475" t="s">
        <v>5401</v>
      </c>
      <c r="C2408" s="475" t="s">
        <v>5427</v>
      </c>
      <c r="D2408" s="475" t="s">
        <v>5428</v>
      </c>
      <c r="E2408" s="476" t="s">
        <v>34</v>
      </c>
      <c r="F2408" s="475" t="s">
        <v>34</v>
      </c>
      <c r="G2408" s="364">
        <v>93190</v>
      </c>
      <c r="H2408" s="475" t="s">
        <v>2068</v>
      </c>
      <c r="I2408" s="475" t="s">
        <v>139</v>
      </c>
      <c r="J2408" s="475" t="s">
        <v>337</v>
      </c>
      <c r="K2408" s="365">
        <v>27.52</v>
      </c>
      <c r="L2408" s="475" t="s">
        <v>141</v>
      </c>
      <c r="M2408" s="473"/>
    </row>
    <row r="2409" spans="1:13" ht="13.5">
      <c r="A2409" s="475" t="s">
        <v>5400</v>
      </c>
      <c r="B2409" s="475" t="s">
        <v>5401</v>
      </c>
      <c r="C2409" s="475" t="s">
        <v>5427</v>
      </c>
      <c r="D2409" s="475" t="s">
        <v>5428</v>
      </c>
      <c r="E2409" s="476" t="s">
        <v>34</v>
      </c>
      <c r="F2409" s="475" t="s">
        <v>34</v>
      </c>
      <c r="G2409" s="364">
        <v>93191</v>
      </c>
      <c r="H2409" s="475" t="s">
        <v>2069</v>
      </c>
      <c r="I2409" s="475" t="s">
        <v>139</v>
      </c>
      <c r="J2409" s="475" t="s">
        <v>337</v>
      </c>
      <c r="K2409" s="365">
        <v>28.9</v>
      </c>
      <c r="L2409" s="475" t="s">
        <v>141</v>
      </c>
      <c r="M2409" s="473"/>
    </row>
    <row r="2410" spans="1:13" ht="13.5">
      <c r="A2410" s="475" t="s">
        <v>5400</v>
      </c>
      <c r="B2410" s="475" t="s">
        <v>5401</v>
      </c>
      <c r="C2410" s="475" t="s">
        <v>5427</v>
      </c>
      <c r="D2410" s="475" t="s">
        <v>5428</v>
      </c>
      <c r="E2410" s="476" t="s">
        <v>34</v>
      </c>
      <c r="F2410" s="475" t="s">
        <v>34</v>
      </c>
      <c r="G2410" s="364">
        <v>93192</v>
      </c>
      <c r="H2410" s="475" t="s">
        <v>2070</v>
      </c>
      <c r="I2410" s="475" t="s">
        <v>139</v>
      </c>
      <c r="J2410" s="475" t="s">
        <v>337</v>
      </c>
      <c r="K2410" s="365">
        <v>29.88</v>
      </c>
      <c r="L2410" s="475" t="s">
        <v>141</v>
      </c>
      <c r="M2410" s="473"/>
    </row>
    <row r="2411" spans="1:13" ht="13.5">
      <c r="A2411" s="475" t="s">
        <v>5400</v>
      </c>
      <c r="B2411" s="475" t="s">
        <v>5401</v>
      </c>
      <c r="C2411" s="475" t="s">
        <v>5427</v>
      </c>
      <c r="D2411" s="475" t="s">
        <v>5428</v>
      </c>
      <c r="E2411" s="476" t="s">
        <v>34</v>
      </c>
      <c r="F2411" s="475" t="s">
        <v>34</v>
      </c>
      <c r="G2411" s="364">
        <v>93193</v>
      </c>
      <c r="H2411" s="475" t="s">
        <v>2071</v>
      </c>
      <c r="I2411" s="475" t="s">
        <v>139</v>
      </c>
      <c r="J2411" s="475" t="s">
        <v>337</v>
      </c>
      <c r="K2411" s="365">
        <v>29.28</v>
      </c>
      <c r="L2411" s="475" t="s">
        <v>141</v>
      </c>
      <c r="M2411" s="473"/>
    </row>
    <row r="2412" spans="1:13" ht="13.5">
      <c r="A2412" s="475" t="s">
        <v>5400</v>
      </c>
      <c r="B2412" s="475" t="s">
        <v>5401</v>
      </c>
      <c r="C2412" s="475" t="s">
        <v>5427</v>
      </c>
      <c r="D2412" s="475" t="s">
        <v>5428</v>
      </c>
      <c r="E2412" s="476" t="s">
        <v>34</v>
      </c>
      <c r="F2412" s="475" t="s">
        <v>34</v>
      </c>
      <c r="G2412" s="364">
        <v>93194</v>
      </c>
      <c r="H2412" s="475" t="s">
        <v>2072</v>
      </c>
      <c r="I2412" s="475" t="s">
        <v>139</v>
      </c>
      <c r="J2412" s="475" t="s">
        <v>140</v>
      </c>
      <c r="K2412" s="365">
        <v>25.05</v>
      </c>
      <c r="L2412" s="475" t="s">
        <v>141</v>
      </c>
      <c r="M2412" s="473"/>
    </row>
    <row r="2413" spans="1:13" ht="13.5">
      <c r="A2413" s="475" t="s">
        <v>5400</v>
      </c>
      <c r="B2413" s="475" t="s">
        <v>5401</v>
      </c>
      <c r="C2413" s="475" t="s">
        <v>5427</v>
      </c>
      <c r="D2413" s="475" t="s">
        <v>5428</v>
      </c>
      <c r="E2413" s="476" t="s">
        <v>34</v>
      </c>
      <c r="F2413" s="475" t="s">
        <v>34</v>
      </c>
      <c r="G2413" s="364">
        <v>93195</v>
      </c>
      <c r="H2413" s="475" t="s">
        <v>2073</v>
      </c>
      <c r="I2413" s="475" t="s">
        <v>139</v>
      </c>
      <c r="J2413" s="475" t="s">
        <v>140</v>
      </c>
      <c r="K2413" s="365">
        <v>29.99</v>
      </c>
      <c r="L2413" s="475" t="s">
        <v>141</v>
      </c>
      <c r="M2413" s="473"/>
    </row>
    <row r="2414" spans="1:13" ht="13.5">
      <c r="A2414" s="475" t="s">
        <v>5400</v>
      </c>
      <c r="B2414" s="475" t="s">
        <v>5401</v>
      </c>
      <c r="C2414" s="475" t="s">
        <v>5427</v>
      </c>
      <c r="D2414" s="475" t="s">
        <v>5428</v>
      </c>
      <c r="E2414" s="476" t="s">
        <v>34</v>
      </c>
      <c r="F2414" s="475" t="s">
        <v>34</v>
      </c>
      <c r="G2414" s="364">
        <v>93196</v>
      </c>
      <c r="H2414" s="475" t="s">
        <v>2074</v>
      </c>
      <c r="I2414" s="475" t="s">
        <v>139</v>
      </c>
      <c r="J2414" s="475" t="s">
        <v>140</v>
      </c>
      <c r="K2414" s="365">
        <v>44.65</v>
      </c>
      <c r="L2414" s="475" t="s">
        <v>141</v>
      </c>
      <c r="M2414" s="473"/>
    </row>
    <row r="2415" spans="1:13" ht="13.5">
      <c r="A2415" s="475" t="s">
        <v>5400</v>
      </c>
      <c r="B2415" s="475" t="s">
        <v>5401</v>
      </c>
      <c r="C2415" s="475" t="s">
        <v>5427</v>
      </c>
      <c r="D2415" s="475" t="s">
        <v>5428</v>
      </c>
      <c r="E2415" s="476" t="s">
        <v>34</v>
      </c>
      <c r="F2415" s="475" t="s">
        <v>34</v>
      </c>
      <c r="G2415" s="364">
        <v>93197</v>
      </c>
      <c r="H2415" s="475" t="s">
        <v>2075</v>
      </c>
      <c r="I2415" s="475" t="s">
        <v>139</v>
      </c>
      <c r="J2415" s="475" t="s">
        <v>140</v>
      </c>
      <c r="K2415" s="365">
        <v>49.66</v>
      </c>
      <c r="L2415" s="475" t="s">
        <v>141</v>
      </c>
      <c r="M2415" s="473"/>
    </row>
    <row r="2416" spans="1:13" ht="13.5">
      <c r="A2416" s="475" t="s">
        <v>5400</v>
      </c>
      <c r="B2416" s="475" t="s">
        <v>5401</v>
      </c>
      <c r="C2416" s="475" t="s">
        <v>5427</v>
      </c>
      <c r="D2416" s="475" t="s">
        <v>5428</v>
      </c>
      <c r="E2416" s="476" t="s">
        <v>34</v>
      </c>
      <c r="F2416" s="475" t="s">
        <v>34</v>
      </c>
      <c r="G2416" s="364">
        <v>93198</v>
      </c>
      <c r="H2416" s="475" t="s">
        <v>2076</v>
      </c>
      <c r="I2416" s="475" t="s">
        <v>139</v>
      </c>
      <c r="J2416" s="475" t="s">
        <v>337</v>
      </c>
      <c r="K2416" s="365">
        <v>24.45</v>
      </c>
      <c r="L2416" s="475" t="s">
        <v>141</v>
      </c>
      <c r="M2416" s="473"/>
    </row>
    <row r="2417" spans="1:13" ht="13.5">
      <c r="A2417" s="475" t="s">
        <v>5400</v>
      </c>
      <c r="B2417" s="475" t="s">
        <v>5401</v>
      </c>
      <c r="C2417" s="475" t="s">
        <v>5427</v>
      </c>
      <c r="D2417" s="475" t="s">
        <v>5428</v>
      </c>
      <c r="E2417" s="476" t="s">
        <v>34</v>
      </c>
      <c r="F2417" s="475" t="s">
        <v>34</v>
      </c>
      <c r="G2417" s="364">
        <v>93199</v>
      </c>
      <c r="H2417" s="475" t="s">
        <v>2077</v>
      </c>
      <c r="I2417" s="475" t="s">
        <v>139</v>
      </c>
      <c r="J2417" s="475" t="s">
        <v>337</v>
      </c>
      <c r="K2417" s="365">
        <v>24.02</v>
      </c>
      <c r="L2417" s="475" t="s">
        <v>141</v>
      </c>
      <c r="M2417" s="473"/>
    </row>
    <row r="2418" spans="1:13" ht="13.5">
      <c r="A2418" s="475" t="s">
        <v>5400</v>
      </c>
      <c r="B2418" s="475" t="s">
        <v>5401</v>
      </c>
      <c r="C2418" s="475" t="s">
        <v>5427</v>
      </c>
      <c r="D2418" s="475" t="s">
        <v>5428</v>
      </c>
      <c r="E2418" s="476" t="s">
        <v>34</v>
      </c>
      <c r="F2418" s="475" t="s">
        <v>34</v>
      </c>
      <c r="G2418" s="364">
        <v>93200</v>
      </c>
      <c r="H2418" s="475" t="s">
        <v>2078</v>
      </c>
      <c r="I2418" s="475" t="s">
        <v>139</v>
      </c>
      <c r="J2418" s="475" t="s">
        <v>337</v>
      </c>
      <c r="K2418" s="365">
        <v>2.29</v>
      </c>
      <c r="L2418" s="475" t="s">
        <v>141</v>
      </c>
      <c r="M2418" s="473"/>
    </row>
    <row r="2419" spans="1:13" ht="13.5">
      <c r="A2419" s="475" t="s">
        <v>5400</v>
      </c>
      <c r="B2419" s="475" t="s">
        <v>5401</v>
      </c>
      <c r="C2419" s="475" t="s">
        <v>5427</v>
      </c>
      <c r="D2419" s="475" t="s">
        <v>5428</v>
      </c>
      <c r="E2419" s="476" t="s">
        <v>34</v>
      </c>
      <c r="F2419" s="475" t="s">
        <v>34</v>
      </c>
      <c r="G2419" s="364">
        <v>93201</v>
      </c>
      <c r="H2419" s="475" t="s">
        <v>2079</v>
      </c>
      <c r="I2419" s="475" t="s">
        <v>139</v>
      </c>
      <c r="J2419" s="475" t="s">
        <v>337</v>
      </c>
      <c r="K2419" s="365">
        <v>4.67</v>
      </c>
      <c r="L2419" s="475" t="s">
        <v>141</v>
      </c>
      <c r="M2419" s="473"/>
    </row>
    <row r="2420" spans="1:13" ht="13.5">
      <c r="A2420" s="475" t="s">
        <v>5400</v>
      </c>
      <c r="B2420" s="475" t="s">
        <v>5401</v>
      </c>
      <c r="C2420" s="475" t="s">
        <v>5427</v>
      </c>
      <c r="D2420" s="475" t="s">
        <v>5428</v>
      </c>
      <c r="E2420" s="476" t="s">
        <v>34</v>
      </c>
      <c r="F2420" s="475" t="s">
        <v>34</v>
      </c>
      <c r="G2420" s="364">
        <v>93202</v>
      </c>
      <c r="H2420" s="475" t="s">
        <v>2080</v>
      </c>
      <c r="I2420" s="475" t="s">
        <v>139</v>
      </c>
      <c r="J2420" s="475" t="s">
        <v>337</v>
      </c>
      <c r="K2420" s="365">
        <v>17.190000000000001</v>
      </c>
      <c r="L2420" s="475" t="s">
        <v>141</v>
      </c>
      <c r="M2420" s="473"/>
    </row>
    <row r="2421" spans="1:13" ht="13.5">
      <c r="A2421" s="475" t="s">
        <v>5400</v>
      </c>
      <c r="B2421" s="475" t="s">
        <v>5401</v>
      </c>
      <c r="C2421" s="475" t="s">
        <v>5427</v>
      </c>
      <c r="D2421" s="475" t="s">
        <v>5428</v>
      </c>
      <c r="E2421" s="476" t="s">
        <v>34</v>
      </c>
      <c r="F2421" s="475" t="s">
        <v>34</v>
      </c>
      <c r="G2421" s="364">
        <v>93203</v>
      </c>
      <c r="H2421" s="475" t="s">
        <v>5972</v>
      </c>
      <c r="I2421" s="475" t="s">
        <v>139</v>
      </c>
      <c r="J2421" s="475" t="s">
        <v>363</v>
      </c>
      <c r="K2421" s="365">
        <v>11.29</v>
      </c>
      <c r="L2421" s="475" t="s">
        <v>141</v>
      </c>
      <c r="M2421" s="473"/>
    </row>
    <row r="2422" spans="1:13" ht="13.5">
      <c r="A2422" s="475" t="s">
        <v>5400</v>
      </c>
      <c r="B2422" s="475" t="s">
        <v>5401</v>
      </c>
      <c r="C2422" s="475" t="s">
        <v>5427</v>
      </c>
      <c r="D2422" s="475" t="s">
        <v>5428</v>
      </c>
      <c r="E2422" s="476" t="s">
        <v>34</v>
      </c>
      <c r="F2422" s="475" t="s">
        <v>34</v>
      </c>
      <c r="G2422" s="364">
        <v>93204</v>
      </c>
      <c r="H2422" s="475" t="s">
        <v>2081</v>
      </c>
      <c r="I2422" s="475" t="s">
        <v>139</v>
      </c>
      <c r="J2422" s="475" t="s">
        <v>140</v>
      </c>
      <c r="K2422" s="365">
        <v>34.799999999999997</v>
      </c>
      <c r="L2422" s="475" t="s">
        <v>141</v>
      </c>
      <c r="M2422" s="473"/>
    </row>
    <row r="2423" spans="1:13" ht="13.5">
      <c r="A2423" s="475" t="s">
        <v>5400</v>
      </c>
      <c r="B2423" s="475" t="s">
        <v>5401</v>
      </c>
      <c r="C2423" s="475" t="s">
        <v>5427</v>
      </c>
      <c r="D2423" s="475" t="s">
        <v>5428</v>
      </c>
      <c r="E2423" s="476" t="s">
        <v>34</v>
      </c>
      <c r="F2423" s="475" t="s">
        <v>34</v>
      </c>
      <c r="G2423" s="364">
        <v>93205</v>
      </c>
      <c r="H2423" s="475" t="s">
        <v>2082</v>
      </c>
      <c r="I2423" s="475" t="s">
        <v>139</v>
      </c>
      <c r="J2423" s="475" t="s">
        <v>337</v>
      </c>
      <c r="K2423" s="365">
        <v>22.33</v>
      </c>
      <c r="L2423" s="475" t="s">
        <v>141</v>
      </c>
      <c r="M2423" s="473"/>
    </row>
    <row r="2424" spans="1:13" ht="13.5">
      <c r="A2424" s="475" t="s">
        <v>5400</v>
      </c>
      <c r="B2424" s="475" t="s">
        <v>5401</v>
      </c>
      <c r="C2424" s="475" t="s">
        <v>5429</v>
      </c>
      <c r="D2424" s="475" t="s">
        <v>5430</v>
      </c>
      <c r="E2424" s="476" t="s">
        <v>34</v>
      </c>
      <c r="F2424" s="475" t="s">
        <v>34</v>
      </c>
      <c r="G2424" s="364">
        <v>71623</v>
      </c>
      <c r="H2424" s="475" t="s">
        <v>2083</v>
      </c>
      <c r="I2424" s="475" t="s">
        <v>139</v>
      </c>
      <c r="J2424" s="475" t="s">
        <v>337</v>
      </c>
      <c r="K2424" s="365">
        <v>26.48</v>
      </c>
      <c r="L2424" s="475" t="s">
        <v>141</v>
      </c>
      <c r="M2424" s="473"/>
    </row>
    <row r="2425" spans="1:13" ht="13.5">
      <c r="A2425" s="475" t="s">
        <v>5400</v>
      </c>
      <c r="B2425" s="475" t="s">
        <v>5401</v>
      </c>
      <c r="C2425" s="475" t="s">
        <v>5429</v>
      </c>
      <c r="D2425" s="475" t="s">
        <v>5430</v>
      </c>
      <c r="E2425" s="476">
        <v>74144</v>
      </c>
      <c r="F2425" s="475" t="s">
        <v>5431</v>
      </c>
      <c r="G2425" s="364" t="s">
        <v>2084</v>
      </c>
      <c r="H2425" s="475" t="s">
        <v>2085</v>
      </c>
      <c r="I2425" s="475" t="s">
        <v>171</v>
      </c>
      <c r="J2425" s="475" t="s">
        <v>337</v>
      </c>
      <c r="K2425" s="365">
        <v>23.82</v>
      </c>
      <c r="L2425" s="475" t="s">
        <v>141</v>
      </c>
      <c r="M2425" s="473"/>
    </row>
    <row r="2426" spans="1:13" ht="13.5">
      <c r="A2426" s="475" t="s">
        <v>5400</v>
      </c>
      <c r="B2426" s="475" t="s">
        <v>5401</v>
      </c>
      <c r="C2426" s="475" t="s">
        <v>5429</v>
      </c>
      <c r="D2426" s="475" t="s">
        <v>5430</v>
      </c>
      <c r="E2426" s="476" t="s">
        <v>34</v>
      </c>
      <c r="F2426" s="475" t="s">
        <v>34</v>
      </c>
      <c r="G2426" s="364">
        <v>83513</v>
      </c>
      <c r="H2426" s="475" t="s">
        <v>2086</v>
      </c>
      <c r="I2426" s="475" t="s">
        <v>315</v>
      </c>
      <c r="J2426" s="475" t="s">
        <v>140</v>
      </c>
      <c r="K2426" s="365">
        <v>7.71</v>
      </c>
      <c r="L2426" s="475" t="s">
        <v>141</v>
      </c>
      <c r="M2426" s="473"/>
    </row>
    <row r="2427" spans="1:13" ht="13.5">
      <c r="A2427" s="475" t="s">
        <v>5400</v>
      </c>
      <c r="B2427" s="475" t="s">
        <v>5401</v>
      </c>
      <c r="C2427" s="475" t="s">
        <v>5429</v>
      </c>
      <c r="D2427" s="475" t="s">
        <v>5430</v>
      </c>
      <c r="E2427" s="476" t="s">
        <v>34</v>
      </c>
      <c r="F2427" s="475" t="s">
        <v>34</v>
      </c>
      <c r="G2427" s="364">
        <v>83514</v>
      </c>
      <c r="H2427" s="475" t="s">
        <v>2087</v>
      </c>
      <c r="I2427" s="475" t="s">
        <v>315</v>
      </c>
      <c r="J2427" s="475" t="s">
        <v>140</v>
      </c>
      <c r="K2427" s="365">
        <v>6.86</v>
      </c>
      <c r="L2427" s="475" t="s">
        <v>141</v>
      </c>
      <c r="M2427" s="473"/>
    </row>
    <row r="2428" spans="1:13" ht="13.5">
      <c r="A2428" s="475" t="s">
        <v>5400</v>
      </c>
      <c r="B2428" s="475" t="s">
        <v>5401</v>
      </c>
      <c r="C2428" s="475" t="s">
        <v>5429</v>
      </c>
      <c r="D2428" s="475" t="s">
        <v>5430</v>
      </c>
      <c r="E2428" s="476" t="s">
        <v>34</v>
      </c>
      <c r="F2428" s="475" t="s">
        <v>34</v>
      </c>
      <c r="G2428" s="364">
        <v>84153</v>
      </c>
      <c r="H2428" s="475" t="s">
        <v>2088</v>
      </c>
      <c r="I2428" s="475" t="s">
        <v>315</v>
      </c>
      <c r="J2428" s="475" t="s">
        <v>140</v>
      </c>
      <c r="K2428" s="365">
        <v>56.3</v>
      </c>
      <c r="L2428" s="475" t="s">
        <v>141</v>
      </c>
      <c r="M2428" s="473"/>
    </row>
    <row r="2429" spans="1:13" ht="13.5">
      <c r="A2429" s="475" t="s">
        <v>5400</v>
      </c>
      <c r="B2429" s="475" t="s">
        <v>5401</v>
      </c>
      <c r="C2429" s="475" t="s">
        <v>5429</v>
      </c>
      <c r="D2429" s="475" t="s">
        <v>5430</v>
      </c>
      <c r="E2429" s="476" t="s">
        <v>34</v>
      </c>
      <c r="F2429" s="475" t="s">
        <v>34</v>
      </c>
      <c r="G2429" s="364">
        <v>84154</v>
      </c>
      <c r="H2429" s="475" t="s">
        <v>2089</v>
      </c>
      <c r="I2429" s="475" t="s">
        <v>2090</v>
      </c>
      <c r="J2429" s="475" t="s">
        <v>140</v>
      </c>
      <c r="K2429" s="365">
        <v>115.65</v>
      </c>
      <c r="L2429" s="475" t="s">
        <v>141</v>
      </c>
      <c r="M2429" s="473"/>
    </row>
    <row r="2430" spans="1:13" ht="13.5">
      <c r="A2430" s="475" t="s">
        <v>5400</v>
      </c>
      <c r="B2430" s="475" t="s">
        <v>5401</v>
      </c>
      <c r="C2430" s="475" t="s">
        <v>5429</v>
      </c>
      <c r="D2430" s="475" t="s">
        <v>5430</v>
      </c>
      <c r="E2430" s="476" t="s">
        <v>34</v>
      </c>
      <c r="F2430" s="475" t="s">
        <v>34</v>
      </c>
      <c r="G2430" s="364">
        <v>85233</v>
      </c>
      <c r="H2430" s="475" t="s">
        <v>2091</v>
      </c>
      <c r="I2430" s="475" t="s">
        <v>1261</v>
      </c>
      <c r="J2430" s="475" t="s">
        <v>140</v>
      </c>
      <c r="K2430" s="365">
        <v>2261.81</v>
      </c>
      <c r="L2430" s="475" t="s">
        <v>141</v>
      </c>
      <c r="M2430" s="473"/>
    </row>
    <row r="2431" spans="1:13" ht="13.5">
      <c r="A2431" s="475" t="s">
        <v>5400</v>
      </c>
      <c r="B2431" s="475" t="s">
        <v>5401</v>
      </c>
      <c r="C2431" s="475" t="s">
        <v>5429</v>
      </c>
      <c r="D2431" s="475" t="s">
        <v>5430</v>
      </c>
      <c r="E2431" s="476" t="s">
        <v>34</v>
      </c>
      <c r="F2431" s="475" t="s">
        <v>34</v>
      </c>
      <c r="G2431" s="364">
        <v>95952</v>
      </c>
      <c r="H2431" s="475" t="s">
        <v>2092</v>
      </c>
      <c r="I2431" s="475" t="s">
        <v>1261</v>
      </c>
      <c r="J2431" s="475" t="s">
        <v>140</v>
      </c>
      <c r="K2431" s="365">
        <v>1331.15</v>
      </c>
      <c r="L2431" s="475" t="s">
        <v>141</v>
      </c>
      <c r="M2431" s="473"/>
    </row>
    <row r="2432" spans="1:13" ht="13.5">
      <c r="A2432" s="475" t="s">
        <v>5400</v>
      </c>
      <c r="B2432" s="475" t="s">
        <v>5401</v>
      </c>
      <c r="C2432" s="475" t="s">
        <v>5429</v>
      </c>
      <c r="D2432" s="475" t="s">
        <v>5430</v>
      </c>
      <c r="E2432" s="476" t="s">
        <v>34</v>
      </c>
      <c r="F2432" s="475" t="s">
        <v>34</v>
      </c>
      <c r="G2432" s="364">
        <v>95953</v>
      </c>
      <c r="H2432" s="475" t="s">
        <v>2093</v>
      </c>
      <c r="I2432" s="475" t="s">
        <v>1261</v>
      </c>
      <c r="J2432" s="475" t="s">
        <v>140</v>
      </c>
      <c r="K2432" s="365">
        <v>2219.7399999999998</v>
      </c>
      <c r="L2432" s="475" t="s">
        <v>141</v>
      </c>
      <c r="M2432" s="473"/>
    </row>
    <row r="2433" spans="1:13" ht="13.5">
      <c r="A2433" s="475" t="s">
        <v>5400</v>
      </c>
      <c r="B2433" s="475" t="s">
        <v>5401</v>
      </c>
      <c r="C2433" s="475" t="s">
        <v>5429</v>
      </c>
      <c r="D2433" s="475" t="s">
        <v>5430</v>
      </c>
      <c r="E2433" s="476" t="s">
        <v>34</v>
      </c>
      <c r="F2433" s="475" t="s">
        <v>34</v>
      </c>
      <c r="G2433" s="364">
        <v>95954</v>
      </c>
      <c r="H2433" s="475" t="s">
        <v>2094</v>
      </c>
      <c r="I2433" s="475" t="s">
        <v>1261</v>
      </c>
      <c r="J2433" s="475" t="s">
        <v>140</v>
      </c>
      <c r="K2433" s="365">
        <v>1580.86</v>
      </c>
      <c r="L2433" s="475" t="s">
        <v>141</v>
      </c>
      <c r="M2433" s="473"/>
    </row>
    <row r="2434" spans="1:13" ht="13.5">
      <c r="A2434" s="475" t="s">
        <v>5400</v>
      </c>
      <c r="B2434" s="475" t="s">
        <v>5401</v>
      </c>
      <c r="C2434" s="475" t="s">
        <v>5429</v>
      </c>
      <c r="D2434" s="475" t="s">
        <v>5430</v>
      </c>
      <c r="E2434" s="476" t="s">
        <v>34</v>
      </c>
      <c r="F2434" s="475" t="s">
        <v>34</v>
      </c>
      <c r="G2434" s="364">
        <v>95955</v>
      </c>
      <c r="H2434" s="475" t="s">
        <v>2095</v>
      </c>
      <c r="I2434" s="475" t="s">
        <v>1261</v>
      </c>
      <c r="J2434" s="475" t="s">
        <v>140</v>
      </c>
      <c r="K2434" s="365">
        <v>1970.17</v>
      </c>
      <c r="L2434" s="475" t="s">
        <v>141</v>
      </c>
      <c r="M2434" s="473"/>
    </row>
    <row r="2435" spans="1:13" ht="13.5">
      <c r="A2435" s="475" t="s">
        <v>5400</v>
      </c>
      <c r="B2435" s="475" t="s">
        <v>5401</v>
      </c>
      <c r="C2435" s="475" t="s">
        <v>5429</v>
      </c>
      <c r="D2435" s="475" t="s">
        <v>5430</v>
      </c>
      <c r="E2435" s="476" t="s">
        <v>34</v>
      </c>
      <c r="F2435" s="475" t="s">
        <v>34</v>
      </c>
      <c r="G2435" s="364">
        <v>95956</v>
      </c>
      <c r="H2435" s="475" t="s">
        <v>2096</v>
      </c>
      <c r="I2435" s="475" t="s">
        <v>1261</v>
      </c>
      <c r="J2435" s="475" t="s">
        <v>140</v>
      </c>
      <c r="K2435" s="365">
        <v>1546.68</v>
      </c>
      <c r="L2435" s="475" t="s">
        <v>141</v>
      </c>
      <c r="M2435" s="473"/>
    </row>
    <row r="2436" spans="1:13" ht="13.5">
      <c r="A2436" s="475" t="s">
        <v>5400</v>
      </c>
      <c r="B2436" s="475" t="s">
        <v>5401</v>
      </c>
      <c r="C2436" s="475" t="s">
        <v>5429</v>
      </c>
      <c r="D2436" s="475" t="s">
        <v>5430</v>
      </c>
      <c r="E2436" s="476" t="s">
        <v>34</v>
      </c>
      <c r="F2436" s="475" t="s">
        <v>34</v>
      </c>
      <c r="G2436" s="364">
        <v>95957</v>
      </c>
      <c r="H2436" s="475" t="s">
        <v>2097</v>
      </c>
      <c r="I2436" s="475" t="s">
        <v>1261</v>
      </c>
      <c r="J2436" s="475" t="s">
        <v>140</v>
      </c>
      <c r="K2436" s="365">
        <v>1940.49</v>
      </c>
      <c r="L2436" s="475" t="s">
        <v>141</v>
      </c>
      <c r="M2436" s="473"/>
    </row>
    <row r="2437" spans="1:13" ht="13.5">
      <c r="A2437" s="475" t="s">
        <v>5400</v>
      </c>
      <c r="B2437" s="475" t="s">
        <v>5401</v>
      </c>
      <c r="C2437" s="475" t="s">
        <v>5429</v>
      </c>
      <c r="D2437" s="475" t="s">
        <v>5430</v>
      </c>
      <c r="E2437" s="476" t="s">
        <v>34</v>
      </c>
      <c r="F2437" s="475" t="s">
        <v>34</v>
      </c>
      <c r="G2437" s="364">
        <v>95969</v>
      </c>
      <c r="H2437" s="475" t="s">
        <v>2098</v>
      </c>
      <c r="I2437" s="475" t="s">
        <v>1261</v>
      </c>
      <c r="J2437" s="475" t="s">
        <v>140</v>
      </c>
      <c r="K2437" s="365">
        <v>1847.03</v>
      </c>
      <c r="L2437" s="475" t="s">
        <v>141</v>
      </c>
      <c r="M2437" s="473"/>
    </row>
    <row r="2438" spans="1:13" ht="13.5">
      <c r="A2438" s="475" t="s">
        <v>5400</v>
      </c>
      <c r="B2438" s="475" t="s">
        <v>5401</v>
      </c>
      <c r="C2438" s="475" t="s">
        <v>5429</v>
      </c>
      <c r="D2438" s="475" t="s">
        <v>5430</v>
      </c>
      <c r="E2438" s="476" t="s">
        <v>34</v>
      </c>
      <c r="F2438" s="475" t="s">
        <v>34</v>
      </c>
      <c r="G2438" s="364">
        <v>97733</v>
      </c>
      <c r="H2438" s="475" t="s">
        <v>6466</v>
      </c>
      <c r="I2438" s="475" t="s">
        <v>1261</v>
      </c>
      <c r="J2438" s="475" t="s">
        <v>140</v>
      </c>
      <c r="K2438" s="365">
        <v>2289.3000000000002</v>
      </c>
      <c r="L2438" s="475" t="s">
        <v>141</v>
      </c>
      <c r="M2438" s="473"/>
    </row>
    <row r="2439" spans="1:13" ht="13.5">
      <c r="A2439" s="475" t="s">
        <v>5400</v>
      </c>
      <c r="B2439" s="475" t="s">
        <v>5401</v>
      </c>
      <c r="C2439" s="475" t="s">
        <v>5429</v>
      </c>
      <c r="D2439" s="475" t="s">
        <v>5430</v>
      </c>
      <c r="E2439" s="476" t="s">
        <v>34</v>
      </c>
      <c r="F2439" s="475" t="s">
        <v>34</v>
      </c>
      <c r="G2439" s="364">
        <v>97734</v>
      </c>
      <c r="H2439" s="475" t="s">
        <v>6467</v>
      </c>
      <c r="I2439" s="475" t="s">
        <v>1261</v>
      </c>
      <c r="J2439" s="475" t="s">
        <v>140</v>
      </c>
      <c r="K2439" s="365">
        <v>1992.69</v>
      </c>
      <c r="L2439" s="475" t="s">
        <v>141</v>
      </c>
      <c r="M2439" s="473"/>
    </row>
    <row r="2440" spans="1:13" ht="13.5">
      <c r="A2440" s="475" t="s">
        <v>5400</v>
      </c>
      <c r="B2440" s="475" t="s">
        <v>5401</v>
      </c>
      <c r="C2440" s="475" t="s">
        <v>5429</v>
      </c>
      <c r="D2440" s="475" t="s">
        <v>5430</v>
      </c>
      <c r="E2440" s="476" t="s">
        <v>34</v>
      </c>
      <c r="F2440" s="475" t="s">
        <v>34</v>
      </c>
      <c r="G2440" s="364">
        <v>97735</v>
      </c>
      <c r="H2440" s="475" t="s">
        <v>6468</v>
      </c>
      <c r="I2440" s="475" t="s">
        <v>1261</v>
      </c>
      <c r="J2440" s="475" t="s">
        <v>140</v>
      </c>
      <c r="K2440" s="365">
        <v>1642.82</v>
      </c>
      <c r="L2440" s="475" t="s">
        <v>141</v>
      </c>
      <c r="M2440" s="473"/>
    </row>
    <row r="2441" spans="1:13" ht="13.5">
      <c r="A2441" s="475" t="s">
        <v>5400</v>
      </c>
      <c r="B2441" s="475" t="s">
        <v>5401</v>
      </c>
      <c r="C2441" s="475" t="s">
        <v>5429</v>
      </c>
      <c r="D2441" s="475" t="s">
        <v>5430</v>
      </c>
      <c r="E2441" s="476" t="s">
        <v>34</v>
      </c>
      <c r="F2441" s="475" t="s">
        <v>34</v>
      </c>
      <c r="G2441" s="364">
        <v>97736</v>
      </c>
      <c r="H2441" s="475" t="s">
        <v>6469</v>
      </c>
      <c r="I2441" s="475" t="s">
        <v>1261</v>
      </c>
      <c r="J2441" s="475" t="s">
        <v>140</v>
      </c>
      <c r="K2441" s="365">
        <v>1018.99</v>
      </c>
      <c r="L2441" s="475" t="s">
        <v>141</v>
      </c>
      <c r="M2441" s="473"/>
    </row>
    <row r="2442" spans="1:13" ht="13.5">
      <c r="A2442" s="475" t="s">
        <v>5400</v>
      </c>
      <c r="B2442" s="475" t="s">
        <v>5401</v>
      </c>
      <c r="C2442" s="475" t="s">
        <v>5429</v>
      </c>
      <c r="D2442" s="475" t="s">
        <v>5430</v>
      </c>
      <c r="E2442" s="476" t="s">
        <v>34</v>
      </c>
      <c r="F2442" s="475" t="s">
        <v>34</v>
      </c>
      <c r="G2442" s="364">
        <v>97737</v>
      </c>
      <c r="H2442" s="475" t="s">
        <v>6470</v>
      </c>
      <c r="I2442" s="475" t="s">
        <v>1261</v>
      </c>
      <c r="J2442" s="475" t="s">
        <v>140</v>
      </c>
      <c r="K2442" s="365">
        <v>2254.02</v>
      </c>
      <c r="L2442" s="475" t="s">
        <v>141</v>
      </c>
      <c r="M2442" s="473"/>
    </row>
    <row r="2443" spans="1:13" ht="13.5">
      <c r="A2443" s="475" t="s">
        <v>5400</v>
      </c>
      <c r="B2443" s="475" t="s">
        <v>5401</v>
      </c>
      <c r="C2443" s="475" t="s">
        <v>5429</v>
      </c>
      <c r="D2443" s="475" t="s">
        <v>5430</v>
      </c>
      <c r="E2443" s="476" t="s">
        <v>34</v>
      </c>
      <c r="F2443" s="475" t="s">
        <v>34</v>
      </c>
      <c r="G2443" s="364">
        <v>97738</v>
      </c>
      <c r="H2443" s="475" t="s">
        <v>6471</v>
      </c>
      <c r="I2443" s="475" t="s">
        <v>1261</v>
      </c>
      <c r="J2443" s="475" t="s">
        <v>140</v>
      </c>
      <c r="K2443" s="365">
        <v>3039.31</v>
      </c>
      <c r="L2443" s="475" t="s">
        <v>141</v>
      </c>
      <c r="M2443" s="473"/>
    </row>
    <row r="2444" spans="1:13" ht="13.5">
      <c r="A2444" s="475" t="s">
        <v>5400</v>
      </c>
      <c r="B2444" s="475" t="s">
        <v>5401</v>
      </c>
      <c r="C2444" s="475" t="s">
        <v>5429</v>
      </c>
      <c r="D2444" s="475" t="s">
        <v>5430</v>
      </c>
      <c r="E2444" s="476" t="s">
        <v>34</v>
      </c>
      <c r="F2444" s="475" t="s">
        <v>34</v>
      </c>
      <c r="G2444" s="364">
        <v>97739</v>
      </c>
      <c r="H2444" s="475" t="s">
        <v>6472</v>
      </c>
      <c r="I2444" s="475" t="s">
        <v>1261</v>
      </c>
      <c r="J2444" s="475" t="s">
        <v>140</v>
      </c>
      <c r="K2444" s="365">
        <v>1859.02</v>
      </c>
      <c r="L2444" s="475" t="s">
        <v>141</v>
      </c>
      <c r="M2444" s="473"/>
    </row>
    <row r="2445" spans="1:13" ht="13.5">
      <c r="A2445" s="475" t="s">
        <v>5400</v>
      </c>
      <c r="B2445" s="475" t="s">
        <v>5401</v>
      </c>
      <c r="C2445" s="475" t="s">
        <v>5429</v>
      </c>
      <c r="D2445" s="475" t="s">
        <v>5430</v>
      </c>
      <c r="E2445" s="476" t="s">
        <v>34</v>
      </c>
      <c r="F2445" s="475" t="s">
        <v>34</v>
      </c>
      <c r="G2445" s="364">
        <v>97740</v>
      </c>
      <c r="H2445" s="475" t="s">
        <v>6473</v>
      </c>
      <c r="I2445" s="475" t="s">
        <v>1261</v>
      </c>
      <c r="J2445" s="475" t="s">
        <v>140</v>
      </c>
      <c r="K2445" s="365">
        <v>1340.78</v>
      </c>
      <c r="L2445" s="475" t="s">
        <v>141</v>
      </c>
      <c r="M2445" s="473"/>
    </row>
    <row r="2446" spans="1:13" ht="13.5">
      <c r="A2446" s="475" t="s">
        <v>5400</v>
      </c>
      <c r="B2446" s="475" t="s">
        <v>5401</v>
      </c>
      <c r="C2446" s="475" t="s">
        <v>5429</v>
      </c>
      <c r="D2446" s="475" t="s">
        <v>5430</v>
      </c>
      <c r="E2446" s="476" t="s">
        <v>34</v>
      </c>
      <c r="F2446" s="475" t="s">
        <v>34</v>
      </c>
      <c r="G2446" s="364">
        <v>98615</v>
      </c>
      <c r="H2446" s="475" t="s">
        <v>6474</v>
      </c>
      <c r="I2446" s="475" t="s">
        <v>322</v>
      </c>
      <c r="J2446" s="475" t="s">
        <v>140</v>
      </c>
      <c r="K2446" s="365">
        <v>77.78</v>
      </c>
      <c r="L2446" s="475" t="s">
        <v>141</v>
      </c>
      <c r="M2446" s="473"/>
    </row>
    <row r="2447" spans="1:13" ht="13.5">
      <c r="A2447" s="475" t="s">
        <v>5400</v>
      </c>
      <c r="B2447" s="475" t="s">
        <v>5401</v>
      </c>
      <c r="C2447" s="475" t="s">
        <v>5429</v>
      </c>
      <c r="D2447" s="475" t="s">
        <v>5430</v>
      </c>
      <c r="E2447" s="476" t="s">
        <v>34</v>
      </c>
      <c r="F2447" s="475" t="s">
        <v>34</v>
      </c>
      <c r="G2447" s="364">
        <v>98616</v>
      </c>
      <c r="H2447" s="475" t="s">
        <v>6475</v>
      </c>
      <c r="I2447" s="475" t="s">
        <v>322</v>
      </c>
      <c r="J2447" s="475" t="s">
        <v>140</v>
      </c>
      <c r="K2447" s="365">
        <v>60.01</v>
      </c>
      <c r="L2447" s="475" t="s">
        <v>141</v>
      </c>
      <c r="M2447" s="473"/>
    </row>
    <row r="2448" spans="1:13" ht="13.5">
      <c r="A2448" s="475" t="s">
        <v>5400</v>
      </c>
      <c r="B2448" s="475" t="s">
        <v>5401</v>
      </c>
      <c r="C2448" s="475" t="s">
        <v>5429</v>
      </c>
      <c r="D2448" s="475" t="s">
        <v>5430</v>
      </c>
      <c r="E2448" s="476" t="s">
        <v>34</v>
      </c>
      <c r="F2448" s="475" t="s">
        <v>34</v>
      </c>
      <c r="G2448" s="364">
        <v>98617</v>
      </c>
      <c r="H2448" s="475" t="s">
        <v>6476</v>
      </c>
      <c r="I2448" s="475" t="s">
        <v>322</v>
      </c>
      <c r="J2448" s="475" t="s">
        <v>140</v>
      </c>
      <c r="K2448" s="365">
        <v>54.99</v>
      </c>
      <c r="L2448" s="475" t="s">
        <v>141</v>
      </c>
      <c r="M2448" s="473"/>
    </row>
    <row r="2449" spans="1:13" ht="13.5">
      <c r="A2449" s="475" t="s">
        <v>5400</v>
      </c>
      <c r="B2449" s="475" t="s">
        <v>5401</v>
      </c>
      <c r="C2449" s="475" t="s">
        <v>5429</v>
      </c>
      <c r="D2449" s="475" t="s">
        <v>5430</v>
      </c>
      <c r="E2449" s="476" t="s">
        <v>34</v>
      </c>
      <c r="F2449" s="475" t="s">
        <v>34</v>
      </c>
      <c r="G2449" s="364">
        <v>98618</v>
      </c>
      <c r="H2449" s="475" t="s">
        <v>6477</v>
      </c>
      <c r="I2449" s="475" t="s">
        <v>322</v>
      </c>
      <c r="J2449" s="475" t="s">
        <v>140</v>
      </c>
      <c r="K2449" s="365">
        <v>75.760000000000005</v>
      </c>
      <c r="L2449" s="475" t="s">
        <v>141</v>
      </c>
      <c r="M2449" s="473"/>
    </row>
    <row r="2450" spans="1:13" ht="13.5">
      <c r="A2450" s="475" t="s">
        <v>5400</v>
      </c>
      <c r="B2450" s="475" t="s">
        <v>5401</v>
      </c>
      <c r="C2450" s="475" t="s">
        <v>5429</v>
      </c>
      <c r="D2450" s="475" t="s">
        <v>5430</v>
      </c>
      <c r="E2450" s="476" t="s">
        <v>34</v>
      </c>
      <c r="F2450" s="475" t="s">
        <v>34</v>
      </c>
      <c r="G2450" s="364">
        <v>98619</v>
      </c>
      <c r="H2450" s="475" t="s">
        <v>6478</v>
      </c>
      <c r="I2450" s="475" t="s">
        <v>322</v>
      </c>
      <c r="J2450" s="475" t="s">
        <v>140</v>
      </c>
      <c r="K2450" s="365">
        <v>68.19</v>
      </c>
      <c r="L2450" s="475" t="s">
        <v>141</v>
      </c>
      <c r="M2450" s="473"/>
    </row>
    <row r="2451" spans="1:13" ht="13.5">
      <c r="A2451" s="475" t="s">
        <v>5400</v>
      </c>
      <c r="B2451" s="475" t="s">
        <v>5401</v>
      </c>
      <c r="C2451" s="475" t="s">
        <v>5429</v>
      </c>
      <c r="D2451" s="475" t="s">
        <v>5430</v>
      </c>
      <c r="E2451" s="476" t="s">
        <v>34</v>
      </c>
      <c r="F2451" s="475" t="s">
        <v>34</v>
      </c>
      <c r="G2451" s="364">
        <v>98620</v>
      </c>
      <c r="H2451" s="475" t="s">
        <v>6479</v>
      </c>
      <c r="I2451" s="475" t="s">
        <v>322</v>
      </c>
      <c r="J2451" s="475" t="s">
        <v>140</v>
      </c>
      <c r="K2451" s="365">
        <v>64.36</v>
      </c>
      <c r="L2451" s="475" t="s">
        <v>141</v>
      </c>
      <c r="M2451" s="473"/>
    </row>
    <row r="2452" spans="1:13" ht="13.5">
      <c r="A2452" s="475" t="s">
        <v>5400</v>
      </c>
      <c r="B2452" s="475" t="s">
        <v>5401</v>
      </c>
      <c r="C2452" s="475" t="s">
        <v>5429</v>
      </c>
      <c r="D2452" s="475" t="s">
        <v>5430</v>
      </c>
      <c r="E2452" s="476" t="s">
        <v>34</v>
      </c>
      <c r="F2452" s="475" t="s">
        <v>34</v>
      </c>
      <c r="G2452" s="364">
        <v>98621</v>
      </c>
      <c r="H2452" s="475" t="s">
        <v>6480</v>
      </c>
      <c r="I2452" s="475" t="s">
        <v>322</v>
      </c>
      <c r="J2452" s="475" t="s">
        <v>140</v>
      </c>
      <c r="K2452" s="365">
        <v>84.87</v>
      </c>
      <c r="L2452" s="475" t="s">
        <v>141</v>
      </c>
      <c r="M2452" s="473"/>
    </row>
    <row r="2453" spans="1:13" ht="13.5">
      <c r="A2453" s="475" t="s">
        <v>5400</v>
      </c>
      <c r="B2453" s="475" t="s">
        <v>5401</v>
      </c>
      <c r="C2453" s="475" t="s">
        <v>5429</v>
      </c>
      <c r="D2453" s="475" t="s">
        <v>5430</v>
      </c>
      <c r="E2453" s="476" t="s">
        <v>34</v>
      </c>
      <c r="F2453" s="475" t="s">
        <v>34</v>
      </c>
      <c r="G2453" s="364">
        <v>98622</v>
      </c>
      <c r="H2453" s="475" t="s">
        <v>6481</v>
      </c>
      <c r="I2453" s="475" t="s">
        <v>322</v>
      </c>
      <c r="J2453" s="475" t="s">
        <v>140</v>
      </c>
      <c r="K2453" s="365">
        <v>78.790000000000006</v>
      </c>
      <c r="L2453" s="475" t="s">
        <v>141</v>
      </c>
      <c r="M2453" s="473"/>
    </row>
    <row r="2454" spans="1:13" ht="13.5">
      <c r="A2454" s="475" t="s">
        <v>5400</v>
      </c>
      <c r="B2454" s="475" t="s">
        <v>5401</v>
      </c>
      <c r="C2454" s="475" t="s">
        <v>5429</v>
      </c>
      <c r="D2454" s="475" t="s">
        <v>5430</v>
      </c>
      <c r="E2454" s="476" t="s">
        <v>34</v>
      </c>
      <c r="F2454" s="475" t="s">
        <v>34</v>
      </c>
      <c r="G2454" s="364">
        <v>98623</v>
      </c>
      <c r="H2454" s="475" t="s">
        <v>6482</v>
      </c>
      <c r="I2454" s="475" t="s">
        <v>322</v>
      </c>
      <c r="J2454" s="475" t="s">
        <v>140</v>
      </c>
      <c r="K2454" s="365">
        <v>75.680000000000007</v>
      </c>
      <c r="L2454" s="475" t="s">
        <v>141</v>
      </c>
      <c r="M2454" s="473"/>
    </row>
    <row r="2455" spans="1:13" ht="13.5">
      <c r="A2455" s="475" t="s">
        <v>5400</v>
      </c>
      <c r="B2455" s="475" t="s">
        <v>5401</v>
      </c>
      <c r="C2455" s="475" t="s">
        <v>5429</v>
      </c>
      <c r="D2455" s="475" t="s">
        <v>5430</v>
      </c>
      <c r="E2455" s="476" t="s">
        <v>34</v>
      </c>
      <c r="F2455" s="475" t="s">
        <v>34</v>
      </c>
      <c r="G2455" s="364">
        <v>98624</v>
      </c>
      <c r="H2455" s="475" t="s">
        <v>6483</v>
      </c>
      <c r="I2455" s="475" t="s">
        <v>322</v>
      </c>
      <c r="J2455" s="475" t="s">
        <v>140</v>
      </c>
      <c r="K2455" s="365">
        <v>95.02</v>
      </c>
      <c r="L2455" s="475" t="s">
        <v>141</v>
      </c>
      <c r="M2455" s="473"/>
    </row>
    <row r="2456" spans="1:13" ht="13.5">
      <c r="A2456" s="475" t="s">
        <v>5400</v>
      </c>
      <c r="B2456" s="475" t="s">
        <v>5401</v>
      </c>
      <c r="C2456" s="475" t="s">
        <v>5429</v>
      </c>
      <c r="D2456" s="475" t="s">
        <v>5430</v>
      </c>
      <c r="E2456" s="476" t="s">
        <v>34</v>
      </c>
      <c r="F2456" s="475" t="s">
        <v>34</v>
      </c>
      <c r="G2456" s="364">
        <v>98625</v>
      </c>
      <c r="H2456" s="475" t="s">
        <v>6484</v>
      </c>
      <c r="I2456" s="475" t="s">
        <v>322</v>
      </c>
      <c r="J2456" s="475" t="s">
        <v>140</v>
      </c>
      <c r="K2456" s="365">
        <v>89.88</v>
      </c>
      <c r="L2456" s="475" t="s">
        <v>141</v>
      </c>
      <c r="M2456" s="473"/>
    </row>
    <row r="2457" spans="1:13" ht="13.5">
      <c r="A2457" s="475" t="s">
        <v>5400</v>
      </c>
      <c r="B2457" s="475" t="s">
        <v>5401</v>
      </c>
      <c r="C2457" s="475" t="s">
        <v>5429</v>
      </c>
      <c r="D2457" s="475" t="s">
        <v>5430</v>
      </c>
      <c r="E2457" s="476" t="s">
        <v>34</v>
      </c>
      <c r="F2457" s="475" t="s">
        <v>34</v>
      </c>
      <c r="G2457" s="364">
        <v>98626</v>
      </c>
      <c r="H2457" s="475" t="s">
        <v>6485</v>
      </c>
      <c r="I2457" s="475" t="s">
        <v>322</v>
      </c>
      <c r="J2457" s="475" t="s">
        <v>140</v>
      </c>
      <c r="K2457" s="365">
        <v>87.24</v>
      </c>
      <c r="L2457" s="475" t="s">
        <v>141</v>
      </c>
      <c r="M2457" s="473"/>
    </row>
    <row r="2458" spans="1:13" ht="13.5">
      <c r="A2458" s="475" t="s">
        <v>5400</v>
      </c>
      <c r="B2458" s="475" t="s">
        <v>5401</v>
      </c>
      <c r="C2458" s="475" t="s">
        <v>5429</v>
      </c>
      <c r="D2458" s="475" t="s">
        <v>5430</v>
      </c>
      <c r="E2458" s="476" t="s">
        <v>34</v>
      </c>
      <c r="F2458" s="475" t="s">
        <v>34</v>
      </c>
      <c r="G2458" s="364">
        <v>98655</v>
      </c>
      <c r="H2458" s="475" t="s">
        <v>6486</v>
      </c>
      <c r="I2458" s="475" t="s">
        <v>139</v>
      </c>
      <c r="J2458" s="475" t="s">
        <v>140</v>
      </c>
      <c r="K2458" s="365">
        <v>394.78</v>
      </c>
      <c r="L2458" s="475" t="s">
        <v>141</v>
      </c>
      <c r="M2458" s="473"/>
    </row>
    <row r="2459" spans="1:13" ht="13.5">
      <c r="A2459" s="475" t="s">
        <v>5400</v>
      </c>
      <c r="B2459" s="475" t="s">
        <v>5401</v>
      </c>
      <c r="C2459" s="475" t="s">
        <v>5429</v>
      </c>
      <c r="D2459" s="475" t="s">
        <v>5430</v>
      </c>
      <c r="E2459" s="476" t="s">
        <v>34</v>
      </c>
      <c r="F2459" s="475" t="s">
        <v>34</v>
      </c>
      <c r="G2459" s="364">
        <v>98656</v>
      </c>
      <c r="H2459" s="475" t="s">
        <v>6487</v>
      </c>
      <c r="I2459" s="475" t="s">
        <v>139</v>
      </c>
      <c r="J2459" s="475" t="s">
        <v>140</v>
      </c>
      <c r="K2459" s="365">
        <v>400.38</v>
      </c>
      <c r="L2459" s="475" t="s">
        <v>141</v>
      </c>
      <c r="M2459" s="473"/>
    </row>
    <row r="2460" spans="1:13" ht="13.5">
      <c r="A2460" s="475" t="s">
        <v>5400</v>
      </c>
      <c r="B2460" s="475" t="s">
        <v>5401</v>
      </c>
      <c r="C2460" s="475" t="s">
        <v>5429</v>
      </c>
      <c r="D2460" s="475" t="s">
        <v>5430</v>
      </c>
      <c r="E2460" s="476" t="s">
        <v>34</v>
      </c>
      <c r="F2460" s="475" t="s">
        <v>34</v>
      </c>
      <c r="G2460" s="364">
        <v>98657</v>
      </c>
      <c r="H2460" s="475" t="s">
        <v>6488</v>
      </c>
      <c r="I2460" s="475" t="s">
        <v>139</v>
      </c>
      <c r="J2460" s="475" t="s">
        <v>140</v>
      </c>
      <c r="K2460" s="365">
        <v>405.97</v>
      </c>
      <c r="L2460" s="475" t="s">
        <v>141</v>
      </c>
      <c r="M2460" s="473"/>
    </row>
    <row r="2461" spans="1:13" ht="13.5">
      <c r="A2461" s="475" t="s">
        <v>5400</v>
      </c>
      <c r="B2461" s="475" t="s">
        <v>5401</v>
      </c>
      <c r="C2461" s="475" t="s">
        <v>5429</v>
      </c>
      <c r="D2461" s="475" t="s">
        <v>5430</v>
      </c>
      <c r="E2461" s="476" t="s">
        <v>34</v>
      </c>
      <c r="F2461" s="475" t="s">
        <v>34</v>
      </c>
      <c r="G2461" s="364">
        <v>98658</v>
      </c>
      <c r="H2461" s="475" t="s">
        <v>6489</v>
      </c>
      <c r="I2461" s="475" t="s">
        <v>139</v>
      </c>
      <c r="J2461" s="475" t="s">
        <v>140</v>
      </c>
      <c r="K2461" s="365">
        <v>411.56</v>
      </c>
      <c r="L2461" s="475" t="s">
        <v>141</v>
      </c>
      <c r="M2461" s="473"/>
    </row>
    <row r="2462" spans="1:13" ht="13.5">
      <c r="A2462" s="475" t="s">
        <v>5400</v>
      </c>
      <c r="B2462" s="475" t="s">
        <v>5401</v>
      </c>
      <c r="C2462" s="475" t="s">
        <v>5429</v>
      </c>
      <c r="D2462" s="475" t="s">
        <v>5430</v>
      </c>
      <c r="E2462" s="476" t="s">
        <v>34</v>
      </c>
      <c r="F2462" s="475" t="s">
        <v>34</v>
      </c>
      <c r="G2462" s="364">
        <v>98659</v>
      </c>
      <c r="H2462" s="475" t="s">
        <v>6490</v>
      </c>
      <c r="I2462" s="475" t="s">
        <v>139</v>
      </c>
      <c r="J2462" s="475" t="s">
        <v>140</v>
      </c>
      <c r="K2462" s="365">
        <v>422.76</v>
      </c>
      <c r="L2462" s="475" t="s">
        <v>141</v>
      </c>
      <c r="M2462" s="473"/>
    </row>
    <row r="2463" spans="1:13" ht="13.5">
      <c r="A2463" s="475" t="s">
        <v>5400</v>
      </c>
      <c r="B2463" s="475" t="s">
        <v>5401</v>
      </c>
      <c r="C2463" s="475" t="s">
        <v>5429</v>
      </c>
      <c r="D2463" s="475" t="s">
        <v>5430</v>
      </c>
      <c r="E2463" s="476" t="s">
        <v>34</v>
      </c>
      <c r="F2463" s="475" t="s">
        <v>34</v>
      </c>
      <c r="G2463" s="364">
        <v>98746</v>
      </c>
      <c r="H2463" s="475" t="s">
        <v>7542</v>
      </c>
      <c r="I2463" s="475" t="s">
        <v>139</v>
      </c>
      <c r="J2463" s="475" t="s">
        <v>337</v>
      </c>
      <c r="K2463" s="365">
        <v>42.14</v>
      </c>
      <c r="L2463" s="475" t="s">
        <v>141</v>
      </c>
      <c r="M2463" s="473"/>
    </row>
    <row r="2464" spans="1:13" ht="13.5">
      <c r="A2464" s="475" t="s">
        <v>5400</v>
      </c>
      <c r="B2464" s="475" t="s">
        <v>5401</v>
      </c>
      <c r="C2464" s="475" t="s">
        <v>5429</v>
      </c>
      <c r="D2464" s="475" t="s">
        <v>5430</v>
      </c>
      <c r="E2464" s="476" t="s">
        <v>34</v>
      </c>
      <c r="F2464" s="475" t="s">
        <v>34</v>
      </c>
      <c r="G2464" s="364">
        <v>98749</v>
      </c>
      <c r="H2464" s="475" t="s">
        <v>7543</v>
      </c>
      <c r="I2464" s="475" t="s">
        <v>139</v>
      </c>
      <c r="J2464" s="475" t="s">
        <v>337</v>
      </c>
      <c r="K2464" s="365">
        <v>48.95</v>
      </c>
      <c r="L2464" s="475" t="s">
        <v>141</v>
      </c>
      <c r="M2464" s="473"/>
    </row>
    <row r="2465" spans="1:13" ht="13.5">
      <c r="A2465" s="475" t="s">
        <v>5400</v>
      </c>
      <c r="B2465" s="475" t="s">
        <v>5401</v>
      </c>
      <c r="C2465" s="475" t="s">
        <v>5429</v>
      </c>
      <c r="D2465" s="475" t="s">
        <v>5430</v>
      </c>
      <c r="E2465" s="476" t="s">
        <v>34</v>
      </c>
      <c r="F2465" s="475" t="s">
        <v>34</v>
      </c>
      <c r="G2465" s="364">
        <v>98750</v>
      </c>
      <c r="H2465" s="475" t="s">
        <v>7544</v>
      </c>
      <c r="I2465" s="475" t="s">
        <v>139</v>
      </c>
      <c r="J2465" s="475" t="s">
        <v>337</v>
      </c>
      <c r="K2465" s="365">
        <v>57.07</v>
      </c>
      <c r="L2465" s="475" t="s">
        <v>141</v>
      </c>
      <c r="M2465" s="473"/>
    </row>
    <row r="2466" spans="1:13" ht="13.5">
      <c r="A2466" s="475" t="s">
        <v>5400</v>
      </c>
      <c r="B2466" s="475" t="s">
        <v>5401</v>
      </c>
      <c r="C2466" s="475" t="s">
        <v>5429</v>
      </c>
      <c r="D2466" s="475" t="s">
        <v>5430</v>
      </c>
      <c r="E2466" s="476" t="s">
        <v>34</v>
      </c>
      <c r="F2466" s="475" t="s">
        <v>34</v>
      </c>
      <c r="G2466" s="364">
        <v>98751</v>
      </c>
      <c r="H2466" s="475" t="s">
        <v>7545</v>
      </c>
      <c r="I2466" s="475" t="s">
        <v>139</v>
      </c>
      <c r="J2466" s="475" t="s">
        <v>337</v>
      </c>
      <c r="K2466" s="365">
        <v>78.2</v>
      </c>
      <c r="L2466" s="475" t="s">
        <v>141</v>
      </c>
      <c r="M2466" s="473"/>
    </row>
    <row r="2467" spans="1:13" ht="13.5">
      <c r="A2467" s="475" t="s">
        <v>5400</v>
      </c>
      <c r="B2467" s="475" t="s">
        <v>5401</v>
      </c>
      <c r="C2467" s="475" t="s">
        <v>5429</v>
      </c>
      <c r="D2467" s="475" t="s">
        <v>5430</v>
      </c>
      <c r="E2467" s="476" t="s">
        <v>34</v>
      </c>
      <c r="F2467" s="475" t="s">
        <v>34</v>
      </c>
      <c r="G2467" s="364">
        <v>98752</v>
      </c>
      <c r="H2467" s="475" t="s">
        <v>7546</v>
      </c>
      <c r="I2467" s="475" t="s">
        <v>139</v>
      </c>
      <c r="J2467" s="475" t="s">
        <v>337</v>
      </c>
      <c r="K2467" s="365">
        <v>103.45</v>
      </c>
      <c r="L2467" s="475" t="s">
        <v>141</v>
      </c>
      <c r="M2467" s="473"/>
    </row>
    <row r="2468" spans="1:13" ht="13.5">
      <c r="A2468" s="475" t="s">
        <v>5400</v>
      </c>
      <c r="B2468" s="475" t="s">
        <v>5401</v>
      </c>
      <c r="C2468" s="475" t="s">
        <v>5429</v>
      </c>
      <c r="D2468" s="475" t="s">
        <v>5430</v>
      </c>
      <c r="E2468" s="476" t="s">
        <v>34</v>
      </c>
      <c r="F2468" s="475" t="s">
        <v>34</v>
      </c>
      <c r="G2468" s="364">
        <v>98753</v>
      </c>
      <c r="H2468" s="475" t="s">
        <v>7547</v>
      </c>
      <c r="I2468" s="475" t="s">
        <v>139</v>
      </c>
      <c r="J2468" s="475" t="s">
        <v>337</v>
      </c>
      <c r="K2468" s="365">
        <v>134.68</v>
      </c>
      <c r="L2468" s="475" t="s">
        <v>141</v>
      </c>
      <c r="M2468" s="473"/>
    </row>
    <row r="2469" spans="1:13" ht="13.5">
      <c r="A2469" s="475" t="s">
        <v>5432</v>
      </c>
      <c r="B2469" s="475" t="s">
        <v>5433</v>
      </c>
      <c r="C2469" s="475" t="s">
        <v>5434</v>
      </c>
      <c r="D2469" s="475" t="s">
        <v>5435</v>
      </c>
      <c r="E2469" s="476" t="s">
        <v>34</v>
      </c>
      <c r="F2469" s="475" t="s">
        <v>34</v>
      </c>
      <c r="G2469" s="364">
        <v>98560</v>
      </c>
      <c r="H2469" s="475" t="s">
        <v>6491</v>
      </c>
      <c r="I2469" s="475" t="s">
        <v>322</v>
      </c>
      <c r="J2469" s="475" t="s">
        <v>337</v>
      </c>
      <c r="K2469" s="365">
        <v>33.78</v>
      </c>
      <c r="L2469" s="475" t="s">
        <v>141</v>
      </c>
      <c r="M2469" s="473"/>
    </row>
    <row r="2470" spans="1:13" ht="13.5">
      <c r="A2470" s="475" t="s">
        <v>5432</v>
      </c>
      <c r="B2470" s="475" t="s">
        <v>5433</v>
      </c>
      <c r="C2470" s="475" t="s">
        <v>5434</v>
      </c>
      <c r="D2470" s="475" t="s">
        <v>5435</v>
      </c>
      <c r="E2470" s="476" t="s">
        <v>34</v>
      </c>
      <c r="F2470" s="475" t="s">
        <v>34</v>
      </c>
      <c r="G2470" s="364">
        <v>98561</v>
      </c>
      <c r="H2470" s="475" t="s">
        <v>6492</v>
      </c>
      <c r="I2470" s="475" t="s">
        <v>322</v>
      </c>
      <c r="J2470" s="475" t="s">
        <v>337</v>
      </c>
      <c r="K2470" s="365">
        <v>29.5</v>
      </c>
      <c r="L2470" s="475" t="s">
        <v>141</v>
      </c>
      <c r="M2470" s="473"/>
    </row>
    <row r="2471" spans="1:13" ht="13.5">
      <c r="A2471" s="475" t="s">
        <v>5432</v>
      </c>
      <c r="B2471" s="475" t="s">
        <v>5433</v>
      </c>
      <c r="C2471" s="475" t="s">
        <v>5434</v>
      </c>
      <c r="D2471" s="475" t="s">
        <v>5435</v>
      </c>
      <c r="E2471" s="476" t="s">
        <v>34</v>
      </c>
      <c r="F2471" s="475" t="s">
        <v>34</v>
      </c>
      <c r="G2471" s="364">
        <v>98562</v>
      </c>
      <c r="H2471" s="475" t="s">
        <v>6493</v>
      </c>
      <c r="I2471" s="475" t="s">
        <v>322</v>
      </c>
      <c r="J2471" s="475" t="s">
        <v>337</v>
      </c>
      <c r="K2471" s="365">
        <v>29.79</v>
      </c>
      <c r="L2471" s="475" t="s">
        <v>141</v>
      </c>
      <c r="M2471" s="473"/>
    </row>
    <row r="2472" spans="1:13" ht="13.5">
      <c r="A2472" s="475" t="s">
        <v>5432</v>
      </c>
      <c r="B2472" s="475" t="s">
        <v>5433</v>
      </c>
      <c r="C2472" s="475" t="s">
        <v>5436</v>
      </c>
      <c r="D2472" s="475" t="s">
        <v>5437</v>
      </c>
      <c r="E2472" s="476" t="s">
        <v>34</v>
      </c>
      <c r="F2472" s="475" t="s">
        <v>34</v>
      </c>
      <c r="G2472" s="364">
        <v>83735</v>
      </c>
      <c r="H2472" s="475" t="s">
        <v>2099</v>
      </c>
      <c r="I2472" s="475" t="s">
        <v>322</v>
      </c>
      <c r="J2472" s="475" t="s">
        <v>337</v>
      </c>
      <c r="K2472" s="365">
        <v>56.05</v>
      </c>
      <c r="L2472" s="475" t="s">
        <v>141</v>
      </c>
      <c r="M2472" s="473"/>
    </row>
    <row r="2473" spans="1:13" ht="13.5">
      <c r="A2473" s="475" t="s">
        <v>5432</v>
      </c>
      <c r="B2473" s="475" t="s">
        <v>5433</v>
      </c>
      <c r="C2473" s="475" t="s">
        <v>5436</v>
      </c>
      <c r="D2473" s="475" t="s">
        <v>5437</v>
      </c>
      <c r="E2473" s="476" t="s">
        <v>34</v>
      </c>
      <c r="F2473" s="475" t="s">
        <v>34</v>
      </c>
      <c r="G2473" s="364">
        <v>98555</v>
      </c>
      <c r="H2473" s="475" t="s">
        <v>15165</v>
      </c>
      <c r="I2473" s="475" t="s">
        <v>322</v>
      </c>
      <c r="J2473" s="475" t="s">
        <v>337</v>
      </c>
      <c r="K2473" s="365">
        <v>28.45</v>
      </c>
      <c r="L2473" s="475" t="s">
        <v>141</v>
      </c>
      <c r="M2473" s="473"/>
    </row>
    <row r="2474" spans="1:13" ht="13.5">
      <c r="A2474" s="475" t="s">
        <v>5432</v>
      </c>
      <c r="B2474" s="475" t="s">
        <v>5433</v>
      </c>
      <c r="C2474" s="475" t="s">
        <v>5436</v>
      </c>
      <c r="D2474" s="475" t="s">
        <v>5437</v>
      </c>
      <c r="E2474" s="476" t="s">
        <v>34</v>
      </c>
      <c r="F2474" s="475" t="s">
        <v>34</v>
      </c>
      <c r="G2474" s="364">
        <v>98556</v>
      </c>
      <c r="H2474" s="475" t="s">
        <v>15166</v>
      </c>
      <c r="I2474" s="475" t="s">
        <v>322</v>
      </c>
      <c r="J2474" s="475" t="s">
        <v>337</v>
      </c>
      <c r="K2474" s="365">
        <v>47.96</v>
      </c>
      <c r="L2474" s="475" t="s">
        <v>141</v>
      </c>
      <c r="M2474" s="473"/>
    </row>
    <row r="2475" spans="1:13" ht="13.5">
      <c r="A2475" s="475" t="s">
        <v>5432</v>
      </c>
      <c r="B2475" s="475" t="s">
        <v>5433</v>
      </c>
      <c r="C2475" s="475" t="s">
        <v>5436</v>
      </c>
      <c r="D2475" s="475" t="s">
        <v>5437</v>
      </c>
      <c r="E2475" s="476" t="s">
        <v>34</v>
      </c>
      <c r="F2475" s="475" t="s">
        <v>34</v>
      </c>
      <c r="G2475" s="364">
        <v>98558</v>
      </c>
      <c r="H2475" s="475" t="s">
        <v>15167</v>
      </c>
      <c r="I2475" s="475" t="s">
        <v>171</v>
      </c>
      <c r="J2475" s="475" t="s">
        <v>337</v>
      </c>
      <c r="K2475" s="365">
        <v>7.41</v>
      </c>
      <c r="L2475" s="475" t="s">
        <v>141</v>
      </c>
      <c r="M2475" s="473"/>
    </row>
    <row r="2476" spans="1:13" ht="13.5">
      <c r="A2476" s="475" t="s">
        <v>5432</v>
      </c>
      <c r="B2476" s="475" t="s">
        <v>5433</v>
      </c>
      <c r="C2476" s="475" t="s">
        <v>5436</v>
      </c>
      <c r="D2476" s="475" t="s">
        <v>5437</v>
      </c>
      <c r="E2476" s="476" t="s">
        <v>34</v>
      </c>
      <c r="F2476" s="475" t="s">
        <v>34</v>
      </c>
      <c r="G2476" s="364">
        <v>98559</v>
      </c>
      <c r="H2476" s="475" t="s">
        <v>6494</v>
      </c>
      <c r="I2476" s="475" t="s">
        <v>139</v>
      </c>
      <c r="J2476" s="475" t="s">
        <v>337</v>
      </c>
      <c r="K2476" s="365">
        <v>3.23</v>
      </c>
      <c r="L2476" s="475" t="s">
        <v>141</v>
      </c>
      <c r="M2476" s="473"/>
    </row>
    <row r="2477" spans="1:13" ht="13.5">
      <c r="A2477" s="475" t="s">
        <v>5432</v>
      </c>
      <c r="B2477" s="475" t="s">
        <v>5433</v>
      </c>
      <c r="C2477" s="475" t="s">
        <v>5438</v>
      </c>
      <c r="D2477" s="475" t="s">
        <v>5439</v>
      </c>
      <c r="E2477" s="476" t="s">
        <v>34</v>
      </c>
      <c r="F2477" s="475" t="s">
        <v>34</v>
      </c>
      <c r="G2477" s="364">
        <v>68053</v>
      </c>
      <c r="H2477" s="475" t="s">
        <v>2100</v>
      </c>
      <c r="I2477" s="475" t="s">
        <v>322</v>
      </c>
      <c r="J2477" s="475" t="s">
        <v>337</v>
      </c>
      <c r="K2477" s="365">
        <v>4.95</v>
      </c>
      <c r="L2477" s="475" t="s">
        <v>141</v>
      </c>
      <c r="M2477" s="473"/>
    </row>
    <row r="2478" spans="1:13" ht="13.5">
      <c r="A2478" s="475" t="s">
        <v>5432</v>
      </c>
      <c r="B2478" s="475" t="s">
        <v>5433</v>
      </c>
      <c r="C2478" s="475" t="s">
        <v>5438</v>
      </c>
      <c r="D2478" s="475" t="s">
        <v>5439</v>
      </c>
      <c r="E2478" s="476">
        <v>74033</v>
      </c>
      <c r="F2478" s="475" t="s">
        <v>5441</v>
      </c>
      <c r="G2478" s="364" t="s">
        <v>2101</v>
      </c>
      <c r="H2478" s="475" t="s">
        <v>2102</v>
      </c>
      <c r="I2478" s="475" t="s">
        <v>322</v>
      </c>
      <c r="J2478" s="475" t="s">
        <v>140</v>
      </c>
      <c r="K2478" s="365">
        <v>42.66</v>
      </c>
      <c r="L2478" s="475" t="s">
        <v>141</v>
      </c>
      <c r="M2478" s="473"/>
    </row>
    <row r="2479" spans="1:13" ht="13.5">
      <c r="A2479" s="475" t="s">
        <v>5432</v>
      </c>
      <c r="B2479" s="475" t="s">
        <v>5433</v>
      </c>
      <c r="C2479" s="475" t="s">
        <v>5438</v>
      </c>
      <c r="D2479" s="475" t="s">
        <v>5439</v>
      </c>
      <c r="E2479" s="476" t="s">
        <v>34</v>
      </c>
      <c r="F2479" s="475" t="s">
        <v>34</v>
      </c>
      <c r="G2479" s="364">
        <v>98546</v>
      </c>
      <c r="H2479" s="475" t="s">
        <v>6495</v>
      </c>
      <c r="I2479" s="475" t="s">
        <v>322</v>
      </c>
      <c r="J2479" s="475" t="s">
        <v>140</v>
      </c>
      <c r="K2479" s="365">
        <v>72.61</v>
      </c>
      <c r="L2479" s="475" t="s">
        <v>141</v>
      </c>
      <c r="M2479" s="473"/>
    </row>
    <row r="2480" spans="1:13" ht="13.5">
      <c r="A2480" s="475" t="s">
        <v>5432</v>
      </c>
      <c r="B2480" s="475" t="s">
        <v>5433</v>
      </c>
      <c r="C2480" s="475" t="s">
        <v>5438</v>
      </c>
      <c r="D2480" s="475" t="s">
        <v>5439</v>
      </c>
      <c r="E2480" s="476" t="s">
        <v>34</v>
      </c>
      <c r="F2480" s="475" t="s">
        <v>34</v>
      </c>
      <c r="G2480" s="364">
        <v>98547</v>
      </c>
      <c r="H2480" s="475" t="s">
        <v>6496</v>
      </c>
      <c r="I2480" s="475" t="s">
        <v>322</v>
      </c>
      <c r="J2480" s="475" t="s">
        <v>140</v>
      </c>
      <c r="K2480" s="365">
        <v>134.41</v>
      </c>
      <c r="L2480" s="475" t="s">
        <v>141</v>
      </c>
      <c r="M2480" s="473"/>
    </row>
    <row r="2481" spans="1:13" ht="13.5">
      <c r="A2481" s="475" t="s">
        <v>5432</v>
      </c>
      <c r="B2481" s="475" t="s">
        <v>5433</v>
      </c>
      <c r="C2481" s="475" t="s">
        <v>5442</v>
      </c>
      <c r="D2481" s="475" t="s">
        <v>5443</v>
      </c>
      <c r="E2481" s="476">
        <v>73762</v>
      </c>
      <c r="F2481" s="475" t="s">
        <v>5440</v>
      </c>
      <c r="G2481" s="364" t="s">
        <v>2103</v>
      </c>
      <c r="H2481" s="475" t="s">
        <v>2104</v>
      </c>
      <c r="I2481" s="475" t="s">
        <v>322</v>
      </c>
      <c r="J2481" s="475" t="s">
        <v>337</v>
      </c>
      <c r="K2481" s="365">
        <v>145.80000000000001</v>
      </c>
      <c r="L2481" s="475" t="s">
        <v>141</v>
      </c>
      <c r="M2481" s="473"/>
    </row>
    <row r="2482" spans="1:13" ht="13.5">
      <c r="A2482" s="475" t="s">
        <v>5432</v>
      </c>
      <c r="B2482" s="475" t="s">
        <v>5433</v>
      </c>
      <c r="C2482" s="475" t="s">
        <v>5442</v>
      </c>
      <c r="D2482" s="475" t="s">
        <v>5443</v>
      </c>
      <c r="E2482" s="476">
        <v>74066</v>
      </c>
      <c r="F2482" s="475" t="s">
        <v>5444</v>
      </c>
      <c r="G2482" s="364" t="s">
        <v>2105</v>
      </c>
      <c r="H2482" s="475" t="s">
        <v>2106</v>
      </c>
      <c r="I2482" s="475" t="s">
        <v>322</v>
      </c>
      <c r="J2482" s="475" t="s">
        <v>337</v>
      </c>
      <c r="K2482" s="365">
        <v>76.069999999999993</v>
      </c>
      <c r="L2482" s="475" t="s">
        <v>141</v>
      </c>
      <c r="M2482" s="473"/>
    </row>
    <row r="2483" spans="1:13" ht="13.5">
      <c r="A2483" s="475" t="s">
        <v>5432</v>
      </c>
      <c r="B2483" s="475" t="s">
        <v>5433</v>
      </c>
      <c r="C2483" s="475" t="s">
        <v>5442</v>
      </c>
      <c r="D2483" s="475" t="s">
        <v>5443</v>
      </c>
      <c r="E2483" s="476">
        <v>74106</v>
      </c>
      <c r="F2483" s="475" t="s">
        <v>5445</v>
      </c>
      <c r="G2483" s="364" t="s">
        <v>2107</v>
      </c>
      <c r="H2483" s="475" t="s">
        <v>2108</v>
      </c>
      <c r="I2483" s="475" t="s">
        <v>322</v>
      </c>
      <c r="J2483" s="475" t="s">
        <v>337</v>
      </c>
      <c r="K2483" s="365">
        <v>9.31</v>
      </c>
      <c r="L2483" s="475" t="s">
        <v>141</v>
      </c>
      <c r="M2483" s="473"/>
    </row>
    <row r="2484" spans="1:13" ht="13.5">
      <c r="A2484" s="475" t="s">
        <v>5432</v>
      </c>
      <c r="B2484" s="475" t="s">
        <v>5433</v>
      </c>
      <c r="C2484" s="475" t="s">
        <v>5442</v>
      </c>
      <c r="D2484" s="475" t="s">
        <v>5443</v>
      </c>
      <c r="E2484" s="476" t="s">
        <v>34</v>
      </c>
      <c r="F2484" s="475" t="s">
        <v>34</v>
      </c>
      <c r="G2484" s="364">
        <v>98557</v>
      </c>
      <c r="H2484" s="475" t="s">
        <v>6497</v>
      </c>
      <c r="I2484" s="475" t="s">
        <v>322</v>
      </c>
      <c r="J2484" s="475" t="s">
        <v>337</v>
      </c>
      <c r="K2484" s="365">
        <v>30.6</v>
      </c>
      <c r="L2484" s="475" t="s">
        <v>141</v>
      </c>
      <c r="M2484" s="473"/>
    </row>
    <row r="2485" spans="1:13" ht="13.5">
      <c r="A2485" s="475" t="s">
        <v>5432</v>
      </c>
      <c r="B2485" s="475" t="s">
        <v>5433</v>
      </c>
      <c r="C2485" s="475" t="s">
        <v>5446</v>
      </c>
      <c r="D2485" s="475" t="s">
        <v>5447</v>
      </c>
      <c r="E2485" s="476">
        <v>73872</v>
      </c>
      <c r="F2485" s="475" t="s">
        <v>5448</v>
      </c>
      <c r="G2485" s="364" t="s">
        <v>2109</v>
      </c>
      <c r="H2485" s="475" t="s">
        <v>2110</v>
      </c>
      <c r="I2485" s="475" t="s">
        <v>322</v>
      </c>
      <c r="J2485" s="475" t="s">
        <v>337</v>
      </c>
      <c r="K2485" s="365">
        <v>26.95</v>
      </c>
      <c r="L2485" s="475" t="s">
        <v>141</v>
      </c>
      <c r="M2485" s="473"/>
    </row>
    <row r="2486" spans="1:13" ht="13.5">
      <c r="A2486" s="475" t="s">
        <v>5432</v>
      </c>
      <c r="B2486" s="475" t="s">
        <v>5433</v>
      </c>
      <c r="C2486" s="475" t="s">
        <v>5446</v>
      </c>
      <c r="D2486" s="475" t="s">
        <v>5447</v>
      </c>
      <c r="E2486" s="476">
        <v>73872</v>
      </c>
      <c r="F2486" s="475" t="s">
        <v>5448</v>
      </c>
      <c r="G2486" s="364" t="s">
        <v>2111</v>
      </c>
      <c r="H2486" s="475" t="s">
        <v>2112</v>
      </c>
      <c r="I2486" s="475" t="s">
        <v>322</v>
      </c>
      <c r="J2486" s="475" t="s">
        <v>337</v>
      </c>
      <c r="K2486" s="365">
        <v>52.67</v>
      </c>
      <c r="L2486" s="475" t="s">
        <v>141</v>
      </c>
      <c r="M2486" s="473"/>
    </row>
    <row r="2487" spans="1:13" ht="13.5">
      <c r="A2487" s="475" t="s">
        <v>5432</v>
      </c>
      <c r="B2487" s="475" t="s">
        <v>5433</v>
      </c>
      <c r="C2487" s="475" t="s">
        <v>5449</v>
      </c>
      <c r="D2487" s="475" t="s">
        <v>5450</v>
      </c>
      <c r="E2487" s="476" t="s">
        <v>34</v>
      </c>
      <c r="F2487" s="475" t="s">
        <v>34</v>
      </c>
      <c r="G2487" s="364">
        <v>72124</v>
      </c>
      <c r="H2487" s="475" t="s">
        <v>2113</v>
      </c>
      <c r="I2487" s="475" t="s">
        <v>2090</v>
      </c>
      <c r="J2487" s="475" t="s">
        <v>337</v>
      </c>
      <c r="K2487" s="365">
        <v>106.64</v>
      </c>
      <c r="L2487" s="475" t="s">
        <v>141</v>
      </c>
      <c r="M2487" s="473"/>
    </row>
    <row r="2488" spans="1:13" ht="13.5">
      <c r="A2488" s="475" t="s">
        <v>5432</v>
      </c>
      <c r="B2488" s="475" t="s">
        <v>5433</v>
      </c>
      <c r="C2488" s="475" t="s">
        <v>5449</v>
      </c>
      <c r="D2488" s="475" t="s">
        <v>5450</v>
      </c>
      <c r="E2488" s="476">
        <v>74025</v>
      </c>
      <c r="F2488" s="475" t="s">
        <v>5451</v>
      </c>
      <c r="G2488" s="364" t="s">
        <v>2114</v>
      </c>
      <c r="H2488" s="475" t="s">
        <v>2115</v>
      </c>
      <c r="I2488" s="475" t="s">
        <v>139</v>
      </c>
      <c r="J2488" s="475" t="s">
        <v>337</v>
      </c>
      <c r="K2488" s="365">
        <v>51.14</v>
      </c>
      <c r="L2488" s="475" t="s">
        <v>141</v>
      </c>
      <c r="M2488" s="473"/>
    </row>
    <row r="2489" spans="1:13" ht="13.5">
      <c r="A2489" s="475" t="s">
        <v>5432</v>
      </c>
      <c r="B2489" s="475" t="s">
        <v>5433</v>
      </c>
      <c r="C2489" s="475" t="s">
        <v>5449</v>
      </c>
      <c r="D2489" s="475" t="s">
        <v>5450</v>
      </c>
      <c r="E2489" s="476">
        <v>74190</v>
      </c>
      <c r="F2489" s="475" t="s">
        <v>5452</v>
      </c>
      <c r="G2489" s="364" t="s">
        <v>2116</v>
      </c>
      <c r="H2489" s="475" t="s">
        <v>2117</v>
      </c>
      <c r="I2489" s="475" t="s">
        <v>322</v>
      </c>
      <c r="J2489" s="475" t="s">
        <v>337</v>
      </c>
      <c r="K2489" s="365">
        <v>169.35</v>
      </c>
      <c r="L2489" s="475" t="s">
        <v>141</v>
      </c>
      <c r="M2489" s="473"/>
    </row>
    <row r="2490" spans="1:13" ht="13.5">
      <c r="A2490" s="475" t="s">
        <v>5432</v>
      </c>
      <c r="B2490" s="475" t="s">
        <v>5433</v>
      </c>
      <c r="C2490" s="475" t="s">
        <v>6498</v>
      </c>
      <c r="D2490" s="475" t="s">
        <v>6499</v>
      </c>
      <c r="E2490" s="476" t="s">
        <v>34</v>
      </c>
      <c r="F2490" s="475" t="s">
        <v>34</v>
      </c>
      <c r="G2490" s="364">
        <v>98563</v>
      </c>
      <c r="H2490" s="475" t="s">
        <v>6500</v>
      </c>
      <c r="I2490" s="475" t="s">
        <v>322</v>
      </c>
      <c r="J2490" s="475" t="s">
        <v>337</v>
      </c>
      <c r="K2490" s="365">
        <v>23.58</v>
      </c>
      <c r="L2490" s="475" t="s">
        <v>141</v>
      </c>
      <c r="M2490" s="473"/>
    </row>
    <row r="2491" spans="1:13" ht="13.5">
      <c r="A2491" s="475" t="s">
        <v>5432</v>
      </c>
      <c r="B2491" s="475" t="s">
        <v>5433</v>
      </c>
      <c r="C2491" s="475" t="s">
        <v>6498</v>
      </c>
      <c r="D2491" s="475" t="s">
        <v>6499</v>
      </c>
      <c r="E2491" s="476" t="s">
        <v>34</v>
      </c>
      <c r="F2491" s="475" t="s">
        <v>34</v>
      </c>
      <c r="G2491" s="364">
        <v>98564</v>
      </c>
      <c r="H2491" s="475" t="s">
        <v>6501</v>
      </c>
      <c r="I2491" s="475" t="s">
        <v>322</v>
      </c>
      <c r="J2491" s="475" t="s">
        <v>337</v>
      </c>
      <c r="K2491" s="365">
        <v>31.95</v>
      </c>
      <c r="L2491" s="475" t="s">
        <v>141</v>
      </c>
      <c r="M2491" s="473"/>
    </row>
    <row r="2492" spans="1:13" ht="13.5">
      <c r="A2492" s="475" t="s">
        <v>5432</v>
      </c>
      <c r="B2492" s="475" t="s">
        <v>5433</v>
      </c>
      <c r="C2492" s="475" t="s">
        <v>6498</v>
      </c>
      <c r="D2492" s="475" t="s">
        <v>6499</v>
      </c>
      <c r="E2492" s="476" t="s">
        <v>34</v>
      </c>
      <c r="F2492" s="475" t="s">
        <v>34</v>
      </c>
      <c r="G2492" s="364">
        <v>98565</v>
      </c>
      <c r="H2492" s="475" t="s">
        <v>6502</v>
      </c>
      <c r="I2492" s="475" t="s">
        <v>322</v>
      </c>
      <c r="J2492" s="475" t="s">
        <v>337</v>
      </c>
      <c r="K2492" s="365">
        <v>34.01</v>
      </c>
      <c r="L2492" s="475" t="s">
        <v>141</v>
      </c>
      <c r="M2492" s="473"/>
    </row>
    <row r="2493" spans="1:13" ht="13.5">
      <c r="A2493" s="475" t="s">
        <v>5432</v>
      </c>
      <c r="B2493" s="475" t="s">
        <v>5433</v>
      </c>
      <c r="C2493" s="475" t="s">
        <v>6498</v>
      </c>
      <c r="D2493" s="475" t="s">
        <v>6499</v>
      </c>
      <c r="E2493" s="476" t="s">
        <v>34</v>
      </c>
      <c r="F2493" s="475" t="s">
        <v>34</v>
      </c>
      <c r="G2493" s="364">
        <v>98566</v>
      </c>
      <c r="H2493" s="475" t="s">
        <v>6503</v>
      </c>
      <c r="I2493" s="475" t="s">
        <v>322</v>
      </c>
      <c r="J2493" s="475" t="s">
        <v>337</v>
      </c>
      <c r="K2493" s="365">
        <v>42.4</v>
      </c>
      <c r="L2493" s="475" t="s">
        <v>141</v>
      </c>
      <c r="M2493" s="473"/>
    </row>
    <row r="2494" spans="1:13" ht="13.5">
      <c r="A2494" s="475" t="s">
        <v>5432</v>
      </c>
      <c r="B2494" s="475" t="s">
        <v>5433</v>
      </c>
      <c r="C2494" s="475" t="s">
        <v>6498</v>
      </c>
      <c r="D2494" s="475" t="s">
        <v>6499</v>
      </c>
      <c r="E2494" s="476" t="s">
        <v>34</v>
      </c>
      <c r="F2494" s="475" t="s">
        <v>34</v>
      </c>
      <c r="G2494" s="364">
        <v>98567</v>
      </c>
      <c r="H2494" s="475" t="s">
        <v>6504</v>
      </c>
      <c r="I2494" s="475" t="s">
        <v>322</v>
      </c>
      <c r="J2494" s="475" t="s">
        <v>337</v>
      </c>
      <c r="K2494" s="365">
        <v>43.96</v>
      </c>
      <c r="L2494" s="475" t="s">
        <v>141</v>
      </c>
      <c r="M2494" s="473"/>
    </row>
    <row r="2495" spans="1:13" ht="13.5">
      <c r="A2495" s="475" t="s">
        <v>5432</v>
      </c>
      <c r="B2495" s="475" t="s">
        <v>5433</v>
      </c>
      <c r="C2495" s="475" t="s">
        <v>6498</v>
      </c>
      <c r="D2495" s="475" t="s">
        <v>6499</v>
      </c>
      <c r="E2495" s="476" t="s">
        <v>34</v>
      </c>
      <c r="F2495" s="475" t="s">
        <v>34</v>
      </c>
      <c r="G2495" s="364">
        <v>98568</v>
      </c>
      <c r="H2495" s="475" t="s">
        <v>6505</v>
      </c>
      <c r="I2495" s="475" t="s">
        <v>322</v>
      </c>
      <c r="J2495" s="475" t="s">
        <v>337</v>
      </c>
      <c r="K2495" s="365">
        <v>52.32</v>
      </c>
      <c r="L2495" s="475" t="s">
        <v>141</v>
      </c>
      <c r="M2495" s="473"/>
    </row>
    <row r="2496" spans="1:13" ht="13.5">
      <c r="A2496" s="475" t="s">
        <v>5432</v>
      </c>
      <c r="B2496" s="475" t="s">
        <v>5433</v>
      </c>
      <c r="C2496" s="475" t="s">
        <v>6498</v>
      </c>
      <c r="D2496" s="475" t="s">
        <v>6499</v>
      </c>
      <c r="E2496" s="476" t="s">
        <v>34</v>
      </c>
      <c r="F2496" s="475" t="s">
        <v>34</v>
      </c>
      <c r="G2496" s="364">
        <v>98569</v>
      </c>
      <c r="H2496" s="475" t="s">
        <v>6506</v>
      </c>
      <c r="I2496" s="475" t="s">
        <v>322</v>
      </c>
      <c r="J2496" s="475" t="s">
        <v>337</v>
      </c>
      <c r="K2496" s="365">
        <v>54.38</v>
      </c>
      <c r="L2496" s="475" t="s">
        <v>141</v>
      </c>
      <c r="M2496" s="473"/>
    </row>
    <row r="2497" spans="1:13" ht="13.5">
      <c r="A2497" s="475" t="s">
        <v>5432</v>
      </c>
      <c r="B2497" s="475" t="s">
        <v>5433</v>
      </c>
      <c r="C2497" s="475" t="s">
        <v>6498</v>
      </c>
      <c r="D2497" s="475" t="s">
        <v>6499</v>
      </c>
      <c r="E2497" s="476" t="s">
        <v>34</v>
      </c>
      <c r="F2497" s="475" t="s">
        <v>34</v>
      </c>
      <c r="G2497" s="364">
        <v>98570</v>
      </c>
      <c r="H2497" s="475" t="s">
        <v>6507</v>
      </c>
      <c r="I2497" s="475" t="s">
        <v>322</v>
      </c>
      <c r="J2497" s="475" t="s">
        <v>337</v>
      </c>
      <c r="K2497" s="365">
        <v>62.78</v>
      </c>
      <c r="L2497" s="475" t="s">
        <v>141</v>
      </c>
      <c r="M2497" s="473"/>
    </row>
    <row r="2498" spans="1:13" ht="13.5">
      <c r="A2498" s="475" t="s">
        <v>5432</v>
      </c>
      <c r="B2498" s="475" t="s">
        <v>5433</v>
      </c>
      <c r="C2498" s="475" t="s">
        <v>6498</v>
      </c>
      <c r="D2498" s="475" t="s">
        <v>6499</v>
      </c>
      <c r="E2498" s="476" t="s">
        <v>34</v>
      </c>
      <c r="F2498" s="475" t="s">
        <v>34</v>
      </c>
      <c r="G2498" s="364">
        <v>98571</v>
      </c>
      <c r="H2498" s="475" t="s">
        <v>6508</v>
      </c>
      <c r="I2498" s="475" t="s">
        <v>322</v>
      </c>
      <c r="J2498" s="475" t="s">
        <v>337</v>
      </c>
      <c r="K2498" s="365">
        <v>26.25</v>
      </c>
      <c r="L2498" s="475" t="s">
        <v>141</v>
      </c>
      <c r="M2498" s="473"/>
    </row>
    <row r="2499" spans="1:13" ht="13.5">
      <c r="A2499" s="475" t="s">
        <v>5432</v>
      </c>
      <c r="B2499" s="475" t="s">
        <v>5433</v>
      </c>
      <c r="C2499" s="475" t="s">
        <v>6498</v>
      </c>
      <c r="D2499" s="475" t="s">
        <v>6499</v>
      </c>
      <c r="E2499" s="476" t="s">
        <v>34</v>
      </c>
      <c r="F2499" s="475" t="s">
        <v>34</v>
      </c>
      <c r="G2499" s="364">
        <v>98572</v>
      </c>
      <c r="H2499" s="475" t="s">
        <v>6509</v>
      </c>
      <c r="I2499" s="475" t="s">
        <v>322</v>
      </c>
      <c r="J2499" s="475" t="s">
        <v>337</v>
      </c>
      <c r="K2499" s="365">
        <v>32.409999999999997</v>
      </c>
      <c r="L2499" s="475" t="s">
        <v>141</v>
      </c>
      <c r="M2499" s="473"/>
    </row>
    <row r="2500" spans="1:13" ht="13.5">
      <c r="A2500" s="475" t="s">
        <v>5432</v>
      </c>
      <c r="B2500" s="475" t="s">
        <v>5433</v>
      </c>
      <c r="C2500" s="475" t="s">
        <v>6498</v>
      </c>
      <c r="D2500" s="475" t="s">
        <v>6499</v>
      </c>
      <c r="E2500" s="476" t="s">
        <v>34</v>
      </c>
      <c r="F2500" s="475" t="s">
        <v>34</v>
      </c>
      <c r="G2500" s="364">
        <v>98573</v>
      </c>
      <c r="H2500" s="475" t="s">
        <v>6510</v>
      </c>
      <c r="I2500" s="475" t="s">
        <v>322</v>
      </c>
      <c r="J2500" s="475" t="s">
        <v>337</v>
      </c>
      <c r="K2500" s="365">
        <v>40.49</v>
      </c>
      <c r="L2500" s="475" t="s">
        <v>141</v>
      </c>
      <c r="M2500" s="473"/>
    </row>
    <row r="2501" spans="1:13" ht="13.5">
      <c r="A2501" s="475" t="s">
        <v>5453</v>
      </c>
      <c r="B2501" s="475" t="s">
        <v>5454</v>
      </c>
      <c r="C2501" s="475" t="s">
        <v>5455</v>
      </c>
      <c r="D2501" s="475" t="s">
        <v>5456</v>
      </c>
      <c r="E2501" s="476">
        <v>73798</v>
      </c>
      <c r="F2501" s="475" t="s">
        <v>5457</v>
      </c>
      <c r="G2501" s="364" t="s">
        <v>2118</v>
      </c>
      <c r="H2501" s="475" t="s">
        <v>2119</v>
      </c>
      <c r="I2501" s="475" t="s">
        <v>139</v>
      </c>
      <c r="J2501" s="475" t="s">
        <v>140</v>
      </c>
      <c r="K2501" s="365">
        <v>22.78</v>
      </c>
      <c r="L2501" s="475" t="s">
        <v>141</v>
      </c>
      <c r="M2501" s="473"/>
    </row>
    <row r="2502" spans="1:13" ht="13.5">
      <c r="A2502" s="475" t="s">
        <v>5453</v>
      </c>
      <c r="B2502" s="475" t="s">
        <v>5454</v>
      </c>
      <c r="C2502" s="475" t="s">
        <v>5455</v>
      </c>
      <c r="D2502" s="475" t="s">
        <v>5456</v>
      </c>
      <c r="E2502" s="476">
        <v>73798</v>
      </c>
      <c r="F2502" s="475" t="s">
        <v>5457</v>
      </c>
      <c r="G2502" s="364" t="s">
        <v>2120</v>
      </c>
      <c r="H2502" s="475" t="s">
        <v>2121</v>
      </c>
      <c r="I2502" s="475" t="s">
        <v>139</v>
      </c>
      <c r="J2502" s="475" t="s">
        <v>140</v>
      </c>
      <c r="K2502" s="365">
        <v>35.369999999999997</v>
      </c>
      <c r="L2502" s="475" t="s">
        <v>141</v>
      </c>
      <c r="M2502" s="473"/>
    </row>
    <row r="2503" spans="1:13" ht="13.5">
      <c r="A2503" s="475" t="s">
        <v>5453</v>
      </c>
      <c r="B2503" s="475" t="s">
        <v>5454</v>
      </c>
      <c r="C2503" s="475" t="s">
        <v>5455</v>
      </c>
      <c r="D2503" s="475" t="s">
        <v>5456</v>
      </c>
      <c r="E2503" s="476" t="s">
        <v>34</v>
      </c>
      <c r="F2503" s="475" t="s">
        <v>34</v>
      </c>
      <c r="G2503" s="364">
        <v>91831</v>
      </c>
      <c r="H2503" s="475" t="s">
        <v>2122</v>
      </c>
      <c r="I2503" s="475" t="s">
        <v>139</v>
      </c>
      <c r="J2503" s="475" t="s">
        <v>337</v>
      </c>
      <c r="K2503" s="365">
        <v>5.48</v>
      </c>
      <c r="L2503" s="475" t="s">
        <v>141</v>
      </c>
      <c r="M2503" s="473"/>
    </row>
    <row r="2504" spans="1:13" ht="13.5">
      <c r="A2504" s="475" t="s">
        <v>5453</v>
      </c>
      <c r="B2504" s="475" t="s">
        <v>5454</v>
      </c>
      <c r="C2504" s="475" t="s">
        <v>5455</v>
      </c>
      <c r="D2504" s="475" t="s">
        <v>5456</v>
      </c>
      <c r="E2504" s="476" t="s">
        <v>34</v>
      </c>
      <c r="F2504" s="475" t="s">
        <v>34</v>
      </c>
      <c r="G2504" s="364">
        <v>91833</v>
      </c>
      <c r="H2504" s="475" t="s">
        <v>15168</v>
      </c>
      <c r="I2504" s="475" t="s">
        <v>139</v>
      </c>
      <c r="J2504" s="475" t="s">
        <v>337</v>
      </c>
      <c r="K2504" s="365">
        <v>5.81</v>
      </c>
      <c r="L2504" s="475" t="s">
        <v>141</v>
      </c>
      <c r="M2504" s="473"/>
    </row>
    <row r="2505" spans="1:13" ht="13.5">
      <c r="A2505" s="475" t="s">
        <v>5453</v>
      </c>
      <c r="B2505" s="475" t="s">
        <v>5454</v>
      </c>
      <c r="C2505" s="475" t="s">
        <v>5455</v>
      </c>
      <c r="D2505" s="475" t="s">
        <v>5456</v>
      </c>
      <c r="E2505" s="476" t="s">
        <v>34</v>
      </c>
      <c r="F2505" s="475" t="s">
        <v>34</v>
      </c>
      <c r="G2505" s="364">
        <v>91834</v>
      </c>
      <c r="H2505" s="475" t="s">
        <v>2123</v>
      </c>
      <c r="I2505" s="475" t="s">
        <v>139</v>
      </c>
      <c r="J2505" s="475" t="s">
        <v>337</v>
      </c>
      <c r="K2505" s="365">
        <v>6.12</v>
      </c>
      <c r="L2505" s="475" t="s">
        <v>141</v>
      </c>
      <c r="M2505" s="473"/>
    </row>
    <row r="2506" spans="1:13" ht="13.5">
      <c r="A2506" s="475" t="s">
        <v>5453</v>
      </c>
      <c r="B2506" s="475" t="s">
        <v>5454</v>
      </c>
      <c r="C2506" s="475" t="s">
        <v>5455</v>
      </c>
      <c r="D2506" s="475" t="s">
        <v>5456</v>
      </c>
      <c r="E2506" s="476" t="s">
        <v>34</v>
      </c>
      <c r="F2506" s="475" t="s">
        <v>34</v>
      </c>
      <c r="G2506" s="364">
        <v>91835</v>
      </c>
      <c r="H2506" s="475" t="s">
        <v>15169</v>
      </c>
      <c r="I2506" s="475" t="s">
        <v>139</v>
      </c>
      <c r="J2506" s="475" t="s">
        <v>337</v>
      </c>
      <c r="K2506" s="365">
        <v>6.97</v>
      </c>
      <c r="L2506" s="475" t="s">
        <v>141</v>
      </c>
      <c r="M2506" s="473"/>
    </row>
    <row r="2507" spans="1:13" ht="13.5">
      <c r="A2507" s="475" t="s">
        <v>5453</v>
      </c>
      <c r="B2507" s="475" t="s">
        <v>5454</v>
      </c>
      <c r="C2507" s="475" t="s">
        <v>5455</v>
      </c>
      <c r="D2507" s="475" t="s">
        <v>5456</v>
      </c>
      <c r="E2507" s="476" t="s">
        <v>34</v>
      </c>
      <c r="F2507" s="475" t="s">
        <v>34</v>
      </c>
      <c r="G2507" s="364">
        <v>91836</v>
      </c>
      <c r="H2507" s="475" t="s">
        <v>2124</v>
      </c>
      <c r="I2507" s="475" t="s">
        <v>139</v>
      </c>
      <c r="J2507" s="475" t="s">
        <v>337</v>
      </c>
      <c r="K2507" s="365">
        <v>7.98</v>
      </c>
      <c r="L2507" s="475" t="s">
        <v>141</v>
      </c>
      <c r="M2507" s="473"/>
    </row>
    <row r="2508" spans="1:13" ht="13.5">
      <c r="A2508" s="475" t="s">
        <v>5453</v>
      </c>
      <c r="B2508" s="475" t="s">
        <v>5454</v>
      </c>
      <c r="C2508" s="475" t="s">
        <v>5455</v>
      </c>
      <c r="D2508" s="475" t="s">
        <v>5456</v>
      </c>
      <c r="E2508" s="476" t="s">
        <v>34</v>
      </c>
      <c r="F2508" s="475" t="s">
        <v>34</v>
      </c>
      <c r="G2508" s="364">
        <v>91837</v>
      </c>
      <c r="H2508" s="475" t="s">
        <v>15170</v>
      </c>
      <c r="I2508" s="475" t="s">
        <v>139</v>
      </c>
      <c r="J2508" s="475" t="s">
        <v>337</v>
      </c>
      <c r="K2508" s="365">
        <v>9.9499999999999993</v>
      </c>
      <c r="L2508" s="475" t="s">
        <v>141</v>
      </c>
      <c r="M2508" s="473"/>
    </row>
    <row r="2509" spans="1:13" ht="13.5">
      <c r="A2509" s="475" t="s">
        <v>5453</v>
      </c>
      <c r="B2509" s="475" t="s">
        <v>5454</v>
      </c>
      <c r="C2509" s="475" t="s">
        <v>5455</v>
      </c>
      <c r="D2509" s="475" t="s">
        <v>5456</v>
      </c>
      <c r="E2509" s="476" t="s">
        <v>34</v>
      </c>
      <c r="F2509" s="475" t="s">
        <v>34</v>
      </c>
      <c r="G2509" s="364">
        <v>91839</v>
      </c>
      <c r="H2509" s="475" t="s">
        <v>15171</v>
      </c>
      <c r="I2509" s="475" t="s">
        <v>139</v>
      </c>
      <c r="J2509" s="475" t="s">
        <v>140</v>
      </c>
      <c r="K2509" s="365">
        <v>7.58</v>
      </c>
      <c r="L2509" s="475" t="s">
        <v>141</v>
      </c>
      <c r="M2509" s="473"/>
    </row>
    <row r="2510" spans="1:13" ht="13.5">
      <c r="A2510" s="475" t="s">
        <v>5453</v>
      </c>
      <c r="B2510" s="475" t="s">
        <v>5454</v>
      </c>
      <c r="C2510" s="475" t="s">
        <v>5455</v>
      </c>
      <c r="D2510" s="475" t="s">
        <v>5456</v>
      </c>
      <c r="E2510" s="476" t="s">
        <v>34</v>
      </c>
      <c r="F2510" s="475" t="s">
        <v>34</v>
      </c>
      <c r="G2510" s="364">
        <v>91840</v>
      </c>
      <c r="H2510" s="475" t="s">
        <v>15172</v>
      </c>
      <c r="I2510" s="475" t="s">
        <v>139</v>
      </c>
      <c r="J2510" s="475" t="s">
        <v>140</v>
      </c>
      <c r="K2510" s="365">
        <v>9.6</v>
      </c>
      <c r="L2510" s="475" t="s">
        <v>141</v>
      </c>
      <c r="M2510" s="473"/>
    </row>
    <row r="2511" spans="1:13" ht="13.5">
      <c r="A2511" s="475" t="s">
        <v>5453</v>
      </c>
      <c r="B2511" s="475" t="s">
        <v>5454</v>
      </c>
      <c r="C2511" s="475" t="s">
        <v>5455</v>
      </c>
      <c r="D2511" s="475" t="s">
        <v>5456</v>
      </c>
      <c r="E2511" s="476" t="s">
        <v>34</v>
      </c>
      <c r="F2511" s="475" t="s">
        <v>34</v>
      </c>
      <c r="G2511" s="364">
        <v>91841</v>
      </c>
      <c r="H2511" s="475" t="s">
        <v>15173</v>
      </c>
      <c r="I2511" s="475" t="s">
        <v>139</v>
      </c>
      <c r="J2511" s="475" t="s">
        <v>140</v>
      </c>
      <c r="K2511" s="365">
        <v>9.0500000000000007</v>
      </c>
      <c r="L2511" s="475" t="s">
        <v>141</v>
      </c>
      <c r="M2511" s="473"/>
    </row>
    <row r="2512" spans="1:13" ht="13.5">
      <c r="A2512" s="475" t="s">
        <v>5453</v>
      </c>
      <c r="B2512" s="475" t="s">
        <v>5454</v>
      </c>
      <c r="C2512" s="475" t="s">
        <v>5455</v>
      </c>
      <c r="D2512" s="475" t="s">
        <v>5456</v>
      </c>
      <c r="E2512" s="476" t="s">
        <v>34</v>
      </c>
      <c r="F2512" s="475" t="s">
        <v>34</v>
      </c>
      <c r="G2512" s="364">
        <v>91842</v>
      </c>
      <c r="H2512" s="475" t="s">
        <v>2125</v>
      </c>
      <c r="I2512" s="475" t="s">
        <v>139</v>
      </c>
      <c r="J2512" s="475" t="s">
        <v>337</v>
      </c>
      <c r="K2512" s="365">
        <v>3.99</v>
      </c>
      <c r="L2512" s="475" t="s">
        <v>141</v>
      </c>
      <c r="M2512" s="473"/>
    </row>
    <row r="2513" spans="1:13" ht="13.5">
      <c r="A2513" s="475" t="s">
        <v>5453</v>
      </c>
      <c r="B2513" s="475" t="s">
        <v>5454</v>
      </c>
      <c r="C2513" s="475" t="s">
        <v>5455</v>
      </c>
      <c r="D2513" s="475" t="s">
        <v>5456</v>
      </c>
      <c r="E2513" s="476" t="s">
        <v>34</v>
      </c>
      <c r="F2513" s="475" t="s">
        <v>34</v>
      </c>
      <c r="G2513" s="364">
        <v>91843</v>
      </c>
      <c r="H2513" s="475" t="s">
        <v>15174</v>
      </c>
      <c r="I2513" s="475" t="s">
        <v>139</v>
      </c>
      <c r="J2513" s="475" t="s">
        <v>337</v>
      </c>
      <c r="K2513" s="365">
        <v>4.32</v>
      </c>
      <c r="L2513" s="475" t="s">
        <v>141</v>
      </c>
      <c r="M2513" s="473"/>
    </row>
    <row r="2514" spans="1:13" ht="13.5">
      <c r="A2514" s="475" t="s">
        <v>5453</v>
      </c>
      <c r="B2514" s="475" t="s">
        <v>5454</v>
      </c>
      <c r="C2514" s="475" t="s">
        <v>5455</v>
      </c>
      <c r="D2514" s="475" t="s">
        <v>5456</v>
      </c>
      <c r="E2514" s="476" t="s">
        <v>34</v>
      </c>
      <c r="F2514" s="475" t="s">
        <v>34</v>
      </c>
      <c r="G2514" s="364">
        <v>91844</v>
      </c>
      <c r="H2514" s="475" t="s">
        <v>2126</v>
      </c>
      <c r="I2514" s="475" t="s">
        <v>139</v>
      </c>
      <c r="J2514" s="475" t="s">
        <v>337</v>
      </c>
      <c r="K2514" s="365">
        <v>4.6399999999999997</v>
      </c>
      <c r="L2514" s="475" t="s">
        <v>141</v>
      </c>
      <c r="M2514" s="473"/>
    </row>
    <row r="2515" spans="1:13" ht="13.5">
      <c r="A2515" s="475" t="s">
        <v>5453</v>
      </c>
      <c r="B2515" s="475" t="s">
        <v>5454</v>
      </c>
      <c r="C2515" s="475" t="s">
        <v>5455</v>
      </c>
      <c r="D2515" s="475" t="s">
        <v>5456</v>
      </c>
      <c r="E2515" s="476" t="s">
        <v>34</v>
      </c>
      <c r="F2515" s="475" t="s">
        <v>34</v>
      </c>
      <c r="G2515" s="364">
        <v>91845</v>
      </c>
      <c r="H2515" s="475" t="s">
        <v>15175</v>
      </c>
      <c r="I2515" s="475" t="s">
        <v>139</v>
      </c>
      <c r="J2515" s="475" t="s">
        <v>337</v>
      </c>
      <c r="K2515" s="365">
        <v>5.49</v>
      </c>
      <c r="L2515" s="475" t="s">
        <v>141</v>
      </c>
      <c r="M2515" s="473"/>
    </row>
    <row r="2516" spans="1:13" ht="13.5">
      <c r="A2516" s="475" t="s">
        <v>5453</v>
      </c>
      <c r="B2516" s="475" t="s">
        <v>5454</v>
      </c>
      <c r="C2516" s="475" t="s">
        <v>5455</v>
      </c>
      <c r="D2516" s="475" t="s">
        <v>5456</v>
      </c>
      <c r="E2516" s="476" t="s">
        <v>34</v>
      </c>
      <c r="F2516" s="475" t="s">
        <v>34</v>
      </c>
      <c r="G2516" s="364">
        <v>91846</v>
      </c>
      <c r="H2516" s="475" t="s">
        <v>2127</v>
      </c>
      <c r="I2516" s="475" t="s">
        <v>139</v>
      </c>
      <c r="J2516" s="475" t="s">
        <v>337</v>
      </c>
      <c r="K2516" s="365">
        <v>6.5</v>
      </c>
      <c r="L2516" s="475" t="s">
        <v>141</v>
      </c>
      <c r="M2516" s="473"/>
    </row>
    <row r="2517" spans="1:13" ht="13.5">
      <c r="A2517" s="475" t="s">
        <v>5453</v>
      </c>
      <c r="B2517" s="475" t="s">
        <v>5454</v>
      </c>
      <c r="C2517" s="475" t="s">
        <v>5455</v>
      </c>
      <c r="D2517" s="475" t="s">
        <v>5456</v>
      </c>
      <c r="E2517" s="476" t="s">
        <v>34</v>
      </c>
      <c r="F2517" s="475" t="s">
        <v>34</v>
      </c>
      <c r="G2517" s="364">
        <v>91847</v>
      </c>
      <c r="H2517" s="475" t="s">
        <v>15176</v>
      </c>
      <c r="I2517" s="475" t="s">
        <v>139</v>
      </c>
      <c r="J2517" s="475" t="s">
        <v>337</v>
      </c>
      <c r="K2517" s="365">
        <v>8.4700000000000006</v>
      </c>
      <c r="L2517" s="475" t="s">
        <v>141</v>
      </c>
      <c r="M2517" s="473"/>
    </row>
    <row r="2518" spans="1:13" ht="13.5">
      <c r="A2518" s="475" t="s">
        <v>5453</v>
      </c>
      <c r="B2518" s="475" t="s">
        <v>5454</v>
      </c>
      <c r="C2518" s="475" t="s">
        <v>5455</v>
      </c>
      <c r="D2518" s="475" t="s">
        <v>5456</v>
      </c>
      <c r="E2518" s="476" t="s">
        <v>34</v>
      </c>
      <c r="F2518" s="475" t="s">
        <v>34</v>
      </c>
      <c r="G2518" s="364">
        <v>91849</v>
      </c>
      <c r="H2518" s="475" t="s">
        <v>15177</v>
      </c>
      <c r="I2518" s="475" t="s">
        <v>139</v>
      </c>
      <c r="J2518" s="475" t="s">
        <v>140</v>
      </c>
      <c r="K2518" s="365">
        <v>6.1</v>
      </c>
      <c r="L2518" s="475" t="s">
        <v>141</v>
      </c>
      <c r="M2518" s="473"/>
    </row>
    <row r="2519" spans="1:13" ht="13.5">
      <c r="A2519" s="475" t="s">
        <v>5453</v>
      </c>
      <c r="B2519" s="475" t="s">
        <v>5454</v>
      </c>
      <c r="C2519" s="475" t="s">
        <v>5455</v>
      </c>
      <c r="D2519" s="475" t="s">
        <v>5456</v>
      </c>
      <c r="E2519" s="476" t="s">
        <v>34</v>
      </c>
      <c r="F2519" s="475" t="s">
        <v>34</v>
      </c>
      <c r="G2519" s="364">
        <v>91850</v>
      </c>
      <c r="H2519" s="475" t="s">
        <v>15178</v>
      </c>
      <c r="I2519" s="475" t="s">
        <v>139</v>
      </c>
      <c r="J2519" s="475" t="s">
        <v>140</v>
      </c>
      <c r="K2519" s="365">
        <v>8.15</v>
      </c>
      <c r="L2519" s="475" t="s">
        <v>141</v>
      </c>
      <c r="M2519" s="473"/>
    </row>
    <row r="2520" spans="1:13" ht="13.5">
      <c r="A2520" s="475" t="s">
        <v>5453</v>
      </c>
      <c r="B2520" s="475" t="s">
        <v>5454</v>
      </c>
      <c r="C2520" s="475" t="s">
        <v>5455</v>
      </c>
      <c r="D2520" s="475" t="s">
        <v>5456</v>
      </c>
      <c r="E2520" s="476" t="s">
        <v>34</v>
      </c>
      <c r="F2520" s="475" t="s">
        <v>34</v>
      </c>
      <c r="G2520" s="364">
        <v>91851</v>
      </c>
      <c r="H2520" s="475" t="s">
        <v>15179</v>
      </c>
      <c r="I2520" s="475" t="s">
        <v>139</v>
      </c>
      <c r="J2520" s="475" t="s">
        <v>140</v>
      </c>
      <c r="K2520" s="365">
        <v>7.6</v>
      </c>
      <c r="L2520" s="475" t="s">
        <v>141</v>
      </c>
      <c r="M2520" s="473"/>
    </row>
    <row r="2521" spans="1:13" ht="13.5">
      <c r="A2521" s="475" t="s">
        <v>5453</v>
      </c>
      <c r="B2521" s="475" t="s">
        <v>5454</v>
      </c>
      <c r="C2521" s="475" t="s">
        <v>5455</v>
      </c>
      <c r="D2521" s="475" t="s">
        <v>5456</v>
      </c>
      <c r="E2521" s="476" t="s">
        <v>34</v>
      </c>
      <c r="F2521" s="475" t="s">
        <v>34</v>
      </c>
      <c r="G2521" s="364">
        <v>91852</v>
      </c>
      <c r="H2521" s="475" t="s">
        <v>2128</v>
      </c>
      <c r="I2521" s="475" t="s">
        <v>139</v>
      </c>
      <c r="J2521" s="475" t="s">
        <v>337</v>
      </c>
      <c r="K2521" s="365">
        <v>5.85</v>
      </c>
      <c r="L2521" s="475" t="s">
        <v>141</v>
      </c>
      <c r="M2521" s="473"/>
    </row>
    <row r="2522" spans="1:13" ht="13.5">
      <c r="A2522" s="475" t="s">
        <v>5453</v>
      </c>
      <c r="B2522" s="475" t="s">
        <v>5454</v>
      </c>
      <c r="C2522" s="475" t="s">
        <v>5455</v>
      </c>
      <c r="D2522" s="475" t="s">
        <v>5456</v>
      </c>
      <c r="E2522" s="476" t="s">
        <v>34</v>
      </c>
      <c r="F2522" s="475" t="s">
        <v>34</v>
      </c>
      <c r="G2522" s="364">
        <v>91853</v>
      </c>
      <c r="H2522" s="475" t="s">
        <v>15180</v>
      </c>
      <c r="I2522" s="475" t="s">
        <v>139</v>
      </c>
      <c r="J2522" s="475" t="s">
        <v>337</v>
      </c>
      <c r="K2522" s="365">
        <v>6.15</v>
      </c>
      <c r="L2522" s="475" t="s">
        <v>141</v>
      </c>
      <c r="M2522" s="473"/>
    </row>
    <row r="2523" spans="1:13" ht="13.5">
      <c r="A2523" s="475" t="s">
        <v>5453</v>
      </c>
      <c r="B2523" s="475" t="s">
        <v>5454</v>
      </c>
      <c r="C2523" s="475" t="s">
        <v>5455</v>
      </c>
      <c r="D2523" s="475" t="s">
        <v>5456</v>
      </c>
      <c r="E2523" s="476" t="s">
        <v>34</v>
      </c>
      <c r="F2523" s="475" t="s">
        <v>34</v>
      </c>
      <c r="G2523" s="364">
        <v>91854</v>
      </c>
      <c r="H2523" s="475" t="s">
        <v>2129</v>
      </c>
      <c r="I2523" s="475" t="s">
        <v>139</v>
      </c>
      <c r="J2523" s="475" t="s">
        <v>337</v>
      </c>
      <c r="K2523" s="365">
        <v>6.48</v>
      </c>
      <c r="L2523" s="475" t="s">
        <v>141</v>
      </c>
      <c r="M2523" s="473"/>
    </row>
    <row r="2524" spans="1:13" ht="13.5">
      <c r="A2524" s="475" t="s">
        <v>5453</v>
      </c>
      <c r="B2524" s="475" t="s">
        <v>5454</v>
      </c>
      <c r="C2524" s="475" t="s">
        <v>5455</v>
      </c>
      <c r="D2524" s="475" t="s">
        <v>5456</v>
      </c>
      <c r="E2524" s="476" t="s">
        <v>34</v>
      </c>
      <c r="F2524" s="475" t="s">
        <v>34</v>
      </c>
      <c r="G2524" s="364">
        <v>91855</v>
      </c>
      <c r="H2524" s="475" t="s">
        <v>15181</v>
      </c>
      <c r="I2524" s="475" t="s">
        <v>139</v>
      </c>
      <c r="J2524" s="475" t="s">
        <v>337</v>
      </c>
      <c r="K2524" s="365">
        <v>7.26</v>
      </c>
      <c r="L2524" s="475" t="s">
        <v>141</v>
      </c>
      <c r="M2524" s="473"/>
    </row>
    <row r="2525" spans="1:13" ht="13.5">
      <c r="A2525" s="475" t="s">
        <v>5453</v>
      </c>
      <c r="B2525" s="475" t="s">
        <v>5454</v>
      </c>
      <c r="C2525" s="475" t="s">
        <v>5455</v>
      </c>
      <c r="D2525" s="475" t="s">
        <v>5456</v>
      </c>
      <c r="E2525" s="476" t="s">
        <v>34</v>
      </c>
      <c r="F2525" s="475" t="s">
        <v>34</v>
      </c>
      <c r="G2525" s="364">
        <v>91856</v>
      </c>
      <c r="H2525" s="475" t="s">
        <v>2130</v>
      </c>
      <c r="I2525" s="475" t="s">
        <v>139</v>
      </c>
      <c r="J2525" s="475" t="s">
        <v>337</v>
      </c>
      <c r="K2525" s="365">
        <v>8.25</v>
      </c>
      <c r="L2525" s="475" t="s">
        <v>141</v>
      </c>
      <c r="M2525" s="473"/>
    </row>
    <row r="2526" spans="1:13" ht="13.5">
      <c r="A2526" s="475" t="s">
        <v>5453</v>
      </c>
      <c r="B2526" s="475" t="s">
        <v>5454</v>
      </c>
      <c r="C2526" s="475" t="s">
        <v>5455</v>
      </c>
      <c r="D2526" s="475" t="s">
        <v>5456</v>
      </c>
      <c r="E2526" s="476" t="s">
        <v>34</v>
      </c>
      <c r="F2526" s="475" t="s">
        <v>34</v>
      </c>
      <c r="G2526" s="364">
        <v>91857</v>
      </c>
      <c r="H2526" s="475" t="s">
        <v>15182</v>
      </c>
      <c r="I2526" s="475" t="s">
        <v>139</v>
      </c>
      <c r="J2526" s="475" t="s">
        <v>337</v>
      </c>
      <c r="K2526" s="365">
        <v>10.07</v>
      </c>
      <c r="L2526" s="475" t="s">
        <v>141</v>
      </c>
      <c r="M2526" s="473"/>
    </row>
    <row r="2527" spans="1:13" ht="13.5">
      <c r="A2527" s="475" t="s">
        <v>5453</v>
      </c>
      <c r="B2527" s="475" t="s">
        <v>5454</v>
      </c>
      <c r="C2527" s="475" t="s">
        <v>5455</v>
      </c>
      <c r="D2527" s="475" t="s">
        <v>5456</v>
      </c>
      <c r="E2527" s="476" t="s">
        <v>34</v>
      </c>
      <c r="F2527" s="475" t="s">
        <v>34</v>
      </c>
      <c r="G2527" s="364">
        <v>91859</v>
      </c>
      <c r="H2527" s="475" t="s">
        <v>15183</v>
      </c>
      <c r="I2527" s="475" t="s">
        <v>139</v>
      </c>
      <c r="J2527" s="475" t="s">
        <v>140</v>
      </c>
      <c r="K2527" s="365">
        <v>7.88</v>
      </c>
      <c r="L2527" s="475" t="s">
        <v>141</v>
      </c>
      <c r="M2527" s="473"/>
    </row>
    <row r="2528" spans="1:13" ht="13.5">
      <c r="A2528" s="475" t="s">
        <v>5453</v>
      </c>
      <c r="B2528" s="475" t="s">
        <v>5454</v>
      </c>
      <c r="C2528" s="475" t="s">
        <v>5455</v>
      </c>
      <c r="D2528" s="475" t="s">
        <v>5456</v>
      </c>
      <c r="E2528" s="476" t="s">
        <v>34</v>
      </c>
      <c r="F2528" s="475" t="s">
        <v>34</v>
      </c>
      <c r="G2528" s="364">
        <v>91860</v>
      </c>
      <c r="H2528" s="475" t="s">
        <v>15184</v>
      </c>
      <c r="I2528" s="475" t="s">
        <v>139</v>
      </c>
      <c r="J2528" s="475" t="s">
        <v>140</v>
      </c>
      <c r="K2528" s="365">
        <v>9.85</v>
      </c>
      <c r="L2528" s="475" t="s">
        <v>141</v>
      </c>
      <c r="M2528" s="473"/>
    </row>
    <row r="2529" spans="1:13" ht="13.5">
      <c r="A2529" s="475" t="s">
        <v>5453</v>
      </c>
      <c r="B2529" s="475" t="s">
        <v>5454</v>
      </c>
      <c r="C2529" s="475" t="s">
        <v>5455</v>
      </c>
      <c r="D2529" s="475" t="s">
        <v>5456</v>
      </c>
      <c r="E2529" s="476" t="s">
        <v>34</v>
      </c>
      <c r="F2529" s="475" t="s">
        <v>34</v>
      </c>
      <c r="G2529" s="364">
        <v>91861</v>
      </c>
      <c r="H2529" s="475" t="s">
        <v>15185</v>
      </c>
      <c r="I2529" s="475" t="s">
        <v>139</v>
      </c>
      <c r="J2529" s="475" t="s">
        <v>140</v>
      </c>
      <c r="K2529" s="365">
        <v>9.34</v>
      </c>
      <c r="L2529" s="475" t="s">
        <v>141</v>
      </c>
      <c r="M2529" s="473"/>
    </row>
    <row r="2530" spans="1:13" ht="13.5">
      <c r="A2530" s="475" t="s">
        <v>5453</v>
      </c>
      <c r="B2530" s="475" t="s">
        <v>5454</v>
      </c>
      <c r="C2530" s="475" t="s">
        <v>5455</v>
      </c>
      <c r="D2530" s="475" t="s">
        <v>5456</v>
      </c>
      <c r="E2530" s="476" t="s">
        <v>34</v>
      </c>
      <c r="F2530" s="475" t="s">
        <v>34</v>
      </c>
      <c r="G2530" s="364">
        <v>91862</v>
      </c>
      <c r="H2530" s="475" t="s">
        <v>2131</v>
      </c>
      <c r="I2530" s="475" t="s">
        <v>139</v>
      </c>
      <c r="J2530" s="475" t="s">
        <v>337</v>
      </c>
      <c r="K2530" s="365">
        <v>6.61</v>
      </c>
      <c r="L2530" s="475" t="s">
        <v>141</v>
      </c>
      <c r="M2530" s="473"/>
    </row>
    <row r="2531" spans="1:13" ht="13.5">
      <c r="A2531" s="475" t="s">
        <v>5453</v>
      </c>
      <c r="B2531" s="475" t="s">
        <v>5454</v>
      </c>
      <c r="C2531" s="475" t="s">
        <v>5455</v>
      </c>
      <c r="D2531" s="475" t="s">
        <v>5456</v>
      </c>
      <c r="E2531" s="476" t="s">
        <v>34</v>
      </c>
      <c r="F2531" s="475" t="s">
        <v>34</v>
      </c>
      <c r="G2531" s="364">
        <v>91863</v>
      </c>
      <c r="H2531" s="475" t="s">
        <v>2132</v>
      </c>
      <c r="I2531" s="475" t="s">
        <v>139</v>
      </c>
      <c r="J2531" s="475" t="s">
        <v>337</v>
      </c>
      <c r="K2531" s="365">
        <v>7.76</v>
      </c>
      <c r="L2531" s="475" t="s">
        <v>141</v>
      </c>
      <c r="M2531" s="473"/>
    </row>
    <row r="2532" spans="1:13" ht="13.5">
      <c r="A2532" s="475" t="s">
        <v>5453</v>
      </c>
      <c r="B2532" s="475" t="s">
        <v>5454</v>
      </c>
      <c r="C2532" s="475" t="s">
        <v>5455</v>
      </c>
      <c r="D2532" s="475" t="s">
        <v>5456</v>
      </c>
      <c r="E2532" s="476" t="s">
        <v>34</v>
      </c>
      <c r="F2532" s="475" t="s">
        <v>34</v>
      </c>
      <c r="G2532" s="364">
        <v>91864</v>
      </c>
      <c r="H2532" s="475" t="s">
        <v>2133</v>
      </c>
      <c r="I2532" s="475" t="s">
        <v>139</v>
      </c>
      <c r="J2532" s="475" t="s">
        <v>337</v>
      </c>
      <c r="K2532" s="365">
        <v>10.199999999999999</v>
      </c>
      <c r="L2532" s="475" t="s">
        <v>141</v>
      </c>
      <c r="M2532" s="473"/>
    </row>
    <row r="2533" spans="1:13" ht="13.5">
      <c r="A2533" s="475" t="s">
        <v>5453</v>
      </c>
      <c r="B2533" s="475" t="s">
        <v>5454</v>
      </c>
      <c r="C2533" s="475" t="s">
        <v>5455</v>
      </c>
      <c r="D2533" s="475" t="s">
        <v>5456</v>
      </c>
      <c r="E2533" s="476" t="s">
        <v>34</v>
      </c>
      <c r="F2533" s="475" t="s">
        <v>34</v>
      </c>
      <c r="G2533" s="364">
        <v>91865</v>
      </c>
      <c r="H2533" s="475" t="s">
        <v>2134</v>
      </c>
      <c r="I2533" s="475" t="s">
        <v>139</v>
      </c>
      <c r="J2533" s="475" t="s">
        <v>337</v>
      </c>
      <c r="K2533" s="365">
        <v>12.64</v>
      </c>
      <c r="L2533" s="475" t="s">
        <v>141</v>
      </c>
      <c r="M2533" s="473"/>
    </row>
    <row r="2534" spans="1:13" ht="13.5">
      <c r="A2534" s="475" t="s">
        <v>5453</v>
      </c>
      <c r="B2534" s="475" t="s">
        <v>5454</v>
      </c>
      <c r="C2534" s="475" t="s">
        <v>5455</v>
      </c>
      <c r="D2534" s="475" t="s">
        <v>5456</v>
      </c>
      <c r="E2534" s="476" t="s">
        <v>34</v>
      </c>
      <c r="F2534" s="475" t="s">
        <v>34</v>
      </c>
      <c r="G2534" s="364">
        <v>91866</v>
      </c>
      <c r="H2534" s="475" t="s">
        <v>2135</v>
      </c>
      <c r="I2534" s="475" t="s">
        <v>139</v>
      </c>
      <c r="J2534" s="475" t="s">
        <v>337</v>
      </c>
      <c r="K2534" s="365">
        <v>5.23</v>
      </c>
      <c r="L2534" s="475" t="s">
        <v>141</v>
      </c>
      <c r="M2534" s="473"/>
    </row>
    <row r="2535" spans="1:13" ht="13.5">
      <c r="A2535" s="475" t="s">
        <v>5453</v>
      </c>
      <c r="B2535" s="475" t="s">
        <v>5454</v>
      </c>
      <c r="C2535" s="475" t="s">
        <v>5455</v>
      </c>
      <c r="D2535" s="475" t="s">
        <v>5456</v>
      </c>
      <c r="E2535" s="476" t="s">
        <v>34</v>
      </c>
      <c r="F2535" s="475" t="s">
        <v>34</v>
      </c>
      <c r="G2535" s="364">
        <v>91867</v>
      </c>
      <c r="H2535" s="475" t="s">
        <v>2136</v>
      </c>
      <c r="I2535" s="475" t="s">
        <v>139</v>
      </c>
      <c r="J2535" s="475" t="s">
        <v>337</v>
      </c>
      <c r="K2535" s="365">
        <v>6.39</v>
      </c>
      <c r="L2535" s="475" t="s">
        <v>141</v>
      </c>
      <c r="M2535" s="473"/>
    </row>
    <row r="2536" spans="1:13" ht="13.5">
      <c r="A2536" s="475" t="s">
        <v>5453</v>
      </c>
      <c r="B2536" s="475" t="s">
        <v>5454</v>
      </c>
      <c r="C2536" s="475" t="s">
        <v>5455</v>
      </c>
      <c r="D2536" s="475" t="s">
        <v>5456</v>
      </c>
      <c r="E2536" s="476" t="s">
        <v>34</v>
      </c>
      <c r="F2536" s="475" t="s">
        <v>34</v>
      </c>
      <c r="G2536" s="364">
        <v>91868</v>
      </c>
      <c r="H2536" s="475" t="s">
        <v>2137</v>
      </c>
      <c r="I2536" s="475" t="s">
        <v>139</v>
      </c>
      <c r="J2536" s="475" t="s">
        <v>337</v>
      </c>
      <c r="K2536" s="365">
        <v>8.83</v>
      </c>
      <c r="L2536" s="475" t="s">
        <v>141</v>
      </c>
      <c r="M2536" s="473"/>
    </row>
    <row r="2537" spans="1:13" ht="13.5">
      <c r="A2537" s="475" t="s">
        <v>5453</v>
      </c>
      <c r="B2537" s="475" t="s">
        <v>5454</v>
      </c>
      <c r="C2537" s="475" t="s">
        <v>5455</v>
      </c>
      <c r="D2537" s="475" t="s">
        <v>5456</v>
      </c>
      <c r="E2537" s="476" t="s">
        <v>34</v>
      </c>
      <c r="F2537" s="475" t="s">
        <v>34</v>
      </c>
      <c r="G2537" s="364">
        <v>91869</v>
      </c>
      <c r="H2537" s="475" t="s">
        <v>2138</v>
      </c>
      <c r="I2537" s="475" t="s">
        <v>139</v>
      </c>
      <c r="J2537" s="475" t="s">
        <v>337</v>
      </c>
      <c r="K2537" s="365">
        <v>11.26</v>
      </c>
      <c r="L2537" s="475" t="s">
        <v>141</v>
      </c>
      <c r="M2537" s="473"/>
    </row>
    <row r="2538" spans="1:13" ht="13.5">
      <c r="A2538" s="475" t="s">
        <v>5453</v>
      </c>
      <c r="B2538" s="475" t="s">
        <v>5454</v>
      </c>
      <c r="C2538" s="475" t="s">
        <v>5455</v>
      </c>
      <c r="D2538" s="475" t="s">
        <v>5456</v>
      </c>
      <c r="E2538" s="476" t="s">
        <v>34</v>
      </c>
      <c r="F2538" s="475" t="s">
        <v>34</v>
      </c>
      <c r="G2538" s="364">
        <v>91870</v>
      </c>
      <c r="H2538" s="475" t="s">
        <v>2139</v>
      </c>
      <c r="I2538" s="475" t="s">
        <v>139</v>
      </c>
      <c r="J2538" s="475" t="s">
        <v>337</v>
      </c>
      <c r="K2538" s="365">
        <v>7.56</v>
      </c>
      <c r="L2538" s="475" t="s">
        <v>141</v>
      </c>
      <c r="M2538" s="473"/>
    </row>
    <row r="2539" spans="1:13" ht="13.5">
      <c r="A2539" s="475" t="s">
        <v>5453</v>
      </c>
      <c r="B2539" s="475" t="s">
        <v>5454</v>
      </c>
      <c r="C2539" s="475" t="s">
        <v>5455</v>
      </c>
      <c r="D2539" s="475" t="s">
        <v>5456</v>
      </c>
      <c r="E2539" s="476" t="s">
        <v>34</v>
      </c>
      <c r="F2539" s="475" t="s">
        <v>34</v>
      </c>
      <c r="G2539" s="364">
        <v>91871</v>
      </c>
      <c r="H2539" s="475" t="s">
        <v>2140</v>
      </c>
      <c r="I2539" s="475" t="s">
        <v>139</v>
      </c>
      <c r="J2539" s="475" t="s">
        <v>337</v>
      </c>
      <c r="K2539" s="365">
        <v>8.74</v>
      </c>
      <c r="L2539" s="475" t="s">
        <v>141</v>
      </c>
      <c r="M2539" s="473"/>
    </row>
    <row r="2540" spans="1:13" ht="13.5">
      <c r="A2540" s="475" t="s">
        <v>5453</v>
      </c>
      <c r="B2540" s="475" t="s">
        <v>5454</v>
      </c>
      <c r="C2540" s="475" t="s">
        <v>5455</v>
      </c>
      <c r="D2540" s="475" t="s">
        <v>5456</v>
      </c>
      <c r="E2540" s="476" t="s">
        <v>34</v>
      </c>
      <c r="F2540" s="475" t="s">
        <v>34</v>
      </c>
      <c r="G2540" s="364">
        <v>91872</v>
      </c>
      <c r="H2540" s="475" t="s">
        <v>2141</v>
      </c>
      <c r="I2540" s="475" t="s">
        <v>139</v>
      </c>
      <c r="J2540" s="475" t="s">
        <v>337</v>
      </c>
      <c r="K2540" s="365">
        <v>11.17</v>
      </c>
      <c r="L2540" s="475" t="s">
        <v>141</v>
      </c>
      <c r="M2540" s="473"/>
    </row>
    <row r="2541" spans="1:13" ht="13.5">
      <c r="A2541" s="475" t="s">
        <v>5453</v>
      </c>
      <c r="B2541" s="475" t="s">
        <v>5454</v>
      </c>
      <c r="C2541" s="475" t="s">
        <v>5455</v>
      </c>
      <c r="D2541" s="475" t="s">
        <v>5456</v>
      </c>
      <c r="E2541" s="476" t="s">
        <v>34</v>
      </c>
      <c r="F2541" s="475" t="s">
        <v>34</v>
      </c>
      <c r="G2541" s="364">
        <v>91873</v>
      </c>
      <c r="H2541" s="475" t="s">
        <v>2142</v>
      </c>
      <c r="I2541" s="475" t="s">
        <v>139</v>
      </c>
      <c r="J2541" s="475" t="s">
        <v>337</v>
      </c>
      <c r="K2541" s="365">
        <v>13.58</v>
      </c>
      <c r="L2541" s="475" t="s">
        <v>141</v>
      </c>
      <c r="M2541" s="473"/>
    </row>
    <row r="2542" spans="1:13" ht="13.5">
      <c r="A2542" s="475" t="s">
        <v>5453</v>
      </c>
      <c r="B2542" s="475" t="s">
        <v>5454</v>
      </c>
      <c r="C2542" s="475" t="s">
        <v>5455</v>
      </c>
      <c r="D2542" s="475" t="s">
        <v>5456</v>
      </c>
      <c r="E2542" s="476" t="s">
        <v>34</v>
      </c>
      <c r="F2542" s="475" t="s">
        <v>34</v>
      </c>
      <c r="G2542" s="364">
        <v>93008</v>
      </c>
      <c r="H2542" s="475" t="s">
        <v>2143</v>
      </c>
      <c r="I2542" s="475" t="s">
        <v>139</v>
      </c>
      <c r="J2542" s="475" t="s">
        <v>337</v>
      </c>
      <c r="K2542" s="365">
        <v>10.9</v>
      </c>
      <c r="L2542" s="475" t="s">
        <v>141</v>
      </c>
      <c r="M2542" s="473"/>
    </row>
    <row r="2543" spans="1:13" ht="13.5">
      <c r="A2543" s="475" t="s">
        <v>5453</v>
      </c>
      <c r="B2543" s="475" t="s">
        <v>5454</v>
      </c>
      <c r="C2543" s="475" t="s">
        <v>5455</v>
      </c>
      <c r="D2543" s="475" t="s">
        <v>5456</v>
      </c>
      <c r="E2543" s="476" t="s">
        <v>34</v>
      </c>
      <c r="F2543" s="475" t="s">
        <v>34</v>
      </c>
      <c r="G2543" s="364">
        <v>93009</v>
      </c>
      <c r="H2543" s="475" t="s">
        <v>2144</v>
      </c>
      <c r="I2543" s="475" t="s">
        <v>139</v>
      </c>
      <c r="J2543" s="475" t="s">
        <v>337</v>
      </c>
      <c r="K2543" s="365">
        <v>15.94</v>
      </c>
      <c r="L2543" s="475" t="s">
        <v>141</v>
      </c>
      <c r="M2543" s="473"/>
    </row>
    <row r="2544" spans="1:13" ht="13.5">
      <c r="A2544" s="475" t="s">
        <v>5453</v>
      </c>
      <c r="B2544" s="475" t="s">
        <v>5454</v>
      </c>
      <c r="C2544" s="475" t="s">
        <v>5455</v>
      </c>
      <c r="D2544" s="475" t="s">
        <v>5456</v>
      </c>
      <c r="E2544" s="476" t="s">
        <v>34</v>
      </c>
      <c r="F2544" s="475" t="s">
        <v>34</v>
      </c>
      <c r="G2544" s="364">
        <v>93010</v>
      </c>
      <c r="H2544" s="475" t="s">
        <v>2145</v>
      </c>
      <c r="I2544" s="475" t="s">
        <v>139</v>
      </c>
      <c r="J2544" s="475" t="s">
        <v>337</v>
      </c>
      <c r="K2544" s="365">
        <v>22.07</v>
      </c>
      <c r="L2544" s="475" t="s">
        <v>141</v>
      </c>
      <c r="M2544" s="473"/>
    </row>
    <row r="2545" spans="1:13" ht="13.5">
      <c r="A2545" s="475" t="s">
        <v>5453</v>
      </c>
      <c r="B2545" s="475" t="s">
        <v>5454</v>
      </c>
      <c r="C2545" s="475" t="s">
        <v>5455</v>
      </c>
      <c r="D2545" s="475" t="s">
        <v>5456</v>
      </c>
      <c r="E2545" s="476" t="s">
        <v>34</v>
      </c>
      <c r="F2545" s="475" t="s">
        <v>34</v>
      </c>
      <c r="G2545" s="364">
        <v>93011</v>
      </c>
      <c r="H2545" s="475" t="s">
        <v>2146</v>
      </c>
      <c r="I2545" s="475" t="s">
        <v>139</v>
      </c>
      <c r="J2545" s="475" t="s">
        <v>337</v>
      </c>
      <c r="K2545" s="365">
        <v>26.92</v>
      </c>
      <c r="L2545" s="475" t="s">
        <v>141</v>
      </c>
      <c r="M2545" s="473"/>
    </row>
    <row r="2546" spans="1:13" ht="13.5">
      <c r="A2546" s="475" t="s">
        <v>5453</v>
      </c>
      <c r="B2546" s="475" t="s">
        <v>5454</v>
      </c>
      <c r="C2546" s="475" t="s">
        <v>5455</v>
      </c>
      <c r="D2546" s="475" t="s">
        <v>5456</v>
      </c>
      <c r="E2546" s="476" t="s">
        <v>34</v>
      </c>
      <c r="F2546" s="475" t="s">
        <v>34</v>
      </c>
      <c r="G2546" s="364">
        <v>93012</v>
      </c>
      <c r="H2546" s="475" t="s">
        <v>2147</v>
      </c>
      <c r="I2546" s="475" t="s">
        <v>139</v>
      </c>
      <c r="J2546" s="475" t="s">
        <v>337</v>
      </c>
      <c r="K2546" s="365">
        <v>40.450000000000003</v>
      </c>
      <c r="L2546" s="475" t="s">
        <v>141</v>
      </c>
      <c r="M2546" s="473"/>
    </row>
    <row r="2547" spans="1:13" ht="13.5">
      <c r="A2547" s="475" t="s">
        <v>5453</v>
      </c>
      <c r="B2547" s="475" t="s">
        <v>5454</v>
      </c>
      <c r="C2547" s="475" t="s">
        <v>5455</v>
      </c>
      <c r="D2547" s="475" t="s">
        <v>5456</v>
      </c>
      <c r="E2547" s="476" t="s">
        <v>34</v>
      </c>
      <c r="F2547" s="475" t="s">
        <v>34</v>
      </c>
      <c r="G2547" s="364">
        <v>95726</v>
      </c>
      <c r="H2547" s="475" t="s">
        <v>2148</v>
      </c>
      <c r="I2547" s="475" t="s">
        <v>139</v>
      </c>
      <c r="J2547" s="475" t="s">
        <v>337</v>
      </c>
      <c r="K2547" s="365">
        <v>4.5199999999999996</v>
      </c>
      <c r="L2547" s="475" t="s">
        <v>141</v>
      </c>
      <c r="M2547" s="473"/>
    </row>
    <row r="2548" spans="1:13" ht="13.5">
      <c r="A2548" s="475" t="s">
        <v>5453</v>
      </c>
      <c r="B2548" s="475" t="s">
        <v>5454</v>
      </c>
      <c r="C2548" s="475" t="s">
        <v>5455</v>
      </c>
      <c r="D2548" s="475" t="s">
        <v>5456</v>
      </c>
      <c r="E2548" s="476" t="s">
        <v>34</v>
      </c>
      <c r="F2548" s="475" t="s">
        <v>34</v>
      </c>
      <c r="G2548" s="364">
        <v>95727</v>
      </c>
      <c r="H2548" s="475" t="s">
        <v>2149</v>
      </c>
      <c r="I2548" s="475" t="s">
        <v>139</v>
      </c>
      <c r="J2548" s="475" t="s">
        <v>337</v>
      </c>
      <c r="K2548" s="365">
        <v>5.14</v>
      </c>
      <c r="L2548" s="475" t="s">
        <v>141</v>
      </c>
      <c r="M2548" s="473"/>
    </row>
    <row r="2549" spans="1:13" ht="13.5">
      <c r="A2549" s="475" t="s">
        <v>5453</v>
      </c>
      <c r="B2549" s="475" t="s">
        <v>5454</v>
      </c>
      <c r="C2549" s="475" t="s">
        <v>5455</v>
      </c>
      <c r="D2549" s="475" t="s">
        <v>5456</v>
      </c>
      <c r="E2549" s="476" t="s">
        <v>34</v>
      </c>
      <c r="F2549" s="475" t="s">
        <v>34</v>
      </c>
      <c r="G2549" s="364">
        <v>95728</v>
      </c>
      <c r="H2549" s="475" t="s">
        <v>2150</v>
      </c>
      <c r="I2549" s="475" t="s">
        <v>139</v>
      </c>
      <c r="J2549" s="475" t="s">
        <v>337</v>
      </c>
      <c r="K2549" s="365">
        <v>6.47</v>
      </c>
      <c r="L2549" s="475" t="s">
        <v>141</v>
      </c>
      <c r="M2549" s="473"/>
    </row>
    <row r="2550" spans="1:13" ht="13.5">
      <c r="A2550" s="475" t="s">
        <v>5453</v>
      </c>
      <c r="B2550" s="475" t="s">
        <v>5454</v>
      </c>
      <c r="C2550" s="475" t="s">
        <v>5455</v>
      </c>
      <c r="D2550" s="475" t="s">
        <v>5456</v>
      </c>
      <c r="E2550" s="476" t="s">
        <v>34</v>
      </c>
      <c r="F2550" s="475" t="s">
        <v>34</v>
      </c>
      <c r="G2550" s="364">
        <v>95729</v>
      </c>
      <c r="H2550" s="475" t="s">
        <v>2151</v>
      </c>
      <c r="I2550" s="475" t="s">
        <v>139</v>
      </c>
      <c r="J2550" s="475" t="s">
        <v>337</v>
      </c>
      <c r="K2550" s="365">
        <v>6.01</v>
      </c>
      <c r="L2550" s="475" t="s">
        <v>141</v>
      </c>
      <c r="M2550" s="473"/>
    </row>
    <row r="2551" spans="1:13" ht="13.5">
      <c r="A2551" s="475" t="s">
        <v>5453</v>
      </c>
      <c r="B2551" s="475" t="s">
        <v>5454</v>
      </c>
      <c r="C2551" s="475" t="s">
        <v>5455</v>
      </c>
      <c r="D2551" s="475" t="s">
        <v>5456</v>
      </c>
      <c r="E2551" s="476" t="s">
        <v>34</v>
      </c>
      <c r="F2551" s="475" t="s">
        <v>34</v>
      </c>
      <c r="G2551" s="364">
        <v>95730</v>
      </c>
      <c r="H2551" s="475" t="s">
        <v>2152</v>
      </c>
      <c r="I2551" s="475" t="s">
        <v>139</v>
      </c>
      <c r="J2551" s="475" t="s">
        <v>337</v>
      </c>
      <c r="K2551" s="365">
        <v>6.63</v>
      </c>
      <c r="L2551" s="475" t="s">
        <v>141</v>
      </c>
      <c r="M2551" s="473"/>
    </row>
    <row r="2552" spans="1:13" ht="13.5">
      <c r="A2552" s="475" t="s">
        <v>5453</v>
      </c>
      <c r="B2552" s="475" t="s">
        <v>5454</v>
      </c>
      <c r="C2552" s="475" t="s">
        <v>5455</v>
      </c>
      <c r="D2552" s="475" t="s">
        <v>5456</v>
      </c>
      <c r="E2552" s="476" t="s">
        <v>34</v>
      </c>
      <c r="F2552" s="475" t="s">
        <v>34</v>
      </c>
      <c r="G2552" s="364">
        <v>95731</v>
      </c>
      <c r="H2552" s="475" t="s">
        <v>2153</v>
      </c>
      <c r="I2552" s="475" t="s">
        <v>139</v>
      </c>
      <c r="J2552" s="475" t="s">
        <v>337</v>
      </c>
      <c r="K2552" s="365">
        <v>7.97</v>
      </c>
      <c r="L2552" s="475" t="s">
        <v>141</v>
      </c>
      <c r="M2552" s="473"/>
    </row>
    <row r="2553" spans="1:13" ht="13.5">
      <c r="A2553" s="475" t="s">
        <v>5453</v>
      </c>
      <c r="B2553" s="475" t="s">
        <v>5454</v>
      </c>
      <c r="C2553" s="475" t="s">
        <v>5455</v>
      </c>
      <c r="D2553" s="475" t="s">
        <v>5456</v>
      </c>
      <c r="E2553" s="476" t="s">
        <v>34</v>
      </c>
      <c r="F2553" s="475" t="s">
        <v>34</v>
      </c>
      <c r="G2553" s="364">
        <v>95732</v>
      </c>
      <c r="H2553" s="475" t="s">
        <v>2154</v>
      </c>
      <c r="I2553" s="475" t="s">
        <v>171</v>
      </c>
      <c r="J2553" s="475" t="s">
        <v>337</v>
      </c>
      <c r="K2553" s="365">
        <v>3.13</v>
      </c>
      <c r="L2553" s="475" t="s">
        <v>141</v>
      </c>
      <c r="M2553" s="473"/>
    </row>
    <row r="2554" spans="1:13" ht="13.5">
      <c r="A2554" s="475" t="s">
        <v>5453</v>
      </c>
      <c r="B2554" s="475" t="s">
        <v>5454</v>
      </c>
      <c r="C2554" s="475" t="s">
        <v>5455</v>
      </c>
      <c r="D2554" s="475" t="s">
        <v>5456</v>
      </c>
      <c r="E2554" s="476" t="s">
        <v>34</v>
      </c>
      <c r="F2554" s="475" t="s">
        <v>34</v>
      </c>
      <c r="G2554" s="364">
        <v>95745</v>
      </c>
      <c r="H2554" s="475" t="s">
        <v>2155</v>
      </c>
      <c r="I2554" s="475" t="s">
        <v>139</v>
      </c>
      <c r="J2554" s="475" t="s">
        <v>140</v>
      </c>
      <c r="K2554" s="365">
        <v>16.34</v>
      </c>
      <c r="L2554" s="475" t="s">
        <v>141</v>
      </c>
      <c r="M2554" s="473"/>
    </row>
    <row r="2555" spans="1:13" ht="13.5">
      <c r="A2555" s="475" t="s">
        <v>5453</v>
      </c>
      <c r="B2555" s="475" t="s">
        <v>5454</v>
      </c>
      <c r="C2555" s="475" t="s">
        <v>5455</v>
      </c>
      <c r="D2555" s="475" t="s">
        <v>5456</v>
      </c>
      <c r="E2555" s="476" t="s">
        <v>34</v>
      </c>
      <c r="F2555" s="475" t="s">
        <v>34</v>
      </c>
      <c r="G2555" s="364">
        <v>95746</v>
      </c>
      <c r="H2555" s="475" t="s">
        <v>2156</v>
      </c>
      <c r="I2555" s="475" t="s">
        <v>139</v>
      </c>
      <c r="J2555" s="475" t="s">
        <v>140</v>
      </c>
      <c r="K2555" s="365">
        <v>20.36</v>
      </c>
      <c r="L2555" s="475" t="s">
        <v>141</v>
      </c>
      <c r="M2555" s="473"/>
    </row>
    <row r="2556" spans="1:13" ht="13.5">
      <c r="A2556" s="475" t="s">
        <v>5453</v>
      </c>
      <c r="B2556" s="475" t="s">
        <v>5454</v>
      </c>
      <c r="C2556" s="475" t="s">
        <v>5455</v>
      </c>
      <c r="D2556" s="475" t="s">
        <v>5456</v>
      </c>
      <c r="E2556" s="476" t="s">
        <v>34</v>
      </c>
      <c r="F2556" s="475" t="s">
        <v>34</v>
      </c>
      <c r="G2556" s="364">
        <v>95747</v>
      </c>
      <c r="H2556" s="475" t="s">
        <v>2157</v>
      </c>
      <c r="I2556" s="475" t="s">
        <v>139</v>
      </c>
      <c r="J2556" s="475" t="s">
        <v>140</v>
      </c>
      <c r="K2556" s="365">
        <v>33.880000000000003</v>
      </c>
      <c r="L2556" s="475" t="s">
        <v>141</v>
      </c>
      <c r="M2556" s="473"/>
    </row>
    <row r="2557" spans="1:13" ht="13.5">
      <c r="A2557" s="475" t="s">
        <v>5453</v>
      </c>
      <c r="B2557" s="475" t="s">
        <v>5454</v>
      </c>
      <c r="C2557" s="475" t="s">
        <v>5455</v>
      </c>
      <c r="D2557" s="475" t="s">
        <v>5456</v>
      </c>
      <c r="E2557" s="476" t="s">
        <v>34</v>
      </c>
      <c r="F2557" s="475" t="s">
        <v>34</v>
      </c>
      <c r="G2557" s="364">
        <v>95748</v>
      </c>
      <c r="H2557" s="475" t="s">
        <v>2158</v>
      </c>
      <c r="I2557" s="475" t="s">
        <v>139</v>
      </c>
      <c r="J2557" s="475" t="s">
        <v>140</v>
      </c>
      <c r="K2557" s="365">
        <v>36.549999999999997</v>
      </c>
      <c r="L2557" s="475" t="s">
        <v>141</v>
      </c>
      <c r="M2557" s="473"/>
    </row>
    <row r="2558" spans="1:13" ht="13.5">
      <c r="A2558" s="475" t="s">
        <v>5453</v>
      </c>
      <c r="B2558" s="475" t="s">
        <v>5454</v>
      </c>
      <c r="C2558" s="475" t="s">
        <v>5455</v>
      </c>
      <c r="D2558" s="475" t="s">
        <v>5456</v>
      </c>
      <c r="E2558" s="476" t="s">
        <v>34</v>
      </c>
      <c r="F2558" s="475" t="s">
        <v>34</v>
      </c>
      <c r="G2558" s="364">
        <v>95749</v>
      </c>
      <c r="H2558" s="475" t="s">
        <v>2159</v>
      </c>
      <c r="I2558" s="475" t="s">
        <v>139</v>
      </c>
      <c r="J2558" s="475" t="s">
        <v>140</v>
      </c>
      <c r="K2558" s="365">
        <v>21.16</v>
      </c>
      <c r="L2558" s="475" t="s">
        <v>141</v>
      </c>
      <c r="M2558" s="473"/>
    </row>
    <row r="2559" spans="1:13" ht="13.5">
      <c r="A2559" s="475" t="s">
        <v>5453</v>
      </c>
      <c r="B2559" s="475" t="s">
        <v>5454</v>
      </c>
      <c r="C2559" s="475" t="s">
        <v>5455</v>
      </c>
      <c r="D2559" s="475" t="s">
        <v>5456</v>
      </c>
      <c r="E2559" s="476" t="s">
        <v>34</v>
      </c>
      <c r="F2559" s="475" t="s">
        <v>34</v>
      </c>
      <c r="G2559" s="364">
        <v>95750</v>
      </c>
      <c r="H2559" s="475" t="s">
        <v>2160</v>
      </c>
      <c r="I2559" s="475" t="s">
        <v>139</v>
      </c>
      <c r="J2559" s="475" t="s">
        <v>140</v>
      </c>
      <c r="K2559" s="365">
        <v>25.07</v>
      </c>
      <c r="L2559" s="475" t="s">
        <v>141</v>
      </c>
      <c r="M2559" s="473"/>
    </row>
    <row r="2560" spans="1:13" ht="13.5">
      <c r="A2560" s="475" t="s">
        <v>5453</v>
      </c>
      <c r="B2560" s="475" t="s">
        <v>5454</v>
      </c>
      <c r="C2560" s="475" t="s">
        <v>5455</v>
      </c>
      <c r="D2560" s="475" t="s">
        <v>5456</v>
      </c>
      <c r="E2560" s="476" t="s">
        <v>34</v>
      </c>
      <c r="F2560" s="475" t="s">
        <v>34</v>
      </c>
      <c r="G2560" s="364">
        <v>95751</v>
      </c>
      <c r="H2560" s="475" t="s">
        <v>2161</v>
      </c>
      <c r="I2560" s="475" t="s">
        <v>139</v>
      </c>
      <c r="J2560" s="475" t="s">
        <v>140</v>
      </c>
      <c r="K2560" s="365">
        <v>38.46</v>
      </c>
      <c r="L2560" s="475" t="s">
        <v>141</v>
      </c>
      <c r="M2560" s="473"/>
    </row>
    <row r="2561" spans="1:13" ht="13.5">
      <c r="A2561" s="475" t="s">
        <v>5453</v>
      </c>
      <c r="B2561" s="475" t="s">
        <v>5454</v>
      </c>
      <c r="C2561" s="475" t="s">
        <v>5455</v>
      </c>
      <c r="D2561" s="475" t="s">
        <v>5456</v>
      </c>
      <c r="E2561" s="476" t="s">
        <v>34</v>
      </c>
      <c r="F2561" s="475" t="s">
        <v>34</v>
      </c>
      <c r="G2561" s="364">
        <v>95752</v>
      </c>
      <c r="H2561" s="475" t="s">
        <v>2162</v>
      </c>
      <c r="I2561" s="475" t="s">
        <v>139</v>
      </c>
      <c r="J2561" s="475" t="s">
        <v>140</v>
      </c>
      <c r="K2561" s="365">
        <v>40.950000000000003</v>
      </c>
      <c r="L2561" s="475" t="s">
        <v>141</v>
      </c>
      <c r="M2561" s="473"/>
    </row>
    <row r="2562" spans="1:13" ht="13.5">
      <c r="A2562" s="475" t="s">
        <v>5453</v>
      </c>
      <c r="B2562" s="475" t="s">
        <v>5454</v>
      </c>
      <c r="C2562" s="475" t="s">
        <v>5455</v>
      </c>
      <c r="D2562" s="475" t="s">
        <v>5456</v>
      </c>
      <c r="E2562" s="476" t="s">
        <v>34</v>
      </c>
      <c r="F2562" s="475" t="s">
        <v>34</v>
      </c>
      <c r="G2562" s="364">
        <v>97667</v>
      </c>
      <c r="H2562" s="475" t="s">
        <v>15186</v>
      </c>
      <c r="I2562" s="475" t="s">
        <v>139</v>
      </c>
      <c r="J2562" s="475" t="s">
        <v>140</v>
      </c>
      <c r="K2562" s="365">
        <v>6.26</v>
      </c>
      <c r="L2562" s="475" t="s">
        <v>141</v>
      </c>
      <c r="M2562" s="473"/>
    </row>
    <row r="2563" spans="1:13" ht="13.5">
      <c r="A2563" s="475" t="s">
        <v>5453</v>
      </c>
      <c r="B2563" s="475" t="s">
        <v>5454</v>
      </c>
      <c r="C2563" s="475" t="s">
        <v>5455</v>
      </c>
      <c r="D2563" s="475" t="s">
        <v>5456</v>
      </c>
      <c r="E2563" s="476" t="s">
        <v>34</v>
      </c>
      <c r="F2563" s="475" t="s">
        <v>34</v>
      </c>
      <c r="G2563" s="364">
        <v>97668</v>
      </c>
      <c r="H2563" s="475" t="s">
        <v>15187</v>
      </c>
      <c r="I2563" s="475" t="s">
        <v>139</v>
      </c>
      <c r="J2563" s="475" t="s">
        <v>140</v>
      </c>
      <c r="K2563" s="365">
        <v>9.5500000000000007</v>
      </c>
      <c r="L2563" s="475" t="s">
        <v>141</v>
      </c>
      <c r="M2563" s="473"/>
    </row>
    <row r="2564" spans="1:13" ht="13.5">
      <c r="A2564" s="475" t="s">
        <v>5453</v>
      </c>
      <c r="B2564" s="475" t="s">
        <v>5454</v>
      </c>
      <c r="C2564" s="475" t="s">
        <v>5455</v>
      </c>
      <c r="D2564" s="475" t="s">
        <v>5456</v>
      </c>
      <c r="E2564" s="476" t="s">
        <v>34</v>
      </c>
      <c r="F2564" s="475" t="s">
        <v>34</v>
      </c>
      <c r="G2564" s="364">
        <v>97669</v>
      </c>
      <c r="H2564" s="475" t="s">
        <v>15188</v>
      </c>
      <c r="I2564" s="475" t="s">
        <v>139</v>
      </c>
      <c r="J2564" s="475" t="s">
        <v>140</v>
      </c>
      <c r="K2564" s="365">
        <v>15.08</v>
      </c>
      <c r="L2564" s="475" t="s">
        <v>141</v>
      </c>
      <c r="M2564" s="473"/>
    </row>
    <row r="2565" spans="1:13" ht="13.5">
      <c r="A2565" s="475" t="s">
        <v>5453</v>
      </c>
      <c r="B2565" s="475" t="s">
        <v>5454</v>
      </c>
      <c r="C2565" s="475" t="s">
        <v>5455</v>
      </c>
      <c r="D2565" s="475" t="s">
        <v>5456</v>
      </c>
      <c r="E2565" s="476" t="s">
        <v>34</v>
      </c>
      <c r="F2565" s="475" t="s">
        <v>34</v>
      </c>
      <c r="G2565" s="364">
        <v>97670</v>
      </c>
      <c r="H2565" s="475" t="s">
        <v>15189</v>
      </c>
      <c r="I2565" s="475" t="s">
        <v>139</v>
      </c>
      <c r="J2565" s="475" t="s">
        <v>140</v>
      </c>
      <c r="K2565" s="365">
        <v>19.52</v>
      </c>
      <c r="L2565" s="475" t="s">
        <v>141</v>
      </c>
      <c r="M2565" s="473"/>
    </row>
    <row r="2566" spans="1:13" ht="13.5">
      <c r="A2566" s="475" t="s">
        <v>5453</v>
      </c>
      <c r="B2566" s="475" t="s">
        <v>5454</v>
      </c>
      <c r="C2566" s="475" t="s">
        <v>5458</v>
      </c>
      <c r="D2566" s="475" t="s">
        <v>5459</v>
      </c>
      <c r="E2566" s="476" t="s">
        <v>34</v>
      </c>
      <c r="F2566" s="475" t="s">
        <v>34</v>
      </c>
      <c r="G2566" s="364">
        <v>72263</v>
      </c>
      <c r="H2566" s="475" t="s">
        <v>2163</v>
      </c>
      <c r="I2566" s="475" t="s">
        <v>171</v>
      </c>
      <c r="J2566" s="475" t="s">
        <v>337</v>
      </c>
      <c r="K2566" s="365">
        <v>19.22</v>
      </c>
      <c r="L2566" s="475" t="s">
        <v>141</v>
      </c>
      <c r="M2566" s="473"/>
    </row>
    <row r="2567" spans="1:13" ht="13.5">
      <c r="A2567" s="475" t="s">
        <v>5453</v>
      </c>
      <c r="B2567" s="475" t="s">
        <v>5454</v>
      </c>
      <c r="C2567" s="475" t="s">
        <v>5458</v>
      </c>
      <c r="D2567" s="475" t="s">
        <v>5459</v>
      </c>
      <c r="E2567" s="476" t="s">
        <v>34</v>
      </c>
      <c r="F2567" s="475" t="s">
        <v>34</v>
      </c>
      <c r="G2567" s="364">
        <v>72271</v>
      </c>
      <c r="H2567" s="475" t="s">
        <v>2164</v>
      </c>
      <c r="I2567" s="475" t="s">
        <v>171</v>
      </c>
      <c r="J2567" s="475" t="s">
        <v>337</v>
      </c>
      <c r="K2567" s="365">
        <v>11.25</v>
      </c>
      <c r="L2567" s="475" t="s">
        <v>141</v>
      </c>
      <c r="M2567" s="473"/>
    </row>
    <row r="2568" spans="1:13" ht="13.5">
      <c r="A2568" s="475" t="s">
        <v>5453</v>
      </c>
      <c r="B2568" s="475" t="s">
        <v>5454</v>
      </c>
      <c r="C2568" s="475" t="s">
        <v>5458</v>
      </c>
      <c r="D2568" s="475" t="s">
        <v>5459</v>
      </c>
      <c r="E2568" s="476" t="s">
        <v>34</v>
      </c>
      <c r="F2568" s="475" t="s">
        <v>34</v>
      </c>
      <c r="G2568" s="364">
        <v>72272</v>
      </c>
      <c r="H2568" s="475" t="s">
        <v>2165</v>
      </c>
      <c r="I2568" s="475" t="s">
        <v>171</v>
      </c>
      <c r="J2568" s="475" t="s">
        <v>337</v>
      </c>
      <c r="K2568" s="365">
        <v>12.62</v>
      </c>
      <c r="L2568" s="475" t="s">
        <v>141</v>
      </c>
      <c r="M2568" s="473"/>
    </row>
    <row r="2569" spans="1:13" ht="13.5">
      <c r="A2569" s="475" t="s">
        <v>5453</v>
      </c>
      <c r="B2569" s="475" t="s">
        <v>5454</v>
      </c>
      <c r="C2569" s="475" t="s">
        <v>5458</v>
      </c>
      <c r="D2569" s="475" t="s">
        <v>5459</v>
      </c>
      <c r="E2569" s="476">
        <v>73782</v>
      </c>
      <c r="F2569" s="475" t="s">
        <v>5460</v>
      </c>
      <c r="G2569" s="364" t="s">
        <v>2166</v>
      </c>
      <c r="H2569" s="475" t="s">
        <v>2167</v>
      </c>
      <c r="I2569" s="475" t="s">
        <v>171</v>
      </c>
      <c r="J2569" s="475" t="s">
        <v>337</v>
      </c>
      <c r="K2569" s="365">
        <v>32.36</v>
      </c>
      <c r="L2569" s="475" t="s">
        <v>141</v>
      </c>
      <c r="M2569" s="473"/>
    </row>
    <row r="2570" spans="1:13" ht="13.5">
      <c r="A2570" s="475" t="s">
        <v>5453</v>
      </c>
      <c r="B2570" s="475" t="s">
        <v>5454</v>
      </c>
      <c r="C2570" s="475" t="s">
        <v>5458</v>
      </c>
      <c r="D2570" s="475" t="s">
        <v>5459</v>
      </c>
      <c r="E2570" s="476">
        <v>73782</v>
      </c>
      <c r="F2570" s="475" t="s">
        <v>5460</v>
      </c>
      <c r="G2570" s="364" t="s">
        <v>2168</v>
      </c>
      <c r="H2570" s="475" t="s">
        <v>2169</v>
      </c>
      <c r="I2570" s="475" t="s">
        <v>171</v>
      </c>
      <c r="J2570" s="475" t="s">
        <v>337</v>
      </c>
      <c r="K2570" s="365">
        <v>50.23</v>
      </c>
      <c r="L2570" s="475" t="s">
        <v>141</v>
      </c>
      <c r="M2570" s="473"/>
    </row>
    <row r="2571" spans="1:13" ht="13.5">
      <c r="A2571" s="475" t="s">
        <v>5453</v>
      </c>
      <c r="B2571" s="475" t="s">
        <v>5454</v>
      </c>
      <c r="C2571" s="475" t="s">
        <v>5458</v>
      </c>
      <c r="D2571" s="475" t="s">
        <v>5459</v>
      </c>
      <c r="E2571" s="476">
        <v>73782</v>
      </c>
      <c r="F2571" s="475" t="s">
        <v>5460</v>
      </c>
      <c r="G2571" s="364" t="s">
        <v>2170</v>
      </c>
      <c r="H2571" s="475" t="s">
        <v>2171</v>
      </c>
      <c r="I2571" s="475" t="s">
        <v>171</v>
      </c>
      <c r="J2571" s="475" t="s">
        <v>337</v>
      </c>
      <c r="K2571" s="365">
        <v>122.24</v>
      </c>
      <c r="L2571" s="475" t="s">
        <v>141</v>
      </c>
      <c r="M2571" s="473"/>
    </row>
    <row r="2572" spans="1:13" ht="13.5">
      <c r="A2572" s="475" t="s">
        <v>5453</v>
      </c>
      <c r="B2572" s="475" t="s">
        <v>5454</v>
      </c>
      <c r="C2572" s="475" t="s">
        <v>5458</v>
      </c>
      <c r="D2572" s="475" t="s">
        <v>5459</v>
      </c>
      <c r="E2572" s="476">
        <v>73782</v>
      </c>
      <c r="F2572" s="475" t="s">
        <v>5460</v>
      </c>
      <c r="G2572" s="364" t="s">
        <v>2172</v>
      </c>
      <c r="H2572" s="475" t="s">
        <v>2173</v>
      </c>
      <c r="I2572" s="475" t="s">
        <v>171</v>
      </c>
      <c r="J2572" s="475" t="s">
        <v>337</v>
      </c>
      <c r="K2572" s="365">
        <v>20.71</v>
      </c>
      <c r="L2572" s="475" t="s">
        <v>141</v>
      </c>
      <c r="M2572" s="473"/>
    </row>
    <row r="2573" spans="1:13" ht="13.5">
      <c r="A2573" s="475" t="s">
        <v>5453</v>
      </c>
      <c r="B2573" s="475" t="s">
        <v>5454</v>
      </c>
      <c r="C2573" s="475" t="s">
        <v>5458</v>
      </c>
      <c r="D2573" s="475" t="s">
        <v>5459</v>
      </c>
      <c r="E2573" s="476" t="s">
        <v>34</v>
      </c>
      <c r="F2573" s="475" t="s">
        <v>34</v>
      </c>
      <c r="G2573" s="364">
        <v>83377</v>
      </c>
      <c r="H2573" s="475" t="s">
        <v>2174</v>
      </c>
      <c r="I2573" s="475" t="s">
        <v>171</v>
      </c>
      <c r="J2573" s="475" t="s">
        <v>337</v>
      </c>
      <c r="K2573" s="365">
        <v>10.51</v>
      </c>
      <c r="L2573" s="475" t="s">
        <v>141</v>
      </c>
      <c r="M2573" s="473"/>
    </row>
    <row r="2574" spans="1:13" ht="13.5">
      <c r="A2574" s="475" t="s">
        <v>5453</v>
      </c>
      <c r="B2574" s="475" t="s">
        <v>5454</v>
      </c>
      <c r="C2574" s="475" t="s">
        <v>5458</v>
      </c>
      <c r="D2574" s="475" t="s">
        <v>5459</v>
      </c>
      <c r="E2574" s="476" t="s">
        <v>34</v>
      </c>
      <c r="F2574" s="475" t="s">
        <v>34</v>
      </c>
      <c r="G2574" s="364">
        <v>91874</v>
      </c>
      <c r="H2574" s="475" t="s">
        <v>2175</v>
      </c>
      <c r="I2574" s="475" t="s">
        <v>171</v>
      </c>
      <c r="J2574" s="475" t="s">
        <v>337</v>
      </c>
      <c r="K2574" s="365">
        <v>3.4</v>
      </c>
      <c r="L2574" s="475" t="s">
        <v>141</v>
      </c>
      <c r="M2574" s="473"/>
    </row>
    <row r="2575" spans="1:13" ht="13.5">
      <c r="A2575" s="475" t="s">
        <v>5453</v>
      </c>
      <c r="B2575" s="475" t="s">
        <v>5454</v>
      </c>
      <c r="C2575" s="475" t="s">
        <v>5458</v>
      </c>
      <c r="D2575" s="475" t="s">
        <v>5459</v>
      </c>
      <c r="E2575" s="476" t="s">
        <v>34</v>
      </c>
      <c r="F2575" s="475" t="s">
        <v>34</v>
      </c>
      <c r="G2575" s="364">
        <v>91875</v>
      </c>
      <c r="H2575" s="475" t="s">
        <v>2176</v>
      </c>
      <c r="I2575" s="475" t="s">
        <v>171</v>
      </c>
      <c r="J2575" s="475" t="s">
        <v>337</v>
      </c>
      <c r="K2575" s="365">
        <v>4.49</v>
      </c>
      <c r="L2575" s="475" t="s">
        <v>141</v>
      </c>
      <c r="M2575" s="473"/>
    </row>
    <row r="2576" spans="1:13" ht="13.5">
      <c r="A2576" s="475" t="s">
        <v>5453</v>
      </c>
      <c r="B2576" s="475" t="s">
        <v>5454</v>
      </c>
      <c r="C2576" s="475" t="s">
        <v>5458</v>
      </c>
      <c r="D2576" s="475" t="s">
        <v>5459</v>
      </c>
      <c r="E2576" s="476" t="s">
        <v>34</v>
      </c>
      <c r="F2576" s="475" t="s">
        <v>34</v>
      </c>
      <c r="G2576" s="364">
        <v>91876</v>
      </c>
      <c r="H2576" s="475" t="s">
        <v>2177</v>
      </c>
      <c r="I2576" s="475" t="s">
        <v>171</v>
      </c>
      <c r="J2576" s="475" t="s">
        <v>337</v>
      </c>
      <c r="K2576" s="365">
        <v>5.91</v>
      </c>
      <c r="L2576" s="475" t="s">
        <v>141</v>
      </c>
      <c r="M2576" s="473"/>
    </row>
    <row r="2577" spans="1:13" ht="13.5">
      <c r="A2577" s="475" t="s">
        <v>5453</v>
      </c>
      <c r="B2577" s="475" t="s">
        <v>5454</v>
      </c>
      <c r="C2577" s="475" t="s">
        <v>5458</v>
      </c>
      <c r="D2577" s="475" t="s">
        <v>5459</v>
      </c>
      <c r="E2577" s="476" t="s">
        <v>34</v>
      </c>
      <c r="F2577" s="475" t="s">
        <v>34</v>
      </c>
      <c r="G2577" s="364">
        <v>91877</v>
      </c>
      <c r="H2577" s="475" t="s">
        <v>2178</v>
      </c>
      <c r="I2577" s="475" t="s">
        <v>171</v>
      </c>
      <c r="J2577" s="475" t="s">
        <v>337</v>
      </c>
      <c r="K2577" s="365">
        <v>7.78</v>
      </c>
      <c r="L2577" s="475" t="s">
        <v>141</v>
      </c>
      <c r="M2577" s="473"/>
    </row>
    <row r="2578" spans="1:13" ht="13.5">
      <c r="A2578" s="475" t="s">
        <v>5453</v>
      </c>
      <c r="B2578" s="475" t="s">
        <v>5454</v>
      </c>
      <c r="C2578" s="475" t="s">
        <v>5458</v>
      </c>
      <c r="D2578" s="475" t="s">
        <v>5459</v>
      </c>
      <c r="E2578" s="476" t="s">
        <v>34</v>
      </c>
      <c r="F2578" s="475" t="s">
        <v>34</v>
      </c>
      <c r="G2578" s="364">
        <v>91878</v>
      </c>
      <c r="H2578" s="475" t="s">
        <v>2179</v>
      </c>
      <c r="I2578" s="475" t="s">
        <v>171</v>
      </c>
      <c r="J2578" s="475" t="s">
        <v>337</v>
      </c>
      <c r="K2578" s="365">
        <v>4.41</v>
      </c>
      <c r="L2578" s="475" t="s">
        <v>141</v>
      </c>
      <c r="M2578" s="473"/>
    </row>
    <row r="2579" spans="1:13" ht="13.5">
      <c r="A2579" s="475" t="s">
        <v>5453</v>
      </c>
      <c r="B2579" s="475" t="s">
        <v>5454</v>
      </c>
      <c r="C2579" s="475" t="s">
        <v>5458</v>
      </c>
      <c r="D2579" s="475" t="s">
        <v>5459</v>
      </c>
      <c r="E2579" s="476" t="s">
        <v>34</v>
      </c>
      <c r="F2579" s="475" t="s">
        <v>34</v>
      </c>
      <c r="G2579" s="364">
        <v>91879</v>
      </c>
      <c r="H2579" s="475" t="s">
        <v>2180</v>
      </c>
      <c r="I2579" s="475" t="s">
        <v>171</v>
      </c>
      <c r="J2579" s="475" t="s">
        <v>337</v>
      </c>
      <c r="K2579" s="365">
        <v>5.46</v>
      </c>
      <c r="L2579" s="475" t="s">
        <v>141</v>
      </c>
      <c r="M2579" s="473"/>
    </row>
    <row r="2580" spans="1:13" ht="13.5">
      <c r="A2580" s="475" t="s">
        <v>5453</v>
      </c>
      <c r="B2580" s="475" t="s">
        <v>5454</v>
      </c>
      <c r="C2580" s="475" t="s">
        <v>5458</v>
      </c>
      <c r="D2580" s="475" t="s">
        <v>5459</v>
      </c>
      <c r="E2580" s="476" t="s">
        <v>34</v>
      </c>
      <c r="F2580" s="475" t="s">
        <v>34</v>
      </c>
      <c r="G2580" s="364">
        <v>91880</v>
      </c>
      <c r="H2580" s="475" t="s">
        <v>2181</v>
      </c>
      <c r="I2580" s="475" t="s">
        <v>171</v>
      </c>
      <c r="J2580" s="475" t="s">
        <v>337</v>
      </c>
      <c r="K2580" s="365">
        <v>6.92</v>
      </c>
      <c r="L2580" s="475" t="s">
        <v>141</v>
      </c>
      <c r="M2580" s="473"/>
    </row>
    <row r="2581" spans="1:13" ht="13.5">
      <c r="A2581" s="475" t="s">
        <v>5453</v>
      </c>
      <c r="B2581" s="475" t="s">
        <v>5454</v>
      </c>
      <c r="C2581" s="475" t="s">
        <v>5458</v>
      </c>
      <c r="D2581" s="475" t="s">
        <v>5459</v>
      </c>
      <c r="E2581" s="476" t="s">
        <v>34</v>
      </c>
      <c r="F2581" s="475" t="s">
        <v>34</v>
      </c>
      <c r="G2581" s="364">
        <v>91881</v>
      </c>
      <c r="H2581" s="475" t="s">
        <v>2182</v>
      </c>
      <c r="I2581" s="475" t="s">
        <v>171</v>
      </c>
      <c r="J2581" s="475" t="s">
        <v>337</v>
      </c>
      <c r="K2581" s="365">
        <v>8.8000000000000007</v>
      </c>
      <c r="L2581" s="475" t="s">
        <v>141</v>
      </c>
      <c r="M2581" s="473"/>
    </row>
    <row r="2582" spans="1:13" ht="13.5">
      <c r="A2582" s="475" t="s">
        <v>5453</v>
      </c>
      <c r="B2582" s="475" t="s">
        <v>5454</v>
      </c>
      <c r="C2582" s="475" t="s">
        <v>5458</v>
      </c>
      <c r="D2582" s="475" t="s">
        <v>5459</v>
      </c>
      <c r="E2582" s="476" t="s">
        <v>34</v>
      </c>
      <c r="F2582" s="475" t="s">
        <v>34</v>
      </c>
      <c r="G2582" s="364">
        <v>91882</v>
      </c>
      <c r="H2582" s="475" t="s">
        <v>2183</v>
      </c>
      <c r="I2582" s="475" t="s">
        <v>171</v>
      </c>
      <c r="J2582" s="475" t="s">
        <v>337</v>
      </c>
      <c r="K2582" s="365">
        <v>5.49</v>
      </c>
      <c r="L2582" s="475" t="s">
        <v>141</v>
      </c>
      <c r="M2582" s="473"/>
    </row>
    <row r="2583" spans="1:13" ht="13.5">
      <c r="A2583" s="475" t="s">
        <v>5453</v>
      </c>
      <c r="B2583" s="475" t="s">
        <v>5454</v>
      </c>
      <c r="C2583" s="475" t="s">
        <v>5458</v>
      </c>
      <c r="D2583" s="475" t="s">
        <v>5459</v>
      </c>
      <c r="E2583" s="476" t="s">
        <v>34</v>
      </c>
      <c r="F2583" s="475" t="s">
        <v>34</v>
      </c>
      <c r="G2583" s="364">
        <v>91884</v>
      </c>
      <c r="H2583" s="475" t="s">
        <v>2184</v>
      </c>
      <c r="I2583" s="475" t="s">
        <v>171</v>
      </c>
      <c r="J2583" s="475" t="s">
        <v>337</v>
      </c>
      <c r="K2583" s="365">
        <v>6.29</v>
      </c>
      <c r="L2583" s="475" t="s">
        <v>141</v>
      </c>
      <c r="M2583" s="473"/>
    </row>
    <row r="2584" spans="1:13" ht="13.5">
      <c r="A2584" s="475" t="s">
        <v>5453</v>
      </c>
      <c r="B2584" s="475" t="s">
        <v>5454</v>
      </c>
      <c r="C2584" s="475" t="s">
        <v>5458</v>
      </c>
      <c r="D2584" s="475" t="s">
        <v>5459</v>
      </c>
      <c r="E2584" s="476" t="s">
        <v>34</v>
      </c>
      <c r="F2584" s="475" t="s">
        <v>34</v>
      </c>
      <c r="G2584" s="364">
        <v>91885</v>
      </c>
      <c r="H2584" s="475" t="s">
        <v>2185</v>
      </c>
      <c r="I2584" s="475" t="s">
        <v>171</v>
      </c>
      <c r="J2584" s="475" t="s">
        <v>337</v>
      </c>
      <c r="K2584" s="365">
        <v>7.41</v>
      </c>
      <c r="L2584" s="475" t="s">
        <v>141</v>
      </c>
      <c r="M2584" s="473"/>
    </row>
    <row r="2585" spans="1:13" ht="13.5">
      <c r="A2585" s="475" t="s">
        <v>5453</v>
      </c>
      <c r="B2585" s="475" t="s">
        <v>5454</v>
      </c>
      <c r="C2585" s="475" t="s">
        <v>5458</v>
      </c>
      <c r="D2585" s="475" t="s">
        <v>5459</v>
      </c>
      <c r="E2585" s="476" t="s">
        <v>34</v>
      </c>
      <c r="F2585" s="475" t="s">
        <v>34</v>
      </c>
      <c r="G2585" s="364">
        <v>91886</v>
      </c>
      <c r="H2585" s="475" t="s">
        <v>2186</v>
      </c>
      <c r="I2585" s="475" t="s">
        <v>171</v>
      </c>
      <c r="J2585" s="475" t="s">
        <v>337</v>
      </c>
      <c r="K2585" s="365">
        <v>8.91</v>
      </c>
      <c r="L2585" s="475" t="s">
        <v>141</v>
      </c>
      <c r="M2585" s="473"/>
    </row>
    <row r="2586" spans="1:13" ht="13.5">
      <c r="A2586" s="475" t="s">
        <v>5453</v>
      </c>
      <c r="B2586" s="475" t="s">
        <v>5454</v>
      </c>
      <c r="C2586" s="475" t="s">
        <v>5458</v>
      </c>
      <c r="D2586" s="475" t="s">
        <v>5459</v>
      </c>
      <c r="E2586" s="476" t="s">
        <v>34</v>
      </c>
      <c r="F2586" s="475" t="s">
        <v>34</v>
      </c>
      <c r="G2586" s="364">
        <v>91887</v>
      </c>
      <c r="H2586" s="475" t="s">
        <v>2187</v>
      </c>
      <c r="I2586" s="475" t="s">
        <v>171</v>
      </c>
      <c r="J2586" s="475" t="s">
        <v>337</v>
      </c>
      <c r="K2586" s="365">
        <v>6.1</v>
      </c>
      <c r="L2586" s="475" t="s">
        <v>141</v>
      </c>
      <c r="M2586" s="473"/>
    </row>
    <row r="2587" spans="1:13" ht="13.5">
      <c r="A2587" s="475" t="s">
        <v>5453</v>
      </c>
      <c r="B2587" s="475" t="s">
        <v>5454</v>
      </c>
      <c r="C2587" s="475" t="s">
        <v>5458</v>
      </c>
      <c r="D2587" s="475" t="s">
        <v>5459</v>
      </c>
      <c r="E2587" s="476" t="s">
        <v>34</v>
      </c>
      <c r="F2587" s="475" t="s">
        <v>34</v>
      </c>
      <c r="G2587" s="364">
        <v>91889</v>
      </c>
      <c r="H2587" s="475" t="s">
        <v>2188</v>
      </c>
      <c r="I2587" s="475" t="s">
        <v>171</v>
      </c>
      <c r="J2587" s="475" t="s">
        <v>337</v>
      </c>
      <c r="K2587" s="365">
        <v>5.91</v>
      </c>
      <c r="L2587" s="475" t="s">
        <v>141</v>
      </c>
      <c r="M2587" s="473"/>
    </row>
    <row r="2588" spans="1:13" ht="13.5">
      <c r="A2588" s="475" t="s">
        <v>5453</v>
      </c>
      <c r="B2588" s="475" t="s">
        <v>5454</v>
      </c>
      <c r="C2588" s="475" t="s">
        <v>5458</v>
      </c>
      <c r="D2588" s="475" t="s">
        <v>5459</v>
      </c>
      <c r="E2588" s="476" t="s">
        <v>34</v>
      </c>
      <c r="F2588" s="475" t="s">
        <v>34</v>
      </c>
      <c r="G2588" s="364">
        <v>91890</v>
      </c>
      <c r="H2588" s="475" t="s">
        <v>2189</v>
      </c>
      <c r="I2588" s="475" t="s">
        <v>171</v>
      </c>
      <c r="J2588" s="475" t="s">
        <v>337</v>
      </c>
      <c r="K2588" s="365">
        <v>7.34</v>
      </c>
      <c r="L2588" s="475" t="s">
        <v>141</v>
      </c>
      <c r="M2588" s="473"/>
    </row>
    <row r="2589" spans="1:13" ht="13.5">
      <c r="A2589" s="475" t="s">
        <v>5453</v>
      </c>
      <c r="B2589" s="475" t="s">
        <v>5454</v>
      </c>
      <c r="C2589" s="475" t="s">
        <v>5458</v>
      </c>
      <c r="D2589" s="475" t="s">
        <v>5459</v>
      </c>
      <c r="E2589" s="476" t="s">
        <v>34</v>
      </c>
      <c r="F2589" s="475" t="s">
        <v>34</v>
      </c>
      <c r="G2589" s="364">
        <v>91892</v>
      </c>
      <c r="H2589" s="475" t="s">
        <v>2190</v>
      </c>
      <c r="I2589" s="475" t="s">
        <v>171</v>
      </c>
      <c r="J2589" s="475" t="s">
        <v>337</v>
      </c>
      <c r="K2589" s="365">
        <v>8.6199999999999992</v>
      </c>
      <c r="L2589" s="475" t="s">
        <v>141</v>
      </c>
      <c r="M2589" s="473"/>
    </row>
    <row r="2590" spans="1:13" ht="13.5">
      <c r="A2590" s="475" t="s">
        <v>5453</v>
      </c>
      <c r="B2590" s="475" t="s">
        <v>5454</v>
      </c>
      <c r="C2590" s="475" t="s">
        <v>5458</v>
      </c>
      <c r="D2590" s="475" t="s">
        <v>5459</v>
      </c>
      <c r="E2590" s="476" t="s">
        <v>34</v>
      </c>
      <c r="F2590" s="475" t="s">
        <v>34</v>
      </c>
      <c r="G2590" s="364">
        <v>91893</v>
      </c>
      <c r="H2590" s="475" t="s">
        <v>2191</v>
      </c>
      <c r="I2590" s="475" t="s">
        <v>171</v>
      </c>
      <c r="J2590" s="475" t="s">
        <v>337</v>
      </c>
      <c r="K2590" s="365">
        <v>9.9700000000000006</v>
      </c>
      <c r="L2590" s="475" t="s">
        <v>141</v>
      </c>
      <c r="M2590" s="473"/>
    </row>
    <row r="2591" spans="1:13" ht="13.5">
      <c r="A2591" s="475" t="s">
        <v>5453</v>
      </c>
      <c r="B2591" s="475" t="s">
        <v>5454</v>
      </c>
      <c r="C2591" s="475" t="s">
        <v>5458</v>
      </c>
      <c r="D2591" s="475" t="s">
        <v>5459</v>
      </c>
      <c r="E2591" s="476" t="s">
        <v>34</v>
      </c>
      <c r="F2591" s="475" t="s">
        <v>34</v>
      </c>
      <c r="G2591" s="364">
        <v>91895</v>
      </c>
      <c r="H2591" s="475" t="s">
        <v>15190</v>
      </c>
      <c r="I2591" s="475" t="s">
        <v>171</v>
      </c>
      <c r="J2591" s="475" t="s">
        <v>337</v>
      </c>
      <c r="K2591" s="365">
        <v>11.26</v>
      </c>
      <c r="L2591" s="475" t="s">
        <v>141</v>
      </c>
      <c r="M2591" s="473"/>
    </row>
    <row r="2592" spans="1:13" ht="13.5">
      <c r="A2592" s="475" t="s">
        <v>5453</v>
      </c>
      <c r="B2592" s="475" t="s">
        <v>5454</v>
      </c>
      <c r="C2592" s="475" t="s">
        <v>5458</v>
      </c>
      <c r="D2592" s="475" t="s">
        <v>5459</v>
      </c>
      <c r="E2592" s="476" t="s">
        <v>34</v>
      </c>
      <c r="F2592" s="475" t="s">
        <v>34</v>
      </c>
      <c r="G2592" s="364">
        <v>91896</v>
      </c>
      <c r="H2592" s="475" t="s">
        <v>2192</v>
      </c>
      <c r="I2592" s="475" t="s">
        <v>171</v>
      </c>
      <c r="J2592" s="475" t="s">
        <v>337</v>
      </c>
      <c r="K2592" s="365">
        <v>12.23</v>
      </c>
      <c r="L2592" s="475" t="s">
        <v>141</v>
      </c>
      <c r="M2592" s="473"/>
    </row>
    <row r="2593" spans="1:13" ht="13.5">
      <c r="A2593" s="475" t="s">
        <v>5453</v>
      </c>
      <c r="B2593" s="475" t="s">
        <v>5454</v>
      </c>
      <c r="C2593" s="475" t="s">
        <v>5458</v>
      </c>
      <c r="D2593" s="475" t="s">
        <v>5459</v>
      </c>
      <c r="E2593" s="476" t="s">
        <v>34</v>
      </c>
      <c r="F2593" s="475" t="s">
        <v>34</v>
      </c>
      <c r="G2593" s="364">
        <v>91898</v>
      </c>
      <c r="H2593" s="475" t="s">
        <v>2193</v>
      </c>
      <c r="I2593" s="475" t="s">
        <v>171</v>
      </c>
      <c r="J2593" s="475" t="s">
        <v>337</v>
      </c>
      <c r="K2593" s="365">
        <v>13.61</v>
      </c>
      <c r="L2593" s="475" t="s">
        <v>141</v>
      </c>
      <c r="M2593" s="473"/>
    </row>
    <row r="2594" spans="1:13" ht="13.5">
      <c r="A2594" s="475" t="s">
        <v>5453</v>
      </c>
      <c r="B2594" s="475" t="s">
        <v>5454</v>
      </c>
      <c r="C2594" s="475" t="s">
        <v>5458</v>
      </c>
      <c r="D2594" s="475" t="s">
        <v>5459</v>
      </c>
      <c r="E2594" s="476" t="s">
        <v>34</v>
      </c>
      <c r="F2594" s="475" t="s">
        <v>34</v>
      </c>
      <c r="G2594" s="364">
        <v>91899</v>
      </c>
      <c r="H2594" s="475" t="s">
        <v>2194</v>
      </c>
      <c r="I2594" s="475" t="s">
        <v>171</v>
      </c>
      <c r="J2594" s="475" t="s">
        <v>337</v>
      </c>
      <c r="K2594" s="365">
        <v>7.57</v>
      </c>
      <c r="L2594" s="475" t="s">
        <v>141</v>
      </c>
      <c r="M2594" s="473"/>
    </row>
    <row r="2595" spans="1:13" ht="13.5">
      <c r="A2595" s="475" t="s">
        <v>5453</v>
      </c>
      <c r="B2595" s="475" t="s">
        <v>5454</v>
      </c>
      <c r="C2595" s="475" t="s">
        <v>5458</v>
      </c>
      <c r="D2595" s="475" t="s">
        <v>5459</v>
      </c>
      <c r="E2595" s="476" t="s">
        <v>34</v>
      </c>
      <c r="F2595" s="475" t="s">
        <v>34</v>
      </c>
      <c r="G2595" s="364">
        <v>91901</v>
      </c>
      <c r="H2595" s="475" t="s">
        <v>2195</v>
      </c>
      <c r="I2595" s="475" t="s">
        <v>171</v>
      </c>
      <c r="J2595" s="475" t="s">
        <v>337</v>
      </c>
      <c r="K2595" s="365">
        <v>7.38</v>
      </c>
      <c r="L2595" s="475" t="s">
        <v>141</v>
      </c>
      <c r="M2595" s="473"/>
    </row>
    <row r="2596" spans="1:13" ht="13.5">
      <c r="A2596" s="475" t="s">
        <v>5453</v>
      </c>
      <c r="B2596" s="475" t="s">
        <v>5454</v>
      </c>
      <c r="C2596" s="475" t="s">
        <v>5458</v>
      </c>
      <c r="D2596" s="475" t="s">
        <v>5459</v>
      </c>
      <c r="E2596" s="476" t="s">
        <v>34</v>
      </c>
      <c r="F2596" s="475" t="s">
        <v>34</v>
      </c>
      <c r="G2596" s="364">
        <v>91902</v>
      </c>
      <c r="H2596" s="475" t="s">
        <v>2196</v>
      </c>
      <c r="I2596" s="475" t="s">
        <v>171</v>
      </c>
      <c r="J2596" s="475" t="s">
        <v>337</v>
      </c>
      <c r="K2596" s="365">
        <v>8.8000000000000007</v>
      </c>
      <c r="L2596" s="475" t="s">
        <v>141</v>
      </c>
      <c r="M2596" s="473"/>
    </row>
    <row r="2597" spans="1:13" ht="13.5">
      <c r="A2597" s="475" t="s">
        <v>5453</v>
      </c>
      <c r="B2597" s="475" t="s">
        <v>5454</v>
      </c>
      <c r="C2597" s="475" t="s">
        <v>5458</v>
      </c>
      <c r="D2597" s="475" t="s">
        <v>5459</v>
      </c>
      <c r="E2597" s="476" t="s">
        <v>34</v>
      </c>
      <c r="F2597" s="475" t="s">
        <v>34</v>
      </c>
      <c r="G2597" s="364">
        <v>91904</v>
      </c>
      <c r="H2597" s="475" t="s">
        <v>2197</v>
      </c>
      <c r="I2597" s="475" t="s">
        <v>171</v>
      </c>
      <c r="J2597" s="475" t="s">
        <v>337</v>
      </c>
      <c r="K2597" s="365">
        <v>10.08</v>
      </c>
      <c r="L2597" s="475" t="s">
        <v>141</v>
      </c>
      <c r="M2597" s="473"/>
    </row>
    <row r="2598" spans="1:13" ht="13.5">
      <c r="A2598" s="475" t="s">
        <v>5453</v>
      </c>
      <c r="B2598" s="475" t="s">
        <v>5454</v>
      </c>
      <c r="C2598" s="475" t="s">
        <v>5458</v>
      </c>
      <c r="D2598" s="475" t="s">
        <v>5459</v>
      </c>
      <c r="E2598" s="476" t="s">
        <v>34</v>
      </c>
      <c r="F2598" s="475" t="s">
        <v>34</v>
      </c>
      <c r="G2598" s="364">
        <v>91905</v>
      </c>
      <c r="H2598" s="475" t="s">
        <v>2198</v>
      </c>
      <c r="I2598" s="475" t="s">
        <v>171</v>
      </c>
      <c r="J2598" s="475" t="s">
        <v>337</v>
      </c>
      <c r="K2598" s="365">
        <v>11.43</v>
      </c>
      <c r="L2598" s="475" t="s">
        <v>141</v>
      </c>
      <c r="M2598" s="473"/>
    </row>
    <row r="2599" spans="1:13" ht="13.5">
      <c r="A2599" s="475" t="s">
        <v>5453</v>
      </c>
      <c r="B2599" s="475" t="s">
        <v>5454</v>
      </c>
      <c r="C2599" s="475" t="s">
        <v>5458</v>
      </c>
      <c r="D2599" s="475" t="s">
        <v>5459</v>
      </c>
      <c r="E2599" s="476" t="s">
        <v>34</v>
      </c>
      <c r="F2599" s="475" t="s">
        <v>34</v>
      </c>
      <c r="G2599" s="364">
        <v>91907</v>
      </c>
      <c r="H2599" s="475" t="s">
        <v>15191</v>
      </c>
      <c r="I2599" s="475" t="s">
        <v>171</v>
      </c>
      <c r="J2599" s="475" t="s">
        <v>337</v>
      </c>
      <c r="K2599" s="365">
        <v>12.72</v>
      </c>
      <c r="L2599" s="475" t="s">
        <v>141</v>
      </c>
      <c r="M2599" s="473"/>
    </row>
    <row r="2600" spans="1:13" ht="13.5">
      <c r="A2600" s="475" t="s">
        <v>5453</v>
      </c>
      <c r="B2600" s="475" t="s">
        <v>5454</v>
      </c>
      <c r="C2600" s="475" t="s">
        <v>5458</v>
      </c>
      <c r="D2600" s="475" t="s">
        <v>5459</v>
      </c>
      <c r="E2600" s="476" t="s">
        <v>34</v>
      </c>
      <c r="F2600" s="475" t="s">
        <v>34</v>
      </c>
      <c r="G2600" s="364">
        <v>91908</v>
      </c>
      <c r="H2600" s="475" t="s">
        <v>2199</v>
      </c>
      <c r="I2600" s="475" t="s">
        <v>171</v>
      </c>
      <c r="J2600" s="475" t="s">
        <v>337</v>
      </c>
      <c r="K2600" s="365">
        <v>13.73</v>
      </c>
      <c r="L2600" s="475" t="s">
        <v>141</v>
      </c>
      <c r="M2600" s="473"/>
    </row>
    <row r="2601" spans="1:13" ht="13.5">
      <c r="A2601" s="475" t="s">
        <v>5453</v>
      </c>
      <c r="B2601" s="475" t="s">
        <v>5454</v>
      </c>
      <c r="C2601" s="475" t="s">
        <v>5458</v>
      </c>
      <c r="D2601" s="475" t="s">
        <v>5459</v>
      </c>
      <c r="E2601" s="476" t="s">
        <v>34</v>
      </c>
      <c r="F2601" s="475" t="s">
        <v>34</v>
      </c>
      <c r="G2601" s="364">
        <v>91910</v>
      </c>
      <c r="H2601" s="475" t="s">
        <v>2200</v>
      </c>
      <c r="I2601" s="475" t="s">
        <v>171</v>
      </c>
      <c r="J2601" s="475" t="s">
        <v>337</v>
      </c>
      <c r="K2601" s="365">
        <v>15.11</v>
      </c>
      <c r="L2601" s="475" t="s">
        <v>141</v>
      </c>
      <c r="M2601" s="473"/>
    </row>
    <row r="2602" spans="1:13" ht="13.5">
      <c r="A2602" s="475" t="s">
        <v>5453</v>
      </c>
      <c r="B2602" s="475" t="s">
        <v>5454</v>
      </c>
      <c r="C2602" s="475" t="s">
        <v>5458</v>
      </c>
      <c r="D2602" s="475" t="s">
        <v>5459</v>
      </c>
      <c r="E2602" s="476" t="s">
        <v>34</v>
      </c>
      <c r="F2602" s="475" t="s">
        <v>34</v>
      </c>
      <c r="G2602" s="364">
        <v>91911</v>
      </c>
      <c r="H2602" s="475" t="s">
        <v>2201</v>
      </c>
      <c r="I2602" s="475" t="s">
        <v>171</v>
      </c>
      <c r="J2602" s="475" t="s">
        <v>337</v>
      </c>
      <c r="K2602" s="365">
        <v>9.23</v>
      </c>
      <c r="L2602" s="475" t="s">
        <v>141</v>
      </c>
      <c r="M2602" s="473"/>
    </row>
    <row r="2603" spans="1:13" ht="13.5">
      <c r="A2603" s="475" t="s">
        <v>5453</v>
      </c>
      <c r="B2603" s="475" t="s">
        <v>5454</v>
      </c>
      <c r="C2603" s="475" t="s">
        <v>5458</v>
      </c>
      <c r="D2603" s="475" t="s">
        <v>5459</v>
      </c>
      <c r="E2603" s="476" t="s">
        <v>34</v>
      </c>
      <c r="F2603" s="475" t="s">
        <v>34</v>
      </c>
      <c r="G2603" s="364">
        <v>91913</v>
      </c>
      <c r="H2603" s="475" t="s">
        <v>2202</v>
      </c>
      <c r="I2603" s="475" t="s">
        <v>171</v>
      </c>
      <c r="J2603" s="475" t="s">
        <v>337</v>
      </c>
      <c r="K2603" s="365">
        <v>9.0399999999999991</v>
      </c>
      <c r="L2603" s="475" t="s">
        <v>141</v>
      </c>
      <c r="M2603" s="473"/>
    </row>
    <row r="2604" spans="1:13" ht="13.5">
      <c r="A2604" s="475" t="s">
        <v>5453</v>
      </c>
      <c r="B2604" s="475" t="s">
        <v>5454</v>
      </c>
      <c r="C2604" s="475" t="s">
        <v>5458</v>
      </c>
      <c r="D2604" s="475" t="s">
        <v>5459</v>
      </c>
      <c r="E2604" s="476" t="s">
        <v>34</v>
      </c>
      <c r="F2604" s="475" t="s">
        <v>34</v>
      </c>
      <c r="G2604" s="364">
        <v>91914</v>
      </c>
      <c r="H2604" s="475" t="s">
        <v>2203</v>
      </c>
      <c r="I2604" s="475" t="s">
        <v>171</v>
      </c>
      <c r="J2604" s="475" t="s">
        <v>337</v>
      </c>
      <c r="K2604" s="365">
        <v>10.09</v>
      </c>
      <c r="L2604" s="475" t="s">
        <v>141</v>
      </c>
      <c r="M2604" s="473"/>
    </row>
    <row r="2605" spans="1:13" ht="13.5">
      <c r="A2605" s="475" t="s">
        <v>5453</v>
      </c>
      <c r="B2605" s="475" t="s">
        <v>5454</v>
      </c>
      <c r="C2605" s="475" t="s">
        <v>5458</v>
      </c>
      <c r="D2605" s="475" t="s">
        <v>5459</v>
      </c>
      <c r="E2605" s="476" t="s">
        <v>34</v>
      </c>
      <c r="F2605" s="475" t="s">
        <v>34</v>
      </c>
      <c r="G2605" s="364">
        <v>91916</v>
      </c>
      <c r="H2605" s="475" t="s">
        <v>2204</v>
      </c>
      <c r="I2605" s="475" t="s">
        <v>171</v>
      </c>
      <c r="J2605" s="475" t="s">
        <v>337</v>
      </c>
      <c r="K2605" s="365">
        <v>11.37</v>
      </c>
      <c r="L2605" s="475" t="s">
        <v>141</v>
      </c>
      <c r="M2605" s="473"/>
    </row>
    <row r="2606" spans="1:13" ht="13.5">
      <c r="A2606" s="475" t="s">
        <v>5453</v>
      </c>
      <c r="B2606" s="475" t="s">
        <v>5454</v>
      </c>
      <c r="C2606" s="475" t="s">
        <v>5458</v>
      </c>
      <c r="D2606" s="475" t="s">
        <v>5459</v>
      </c>
      <c r="E2606" s="476" t="s">
        <v>34</v>
      </c>
      <c r="F2606" s="475" t="s">
        <v>34</v>
      </c>
      <c r="G2606" s="364">
        <v>91917</v>
      </c>
      <c r="H2606" s="475" t="s">
        <v>2205</v>
      </c>
      <c r="I2606" s="475" t="s">
        <v>171</v>
      </c>
      <c r="J2606" s="475" t="s">
        <v>337</v>
      </c>
      <c r="K2606" s="365">
        <v>12.19</v>
      </c>
      <c r="L2606" s="475" t="s">
        <v>141</v>
      </c>
      <c r="M2606" s="473"/>
    </row>
    <row r="2607" spans="1:13" ht="13.5">
      <c r="A2607" s="475" t="s">
        <v>5453</v>
      </c>
      <c r="B2607" s="475" t="s">
        <v>5454</v>
      </c>
      <c r="C2607" s="475" t="s">
        <v>5458</v>
      </c>
      <c r="D2607" s="475" t="s">
        <v>5459</v>
      </c>
      <c r="E2607" s="476" t="s">
        <v>34</v>
      </c>
      <c r="F2607" s="475" t="s">
        <v>34</v>
      </c>
      <c r="G2607" s="364">
        <v>91919</v>
      </c>
      <c r="H2607" s="475" t="s">
        <v>15192</v>
      </c>
      <c r="I2607" s="475" t="s">
        <v>171</v>
      </c>
      <c r="J2607" s="475" t="s">
        <v>337</v>
      </c>
      <c r="K2607" s="365">
        <v>13.48</v>
      </c>
      <c r="L2607" s="475" t="s">
        <v>141</v>
      </c>
      <c r="M2607" s="473"/>
    </row>
    <row r="2608" spans="1:13" ht="13.5">
      <c r="A2608" s="475" t="s">
        <v>5453</v>
      </c>
      <c r="B2608" s="475" t="s">
        <v>5454</v>
      </c>
      <c r="C2608" s="475" t="s">
        <v>5458</v>
      </c>
      <c r="D2608" s="475" t="s">
        <v>5459</v>
      </c>
      <c r="E2608" s="476" t="s">
        <v>34</v>
      </c>
      <c r="F2608" s="475" t="s">
        <v>34</v>
      </c>
      <c r="G2608" s="364">
        <v>91920</v>
      </c>
      <c r="H2608" s="475" t="s">
        <v>2206</v>
      </c>
      <c r="I2608" s="475" t="s">
        <v>171</v>
      </c>
      <c r="J2608" s="475" t="s">
        <v>337</v>
      </c>
      <c r="K2608" s="365">
        <v>13.9</v>
      </c>
      <c r="L2608" s="475" t="s">
        <v>141</v>
      </c>
      <c r="M2608" s="473"/>
    </row>
    <row r="2609" spans="1:13" ht="13.5">
      <c r="A2609" s="475" t="s">
        <v>5453</v>
      </c>
      <c r="B2609" s="475" t="s">
        <v>5454</v>
      </c>
      <c r="C2609" s="475" t="s">
        <v>5458</v>
      </c>
      <c r="D2609" s="475" t="s">
        <v>5459</v>
      </c>
      <c r="E2609" s="476" t="s">
        <v>34</v>
      </c>
      <c r="F2609" s="475" t="s">
        <v>34</v>
      </c>
      <c r="G2609" s="364">
        <v>91922</v>
      </c>
      <c r="H2609" s="475" t="s">
        <v>2207</v>
      </c>
      <c r="I2609" s="475" t="s">
        <v>171</v>
      </c>
      <c r="J2609" s="475" t="s">
        <v>337</v>
      </c>
      <c r="K2609" s="365">
        <v>15.28</v>
      </c>
      <c r="L2609" s="475" t="s">
        <v>141</v>
      </c>
      <c r="M2609" s="473"/>
    </row>
    <row r="2610" spans="1:13" ht="13.5">
      <c r="A2610" s="475" t="s">
        <v>5453</v>
      </c>
      <c r="B2610" s="475" t="s">
        <v>5454</v>
      </c>
      <c r="C2610" s="475" t="s">
        <v>5458</v>
      </c>
      <c r="D2610" s="475" t="s">
        <v>5459</v>
      </c>
      <c r="E2610" s="476" t="s">
        <v>34</v>
      </c>
      <c r="F2610" s="475" t="s">
        <v>34</v>
      </c>
      <c r="G2610" s="364">
        <v>93013</v>
      </c>
      <c r="H2610" s="475" t="s">
        <v>2208</v>
      </c>
      <c r="I2610" s="475" t="s">
        <v>171</v>
      </c>
      <c r="J2610" s="475" t="s">
        <v>337</v>
      </c>
      <c r="K2610" s="365">
        <v>10.09</v>
      </c>
      <c r="L2610" s="475" t="s">
        <v>141</v>
      </c>
      <c r="M2610" s="473"/>
    </row>
    <row r="2611" spans="1:13" ht="13.5">
      <c r="A2611" s="475" t="s">
        <v>5453</v>
      </c>
      <c r="B2611" s="475" t="s">
        <v>5454</v>
      </c>
      <c r="C2611" s="475" t="s">
        <v>5458</v>
      </c>
      <c r="D2611" s="475" t="s">
        <v>5459</v>
      </c>
      <c r="E2611" s="476" t="s">
        <v>34</v>
      </c>
      <c r="F2611" s="475" t="s">
        <v>34</v>
      </c>
      <c r="G2611" s="364">
        <v>93014</v>
      </c>
      <c r="H2611" s="475" t="s">
        <v>2209</v>
      </c>
      <c r="I2611" s="475" t="s">
        <v>171</v>
      </c>
      <c r="J2611" s="475" t="s">
        <v>337</v>
      </c>
      <c r="K2611" s="365">
        <v>12.3</v>
      </c>
      <c r="L2611" s="475" t="s">
        <v>141</v>
      </c>
      <c r="M2611" s="473"/>
    </row>
    <row r="2612" spans="1:13" ht="13.5">
      <c r="A2612" s="475" t="s">
        <v>5453</v>
      </c>
      <c r="B2612" s="475" t="s">
        <v>5454</v>
      </c>
      <c r="C2612" s="475" t="s">
        <v>5458</v>
      </c>
      <c r="D2612" s="475" t="s">
        <v>5459</v>
      </c>
      <c r="E2612" s="476" t="s">
        <v>34</v>
      </c>
      <c r="F2612" s="475" t="s">
        <v>34</v>
      </c>
      <c r="G2612" s="364">
        <v>93015</v>
      </c>
      <c r="H2612" s="475" t="s">
        <v>2210</v>
      </c>
      <c r="I2612" s="475" t="s">
        <v>171</v>
      </c>
      <c r="J2612" s="475" t="s">
        <v>337</v>
      </c>
      <c r="K2612" s="365">
        <v>18.12</v>
      </c>
      <c r="L2612" s="475" t="s">
        <v>141</v>
      </c>
      <c r="M2612" s="473"/>
    </row>
    <row r="2613" spans="1:13" ht="13.5">
      <c r="A2613" s="475" t="s">
        <v>5453</v>
      </c>
      <c r="B2613" s="475" t="s">
        <v>5454</v>
      </c>
      <c r="C2613" s="475" t="s">
        <v>5458</v>
      </c>
      <c r="D2613" s="475" t="s">
        <v>5459</v>
      </c>
      <c r="E2613" s="476" t="s">
        <v>34</v>
      </c>
      <c r="F2613" s="475" t="s">
        <v>34</v>
      </c>
      <c r="G2613" s="364">
        <v>93016</v>
      </c>
      <c r="H2613" s="475" t="s">
        <v>2211</v>
      </c>
      <c r="I2613" s="475" t="s">
        <v>171</v>
      </c>
      <c r="J2613" s="475" t="s">
        <v>337</v>
      </c>
      <c r="K2613" s="365">
        <v>21.85</v>
      </c>
      <c r="L2613" s="475" t="s">
        <v>141</v>
      </c>
      <c r="M2613" s="473"/>
    </row>
    <row r="2614" spans="1:13" ht="13.5">
      <c r="A2614" s="475" t="s">
        <v>5453</v>
      </c>
      <c r="B2614" s="475" t="s">
        <v>5454</v>
      </c>
      <c r="C2614" s="475" t="s">
        <v>5458</v>
      </c>
      <c r="D2614" s="475" t="s">
        <v>5459</v>
      </c>
      <c r="E2614" s="476" t="s">
        <v>34</v>
      </c>
      <c r="F2614" s="475" t="s">
        <v>34</v>
      </c>
      <c r="G2614" s="364">
        <v>93017</v>
      </c>
      <c r="H2614" s="475" t="s">
        <v>2212</v>
      </c>
      <c r="I2614" s="475" t="s">
        <v>171</v>
      </c>
      <c r="J2614" s="475" t="s">
        <v>337</v>
      </c>
      <c r="K2614" s="365">
        <v>32.31</v>
      </c>
      <c r="L2614" s="475" t="s">
        <v>141</v>
      </c>
      <c r="M2614" s="473"/>
    </row>
    <row r="2615" spans="1:13" ht="13.5">
      <c r="A2615" s="475" t="s">
        <v>5453</v>
      </c>
      <c r="B2615" s="475" t="s">
        <v>5454</v>
      </c>
      <c r="C2615" s="475" t="s">
        <v>5458</v>
      </c>
      <c r="D2615" s="475" t="s">
        <v>5459</v>
      </c>
      <c r="E2615" s="476" t="s">
        <v>34</v>
      </c>
      <c r="F2615" s="475" t="s">
        <v>34</v>
      </c>
      <c r="G2615" s="364">
        <v>93018</v>
      </c>
      <c r="H2615" s="475" t="s">
        <v>2213</v>
      </c>
      <c r="I2615" s="475" t="s">
        <v>171</v>
      </c>
      <c r="J2615" s="475" t="s">
        <v>337</v>
      </c>
      <c r="K2615" s="365">
        <v>15.38</v>
      </c>
      <c r="L2615" s="475" t="s">
        <v>141</v>
      </c>
      <c r="M2615" s="473"/>
    </row>
    <row r="2616" spans="1:13" ht="13.5">
      <c r="A2616" s="475" t="s">
        <v>5453</v>
      </c>
      <c r="B2616" s="475" t="s">
        <v>5454</v>
      </c>
      <c r="C2616" s="475" t="s">
        <v>5458</v>
      </c>
      <c r="D2616" s="475" t="s">
        <v>5459</v>
      </c>
      <c r="E2616" s="476" t="s">
        <v>34</v>
      </c>
      <c r="F2616" s="475" t="s">
        <v>34</v>
      </c>
      <c r="G2616" s="364">
        <v>93020</v>
      </c>
      <c r="H2616" s="475" t="s">
        <v>2214</v>
      </c>
      <c r="I2616" s="475" t="s">
        <v>171</v>
      </c>
      <c r="J2616" s="475" t="s">
        <v>337</v>
      </c>
      <c r="K2616" s="365">
        <v>19.45</v>
      </c>
      <c r="L2616" s="475" t="s">
        <v>141</v>
      </c>
      <c r="M2616" s="473"/>
    </row>
    <row r="2617" spans="1:13" ht="13.5">
      <c r="A2617" s="475" t="s">
        <v>5453</v>
      </c>
      <c r="B2617" s="475" t="s">
        <v>5454</v>
      </c>
      <c r="C2617" s="475" t="s">
        <v>5458</v>
      </c>
      <c r="D2617" s="475" t="s">
        <v>5459</v>
      </c>
      <c r="E2617" s="476" t="s">
        <v>34</v>
      </c>
      <c r="F2617" s="475" t="s">
        <v>34</v>
      </c>
      <c r="G2617" s="364">
        <v>93022</v>
      </c>
      <c r="H2617" s="475" t="s">
        <v>2215</v>
      </c>
      <c r="I2617" s="475" t="s">
        <v>171</v>
      </c>
      <c r="J2617" s="475" t="s">
        <v>337</v>
      </c>
      <c r="K2617" s="365">
        <v>31.41</v>
      </c>
      <c r="L2617" s="475" t="s">
        <v>141</v>
      </c>
      <c r="M2617" s="473"/>
    </row>
    <row r="2618" spans="1:13" ht="13.5">
      <c r="A2618" s="475" t="s">
        <v>5453</v>
      </c>
      <c r="B2618" s="475" t="s">
        <v>5454</v>
      </c>
      <c r="C2618" s="475" t="s">
        <v>5458</v>
      </c>
      <c r="D2618" s="475" t="s">
        <v>5459</v>
      </c>
      <c r="E2618" s="476" t="s">
        <v>34</v>
      </c>
      <c r="F2618" s="475" t="s">
        <v>34</v>
      </c>
      <c r="G2618" s="364">
        <v>93024</v>
      </c>
      <c r="H2618" s="475" t="s">
        <v>2216</v>
      </c>
      <c r="I2618" s="475" t="s">
        <v>171</v>
      </c>
      <c r="J2618" s="475" t="s">
        <v>337</v>
      </c>
      <c r="K2618" s="365">
        <v>33.17</v>
      </c>
      <c r="L2618" s="475" t="s">
        <v>141</v>
      </c>
      <c r="M2618" s="473"/>
    </row>
    <row r="2619" spans="1:13" ht="13.5">
      <c r="A2619" s="475" t="s">
        <v>5453</v>
      </c>
      <c r="B2619" s="475" t="s">
        <v>5454</v>
      </c>
      <c r="C2619" s="475" t="s">
        <v>5458</v>
      </c>
      <c r="D2619" s="475" t="s">
        <v>5459</v>
      </c>
      <c r="E2619" s="476" t="s">
        <v>34</v>
      </c>
      <c r="F2619" s="475" t="s">
        <v>34</v>
      </c>
      <c r="G2619" s="364">
        <v>93026</v>
      </c>
      <c r="H2619" s="475" t="s">
        <v>2217</v>
      </c>
      <c r="I2619" s="475" t="s">
        <v>171</v>
      </c>
      <c r="J2619" s="475" t="s">
        <v>337</v>
      </c>
      <c r="K2619" s="365">
        <v>53.02</v>
      </c>
      <c r="L2619" s="475" t="s">
        <v>141</v>
      </c>
      <c r="M2619" s="473"/>
    </row>
    <row r="2620" spans="1:13" ht="13.5">
      <c r="A2620" s="475" t="s">
        <v>5453</v>
      </c>
      <c r="B2620" s="475" t="s">
        <v>5454</v>
      </c>
      <c r="C2620" s="475" t="s">
        <v>5458</v>
      </c>
      <c r="D2620" s="475" t="s">
        <v>5459</v>
      </c>
      <c r="E2620" s="476" t="s">
        <v>34</v>
      </c>
      <c r="F2620" s="475" t="s">
        <v>34</v>
      </c>
      <c r="G2620" s="364">
        <v>95733</v>
      </c>
      <c r="H2620" s="475" t="s">
        <v>2218</v>
      </c>
      <c r="I2620" s="475" t="s">
        <v>171</v>
      </c>
      <c r="J2620" s="475" t="s">
        <v>337</v>
      </c>
      <c r="K2620" s="365">
        <v>4.07</v>
      </c>
      <c r="L2620" s="475" t="s">
        <v>141</v>
      </c>
      <c r="M2620" s="473"/>
    </row>
    <row r="2621" spans="1:13" ht="13.5">
      <c r="A2621" s="475" t="s">
        <v>5453</v>
      </c>
      <c r="B2621" s="475" t="s">
        <v>5454</v>
      </c>
      <c r="C2621" s="475" t="s">
        <v>5458</v>
      </c>
      <c r="D2621" s="475" t="s">
        <v>5459</v>
      </c>
      <c r="E2621" s="476" t="s">
        <v>34</v>
      </c>
      <c r="F2621" s="475" t="s">
        <v>34</v>
      </c>
      <c r="G2621" s="364">
        <v>95734</v>
      </c>
      <c r="H2621" s="475" t="s">
        <v>2219</v>
      </c>
      <c r="I2621" s="475" t="s">
        <v>171</v>
      </c>
      <c r="J2621" s="475" t="s">
        <v>337</v>
      </c>
      <c r="K2621" s="365">
        <v>5.42</v>
      </c>
      <c r="L2621" s="475" t="s">
        <v>141</v>
      </c>
      <c r="M2621" s="473"/>
    </row>
    <row r="2622" spans="1:13" ht="13.5">
      <c r="A2622" s="475" t="s">
        <v>5453</v>
      </c>
      <c r="B2622" s="475" t="s">
        <v>5454</v>
      </c>
      <c r="C2622" s="475" t="s">
        <v>5458</v>
      </c>
      <c r="D2622" s="475" t="s">
        <v>5459</v>
      </c>
      <c r="E2622" s="476" t="s">
        <v>34</v>
      </c>
      <c r="F2622" s="475" t="s">
        <v>34</v>
      </c>
      <c r="G2622" s="364">
        <v>95735</v>
      </c>
      <c r="H2622" s="475" t="s">
        <v>2220</v>
      </c>
      <c r="I2622" s="475" t="s">
        <v>171</v>
      </c>
      <c r="J2622" s="475" t="s">
        <v>337</v>
      </c>
      <c r="K2622" s="365">
        <v>4.67</v>
      </c>
      <c r="L2622" s="475" t="s">
        <v>141</v>
      </c>
      <c r="M2622" s="473"/>
    </row>
    <row r="2623" spans="1:13" ht="13.5">
      <c r="A2623" s="475" t="s">
        <v>5453</v>
      </c>
      <c r="B2623" s="475" t="s">
        <v>5454</v>
      </c>
      <c r="C2623" s="475" t="s">
        <v>5458</v>
      </c>
      <c r="D2623" s="475" t="s">
        <v>5459</v>
      </c>
      <c r="E2623" s="476" t="s">
        <v>34</v>
      </c>
      <c r="F2623" s="475" t="s">
        <v>34</v>
      </c>
      <c r="G2623" s="364">
        <v>95736</v>
      </c>
      <c r="H2623" s="475" t="s">
        <v>2221</v>
      </c>
      <c r="I2623" s="475" t="s">
        <v>171</v>
      </c>
      <c r="J2623" s="475" t="s">
        <v>337</v>
      </c>
      <c r="K2623" s="365">
        <v>5.43</v>
      </c>
      <c r="L2623" s="475" t="s">
        <v>141</v>
      </c>
      <c r="M2623" s="473"/>
    </row>
    <row r="2624" spans="1:13" ht="13.5">
      <c r="A2624" s="475" t="s">
        <v>5453</v>
      </c>
      <c r="B2624" s="475" t="s">
        <v>5454</v>
      </c>
      <c r="C2624" s="475" t="s">
        <v>5458</v>
      </c>
      <c r="D2624" s="475" t="s">
        <v>5459</v>
      </c>
      <c r="E2624" s="476" t="s">
        <v>34</v>
      </c>
      <c r="F2624" s="475" t="s">
        <v>34</v>
      </c>
      <c r="G2624" s="364">
        <v>95738</v>
      </c>
      <c r="H2624" s="475" t="s">
        <v>2222</v>
      </c>
      <c r="I2624" s="475" t="s">
        <v>171</v>
      </c>
      <c r="J2624" s="475" t="s">
        <v>337</v>
      </c>
      <c r="K2624" s="365">
        <v>6.52</v>
      </c>
      <c r="L2624" s="475" t="s">
        <v>141</v>
      </c>
      <c r="M2624" s="473"/>
    </row>
    <row r="2625" spans="1:13" ht="13.5">
      <c r="A2625" s="475" t="s">
        <v>5453</v>
      </c>
      <c r="B2625" s="475" t="s">
        <v>5454</v>
      </c>
      <c r="C2625" s="475" t="s">
        <v>5458</v>
      </c>
      <c r="D2625" s="475" t="s">
        <v>5459</v>
      </c>
      <c r="E2625" s="476" t="s">
        <v>34</v>
      </c>
      <c r="F2625" s="475" t="s">
        <v>34</v>
      </c>
      <c r="G2625" s="364">
        <v>95753</v>
      </c>
      <c r="H2625" s="475" t="s">
        <v>2223</v>
      </c>
      <c r="I2625" s="475" t="s">
        <v>171</v>
      </c>
      <c r="J2625" s="475" t="s">
        <v>140</v>
      </c>
      <c r="K2625" s="365">
        <v>5.35</v>
      </c>
      <c r="L2625" s="475" t="s">
        <v>141</v>
      </c>
      <c r="M2625" s="473"/>
    </row>
    <row r="2626" spans="1:13" ht="13.5">
      <c r="A2626" s="475" t="s">
        <v>5453</v>
      </c>
      <c r="B2626" s="475" t="s">
        <v>5454</v>
      </c>
      <c r="C2626" s="475" t="s">
        <v>5458</v>
      </c>
      <c r="D2626" s="475" t="s">
        <v>5459</v>
      </c>
      <c r="E2626" s="476" t="s">
        <v>34</v>
      </c>
      <c r="F2626" s="475" t="s">
        <v>34</v>
      </c>
      <c r="G2626" s="364">
        <v>95754</v>
      </c>
      <c r="H2626" s="475" t="s">
        <v>2224</v>
      </c>
      <c r="I2626" s="475" t="s">
        <v>171</v>
      </c>
      <c r="J2626" s="475" t="s">
        <v>140</v>
      </c>
      <c r="K2626" s="365">
        <v>6.66</v>
      </c>
      <c r="L2626" s="475" t="s">
        <v>141</v>
      </c>
      <c r="M2626" s="473"/>
    </row>
    <row r="2627" spans="1:13" ht="13.5">
      <c r="A2627" s="475" t="s">
        <v>5453</v>
      </c>
      <c r="B2627" s="475" t="s">
        <v>5454</v>
      </c>
      <c r="C2627" s="475" t="s">
        <v>5458</v>
      </c>
      <c r="D2627" s="475" t="s">
        <v>5459</v>
      </c>
      <c r="E2627" s="476" t="s">
        <v>34</v>
      </c>
      <c r="F2627" s="475" t="s">
        <v>34</v>
      </c>
      <c r="G2627" s="364">
        <v>95755</v>
      </c>
      <c r="H2627" s="475" t="s">
        <v>2225</v>
      </c>
      <c r="I2627" s="475" t="s">
        <v>171</v>
      </c>
      <c r="J2627" s="475" t="s">
        <v>140</v>
      </c>
      <c r="K2627" s="365">
        <v>9.6300000000000008</v>
      </c>
      <c r="L2627" s="475" t="s">
        <v>141</v>
      </c>
      <c r="M2627" s="473"/>
    </row>
    <row r="2628" spans="1:13" ht="13.5">
      <c r="A2628" s="475" t="s">
        <v>5453</v>
      </c>
      <c r="B2628" s="475" t="s">
        <v>5454</v>
      </c>
      <c r="C2628" s="475" t="s">
        <v>5458</v>
      </c>
      <c r="D2628" s="475" t="s">
        <v>5459</v>
      </c>
      <c r="E2628" s="476" t="s">
        <v>34</v>
      </c>
      <c r="F2628" s="475" t="s">
        <v>34</v>
      </c>
      <c r="G2628" s="364">
        <v>95756</v>
      </c>
      <c r="H2628" s="475" t="s">
        <v>2226</v>
      </c>
      <c r="I2628" s="475" t="s">
        <v>171</v>
      </c>
      <c r="J2628" s="475" t="s">
        <v>140</v>
      </c>
      <c r="K2628" s="365">
        <v>12.84</v>
      </c>
      <c r="L2628" s="475" t="s">
        <v>141</v>
      </c>
      <c r="M2628" s="473"/>
    </row>
    <row r="2629" spans="1:13" ht="13.5">
      <c r="A2629" s="475" t="s">
        <v>5453</v>
      </c>
      <c r="B2629" s="475" t="s">
        <v>5454</v>
      </c>
      <c r="C2629" s="475" t="s">
        <v>5458</v>
      </c>
      <c r="D2629" s="475" t="s">
        <v>5459</v>
      </c>
      <c r="E2629" s="476" t="s">
        <v>34</v>
      </c>
      <c r="F2629" s="475" t="s">
        <v>34</v>
      </c>
      <c r="G2629" s="364">
        <v>95757</v>
      </c>
      <c r="H2629" s="475" t="s">
        <v>2227</v>
      </c>
      <c r="I2629" s="475" t="s">
        <v>171</v>
      </c>
      <c r="J2629" s="475" t="s">
        <v>140</v>
      </c>
      <c r="K2629" s="365">
        <v>8.0299999999999994</v>
      </c>
      <c r="L2629" s="475" t="s">
        <v>141</v>
      </c>
      <c r="M2629" s="473"/>
    </row>
    <row r="2630" spans="1:13" ht="13.5">
      <c r="A2630" s="475" t="s">
        <v>5453</v>
      </c>
      <c r="B2630" s="475" t="s">
        <v>5454</v>
      </c>
      <c r="C2630" s="475" t="s">
        <v>5458</v>
      </c>
      <c r="D2630" s="475" t="s">
        <v>5459</v>
      </c>
      <c r="E2630" s="476" t="s">
        <v>34</v>
      </c>
      <c r="F2630" s="475" t="s">
        <v>34</v>
      </c>
      <c r="G2630" s="364">
        <v>95758</v>
      </c>
      <c r="H2630" s="475" t="s">
        <v>2228</v>
      </c>
      <c r="I2630" s="475" t="s">
        <v>171</v>
      </c>
      <c r="J2630" s="475" t="s">
        <v>140</v>
      </c>
      <c r="K2630" s="365">
        <v>9.0299999999999994</v>
      </c>
      <c r="L2630" s="475" t="s">
        <v>141</v>
      </c>
      <c r="M2630" s="473"/>
    </row>
    <row r="2631" spans="1:13" ht="13.5">
      <c r="A2631" s="475" t="s">
        <v>5453</v>
      </c>
      <c r="B2631" s="475" t="s">
        <v>5454</v>
      </c>
      <c r="C2631" s="475" t="s">
        <v>5458</v>
      </c>
      <c r="D2631" s="475" t="s">
        <v>5459</v>
      </c>
      <c r="E2631" s="476" t="s">
        <v>34</v>
      </c>
      <c r="F2631" s="475" t="s">
        <v>34</v>
      </c>
      <c r="G2631" s="364">
        <v>95759</v>
      </c>
      <c r="H2631" s="475" t="s">
        <v>2229</v>
      </c>
      <c r="I2631" s="475" t="s">
        <v>171</v>
      </c>
      <c r="J2631" s="475" t="s">
        <v>140</v>
      </c>
      <c r="K2631" s="365">
        <v>11.56</v>
      </c>
      <c r="L2631" s="475" t="s">
        <v>141</v>
      </c>
      <c r="M2631" s="473"/>
    </row>
    <row r="2632" spans="1:13" ht="13.5">
      <c r="A2632" s="475" t="s">
        <v>5453</v>
      </c>
      <c r="B2632" s="475" t="s">
        <v>5454</v>
      </c>
      <c r="C2632" s="475" t="s">
        <v>5458</v>
      </c>
      <c r="D2632" s="475" t="s">
        <v>5459</v>
      </c>
      <c r="E2632" s="476" t="s">
        <v>34</v>
      </c>
      <c r="F2632" s="475" t="s">
        <v>34</v>
      </c>
      <c r="G2632" s="364">
        <v>95760</v>
      </c>
      <c r="H2632" s="475" t="s">
        <v>2230</v>
      </c>
      <c r="I2632" s="475" t="s">
        <v>171</v>
      </c>
      <c r="J2632" s="475" t="s">
        <v>140</v>
      </c>
      <c r="K2632" s="365">
        <v>14.25</v>
      </c>
      <c r="L2632" s="475" t="s">
        <v>141</v>
      </c>
      <c r="M2632" s="473"/>
    </row>
    <row r="2633" spans="1:13" ht="13.5">
      <c r="A2633" s="475" t="s">
        <v>5453</v>
      </c>
      <c r="B2633" s="475" t="s">
        <v>5454</v>
      </c>
      <c r="C2633" s="475" t="s">
        <v>5458</v>
      </c>
      <c r="D2633" s="475" t="s">
        <v>5459</v>
      </c>
      <c r="E2633" s="476" t="s">
        <v>34</v>
      </c>
      <c r="F2633" s="475" t="s">
        <v>34</v>
      </c>
      <c r="G2633" s="364">
        <v>97559</v>
      </c>
      <c r="H2633" s="475" t="s">
        <v>15193</v>
      </c>
      <c r="I2633" s="475" t="s">
        <v>171</v>
      </c>
      <c r="J2633" s="475" t="s">
        <v>337</v>
      </c>
      <c r="K2633" s="365">
        <v>7.2</v>
      </c>
      <c r="L2633" s="475" t="s">
        <v>141</v>
      </c>
      <c r="M2633" s="473"/>
    </row>
    <row r="2634" spans="1:13" ht="13.5">
      <c r="A2634" s="475" t="s">
        <v>5453</v>
      </c>
      <c r="B2634" s="475" t="s">
        <v>5454</v>
      </c>
      <c r="C2634" s="475" t="s">
        <v>5458</v>
      </c>
      <c r="D2634" s="475" t="s">
        <v>5459</v>
      </c>
      <c r="E2634" s="476" t="s">
        <v>34</v>
      </c>
      <c r="F2634" s="475" t="s">
        <v>34</v>
      </c>
      <c r="G2634" s="364">
        <v>97562</v>
      </c>
      <c r="H2634" s="475" t="s">
        <v>15194</v>
      </c>
      <c r="I2634" s="475" t="s">
        <v>171</v>
      </c>
      <c r="J2634" s="475" t="s">
        <v>337</v>
      </c>
      <c r="K2634" s="365">
        <v>8.66</v>
      </c>
      <c r="L2634" s="475" t="s">
        <v>141</v>
      </c>
      <c r="M2634" s="473"/>
    </row>
    <row r="2635" spans="1:13" ht="13.5">
      <c r="A2635" s="475" t="s">
        <v>5453</v>
      </c>
      <c r="B2635" s="475" t="s">
        <v>5454</v>
      </c>
      <c r="C2635" s="475" t="s">
        <v>5458</v>
      </c>
      <c r="D2635" s="475" t="s">
        <v>5459</v>
      </c>
      <c r="E2635" s="476" t="s">
        <v>34</v>
      </c>
      <c r="F2635" s="475" t="s">
        <v>34</v>
      </c>
      <c r="G2635" s="364">
        <v>97564</v>
      </c>
      <c r="H2635" s="475" t="s">
        <v>15195</v>
      </c>
      <c r="I2635" s="475" t="s">
        <v>171</v>
      </c>
      <c r="J2635" s="475" t="s">
        <v>337</v>
      </c>
      <c r="K2635" s="365">
        <v>9.9499999999999993</v>
      </c>
      <c r="L2635" s="475" t="s">
        <v>141</v>
      </c>
      <c r="M2635" s="473"/>
    </row>
    <row r="2636" spans="1:13" ht="13.5">
      <c r="A2636" s="475" t="s">
        <v>5453</v>
      </c>
      <c r="B2636" s="475" t="s">
        <v>5454</v>
      </c>
      <c r="C2636" s="475" t="s">
        <v>5461</v>
      </c>
      <c r="D2636" s="475" t="s">
        <v>5462</v>
      </c>
      <c r="E2636" s="476" t="s">
        <v>34</v>
      </c>
      <c r="F2636" s="475" t="s">
        <v>34</v>
      </c>
      <c r="G2636" s="364">
        <v>91924</v>
      </c>
      <c r="H2636" s="475" t="s">
        <v>2231</v>
      </c>
      <c r="I2636" s="475" t="s">
        <v>139</v>
      </c>
      <c r="J2636" s="475" t="s">
        <v>337</v>
      </c>
      <c r="K2636" s="365">
        <v>1.95</v>
      </c>
      <c r="L2636" s="475" t="s">
        <v>141</v>
      </c>
      <c r="M2636" s="473"/>
    </row>
    <row r="2637" spans="1:13" ht="13.5">
      <c r="A2637" s="475" t="s">
        <v>5453</v>
      </c>
      <c r="B2637" s="475" t="s">
        <v>5454</v>
      </c>
      <c r="C2637" s="475" t="s">
        <v>5461</v>
      </c>
      <c r="D2637" s="475" t="s">
        <v>5462</v>
      </c>
      <c r="E2637" s="476" t="s">
        <v>34</v>
      </c>
      <c r="F2637" s="475" t="s">
        <v>34</v>
      </c>
      <c r="G2637" s="364">
        <v>91925</v>
      </c>
      <c r="H2637" s="475" t="s">
        <v>2232</v>
      </c>
      <c r="I2637" s="475" t="s">
        <v>139</v>
      </c>
      <c r="J2637" s="475" t="s">
        <v>337</v>
      </c>
      <c r="K2637" s="365">
        <v>2.74</v>
      </c>
      <c r="L2637" s="475" t="s">
        <v>141</v>
      </c>
      <c r="M2637" s="473"/>
    </row>
    <row r="2638" spans="1:13" ht="13.5">
      <c r="A2638" s="475" t="s">
        <v>5453</v>
      </c>
      <c r="B2638" s="475" t="s">
        <v>5454</v>
      </c>
      <c r="C2638" s="475" t="s">
        <v>5461</v>
      </c>
      <c r="D2638" s="475" t="s">
        <v>5462</v>
      </c>
      <c r="E2638" s="476" t="s">
        <v>34</v>
      </c>
      <c r="F2638" s="475" t="s">
        <v>34</v>
      </c>
      <c r="G2638" s="364">
        <v>91926</v>
      </c>
      <c r="H2638" s="475" t="s">
        <v>2233</v>
      </c>
      <c r="I2638" s="475" t="s">
        <v>139</v>
      </c>
      <c r="J2638" s="475" t="s">
        <v>337</v>
      </c>
      <c r="K2638" s="365">
        <v>2.83</v>
      </c>
      <c r="L2638" s="475" t="s">
        <v>141</v>
      </c>
      <c r="M2638" s="473"/>
    </row>
    <row r="2639" spans="1:13" ht="13.5">
      <c r="A2639" s="475" t="s">
        <v>5453</v>
      </c>
      <c r="B2639" s="475" t="s">
        <v>5454</v>
      </c>
      <c r="C2639" s="475" t="s">
        <v>5461</v>
      </c>
      <c r="D2639" s="475" t="s">
        <v>5462</v>
      </c>
      <c r="E2639" s="476" t="s">
        <v>34</v>
      </c>
      <c r="F2639" s="475" t="s">
        <v>34</v>
      </c>
      <c r="G2639" s="364">
        <v>91927</v>
      </c>
      <c r="H2639" s="475" t="s">
        <v>2234</v>
      </c>
      <c r="I2639" s="475" t="s">
        <v>139</v>
      </c>
      <c r="J2639" s="475" t="s">
        <v>337</v>
      </c>
      <c r="K2639" s="365">
        <v>3.69</v>
      </c>
      <c r="L2639" s="475" t="s">
        <v>141</v>
      </c>
      <c r="M2639" s="473"/>
    </row>
    <row r="2640" spans="1:13" ht="13.5">
      <c r="A2640" s="475" t="s">
        <v>5453</v>
      </c>
      <c r="B2640" s="475" t="s">
        <v>5454</v>
      </c>
      <c r="C2640" s="475" t="s">
        <v>5461</v>
      </c>
      <c r="D2640" s="475" t="s">
        <v>5462</v>
      </c>
      <c r="E2640" s="476" t="s">
        <v>34</v>
      </c>
      <c r="F2640" s="475" t="s">
        <v>34</v>
      </c>
      <c r="G2640" s="364">
        <v>91928</v>
      </c>
      <c r="H2640" s="475" t="s">
        <v>2235</v>
      </c>
      <c r="I2640" s="475" t="s">
        <v>139</v>
      </c>
      <c r="J2640" s="475" t="s">
        <v>337</v>
      </c>
      <c r="K2640" s="365">
        <v>4.5599999999999996</v>
      </c>
      <c r="L2640" s="475" t="s">
        <v>141</v>
      </c>
      <c r="M2640" s="473"/>
    </row>
    <row r="2641" spans="1:13" ht="13.5">
      <c r="A2641" s="475" t="s">
        <v>5453</v>
      </c>
      <c r="B2641" s="475" t="s">
        <v>5454</v>
      </c>
      <c r="C2641" s="475" t="s">
        <v>5461</v>
      </c>
      <c r="D2641" s="475" t="s">
        <v>5462</v>
      </c>
      <c r="E2641" s="476" t="s">
        <v>34</v>
      </c>
      <c r="F2641" s="475" t="s">
        <v>34</v>
      </c>
      <c r="G2641" s="364">
        <v>91929</v>
      </c>
      <c r="H2641" s="475" t="s">
        <v>2236</v>
      </c>
      <c r="I2641" s="475" t="s">
        <v>139</v>
      </c>
      <c r="J2641" s="475" t="s">
        <v>337</v>
      </c>
      <c r="K2641" s="365">
        <v>5.18</v>
      </c>
      <c r="L2641" s="475" t="s">
        <v>141</v>
      </c>
      <c r="M2641" s="473"/>
    </row>
    <row r="2642" spans="1:13" ht="13.5">
      <c r="A2642" s="475" t="s">
        <v>5453</v>
      </c>
      <c r="B2642" s="475" t="s">
        <v>5454</v>
      </c>
      <c r="C2642" s="475" t="s">
        <v>5461</v>
      </c>
      <c r="D2642" s="475" t="s">
        <v>5462</v>
      </c>
      <c r="E2642" s="476" t="s">
        <v>34</v>
      </c>
      <c r="F2642" s="475" t="s">
        <v>34</v>
      </c>
      <c r="G2642" s="364">
        <v>91930</v>
      </c>
      <c r="H2642" s="475" t="s">
        <v>2237</v>
      </c>
      <c r="I2642" s="475" t="s">
        <v>139</v>
      </c>
      <c r="J2642" s="475" t="s">
        <v>337</v>
      </c>
      <c r="K2642" s="365">
        <v>6.25</v>
      </c>
      <c r="L2642" s="475" t="s">
        <v>141</v>
      </c>
      <c r="M2642" s="473"/>
    </row>
    <row r="2643" spans="1:13" ht="13.5">
      <c r="A2643" s="475" t="s">
        <v>5453</v>
      </c>
      <c r="B2643" s="475" t="s">
        <v>5454</v>
      </c>
      <c r="C2643" s="475" t="s">
        <v>5461</v>
      </c>
      <c r="D2643" s="475" t="s">
        <v>5462</v>
      </c>
      <c r="E2643" s="476" t="s">
        <v>34</v>
      </c>
      <c r="F2643" s="475" t="s">
        <v>34</v>
      </c>
      <c r="G2643" s="364">
        <v>91931</v>
      </c>
      <c r="H2643" s="475" t="s">
        <v>2238</v>
      </c>
      <c r="I2643" s="475" t="s">
        <v>139</v>
      </c>
      <c r="J2643" s="475" t="s">
        <v>337</v>
      </c>
      <c r="K2643" s="365">
        <v>6.98</v>
      </c>
      <c r="L2643" s="475" t="s">
        <v>141</v>
      </c>
      <c r="M2643" s="473"/>
    </row>
    <row r="2644" spans="1:13" ht="13.5">
      <c r="A2644" s="475" t="s">
        <v>5453</v>
      </c>
      <c r="B2644" s="475" t="s">
        <v>5454</v>
      </c>
      <c r="C2644" s="475" t="s">
        <v>5461</v>
      </c>
      <c r="D2644" s="475" t="s">
        <v>5462</v>
      </c>
      <c r="E2644" s="476" t="s">
        <v>34</v>
      </c>
      <c r="F2644" s="475" t="s">
        <v>34</v>
      </c>
      <c r="G2644" s="364">
        <v>91932</v>
      </c>
      <c r="H2644" s="475" t="s">
        <v>2239</v>
      </c>
      <c r="I2644" s="475" t="s">
        <v>139</v>
      </c>
      <c r="J2644" s="475" t="s">
        <v>337</v>
      </c>
      <c r="K2644" s="365">
        <v>10.26</v>
      </c>
      <c r="L2644" s="475" t="s">
        <v>141</v>
      </c>
      <c r="M2644" s="473"/>
    </row>
    <row r="2645" spans="1:13" ht="13.5">
      <c r="A2645" s="475" t="s">
        <v>5453</v>
      </c>
      <c r="B2645" s="475" t="s">
        <v>5454</v>
      </c>
      <c r="C2645" s="475" t="s">
        <v>5461</v>
      </c>
      <c r="D2645" s="475" t="s">
        <v>5462</v>
      </c>
      <c r="E2645" s="476" t="s">
        <v>34</v>
      </c>
      <c r="F2645" s="475" t="s">
        <v>34</v>
      </c>
      <c r="G2645" s="364">
        <v>91933</v>
      </c>
      <c r="H2645" s="475" t="s">
        <v>2240</v>
      </c>
      <c r="I2645" s="475" t="s">
        <v>139</v>
      </c>
      <c r="J2645" s="475" t="s">
        <v>337</v>
      </c>
      <c r="K2645" s="365">
        <v>10.94</v>
      </c>
      <c r="L2645" s="475" t="s">
        <v>141</v>
      </c>
      <c r="M2645" s="473"/>
    </row>
    <row r="2646" spans="1:13" ht="13.5">
      <c r="A2646" s="475" t="s">
        <v>5453</v>
      </c>
      <c r="B2646" s="475" t="s">
        <v>5454</v>
      </c>
      <c r="C2646" s="475" t="s">
        <v>5461</v>
      </c>
      <c r="D2646" s="475" t="s">
        <v>5462</v>
      </c>
      <c r="E2646" s="476" t="s">
        <v>34</v>
      </c>
      <c r="F2646" s="475" t="s">
        <v>34</v>
      </c>
      <c r="G2646" s="364">
        <v>91934</v>
      </c>
      <c r="H2646" s="475" t="s">
        <v>2241</v>
      </c>
      <c r="I2646" s="475" t="s">
        <v>139</v>
      </c>
      <c r="J2646" s="475" t="s">
        <v>337</v>
      </c>
      <c r="K2646" s="365">
        <v>15.69</v>
      </c>
      <c r="L2646" s="475" t="s">
        <v>141</v>
      </c>
      <c r="M2646" s="473"/>
    </row>
    <row r="2647" spans="1:13" ht="13.5">
      <c r="A2647" s="475" t="s">
        <v>5453</v>
      </c>
      <c r="B2647" s="475" t="s">
        <v>5454</v>
      </c>
      <c r="C2647" s="475" t="s">
        <v>5461</v>
      </c>
      <c r="D2647" s="475" t="s">
        <v>5462</v>
      </c>
      <c r="E2647" s="476" t="s">
        <v>34</v>
      </c>
      <c r="F2647" s="475" t="s">
        <v>34</v>
      </c>
      <c r="G2647" s="364">
        <v>91935</v>
      </c>
      <c r="H2647" s="475" t="s">
        <v>2242</v>
      </c>
      <c r="I2647" s="475" t="s">
        <v>139</v>
      </c>
      <c r="J2647" s="475" t="s">
        <v>337</v>
      </c>
      <c r="K2647" s="365">
        <v>16.670000000000002</v>
      </c>
      <c r="L2647" s="475" t="s">
        <v>141</v>
      </c>
      <c r="M2647" s="473"/>
    </row>
    <row r="2648" spans="1:13" ht="13.5">
      <c r="A2648" s="475" t="s">
        <v>5453</v>
      </c>
      <c r="B2648" s="475" t="s">
        <v>5454</v>
      </c>
      <c r="C2648" s="475" t="s">
        <v>5461</v>
      </c>
      <c r="D2648" s="475" t="s">
        <v>5462</v>
      </c>
      <c r="E2648" s="476" t="s">
        <v>34</v>
      </c>
      <c r="F2648" s="475" t="s">
        <v>34</v>
      </c>
      <c r="G2648" s="364">
        <v>92979</v>
      </c>
      <c r="H2648" s="475" t="s">
        <v>2243</v>
      </c>
      <c r="I2648" s="475" t="s">
        <v>139</v>
      </c>
      <c r="J2648" s="475" t="s">
        <v>337</v>
      </c>
      <c r="K2648" s="365">
        <v>6.87</v>
      </c>
      <c r="L2648" s="475" t="s">
        <v>141</v>
      </c>
      <c r="M2648" s="473"/>
    </row>
    <row r="2649" spans="1:13" ht="13.5">
      <c r="A2649" s="475" t="s">
        <v>5453</v>
      </c>
      <c r="B2649" s="475" t="s">
        <v>5454</v>
      </c>
      <c r="C2649" s="475" t="s">
        <v>5461</v>
      </c>
      <c r="D2649" s="475" t="s">
        <v>5462</v>
      </c>
      <c r="E2649" s="476" t="s">
        <v>34</v>
      </c>
      <c r="F2649" s="475" t="s">
        <v>34</v>
      </c>
      <c r="G2649" s="364">
        <v>92980</v>
      </c>
      <c r="H2649" s="475" t="s">
        <v>2244</v>
      </c>
      <c r="I2649" s="475" t="s">
        <v>139</v>
      </c>
      <c r="J2649" s="475" t="s">
        <v>337</v>
      </c>
      <c r="K2649" s="365">
        <v>7.45</v>
      </c>
      <c r="L2649" s="475" t="s">
        <v>141</v>
      </c>
      <c r="M2649" s="473"/>
    </row>
    <row r="2650" spans="1:13" ht="13.5">
      <c r="A2650" s="475" t="s">
        <v>5453</v>
      </c>
      <c r="B2650" s="475" t="s">
        <v>5454</v>
      </c>
      <c r="C2650" s="475" t="s">
        <v>5461</v>
      </c>
      <c r="D2650" s="475" t="s">
        <v>5462</v>
      </c>
      <c r="E2650" s="476" t="s">
        <v>34</v>
      </c>
      <c r="F2650" s="475" t="s">
        <v>34</v>
      </c>
      <c r="G2650" s="364">
        <v>92981</v>
      </c>
      <c r="H2650" s="475" t="s">
        <v>2245</v>
      </c>
      <c r="I2650" s="475" t="s">
        <v>139</v>
      </c>
      <c r="J2650" s="475" t="s">
        <v>337</v>
      </c>
      <c r="K2650" s="365">
        <v>10.54</v>
      </c>
      <c r="L2650" s="475" t="s">
        <v>141</v>
      </c>
      <c r="M2650" s="473"/>
    </row>
    <row r="2651" spans="1:13" ht="13.5">
      <c r="A2651" s="475" t="s">
        <v>5453</v>
      </c>
      <c r="B2651" s="475" t="s">
        <v>5454</v>
      </c>
      <c r="C2651" s="475" t="s">
        <v>5461</v>
      </c>
      <c r="D2651" s="475" t="s">
        <v>5462</v>
      </c>
      <c r="E2651" s="476" t="s">
        <v>34</v>
      </c>
      <c r="F2651" s="475" t="s">
        <v>34</v>
      </c>
      <c r="G2651" s="364">
        <v>92982</v>
      </c>
      <c r="H2651" s="475" t="s">
        <v>2246</v>
      </c>
      <c r="I2651" s="475" t="s">
        <v>139</v>
      </c>
      <c r="J2651" s="475" t="s">
        <v>337</v>
      </c>
      <c r="K2651" s="365">
        <v>11.39</v>
      </c>
      <c r="L2651" s="475" t="s">
        <v>141</v>
      </c>
      <c r="M2651" s="473"/>
    </row>
    <row r="2652" spans="1:13" ht="13.5">
      <c r="A2652" s="475" t="s">
        <v>5453</v>
      </c>
      <c r="B2652" s="475" t="s">
        <v>5454</v>
      </c>
      <c r="C2652" s="475" t="s">
        <v>5461</v>
      </c>
      <c r="D2652" s="475" t="s">
        <v>5462</v>
      </c>
      <c r="E2652" s="476" t="s">
        <v>34</v>
      </c>
      <c r="F2652" s="475" t="s">
        <v>34</v>
      </c>
      <c r="G2652" s="364">
        <v>92983</v>
      </c>
      <c r="H2652" s="475" t="s">
        <v>2247</v>
      </c>
      <c r="I2652" s="475" t="s">
        <v>139</v>
      </c>
      <c r="J2652" s="475" t="s">
        <v>337</v>
      </c>
      <c r="K2652" s="365">
        <v>18.2</v>
      </c>
      <c r="L2652" s="475" t="s">
        <v>141</v>
      </c>
      <c r="M2652" s="473"/>
    </row>
    <row r="2653" spans="1:13" ht="13.5">
      <c r="A2653" s="475" t="s">
        <v>5453</v>
      </c>
      <c r="B2653" s="475" t="s">
        <v>5454</v>
      </c>
      <c r="C2653" s="475" t="s">
        <v>5461</v>
      </c>
      <c r="D2653" s="475" t="s">
        <v>5462</v>
      </c>
      <c r="E2653" s="476" t="s">
        <v>34</v>
      </c>
      <c r="F2653" s="475" t="s">
        <v>34</v>
      </c>
      <c r="G2653" s="364">
        <v>92984</v>
      </c>
      <c r="H2653" s="475" t="s">
        <v>2248</v>
      </c>
      <c r="I2653" s="475" t="s">
        <v>139</v>
      </c>
      <c r="J2653" s="475" t="s">
        <v>337</v>
      </c>
      <c r="K2653" s="365">
        <v>18.68</v>
      </c>
      <c r="L2653" s="475" t="s">
        <v>141</v>
      </c>
      <c r="M2653" s="473"/>
    </row>
    <row r="2654" spans="1:13" ht="13.5">
      <c r="A2654" s="475" t="s">
        <v>5453</v>
      </c>
      <c r="B2654" s="475" t="s">
        <v>5454</v>
      </c>
      <c r="C2654" s="475" t="s">
        <v>5461</v>
      </c>
      <c r="D2654" s="475" t="s">
        <v>5462</v>
      </c>
      <c r="E2654" s="476" t="s">
        <v>34</v>
      </c>
      <c r="F2654" s="475" t="s">
        <v>34</v>
      </c>
      <c r="G2654" s="364">
        <v>92985</v>
      </c>
      <c r="H2654" s="475" t="s">
        <v>2249</v>
      </c>
      <c r="I2654" s="475" t="s">
        <v>139</v>
      </c>
      <c r="J2654" s="475" t="s">
        <v>337</v>
      </c>
      <c r="K2654" s="365">
        <v>24.49</v>
      </c>
      <c r="L2654" s="475" t="s">
        <v>141</v>
      </c>
      <c r="M2654" s="473"/>
    </row>
    <row r="2655" spans="1:13" ht="13.5">
      <c r="A2655" s="475" t="s">
        <v>5453</v>
      </c>
      <c r="B2655" s="475" t="s">
        <v>5454</v>
      </c>
      <c r="C2655" s="475" t="s">
        <v>5461</v>
      </c>
      <c r="D2655" s="475" t="s">
        <v>5462</v>
      </c>
      <c r="E2655" s="476" t="s">
        <v>34</v>
      </c>
      <c r="F2655" s="475" t="s">
        <v>34</v>
      </c>
      <c r="G2655" s="364">
        <v>92986</v>
      </c>
      <c r="H2655" s="475" t="s">
        <v>2250</v>
      </c>
      <c r="I2655" s="475" t="s">
        <v>139</v>
      </c>
      <c r="J2655" s="475" t="s">
        <v>337</v>
      </c>
      <c r="K2655" s="365">
        <v>25.21</v>
      </c>
      <c r="L2655" s="475" t="s">
        <v>141</v>
      </c>
      <c r="M2655" s="473"/>
    </row>
    <row r="2656" spans="1:13" ht="13.5">
      <c r="A2656" s="475" t="s">
        <v>5453</v>
      </c>
      <c r="B2656" s="475" t="s">
        <v>5454</v>
      </c>
      <c r="C2656" s="475" t="s">
        <v>5461</v>
      </c>
      <c r="D2656" s="475" t="s">
        <v>5462</v>
      </c>
      <c r="E2656" s="476" t="s">
        <v>34</v>
      </c>
      <c r="F2656" s="475" t="s">
        <v>34</v>
      </c>
      <c r="G2656" s="364">
        <v>92987</v>
      </c>
      <c r="H2656" s="475" t="s">
        <v>2251</v>
      </c>
      <c r="I2656" s="475" t="s">
        <v>139</v>
      </c>
      <c r="J2656" s="475" t="s">
        <v>337</v>
      </c>
      <c r="K2656" s="365">
        <v>35.24</v>
      </c>
      <c r="L2656" s="475" t="s">
        <v>141</v>
      </c>
      <c r="M2656" s="473"/>
    </row>
    <row r="2657" spans="1:13" ht="13.5">
      <c r="A2657" s="475" t="s">
        <v>5453</v>
      </c>
      <c r="B2657" s="475" t="s">
        <v>5454</v>
      </c>
      <c r="C2657" s="475" t="s">
        <v>5461</v>
      </c>
      <c r="D2657" s="475" t="s">
        <v>5462</v>
      </c>
      <c r="E2657" s="476" t="s">
        <v>34</v>
      </c>
      <c r="F2657" s="475" t="s">
        <v>34</v>
      </c>
      <c r="G2657" s="364">
        <v>92988</v>
      </c>
      <c r="H2657" s="475" t="s">
        <v>2252</v>
      </c>
      <c r="I2657" s="475" t="s">
        <v>139</v>
      </c>
      <c r="J2657" s="475" t="s">
        <v>337</v>
      </c>
      <c r="K2657" s="365">
        <v>35.33</v>
      </c>
      <c r="L2657" s="475" t="s">
        <v>141</v>
      </c>
      <c r="M2657" s="473"/>
    </row>
    <row r="2658" spans="1:13" ht="13.5">
      <c r="A2658" s="475" t="s">
        <v>5453</v>
      </c>
      <c r="B2658" s="475" t="s">
        <v>5454</v>
      </c>
      <c r="C2658" s="475" t="s">
        <v>5461</v>
      </c>
      <c r="D2658" s="475" t="s">
        <v>5462</v>
      </c>
      <c r="E2658" s="476" t="s">
        <v>34</v>
      </c>
      <c r="F2658" s="475" t="s">
        <v>34</v>
      </c>
      <c r="G2658" s="364">
        <v>92989</v>
      </c>
      <c r="H2658" s="475" t="s">
        <v>2253</v>
      </c>
      <c r="I2658" s="475" t="s">
        <v>139</v>
      </c>
      <c r="J2658" s="475" t="s">
        <v>337</v>
      </c>
      <c r="K2658" s="365">
        <v>48.96</v>
      </c>
      <c r="L2658" s="475" t="s">
        <v>141</v>
      </c>
      <c r="M2658" s="473"/>
    </row>
    <row r="2659" spans="1:13" ht="13.5">
      <c r="A2659" s="475" t="s">
        <v>5453</v>
      </c>
      <c r="B2659" s="475" t="s">
        <v>5454</v>
      </c>
      <c r="C2659" s="475" t="s">
        <v>5461</v>
      </c>
      <c r="D2659" s="475" t="s">
        <v>5462</v>
      </c>
      <c r="E2659" s="476" t="s">
        <v>34</v>
      </c>
      <c r="F2659" s="475" t="s">
        <v>34</v>
      </c>
      <c r="G2659" s="364">
        <v>92990</v>
      </c>
      <c r="H2659" s="475" t="s">
        <v>2254</v>
      </c>
      <c r="I2659" s="475" t="s">
        <v>139</v>
      </c>
      <c r="J2659" s="475" t="s">
        <v>337</v>
      </c>
      <c r="K2659" s="365">
        <v>48.4</v>
      </c>
      <c r="L2659" s="475" t="s">
        <v>141</v>
      </c>
      <c r="M2659" s="473"/>
    </row>
    <row r="2660" spans="1:13" ht="13.5">
      <c r="A2660" s="475" t="s">
        <v>5453</v>
      </c>
      <c r="B2660" s="475" t="s">
        <v>5454</v>
      </c>
      <c r="C2660" s="475" t="s">
        <v>5461</v>
      </c>
      <c r="D2660" s="475" t="s">
        <v>5462</v>
      </c>
      <c r="E2660" s="476" t="s">
        <v>34</v>
      </c>
      <c r="F2660" s="475" t="s">
        <v>34</v>
      </c>
      <c r="G2660" s="364">
        <v>92991</v>
      </c>
      <c r="H2660" s="475" t="s">
        <v>2255</v>
      </c>
      <c r="I2660" s="475" t="s">
        <v>139</v>
      </c>
      <c r="J2660" s="475" t="s">
        <v>337</v>
      </c>
      <c r="K2660" s="365">
        <v>63.84</v>
      </c>
      <c r="L2660" s="475" t="s">
        <v>141</v>
      </c>
      <c r="M2660" s="473"/>
    </row>
    <row r="2661" spans="1:13" ht="13.5">
      <c r="A2661" s="475" t="s">
        <v>5453</v>
      </c>
      <c r="B2661" s="475" t="s">
        <v>5454</v>
      </c>
      <c r="C2661" s="475" t="s">
        <v>5461</v>
      </c>
      <c r="D2661" s="475" t="s">
        <v>5462</v>
      </c>
      <c r="E2661" s="476" t="s">
        <v>34</v>
      </c>
      <c r="F2661" s="475" t="s">
        <v>34</v>
      </c>
      <c r="G2661" s="364">
        <v>92992</v>
      </c>
      <c r="H2661" s="475" t="s">
        <v>2256</v>
      </c>
      <c r="I2661" s="475" t="s">
        <v>139</v>
      </c>
      <c r="J2661" s="475" t="s">
        <v>337</v>
      </c>
      <c r="K2661" s="365">
        <v>63.88</v>
      </c>
      <c r="L2661" s="475" t="s">
        <v>141</v>
      </c>
      <c r="M2661" s="473"/>
    </row>
    <row r="2662" spans="1:13" ht="13.5">
      <c r="A2662" s="475" t="s">
        <v>5453</v>
      </c>
      <c r="B2662" s="475" t="s">
        <v>5454</v>
      </c>
      <c r="C2662" s="475" t="s">
        <v>5461</v>
      </c>
      <c r="D2662" s="475" t="s">
        <v>5462</v>
      </c>
      <c r="E2662" s="476" t="s">
        <v>34</v>
      </c>
      <c r="F2662" s="475" t="s">
        <v>34</v>
      </c>
      <c r="G2662" s="364">
        <v>92993</v>
      </c>
      <c r="H2662" s="475" t="s">
        <v>2257</v>
      </c>
      <c r="I2662" s="475" t="s">
        <v>139</v>
      </c>
      <c r="J2662" s="475" t="s">
        <v>337</v>
      </c>
      <c r="K2662" s="365">
        <v>81.84</v>
      </c>
      <c r="L2662" s="475" t="s">
        <v>141</v>
      </c>
      <c r="M2662" s="473"/>
    </row>
    <row r="2663" spans="1:13" ht="13.5">
      <c r="A2663" s="475" t="s">
        <v>5453</v>
      </c>
      <c r="B2663" s="475" t="s">
        <v>5454</v>
      </c>
      <c r="C2663" s="475" t="s">
        <v>5461</v>
      </c>
      <c r="D2663" s="475" t="s">
        <v>5462</v>
      </c>
      <c r="E2663" s="476" t="s">
        <v>34</v>
      </c>
      <c r="F2663" s="475" t="s">
        <v>34</v>
      </c>
      <c r="G2663" s="364">
        <v>92994</v>
      </c>
      <c r="H2663" s="475" t="s">
        <v>2258</v>
      </c>
      <c r="I2663" s="475" t="s">
        <v>139</v>
      </c>
      <c r="J2663" s="475" t="s">
        <v>337</v>
      </c>
      <c r="K2663" s="365">
        <v>82.65</v>
      </c>
      <c r="L2663" s="475" t="s">
        <v>141</v>
      </c>
      <c r="M2663" s="473"/>
    </row>
    <row r="2664" spans="1:13" ht="13.5">
      <c r="A2664" s="475" t="s">
        <v>5453</v>
      </c>
      <c r="B2664" s="475" t="s">
        <v>5454</v>
      </c>
      <c r="C2664" s="475" t="s">
        <v>5461</v>
      </c>
      <c r="D2664" s="475" t="s">
        <v>5462</v>
      </c>
      <c r="E2664" s="476" t="s">
        <v>34</v>
      </c>
      <c r="F2664" s="475" t="s">
        <v>34</v>
      </c>
      <c r="G2664" s="364">
        <v>92995</v>
      </c>
      <c r="H2664" s="475" t="s">
        <v>2259</v>
      </c>
      <c r="I2664" s="475" t="s">
        <v>139</v>
      </c>
      <c r="J2664" s="475" t="s">
        <v>337</v>
      </c>
      <c r="K2664" s="365">
        <v>101.79</v>
      </c>
      <c r="L2664" s="475" t="s">
        <v>141</v>
      </c>
      <c r="M2664" s="473"/>
    </row>
    <row r="2665" spans="1:13" ht="13.5">
      <c r="A2665" s="475" t="s">
        <v>5453</v>
      </c>
      <c r="B2665" s="475" t="s">
        <v>5454</v>
      </c>
      <c r="C2665" s="475" t="s">
        <v>5461</v>
      </c>
      <c r="D2665" s="475" t="s">
        <v>5462</v>
      </c>
      <c r="E2665" s="476" t="s">
        <v>34</v>
      </c>
      <c r="F2665" s="475" t="s">
        <v>34</v>
      </c>
      <c r="G2665" s="364">
        <v>92996</v>
      </c>
      <c r="H2665" s="475" t="s">
        <v>2260</v>
      </c>
      <c r="I2665" s="475" t="s">
        <v>139</v>
      </c>
      <c r="J2665" s="475" t="s">
        <v>337</v>
      </c>
      <c r="K2665" s="365">
        <v>102.07</v>
      </c>
      <c r="L2665" s="475" t="s">
        <v>141</v>
      </c>
      <c r="M2665" s="473"/>
    </row>
    <row r="2666" spans="1:13" ht="13.5">
      <c r="A2666" s="475" t="s">
        <v>5453</v>
      </c>
      <c r="B2666" s="475" t="s">
        <v>5454</v>
      </c>
      <c r="C2666" s="475" t="s">
        <v>5461</v>
      </c>
      <c r="D2666" s="475" t="s">
        <v>5462</v>
      </c>
      <c r="E2666" s="476" t="s">
        <v>34</v>
      </c>
      <c r="F2666" s="475" t="s">
        <v>34</v>
      </c>
      <c r="G2666" s="364">
        <v>92997</v>
      </c>
      <c r="H2666" s="475" t="s">
        <v>2261</v>
      </c>
      <c r="I2666" s="475" t="s">
        <v>139</v>
      </c>
      <c r="J2666" s="475" t="s">
        <v>337</v>
      </c>
      <c r="K2666" s="365">
        <v>123.67</v>
      </c>
      <c r="L2666" s="475" t="s">
        <v>141</v>
      </c>
      <c r="M2666" s="473"/>
    </row>
    <row r="2667" spans="1:13" ht="13.5">
      <c r="A2667" s="475" t="s">
        <v>5453</v>
      </c>
      <c r="B2667" s="475" t="s">
        <v>5454</v>
      </c>
      <c r="C2667" s="475" t="s">
        <v>5461</v>
      </c>
      <c r="D2667" s="475" t="s">
        <v>5462</v>
      </c>
      <c r="E2667" s="476" t="s">
        <v>34</v>
      </c>
      <c r="F2667" s="475" t="s">
        <v>34</v>
      </c>
      <c r="G2667" s="364">
        <v>92998</v>
      </c>
      <c r="H2667" s="475" t="s">
        <v>2262</v>
      </c>
      <c r="I2667" s="475" t="s">
        <v>139</v>
      </c>
      <c r="J2667" s="475" t="s">
        <v>337</v>
      </c>
      <c r="K2667" s="365">
        <v>124.86</v>
      </c>
      <c r="L2667" s="475" t="s">
        <v>141</v>
      </c>
      <c r="M2667" s="473"/>
    </row>
    <row r="2668" spans="1:13" ht="13.5">
      <c r="A2668" s="475" t="s">
        <v>5453</v>
      </c>
      <c r="B2668" s="475" t="s">
        <v>5454</v>
      </c>
      <c r="C2668" s="475" t="s">
        <v>5461</v>
      </c>
      <c r="D2668" s="475" t="s">
        <v>5462</v>
      </c>
      <c r="E2668" s="476" t="s">
        <v>34</v>
      </c>
      <c r="F2668" s="475" t="s">
        <v>34</v>
      </c>
      <c r="G2668" s="364">
        <v>92999</v>
      </c>
      <c r="H2668" s="475" t="s">
        <v>2263</v>
      </c>
      <c r="I2668" s="475" t="s">
        <v>139</v>
      </c>
      <c r="J2668" s="475" t="s">
        <v>337</v>
      </c>
      <c r="K2668" s="365">
        <v>162.86000000000001</v>
      </c>
      <c r="L2668" s="475" t="s">
        <v>141</v>
      </c>
      <c r="M2668" s="473"/>
    </row>
    <row r="2669" spans="1:13" ht="13.5">
      <c r="A2669" s="475" t="s">
        <v>5453</v>
      </c>
      <c r="B2669" s="475" t="s">
        <v>5454</v>
      </c>
      <c r="C2669" s="475" t="s">
        <v>5461</v>
      </c>
      <c r="D2669" s="475" t="s">
        <v>5462</v>
      </c>
      <c r="E2669" s="476" t="s">
        <v>34</v>
      </c>
      <c r="F2669" s="475" t="s">
        <v>34</v>
      </c>
      <c r="G2669" s="364">
        <v>93000</v>
      </c>
      <c r="H2669" s="475" t="s">
        <v>2264</v>
      </c>
      <c r="I2669" s="475" t="s">
        <v>139</v>
      </c>
      <c r="J2669" s="475" t="s">
        <v>337</v>
      </c>
      <c r="K2669" s="365">
        <v>163.85</v>
      </c>
      <c r="L2669" s="475" t="s">
        <v>141</v>
      </c>
      <c r="M2669" s="473"/>
    </row>
    <row r="2670" spans="1:13" ht="13.5">
      <c r="A2670" s="475" t="s">
        <v>5453</v>
      </c>
      <c r="B2670" s="475" t="s">
        <v>5454</v>
      </c>
      <c r="C2670" s="475" t="s">
        <v>5461</v>
      </c>
      <c r="D2670" s="475" t="s">
        <v>5462</v>
      </c>
      <c r="E2670" s="476" t="s">
        <v>34</v>
      </c>
      <c r="F2670" s="475" t="s">
        <v>34</v>
      </c>
      <c r="G2670" s="364">
        <v>93001</v>
      </c>
      <c r="H2670" s="475" t="s">
        <v>2265</v>
      </c>
      <c r="I2670" s="475" t="s">
        <v>139</v>
      </c>
      <c r="J2670" s="475" t="s">
        <v>337</v>
      </c>
      <c r="K2670" s="365">
        <v>198.88</v>
      </c>
      <c r="L2670" s="475" t="s">
        <v>141</v>
      </c>
      <c r="M2670" s="473"/>
    </row>
    <row r="2671" spans="1:13" ht="13.5">
      <c r="A2671" s="475" t="s">
        <v>5453</v>
      </c>
      <c r="B2671" s="475" t="s">
        <v>5454</v>
      </c>
      <c r="C2671" s="475" t="s">
        <v>5461</v>
      </c>
      <c r="D2671" s="475" t="s">
        <v>5462</v>
      </c>
      <c r="E2671" s="476" t="s">
        <v>34</v>
      </c>
      <c r="F2671" s="475" t="s">
        <v>34</v>
      </c>
      <c r="G2671" s="364">
        <v>93002</v>
      </c>
      <c r="H2671" s="475" t="s">
        <v>2266</v>
      </c>
      <c r="I2671" s="475" t="s">
        <v>139</v>
      </c>
      <c r="J2671" s="475" t="s">
        <v>337</v>
      </c>
      <c r="K2671" s="365">
        <v>204.42</v>
      </c>
      <c r="L2671" s="475" t="s">
        <v>141</v>
      </c>
      <c r="M2671" s="473"/>
    </row>
    <row r="2672" spans="1:13" ht="13.5">
      <c r="A2672" s="475" t="s">
        <v>5453</v>
      </c>
      <c r="B2672" s="475" t="s">
        <v>5454</v>
      </c>
      <c r="C2672" s="475" t="s">
        <v>5463</v>
      </c>
      <c r="D2672" s="475" t="s">
        <v>5464</v>
      </c>
      <c r="E2672" s="476" t="s">
        <v>34</v>
      </c>
      <c r="F2672" s="475" t="s">
        <v>34</v>
      </c>
      <c r="G2672" s="364">
        <v>83446</v>
      </c>
      <c r="H2672" s="475" t="s">
        <v>2267</v>
      </c>
      <c r="I2672" s="475" t="s">
        <v>171</v>
      </c>
      <c r="J2672" s="475" t="s">
        <v>337</v>
      </c>
      <c r="K2672" s="365">
        <v>146.03</v>
      </c>
      <c r="L2672" s="475" t="s">
        <v>141</v>
      </c>
      <c r="M2672" s="473"/>
    </row>
    <row r="2673" spans="1:13" ht="13.5">
      <c r="A2673" s="475" t="s">
        <v>5453</v>
      </c>
      <c r="B2673" s="475" t="s">
        <v>5454</v>
      </c>
      <c r="C2673" s="475" t="s">
        <v>5463</v>
      </c>
      <c r="D2673" s="475" t="s">
        <v>5464</v>
      </c>
      <c r="E2673" s="476" t="s">
        <v>34</v>
      </c>
      <c r="F2673" s="475" t="s">
        <v>34</v>
      </c>
      <c r="G2673" s="364">
        <v>91936</v>
      </c>
      <c r="H2673" s="475" t="s">
        <v>2268</v>
      </c>
      <c r="I2673" s="475" t="s">
        <v>171</v>
      </c>
      <c r="J2673" s="475" t="s">
        <v>337</v>
      </c>
      <c r="K2673" s="365">
        <v>8.94</v>
      </c>
      <c r="L2673" s="475" t="s">
        <v>141</v>
      </c>
      <c r="M2673" s="473"/>
    </row>
    <row r="2674" spans="1:13" ht="13.5">
      <c r="A2674" s="475" t="s">
        <v>5453</v>
      </c>
      <c r="B2674" s="475" t="s">
        <v>5454</v>
      </c>
      <c r="C2674" s="475" t="s">
        <v>5463</v>
      </c>
      <c r="D2674" s="475" t="s">
        <v>5464</v>
      </c>
      <c r="E2674" s="476" t="s">
        <v>34</v>
      </c>
      <c r="F2674" s="475" t="s">
        <v>34</v>
      </c>
      <c r="G2674" s="364">
        <v>91937</v>
      </c>
      <c r="H2674" s="475" t="s">
        <v>2269</v>
      </c>
      <c r="I2674" s="475" t="s">
        <v>171</v>
      </c>
      <c r="J2674" s="475" t="s">
        <v>337</v>
      </c>
      <c r="K2674" s="365">
        <v>7.72</v>
      </c>
      <c r="L2674" s="475" t="s">
        <v>141</v>
      </c>
      <c r="M2674" s="473"/>
    </row>
    <row r="2675" spans="1:13" ht="13.5">
      <c r="A2675" s="475" t="s">
        <v>5453</v>
      </c>
      <c r="B2675" s="475" t="s">
        <v>5454</v>
      </c>
      <c r="C2675" s="475" t="s">
        <v>5463</v>
      </c>
      <c r="D2675" s="475" t="s">
        <v>5464</v>
      </c>
      <c r="E2675" s="476" t="s">
        <v>34</v>
      </c>
      <c r="F2675" s="475" t="s">
        <v>34</v>
      </c>
      <c r="G2675" s="364">
        <v>91939</v>
      </c>
      <c r="H2675" s="475" t="s">
        <v>2270</v>
      </c>
      <c r="I2675" s="475" t="s">
        <v>171</v>
      </c>
      <c r="J2675" s="475" t="s">
        <v>337</v>
      </c>
      <c r="K2675" s="365">
        <v>19.97</v>
      </c>
      <c r="L2675" s="475" t="s">
        <v>141</v>
      </c>
      <c r="M2675" s="473"/>
    </row>
    <row r="2676" spans="1:13" ht="13.5">
      <c r="A2676" s="475" t="s">
        <v>5453</v>
      </c>
      <c r="B2676" s="475" t="s">
        <v>5454</v>
      </c>
      <c r="C2676" s="475" t="s">
        <v>5463</v>
      </c>
      <c r="D2676" s="475" t="s">
        <v>5464</v>
      </c>
      <c r="E2676" s="476" t="s">
        <v>34</v>
      </c>
      <c r="F2676" s="475" t="s">
        <v>34</v>
      </c>
      <c r="G2676" s="364">
        <v>91940</v>
      </c>
      <c r="H2676" s="475" t="s">
        <v>2271</v>
      </c>
      <c r="I2676" s="475" t="s">
        <v>171</v>
      </c>
      <c r="J2676" s="475" t="s">
        <v>337</v>
      </c>
      <c r="K2676" s="365">
        <v>10.49</v>
      </c>
      <c r="L2676" s="475" t="s">
        <v>141</v>
      </c>
      <c r="M2676" s="473"/>
    </row>
    <row r="2677" spans="1:13" ht="13.5">
      <c r="A2677" s="475" t="s">
        <v>5453</v>
      </c>
      <c r="B2677" s="475" t="s">
        <v>5454</v>
      </c>
      <c r="C2677" s="475" t="s">
        <v>5463</v>
      </c>
      <c r="D2677" s="475" t="s">
        <v>5464</v>
      </c>
      <c r="E2677" s="476" t="s">
        <v>34</v>
      </c>
      <c r="F2677" s="475" t="s">
        <v>34</v>
      </c>
      <c r="G2677" s="364">
        <v>91941</v>
      </c>
      <c r="H2677" s="475" t="s">
        <v>2272</v>
      </c>
      <c r="I2677" s="475" t="s">
        <v>171</v>
      </c>
      <c r="J2677" s="475" t="s">
        <v>337</v>
      </c>
      <c r="K2677" s="365">
        <v>6.94</v>
      </c>
      <c r="L2677" s="475" t="s">
        <v>141</v>
      </c>
      <c r="M2677" s="473"/>
    </row>
    <row r="2678" spans="1:13" ht="13.5">
      <c r="A2678" s="475" t="s">
        <v>5453</v>
      </c>
      <c r="B2678" s="475" t="s">
        <v>5454</v>
      </c>
      <c r="C2678" s="475" t="s">
        <v>5463</v>
      </c>
      <c r="D2678" s="475" t="s">
        <v>5464</v>
      </c>
      <c r="E2678" s="476" t="s">
        <v>34</v>
      </c>
      <c r="F2678" s="475" t="s">
        <v>34</v>
      </c>
      <c r="G2678" s="364">
        <v>91942</v>
      </c>
      <c r="H2678" s="475" t="s">
        <v>2273</v>
      </c>
      <c r="I2678" s="475" t="s">
        <v>171</v>
      </c>
      <c r="J2678" s="475" t="s">
        <v>337</v>
      </c>
      <c r="K2678" s="365">
        <v>24.29</v>
      </c>
      <c r="L2678" s="475" t="s">
        <v>141</v>
      </c>
      <c r="M2678" s="473"/>
    </row>
    <row r="2679" spans="1:13" ht="13.5">
      <c r="A2679" s="475" t="s">
        <v>5453</v>
      </c>
      <c r="B2679" s="475" t="s">
        <v>5454</v>
      </c>
      <c r="C2679" s="475" t="s">
        <v>5463</v>
      </c>
      <c r="D2679" s="475" t="s">
        <v>5464</v>
      </c>
      <c r="E2679" s="476" t="s">
        <v>34</v>
      </c>
      <c r="F2679" s="475" t="s">
        <v>34</v>
      </c>
      <c r="G2679" s="364">
        <v>91943</v>
      </c>
      <c r="H2679" s="475" t="s">
        <v>2274</v>
      </c>
      <c r="I2679" s="475" t="s">
        <v>171</v>
      </c>
      <c r="J2679" s="475" t="s">
        <v>337</v>
      </c>
      <c r="K2679" s="365">
        <v>13.39</v>
      </c>
      <c r="L2679" s="475" t="s">
        <v>141</v>
      </c>
      <c r="M2679" s="473"/>
    </row>
    <row r="2680" spans="1:13" ht="13.5">
      <c r="A2680" s="475" t="s">
        <v>5453</v>
      </c>
      <c r="B2680" s="475" t="s">
        <v>5454</v>
      </c>
      <c r="C2680" s="475" t="s">
        <v>5463</v>
      </c>
      <c r="D2680" s="475" t="s">
        <v>5464</v>
      </c>
      <c r="E2680" s="476" t="s">
        <v>34</v>
      </c>
      <c r="F2680" s="475" t="s">
        <v>34</v>
      </c>
      <c r="G2680" s="364">
        <v>91944</v>
      </c>
      <c r="H2680" s="475" t="s">
        <v>2275</v>
      </c>
      <c r="I2680" s="475" t="s">
        <v>171</v>
      </c>
      <c r="J2680" s="475" t="s">
        <v>337</v>
      </c>
      <c r="K2680" s="365">
        <v>9.31</v>
      </c>
      <c r="L2680" s="475" t="s">
        <v>141</v>
      </c>
      <c r="M2680" s="473"/>
    </row>
    <row r="2681" spans="1:13" ht="13.5">
      <c r="A2681" s="475" t="s">
        <v>5453</v>
      </c>
      <c r="B2681" s="475" t="s">
        <v>5454</v>
      </c>
      <c r="C2681" s="475" t="s">
        <v>5463</v>
      </c>
      <c r="D2681" s="475" t="s">
        <v>5464</v>
      </c>
      <c r="E2681" s="476" t="s">
        <v>34</v>
      </c>
      <c r="F2681" s="475" t="s">
        <v>34</v>
      </c>
      <c r="G2681" s="364">
        <v>92865</v>
      </c>
      <c r="H2681" s="475" t="s">
        <v>2276</v>
      </c>
      <c r="I2681" s="475" t="s">
        <v>171</v>
      </c>
      <c r="J2681" s="475" t="s">
        <v>337</v>
      </c>
      <c r="K2681" s="365">
        <v>8.82</v>
      </c>
      <c r="L2681" s="475" t="s">
        <v>141</v>
      </c>
      <c r="M2681" s="473"/>
    </row>
    <row r="2682" spans="1:13" ht="13.5">
      <c r="A2682" s="475" t="s">
        <v>5453</v>
      </c>
      <c r="B2682" s="475" t="s">
        <v>5454</v>
      </c>
      <c r="C2682" s="475" t="s">
        <v>5463</v>
      </c>
      <c r="D2682" s="475" t="s">
        <v>5464</v>
      </c>
      <c r="E2682" s="476" t="s">
        <v>34</v>
      </c>
      <c r="F2682" s="475" t="s">
        <v>34</v>
      </c>
      <c r="G2682" s="364">
        <v>92866</v>
      </c>
      <c r="H2682" s="475" t="s">
        <v>2277</v>
      </c>
      <c r="I2682" s="475" t="s">
        <v>171</v>
      </c>
      <c r="J2682" s="475" t="s">
        <v>337</v>
      </c>
      <c r="K2682" s="365">
        <v>6.95</v>
      </c>
      <c r="L2682" s="475" t="s">
        <v>141</v>
      </c>
      <c r="M2682" s="473"/>
    </row>
    <row r="2683" spans="1:13" ht="13.5">
      <c r="A2683" s="475" t="s">
        <v>5453</v>
      </c>
      <c r="B2683" s="475" t="s">
        <v>5454</v>
      </c>
      <c r="C2683" s="475" t="s">
        <v>5463</v>
      </c>
      <c r="D2683" s="475" t="s">
        <v>5464</v>
      </c>
      <c r="E2683" s="476" t="s">
        <v>34</v>
      </c>
      <c r="F2683" s="475" t="s">
        <v>34</v>
      </c>
      <c r="G2683" s="364">
        <v>92867</v>
      </c>
      <c r="H2683" s="475" t="s">
        <v>2278</v>
      </c>
      <c r="I2683" s="475" t="s">
        <v>171</v>
      </c>
      <c r="J2683" s="475" t="s">
        <v>337</v>
      </c>
      <c r="K2683" s="365">
        <v>20.27</v>
      </c>
      <c r="L2683" s="475" t="s">
        <v>141</v>
      </c>
      <c r="M2683" s="473"/>
    </row>
    <row r="2684" spans="1:13" ht="13.5">
      <c r="A2684" s="475" t="s">
        <v>5453</v>
      </c>
      <c r="B2684" s="475" t="s">
        <v>5454</v>
      </c>
      <c r="C2684" s="475" t="s">
        <v>5463</v>
      </c>
      <c r="D2684" s="475" t="s">
        <v>5464</v>
      </c>
      <c r="E2684" s="476" t="s">
        <v>34</v>
      </c>
      <c r="F2684" s="475" t="s">
        <v>34</v>
      </c>
      <c r="G2684" s="364">
        <v>92868</v>
      </c>
      <c r="H2684" s="475" t="s">
        <v>2279</v>
      </c>
      <c r="I2684" s="475" t="s">
        <v>171</v>
      </c>
      <c r="J2684" s="475" t="s">
        <v>337</v>
      </c>
      <c r="K2684" s="365">
        <v>10.79</v>
      </c>
      <c r="L2684" s="475" t="s">
        <v>141</v>
      </c>
      <c r="M2684" s="473"/>
    </row>
    <row r="2685" spans="1:13" ht="13.5">
      <c r="A2685" s="475" t="s">
        <v>5453</v>
      </c>
      <c r="B2685" s="475" t="s">
        <v>5454</v>
      </c>
      <c r="C2685" s="475" t="s">
        <v>5463</v>
      </c>
      <c r="D2685" s="475" t="s">
        <v>5464</v>
      </c>
      <c r="E2685" s="476" t="s">
        <v>34</v>
      </c>
      <c r="F2685" s="475" t="s">
        <v>34</v>
      </c>
      <c r="G2685" s="364">
        <v>92869</v>
      </c>
      <c r="H2685" s="475" t="s">
        <v>2280</v>
      </c>
      <c r="I2685" s="475" t="s">
        <v>171</v>
      </c>
      <c r="J2685" s="475" t="s">
        <v>337</v>
      </c>
      <c r="K2685" s="365">
        <v>7.24</v>
      </c>
      <c r="L2685" s="475" t="s">
        <v>141</v>
      </c>
      <c r="M2685" s="473"/>
    </row>
    <row r="2686" spans="1:13" ht="13.5">
      <c r="A2686" s="475" t="s">
        <v>5453</v>
      </c>
      <c r="B2686" s="475" t="s">
        <v>5454</v>
      </c>
      <c r="C2686" s="475" t="s">
        <v>5463</v>
      </c>
      <c r="D2686" s="475" t="s">
        <v>5464</v>
      </c>
      <c r="E2686" s="476" t="s">
        <v>34</v>
      </c>
      <c r="F2686" s="475" t="s">
        <v>34</v>
      </c>
      <c r="G2686" s="364">
        <v>92870</v>
      </c>
      <c r="H2686" s="475" t="s">
        <v>2281</v>
      </c>
      <c r="I2686" s="475" t="s">
        <v>171</v>
      </c>
      <c r="J2686" s="475" t="s">
        <v>337</v>
      </c>
      <c r="K2686" s="365">
        <v>25.1</v>
      </c>
      <c r="L2686" s="475" t="s">
        <v>141</v>
      </c>
      <c r="M2686" s="473"/>
    </row>
    <row r="2687" spans="1:13" ht="13.5">
      <c r="A2687" s="475" t="s">
        <v>5453</v>
      </c>
      <c r="B2687" s="475" t="s">
        <v>5454</v>
      </c>
      <c r="C2687" s="475" t="s">
        <v>5463</v>
      </c>
      <c r="D2687" s="475" t="s">
        <v>5464</v>
      </c>
      <c r="E2687" s="476" t="s">
        <v>34</v>
      </c>
      <c r="F2687" s="475" t="s">
        <v>34</v>
      </c>
      <c r="G2687" s="364">
        <v>92871</v>
      </c>
      <c r="H2687" s="475" t="s">
        <v>2282</v>
      </c>
      <c r="I2687" s="475" t="s">
        <v>171</v>
      </c>
      <c r="J2687" s="475" t="s">
        <v>337</v>
      </c>
      <c r="K2687" s="365">
        <v>14.2</v>
      </c>
      <c r="L2687" s="475" t="s">
        <v>141</v>
      </c>
      <c r="M2687" s="473"/>
    </row>
    <row r="2688" spans="1:13" ht="13.5">
      <c r="A2688" s="475" t="s">
        <v>5453</v>
      </c>
      <c r="B2688" s="475" t="s">
        <v>5454</v>
      </c>
      <c r="C2688" s="475" t="s">
        <v>5463</v>
      </c>
      <c r="D2688" s="475" t="s">
        <v>5464</v>
      </c>
      <c r="E2688" s="476" t="s">
        <v>34</v>
      </c>
      <c r="F2688" s="475" t="s">
        <v>34</v>
      </c>
      <c r="G2688" s="364">
        <v>92872</v>
      </c>
      <c r="H2688" s="475" t="s">
        <v>2283</v>
      </c>
      <c r="I2688" s="475" t="s">
        <v>171</v>
      </c>
      <c r="J2688" s="475" t="s">
        <v>337</v>
      </c>
      <c r="K2688" s="365">
        <v>10.119999999999999</v>
      </c>
      <c r="L2688" s="475" t="s">
        <v>141</v>
      </c>
      <c r="M2688" s="473"/>
    </row>
    <row r="2689" spans="1:13" ht="13.5">
      <c r="A2689" s="475" t="s">
        <v>5453</v>
      </c>
      <c r="B2689" s="475" t="s">
        <v>5454</v>
      </c>
      <c r="C2689" s="475" t="s">
        <v>5463</v>
      </c>
      <c r="D2689" s="475" t="s">
        <v>5464</v>
      </c>
      <c r="E2689" s="476" t="s">
        <v>34</v>
      </c>
      <c r="F2689" s="475" t="s">
        <v>34</v>
      </c>
      <c r="G2689" s="364">
        <v>95777</v>
      </c>
      <c r="H2689" s="475" t="s">
        <v>2284</v>
      </c>
      <c r="I2689" s="475" t="s">
        <v>171</v>
      </c>
      <c r="J2689" s="475" t="s">
        <v>337</v>
      </c>
      <c r="K2689" s="365">
        <v>19.579999999999998</v>
      </c>
      <c r="L2689" s="475" t="s">
        <v>141</v>
      </c>
      <c r="M2689" s="473"/>
    </row>
    <row r="2690" spans="1:13" ht="13.5">
      <c r="A2690" s="475" t="s">
        <v>5453</v>
      </c>
      <c r="B2690" s="475" t="s">
        <v>5454</v>
      </c>
      <c r="C2690" s="475" t="s">
        <v>5463</v>
      </c>
      <c r="D2690" s="475" t="s">
        <v>5464</v>
      </c>
      <c r="E2690" s="476" t="s">
        <v>34</v>
      </c>
      <c r="F2690" s="475" t="s">
        <v>34</v>
      </c>
      <c r="G2690" s="364">
        <v>95778</v>
      </c>
      <c r="H2690" s="475" t="s">
        <v>2285</v>
      </c>
      <c r="I2690" s="475" t="s">
        <v>171</v>
      </c>
      <c r="J2690" s="475" t="s">
        <v>337</v>
      </c>
      <c r="K2690" s="365">
        <v>20.02</v>
      </c>
      <c r="L2690" s="475" t="s">
        <v>141</v>
      </c>
      <c r="M2690" s="473"/>
    </row>
    <row r="2691" spans="1:13" ht="13.5">
      <c r="A2691" s="475" t="s">
        <v>5453</v>
      </c>
      <c r="B2691" s="475" t="s">
        <v>5454</v>
      </c>
      <c r="C2691" s="475" t="s">
        <v>5463</v>
      </c>
      <c r="D2691" s="475" t="s">
        <v>5464</v>
      </c>
      <c r="E2691" s="476" t="s">
        <v>34</v>
      </c>
      <c r="F2691" s="475" t="s">
        <v>34</v>
      </c>
      <c r="G2691" s="364">
        <v>95779</v>
      </c>
      <c r="H2691" s="475" t="s">
        <v>2286</v>
      </c>
      <c r="I2691" s="475" t="s">
        <v>171</v>
      </c>
      <c r="J2691" s="475" t="s">
        <v>337</v>
      </c>
      <c r="K2691" s="365">
        <v>18.559999999999999</v>
      </c>
      <c r="L2691" s="475" t="s">
        <v>141</v>
      </c>
      <c r="M2691" s="473"/>
    </row>
    <row r="2692" spans="1:13" ht="13.5">
      <c r="A2692" s="475" t="s">
        <v>5453</v>
      </c>
      <c r="B2692" s="475" t="s">
        <v>5454</v>
      </c>
      <c r="C2692" s="475" t="s">
        <v>5463</v>
      </c>
      <c r="D2692" s="475" t="s">
        <v>5464</v>
      </c>
      <c r="E2692" s="476" t="s">
        <v>34</v>
      </c>
      <c r="F2692" s="475" t="s">
        <v>34</v>
      </c>
      <c r="G2692" s="364">
        <v>95780</v>
      </c>
      <c r="H2692" s="475" t="s">
        <v>2287</v>
      </c>
      <c r="I2692" s="475" t="s">
        <v>171</v>
      </c>
      <c r="J2692" s="475" t="s">
        <v>337</v>
      </c>
      <c r="K2692" s="365">
        <v>22.1</v>
      </c>
      <c r="L2692" s="475" t="s">
        <v>141</v>
      </c>
      <c r="M2692" s="473"/>
    </row>
    <row r="2693" spans="1:13" ht="13.5">
      <c r="A2693" s="475" t="s">
        <v>5453</v>
      </c>
      <c r="B2693" s="475" t="s">
        <v>5454</v>
      </c>
      <c r="C2693" s="475" t="s">
        <v>5463</v>
      </c>
      <c r="D2693" s="475" t="s">
        <v>5464</v>
      </c>
      <c r="E2693" s="476" t="s">
        <v>34</v>
      </c>
      <c r="F2693" s="475" t="s">
        <v>34</v>
      </c>
      <c r="G2693" s="364">
        <v>95781</v>
      </c>
      <c r="H2693" s="475" t="s">
        <v>2288</v>
      </c>
      <c r="I2693" s="475" t="s">
        <v>171</v>
      </c>
      <c r="J2693" s="475" t="s">
        <v>337</v>
      </c>
      <c r="K2693" s="365">
        <v>22.42</v>
      </c>
      <c r="L2693" s="475" t="s">
        <v>141</v>
      </c>
      <c r="M2693" s="473"/>
    </row>
    <row r="2694" spans="1:13" ht="13.5">
      <c r="A2694" s="475" t="s">
        <v>5453</v>
      </c>
      <c r="B2694" s="475" t="s">
        <v>5454</v>
      </c>
      <c r="C2694" s="475" t="s">
        <v>5463</v>
      </c>
      <c r="D2694" s="475" t="s">
        <v>5464</v>
      </c>
      <c r="E2694" s="476" t="s">
        <v>34</v>
      </c>
      <c r="F2694" s="475" t="s">
        <v>34</v>
      </c>
      <c r="G2694" s="364">
        <v>95782</v>
      </c>
      <c r="H2694" s="475" t="s">
        <v>2289</v>
      </c>
      <c r="I2694" s="475" t="s">
        <v>171</v>
      </c>
      <c r="J2694" s="475" t="s">
        <v>337</v>
      </c>
      <c r="K2694" s="365">
        <v>23.27</v>
      </c>
      <c r="L2694" s="475" t="s">
        <v>141</v>
      </c>
      <c r="M2694" s="473"/>
    </row>
    <row r="2695" spans="1:13" ht="13.5">
      <c r="A2695" s="475" t="s">
        <v>5453</v>
      </c>
      <c r="B2695" s="475" t="s">
        <v>5454</v>
      </c>
      <c r="C2695" s="475" t="s">
        <v>5463</v>
      </c>
      <c r="D2695" s="475" t="s">
        <v>5464</v>
      </c>
      <c r="E2695" s="476" t="s">
        <v>34</v>
      </c>
      <c r="F2695" s="475" t="s">
        <v>34</v>
      </c>
      <c r="G2695" s="364">
        <v>95785</v>
      </c>
      <c r="H2695" s="475" t="s">
        <v>2290</v>
      </c>
      <c r="I2695" s="475" t="s">
        <v>171</v>
      </c>
      <c r="J2695" s="475" t="s">
        <v>337</v>
      </c>
      <c r="K2695" s="365">
        <v>26.3</v>
      </c>
      <c r="L2695" s="475" t="s">
        <v>141</v>
      </c>
      <c r="M2695" s="473"/>
    </row>
    <row r="2696" spans="1:13" ht="13.5">
      <c r="A2696" s="475" t="s">
        <v>5453</v>
      </c>
      <c r="B2696" s="475" t="s">
        <v>5454</v>
      </c>
      <c r="C2696" s="475" t="s">
        <v>5463</v>
      </c>
      <c r="D2696" s="475" t="s">
        <v>5464</v>
      </c>
      <c r="E2696" s="476" t="s">
        <v>34</v>
      </c>
      <c r="F2696" s="475" t="s">
        <v>34</v>
      </c>
      <c r="G2696" s="364">
        <v>95787</v>
      </c>
      <c r="H2696" s="475" t="s">
        <v>2291</v>
      </c>
      <c r="I2696" s="475" t="s">
        <v>171</v>
      </c>
      <c r="J2696" s="475" t="s">
        <v>337</v>
      </c>
      <c r="K2696" s="365">
        <v>19.940000000000001</v>
      </c>
      <c r="L2696" s="475" t="s">
        <v>141</v>
      </c>
      <c r="M2696" s="473"/>
    </row>
    <row r="2697" spans="1:13" ht="13.5">
      <c r="A2697" s="475" t="s">
        <v>5453</v>
      </c>
      <c r="B2697" s="475" t="s">
        <v>5454</v>
      </c>
      <c r="C2697" s="475" t="s">
        <v>5463</v>
      </c>
      <c r="D2697" s="475" t="s">
        <v>5464</v>
      </c>
      <c r="E2697" s="476" t="s">
        <v>34</v>
      </c>
      <c r="F2697" s="475" t="s">
        <v>34</v>
      </c>
      <c r="G2697" s="364">
        <v>95789</v>
      </c>
      <c r="H2697" s="475" t="s">
        <v>2292</v>
      </c>
      <c r="I2697" s="475" t="s">
        <v>171</v>
      </c>
      <c r="J2697" s="475" t="s">
        <v>337</v>
      </c>
      <c r="K2697" s="365">
        <v>24.34</v>
      </c>
      <c r="L2697" s="475" t="s">
        <v>141</v>
      </c>
      <c r="M2697" s="473"/>
    </row>
    <row r="2698" spans="1:13" ht="13.5">
      <c r="A2698" s="475" t="s">
        <v>5453</v>
      </c>
      <c r="B2698" s="475" t="s">
        <v>5454</v>
      </c>
      <c r="C2698" s="475" t="s">
        <v>5463</v>
      </c>
      <c r="D2698" s="475" t="s">
        <v>5464</v>
      </c>
      <c r="E2698" s="476" t="s">
        <v>34</v>
      </c>
      <c r="F2698" s="475" t="s">
        <v>34</v>
      </c>
      <c r="G2698" s="364">
        <v>95791</v>
      </c>
      <c r="H2698" s="475" t="s">
        <v>2293</v>
      </c>
      <c r="I2698" s="475" t="s">
        <v>171</v>
      </c>
      <c r="J2698" s="475" t="s">
        <v>337</v>
      </c>
      <c r="K2698" s="365">
        <v>30.9</v>
      </c>
      <c r="L2698" s="475" t="s">
        <v>141</v>
      </c>
      <c r="M2698" s="473"/>
    </row>
    <row r="2699" spans="1:13" ht="13.5">
      <c r="A2699" s="475" t="s">
        <v>5453</v>
      </c>
      <c r="B2699" s="475" t="s">
        <v>5454</v>
      </c>
      <c r="C2699" s="475" t="s">
        <v>5463</v>
      </c>
      <c r="D2699" s="475" t="s">
        <v>5464</v>
      </c>
      <c r="E2699" s="476" t="s">
        <v>34</v>
      </c>
      <c r="F2699" s="475" t="s">
        <v>34</v>
      </c>
      <c r="G2699" s="364">
        <v>95795</v>
      </c>
      <c r="H2699" s="475" t="s">
        <v>2294</v>
      </c>
      <c r="I2699" s="475" t="s">
        <v>171</v>
      </c>
      <c r="J2699" s="475" t="s">
        <v>337</v>
      </c>
      <c r="K2699" s="365">
        <v>23.01</v>
      </c>
      <c r="L2699" s="475" t="s">
        <v>141</v>
      </c>
      <c r="M2699" s="473"/>
    </row>
    <row r="2700" spans="1:13" ht="13.5">
      <c r="A2700" s="475" t="s">
        <v>5453</v>
      </c>
      <c r="B2700" s="475" t="s">
        <v>5454</v>
      </c>
      <c r="C2700" s="475" t="s">
        <v>5463</v>
      </c>
      <c r="D2700" s="475" t="s">
        <v>5464</v>
      </c>
      <c r="E2700" s="476" t="s">
        <v>34</v>
      </c>
      <c r="F2700" s="475" t="s">
        <v>34</v>
      </c>
      <c r="G2700" s="364">
        <v>95796</v>
      </c>
      <c r="H2700" s="475" t="s">
        <v>2295</v>
      </c>
      <c r="I2700" s="475" t="s">
        <v>171</v>
      </c>
      <c r="J2700" s="475" t="s">
        <v>337</v>
      </c>
      <c r="K2700" s="365">
        <v>28.64</v>
      </c>
      <c r="L2700" s="475" t="s">
        <v>141</v>
      </c>
      <c r="M2700" s="473"/>
    </row>
    <row r="2701" spans="1:13" ht="13.5">
      <c r="A2701" s="475" t="s">
        <v>5453</v>
      </c>
      <c r="B2701" s="475" t="s">
        <v>5454</v>
      </c>
      <c r="C2701" s="475" t="s">
        <v>5463</v>
      </c>
      <c r="D2701" s="475" t="s">
        <v>5464</v>
      </c>
      <c r="E2701" s="476" t="s">
        <v>34</v>
      </c>
      <c r="F2701" s="475" t="s">
        <v>34</v>
      </c>
      <c r="G2701" s="364">
        <v>95797</v>
      </c>
      <c r="H2701" s="475" t="s">
        <v>2296</v>
      </c>
      <c r="I2701" s="475" t="s">
        <v>171</v>
      </c>
      <c r="J2701" s="475" t="s">
        <v>337</v>
      </c>
      <c r="K2701" s="365">
        <v>35.950000000000003</v>
      </c>
      <c r="L2701" s="475" t="s">
        <v>141</v>
      </c>
      <c r="M2701" s="473"/>
    </row>
    <row r="2702" spans="1:13" ht="13.5">
      <c r="A2702" s="475" t="s">
        <v>5453</v>
      </c>
      <c r="B2702" s="475" t="s">
        <v>5454</v>
      </c>
      <c r="C2702" s="475" t="s">
        <v>5463</v>
      </c>
      <c r="D2702" s="475" t="s">
        <v>5464</v>
      </c>
      <c r="E2702" s="476" t="s">
        <v>34</v>
      </c>
      <c r="F2702" s="475" t="s">
        <v>34</v>
      </c>
      <c r="G2702" s="364">
        <v>95801</v>
      </c>
      <c r="H2702" s="475" t="s">
        <v>2297</v>
      </c>
      <c r="I2702" s="475" t="s">
        <v>171</v>
      </c>
      <c r="J2702" s="475" t="s">
        <v>337</v>
      </c>
      <c r="K2702" s="365">
        <v>27.46</v>
      </c>
      <c r="L2702" s="475" t="s">
        <v>141</v>
      </c>
      <c r="M2702" s="473"/>
    </row>
    <row r="2703" spans="1:13" ht="13.5">
      <c r="A2703" s="475" t="s">
        <v>5453</v>
      </c>
      <c r="B2703" s="475" t="s">
        <v>5454</v>
      </c>
      <c r="C2703" s="475" t="s">
        <v>5463</v>
      </c>
      <c r="D2703" s="475" t="s">
        <v>5464</v>
      </c>
      <c r="E2703" s="476" t="s">
        <v>34</v>
      </c>
      <c r="F2703" s="475" t="s">
        <v>34</v>
      </c>
      <c r="G2703" s="364">
        <v>95802</v>
      </c>
      <c r="H2703" s="475" t="s">
        <v>2298</v>
      </c>
      <c r="I2703" s="475" t="s">
        <v>171</v>
      </c>
      <c r="J2703" s="475" t="s">
        <v>337</v>
      </c>
      <c r="K2703" s="365">
        <v>30.56</v>
      </c>
      <c r="L2703" s="475" t="s">
        <v>141</v>
      </c>
      <c r="M2703" s="473"/>
    </row>
    <row r="2704" spans="1:13" ht="13.5">
      <c r="A2704" s="475" t="s">
        <v>5453</v>
      </c>
      <c r="B2704" s="475" t="s">
        <v>5454</v>
      </c>
      <c r="C2704" s="475" t="s">
        <v>5463</v>
      </c>
      <c r="D2704" s="475" t="s">
        <v>5464</v>
      </c>
      <c r="E2704" s="476" t="s">
        <v>34</v>
      </c>
      <c r="F2704" s="475" t="s">
        <v>34</v>
      </c>
      <c r="G2704" s="364">
        <v>95803</v>
      </c>
      <c r="H2704" s="475" t="s">
        <v>2299</v>
      </c>
      <c r="I2704" s="475" t="s">
        <v>171</v>
      </c>
      <c r="J2704" s="475" t="s">
        <v>337</v>
      </c>
      <c r="K2704" s="365">
        <v>39.93</v>
      </c>
      <c r="L2704" s="475" t="s">
        <v>141</v>
      </c>
      <c r="M2704" s="473"/>
    </row>
    <row r="2705" spans="1:13" ht="13.5">
      <c r="A2705" s="475" t="s">
        <v>5453</v>
      </c>
      <c r="B2705" s="475" t="s">
        <v>5454</v>
      </c>
      <c r="C2705" s="475" t="s">
        <v>5463</v>
      </c>
      <c r="D2705" s="475" t="s">
        <v>5464</v>
      </c>
      <c r="E2705" s="476" t="s">
        <v>34</v>
      </c>
      <c r="F2705" s="475" t="s">
        <v>34</v>
      </c>
      <c r="G2705" s="364">
        <v>95804</v>
      </c>
      <c r="H2705" s="475" t="s">
        <v>2300</v>
      </c>
      <c r="I2705" s="475" t="s">
        <v>171</v>
      </c>
      <c r="J2705" s="475" t="s">
        <v>337</v>
      </c>
      <c r="K2705" s="365">
        <v>16.739999999999998</v>
      </c>
      <c r="L2705" s="475" t="s">
        <v>141</v>
      </c>
      <c r="M2705" s="473"/>
    </row>
    <row r="2706" spans="1:13" ht="13.5">
      <c r="A2706" s="475" t="s">
        <v>5453</v>
      </c>
      <c r="B2706" s="475" t="s">
        <v>5454</v>
      </c>
      <c r="C2706" s="475" t="s">
        <v>5463</v>
      </c>
      <c r="D2706" s="475" t="s">
        <v>5464</v>
      </c>
      <c r="E2706" s="476" t="s">
        <v>34</v>
      </c>
      <c r="F2706" s="475" t="s">
        <v>34</v>
      </c>
      <c r="G2706" s="364">
        <v>95805</v>
      </c>
      <c r="H2706" s="475" t="s">
        <v>2301</v>
      </c>
      <c r="I2706" s="475" t="s">
        <v>171</v>
      </c>
      <c r="J2706" s="475" t="s">
        <v>337</v>
      </c>
      <c r="K2706" s="365">
        <v>16.91</v>
      </c>
      <c r="L2706" s="475" t="s">
        <v>141</v>
      </c>
      <c r="M2706" s="473"/>
    </row>
    <row r="2707" spans="1:13" ht="13.5">
      <c r="A2707" s="475" t="s">
        <v>5453</v>
      </c>
      <c r="B2707" s="475" t="s">
        <v>5454</v>
      </c>
      <c r="C2707" s="475" t="s">
        <v>5463</v>
      </c>
      <c r="D2707" s="475" t="s">
        <v>5464</v>
      </c>
      <c r="E2707" s="476" t="s">
        <v>34</v>
      </c>
      <c r="F2707" s="475" t="s">
        <v>34</v>
      </c>
      <c r="G2707" s="364">
        <v>95806</v>
      </c>
      <c r="H2707" s="475" t="s">
        <v>2302</v>
      </c>
      <c r="I2707" s="475" t="s">
        <v>171</v>
      </c>
      <c r="J2707" s="475" t="s">
        <v>337</v>
      </c>
      <c r="K2707" s="365">
        <v>17.440000000000001</v>
      </c>
      <c r="L2707" s="475" t="s">
        <v>141</v>
      </c>
      <c r="M2707" s="473"/>
    </row>
    <row r="2708" spans="1:13" ht="13.5">
      <c r="A2708" s="475" t="s">
        <v>5453</v>
      </c>
      <c r="B2708" s="475" t="s">
        <v>5454</v>
      </c>
      <c r="C2708" s="475" t="s">
        <v>5463</v>
      </c>
      <c r="D2708" s="475" t="s">
        <v>5464</v>
      </c>
      <c r="E2708" s="476" t="s">
        <v>34</v>
      </c>
      <c r="F2708" s="475" t="s">
        <v>34</v>
      </c>
      <c r="G2708" s="364">
        <v>95807</v>
      </c>
      <c r="H2708" s="475" t="s">
        <v>2303</v>
      </c>
      <c r="I2708" s="475" t="s">
        <v>171</v>
      </c>
      <c r="J2708" s="475" t="s">
        <v>337</v>
      </c>
      <c r="K2708" s="365">
        <v>19.28</v>
      </c>
      <c r="L2708" s="475" t="s">
        <v>141</v>
      </c>
      <c r="M2708" s="473"/>
    </row>
    <row r="2709" spans="1:13" ht="13.5">
      <c r="A2709" s="475" t="s">
        <v>5453</v>
      </c>
      <c r="B2709" s="475" t="s">
        <v>5454</v>
      </c>
      <c r="C2709" s="475" t="s">
        <v>5463</v>
      </c>
      <c r="D2709" s="475" t="s">
        <v>5464</v>
      </c>
      <c r="E2709" s="476" t="s">
        <v>34</v>
      </c>
      <c r="F2709" s="475" t="s">
        <v>34</v>
      </c>
      <c r="G2709" s="364">
        <v>95808</v>
      </c>
      <c r="H2709" s="475" t="s">
        <v>2304</v>
      </c>
      <c r="I2709" s="475" t="s">
        <v>171</v>
      </c>
      <c r="J2709" s="475" t="s">
        <v>337</v>
      </c>
      <c r="K2709" s="365">
        <v>19.78</v>
      </c>
      <c r="L2709" s="475" t="s">
        <v>141</v>
      </c>
      <c r="M2709" s="473"/>
    </row>
    <row r="2710" spans="1:13" ht="13.5">
      <c r="A2710" s="475" t="s">
        <v>5453</v>
      </c>
      <c r="B2710" s="475" t="s">
        <v>5454</v>
      </c>
      <c r="C2710" s="475" t="s">
        <v>5463</v>
      </c>
      <c r="D2710" s="475" t="s">
        <v>5464</v>
      </c>
      <c r="E2710" s="476" t="s">
        <v>34</v>
      </c>
      <c r="F2710" s="475" t="s">
        <v>34</v>
      </c>
      <c r="G2710" s="364">
        <v>95809</v>
      </c>
      <c r="H2710" s="475" t="s">
        <v>2305</v>
      </c>
      <c r="I2710" s="475" t="s">
        <v>171</v>
      </c>
      <c r="J2710" s="475" t="s">
        <v>337</v>
      </c>
      <c r="K2710" s="365">
        <v>21.64</v>
      </c>
      <c r="L2710" s="475" t="s">
        <v>141</v>
      </c>
      <c r="M2710" s="473"/>
    </row>
    <row r="2711" spans="1:13" ht="13.5">
      <c r="A2711" s="475" t="s">
        <v>5453</v>
      </c>
      <c r="B2711" s="475" t="s">
        <v>5454</v>
      </c>
      <c r="C2711" s="475" t="s">
        <v>5463</v>
      </c>
      <c r="D2711" s="475" t="s">
        <v>5464</v>
      </c>
      <c r="E2711" s="476" t="s">
        <v>34</v>
      </c>
      <c r="F2711" s="475" t="s">
        <v>34</v>
      </c>
      <c r="G2711" s="364">
        <v>95810</v>
      </c>
      <c r="H2711" s="475" t="s">
        <v>2306</v>
      </c>
      <c r="I2711" s="475" t="s">
        <v>171</v>
      </c>
      <c r="J2711" s="475" t="s">
        <v>337</v>
      </c>
      <c r="K2711" s="365">
        <v>9.93</v>
      </c>
      <c r="L2711" s="475" t="s">
        <v>141</v>
      </c>
      <c r="M2711" s="473"/>
    </row>
    <row r="2712" spans="1:13" ht="13.5">
      <c r="A2712" s="475" t="s">
        <v>5453</v>
      </c>
      <c r="B2712" s="475" t="s">
        <v>5454</v>
      </c>
      <c r="C2712" s="475" t="s">
        <v>5463</v>
      </c>
      <c r="D2712" s="475" t="s">
        <v>5464</v>
      </c>
      <c r="E2712" s="476" t="s">
        <v>34</v>
      </c>
      <c r="F2712" s="475" t="s">
        <v>34</v>
      </c>
      <c r="G2712" s="364">
        <v>95811</v>
      </c>
      <c r="H2712" s="475" t="s">
        <v>2307</v>
      </c>
      <c r="I2712" s="475" t="s">
        <v>171</v>
      </c>
      <c r="J2712" s="475" t="s">
        <v>337</v>
      </c>
      <c r="K2712" s="365">
        <v>10.43</v>
      </c>
      <c r="L2712" s="475" t="s">
        <v>141</v>
      </c>
      <c r="M2712" s="473"/>
    </row>
    <row r="2713" spans="1:13" ht="13.5">
      <c r="A2713" s="475" t="s">
        <v>5453</v>
      </c>
      <c r="B2713" s="475" t="s">
        <v>5454</v>
      </c>
      <c r="C2713" s="475" t="s">
        <v>5463</v>
      </c>
      <c r="D2713" s="475" t="s">
        <v>5464</v>
      </c>
      <c r="E2713" s="476" t="s">
        <v>34</v>
      </c>
      <c r="F2713" s="475" t="s">
        <v>34</v>
      </c>
      <c r="G2713" s="364">
        <v>95812</v>
      </c>
      <c r="H2713" s="475" t="s">
        <v>2308</v>
      </c>
      <c r="I2713" s="475" t="s">
        <v>171</v>
      </c>
      <c r="J2713" s="475" t="s">
        <v>337</v>
      </c>
      <c r="K2713" s="365">
        <v>12.29</v>
      </c>
      <c r="L2713" s="475" t="s">
        <v>141</v>
      </c>
      <c r="M2713" s="473"/>
    </row>
    <row r="2714" spans="1:13" ht="13.5">
      <c r="A2714" s="475" t="s">
        <v>5453</v>
      </c>
      <c r="B2714" s="475" t="s">
        <v>5454</v>
      </c>
      <c r="C2714" s="475" t="s">
        <v>5463</v>
      </c>
      <c r="D2714" s="475" t="s">
        <v>5464</v>
      </c>
      <c r="E2714" s="476" t="s">
        <v>34</v>
      </c>
      <c r="F2714" s="475" t="s">
        <v>34</v>
      </c>
      <c r="G2714" s="364">
        <v>95813</v>
      </c>
      <c r="H2714" s="475" t="s">
        <v>2309</v>
      </c>
      <c r="I2714" s="475" t="s">
        <v>171</v>
      </c>
      <c r="J2714" s="475" t="s">
        <v>337</v>
      </c>
      <c r="K2714" s="365">
        <v>12.08</v>
      </c>
      <c r="L2714" s="475" t="s">
        <v>141</v>
      </c>
      <c r="M2714" s="473"/>
    </row>
    <row r="2715" spans="1:13" ht="13.5">
      <c r="A2715" s="475" t="s">
        <v>5453</v>
      </c>
      <c r="B2715" s="475" t="s">
        <v>5454</v>
      </c>
      <c r="C2715" s="475" t="s">
        <v>5463</v>
      </c>
      <c r="D2715" s="475" t="s">
        <v>5464</v>
      </c>
      <c r="E2715" s="476" t="s">
        <v>34</v>
      </c>
      <c r="F2715" s="475" t="s">
        <v>34</v>
      </c>
      <c r="G2715" s="364">
        <v>95814</v>
      </c>
      <c r="H2715" s="475" t="s">
        <v>2310</v>
      </c>
      <c r="I2715" s="475" t="s">
        <v>171</v>
      </c>
      <c r="J2715" s="475" t="s">
        <v>337</v>
      </c>
      <c r="K2715" s="365">
        <v>12.83</v>
      </c>
      <c r="L2715" s="475" t="s">
        <v>141</v>
      </c>
      <c r="M2715" s="473"/>
    </row>
    <row r="2716" spans="1:13" ht="13.5">
      <c r="A2716" s="475" t="s">
        <v>5453</v>
      </c>
      <c r="B2716" s="475" t="s">
        <v>5454</v>
      </c>
      <c r="C2716" s="475" t="s">
        <v>5463</v>
      </c>
      <c r="D2716" s="475" t="s">
        <v>5464</v>
      </c>
      <c r="E2716" s="476" t="s">
        <v>34</v>
      </c>
      <c r="F2716" s="475" t="s">
        <v>34</v>
      </c>
      <c r="G2716" s="364">
        <v>95815</v>
      </c>
      <c r="H2716" s="475" t="s">
        <v>2311</v>
      </c>
      <c r="I2716" s="475" t="s">
        <v>171</v>
      </c>
      <c r="J2716" s="475" t="s">
        <v>337</v>
      </c>
      <c r="K2716" s="365">
        <v>16.36</v>
      </c>
      <c r="L2716" s="475" t="s">
        <v>141</v>
      </c>
      <c r="M2716" s="473"/>
    </row>
    <row r="2717" spans="1:13" ht="13.5">
      <c r="A2717" s="475" t="s">
        <v>5453</v>
      </c>
      <c r="B2717" s="475" t="s">
        <v>5454</v>
      </c>
      <c r="C2717" s="475" t="s">
        <v>5463</v>
      </c>
      <c r="D2717" s="475" t="s">
        <v>5464</v>
      </c>
      <c r="E2717" s="476" t="s">
        <v>34</v>
      </c>
      <c r="F2717" s="475" t="s">
        <v>34</v>
      </c>
      <c r="G2717" s="364">
        <v>95816</v>
      </c>
      <c r="H2717" s="475" t="s">
        <v>2312</v>
      </c>
      <c r="I2717" s="475" t="s">
        <v>171</v>
      </c>
      <c r="J2717" s="475" t="s">
        <v>337</v>
      </c>
      <c r="K2717" s="365">
        <v>23.74</v>
      </c>
      <c r="L2717" s="475" t="s">
        <v>141</v>
      </c>
      <c r="M2717" s="473"/>
    </row>
    <row r="2718" spans="1:13" ht="13.5">
      <c r="A2718" s="475" t="s">
        <v>5453</v>
      </c>
      <c r="B2718" s="475" t="s">
        <v>5454</v>
      </c>
      <c r="C2718" s="475" t="s">
        <v>5463</v>
      </c>
      <c r="D2718" s="475" t="s">
        <v>5464</v>
      </c>
      <c r="E2718" s="476" t="s">
        <v>34</v>
      </c>
      <c r="F2718" s="475" t="s">
        <v>34</v>
      </c>
      <c r="G2718" s="364">
        <v>95817</v>
      </c>
      <c r="H2718" s="475" t="s">
        <v>2313</v>
      </c>
      <c r="I2718" s="475" t="s">
        <v>171</v>
      </c>
      <c r="J2718" s="475" t="s">
        <v>337</v>
      </c>
      <c r="K2718" s="365">
        <v>24.43</v>
      </c>
      <c r="L2718" s="475" t="s">
        <v>141</v>
      </c>
      <c r="M2718" s="473"/>
    </row>
    <row r="2719" spans="1:13" ht="13.5">
      <c r="A2719" s="475" t="s">
        <v>5453</v>
      </c>
      <c r="B2719" s="475" t="s">
        <v>5454</v>
      </c>
      <c r="C2719" s="475" t="s">
        <v>5463</v>
      </c>
      <c r="D2719" s="475" t="s">
        <v>5464</v>
      </c>
      <c r="E2719" s="476" t="s">
        <v>34</v>
      </c>
      <c r="F2719" s="475" t="s">
        <v>34</v>
      </c>
      <c r="G2719" s="364">
        <v>95818</v>
      </c>
      <c r="H2719" s="475" t="s">
        <v>2314</v>
      </c>
      <c r="I2719" s="475" t="s">
        <v>171</v>
      </c>
      <c r="J2719" s="475" t="s">
        <v>337</v>
      </c>
      <c r="K2719" s="365">
        <v>29.2</v>
      </c>
      <c r="L2719" s="475" t="s">
        <v>141</v>
      </c>
      <c r="M2719" s="473"/>
    </row>
    <row r="2720" spans="1:13" ht="13.5">
      <c r="A2720" s="475" t="s">
        <v>5453</v>
      </c>
      <c r="B2720" s="475" t="s">
        <v>5454</v>
      </c>
      <c r="C2720" s="475" t="s">
        <v>5463</v>
      </c>
      <c r="D2720" s="475" t="s">
        <v>5464</v>
      </c>
      <c r="E2720" s="476" t="s">
        <v>34</v>
      </c>
      <c r="F2720" s="475" t="s">
        <v>34</v>
      </c>
      <c r="G2720" s="364">
        <v>97886</v>
      </c>
      <c r="H2720" s="475" t="s">
        <v>6511</v>
      </c>
      <c r="I2720" s="475" t="s">
        <v>171</v>
      </c>
      <c r="J2720" s="475" t="s">
        <v>140</v>
      </c>
      <c r="K2720" s="365">
        <v>119.01</v>
      </c>
      <c r="L2720" s="475" t="s">
        <v>141</v>
      </c>
      <c r="M2720" s="473"/>
    </row>
    <row r="2721" spans="1:13" ht="13.5">
      <c r="A2721" s="475" t="s">
        <v>5453</v>
      </c>
      <c r="B2721" s="475" t="s">
        <v>5454</v>
      </c>
      <c r="C2721" s="475" t="s">
        <v>5463</v>
      </c>
      <c r="D2721" s="475" t="s">
        <v>5464</v>
      </c>
      <c r="E2721" s="476" t="s">
        <v>34</v>
      </c>
      <c r="F2721" s="475" t="s">
        <v>34</v>
      </c>
      <c r="G2721" s="364">
        <v>97887</v>
      </c>
      <c r="H2721" s="475" t="s">
        <v>6512</v>
      </c>
      <c r="I2721" s="475" t="s">
        <v>171</v>
      </c>
      <c r="J2721" s="475" t="s">
        <v>140</v>
      </c>
      <c r="K2721" s="365">
        <v>187.56</v>
      </c>
      <c r="L2721" s="475" t="s">
        <v>141</v>
      </c>
      <c r="M2721" s="473"/>
    </row>
    <row r="2722" spans="1:13" ht="13.5">
      <c r="A2722" s="475" t="s">
        <v>5453</v>
      </c>
      <c r="B2722" s="475" t="s">
        <v>5454</v>
      </c>
      <c r="C2722" s="475" t="s">
        <v>5463</v>
      </c>
      <c r="D2722" s="475" t="s">
        <v>5464</v>
      </c>
      <c r="E2722" s="476" t="s">
        <v>34</v>
      </c>
      <c r="F2722" s="475" t="s">
        <v>34</v>
      </c>
      <c r="G2722" s="364">
        <v>97888</v>
      </c>
      <c r="H2722" s="475" t="s">
        <v>6513</v>
      </c>
      <c r="I2722" s="475" t="s">
        <v>171</v>
      </c>
      <c r="J2722" s="475" t="s">
        <v>140</v>
      </c>
      <c r="K2722" s="365">
        <v>360.83</v>
      </c>
      <c r="L2722" s="475" t="s">
        <v>141</v>
      </c>
      <c r="M2722" s="473"/>
    </row>
    <row r="2723" spans="1:13" ht="13.5">
      <c r="A2723" s="475" t="s">
        <v>5453</v>
      </c>
      <c r="B2723" s="475" t="s">
        <v>5454</v>
      </c>
      <c r="C2723" s="475" t="s">
        <v>5463</v>
      </c>
      <c r="D2723" s="475" t="s">
        <v>5464</v>
      </c>
      <c r="E2723" s="476" t="s">
        <v>34</v>
      </c>
      <c r="F2723" s="475" t="s">
        <v>34</v>
      </c>
      <c r="G2723" s="364">
        <v>97889</v>
      </c>
      <c r="H2723" s="475" t="s">
        <v>6514</v>
      </c>
      <c r="I2723" s="475" t="s">
        <v>171</v>
      </c>
      <c r="J2723" s="475" t="s">
        <v>140</v>
      </c>
      <c r="K2723" s="365">
        <v>484.29</v>
      </c>
      <c r="L2723" s="475" t="s">
        <v>141</v>
      </c>
      <c r="M2723" s="473"/>
    </row>
    <row r="2724" spans="1:13" ht="13.5">
      <c r="A2724" s="475" t="s">
        <v>5453</v>
      </c>
      <c r="B2724" s="475" t="s">
        <v>5454</v>
      </c>
      <c r="C2724" s="475" t="s">
        <v>5463</v>
      </c>
      <c r="D2724" s="475" t="s">
        <v>5464</v>
      </c>
      <c r="E2724" s="476" t="s">
        <v>34</v>
      </c>
      <c r="F2724" s="475" t="s">
        <v>34</v>
      </c>
      <c r="G2724" s="364">
        <v>97890</v>
      </c>
      <c r="H2724" s="475" t="s">
        <v>6515</v>
      </c>
      <c r="I2724" s="475" t="s">
        <v>171</v>
      </c>
      <c r="J2724" s="475" t="s">
        <v>140</v>
      </c>
      <c r="K2724" s="365">
        <v>556.77</v>
      </c>
      <c r="L2724" s="475" t="s">
        <v>141</v>
      </c>
      <c r="M2724" s="473"/>
    </row>
    <row r="2725" spans="1:13" ht="13.5">
      <c r="A2725" s="475" t="s">
        <v>5453</v>
      </c>
      <c r="B2725" s="475" t="s">
        <v>5454</v>
      </c>
      <c r="C2725" s="475" t="s">
        <v>5463</v>
      </c>
      <c r="D2725" s="475" t="s">
        <v>5464</v>
      </c>
      <c r="E2725" s="476" t="s">
        <v>34</v>
      </c>
      <c r="F2725" s="475" t="s">
        <v>34</v>
      </c>
      <c r="G2725" s="364">
        <v>97891</v>
      </c>
      <c r="H2725" s="475" t="s">
        <v>6516</v>
      </c>
      <c r="I2725" s="475" t="s">
        <v>171</v>
      </c>
      <c r="J2725" s="475" t="s">
        <v>140</v>
      </c>
      <c r="K2725" s="365">
        <v>141.78</v>
      </c>
      <c r="L2725" s="475" t="s">
        <v>141</v>
      </c>
      <c r="M2725" s="473"/>
    </row>
    <row r="2726" spans="1:13" ht="13.5">
      <c r="A2726" s="475" t="s">
        <v>5453</v>
      </c>
      <c r="B2726" s="475" t="s">
        <v>5454</v>
      </c>
      <c r="C2726" s="475" t="s">
        <v>5463</v>
      </c>
      <c r="D2726" s="475" t="s">
        <v>5464</v>
      </c>
      <c r="E2726" s="476" t="s">
        <v>34</v>
      </c>
      <c r="F2726" s="475" t="s">
        <v>34</v>
      </c>
      <c r="G2726" s="364">
        <v>97892</v>
      </c>
      <c r="H2726" s="475" t="s">
        <v>6517</v>
      </c>
      <c r="I2726" s="475" t="s">
        <v>171</v>
      </c>
      <c r="J2726" s="475" t="s">
        <v>140</v>
      </c>
      <c r="K2726" s="365">
        <v>264.01</v>
      </c>
      <c r="L2726" s="475" t="s">
        <v>141</v>
      </c>
      <c r="M2726" s="473"/>
    </row>
    <row r="2727" spans="1:13" ht="13.5">
      <c r="A2727" s="475" t="s">
        <v>5453</v>
      </c>
      <c r="B2727" s="475" t="s">
        <v>5454</v>
      </c>
      <c r="C2727" s="475" t="s">
        <v>5463</v>
      </c>
      <c r="D2727" s="475" t="s">
        <v>5464</v>
      </c>
      <c r="E2727" s="476" t="s">
        <v>34</v>
      </c>
      <c r="F2727" s="475" t="s">
        <v>34</v>
      </c>
      <c r="G2727" s="364">
        <v>97893</v>
      </c>
      <c r="H2727" s="475" t="s">
        <v>6518</v>
      </c>
      <c r="I2727" s="475" t="s">
        <v>171</v>
      </c>
      <c r="J2727" s="475" t="s">
        <v>140</v>
      </c>
      <c r="K2727" s="365">
        <v>360.8</v>
      </c>
      <c r="L2727" s="475" t="s">
        <v>141</v>
      </c>
      <c r="M2727" s="473"/>
    </row>
    <row r="2728" spans="1:13" ht="13.5">
      <c r="A2728" s="475" t="s">
        <v>5453</v>
      </c>
      <c r="B2728" s="475" t="s">
        <v>5454</v>
      </c>
      <c r="C2728" s="475" t="s">
        <v>5463</v>
      </c>
      <c r="D2728" s="475" t="s">
        <v>5464</v>
      </c>
      <c r="E2728" s="476" t="s">
        <v>34</v>
      </c>
      <c r="F2728" s="475" t="s">
        <v>34</v>
      </c>
      <c r="G2728" s="364">
        <v>97894</v>
      </c>
      <c r="H2728" s="475" t="s">
        <v>6519</v>
      </c>
      <c r="I2728" s="475" t="s">
        <v>171</v>
      </c>
      <c r="J2728" s="475" t="s">
        <v>140</v>
      </c>
      <c r="K2728" s="365">
        <v>407.13</v>
      </c>
      <c r="L2728" s="475" t="s">
        <v>141</v>
      </c>
      <c r="M2728" s="473"/>
    </row>
    <row r="2729" spans="1:13" ht="13.5">
      <c r="A2729" s="475" t="s">
        <v>5453</v>
      </c>
      <c r="B2729" s="475" t="s">
        <v>5454</v>
      </c>
      <c r="C2729" s="475" t="s">
        <v>5465</v>
      </c>
      <c r="D2729" s="475" t="s">
        <v>5466</v>
      </c>
      <c r="E2729" s="476" t="s">
        <v>34</v>
      </c>
      <c r="F2729" s="475" t="s">
        <v>34</v>
      </c>
      <c r="G2729" s="364">
        <v>68066</v>
      </c>
      <c r="H2729" s="475" t="s">
        <v>2315</v>
      </c>
      <c r="I2729" s="475" t="s">
        <v>171</v>
      </c>
      <c r="J2729" s="475" t="s">
        <v>337</v>
      </c>
      <c r="K2729" s="365">
        <v>161.59</v>
      </c>
      <c r="L2729" s="475" t="s">
        <v>141</v>
      </c>
      <c r="M2729" s="473"/>
    </row>
    <row r="2730" spans="1:13" ht="13.5">
      <c r="A2730" s="475" t="s">
        <v>5453</v>
      </c>
      <c r="B2730" s="475" t="s">
        <v>5454</v>
      </c>
      <c r="C2730" s="475" t="s">
        <v>5465</v>
      </c>
      <c r="D2730" s="475" t="s">
        <v>5466</v>
      </c>
      <c r="E2730" s="476" t="s">
        <v>34</v>
      </c>
      <c r="F2730" s="475" t="s">
        <v>34</v>
      </c>
      <c r="G2730" s="364">
        <v>72319</v>
      </c>
      <c r="H2730" s="475" t="s">
        <v>2316</v>
      </c>
      <c r="I2730" s="475" t="s">
        <v>171</v>
      </c>
      <c r="J2730" s="475" t="s">
        <v>337</v>
      </c>
      <c r="K2730" s="365">
        <v>4467.4399999999996</v>
      </c>
      <c r="L2730" s="475" t="s">
        <v>141</v>
      </c>
      <c r="M2730" s="473"/>
    </row>
    <row r="2731" spans="1:13" ht="13.5">
      <c r="A2731" s="475" t="s">
        <v>5453</v>
      </c>
      <c r="B2731" s="475" t="s">
        <v>5454</v>
      </c>
      <c r="C2731" s="475" t="s">
        <v>5465</v>
      </c>
      <c r="D2731" s="475" t="s">
        <v>5466</v>
      </c>
      <c r="E2731" s="476" t="s">
        <v>34</v>
      </c>
      <c r="F2731" s="475" t="s">
        <v>34</v>
      </c>
      <c r="G2731" s="364">
        <v>72341</v>
      </c>
      <c r="H2731" s="475" t="s">
        <v>2317</v>
      </c>
      <c r="I2731" s="475" t="s">
        <v>171</v>
      </c>
      <c r="J2731" s="475" t="s">
        <v>140</v>
      </c>
      <c r="K2731" s="365">
        <v>224.82</v>
      </c>
      <c r="L2731" s="475" t="s">
        <v>141</v>
      </c>
      <c r="M2731" s="473"/>
    </row>
    <row r="2732" spans="1:13" ht="13.5">
      <c r="A2732" s="475" t="s">
        <v>5453</v>
      </c>
      <c r="B2732" s="475" t="s">
        <v>5454</v>
      </c>
      <c r="C2732" s="475" t="s">
        <v>5465</v>
      </c>
      <c r="D2732" s="475" t="s">
        <v>5466</v>
      </c>
      <c r="E2732" s="476" t="s">
        <v>34</v>
      </c>
      <c r="F2732" s="475" t="s">
        <v>34</v>
      </c>
      <c r="G2732" s="364">
        <v>72343</v>
      </c>
      <c r="H2732" s="475" t="s">
        <v>2318</v>
      </c>
      <c r="I2732" s="475" t="s">
        <v>171</v>
      </c>
      <c r="J2732" s="475" t="s">
        <v>140</v>
      </c>
      <c r="K2732" s="365">
        <v>266.52</v>
      </c>
      <c r="L2732" s="475" t="s">
        <v>141</v>
      </c>
      <c r="M2732" s="473"/>
    </row>
    <row r="2733" spans="1:13" ht="13.5">
      <c r="A2733" s="475" t="s">
        <v>5453</v>
      </c>
      <c r="B2733" s="475" t="s">
        <v>5454</v>
      </c>
      <c r="C2733" s="475" t="s">
        <v>5465</v>
      </c>
      <c r="D2733" s="475" t="s">
        <v>5466</v>
      </c>
      <c r="E2733" s="476" t="s">
        <v>34</v>
      </c>
      <c r="F2733" s="475" t="s">
        <v>34</v>
      </c>
      <c r="G2733" s="364">
        <v>72344</v>
      </c>
      <c r="H2733" s="475" t="s">
        <v>2319</v>
      </c>
      <c r="I2733" s="475" t="s">
        <v>171</v>
      </c>
      <c r="J2733" s="475" t="s">
        <v>140</v>
      </c>
      <c r="K2733" s="365">
        <v>422.64</v>
      </c>
      <c r="L2733" s="475" t="s">
        <v>141</v>
      </c>
      <c r="M2733" s="473"/>
    </row>
    <row r="2734" spans="1:13" ht="13.5">
      <c r="A2734" s="475" t="s">
        <v>5453</v>
      </c>
      <c r="B2734" s="475" t="s">
        <v>5454</v>
      </c>
      <c r="C2734" s="475" t="s">
        <v>5465</v>
      </c>
      <c r="D2734" s="475" t="s">
        <v>5466</v>
      </c>
      <c r="E2734" s="476" t="s">
        <v>34</v>
      </c>
      <c r="F2734" s="475" t="s">
        <v>34</v>
      </c>
      <c r="G2734" s="364">
        <v>72345</v>
      </c>
      <c r="H2734" s="475" t="s">
        <v>2320</v>
      </c>
      <c r="I2734" s="475" t="s">
        <v>171</v>
      </c>
      <c r="J2734" s="475" t="s">
        <v>140</v>
      </c>
      <c r="K2734" s="365">
        <v>1224.5899999999999</v>
      </c>
      <c r="L2734" s="475" t="s">
        <v>141</v>
      </c>
      <c r="M2734" s="473"/>
    </row>
    <row r="2735" spans="1:13" ht="13.5">
      <c r="A2735" s="475" t="s">
        <v>5453</v>
      </c>
      <c r="B2735" s="475" t="s">
        <v>5454</v>
      </c>
      <c r="C2735" s="475" t="s">
        <v>5465</v>
      </c>
      <c r="D2735" s="475" t="s">
        <v>5466</v>
      </c>
      <c r="E2735" s="476">
        <v>74130</v>
      </c>
      <c r="F2735" s="475" t="s">
        <v>5467</v>
      </c>
      <c r="G2735" s="364" t="s">
        <v>2321</v>
      </c>
      <c r="H2735" s="475" t="s">
        <v>2322</v>
      </c>
      <c r="I2735" s="475" t="s">
        <v>171</v>
      </c>
      <c r="J2735" s="475" t="s">
        <v>363</v>
      </c>
      <c r="K2735" s="365">
        <v>13.14</v>
      </c>
      <c r="L2735" s="475" t="s">
        <v>141</v>
      </c>
      <c r="M2735" s="473"/>
    </row>
    <row r="2736" spans="1:13" ht="13.5">
      <c r="A2736" s="475" t="s">
        <v>5453</v>
      </c>
      <c r="B2736" s="475" t="s">
        <v>5454</v>
      </c>
      <c r="C2736" s="475" t="s">
        <v>5465</v>
      </c>
      <c r="D2736" s="475" t="s">
        <v>5466</v>
      </c>
      <c r="E2736" s="476">
        <v>74130</v>
      </c>
      <c r="F2736" s="475" t="s">
        <v>5467</v>
      </c>
      <c r="G2736" s="364" t="s">
        <v>2323</v>
      </c>
      <c r="H2736" s="475" t="s">
        <v>2324</v>
      </c>
      <c r="I2736" s="475" t="s">
        <v>171</v>
      </c>
      <c r="J2736" s="475" t="s">
        <v>337</v>
      </c>
      <c r="K2736" s="365">
        <v>20.39</v>
      </c>
      <c r="L2736" s="475" t="s">
        <v>141</v>
      </c>
      <c r="M2736" s="473"/>
    </row>
    <row r="2737" spans="1:13" ht="13.5">
      <c r="A2737" s="475" t="s">
        <v>5453</v>
      </c>
      <c r="B2737" s="475" t="s">
        <v>5454</v>
      </c>
      <c r="C2737" s="475" t="s">
        <v>5465</v>
      </c>
      <c r="D2737" s="475" t="s">
        <v>5466</v>
      </c>
      <c r="E2737" s="476">
        <v>74130</v>
      </c>
      <c r="F2737" s="475" t="s">
        <v>5467</v>
      </c>
      <c r="G2737" s="364" t="s">
        <v>2325</v>
      </c>
      <c r="H2737" s="475" t="s">
        <v>2326</v>
      </c>
      <c r="I2737" s="475" t="s">
        <v>171</v>
      </c>
      <c r="J2737" s="475" t="s">
        <v>337</v>
      </c>
      <c r="K2737" s="365">
        <v>60.56</v>
      </c>
      <c r="L2737" s="475" t="s">
        <v>141</v>
      </c>
      <c r="M2737" s="473"/>
    </row>
    <row r="2738" spans="1:13" ht="13.5">
      <c r="A2738" s="475" t="s">
        <v>5453</v>
      </c>
      <c r="B2738" s="475" t="s">
        <v>5454</v>
      </c>
      <c r="C2738" s="475" t="s">
        <v>5465</v>
      </c>
      <c r="D2738" s="475" t="s">
        <v>5466</v>
      </c>
      <c r="E2738" s="476">
        <v>74130</v>
      </c>
      <c r="F2738" s="475" t="s">
        <v>5467</v>
      </c>
      <c r="G2738" s="364" t="s">
        <v>2327</v>
      </c>
      <c r="H2738" s="475" t="s">
        <v>2328</v>
      </c>
      <c r="I2738" s="475" t="s">
        <v>171</v>
      </c>
      <c r="J2738" s="475" t="s">
        <v>337</v>
      </c>
      <c r="K2738" s="365">
        <v>85.81</v>
      </c>
      <c r="L2738" s="475" t="s">
        <v>141</v>
      </c>
      <c r="M2738" s="473"/>
    </row>
    <row r="2739" spans="1:13" ht="13.5">
      <c r="A2739" s="475" t="s">
        <v>5453</v>
      </c>
      <c r="B2739" s="475" t="s">
        <v>5454</v>
      </c>
      <c r="C2739" s="475" t="s">
        <v>5465</v>
      </c>
      <c r="D2739" s="475" t="s">
        <v>5466</v>
      </c>
      <c r="E2739" s="476">
        <v>74130</v>
      </c>
      <c r="F2739" s="475" t="s">
        <v>5467</v>
      </c>
      <c r="G2739" s="364" t="s">
        <v>2329</v>
      </c>
      <c r="H2739" s="475" t="s">
        <v>2330</v>
      </c>
      <c r="I2739" s="475" t="s">
        <v>171</v>
      </c>
      <c r="J2739" s="475" t="s">
        <v>337</v>
      </c>
      <c r="K2739" s="365">
        <v>115.21</v>
      </c>
      <c r="L2739" s="475" t="s">
        <v>141</v>
      </c>
      <c r="M2739" s="473"/>
    </row>
    <row r="2740" spans="1:13" ht="13.5">
      <c r="A2740" s="475" t="s">
        <v>5453</v>
      </c>
      <c r="B2740" s="475" t="s">
        <v>5454</v>
      </c>
      <c r="C2740" s="475" t="s">
        <v>5465</v>
      </c>
      <c r="D2740" s="475" t="s">
        <v>5466</v>
      </c>
      <c r="E2740" s="476">
        <v>74130</v>
      </c>
      <c r="F2740" s="475" t="s">
        <v>5467</v>
      </c>
      <c r="G2740" s="364" t="s">
        <v>2331</v>
      </c>
      <c r="H2740" s="475" t="s">
        <v>2332</v>
      </c>
      <c r="I2740" s="475" t="s">
        <v>171</v>
      </c>
      <c r="J2740" s="475" t="s">
        <v>337</v>
      </c>
      <c r="K2740" s="365">
        <v>330.69</v>
      </c>
      <c r="L2740" s="475" t="s">
        <v>141</v>
      </c>
      <c r="M2740" s="473"/>
    </row>
    <row r="2741" spans="1:13" ht="13.5">
      <c r="A2741" s="475" t="s">
        <v>5453</v>
      </c>
      <c r="B2741" s="475" t="s">
        <v>5454</v>
      </c>
      <c r="C2741" s="475" t="s">
        <v>5465</v>
      </c>
      <c r="D2741" s="475" t="s">
        <v>5466</v>
      </c>
      <c r="E2741" s="476">
        <v>74130</v>
      </c>
      <c r="F2741" s="475" t="s">
        <v>5467</v>
      </c>
      <c r="G2741" s="364" t="s">
        <v>2333</v>
      </c>
      <c r="H2741" s="475" t="s">
        <v>2334</v>
      </c>
      <c r="I2741" s="475" t="s">
        <v>171</v>
      </c>
      <c r="J2741" s="475" t="s">
        <v>337</v>
      </c>
      <c r="K2741" s="365">
        <v>858.51</v>
      </c>
      <c r="L2741" s="475" t="s">
        <v>141</v>
      </c>
      <c r="M2741" s="473"/>
    </row>
    <row r="2742" spans="1:13" ht="13.5">
      <c r="A2742" s="475" t="s">
        <v>5453</v>
      </c>
      <c r="B2742" s="475" t="s">
        <v>5454</v>
      </c>
      <c r="C2742" s="475" t="s">
        <v>5465</v>
      </c>
      <c r="D2742" s="475" t="s">
        <v>5466</v>
      </c>
      <c r="E2742" s="476">
        <v>74130</v>
      </c>
      <c r="F2742" s="475" t="s">
        <v>5467</v>
      </c>
      <c r="G2742" s="364" t="s">
        <v>2335</v>
      </c>
      <c r="H2742" s="475" t="s">
        <v>2336</v>
      </c>
      <c r="I2742" s="475" t="s">
        <v>171</v>
      </c>
      <c r="J2742" s="475" t="s">
        <v>337</v>
      </c>
      <c r="K2742" s="365">
        <v>1174.07</v>
      </c>
      <c r="L2742" s="475" t="s">
        <v>141</v>
      </c>
      <c r="M2742" s="473"/>
    </row>
    <row r="2743" spans="1:13" ht="13.5">
      <c r="A2743" s="475" t="s">
        <v>5453</v>
      </c>
      <c r="B2743" s="475" t="s">
        <v>5454</v>
      </c>
      <c r="C2743" s="475" t="s">
        <v>5465</v>
      </c>
      <c r="D2743" s="475" t="s">
        <v>5466</v>
      </c>
      <c r="E2743" s="476">
        <v>74130</v>
      </c>
      <c r="F2743" s="475" t="s">
        <v>5467</v>
      </c>
      <c r="G2743" s="364" t="s">
        <v>2337</v>
      </c>
      <c r="H2743" s="475" t="s">
        <v>2338</v>
      </c>
      <c r="I2743" s="475" t="s">
        <v>171</v>
      </c>
      <c r="J2743" s="475" t="s">
        <v>337</v>
      </c>
      <c r="K2743" s="365">
        <v>1924.69</v>
      </c>
      <c r="L2743" s="475" t="s">
        <v>141</v>
      </c>
      <c r="M2743" s="473"/>
    </row>
    <row r="2744" spans="1:13" ht="13.5">
      <c r="A2744" s="475" t="s">
        <v>5453</v>
      </c>
      <c r="B2744" s="475" t="s">
        <v>5454</v>
      </c>
      <c r="C2744" s="475" t="s">
        <v>5465</v>
      </c>
      <c r="D2744" s="475" t="s">
        <v>5466</v>
      </c>
      <c r="E2744" s="476">
        <v>74130</v>
      </c>
      <c r="F2744" s="475" t="s">
        <v>5467</v>
      </c>
      <c r="G2744" s="364" t="s">
        <v>2339</v>
      </c>
      <c r="H2744" s="475" t="s">
        <v>2340</v>
      </c>
      <c r="I2744" s="475" t="s">
        <v>171</v>
      </c>
      <c r="J2744" s="475" t="s">
        <v>337</v>
      </c>
      <c r="K2744" s="365">
        <v>518.26</v>
      </c>
      <c r="L2744" s="475" t="s">
        <v>141</v>
      </c>
      <c r="M2744" s="473"/>
    </row>
    <row r="2745" spans="1:13" ht="13.5">
      <c r="A2745" s="475" t="s">
        <v>5453</v>
      </c>
      <c r="B2745" s="475" t="s">
        <v>5454</v>
      </c>
      <c r="C2745" s="475" t="s">
        <v>5465</v>
      </c>
      <c r="D2745" s="475" t="s">
        <v>5466</v>
      </c>
      <c r="E2745" s="476">
        <v>74131</v>
      </c>
      <c r="F2745" s="475" t="s">
        <v>5468</v>
      </c>
      <c r="G2745" s="364" t="s">
        <v>2341</v>
      </c>
      <c r="H2745" s="475" t="s">
        <v>2342</v>
      </c>
      <c r="I2745" s="475" t="s">
        <v>171</v>
      </c>
      <c r="J2745" s="475" t="s">
        <v>337</v>
      </c>
      <c r="K2745" s="365">
        <v>70.19</v>
      </c>
      <c r="L2745" s="475" t="s">
        <v>141</v>
      </c>
      <c r="M2745" s="473"/>
    </row>
    <row r="2746" spans="1:13" ht="13.5">
      <c r="A2746" s="475" t="s">
        <v>5453</v>
      </c>
      <c r="B2746" s="475" t="s">
        <v>5454</v>
      </c>
      <c r="C2746" s="475" t="s">
        <v>5465</v>
      </c>
      <c r="D2746" s="475" t="s">
        <v>5466</v>
      </c>
      <c r="E2746" s="476">
        <v>74131</v>
      </c>
      <c r="F2746" s="475" t="s">
        <v>5468</v>
      </c>
      <c r="G2746" s="364" t="s">
        <v>2343</v>
      </c>
      <c r="H2746" s="475" t="s">
        <v>2344</v>
      </c>
      <c r="I2746" s="475" t="s">
        <v>171</v>
      </c>
      <c r="J2746" s="475" t="s">
        <v>337</v>
      </c>
      <c r="K2746" s="365">
        <v>536.63</v>
      </c>
      <c r="L2746" s="475" t="s">
        <v>141</v>
      </c>
      <c r="M2746" s="473"/>
    </row>
    <row r="2747" spans="1:13" ht="13.5">
      <c r="A2747" s="475" t="s">
        <v>5453</v>
      </c>
      <c r="B2747" s="475" t="s">
        <v>5454</v>
      </c>
      <c r="C2747" s="475" t="s">
        <v>5465</v>
      </c>
      <c r="D2747" s="475" t="s">
        <v>5466</v>
      </c>
      <c r="E2747" s="476">
        <v>74131</v>
      </c>
      <c r="F2747" s="475" t="s">
        <v>5468</v>
      </c>
      <c r="G2747" s="364" t="s">
        <v>5898</v>
      </c>
      <c r="H2747" s="475" t="s">
        <v>2345</v>
      </c>
      <c r="I2747" s="475" t="s">
        <v>171</v>
      </c>
      <c r="J2747" s="475" t="s">
        <v>337</v>
      </c>
      <c r="K2747" s="365">
        <v>620.85</v>
      </c>
      <c r="L2747" s="475" t="s">
        <v>141</v>
      </c>
      <c r="M2747" s="473"/>
    </row>
    <row r="2748" spans="1:13" ht="13.5">
      <c r="A2748" s="475" t="s">
        <v>5453</v>
      </c>
      <c r="B2748" s="475" t="s">
        <v>5454</v>
      </c>
      <c r="C2748" s="475" t="s">
        <v>5465</v>
      </c>
      <c r="D2748" s="475" t="s">
        <v>5466</v>
      </c>
      <c r="E2748" s="476">
        <v>74131</v>
      </c>
      <c r="F2748" s="475" t="s">
        <v>5468</v>
      </c>
      <c r="G2748" s="364" t="s">
        <v>2346</v>
      </c>
      <c r="H2748" s="475" t="s">
        <v>2347</v>
      </c>
      <c r="I2748" s="475" t="s">
        <v>171</v>
      </c>
      <c r="J2748" s="475" t="s">
        <v>337</v>
      </c>
      <c r="K2748" s="365">
        <v>1251.6099999999999</v>
      </c>
      <c r="L2748" s="475" t="s">
        <v>141</v>
      </c>
      <c r="M2748" s="473"/>
    </row>
    <row r="2749" spans="1:13" ht="13.5">
      <c r="A2749" s="475" t="s">
        <v>5453</v>
      </c>
      <c r="B2749" s="475" t="s">
        <v>5454</v>
      </c>
      <c r="C2749" s="475" t="s">
        <v>5465</v>
      </c>
      <c r="D2749" s="475" t="s">
        <v>5466</v>
      </c>
      <c r="E2749" s="476">
        <v>74131</v>
      </c>
      <c r="F2749" s="475" t="s">
        <v>5468</v>
      </c>
      <c r="G2749" s="364" t="s">
        <v>2348</v>
      </c>
      <c r="H2749" s="475" t="s">
        <v>2349</v>
      </c>
      <c r="I2749" s="475" t="s">
        <v>171</v>
      </c>
      <c r="J2749" s="475" t="s">
        <v>337</v>
      </c>
      <c r="K2749" s="365">
        <v>1019.61</v>
      </c>
      <c r="L2749" s="475" t="s">
        <v>141</v>
      </c>
      <c r="M2749" s="473"/>
    </row>
    <row r="2750" spans="1:13" ht="13.5">
      <c r="A2750" s="475" t="s">
        <v>5453</v>
      </c>
      <c r="B2750" s="475" t="s">
        <v>5454</v>
      </c>
      <c r="C2750" s="475" t="s">
        <v>5465</v>
      </c>
      <c r="D2750" s="475" t="s">
        <v>5466</v>
      </c>
      <c r="E2750" s="476">
        <v>74131</v>
      </c>
      <c r="F2750" s="475" t="s">
        <v>5468</v>
      </c>
      <c r="G2750" s="364" t="s">
        <v>2350</v>
      </c>
      <c r="H2750" s="475" t="s">
        <v>2351</v>
      </c>
      <c r="I2750" s="475" t="s">
        <v>171</v>
      </c>
      <c r="J2750" s="475" t="s">
        <v>337</v>
      </c>
      <c r="K2750" s="365">
        <v>1511.61</v>
      </c>
      <c r="L2750" s="475" t="s">
        <v>141</v>
      </c>
      <c r="M2750" s="473"/>
    </row>
    <row r="2751" spans="1:13" ht="13.5">
      <c r="A2751" s="475" t="s">
        <v>5453</v>
      </c>
      <c r="B2751" s="475" t="s">
        <v>5454</v>
      </c>
      <c r="C2751" s="475" t="s">
        <v>5465</v>
      </c>
      <c r="D2751" s="475" t="s">
        <v>5466</v>
      </c>
      <c r="E2751" s="476" t="s">
        <v>34</v>
      </c>
      <c r="F2751" s="475" t="s">
        <v>34</v>
      </c>
      <c r="G2751" s="364">
        <v>83463</v>
      </c>
      <c r="H2751" s="475" t="s">
        <v>2352</v>
      </c>
      <c r="I2751" s="475" t="s">
        <v>171</v>
      </c>
      <c r="J2751" s="475" t="s">
        <v>337</v>
      </c>
      <c r="K2751" s="365">
        <v>391.47</v>
      </c>
      <c r="L2751" s="475" t="s">
        <v>141</v>
      </c>
      <c r="M2751" s="473"/>
    </row>
    <row r="2752" spans="1:13" ht="13.5">
      <c r="A2752" s="475" t="s">
        <v>5453</v>
      </c>
      <c r="B2752" s="475" t="s">
        <v>5454</v>
      </c>
      <c r="C2752" s="475" t="s">
        <v>5465</v>
      </c>
      <c r="D2752" s="475" t="s">
        <v>5466</v>
      </c>
      <c r="E2752" s="476" t="s">
        <v>34</v>
      </c>
      <c r="F2752" s="475" t="s">
        <v>34</v>
      </c>
      <c r="G2752" s="364">
        <v>84402</v>
      </c>
      <c r="H2752" s="475" t="s">
        <v>2353</v>
      </c>
      <c r="I2752" s="475" t="s">
        <v>171</v>
      </c>
      <c r="J2752" s="475" t="s">
        <v>337</v>
      </c>
      <c r="K2752" s="365">
        <v>83.46</v>
      </c>
      <c r="L2752" s="475" t="s">
        <v>141</v>
      </c>
      <c r="M2752" s="473"/>
    </row>
    <row r="2753" spans="1:13" ht="13.5">
      <c r="A2753" s="475" t="s">
        <v>5453</v>
      </c>
      <c r="B2753" s="475" t="s">
        <v>5454</v>
      </c>
      <c r="C2753" s="475" t="s">
        <v>5465</v>
      </c>
      <c r="D2753" s="475" t="s">
        <v>5466</v>
      </c>
      <c r="E2753" s="476" t="s">
        <v>34</v>
      </c>
      <c r="F2753" s="475" t="s">
        <v>34</v>
      </c>
      <c r="G2753" s="364">
        <v>93653</v>
      </c>
      <c r="H2753" s="475" t="s">
        <v>2354</v>
      </c>
      <c r="I2753" s="475" t="s">
        <v>171</v>
      </c>
      <c r="J2753" s="475" t="s">
        <v>337</v>
      </c>
      <c r="K2753" s="365">
        <v>10.029999999999999</v>
      </c>
      <c r="L2753" s="475" t="s">
        <v>141</v>
      </c>
      <c r="M2753" s="473"/>
    </row>
    <row r="2754" spans="1:13" ht="13.5">
      <c r="A2754" s="475" t="s">
        <v>5453</v>
      </c>
      <c r="B2754" s="475" t="s">
        <v>5454</v>
      </c>
      <c r="C2754" s="475" t="s">
        <v>5465</v>
      </c>
      <c r="D2754" s="475" t="s">
        <v>5466</v>
      </c>
      <c r="E2754" s="476" t="s">
        <v>34</v>
      </c>
      <c r="F2754" s="475" t="s">
        <v>34</v>
      </c>
      <c r="G2754" s="364">
        <v>93654</v>
      </c>
      <c r="H2754" s="475" t="s">
        <v>2355</v>
      </c>
      <c r="I2754" s="475" t="s">
        <v>171</v>
      </c>
      <c r="J2754" s="475" t="s">
        <v>337</v>
      </c>
      <c r="K2754" s="365">
        <v>10.48</v>
      </c>
      <c r="L2754" s="475" t="s">
        <v>141</v>
      </c>
      <c r="M2754" s="473"/>
    </row>
    <row r="2755" spans="1:13" ht="13.5">
      <c r="A2755" s="475" t="s">
        <v>5453</v>
      </c>
      <c r="B2755" s="475" t="s">
        <v>5454</v>
      </c>
      <c r="C2755" s="475" t="s">
        <v>5465</v>
      </c>
      <c r="D2755" s="475" t="s">
        <v>5466</v>
      </c>
      <c r="E2755" s="476" t="s">
        <v>34</v>
      </c>
      <c r="F2755" s="475" t="s">
        <v>34</v>
      </c>
      <c r="G2755" s="364">
        <v>93655</v>
      </c>
      <c r="H2755" s="475" t="s">
        <v>2356</v>
      </c>
      <c r="I2755" s="475" t="s">
        <v>171</v>
      </c>
      <c r="J2755" s="475" t="s">
        <v>337</v>
      </c>
      <c r="K2755" s="365">
        <v>11.28</v>
      </c>
      <c r="L2755" s="475" t="s">
        <v>141</v>
      </c>
      <c r="M2755" s="473"/>
    </row>
    <row r="2756" spans="1:13" ht="13.5">
      <c r="A2756" s="475" t="s">
        <v>5453</v>
      </c>
      <c r="B2756" s="475" t="s">
        <v>5454</v>
      </c>
      <c r="C2756" s="475" t="s">
        <v>5465</v>
      </c>
      <c r="D2756" s="475" t="s">
        <v>5466</v>
      </c>
      <c r="E2756" s="476" t="s">
        <v>34</v>
      </c>
      <c r="F2756" s="475" t="s">
        <v>34</v>
      </c>
      <c r="G2756" s="364">
        <v>93656</v>
      </c>
      <c r="H2756" s="475" t="s">
        <v>2357</v>
      </c>
      <c r="I2756" s="475" t="s">
        <v>171</v>
      </c>
      <c r="J2756" s="475" t="s">
        <v>337</v>
      </c>
      <c r="K2756" s="365">
        <v>11.28</v>
      </c>
      <c r="L2756" s="475" t="s">
        <v>141</v>
      </c>
      <c r="M2756" s="473"/>
    </row>
    <row r="2757" spans="1:13" ht="13.5">
      <c r="A2757" s="475" t="s">
        <v>5453</v>
      </c>
      <c r="B2757" s="475" t="s">
        <v>5454</v>
      </c>
      <c r="C2757" s="475" t="s">
        <v>5465</v>
      </c>
      <c r="D2757" s="475" t="s">
        <v>5466</v>
      </c>
      <c r="E2757" s="476" t="s">
        <v>34</v>
      </c>
      <c r="F2757" s="475" t="s">
        <v>34</v>
      </c>
      <c r="G2757" s="364">
        <v>93657</v>
      </c>
      <c r="H2757" s="475" t="s">
        <v>2358</v>
      </c>
      <c r="I2757" s="475" t="s">
        <v>171</v>
      </c>
      <c r="J2757" s="475" t="s">
        <v>337</v>
      </c>
      <c r="K2757" s="365">
        <v>12.29</v>
      </c>
      <c r="L2757" s="475" t="s">
        <v>141</v>
      </c>
      <c r="M2757" s="473"/>
    </row>
    <row r="2758" spans="1:13" ht="13.5">
      <c r="A2758" s="475" t="s">
        <v>5453</v>
      </c>
      <c r="B2758" s="475" t="s">
        <v>5454</v>
      </c>
      <c r="C2758" s="475" t="s">
        <v>5465</v>
      </c>
      <c r="D2758" s="475" t="s">
        <v>5466</v>
      </c>
      <c r="E2758" s="476" t="s">
        <v>34</v>
      </c>
      <c r="F2758" s="475" t="s">
        <v>34</v>
      </c>
      <c r="G2758" s="364">
        <v>93658</v>
      </c>
      <c r="H2758" s="475" t="s">
        <v>2359</v>
      </c>
      <c r="I2758" s="475" t="s">
        <v>171</v>
      </c>
      <c r="J2758" s="475" t="s">
        <v>337</v>
      </c>
      <c r="K2758" s="365">
        <v>17.88</v>
      </c>
      <c r="L2758" s="475" t="s">
        <v>141</v>
      </c>
      <c r="M2758" s="473"/>
    </row>
    <row r="2759" spans="1:13" ht="13.5">
      <c r="A2759" s="475" t="s">
        <v>5453</v>
      </c>
      <c r="B2759" s="475" t="s">
        <v>5454</v>
      </c>
      <c r="C2759" s="475" t="s">
        <v>5465</v>
      </c>
      <c r="D2759" s="475" t="s">
        <v>5466</v>
      </c>
      <c r="E2759" s="476" t="s">
        <v>34</v>
      </c>
      <c r="F2759" s="475" t="s">
        <v>34</v>
      </c>
      <c r="G2759" s="364">
        <v>93659</v>
      </c>
      <c r="H2759" s="475" t="s">
        <v>2360</v>
      </c>
      <c r="I2759" s="475" t="s">
        <v>171</v>
      </c>
      <c r="J2759" s="475" t="s">
        <v>337</v>
      </c>
      <c r="K2759" s="365">
        <v>19.940000000000001</v>
      </c>
      <c r="L2759" s="475" t="s">
        <v>141</v>
      </c>
      <c r="M2759" s="473"/>
    </row>
    <row r="2760" spans="1:13" ht="13.5">
      <c r="A2760" s="475" t="s">
        <v>5453</v>
      </c>
      <c r="B2760" s="475" t="s">
        <v>5454</v>
      </c>
      <c r="C2760" s="475" t="s">
        <v>5465</v>
      </c>
      <c r="D2760" s="475" t="s">
        <v>5466</v>
      </c>
      <c r="E2760" s="476" t="s">
        <v>34</v>
      </c>
      <c r="F2760" s="475" t="s">
        <v>34</v>
      </c>
      <c r="G2760" s="364">
        <v>93660</v>
      </c>
      <c r="H2760" s="475" t="s">
        <v>2361</v>
      </c>
      <c r="I2760" s="475" t="s">
        <v>171</v>
      </c>
      <c r="J2760" s="475" t="s">
        <v>337</v>
      </c>
      <c r="K2760" s="365">
        <v>50.93</v>
      </c>
      <c r="L2760" s="475" t="s">
        <v>141</v>
      </c>
      <c r="M2760" s="473"/>
    </row>
    <row r="2761" spans="1:13" ht="13.5">
      <c r="A2761" s="475" t="s">
        <v>5453</v>
      </c>
      <c r="B2761" s="475" t="s">
        <v>5454</v>
      </c>
      <c r="C2761" s="475" t="s">
        <v>5465</v>
      </c>
      <c r="D2761" s="475" t="s">
        <v>5466</v>
      </c>
      <c r="E2761" s="476" t="s">
        <v>34</v>
      </c>
      <c r="F2761" s="475" t="s">
        <v>34</v>
      </c>
      <c r="G2761" s="364">
        <v>93661</v>
      </c>
      <c r="H2761" s="475" t="s">
        <v>2362</v>
      </c>
      <c r="I2761" s="475" t="s">
        <v>171</v>
      </c>
      <c r="J2761" s="475" t="s">
        <v>337</v>
      </c>
      <c r="K2761" s="365">
        <v>51.8</v>
      </c>
      <c r="L2761" s="475" t="s">
        <v>141</v>
      </c>
      <c r="M2761" s="473"/>
    </row>
    <row r="2762" spans="1:13" ht="13.5">
      <c r="A2762" s="475" t="s">
        <v>5453</v>
      </c>
      <c r="B2762" s="475" t="s">
        <v>5454</v>
      </c>
      <c r="C2762" s="475" t="s">
        <v>5465</v>
      </c>
      <c r="D2762" s="475" t="s">
        <v>5466</v>
      </c>
      <c r="E2762" s="476" t="s">
        <v>34</v>
      </c>
      <c r="F2762" s="475" t="s">
        <v>34</v>
      </c>
      <c r="G2762" s="364">
        <v>93662</v>
      </c>
      <c r="H2762" s="475" t="s">
        <v>2363</v>
      </c>
      <c r="I2762" s="475" t="s">
        <v>171</v>
      </c>
      <c r="J2762" s="475" t="s">
        <v>337</v>
      </c>
      <c r="K2762" s="365">
        <v>53.47</v>
      </c>
      <c r="L2762" s="475" t="s">
        <v>141</v>
      </c>
      <c r="M2762" s="473"/>
    </row>
    <row r="2763" spans="1:13" ht="13.5">
      <c r="A2763" s="475" t="s">
        <v>5453</v>
      </c>
      <c r="B2763" s="475" t="s">
        <v>5454</v>
      </c>
      <c r="C2763" s="475" t="s">
        <v>5465</v>
      </c>
      <c r="D2763" s="475" t="s">
        <v>5466</v>
      </c>
      <c r="E2763" s="476" t="s">
        <v>34</v>
      </c>
      <c r="F2763" s="475" t="s">
        <v>34</v>
      </c>
      <c r="G2763" s="364">
        <v>93663</v>
      </c>
      <c r="H2763" s="475" t="s">
        <v>2364</v>
      </c>
      <c r="I2763" s="475" t="s">
        <v>171</v>
      </c>
      <c r="J2763" s="475" t="s">
        <v>337</v>
      </c>
      <c r="K2763" s="365">
        <v>53.47</v>
      </c>
      <c r="L2763" s="475" t="s">
        <v>141</v>
      </c>
      <c r="M2763" s="473"/>
    </row>
    <row r="2764" spans="1:13" ht="13.5">
      <c r="A2764" s="475" t="s">
        <v>5453</v>
      </c>
      <c r="B2764" s="475" t="s">
        <v>5454</v>
      </c>
      <c r="C2764" s="475" t="s">
        <v>5465</v>
      </c>
      <c r="D2764" s="475" t="s">
        <v>5466</v>
      </c>
      <c r="E2764" s="476" t="s">
        <v>34</v>
      </c>
      <c r="F2764" s="475" t="s">
        <v>34</v>
      </c>
      <c r="G2764" s="364">
        <v>93664</v>
      </c>
      <c r="H2764" s="475" t="s">
        <v>2365</v>
      </c>
      <c r="I2764" s="475" t="s">
        <v>171</v>
      </c>
      <c r="J2764" s="475" t="s">
        <v>337</v>
      </c>
      <c r="K2764" s="365">
        <v>55.45</v>
      </c>
      <c r="L2764" s="475" t="s">
        <v>141</v>
      </c>
      <c r="M2764" s="473"/>
    </row>
    <row r="2765" spans="1:13" ht="13.5">
      <c r="A2765" s="475" t="s">
        <v>5453</v>
      </c>
      <c r="B2765" s="475" t="s">
        <v>5454</v>
      </c>
      <c r="C2765" s="475" t="s">
        <v>5465</v>
      </c>
      <c r="D2765" s="475" t="s">
        <v>5466</v>
      </c>
      <c r="E2765" s="476" t="s">
        <v>34</v>
      </c>
      <c r="F2765" s="475" t="s">
        <v>34</v>
      </c>
      <c r="G2765" s="364">
        <v>93665</v>
      </c>
      <c r="H2765" s="475" t="s">
        <v>2366</v>
      </c>
      <c r="I2765" s="475" t="s">
        <v>171</v>
      </c>
      <c r="J2765" s="475" t="s">
        <v>337</v>
      </c>
      <c r="K2765" s="365">
        <v>57.92</v>
      </c>
      <c r="L2765" s="475" t="s">
        <v>141</v>
      </c>
      <c r="M2765" s="473"/>
    </row>
    <row r="2766" spans="1:13" ht="13.5">
      <c r="A2766" s="475" t="s">
        <v>5453</v>
      </c>
      <c r="B2766" s="475" t="s">
        <v>5454</v>
      </c>
      <c r="C2766" s="475" t="s">
        <v>5465</v>
      </c>
      <c r="D2766" s="475" t="s">
        <v>5466</v>
      </c>
      <c r="E2766" s="476" t="s">
        <v>34</v>
      </c>
      <c r="F2766" s="475" t="s">
        <v>34</v>
      </c>
      <c r="G2766" s="364">
        <v>93666</v>
      </c>
      <c r="H2766" s="475" t="s">
        <v>2367</v>
      </c>
      <c r="I2766" s="475" t="s">
        <v>171</v>
      </c>
      <c r="J2766" s="475" t="s">
        <v>337</v>
      </c>
      <c r="K2766" s="365">
        <v>62.04</v>
      </c>
      <c r="L2766" s="475" t="s">
        <v>141</v>
      </c>
      <c r="M2766" s="473"/>
    </row>
    <row r="2767" spans="1:13" ht="13.5">
      <c r="A2767" s="475" t="s">
        <v>5453</v>
      </c>
      <c r="B2767" s="475" t="s">
        <v>5454</v>
      </c>
      <c r="C2767" s="475" t="s">
        <v>5465</v>
      </c>
      <c r="D2767" s="475" t="s">
        <v>5466</v>
      </c>
      <c r="E2767" s="476" t="s">
        <v>34</v>
      </c>
      <c r="F2767" s="475" t="s">
        <v>34</v>
      </c>
      <c r="G2767" s="364">
        <v>93667</v>
      </c>
      <c r="H2767" s="475" t="s">
        <v>2368</v>
      </c>
      <c r="I2767" s="475" t="s">
        <v>171</v>
      </c>
      <c r="J2767" s="475" t="s">
        <v>337</v>
      </c>
      <c r="K2767" s="365">
        <v>63.37</v>
      </c>
      <c r="L2767" s="475" t="s">
        <v>141</v>
      </c>
      <c r="M2767" s="473"/>
    </row>
    <row r="2768" spans="1:13" ht="13.5">
      <c r="A2768" s="475" t="s">
        <v>5453</v>
      </c>
      <c r="B2768" s="475" t="s">
        <v>5454</v>
      </c>
      <c r="C2768" s="475" t="s">
        <v>5465</v>
      </c>
      <c r="D2768" s="475" t="s">
        <v>5466</v>
      </c>
      <c r="E2768" s="476" t="s">
        <v>34</v>
      </c>
      <c r="F2768" s="475" t="s">
        <v>34</v>
      </c>
      <c r="G2768" s="364">
        <v>93668</v>
      </c>
      <c r="H2768" s="475" t="s">
        <v>2369</v>
      </c>
      <c r="I2768" s="475" t="s">
        <v>171</v>
      </c>
      <c r="J2768" s="475" t="s">
        <v>337</v>
      </c>
      <c r="K2768" s="365">
        <v>64.69</v>
      </c>
      <c r="L2768" s="475" t="s">
        <v>141</v>
      </c>
      <c r="M2768" s="473"/>
    </row>
    <row r="2769" spans="1:13" ht="13.5">
      <c r="A2769" s="475" t="s">
        <v>5453</v>
      </c>
      <c r="B2769" s="475" t="s">
        <v>5454</v>
      </c>
      <c r="C2769" s="475" t="s">
        <v>5465</v>
      </c>
      <c r="D2769" s="475" t="s">
        <v>5466</v>
      </c>
      <c r="E2769" s="476" t="s">
        <v>34</v>
      </c>
      <c r="F2769" s="475" t="s">
        <v>34</v>
      </c>
      <c r="G2769" s="364">
        <v>93669</v>
      </c>
      <c r="H2769" s="475" t="s">
        <v>2370</v>
      </c>
      <c r="I2769" s="475" t="s">
        <v>171</v>
      </c>
      <c r="J2769" s="475" t="s">
        <v>337</v>
      </c>
      <c r="K2769" s="365">
        <v>67.150000000000006</v>
      </c>
      <c r="L2769" s="475" t="s">
        <v>141</v>
      </c>
      <c r="M2769" s="473"/>
    </row>
    <row r="2770" spans="1:13" ht="13.5">
      <c r="A2770" s="475" t="s">
        <v>5453</v>
      </c>
      <c r="B2770" s="475" t="s">
        <v>5454</v>
      </c>
      <c r="C2770" s="475" t="s">
        <v>5465</v>
      </c>
      <c r="D2770" s="475" t="s">
        <v>5466</v>
      </c>
      <c r="E2770" s="476" t="s">
        <v>34</v>
      </c>
      <c r="F2770" s="475" t="s">
        <v>34</v>
      </c>
      <c r="G2770" s="364">
        <v>93670</v>
      </c>
      <c r="H2770" s="475" t="s">
        <v>2371</v>
      </c>
      <c r="I2770" s="475" t="s">
        <v>171</v>
      </c>
      <c r="J2770" s="475" t="s">
        <v>337</v>
      </c>
      <c r="K2770" s="365">
        <v>67.150000000000006</v>
      </c>
      <c r="L2770" s="475" t="s">
        <v>141</v>
      </c>
      <c r="M2770" s="473"/>
    </row>
    <row r="2771" spans="1:13" ht="13.5">
      <c r="A2771" s="475" t="s">
        <v>5453</v>
      </c>
      <c r="B2771" s="475" t="s">
        <v>5454</v>
      </c>
      <c r="C2771" s="475" t="s">
        <v>5465</v>
      </c>
      <c r="D2771" s="475" t="s">
        <v>5466</v>
      </c>
      <c r="E2771" s="476" t="s">
        <v>34</v>
      </c>
      <c r="F2771" s="475" t="s">
        <v>34</v>
      </c>
      <c r="G2771" s="364">
        <v>93671</v>
      </c>
      <c r="H2771" s="475" t="s">
        <v>2372</v>
      </c>
      <c r="I2771" s="475" t="s">
        <v>171</v>
      </c>
      <c r="J2771" s="475" t="s">
        <v>337</v>
      </c>
      <c r="K2771" s="365">
        <v>70.14</v>
      </c>
      <c r="L2771" s="475" t="s">
        <v>141</v>
      </c>
      <c r="M2771" s="473"/>
    </row>
    <row r="2772" spans="1:13" ht="13.5">
      <c r="A2772" s="475" t="s">
        <v>5453</v>
      </c>
      <c r="B2772" s="475" t="s">
        <v>5454</v>
      </c>
      <c r="C2772" s="475" t="s">
        <v>5465</v>
      </c>
      <c r="D2772" s="475" t="s">
        <v>5466</v>
      </c>
      <c r="E2772" s="476" t="s">
        <v>34</v>
      </c>
      <c r="F2772" s="475" t="s">
        <v>34</v>
      </c>
      <c r="G2772" s="364">
        <v>93672</v>
      </c>
      <c r="H2772" s="475" t="s">
        <v>2373</v>
      </c>
      <c r="I2772" s="475" t="s">
        <v>171</v>
      </c>
      <c r="J2772" s="475" t="s">
        <v>337</v>
      </c>
      <c r="K2772" s="365">
        <v>74.98</v>
      </c>
      <c r="L2772" s="475" t="s">
        <v>141</v>
      </c>
      <c r="M2772" s="473"/>
    </row>
    <row r="2773" spans="1:13" ht="13.5">
      <c r="A2773" s="475" t="s">
        <v>5453</v>
      </c>
      <c r="B2773" s="475" t="s">
        <v>5454</v>
      </c>
      <c r="C2773" s="475" t="s">
        <v>5465</v>
      </c>
      <c r="D2773" s="475" t="s">
        <v>5466</v>
      </c>
      <c r="E2773" s="476" t="s">
        <v>34</v>
      </c>
      <c r="F2773" s="475" t="s">
        <v>34</v>
      </c>
      <c r="G2773" s="364">
        <v>93673</v>
      </c>
      <c r="H2773" s="475" t="s">
        <v>2374</v>
      </c>
      <c r="I2773" s="475" t="s">
        <v>171</v>
      </c>
      <c r="J2773" s="475" t="s">
        <v>337</v>
      </c>
      <c r="K2773" s="365">
        <v>81.17</v>
      </c>
      <c r="L2773" s="475" t="s">
        <v>141</v>
      </c>
      <c r="M2773" s="473"/>
    </row>
    <row r="2774" spans="1:13" ht="13.5">
      <c r="A2774" s="475" t="s">
        <v>5453</v>
      </c>
      <c r="B2774" s="475" t="s">
        <v>5454</v>
      </c>
      <c r="C2774" s="475" t="s">
        <v>5469</v>
      </c>
      <c r="D2774" s="475" t="s">
        <v>5470</v>
      </c>
      <c r="E2774" s="476" t="s">
        <v>34</v>
      </c>
      <c r="F2774" s="475" t="s">
        <v>34</v>
      </c>
      <c r="G2774" s="364">
        <v>72339</v>
      </c>
      <c r="H2774" s="475" t="s">
        <v>2375</v>
      </c>
      <c r="I2774" s="475" t="s">
        <v>171</v>
      </c>
      <c r="J2774" s="475" t="s">
        <v>337</v>
      </c>
      <c r="K2774" s="365">
        <v>50.46</v>
      </c>
      <c r="L2774" s="475" t="s">
        <v>141</v>
      </c>
      <c r="M2774" s="473"/>
    </row>
    <row r="2775" spans="1:13" ht="13.5">
      <c r="A2775" s="475" t="s">
        <v>5453</v>
      </c>
      <c r="B2775" s="475" t="s">
        <v>5454</v>
      </c>
      <c r="C2775" s="475" t="s">
        <v>5469</v>
      </c>
      <c r="D2775" s="475" t="s">
        <v>5470</v>
      </c>
      <c r="E2775" s="476" t="s">
        <v>34</v>
      </c>
      <c r="F2775" s="475" t="s">
        <v>34</v>
      </c>
      <c r="G2775" s="364">
        <v>83403</v>
      </c>
      <c r="H2775" s="475" t="s">
        <v>2376</v>
      </c>
      <c r="I2775" s="475" t="s">
        <v>171</v>
      </c>
      <c r="J2775" s="475" t="s">
        <v>337</v>
      </c>
      <c r="K2775" s="365">
        <v>16.899999999999999</v>
      </c>
      <c r="L2775" s="475" t="s">
        <v>141</v>
      </c>
      <c r="M2775" s="473"/>
    </row>
    <row r="2776" spans="1:13" ht="13.5">
      <c r="A2776" s="475" t="s">
        <v>5453</v>
      </c>
      <c r="B2776" s="475" t="s">
        <v>5454</v>
      </c>
      <c r="C2776" s="475" t="s">
        <v>5469</v>
      </c>
      <c r="D2776" s="475" t="s">
        <v>5470</v>
      </c>
      <c r="E2776" s="476" t="s">
        <v>34</v>
      </c>
      <c r="F2776" s="475" t="s">
        <v>34</v>
      </c>
      <c r="G2776" s="364">
        <v>83465</v>
      </c>
      <c r="H2776" s="475" t="s">
        <v>2377</v>
      </c>
      <c r="I2776" s="475" t="s">
        <v>171</v>
      </c>
      <c r="J2776" s="475" t="s">
        <v>337</v>
      </c>
      <c r="K2776" s="365">
        <v>41.5</v>
      </c>
      <c r="L2776" s="475" t="s">
        <v>141</v>
      </c>
      <c r="M2776" s="473"/>
    </row>
    <row r="2777" spans="1:13" ht="13.5">
      <c r="A2777" s="475" t="s">
        <v>5453</v>
      </c>
      <c r="B2777" s="475" t="s">
        <v>5454</v>
      </c>
      <c r="C2777" s="475" t="s">
        <v>5469</v>
      </c>
      <c r="D2777" s="475" t="s">
        <v>5470</v>
      </c>
      <c r="E2777" s="476" t="s">
        <v>34</v>
      </c>
      <c r="F2777" s="475" t="s">
        <v>34</v>
      </c>
      <c r="G2777" s="364">
        <v>91945</v>
      </c>
      <c r="H2777" s="475" t="s">
        <v>2378</v>
      </c>
      <c r="I2777" s="475" t="s">
        <v>171</v>
      </c>
      <c r="J2777" s="475" t="s">
        <v>337</v>
      </c>
      <c r="K2777" s="365">
        <v>7.14</v>
      </c>
      <c r="L2777" s="475" t="s">
        <v>141</v>
      </c>
      <c r="M2777" s="473"/>
    </row>
    <row r="2778" spans="1:13" ht="13.5">
      <c r="A2778" s="475" t="s">
        <v>5453</v>
      </c>
      <c r="B2778" s="475" t="s">
        <v>5454</v>
      </c>
      <c r="C2778" s="475" t="s">
        <v>5469</v>
      </c>
      <c r="D2778" s="475" t="s">
        <v>5470</v>
      </c>
      <c r="E2778" s="476" t="s">
        <v>34</v>
      </c>
      <c r="F2778" s="475" t="s">
        <v>34</v>
      </c>
      <c r="G2778" s="364">
        <v>91946</v>
      </c>
      <c r="H2778" s="475" t="s">
        <v>2379</v>
      </c>
      <c r="I2778" s="475" t="s">
        <v>171</v>
      </c>
      <c r="J2778" s="475" t="s">
        <v>337</v>
      </c>
      <c r="K2778" s="365">
        <v>6.01</v>
      </c>
      <c r="L2778" s="475" t="s">
        <v>141</v>
      </c>
      <c r="M2778" s="473"/>
    </row>
    <row r="2779" spans="1:13" ht="13.5">
      <c r="A2779" s="475" t="s">
        <v>5453</v>
      </c>
      <c r="B2779" s="475" t="s">
        <v>5454</v>
      </c>
      <c r="C2779" s="475" t="s">
        <v>5469</v>
      </c>
      <c r="D2779" s="475" t="s">
        <v>5470</v>
      </c>
      <c r="E2779" s="476" t="s">
        <v>34</v>
      </c>
      <c r="F2779" s="475" t="s">
        <v>34</v>
      </c>
      <c r="G2779" s="364">
        <v>91947</v>
      </c>
      <c r="H2779" s="475" t="s">
        <v>2380</v>
      </c>
      <c r="I2779" s="475" t="s">
        <v>171</v>
      </c>
      <c r="J2779" s="475" t="s">
        <v>337</v>
      </c>
      <c r="K2779" s="365">
        <v>5.31</v>
      </c>
      <c r="L2779" s="475" t="s">
        <v>141</v>
      </c>
      <c r="M2779" s="473"/>
    </row>
    <row r="2780" spans="1:13" ht="13.5">
      <c r="A2780" s="475" t="s">
        <v>5453</v>
      </c>
      <c r="B2780" s="475" t="s">
        <v>5454</v>
      </c>
      <c r="C2780" s="475" t="s">
        <v>5469</v>
      </c>
      <c r="D2780" s="475" t="s">
        <v>5470</v>
      </c>
      <c r="E2780" s="476" t="s">
        <v>34</v>
      </c>
      <c r="F2780" s="475" t="s">
        <v>34</v>
      </c>
      <c r="G2780" s="364">
        <v>91949</v>
      </c>
      <c r="H2780" s="475" t="s">
        <v>2381</v>
      </c>
      <c r="I2780" s="475" t="s">
        <v>171</v>
      </c>
      <c r="J2780" s="475" t="s">
        <v>337</v>
      </c>
      <c r="K2780" s="365">
        <v>11.04</v>
      </c>
      <c r="L2780" s="475" t="s">
        <v>141</v>
      </c>
      <c r="M2780" s="473"/>
    </row>
    <row r="2781" spans="1:13" ht="13.5">
      <c r="A2781" s="475" t="s">
        <v>5453</v>
      </c>
      <c r="B2781" s="475" t="s">
        <v>5454</v>
      </c>
      <c r="C2781" s="475" t="s">
        <v>5469</v>
      </c>
      <c r="D2781" s="475" t="s">
        <v>5470</v>
      </c>
      <c r="E2781" s="476" t="s">
        <v>34</v>
      </c>
      <c r="F2781" s="475" t="s">
        <v>34</v>
      </c>
      <c r="G2781" s="364">
        <v>91950</v>
      </c>
      <c r="H2781" s="475" t="s">
        <v>2382</v>
      </c>
      <c r="I2781" s="475" t="s">
        <v>171</v>
      </c>
      <c r="J2781" s="475" t="s">
        <v>337</v>
      </c>
      <c r="K2781" s="365">
        <v>9.68</v>
      </c>
      <c r="L2781" s="475" t="s">
        <v>141</v>
      </c>
      <c r="M2781" s="473"/>
    </row>
    <row r="2782" spans="1:13" ht="13.5">
      <c r="A2782" s="475" t="s">
        <v>5453</v>
      </c>
      <c r="B2782" s="475" t="s">
        <v>5454</v>
      </c>
      <c r="C2782" s="475" t="s">
        <v>5469</v>
      </c>
      <c r="D2782" s="475" t="s">
        <v>5470</v>
      </c>
      <c r="E2782" s="476" t="s">
        <v>34</v>
      </c>
      <c r="F2782" s="475" t="s">
        <v>34</v>
      </c>
      <c r="G2782" s="364">
        <v>91951</v>
      </c>
      <c r="H2782" s="475" t="s">
        <v>2383</v>
      </c>
      <c r="I2782" s="475" t="s">
        <v>171</v>
      </c>
      <c r="J2782" s="475" t="s">
        <v>337</v>
      </c>
      <c r="K2782" s="365">
        <v>8.86</v>
      </c>
      <c r="L2782" s="475" t="s">
        <v>141</v>
      </c>
      <c r="M2782" s="473"/>
    </row>
    <row r="2783" spans="1:13" ht="13.5">
      <c r="A2783" s="475" t="s">
        <v>5453</v>
      </c>
      <c r="B2783" s="475" t="s">
        <v>5454</v>
      </c>
      <c r="C2783" s="475" t="s">
        <v>5469</v>
      </c>
      <c r="D2783" s="475" t="s">
        <v>5470</v>
      </c>
      <c r="E2783" s="476" t="s">
        <v>34</v>
      </c>
      <c r="F2783" s="475" t="s">
        <v>34</v>
      </c>
      <c r="G2783" s="364">
        <v>91952</v>
      </c>
      <c r="H2783" s="475" t="s">
        <v>2384</v>
      </c>
      <c r="I2783" s="475" t="s">
        <v>171</v>
      </c>
      <c r="J2783" s="475" t="s">
        <v>337</v>
      </c>
      <c r="K2783" s="365">
        <v>13.44</v>
      </c>
      <c r="L2783" s="475" t="s">
        <v>141</v>
      </c>
      <c r="M2783" s="473"/>
    </row>
    <row r="2784" spans="1:13" ht="13.5">
      <c r="A2784" s="475" t="s">
        <v>5453</v>
      </c>
      <c r="B2784" s="475" t="s">
        <v>5454</v>
      </c>
      <c r="C2784" s="475" t="s">
        <v>5469</v>
      </c>
      <c r="D2784" s="475" t="s">
        <v>5470</v>
      </c>
      <c r="E2784" s="476" t="s">
        <v>34</v>
      </c>
      <c r="F2784" s="475" t="s">
        <v>34</v>
      </c>
      <c r="G2784" s="364">
        <v>91953</v>
      </c>
      <c r="H2784" s="475" t="s">
        <v>2385</v>
      </c>
      <c r="I2784" s="475" t="s">
        <v>171</v>
      </c>
      <c r="J2784" s="475" t="s">
        <v>337</v>
      </c>
      <c r="K2784" s="365">
        <v>19.45</v>
      </c>
      <c r="L2784" s="475" t="s">
        <v>141</v>
      </c>
      <c r="M2784" s="473"/>
    </row>
    <row r="2785" spans="1:13" ht="13.5">
      <c r="A2785" s="475" t="s">
        <v>5453</v>
      </c>
      <c r="B2785" s="475" t="s">
        <v>5454</v>
      </c>
      <c r="C2785" s="475" t="s">
        <v>5469</v>
      </c>
      <c r="D2785" s="475" t="s">
        <v>5470</v>
      </c>
      <c r="E2785" s="476" t="s">
        <v>34</v>
      </c>
      <c r="F2785" s="475" t="s">
        <v>34</v>
      </c>
      <c r="G2785" s="364">
        <v>91954</v>
      </c>
      <c r="H2785" s="475" t="s">
        <v>2386</v>
      </c>
      <c r="I2785" s="475" t="s">
        <v>171</v>
      </c>
      <c r="J2785" s="475" t="s">
        <v>337</v>
      </c>
      <c r="K2785" s="365">
        <v>18.010000000000002</v>
      </c>
      <c r="L2785" s="475" t="s">
        <v>141</v>
      </c>
      <c r="M2785" s="473"/>
    </row>
    <row r="2786" spans="1:13" ht="13.5">
      <c r="A2786" s="475" t="s">
        <v>5453</v>
      </c>
      <c r="B2786" s="475" t="s">
        <v>5454</v>
      </c>
      <c r="C2786" s="475" t="s">
        <v>5469</v>
      </c>
      <c r="D2786" s="475" t="s">
        <v>5470</v>
      </c>
      <c r="E2786" s="476" t="s">
        <v>34</v>
      </c>
      <c r="F2786" s="475" t="s">
        <v>34</v>
      </c>
      <c r="G2786" s="364">
        <v>91955</v>
      </c>
      <c r="H2786" s="475" t="s">
        <v>2387</v>
      </c>
      <c r="I2786" s="475" t="s">
        <v>171</v>
      </c>
      <c r="J2786" s="475" t="s">
        <v>337</v>
      </c>
      <c r="K2786" s="365">
        <v>24.02</v>
      </c>
      <c r="L2786" s="475" t="s">
        <v>141</v>
      </c>
      <c r="M2786" s="473"/>
    </row>
    <row r="2787" spans="1:13" ht="13.5">
      <c r="A2787" s="475" t="s">
        <v>5453</v>
      </c>
      <c r="B2787" s="475" t="s">
        <v>5454</v>
      </c>
      <c r="C2787" s="475" t="s">
        <v>5469</v>
      </c>
      <c r="D2787" s="475" t="s">
        <v>5470</v>
      </c>
      <c r="E2787" s="476" t="s">
        <v>34</v>
      </c>
      <c r="F2787" s="475" t="s">
        <v>34</v>
      </c>
      <c r="G2787" s="364">
        <v>91956</v>
      </c>
      <c r="H2787" s="475" t="s">
        <v>2388</v>
      </c>
      <c r="I2787" s="475" t="s">
        <v>171</v>
      </c>
      <c r="J2787" s="475" t="s">
        <v>337</v>
      </c>
      <c r="K2787" s="365">
        <v>29.34</v>
      </c>
      <c r="L2787" s="475" t="s">
        <v>141</v>
      </c>
      <c r="M2787" s="473"/>
    </row>
    <row r="2788" spans="1:13" ht="13.5">
      <c r="A2788" s="475" t="s">
        <v>5453</v>
      </c>
      <c r="B2788" s="475" t="s">
        <v>5454</v>
      </c>
      <c r="C2788" s="475" t="s">
        <v>5469</v>
      </c>
      <c r="D2788" s="475" t="s">
        <v>5470</v>
      </c>
      <c r="E2788" s="476" t="s">
        <v>34</v>
      </c>
      <c r="F2788" s="475" t="s">
        <v>34</v>
      </c>
      <c r="G2788" s="364">
        <v>91957</v>
      </c>
      <c r="H2788" s="475" t="s">
        <v>2389</v>
      </c>
      <c r="I2788" s="475" t="s">
        <v>171</v>
      </c>
      <c r="J2788" s="475" t="s">
        <v>337</v>
      </c>
      <c r="K2788" s="365">
        <v>35.35</v>
      </c>
      <c r="L2788" s="475" t="s">
        <v>141</v>
      </c>
      <c r="M2788" s="473"/>
    </row>
    <row r="2789" spans="1:13" ht="13.5">
      <c r="A2789" s="475" t="s">
        <v>5453</v>
      </c>
      <c r="B2789" s="475" t="s">
        <v>5454</v>
      </c>
      <c r="C2789" s="475" t="s">
        <v>5469</v>
      </c>
      <c r="D2789" s="475" t="s">
        <v>5470</v>
      </c>
      <c r="E2789" s="476" t="s">
        <v>34</v>
      </c>
      <c r="F2789" s="475" t="s">
        <v>34</v>
      </c>
      <c r="G2789" s="364">
        <v>91958</v>
      </c>
      <c r="H2789" s="475" t="s">
        <v>2390</v>
      </c>
      <c r="I2789" s="475" t="s">
        <v>171</v>
      </c>
      <c r="J2789" s="475" t="s">
        <v>337</v>
      </c>
      <c r="K2789" s="365">
        <v>24.79</v>
      </c>
      <c r="L2789" s="475" t="s">
        <v>141</v>
      </c>
      <c r="M2789" s="473"/>
    </row>
    <row r="2790" spans="1:13" ht="13.5">
      <c r="A2790" s="475" t="s">
        <v>5453</v>
      </c>
      <c r="B2790" s="475" t="s">
        <v>5454</v>
      </c>
      <c r="C2790" s="475" t="s">
        <v>5469</v>
      </c>
      <c r="D2790" s="475" t="s">
        <v>5470</v>
      </c>
      <c r="E2790" s="476" t="s">
        <v>34</v>
      </c>
      <c r="F2790" s="475" t="s">
        <v>34</v>
      </c>
      <c r="G2790" s="364">
        <v>91959</v>
      </c>
      <c r="H2790" s="475" t="s">
        <v>2391</v>
      </c>
      <c r="I2790" s="475" t="s">
        <v>171</v>
      </c>
      <c r="J2790" s="475" t="s">
        <v>337</v>
      </c>
      <c r="K2790" s="365">
        <v>30.8</v>
      </c>
      <c r="L2790" s="475" t="s">
        <v>141</v>
      </c>
      <c r="M2790" s="473"/>
    </row>
    <row r="2791" spans="1:13" ht="13.5">
      <c r="A2791" s="475" t="s">
        <v>5453</v>
      </c>
      <c r="B2791" s="475" t="s">
        <v>5454</v>
      </c>
      <c r="C2791" s="475" t="s">
        <v>5469</v>
      </c>
      <c r="D2791" s="475" t="s">
        <v>5470</v>
      </c>
      <c r="E2791" s="476" t="s">
        <v>34</v>
      </c>
      <c r="F2791" s="475" t="s">
        <v>34</v>
      </c>
      <c r="G2791" s="364">
        <v>91960</v>
      </c>
      <c r="H2791" s="475" t="s">
        <v>2392</v>
      </c>
      <c r="I2791" s="475" t="s">
        <v>171</v>
      </c>
      <c r="J2791" s="475" t="s">
        <v>337</v>
      </c>
      <c r="K2791" s="365">
        <v>33.92</v>
      </c>
      <c r="L2791" s="475" t="s">
        <v>141</v>
      </c>
      <c r="M2791" s="473"/>
    </row>
    <row r="2792" spans="1:13" ht="13.5">
      <c r="A2792" s="475" t="s">
        <v>5453</v>
      </c>
      <c r="B2792" s="475" t="s">
        <v>5454</v>
      </c>
      <c r="C2792" s="475" t="s">
        <v>5469</v>
      </c>
      <c r="D2792" s="475" t="s">
        <v>5470</v>
      </c>
      <c r="E2792" s="476" t="s">
        <v>34</v>
      </c>
      <c r="F2792" s="475" t="s">
        <v>34</v>
      </c>
      <c r="G2792" s="364">
        <v>91961</v>
      </c>
      <c r="H2792" s="475" t="s">
        <v>2393</v>
      </c>
      <c r="I2792" s="475" t="s">
        <v>171</v>
      </c>
      <c r="J2792" s="475" t="s">
        <v>337</v>
      </c>
      <c r="K2792" s="365">
        <v>39.93</v>
      </c>
      <c r="L2792" s="475" t="s">
        <v>141</v>
      </c>
      <c r="M2792" s="473"/>
    </row>
    <row r="2793" spans="1:13" ht="13.5">
      <c r="A2793" s="475" t="s">
        <v>5453</v>
      </c>
      <c r="B2793" s="475" t="s">
        <v>5454</v>
      </c>
      <c r="C2793" s="475" t="s">
        <v>5469</v>
      </c>
      <c r="D2793" s="475" t="s">
        <v>5470</v>
      </c>
      <c r="E2793" s="476" t="s">
        <v>34</v>
      </c>
      <c r="F2793" s="475" t="s">
        <v>34</v>
      </c>
      <c r="G2793" s="364">
        <v>91962</v>
      </c>
      <c r="H2793" s="475" t="s">
        <v>2394</v>
      </c>
      <c r="I2793" s="475" t="s">
        <v>171</v>
      </c>
      <c r="J2793" s="475" t="s">
        <v>337</v>
      </c>
      <c r="K2793" s="365">
        <v>45.27</v>
      </c>
      <c r="L2793" s="475" t="s">
        <v>141</v>
      </c>
      <c r="M2793" s="473"/>
    </row>
    <row r="2794" spans="1:13" ht="13.5">
      <c r="A2794" s="475" t="s">
        <v>5453</v>
      </c>
      <c r="B2794" s="475" t="s">
        <v>5454</v>
      </c>
      <c r="C2794" s="475" t="s">
        <v>5469</v>
      </c>
      <c r="D2794" s="475" t="s">
        <v>5470</v>
      </c>
      <c r="E2794" s="476" t="s">
        <v>34</v>
      </c>
      <c r="F2794" s="475" t="s">
        <v>34</v>
      </c>
      <c r="G2794" s="364">
        <v>91963</v>
      </c>
      <c r="H2794" s="475" t="s">
        <v>2395</v>
      </c>
      <c r="I2794" s="475" t="s">
        <v>171</v>
      </c>
      <c r="J2794" s="475" t="s">
        <v>337</v>
      </c>
      <c r="K2794" s="365">
        <v>51.28</v>
      </c>
      <c r="L2794" s="475" t="s">
        <v>141</v>
      </c>
      <c r="M2794" s="473"/>
    </row>
    <row r="2795" spans="1:13" ht="13.5">
      <c r="A2795" s="475" t="s">
        <v>5453</v>
      </c>
      <c r="B2795" s="475" t="s">
        <v>5454</v>
      </c>
      <c r="C2795" s="475" t="s">
        <v>5469</v>
      </c>
      <c r="D2795" s="475" t="s">
        <v>5470</v>
      </c>
      <c r="E2795" s="476" t="s">
        <v>34</v>
      </c>
      <c r="F2795" s="475" t="s">
        <v>34</v>
      </c>
      <c r="G2795" s="364">
        <v>91964</v>
      </c>
      <c r="H2795" s="475" t="s">
        <v>2396</v>
      </c>
      <c r="I2795" s="475" t="s">
        <v>171</v>
      </c>
      <c r="J2795" s="475" t="s">
        <v>337</v>
      </c>
      <c r="K2795" s="365">
        <v>40.69</v>
      </c>
      <c r="L2795" s="475" t="s">
        <v>141</v>
      </c>
      <c r="M2795" s="473"/>
    </row>
    <row r="2796" spans="1:13" ht="13.5">
      <c r="A2796" s="475" t="s">
        <v>5453</v>
      </c>
      <c r="B2796" s="475" t="s">
        <v>5454</v>
      </c>
      <c r="C2796" s="475" t="s">
        <v>5469</v>
      </c>
      <c r="D2796" s="475" t="s">
        <v>5470</v>
      </c>
      <c r="E2796" s="476" t="s">
        <v>34</v>
      </c>
      <c r="F2796" s="475" t="s">
        <v>34</v>
      </c>
      <c r="G2796" s="364">
        <v>91965</v>
      </c>
      <c r="H2796" s="475" t="s">
        <v>2397</v>
      </c>
      <c r="I2796" s="475" t="s">
        <v>171</v>
      </c>
      <c r="J2796" s="475" t="s">
        <v>337</v>
      </c>
      <c r="K2796" s="365">
        <v>46.7</v>
      </c>
      <c r="L2796" s="475" t="s">
        <v>141</v>
      </c>
      <c r="M2796" s="473"/>
    </row>
    <row r="2797" spans="1:13" ht="13.5">
      <c r="A2797" s="475" t="s">
        <v>5453</v>
      </c>
      <c r="B2797" s="475" t="s">
        <v>5454</v>
      </c>
      <c r="C2797" s="475" t="s">
        <v>5469</v>
      </c>
      <c r="D2797" s="475" t="s">
        <v>5470</v>
      </c>
      <c r="E2797" s="476" t="s">
        <v>34</v>
      </c>
      <c r="F2797" s="475" t="s">
        <v>34</v>
      </c>
      <c r="G2797" s="364">
        <v>91966</v>
      </c>
      <c r="H2797" s="475" t="s">
        <v>2398</v>
      </c>
      <c r="I2797" s="475" t="s">
        <v>171</v>
      </c>
      <c r="J2797" s="475" t="s">
        <v>337</v>
      </c>
      <c r="K2797" s="365">
        <v>36.15</v>
      </c>
      <c r="L2797" s="475" t="s">
        <v>141</v>
      </c>
      <c r="M2797" s="473"/>
    </row>
    <row r="2798" spans="1:13" ht="13.5">
      <c r="A2798" s="475" t="s">
        <v>5453</v>
      </c>
      <c r="B2798" s="475" t="s">
        <v>5454</v>
      </c>
      <c r="C2798" s="475" t="s">
        <v>5469</v>
      </c>
      <c r="D2798" s="475" t="s">
        <v>5470</v>
      </c>
      <c r="E2798" s="476" t="s">
        <v>34</v>
      </c>
      <c r="F2798" s="475" t="s">
        <v>34</v>
      </c>
      <c r="G2798" s="364">
        <v>91967</v>
      </c>
      <c r="H2798" s="475" t="s">
        <v>2399</v>
      </c>
      <c r="I2798" s="475" t="s">
        <v>171</v>
      </c>
      <c r="J2798" s="475" t="s">
        <v>337</v>
      </c>
      <c r="K2798" s="365">
        <v>42.16</v>
      </c>
      <c r="L2798" s="475" t="s">
        <v>141</v>
      </c>
      <c r="M2798" s="473"/>
    </row>
    <row r="2799" spans="1:13" ht="13.5">
      <c r="A2799" s="475" t="s">
        <v>5453</v>
      </c>
      <c r="B2799" s="475" t="s">
        <v>5454</v>
      </c>
      <c r="C2799" s="475" t="s">
        <v>5469</v>
      </c>
      <c r="D2799" s="475" t="s">
        <v>5470</v>
      </c>
      <c r="E2799" s="476" t="s">
        <v>34</v>
      </c>
      <c r="F2799" s="475" t="s">
        <v>34</v>
      </c>
      <c r="G2799" s="364">
        <v>91968</v>
      </c>
      <c r="H2799" s="475" t="s">
        <v>2400</v>
      </c>
      <c r="I2799" s="475" t="s">
        <v>171</v>
      </c>
      <c r="J2799" s="475" t="s">
        <v>337</v>
      </c>
      <c r="K2799" s="365">
        <v>49.82</v>
      </c>
      <c r="L2799" s="475" t="s">
        <v>141</v>
      </c>
      <c r="M2799" s="473"/>
    </row>
    <row r="2800" spans="1:13" ht="13.5">
      <c r="A2800" s="475" t="s">
        <v>5453</v>
      </c>
      <c r="B2800" s="475" t="s">
        <v>5454</v>
      </c>
      <c r="C2800" s="475" t="s">
        <v>5469</v>
      </c>
      <c r="D2800" s="475" t="s">
        <v>5470</v>
      </c>
      <c r="E2800" s="476" t="s">
        <v>34</v>
      </c>
      <c r="F2800" s="475" t="s">
        <v>34</v>
      </c>
      <c r="G2800" s="364">
        <v>91969</v>
      </c>
      <c r="H2800" s="475" t="s">
        <v>2401</v>
      </c>
      <c r="I2800" s="475" t="s">
        <v>171</v>
      </c>
      <c r="J2800" s="475" t="s">
        <v>337</v>
      </c>
      <c r="K2800" s="365">
        <v>55.83</v>
      </c>
      <c r="L2800" s="475" t="s">
        <v>141</v>
      </c>
      <c r="M2800" s="473"/>
    </row>
    <row r="2801" spans="1:13" ht="13.5">
      <c r="A2801" s="475" t="s">
        <v>5453</v>
      </c>
      <c r="B2801" s="475" t="s">
        <v>5454</v>
      </c>
      <c r="C2801" s="475" t="s">
        <v>5469</v>
      </c>
      <c r="D2801" s="475" t="s">
        <v>5470</v>
      </c>
      <c r="E2801" s="476" t="s">
        <v>34</v>
      </c>
      <c r="F2801" s="475" t="s">
        <v>34</v>
      </c>
      <c r="G2801" s="364">
        <v>91970</v>
      </c>
      <c r="H2801" s="475" t="s">
        <v>2402</v>
      </c>
      <c r="I2801" s="475" t="s">
        <v>171</v>
      </c>
      <c r="J2801" s="475" t="s">
        <v>337</v>
      </c>
      <c r="K2801" s="365">
        <v>52.29</v>
      </c>
      <c r="L2801" s="475" t="s">
        <v>141</v>
      </c>
      <c r="M2801" s="473"/>
    </row>
    <row r="2802" spans="1:13" ht="13.5">
      <c r="A2802" s="475" t="s">
        <v>5453</v>
      </c>
      <c r="B2802" s="475" t="s">
        <v>5454</v>
      </c>
      <c r="C2802" s="475" t="s">
        <v>5469</v>
      </c>
      <c r="D2802" s="475" t="s">
        <v>5470</v>
      </c>
      <c r="E2802" s="476" t="s">
        <v>34</v>
      </c>
      <c r="F2802" s="475" t="s">
        <v>34</v>
      </c>
      <c r="G2802" s="364">
        <v>91971</v>
      </c>
      <c r="H2802" s="475" t="s">
        <v>2403</v>
      </c>
      <c r="I2802" s="475" t="s">
        <v>171</v>
      </c>
      <c r="J2802" s="475" t="s">
        <v>337</v>
      </c>
      <c r="K2802" s="365">
        <v>61.97</v>
      </c>
      <c r="L2802" s="475" t="s">
        <v>141</v>
      </c>
      <c r="M2802" s="473"/>
    </row>
    <row r="2803" spans="1:13" ht="13.5">
      <c r="A2803" s="475" t="s">
        <v>5453</v>
      </c>
      <c r="B2803" s="475" t="s">
        <v>5454</v>
      </c>
      <c r="C2803" s="475" t="s">
        <v>5469</v>
      </c>
      <c r="D2803" s="475" t="s">
        <v>5470</v>
      </c>
      <c r="E2803" s="476" t="s">
        <v>34</v>
      </c>
      <c r="F2803" s="475" t="s">
        <v>34</v>
      </c>
      <c r="G2803" s="364">
        <v>91972</v>
      </c>
      <c r="H2803" s="475" t="s">
        <v>2404</v>
      </c>
      <c r="I2803" s="475" t="s">
        <v>171</v>
      </c>
      <c r="J2803" s="475" t="s">
        <v>337</v>
      </c>
      <c r="K2803" s="365">
        <v>56.87</v>
      </c>
      <c r="L2803" s="475" t="s">
        <v>141</v>
      </c>
      <c r="M2803" s="473"/>
    </row>
    <row r="2804" spans="1:13" ht="13.5">
      <c r="A2804" s="475" t="s">
        <v>5453</v>
      </c>
      <c r="B2804" s="475" t="s">
        <v>5454</v>
      </c>
      <c r="C2804" s="475" t="s">
        <v>5469</v>
      </c>
      <c r="D2804" s="475" t="s">
        <v>5470</v>
      </c>
      <c r="E2804" s="476" t="s">
        <v>34</v>
      </c>
      <c r="F2804" s="475" t="s">
        <v>34</v>
      </c>
      <c r="G2804" s="364">
        <v>91973</v>
      </c>
      <c r="H2804" s="475" t="s">
        <v>2405</v>
      </c>
      <c r="I2804" s="475" t="s">
        <v>171</v>
      </c>
      <c r="J2804" s="475" t="s">
        <v>337</v>
      </c>
      <c r="K2804" s="365">
        <v>66.55</v>
      </c>
      <c r="L2804" s="475" t="s">
        <v>141</v>
      </c>
      <c r="M2804" s="473"/>
    </row>
    <row r="2805" spans="1:13" ht="13.5">
      <c r="A2805" s="475" t="s">
        <v>5453</v>
      </c>
      <c r="B2805" s="475" t="s">
        <v>5454</v>
      </c>
      <c r="C2805" s="475" t="s">
        <v>5469</v>
      </c>
      <c r="D2805" s="475" t="s">
        <v>5470</v>
      </c>
      <c r="E2805" s="476" t="s">
        <v>34</v>
      </c>
      <c r="F2805" s="475" t="s">
        <v>34</v>
      </c>
      <c r="G2805" s="364">
        <v>91974</v>
      </c>
      <c r="H2805" s="475" t="s">
        <v>2406</v>
      </c>
      <c r="I2805" s="475" t="s">
        <v>171</v>
      </c>
      <c r="J2805" s="475" t="s">
        <v>337</v>
      </c>
      <c r="K2805" s="365">
        <v>47.71</v>
      </c>
      <c r="L2805" s="475" t="s">
        <v>141</v>
      </c>
      <c r="M2805" s="473"/>
    </row>
    <row r="2806" spans="1:13" ht="13.5">
      <c r="A2806" s="475" t="s">
        <v>5453</v>
      </c>
      <c r="B2806" s="475" t="s">
        <v>5454</v>
      </c>
      <c r="C2806" s="475" t="s">
        <v>5469</v>
      </c>
      <c r="D2806" s="475" t="s">
        <v>5470</v>
      </c>
      <c r="E2806" s="476" t="s">
        <v>34</v>
      </c>
      <c r="F2806" s="475" t="s">
        <v>34</v>
      </c>
      <c r="G2806" s="364">
        <v>91975</v>
      </c>
      <c r="H2806" s="475" t="s">
        <v>2407</v>
      </c>
      <c r="I2806" s="475" t="s">
        <v>171</v>
      </c>
      <c r="J2806" s="475" t="s">
        <v>337</v>
      </c>
      <c r="K2806" s="365">
        <v>57.39</v>
      </c>
      <c r="L2806" s="475" t="s">
        <v>141</v>
      </c>
      <c r="M2806" s="473"/>
    </row>
    <row r="2807" spans="1:13" ht="13.5">
      <c r="A2807" s="475" t="s">
        <v>5453</v>
      </c>
      <c r="B2807" s="475" t="s">
        <v>5454</v>
      </c>
      <c r="C2807" s="475" t="s">
        <v>5469</v>
      </c>
      <c r="D2807" s="475" t="s">
        <v>5470</v>
      </c>
      <c r="E2807" s="476" t="s">
        <v>34</v>
      </c>
      <c r="F2807" s="475" t="s">
        <v>34</v>
      </c>
      <c r="G2807" s="364">
        <v>91976</v>
      </c>
      <c r="H2807" s="475" t="s">
        <v>2408</v>
      </c>
      <c r="I2807" s="475" t="s">
        <v>171</v>
      </c>
      <c r="J2807" s="475" t="s">
        <v>337</v>
      </c>
      <c r="K2807" s="365">
        <v>70.48</v>
      </c>
      <c r="L2807" s="475" t="s">
        <v>141</v>
      </c>
      <c r="M2807" s="473"/>
    </row>
    <row r="2808" spans="1:13" ht="13.5">
      <c r="A2808" s="475" t="s">
        <v>5453</v>
      </c>
      <c r="B2808" s="475" t="s">
        <v>5454</v>
      </c>
      <c r="C2808" s="475" t="s">
        <v>5469</v>
      </c>
      <c r="D2808" s="475" t="s">
        <v>5470</v>
      </c>
      <c r="E2808" s="476" t="s">
        <v>34</v>
      </c>
      <c r="F2808" s="475" t="s">
        <v>34</v>
      </c>
      <c r="G2808" s="364">
        <v>91977</v>
      </c>
      <c r="H2808" s="475" t="s">
        <v>2409</v>
      </c>
      <c r="I2808" s="475" t="s">
        <v>171</v>
      </c>
      <c r="J2808" s="475" t="s">
        <v>337</v>
      </c>
      <c r="K2808" s="365">
        <v>80.16</v>
      </c>
      <c r="L2808" s="475" t="s">
        <v>141</v>
      </c>
      <c r="M2808" s="473"/>
    </row>
    <row r="2809" spans="1:13" ht="13.5">
      <c r="A2809" s="475" t="s">
        <v>5453</v>
      </c>
      <c r="B2809" s="475" t="s">
        <v>5454</v>
      </c>
      <c r="C2809" s="475" t="s">
        <v>5469</v>
      </c>
      <c r="D2809" s="475" t="s">
        <v>5470</v>
      </c>
      <c r="E2809" s="476" t="s">
        <v>34</v>
      </c>
      <c r="F2809" s="475" t="s">
        <v>34</v>
      </c>
      <c r="G2809" s="364">
        <v>91978</v>
      </c>
      <c r="H2809" s="475" t="s">
        <v>2410</v>
      </c>
      <c r="I2809" s="475" t="s">
        <v>171</v>
      </c>
      <c r="J2809" s="475" t="s">
        <v>337</v>
      </c>
      <c r="K2809" s="365">
        <v>29.08</v>
      </c>
      <c r="L2809" s="475" t="s">
        <v>141</v>
      </c>
      <c r="M2809" s="473"/>
    </row>
    <row r="2810" spans="1:13" ht="13.5">
      <c r="A2810" s="475" t="s">
        <v>5453</v>
      </c>
      <c r="B2810" s="475" t="s">
        <v>5454</v>
      </c>
      <c r="C2810" s="475" t="s">
        <v>5469</v>
      </c>
      <c r="D2810" s="475" t="s">
        <v>5470</v>
      </c>
      <c r="E2810" s="476" t="s">
        <v>34</v>
      </c>
      <c r="F2810" s="475" t="s">
        <v>34</v>
      </c>
      <c r="G2810" s="364">
        <v>91979</v>
      </c>
      <c r="H2810" s="475" t="s">
        <v>2411</v>
      </c>
      <c r="I2810" s="475" t="s">
        <v>171</v>
      </c>
      <c r="J2810" s="475" t="s">
        <v>337</v>
      </c>
      <c r="K2810" s="365">
        <v>35.090000000000003</v>
      </c>
      <c r="L2810" s="475" t="s">
        <v>141</v>
      </c>
      <c r="M2810" s="473"/>
    </row>
    <row r="2811" spans="1:13" ht="13.5">
      <c r="A2811" s="475" t="s">
        <v>5453</v>
      </c>
      <c r="B2811" s="475" t="s">
        <v>5454</v>
      </c>
      <c r="C2811" s="475" t="s">
        <v>5469</v>
      </c>
      <c r="D2811" s="475" t="s">
        <v>5470</v>
      </c>
      <c r="E2811" s="476" t="s">
        <v>34</v>
      </c>
      <c r="F2811" s="475" t="s">
        <v>34</v>
      </c>
      <c r="G2811" s="364">
        <v>91980</v>
      </c>
      <c r="H2811" s="475" t="s">
        <v>2412</v>
      </c>
      <c r="I2811" s="475" t="s">
        <v>171</v>
      </c>
      <c r="J2811" s="475" t="s">
        <v>337</v>
      </c>
      <c r="K2811" s="365">
        <v>28.1</v>
      </c>
      <c r="L2811" s="475" t="s">
        <v>141</v>
      </c>
      <c r="M2811" s="473"/>
    </row>
    <row r="2812" spans="1:13" ht="13.5">
      <c r="A2812" s="475" t="s">
        <v>5453</v>
      </c>
      <c r="B2812" s="475" t="s">
        <v>5454</v>
      </c>
      <c r="C2812" s="475" t="s">
        <v>5469</v>
      </c>
      <c r="D2812" s="475" t="s">
        <v>5470</v>
      </c>
      <c r="E2812" s="476" t="s">
        <v>34</v>
      </c>
      <c r="F2812" s="475" t="s">
        <v>34</v>
      </c>
      <c r="G2812" s="364">
        <v>91981</v>
      </c>
      <c r="H2812" s="475" t="s">
        <v>2413</v>
      </c>
      <c r="I2812" s="475" t="s">
        <v>171</v>
      </c>
      <c r="J2812" s="475" t="s">
        <v>337</v>
      </c>
      <c r="K2812" s="365">
        <v>34.11</v>
      </c>
      <c r="L2812" s="475" t="s">
        <v>141</v>
      </c>
      <c r="M2812" s="473"/>
    </row>
    <row r="2813" spans="1:13" ht="13.5">
      <c r="A2813" s="475" t="s">
        <v>5453</v>
      </c>
      <c r="B2813" s="475" t="s">
        <v>5454</v>
      </c>
      <c r="C2813" s="475" t="s">
        <v>5469</v>
      </c>
      <c r="D2813" s="475" t="s">
        <v>5470</v>
      </c>
      <c r="E2813" s="476" t="s">
        <v>34</v>
      </c>
      <c r="F2813" s="475" t="s">
        <v>34</v>
      </c>
      <c r="G2813" s="364">
        <v>91982</v>
      </c>
      <c r="H2813" s="475" t="s">
        <v>2414</v>
      </c>
      <c r="I2813" s="475" t="s">
        <v>171</v>
      </c>
      <c r="J2813" s="475" t="s">
        <v>337</v>
      </c>
      <c r="K2813" s="365">
        <v>70.25</v>
      </c>
      <c r="L2813" s="475" t="s">
        <v>141</v>
      </c>
      <c r="M2813" s="473"/>
    </row>
    <row r="2814" spans="1:13" ht="13.5">
      <c r="A2814" s="475" t="s">
        <v>5453</v>
      </c>
      <c r="B2814" s="475" t="s">
        <v>5454</v>
      </c>
      <c r="C2814" s="475" t="s">
        <v>5469</v>
      </c>
      <c r="D2814" s="475" t="s">
        <v>5470</v>
      </c>
      <c r="E2814" s="476" t="s">
        <v>34</v>
      </c>
      <c r="F2814" s="475" t="s">
        <v>34</v>
      </c>
      <c r="G2814" s="364">
        <v>91983</v>
      </c>
      <c r="H2814" s="475" t="s">
        <v>2415</v>
      </c>
      <c r="I2814" s="475" t="s">
        <v>171</v>
      </c>
      <c r="J2814" s="475" t="s">
        <v>337</v>
      </c>
      <c r="K2814" s="365">
        <v>76.260000000000005</v>
      </c>
      <c r="L2814" s="475" t="s">
        <v>141</v>
      </c>
      <c r="M2814" s="473"/>
    </row>
    <row r="2815" spans="1:13" ht="13.5">
      <c r="A2815" s="475" t="s">
        <v>5453</v>
      </c>
      <c r="B2815" s="475" t="s">
        <v>5454</v>
      </c>
      <c r="C2815" s="475" t="s">
        <v>5469</v>
      </c>
      <c r="D2815" s="475" t="s">
        <v>5470</v>
      </c>
      <c r="E2815" s="476" t="s">
        <v>34</v>
      </c>
      <c r="F2815" s="475" t="s">
        <v>34</v>
      </c>
      <c r="G2815" s="364">
        <v>91984</v>
      </c>
      <c r="H2815" s="475" t="s">
        <v>2416</v>
      </c>
      <c r="I2815" s="475" t="s">
        <v>171</v>
      </c>
      <c r="J2815" s="475" t="s">
        <v>337</v>
      </c>
      <c r="K2815" s="365">
        <v>12.53</v>
      </c>
      <c r="L2815" s="475" t="s">
        <v>141</v>
      </c>
      <c r="M2815" s="473"/>
    </row>
    <row r="2816" spans="1:13" ht="13.5">
      <c r="A2816" s="475" t="s">
        <v>5453</v>
      </c>
      <c r="B2816" s="475" t="s">
        <v>5454</v>
      </c>
      <c r="C2816" s="475" t="s">
        <v>5469</v>
      </c>
      <c r="D2816" s="475" t="s">
        <v>5470</v>
      </c>
      <c r="E2816" s="476" t="s">
        <v>34</v>
      </c>
      <c r="F2816" s="475" t="s">
        <v>34</v>
      </c>
      <c r="G2816" s="364">
        <v>91985</v>
      </c>
      <c r="H2816" s="475" t="s">
        <v>2417</v>
      </c>
      <c r="I2816" s="475" t="s">
        <v>171</v>
      </c>
      <c r="J2816" s="475" t="s">
        <v>337</v>
      </c>
      <c r="K2816" s="365">
        <v>18.54</v>
      </c>
      <c r="L2816" s="475" t="s">
        <v>141</v>
      </c>
      <c r="M2816" s="473"/>
    </row>
    <row r="2817" spans="1:13" ht="13.5">
      <c r="A2817" s="475" t="s">
        <v>5453</v>
      </c>
      <c r="B2817" s="475" t="s">
        <v>5454</v>
      </c>
      <c r="C2817" s="475" t="s">
        <v>5469</v>
      </c>
      <c r="D2817" s="475" t="s">
        <v>5470</v>
      </c>
      <c r="E2817" s="476" t="s">
        <v>34</v>
      </c>
      <c r="F2817" s="475" t="s">
        <v>34</v>
      </c>
      <c r="G2817" s="364">
        <v>91986</v>
      </c>
      <c r="H2817" s="475" t="s">
        <v>2418</v>
      </c>
      <c r="I2817" s="475" t="s">
        <v>171</v>
      </c>
      <c r="J2817" s="475" t="s">
        <v>337</v>
      </c>
      <c r="K2817" s="365">
        <v>27.24</v>
      </c>
      <c r="L2817" s="475" t="s">
        <v>141</v>
      </c>
      <c r="M2817" s="473"/>
    </row>
    <row r="2818" spans="1:13" ht="13.5">
      <c r="A2818" s="475" t="s">
        <v>5453</v>
      </c>
      <c r="B2818" s="475" t="s">
        <v>5454</v>
      </c>
      <c r="C2818" s="475" t="s">
        <v>5469</v>
      </c>
      <c r="D2818" s="475" t="s">
        <v>5470</v>
      </c>
      <c r="E2818" s="476" t="s">
        <v>34</v>
      </c>
      <c r="F2818" s="475" t="s">
        <v>34</v>
      </c>
      <c r="G2818" s="364">
        <v>91987</v>
      </c>
      <c r="H2818" s="475" t="s">
        <v>2419</v>
      </c>
      <c r="I2818" s="475" t="s">
        <v>171</v>
      </c>
      <c r="J2818" s="475" t="s">
        <v>337</v>
      </c>
      <c r="K2818" s="365">
        <v>33.25</v>
      </c>
      <c r="L2818" s="475" t="s">
        <v>141</v>
      </c>
      <c r="M2818" s="473"/>
    </row>
    <row r="2819" spans="1:13" ht="13.5">
      <c r="A2819" s="475" t="s">
        <v>5453</v>
      </c>
      <c r="B2819" s="475" t="s">
        <v>5454</v>
      </c>
      <c r="C2819" s="475" t="s">
        <v>5469</v>
      </c>
      <c r="D2819" s="475" t="s">
        <v>5470</v>
      </c>
      <c r="E2819" s="476" t="s">
        <v>34</v>
      </c>
      <c r="F2819" s="475" t="s">
        <v>34</v>
      </c>
      <c r="G2819" s="364">
        <v>91988</v>
      </c>
      <c r="H2819" s="475" t="s">
        <v>2420</v>
      </c>
      <c r="I2819" s="475" t="s">
        <v>171</v>
      </c>
      <c r="J2819" s="475" t="s">
        <v>337</v>
      </c>
      <c r="K2819" s="365">
        <v>15.83</v>
      </c>
      <c r="L2819" s="475" t="s">
        <v>141</v>
      </c>
      <c r="M2819" s="473"/>
    </row>
    <row r="2820" spans="1:13" ht="13.5">
      <c r="A2820" s="475" t="s">
        <v>5453</v>
      </c>
      <c r="B2820" s="475" t="s">
        <v>5454</v>
      </c>
      <c r="C2820" s="475" t="s">
        <v>5469</v>
      </c>
      <c r="D2820" s="475" t="s">
        <v>5470</v>
      </c>
      <c r="E2820" s="476" t="s">
        <v>34</v>
      </c>
      <c r="F2820" s="475" t="s">
        <v>34</v>
      </c>
      <c r="G2820" s="364">
        <v>91989</v>
      </c>
      <c r="H2820" s="475" t="s">
        <v>2421</v>
      </c>
      <c r="I2820" s="475" t="s">
        <v>171</v>
      </c>
      <c r="J2820" s="475" t="s">
        <v>337</v>
      </c>
      <c r="K2820" s="365">
        <v>21.84</v>
      </c>
      <c r="L2820" s="475" t="s">
        <v>141</v>
      </c>
      <c r="M2820" s="473"/>
    </row>
    <row r="2821" spans="1:13" ht="13.5">
      <c r="A2821" s="475" t="s">
        <v>5453</v>
      </c>
      <c r="B2821" s="475" t="s">
        <v>5454</v>
      </c>
      <c r="C2821" s="475" t="s">
        <v>5469</v>
      </c>
      <c r="D2821" s="475" t="s">
        <v>5470</v>
      </c>
      <c r="E2821" s="476" t="s">
        <v>34</v>
      </c>
      <c r="F2821" s="475" t="s">
        <v>34</v>
      </c>
      <c r="G2821" s="364">
        <v>91990</v>
      </c>
      <c r="H2821" s="475" t="s">
        <v>2422</v>
      </c>
      <c r="I2821" s="475" t="s">
        <v>171</v>
      </c>
      <c r="J2821" s="475" t="s">
        <v>337</v>
      </c>
      <c r="K2821" s="365">
        <v>23.64</v>
      </c>
      <c r="L2821" s="475" t="s">
        <v>141</v>
      </c>
      <c r="M2821" s="473"/>
    </row>
    <row r="2822" spans="1:13" ht="13.5">
      <c r="A2822" s="475" t="s">
        <v>5453</v>
      </c>
      <c r="B2822" s="475" t="s">
        <v>5454</v>
      </c>
      <c r="C2822" s="475" t="s">
        <v>5469</v>
      </c>
      <c r="D2822" s="475" t="s">
        <v>5470</v>
      </c>
      <c r="E2822" s="476" t="s">
        <v>34</v>
      </c>
      <c r="F2822" s="475" t="s">
        <v>34</v>
      </c>
      <c r="G2822" s="364">
        <v>91991</v>
      </c>
      <c r="H2822" s="475" t="s">
        <v>2423</v>
      </c>
      <c r="I2822" s="475" t="s">
        <v>171</v>
      </c>
      <c r="J2822" s="475" t="s">
        <v>337</v>
      </c>
      <c r="K2822" s="365">
        <v>25.42</v>
      </c>
      <c r="L2822" s="475" t="s">
        <v>141</v>
      </c>
      <c r="M2822" s="473"/>
    </row>
    <row r="2823" spans="1:13" ht="13.5">
      <c r="A2823" s="475" t="s">
        <v>5453</v>
      </c>
      <c r="B2823" s="475" t="s">
        <v>5454</v>
      </c>
      <c r="C2823" s="475" t="s">
        <v>5469</v>
      </c>
      <c r="D2823" s="475" t="s">
        <v>5470</v>
      </c>
      <c r="E2823" s="476" t="s">
        <v>34</v>
      </c>
      <c r="F2823" s="475" t="s">
        <v>34</v>
      </c>
      <c r="G2823" s="364">
        <v>91992</v>
      </c>
      <c r="H2823" s="475" t="s">
        <v>2424</v>
      </c>
      <c r="I2823" s="475" t="s">
        <v>171</v>
      </c>
      <c r="J2823" s="475" t="s">
        <v>337</v>
      </c>
      <c r="K2823" s="365">
        <v>29.65</v>
      </c>
      <c r="L2823" s="475" t="s">
        <v>141</v>
      </c>
      <c r="M2823" s="473"/>
    </row>
    <row r="2824" spans="1:13" ht="13.5">
      <c r="A2824" s="475" t="s">
        <v>5453</v>
      </c>
      <c r="B2824" s="475" t="s">
        <v>5454</v>
      </c>
      <c r="C2824" s="475" t="s">
        <v>5469</v>
      </c>
      <c r="D2824" s="475" t="s">
        <v>5470</v>
      </c>
      <c r="E2824" s="476" t="s">
        <v>34</v>
      </c>
      <c r="F2824" s="475" t="s">
        <v>34</v>
      </c>
      <c r="G2824" s="364">
        <v>91993</v>
      </c>
      <c r="H2824" s="475" t="s">
        <v>2425</v>
      </c>
      <c r="I2824" s="475" t="s">
        <v>171</v>
      </c>
      <c r="J2824" s="475" t="s">
        <v>337</v>
      </c>
      <c r="K2824" s="365">
        <v>31.43</v>
      </c>
      <c r="L2824" s="475" t="s">
        <v>141</v>
      </c>
      <c r="M2824" s="473"/>
    </row>
    <row r="2825" spans="1:13" ht="13.5">
      <c r="A2825" s="475" t="s">
        <v>5453</v>
      </c>
      <c r="B2825" s="475" t="s">
        <v>5454</v>
      </c>
      <c r="C2825" s="475" t="s">
        <v>5469</v>
      </c>
      <c r="D2825" s="475" t="s">
        <v>5470</v>
      </c>
      <c r="E2825" s="476" t="s">
        <v>34</v>
      </c>
      <c r="F2825" s="475" t="s">
        <v>34</v>
      </c>
      <c r="G2825" s="364">
        <v>91994</v>
      </c>
      <c r="H2825" s="475" t="s">
        <v>2426</v>
      </c>
      <c r="I2825" s="475" t="s">
        <v>171</v>
      </c>
      <c r="J2825" s="475" t="s">
        <v>337</v>
      </c>
      <c r="K2825" s="365">
        <v>17.09</v>
      </c>
      <c r="L2825" s="475" t="s">
        <v>141</v>
      </c>
      <c r="M2825" s="473"/>
    </row>
    <row r="2826" spans="1:13" ht="13.5">
      <c r="A2826" s="475" t="s">
        <v>5453</v>
      </c>
      <c r="B2826" s="475" t="s">
        <v>5454</v>
      </c>
      <c r="C2826" s="475" t="s">
        <v>5469</v>
      </c>
      <c r="D2826" s="475" t="s">
        <v>5470</v>
      </c>
      <c r="E2826" s="476" t="s">
        <v>34</v>
      </c>
      <c r="F2826" s="475" t="s">
        <v>34</v>
      </c>
      <c r="G2826" s="364">
        <v>91995</v>
      </c>
      <c r="H2826" s="475" t="s">
        <v>2427</v>
      </c>
      <c r="I2826" s="475" t="s">
        <v>171</v>
      </c>
      <c r="J2826" s="475" t="s">
        <v>337</v>
      </c>
      <c r="K2826" s="365">
        <v>18.87</v>
      </c>
      <c r="L2826" s="475" t="s">
        <v>141</v>
      </c>
      <c r="M2826" s="473"/>
    </row>
    <row r="2827" spans="1:13" ht="13.5">
      <c r="A2827" s="475" t="s">
        <v>5453</v>
      </c>
      <c r="B2827" s="475" t="s">
        <v>5454</v>
      </c>
      <c r="C2827" s="475" t="s">
        <v>5469</v>
      </c>
      <c r="D2827" s="475" t="s">
        <v>5470</v>
      </c>
      <c r="E2827" s="476" t="s">
        <v>34</v>
      </c>
      <c r="F2827" s="475" t="s">
        <v>34</v>
      </c>
      <c r="G2827" s="364">
        <v>91996</v>
      </c>
      <c r="H2827" s="475" t="s">
        <v>2428</v>
      </c>
      <c r="I2827" s="475" t="s">
        <v>171</v>
      </c>
      <c r="J2827" s="475" t="s">
        <v>337</v>
      </c>
      <c r="K2827" s="365">
        <v>23.1</v>
      </c>
      <c r="L2827" s="475" t="s">
        <v>141</v>
      </c>
      <c r="M2827" s="473"/>
    </row>
    <row r="2828" spans="1:13" ht="13.5">
      <c r="A2828" s="475" t="s">
        <v>5453</v>
      </c>
      <c r="B2828" s="475" t="s">
        <v>5454</v>
      </c>
      <c r="C2828" s="475" t="s">
        <v>5469</v>
      </c>
      <c r="D2828" s="475" t="s">
        <v>5470</v>
      </c>
      <c r="E2828" s="476" t="s">
        <v>34</v>
      </c>
      <c r="F2828" s="475" t="s">
        <v>34</v>
      </c>
      <c r="G2828" s="364">
        <v>91997</v>
      </c>
      <c r="H2828" s="475" t="s">
        <v>2429</v>
      </c>
      <c r="I2828" s="475" t="s">
        <v>171</v>
      </c>
      <c r="J2828" s="475" t="s">
        <v>337</v>
      </c>
      <c r="K2828" s="365">
        <v>24.88</v>
      </c>
      <c r="L2828" s="475" t="s">
        <v>141</v>
      </c>
      <c r="M2828" s="473"/>
    </row>
    <row r="2829" spans="1:13" ht="13.5">
      <c r="A2829" s="475" t="s">
        <v>5453</v>
      </c>
      <c r="B2829" s="475" t="s">
        <v>5454</v>
      </c>
      <c r="C2829" s="475" t="s">
        <v>5469</v>
      </c>
      <c r="D2829" s="475" t="s">
        <v>5470</v>
      </c>
      <c r="E2829" s="476" t="s">
        <v>34</v>
      </c>
      <c r="F2829" s="475" t="s">
        <v>34</v>
      </c>
      <c r="G2829" s="364">
        <v>91998</v>
      </c>
      <c r="H2829" s="475" t="s">
        <v>2430</v>
      </c>
      <c r="I2829" s="475" t="s">
        <v>171</v>
      </c>
      <c r="J2829" s="475" t="s">
        <v>337</v>
      </c>
      <c r="K2829" s="365">
        <v>14.55</v>
      </c>
      <c r="L2829" s="475" t="s">
        <v>141</v>
      </c>
      <c r="M2829" s="473"/>
    </row>
    <row r="2830" spans="1:13" ht="13.5">
      <c r="A2830" s="475" t="s">
        <v>5453</v>
      </c>
      <c r="B2830" s="475" t="s">
        <v>5454</v>
      </c>
      <c r="C2830" s="475" t="s">
        <v>5469</v>
      </c>
      <c r="D2830" s="475" t="s">
        <v>5470</v>
      </c>
      <c r="E2830" s="476" t="s">
        <v>34</v>
      </c>
      <c r="F2830" s="475" t="s">
        <v>34</v>
      </c>
      <c r="G2830" s="364">
        <v>91999</v>
      </c>
      <c r="H2830" s="475" t="s">
        <v>2431</v>
      </c>
      <c r="I2830" s="475" t="s">
        <v>171</v>
      </c>
      <c r="J2830" s="475" t="s">
        <v>337</v>
      </c>
      <c r="K2830" s="365">
        <v>16.329999999999998</v>
      </c>
      <c r="L2830" s="475" t="s">
        <v>141</v>
      </c>
      <c r="M2830" s="473"/>
    </row>
    <row r="2831" spans="1:13" ht="13.5">
      <c r="A2831" s="475" t="s">
        <v>5453</v>
      </c>
      <c r="B2831" s="475" t="s">
        <v>5454</v>
      </c>
      <c r="C2831" s="475" t="s">
        <v>5469</v>
      </c>
      <c r="D2831" s="475" t="s">
        <v>5470</v>
      </c>
      <c r="E2831" s="476" t="s">
        <v>34</v>
      </c>
      <c r="F2831" s="475" t="s">
        <v>34</v>
      </c>
      <c r="G2831" s="364">
        <v>92000</v>
      </c>
      <c r="H2831" s="475" t="s">
        <v>2432</v>
      </c>
      <c r="I2831" s="475" t="s">
        <v>171</v>
      </c>
      <c r="J2831" s="475" t="s">
        <v>337</v>
      </c>
      <c r="K2831" s="365">
        <v>20.56</v>
      </c>
      <c r="L2831" s="475" t="s">
        <v>141</v>
      </c>
      <c r="M2831" s="473"/>
    </row>
    <row r="2832" spans="1:13" ht="13.5">
      <c r="A2832" s="475" t="s">
        <v>5453</v>
      </c>
      <c r="B2832" s="475" t="s">
        <v>5454</v>
      </c>
      <c r="C2832" s="475" t="s">
        <v>5469</v>
      </c>
      <c r="D2832" s="475" t="s">
        <v>5470</v>
      </c>
      <c r="E2832" s="476" t="s">
        <v>34</v>
      </c>
      <c r="F2832" s="475" t="s">
        <v>34</v>
      </c>
      <c r="G2832" s="364">
        <v>92001</v>
      </c>
      <c r="H2832" s="475" t="s">
        <v>2433</v>
      </c>
      <c r="I2832" s="475" t="s">
        <v>171</v>
      </c>
      <c r="J2832" s="475" t="s">
        <v>337</v>
      </c>
      <c r="K2832" s="365">
        <v>22.34</v>
      </c>
      <c r="L2832" s="475" t="s">
        <v>141</v>
      </c>
      <c r="M2832" s="473"/>
    </row>
    <row r="2833" spans="1:13" ht="13.5">
      <c r="A2833" s="475" t="s">
        <v>5453</v>
      </c>
      <c r="B2833" s="475" t="s">
        <v>5454</v>
      </c>
      <c r="C2833" s="475" t="s">
        <v>5469</v>
      </c>
      <c r="D2833" s="475" t="s">
        <v>5470</v>
      </c>
      <c r="E2833" s="476" t="s">
        <v>34</v>
      </c>
      <c r="F2833" s="475" t="s">
        <v>34</v>
      </c>
      <c r="G2833" s="364">
        <v>92002</v>
      </c>
      <c r="H2833" s="475" t="s">
        <v>2434</v>
      </c>
      <c r="I2833" s="475" t="s">
        <v>171</v>
      </c>
      <c r="J2833" s="475" t="s">
        <v>337</v>
      </c>
      <c r="K2833" s="365">
        <v>32.08</v>
      </c>
      <c r="L2833" s="475" t="s">
        <v>141</v>
      </c>
      <c r="M2833" s="473"/>
    </row>
    <row r="2834" spans="1:13" ht="13.5">
      <c r="A2834" s="475" t="s">
        <v>5453</v>
      </c>
      <c r="B2834" s="475" t="s">
        <v>5454</v>
      </c>
      <c r="C2834" s="475" t="s">
        <v>5469</v>
      </c>
      <c r="D2834" s="475" t="s">
        <v>5470</v>
      </c>
      <c r="E2834" s="476" t="s">
        <v>34</v>
      </c>
      <c r="F2834" s="475" t="s">
        <v>34</v>
      </c>
      <c r="G2834" s="364">
        <v>92003</v>
      </c>
      <c r="H2834" s="475" t="s">
        <v>2435</v>
      </c>
      <c r="I2834" s="475" t="s">
        <v>171</v>
      </c>
      <c r="J2834" s="475" t="s">
        <v>337</v>
      </c>
      <c r="K2834" s="365">
        <v>35.64</v>
      </c>
      <c r="L2834" s="475" t="s">
        <v>141</v>
      </c>
      <c r="M2834" s="473"/>
    </row>
    <row r="2835" spans="1:13" ht="13.5">
      <c r="A2835" s="475" t="s">
        <v>5453</v>
      </c>
      <c r="B2835" s="475" t="s">
        <v>5454</v>
      </c>
      <c r="C2835" s="475" t="s">
        <v>5469</v>
      </c>
      <c r="D2835" s="475" t="s">
        <v>5470</v>
      </c>
      <c r="E2835" s="476" t="s">
        <v>34</v>
      </c>
      <c r="F2835" s="475" t="s">
        <v>34</v>
      </c>
      <c r="G2835" s="364">
        <v>92004</v>
      </c>
      <c r="H2835" s="475" t="s">
        <v>2436</v>
      </c>
      <c r="I2835" s="475" t="s">
        <v>171</v>
      </c>
      <c r="J2835" s="475" t="s">
        <v>337</v>
      </c>
      <c r="K2835" s="365">
        <v>38.090000000000003</v>
      </c>
      <c r="L2835" s="475" t="s">
        <v>141</v>
      </c>
      <c r="M2835" s="473"/>
    </row>
    <row r="2836" spans="1:13" ht="13.5">
      <c r="A2836" s="475" t="s">
        <v>5453</v>
      </c>
      <c r="B2836" s="475" t="s">
        <v>5454</v>
      </c>
      <c r="C2836" s="475" t="s">
        <v>5469</v>
      </c>
      <c r="D2836" s="475" t="s">
        <v>5470</v>
      </c>
      <c r="E2836" s="476" t="s">
        <v>34</v>
      </c>
      <c r="F2836" s="475" t="s">
        <v>34</v>
      </c>
      <c r="G2836" s="364">
        <v>92005</v>
      </c>
      <c r="H2836" s="475" t="s">
        <v>2437</v>
      </c>
      <c r="I2836" s="475" t="s">
        <v>171</v>
      </c>
      <c r="J2836" s="475" t="s">
        <v>337</v>
      </c>
      <c r="K2836" s="365">
        <v>41.65</v>
      </c>
      <c r="L2836" s="475" t="s">
        <v>141</v>
      </c>
      <c r="M2836" s="473"/>
    </row>
    <row r="2837" spans="1:13" ht="13.5">
      <c r="A2837" s="475" t="s">
        <v>5453</v>
      </c>
      <c r="B2837" s="475" t="s">
        <v>5454</v>
      </c>
      <c r="C2837" s="475" t="s">
        <v>5469</v>
      </c>
      <c r="D2837" s="475" t="s">
        <v>5470</v>
      </c>
      <c r="E2837" s="476" t="s">
        <v>34</v>
      </c>
      <c r="F2837" s="475" t="s">
        <v>34</v>
      </c>
      <c r="G2837" s="364">
        <v>92006</v>
      </c>
      <c r="H2837" s="475" t="s">
        <v>2438</v>
      </c>
      <c r="I2837" s="475" t="s">
        <v>171</v>
      </c>
      <c r="J2837" s="475" t="s">
        <v>337</v>
      </c>
      <c r="K2837" s="365">
        <v>26.99</v>
      </c>
      <c r="L2837" s="475" t="s">
        <v>141</v>
      </c>
      <c r="M2837" s="473"/>
    </row>
    <row r="2838" spans="1:13" ht="13.5">
      <c r="A2838" s="475" t="s">
        <v>5453</v>
      </c>
      <c r="B2838" s="475" t="s">
        <v>5454</v>
      </c>
      <c r="C2838" s="475" t="s">
        <v>5469</v>
      </c>
      <c r="D2838" s="475" t="s">
        <v>5470</v>
      </c>
      <c r="E2838" s="476" t="s">
        <v>34</v>
      </c>
      <c r="F2838" s="475" t="s">
        <v>34</v>
      </c>
      <c r="G2838" s="364">
        <v>92007</v>
      </c>
      <c r="H2838" s="475" t="s">
        <v>2439</v>
      </c>
      <c r="I2838" s="475" t="s">
        <v>171</v>
      </c>
      <c r="J2838" s="475" t="s">
        <v>337</v>
      </c>
      <c r="K2838" s="365">
        <v>30.55</v>
      </c>
      <c r="L2838" s="475" t="s">
        <v>141</v>
      </c>
      <c r="M2838" s="473"/>
    </row>
    <row r="2839" spans="1:13" ht="13.5">
      <c r="A2839" s="475" t="s">
        <v>5453</v>
      </c>
      <c r="B2839" s="475" t="s">
        <v>5454</v>
      </c>
      <c r="C2839" s="475" t="s">
        <v>5469</v>
      </c>
      <c r="D2839" s="475" t="s">
        <v>5470</v>
      </c>
      <c r="E2839" s="476" t="s">
        <v>34</v>
      </c>
      <c r="F2839" s="475" t="s">
        <v>34</v>
      </c>
      <c r="G2839" s="364">
        <v>92008</v>
      </c>
      <c r="H2839" s="475" t="s">
        <v>2440</v>
      </c>
      <c r="I2839" s="475" t="s">
        <v>171</v>
      </c>
      <c r="J2839" s="475" t="s">
        <v>337</v>
      </c>
      <c r="K2839" s="365">
        <v>33</v>
      </c>
      <c r="L2839" s="475" t="s">
        <v>141</v>
      </c>
      <c r="M2839" s="473"/>
    </row>
    <row r="2840" spans="1:13" ht="13.5">
      <c r="A2840" s="475" t="s">
        <v>5453</v>
      </c>
      <c r="B2840" s="475" t="s">
        <v>5454</v>
      </c>
      <c r="C2840" s="475" t="s">
        <v>5469</v>
      </c>
      <c r="D2840" s="475" t="s">
        <v>5470</v>
      </c>
      <c r="E2840" s="476" t="s">
        <v>34</v>
      </c>
      <c r="F2840" s="475" t="s">
        <v>34</v>
      </c>
      <c r="G2840" s="364">
        <v>92009</v>
      </c>
      <c r="H2840" s="475" t="s">
        <v>2441</v>
      </c>
      <c r="I2840" s="475" t="s">
        <v>171</v>
      </c>
      <c r="J2840" s="475" t="s">
        <v>337</v>
      </c>
      <c r="K2840" s="365">
        <v>36.56</v>
      </c>
      <c r="L2840" s="475" t="s">
        <v>141</v>
      </c>
      <c r="M2840" s="473"/>
    </row>
    <row r="2841" spans="1:13" ht="13.5">
      <c r="A2841" s="475" t="s">
        <v>5453</v>
      </c>
      <c r="B2841" s="475" t="s">
        <v>5454</v>
      </c>
      <c r="C2841" s="475" t="s">
        <v>5469</v>
      </c>
      <c r="D2841" s="475" t="s">
        <v>5470</v>
      </c>
      <c r="E2841" s="476" t="s">
        <v>34</v>
      </c>
      <c r="F2841" s="475" t="s">
        <v>34</v>
      </c>
      <c r="G2841" s="364">
        <v>92010</v>
      </c>
      <c r="H2841" s="475" t="s">
        <v>2442</v>
      </c>
      <c r="I2841" s="475" t="s">
        <v>171</v>
      </c>
      <c r="J2841" s="475" t="s">
        <v>337</v>
      </c>
      <c r="K2841" s="365">
        <v>47.06</v>
      </c>
      <c r="L2841" s="475" t="s">
        <v>141</v>
      </c>
      <c r="M2841" s="473"/>
    </row>
    <row r="2842" spans="1:13" ht="13.5">
      <c r="A2842" s="475" t="s">
        <v>5453</v>
      </c>
      <c r="B2842" s="475" t="s">
        <v>5454</v>
      </c>
      <c r="C2842" s="475" t="s">
        <v>5469</v>
      </c>
      <c r="D2842" s="475" t="s">
        <v>5470</v>
      </c>
      <c r="E2842" s="476" t="s">
        <v>34</v>
      </c>
      <c r="F2842" s="475" t="s">
        <v>34</v>
      </c>
      <c r="G2842" s="364">
        <v>92011</v>
      </c>
      <c r="H2842" s="475" t="s">
        <v>2443</v>
      </c>
      <c r="I2842" s="475" t="s">
        <v>171</v>
      </c>
      <c r="J2842" s="475" t="s">
        <v>337</v>
      </c>
      <c r="K2842" s="365">
        <v>52.4</v>
      </c>
      <c r="L2842" s="475" t="s">
        <v>141</v>
      </c>
      <c r="M2842" s="473"/>
    </row>
    <row r="2843" spans="1:13" ht="13.5">
      <c r="A2843" s="475" t="s">
        <v>5453</v>
      </c>
      <c r="B2843" s="475" t="s">
        <v>5454</v>
      </c>
      <c r="C2843" s="475" t="s">
        <v>5469</v>
      </c>
      <c r="D2843" s="475" t="s">
        <v>5470</v>
      </c>
      <c r="E2843" s="476" t="s">
        <v>34</v>
      </c>
      <c r="F2843" s="475" t="s">
        <v>34</v>
      </c>
      <c r="G2843" s="364">
        <v>92012</v>
      </c>
      <c r="H2843" s="475" t="s">
        <v>2444</v>
      </c>
      <c r="I2843" s="475" t="s">
        <v>171</v>
      </c>
      <c r="J2843" s="475" t="s">
        <v>337</v>
      </c>
      <c r="K2843" s="365">
        <v>53.07</v>
      </c>
      <c r="L2843" s="475" t="s">
        <v>141</v>
      </c>
      <c r="M2843" s="473"/>
    </row>
    <row r="2844" spans="1:13" ht="13.5">
      <c r="A2844" s="475" t="s">
        <v>5453</v>
      </c>
      <c r="B2844" s="475" t="s">
        <v>5454</v>
      </c>
      <c r="C2844" s="475" t="s">
        <v>5469</v>
      </c>
      <c r="D2844" s="475" t="s">
        <v>5470</v>
      </c>
      <c r="E2844" s="476" t="s">
        <v>34</v>
      </c>
      <c r="F2844" s="475" t="s">
        <v>34</v>
      </c>
      <c r="G2844" s="364">
        <v>92013</v>
      </c>
      <c r="H2844" s="475" t="s">
        <v>2445</v>
      </c>
      <c r="I2844" s="475" t="s">
        <v>171</v>
      </c>
      <c r="J2844" s="475" t="s">
        <v>337</v>
      </c>
      <c r="K2844" s="365">
        <v>58.41</v>
      </c>
      <c r="L2844" s="475" t="s">
        <v>141</v>
      </c>
      <c r="M2844" s="473"/>
    </row>
    <row r="2845" spans="1:13" ht="13.5">
      <c r="A2845" s="475" t="s">
        <v>5453</v>
      </c>
      <c r="B2845" s="475" t="s">
        <v>5454</v>
      </c>
      <c r="C2845" s="475" t="s">
        <v>5469</v>
      </c>
      <c r="D2845" s="475" t="s">
        <v>5470</v>
      </c>
      <c r="E2845" s="476" t="s">
        <v>34</v>
      </c>
      <c r="F2845" s="475" t="s">
        <v>34</v>
      </c>
      <c r="G2845" s="364">
        <v>92014</v>
      </c>
      <c r="H2845" s="475" t="s">
        <v>2446</v>
      </c>
      <c r="I2845" s="475" t="s">
        <v>171</v>
      </c>
      <c r="J2845" s="475" t="s">
        <v>337</v>
      </c>
      <c r="K2845" s="365">
        <v>39.43</v>
      </c>
      <c r="L2845" s="475" t="s">
        <v>141</v>
      </c>
      <c r="M2845" s="473"/>
    </row>
    <row r="2846" spans="1:13" ht="13.5">
      <c r="A2846" s="475" t="s">
        <v>5453</v>
      </c>
      <c r="B2846" s="475" t="s">
        <v>5454</v>
      </c>
      <c r="C2846" s="475" t="s">
        <v>5469</v>
      </c>
      <c r="D2846" s="475" t="s">
        <v>5470</v>
      </c>
      <c r="E2846" s="476" t="s">
        <v>34</v>
      </c>
      <c r="F2846" s="475" t="s">
        <v>34</v>
      </c>
      <c r="G2846" s="364">
        <v>92015</v>
      </c>
      <c r="H2846" s="475" t="s">
        <v>2447</v>
      </c>
      <c r="I2846" s="475" t="s">
        <v>171</v>
      </c>
      <c r="J2846" s="475" t="s">
        <v>337</v>
      </c>
      <c r="K2846" s="365">
        <v>44.77</v>
      </c>
      <c r="L2846" s="475" t="s">
        <v>141</v>
      </c>
      <c r="M2846" s="473"/>
    </row>
    <row r="2847" spans="1:13" ht="13.5">
      <c r="A2847" s="475" t="s">
        <v>5453</v>
      </c>
      <c r="B2847" s="475" t="s">
        <v>5454</v>
      </c>
      <c r="C2847" s="475" t="s">
        <v>5469</v>
      </c>
      <c r="D2847" s="475" t="s">
        <v>5470</v>
      </c>
      <c r="E2847" s="476" t="s">
        <v>34</v>
      </c>
      <c r="F2847" s="475" t="s">
        <v>34</v>
      </c>
      <c r="G2847" s="364">
        <v>92016</v>
      </c>
      <c r="H2847" s="475" t="s">
        <v>2448</v>
      </c>
      <c r="I2847" s="475" t="s">
        <v>171</v>
      </c>
      <c r="J2847" s="475" t="s">
        <v>337</v>
      </c>
      <c r="K2847" s="365">
        <v>45.44</v>
      </c>
      <c r="L2847" s="475" t="s">
        <v>141</v>
      </c>
      <c r="M2847" s="473"/>
    </row>
    <row r="2848" spans="1:13" ht="13.5">
      <c r="A2848" s="475" t="s">
        <v>5453</v>
      </c>
      <c r="B2848" s="475" t="s">
        <v>5454</v>
      </c>
      <c r="C2848" s="475" t="s">
        <v>5469</v>
      </c>
      <c r="D2848" s="475" t="s">
        <v>5470</v>
      </c>
      <c r="E2848" s="476" t="s">
        <v>34</v>
      </c>
      <c r="F2848" s="475" t="s">
        <v>34</v>
      </c>
      <c r="G2848" s="364">
        <v>92017</v>
      </c>
      <c r="H2848" s="475" t="s">
        <v>2449</v>
      </c>
      <c r="I2848" s="475" t="s">
        <v>171</v>
      </c>
      <c r="J2848" s="475" t="s">
        <v>337</v>
      </c>
      <c r="K2848" s="365">
        <v>50.78</v>
      </c>
      <c r="L2848" s="475" t="s">
        <v>141</v>
      </c>
      <c r="M2848" s="473"/>
    </row>
    <row r="2849" spans="1:13" ht="13.5">
      <c r="A2849" s="475" t="s">
        <v>5453</v>
      </c>
      <c r="B2849" s="475" t="s">
        <v>5454</v>
      </c>
      <c r="C2849" s="475" t="s">
        <v>5469</v>
      </c>
      <c r="D2849" s="475" t="s">
        <v>5470</v>
      </c>
      <c r="E2849" s="476" t="s">
        <v>34</v>
      </c>
      <c r="F2849" s="475" t="s">
        <v>34</v>
      </c>
      <c r="G2849" s="364">
        <v>92018</v>
      </c>
      <c r="H2849" s="475" t="s">
        <v>2450</v>
      </c>
      <c r="I2849" s="475" t="s">
        <v>171</v>
      </c>
      <c r="J2849" s="475" t="s">
        <v>337</v>
      </c>
      <c r="K2849" s="365">
        <v>52.22</v>
      </c>
      <c r="L2849" s="475" t="s">
        <v>141</v>
      </c>
      <c r="M2849" s="473"/>
    </row>
    <row r="2850" spans="1:13" ht="13.5">
      <c r="A2850" s="475" t="s">
        <v>5453</v>
      </c>
      <c r="B2850" s="475" t="s">
        <v>5454</v>
      </c>
      <c r="C2850" s="475" t="s">
        <v>5469</v>
      </c>
      <c r="D2850" s="475" t="s">
        <v>5470</v>
      </c>
      <c r="E2850" s="476" t="s">
        <v>34</v>
      </c>
      <c r="F2850" s="475" t="s">
        <v>34</v>
      </c>
      <c r="G2850" s="364">
        <v>92019</v>
      </c>
      <c r="H2850" s="475" t="s">
        <v>2451</v>
      </c>
      <c r="I2850" s="475" t="s">
        <v>171</v>
      </c>
      <c r="J2850" s="475" t="s">
        <v>337</v>
      </c>
      <c r="K2850" s="365">
        <v>61.9</v>
      </c>
      <c r="L2850" s="475" t="s">
        <v>141</v>
      </c>
      <c r="M2850" s="473"/>
    </row>
    <row r="2851" spans="1:13" ht="13.5">
      <c r="A2851" s="475" t="s">
        <v>5453</v>
      </c>
      <c r="B2851" s="475" t="s">
        <v>5454</v>
      </c>
      <c r="C2851" s="475" t="s">
        <v>5469</v>
      </c>
      <c r="D2851" s="475" t="s">
        <v>5470</v>
      </c>
      <c r="E2851" s="476" t="s">
        <v>34</v>
      </c>
      <c r="F2851" s="475" t="s">
        <v>34</v>
      </c>
      <c r="G2851" s="364">
        <v>92020</v>
      </c>
      <c r="H2851" s="475" t="s">
        <v>2452</v>
      </c>
      <c r="I2851" s="475" t="s">
        <v>171</v>
      </c>
      <c r="J2851" s="475" t="s">
        <v>337</v>
      </c>
      <c r="K2851" s="365">
        <v>77.27</v>
      </c>
      <c r="L2851" s="475" t="s">
        <v>141</v>
      </c>
      <c r="M2851" s="473"/>
    </row>
    <row r="2852" spans="1:13" ht="13.5">
      <c r="A2852" s="475" t="s">
        <v>5453</v>
      </c>
      <c r="B2852" s="475" t="s">
        <v>5454</v>
      </c>
      <c r="C2852" s="475" t="s">
        <v>5469</v>
      </c>
      <c r="D2852" s="475" t="s">
        <v>5470</v>
      </c>
      <c r="E2852" s="476" t="s">
        <v>34</v>
      </c>
      <c r="F2852" s="475" t="s">
        <v>34</v>
      </c>
      <c r="G2852" s="364">
        <v>92021</v>
      </c>
      <c r="H2852" s="475" t="s">
        <v>2453</v>
      </c>
      <c r="I2852" s="475" t="s">
        <v>171</v>
      </c>
      <c r="J2852" s="475" t="s">
        <v>337</v>
      </c>
      <c r="K2852" s="365">
        <v>86.95</v>
      </c>
      <c r="L2852" s="475" t="s">
        <v>141</v>
      </c>
      <c r="M2852" s="473"/>
    </row>
    <row r="2853" spans="1:13" ht="13.5">
      <c r="A2853" s="475" t="s">
        <v>5453</v>
      </c>
      <c r="B2853" s="475" t="s">
        <v>5454</v>
      </c>
      <c r="C2853" s="475" t="s">
        <v>5469</v>
      </c>
      <c r="D2853" s="475" t="s">
        <v>5470</v>
      </c>
      <c r="E2853" s="476" t="s">
        <v>34</v>
      </c>
      <c r="F2853" s="475" t="s">
        <v>34</v>
      </c>
      <c r="G2853" s="364">
        <v>92022</v>
      </c>
      <c r="H2853" s="475" t="s">
        <v>2454</v>
      </c>
      <c r="I2853" s="475" t="s">
        <v>171</v>
      </c>
      <c r="J2853" s="475" t="s">
        <v>337</v>
      </c>
      <c r="K2853" s="365">
        <v>28.42</v>
      </c>
      <c r="L2853" s="475" t="s">
        <v>141</v>
      </c>
      <c r="M2853" s="473"/>
    </row>
    <row r="2854" spans="1:13" ht="13.5">
      <c r="A2854" s="475" t="s">
        <v>5453</v>
      </c>
      <c r="B2854" s="475" t="s">
        <v>5454</v>
      </c>
      <c r="C2854" s="475" t="s">
        <v>5469</v>
      </c>
      <c r="D2854" s="475" t="s">
        <v>5470</v>
      </c>
      <c r="E2854" s="476" t="s">
        <v>34</v>
      </c>
      <c r="F2854" s="475" t="s">
        <v>34</v>
      </c>
      <c r="G2854" s="364">
        <v>92023</v>
      </c>
      <c r="H2854" s="475" t="s">
        <v>2455</v>
      </c>
      <c r="I2854" s="475" t="s">
        <v>171</v>
      </c>
      <c r="J2854" s="475" t="s">
        <v>337</v>
      </c>
      <c r="K2854" s="365">
        <v>34.43</v>
      </c>
      <c r="L2854" s="475" t="s">
        <v>141</v>
      </c>
      <c r="M2854" s="473"/>
    </row>
    <row r="2855" spans="1:13" ht="13.5">
      <c r="A2855" s="475" t="s">
        <v>5453</v>
      </c>
      <c r="B2855" s="475" t="s">
        <v>5454</v>
      </c>
      <c r="C2855" s="475" t="s">
        <v>5469</v>
      </c>
      <c r="D2855" s="475" t="s">
        <v>5470</v>
      </c>
      <c r="E2855" s="476" t="s">
        <v>34</v>
      </c>
      <c r="F2855" s="475" t="s">
        <v>34</v>
      </c>
      <c r="G2855" s="364">
        <v>92024</v>
      </c>
      <c r="H2855" s="475" t="s">
        <v>2456</v>
      </c>
      <c r="I2855" s="475" t="s">
        <v>171</v>
      </c>
      <c r="J2855" s="475" t="s">
        <v>337</v>
      </c>
      <c r="K2855" s="365">
        <v>43.43</v>
      </c>
      <c r="L2855" s="475" t="s">
        <v>141</v>
      </c>
      <c r="M2855" s="473"/>
    </row>
    <row r="2856" spans="1:13" ht="13.5">
      <c r="A2856" s="475" t="s">
        <v>5453</v>
      </c>
      <c r="B2856" s="475" t="s">
        <v>5454</v>
      </c>
      <c r="C2856" s="475" t="s">
        <v>5469</v>
      </c>
      <c r="D2856" s="475" t="s">
        <v>5470</v>
      </c>
      <c r="E2856" s="476" t="s">
        <v>34</v>
      </c>
      <c r="F2856" s="475" t="s">
        <v>34</v>
      </c>
      <c r="G2856" s="364">
        <v>92025</v>
      </c>
      <c r="H2856" s="475" t="s">
        <v>2457</v>
      </c>
      <c r="I2856" s="475" t="s">
        <v>171</v>
      </c>
      <c r="J2856" s="475" t="s">
        <v>337</v>
      </c>
      <c r="K2856" s="365">
        <v>49.44</v>
      </c>
      <c r="L2856" s="475" t="s">
        <v>141</v>
      </c>
      <c r="M2856" s="473"/>
    </row>
    <row r="2857" spans="1:13" ht="13.5">
      <c r="A2857" s="475" t="s">
        <v>5453</v>
      </c>
      <c r="B2857" s="475" t="s">
        <v>5454</v>
      </c>
      <c r="C2857" s="475" t="s">
        <v>5469</v>
      </c>
      <c r="D2857" s="475" t="s">
        <v>5470</v>
      </c>
      <c r="E2857" s="476" t="s">
        <v>34</v>
      </c>
      <c r="F2857" s="475" t="s">
        <v>34</v>
      </c>
      <c r="G2857" s="364">
        <v>92026</v>
      </c>
      <c r="H2857" s="475" t="s">
        <v>2458</v>
      </c>
      <c r="I2857" s="475" t="s">
        <v>171</v>
      </c>
      <c r="J2857" s="475" t="s">
        <v>337</v>
      </c>
      <c r="K2857" s="365">
        <v>39.770000000000003</v>
      </c>
      <c r="L2857" s="475" t="s">
        <v>141</v>
      </c>
      <c r="M2857" s="473"/>
    </row>
    <row r="2858" spans="1:13" ht="13.5">
      <c r="A2858" s="475" t="s">
        <v>5453</v>
      </c>
      <c r="B2858" s="475" t="s">
        <v>5454</v>
      </c>
      <c r="C2858" s="475" t="s">
        <v>5469</v>
      </c>
      <c r="D2858" s="475" t="s">
        <v>5470</v>
      </c>
      <c r="E2858" s="476" t="s">
        <v>34</v>
      </c>
      <c r="F2858" s="475" t="s">
        <v>34</v>
      </c>
      <c r="G2858" s="364">
        <v>92027</v>
      </c>
      <c r="H2858" s="475" t="s">
        <v>2459</v>
      </c>
      <c r="I2858" s="475" t="s">
        <v>171</v>
      </c>
      <c r="J2858" s="475" t="s">
        <v>337</v>
      </c>
      <c r="K2858" s="365">
        <v>45.78</v>
      </c>
      <c r="L2858" s="475" t="s">
        <v>141</v>
      </c>
      <c r="M2858" s="473"/>
    </row>
    <row r="2859" spans="1:13" ht="13.5">
      <c r="A2859" s="475" t="s">
        <v>5453</v>
      </c>
      <c r="B2859" s="475" t="s">
        <v>5454</v>
      </c>
      <c r="C2859" s="475" t="s">
        <v>5469</v>
      </c>
      <c r="D2859" s="475" t="s">
        <v>5470</v>
      </c>
      <c r="E2859" s="476" t="s">
        <v>34</v>
      </c>
      <c r="F2859" s="475" t="s">
        <v>34</v>
      </c>
      <c r="G2859" s="364">
        <v>92028</v>
      </c>
      <c r="H2859" s="475" t="s">
        <v>2460</v>
      </c>
      <c r="I2859" s="475" t="s">
        <v>171</v>
      </c>
      <c r="J2859" s="475" t="s">
        <v>337</v>
      </c>
      <c r="K2859" s="365">
        <v>33</v>
      </c>
      <c r="L2859" s="475" t="s">
        <v>141</v>
      </c>
      <c r="M2859" s="473"/>
    </row>
    <row r="2860" spans="1:13" ht="13.5">
      <c r="A2860" s="475" t="s">
        <v>5453</v>
      </c>
      <c r="B2860" s="475" t="s">
        <v>5454</v>
      </c>
      <c r="C2860" s="475" t="s">
        <v>5469</v>
      </c>
      <c r="D2860" s="475" t="s">
        <v>5470</v>
      </c>
      <c r="E2860" s="476" t="s">
        <v>34</v>
      </c>
      <c r="F2860" s="475" t="s">
        <v>34</v>
      </c>
      <c r="G2860" s="364">
        <v>92029</v>
      </c>
      <c r="H2860" s="475" t="s">
        <v>2461</v>
      </c>
      <c r="I2860" s="475" t="s">
        <v>171</v>
      </c>
      <c r="J2860" s="475" t="s">
        <v>337</v>
      </c>
      <c r="K2860" s="365">
        <v>39.01</v>
      </c>
      <c r="L2860" s="475" t="s">
        <v>141</v>
      </c>
      <c r="M2860" s="473"/>
    </row>
    <row r="2861" spans="1:13" ht="13.5">
      <c r="A2861" s="475" t="s">
        <v>5453</v>
      </c>
      <c r="B2861" s="475" t="s">
        <v>5454</v>
      </c>
      <c r="C2861" s="475" t="s">
        <v>5469</v>
      </c>
      <c r="D2861" s="475" t="s">
        <v>5470</v>
      </c>
      <c r="E2861" s="476" t="s">
        <v>34</v>
      </c>
      <c r="F2861" s="475" t="s">
        <v>34</v>
      </c>
      <c r="G2861" s="364">
        <v>92030</v>
      </c>
      <c r="H2861" s="475" t="s">
        <v>2462</v>
      </c>
      <c r="I2861" s="475" t="s">
        <v>171</v>
      </c>
      <c r="J2861" s="475" t="s">
        <v>337</v>
      </c>
      <c r="K2861" s="365">
        <v>47.98</v>
      </c>
      <c r="L2861" s="475" t="s">
        <v>141</v>
      </c>
      <c r="M2861" s="473"/>
    </row>
    <row r="2862" spans="1:13" ht="13.5">
      <c r="A2862" s="475" t="s">
        <v>5453</v>
      </c>
      <c r="B2862" s="475" t="s">
        <v>5454</v>
      </c>
      <c r="C2862" s="475" t="s">
        <v>5469</v>
      </c>
      <c r="D2862" s="475" t="s">
        <v>5470</v>
      </c>
      <c r="E2862" s="476" t="s">
        <v>34</v>
      </c>
      <c r="F2862" s="475" t="s">
        <v>34</v>
      </c>
      <c r="G2862" s="364">
        <v>92031</v>
      </c>
      <c r="H2862" s="475" t="s">
        <v>2463</v>
      </c>
      <c r="I2862" s="475" t="s">
        <v>171</v>
      </c>
      <c r="J2862" s="475" t="s">
        <v>337</v>
      </c>
      <c r="K2862" s="365">
        <v>53.99</v>
      </c>
      <c r="L2862" s="475" t="s">
        <v>141</v>
      </c>
      <c r="M2862" s="473"/>
    </row>
    <row r="2863" spans="1:13" ht="13.5">
      <c r="A2863" s="475" t="s">
        <v>5453</v>
      </c>
      <c r="B2863" s="475" t="s">
        <v>5454</v>
      </c>
      <c r="C2863" s="475" t="s">
        <v>5469</v>
      </c>
      <c r="D2863" s="475" t="s">
        <v>5470</v>
      </c>
      <c r="E2863" s="476" t="s">
        <v>34</v>
      </c>
      <c r="F2863" s="475" t="s">
        <v>34</v>
      </c>
      <c r="G2863" s="364">
        <v>92032</v>
      </c>
      <c r="H2863" s="475" t="s">
        <v>2464</v>
      </c>
      <c r="I2863" s="475" t="s">
        <v>171</v>
      </c>
      <c r="J2863" s="475" t="s">
        <v>337</v>
      </c>
      <c r="K2863" s="365">
        <v>48.9</v>
      </c>
      <c r="L2863" s="475" t="s">
        <v>141</v>
      </c>
      <c r="M2863" s="473"/>
    </row>
    <row r="2864" spans="1:13" ht="13.5">
      <c r="A2864" s="475" t="s">
        <v>5453</v>
      </c>
      <c r="B2864" s="475" t="s">
        <v>5454</v>
      </c>
      <c r="C2864" s="475" t="s">
        <v>5469</v>
      </c>
      <c r="D2864" s="475" t="s">
        <v>5470</v>
      </c>
      <c r="E2864" s="476" t="s">
        <v>34</v>
      </c>
      <c r="F2864" s="475" t="s">
        <v>34</v>
      </c>
      <c r="G2864" s="364">
        <v>92033</v>
      </c>
      <c r="H2864" s="475" t="s">
        <v>2465</v>
      </c>
      <c r="I2864" s="475" t="s">
        <v>171</v>
      </c>
      <c r="J2864" s="475" t="s">
        <v>337</v>
      </c>
      <c r="K2864" s="365">
        <v>54.91</v>
      </c>
      <c r="L2864" s="475" t="s">
        <v>141</v>
      </c>
      <c r="M2864" s="473"/>
    </row>
    <row r="2865" spans="1:13" ht="13.5">
      <c r="A2865" s="475" t="s">
        <v>5453</v>
      </c>
      <c r="B2865" s="475" t="s">
        <v>5454</v>
      </c>
      <c r="C2865" s="475" t="s">
        <v>5469</v>
      </c>
      <c r="D2865" s="475" t="s">
        <v>5470</v>
      </c>
      <c r="E2865" s="476" t="s">
        <v>34</v>
      </c>
      <c r="F2865" s="475" t="s">
        <v>34</v>
      </c>
      <c r="G2865" s="364">
        <v>92034</v>
      </c>
      <c r="H2865" s="475" t="s">
        <v>2466</v>
      </c>
      <c r="I2865" s="475" t="s">
        <v>171</v>
      </c>
      <c r="J2865" s="475" t="s">
        <v>337</v>
      </c>
      <c r="K2865" s="365">
        <v>44.35</v>
      </c>
      <c r="L2865" s="475" t="s">
        <v>141</v>
      </c>
      <c r="M2865" s="473"/>
    </row>
    <row r="2866" spans="1:13" ht="13.5">
      <c r="A2866" s="475" t="s">
        <v>5453</v>
      </c>
      <c r="B2866" s="475" t="s">
        <v>5454</v>
      </c>
      <c r="C2866" s="475" t="s">
        <v>5469</v>
      </c>
      <c r="D2866" s="475" t="s">
        <v>5470</v>
      </c>
      <c r="E2866" s="476" t="s">
        <v>34</v>
      </c>
      <c r="F2866" s="475" t="s">
        <v>34</v>
      </c>
      <c r="G2866" s="364">
        <v>92035</v>
      </c>
      <c r="H2866" s="475" t="s">
        <v>2467</v>
      </c>
      <c r="I2866" s="475" t="s">
        <v>171</v>
      </c>
      <c r="J2866" s="475" t="s">
        <v>337</v>
      </c>
      <c r="K2866" s="365">
        <v>50.36</v>
      </c>
      <c r="L2866" s="475" t="s">
        <v>141</v>
      </c>
      <c r="M2866" s="473"/>
    </row>
    <row r="2867" spans="1:13" ht="13.5">
      <c r="A2867" s="475" t="s">
        <v>5453</v>
      </c>
      <c r="B2867" s="475" t="s">
        <v>5454</v>
      </c>
      <c r="C2867" s="475" t="s">
        <v>5471</v>
      </c>
      <c r="D2867" s="475" t="s">
        <v>5472</v>
      </c>
      <c r="E2867" s="476" t="s">
        <v>34</v>
      </c>
      <c r="F2867" s="475" t="s">
        <v>34</v>
      </c>
      <c r="G2867" s="364">
        <v>72278</v>
      </c>
      <c r="H2867" s="475" t="s">
        <v>2468</v>
      </c>
      <c r="I2867" s="475" t="s">
        <v>171</v>
      </c>
      <c r="J2867" s="475" t="s">
        <v>140</v>
      </c>
      <c r="K2867" s="365">
        <v>74.599999999999994</v>
      </c>
      <c r="L2867" s="475" t="s">
        <v>141</v>
      </c>
      <c r="M2867" s="473"/>
    </row>
    <row r="2868" spans="1:13" ht="13.5">
      <c r="A2868" s="475" t="s">
        <v>5453</v>
      </c>
      <c r="B2868" s="475" t="s">
        <v>5454</v>
      </c>
      <c r="C2868" s="475" t="s">
        <v>5471</v>
      </c>
      <c r="D2868" s="475" t="s">
        <v>5472</v>
      </c>
      <c r="E2868" s="476" t="s">
        <v>34</v>
      </c>
      <c r="F2868" s="475" t="s">
        <v>34</v>
      </c>
      <c r="G2868" s="364">
        <v>72280</v>
      </c>
      <c r="H2868" s="475" t="s">
        <v>2469</v>
      </c>
      <c r="I2868" s="475" t="s">
        <v>171</v>
      </c>
      <c r="J2868" s="475" t="s">
        <v>140</v>
      </c>
      <c r="K2868" s="365">
        <v>42.41</v>
      </c>
      <c r="L2868" s="475" t="s">
        <v>141</v>
      </c>
      <c r="M2868" s="473"/>
    </row>
    <row r="2869" spans="1:13" ht="13.5">
      <c r="A2869" s="475" t="s">
        <v>5453</v>
      </c>
      <c r="B2869" s="475" t="s">
        <v>5454</v>
      </c>
      <c r="C2869" s="475" t="s">
        <v>5471</v>
      </c>
      <c r="D2869" s="475" t="s">
        <v>5472</v>
      </c>
      <c r="E2869" s="476">
        <v>73953</v>
      </c>
      <c r="F2869" s="475" t="s">
        <v>5473</v>
      </c>
      <c r="G2869" s="364" t="s">
        <v>2470</v>
      </c>
      <c r="H2869" s="475" t="s">
        <v>2471</v>
      </c>
      <c r="I2869" s="475" t="s">
        <v>171</v>
      </c>
      <c r="J2869" s="475" t="s">
        <v>140</v>
      </c>
      <c r="K2869" s="365">
        <v>134.54</v>
      </c>
      <c r="L2869" s="475" t="s">
        <v>141</v>
      </c>
      <c r="M2869" s="473"/>
    </row>
    <row r="2870" spans="1:13" ht="13.5">
      <c r="A2870" s="475" t="s">
        <v>5453</v>
      </c>
      <c r="B2870" s="475" t="s">
        <v>5454</v>
      </c>
      <c r="C2870" s="475" t="s">
        <v>5471</v>
      </c>
      <c r="D2870" s="475" t="s">
        <v>5472</v>
      </c>
      <c r="E2870" s="476">
        <v>73953</v>
      </c>
      <c r="F2870" s="475" t="s">
        <v>5473</v>
      </c>
      <c r="G2870" s="364" t="s">
        <v>2472</v>
      </c>
      <c r="H2870" s="475" t="s">
        <v>2473</v>
      </c>
      <c r="I2870" s="475" t="s">
        <v>171</v>
      </c>
      <c r="J2870" s="475" t="s">
        <v>140</v>
      </c>
      <c r="K2870" s="365">
        <v>178.53</v>
      </c>
      <c r="L2870" s="475" t="s">
        <v>141</v>
      </c>
      <c r="M2870" s="473"/>
    </row>
    <row r="2871" spans="1:13" ht="13.5">
      <c r="A2871" s="475" t="s">
        <v>5453</v>
      </c>
      <c r="B2871" s="475" t="s">
        <v>5454</v>
      </c>
      <c r="C2871" s="475" t="s">
        <v>5471</v>
      </c>
      <c r="D2871" s="475" t="s">
        <v>5472</v>
      </c>
      <c r="E2871" s="476">
        <v>73953</v>
      </c>
      <c r="F2871" s="475" t="s">
        <v>5473</v>
      </c>
      <c r="G2871" s="364" t="s">
        <v>2474</v>
      </c>
      <c r="H2871" s="475" t="s">
        <v>2475</v>
      </c>
      <c r="I2871" s="475" t="s">
        <v>171</v>
      </c>
      <c r="J2871" s="475" t="s">
        <v>140</v>
      </c>
      <c r="K2871" s="365">
        <v>50.81</v>
      </c>
      <c r="L2871" s="475" t="s">
        <v>141</v>
      </c>
      <c r="M2871" s="473"/>
    </row>
    <row r="2872" spans="1:13" ht="13.5">
      <c r="A2872" s="475" t="s">
        <v>5453</v>
      </c>
      <c r="B2872" s="475" t="s">
        <v>5454</v>
      </c>
      <c r="C2872" s="475" t="s">
        <v>5471</v>
      </c>
      <c r="D2872" s="475" t="s">
        <v>5472</v>
      </c>
      <c r="E2872" s="476" t="s">
        <v>34</v>
      </c>
      <c r="F2872" s="475" t="s">
        <v>34</v>
      </c>
      <c r="G2872" s="364">
        <v>83391</v>
      </c>
      <c r="H2872" s="475" t="s">
        <v>2476</v>
      </c>
      <c r="I2872" s="475" t="s">
        <v>171</v>
      </c>
      <c r="J2872" s="475" t="s">
        <v>140</v>
      </c>
      <c r="K2872" s="365">
        <v>27.68</v>
      </c>
      <c r="L2872" s="475" t="s">
        <v>141</v>
      </c>
      <c r="M2872" s="473"/>
    </row>
    <row r="2873" spans="1:13" ht="13.5">
      <c r="A2873" s="475" t="s">
        <v>5453</v>
      </c>
      <c r="B2873" s="475" t="s">
        <v>5454</v>
      </c>
      <c r="C2873" s="475" t="s">
        <v>5471</v>
      </c>
      <c r="D2873" s="475" t="s">
        <v>5472</v>
      </c>
      <c r="E2873" s="476" t="s">
        <v>34</v>
      </c>
      <c r="F2873" s="475" t="s">
        <v>34</v>
      </c>
      <c r="G2873" s="364">
        <v>83392</v>
      </c>
      <c r="H2873" s="475" t="s">
        <v>2477</v>
      </c>
      <c r="I2873" s="475" t="s">
        <v>171</v>
      </c>
      <c r="J2873" s="475" t="s">
        <v>140</v>
      </c>
      <c r="K2873" s="365">
        <v>20.36</v>
      </c>
      <c r="L2873" s="475" t="s">
        <v>141</v>
      </c>
      <c r="M2873" s="473"/>
    </row>
    <row r="2874" spans="1:13" ht="13.5">
      <c r="A2874" s="475" t="s">
        <v>5453</v>
      </c>
      <c r="B2874" s="475" t="s">
        <v>5454</v>
      </c>
      <c r="C2874" s="475" t="s">
        <v>5471</v>
      </c>
      <c r="D2874" s="475" t="s">
        <v>5472</v>
      </c>
      <c r="E2874" s="476" t="s">
        <v>34</v>
      </c>
      <c r="F2874" s="475" t="s">
        <v>34</v>
      </c>
      <c r="G2874" s="364">
        <v>83393</v>
      </c>
      <c r="H2874" s="475" t="s">
        <v>2478</v>
      </c>
      <c r="I2874" s="475" t="s">
        <v>171</v>
      </c>
      <c r="J2874" s="475" t="s">
        <v>140</v>
      </c>
      <c r="K2874" s="365">
        <v>26.17</v>
      </c>
      <c r="L2874" s="475" t="s">
        <v>141</v>
      </c>
      <c r="M2874" s="473"/>
    </row>
    <row r="2875" spans="1:13" ht="13.5">
      <c r="A2875" s="475" t="s">
        <v>5453</v>
      </c>
      <c r="B2875" s="475" t="s">
        <v>5454</v>
      </c>
      <c r="C2875" s="475" t="s">
        <v>5471</v>
      </c>
      <c r="D2875" s="475" t="s">
        <v>5472</v>
      </c>
      <c r="E2875" s="476" t="s">
        <v>34</v>
      </c>
      <c r="F2875" s="475" t="s">
        <v>34</v>
      </c>
      <c r="G2875" s="364">
        <v>83470</v>
      </c>
      <c r="H2875" s="475" t="s">
        <v>2479</v>
      </c>
      <c r="I2875" s="475" t="s">
        <v>171</v>
      </c>
      <c r="J2875" s="475" t="s">
        <v>140</v>
      </c>
      <c r="K2875" s="365">
        <v>71.2</v>
      </c>
      <c r="L2875" s="475" t="s">
        <v>141</v>
      </c>
      <c r="M2875" s="473"/>
    </row>
    <row r="2876" spans="1:13" ht="13.5">
      <c r="A2876" s="475" t="s">
        <v>5453</v>
      </c>
      <c r="B2876" s="475" t="s">
        <v>5454</v>
      </c>
      <c r="C2876" s="475" t="s">
        <v>5471</v>
      </c>
      <c r="D2876" s="475" t="s">
        <v>5472</v>
      </c>
      <c r="E2876" s="476" t="s">
        <v>34</v>
      </c>
      <c r="F2876" s="475" t="s">
        <v>34</v>
      </c>
      <c r="G2876" s="364">
        <v>93040</v>
      </c>
      <c r="H2876" s="475" t="s">
        <v>2480</v>
      </c>
      <c r="I2876" s="475" t="s">
        <v>171</v>
      </c>
      <c r="J2876" s="475" t="s">
        <v>140</v>
      </c>
      <c r="K2876" s="365">
        <v>11.46</v>
      </c>
      <c r="L2876" s="475" t="s">
        <v>141</v>
      </c>
      <c r="M2876" s="473"/>
    </row>
    <row r="2877" spans="1:13" ht="13.5">
      <c r="A2877" s="475" t="s">
        <v>5453</v>
      </c>
      <c r="B2877" s="475" t="s">
        <v>5454</v>
      </c>
      <c r="C2877" s="475" t="s">
        <v>5471</v>
      </c>
      <c r="D2877" s="475" t="s">
        <v>5472</v>
      </c>
      <c r="E2877" s="476" t="s">
        <v>34</v>
      </c>
      <c r="F2877" s="475" t="s">
        <v>34</v>
      </c>
      <c r="G2877" s="364">
        <v>93041</v>
      </c>
      <c r="H2877" s="475" t="s">
        <v>2481</v>
      </c>
      <c r="I2877" s="475" t="s">
        <v>171</v>
      </c>
      <c r="J2877" s="475" t="s">
        <v>140</v>
      </c>
      <c r="K2877" s="365">
        <v>70.790000000000006</v>
      </c>
      <c r="L2877" s="475" t="s">
        <v>141</v>
      </c>
      <c r="M2877" s="473"/>
    </row>
    <row r="2878" spans="1:13" ht="13.5">
      <c r="A2878" s="475" t="s">
        <v>5453</v>
      </c>
      <c r="B2878" s="475" t="s">
        <v>5454</v>
      </c>
      <c r="C2878" s="475" t="s">
        <v>5471</v>
      </c>
      <c r="D2878" s="475" t="s">
        <v>5472</v>
      </c>
      <c r="E2878" s="476" t="s">
        <v>34</v>
      </c>
      <c r="F2878" s="475" t="s">
        <v>34</v>
      </c>
      <c r="G2878" s="364">
        <v>93042</v>
      </c>
      <c r="H2878" s="475" t="s">
        <v>2482</v>
      </c>
      <c r="I2878" s="475" t="s">
        <v>171</v>
      </c>
      <c r="J2878" s="475" t="s">
        <v>140</v>
      </c>
      <c r="K2878" s="365">
        <v>23.05</v>
      </c>
      <c r="L2878" s="475" t="s">
        <v>141</v>
      </c>
      <c r="M2878" s="473"/>
    </row>
    <row r="2879" spans="1:13" ht="13.5">
      <c r="A2879" s="475" t="s">
        <v>5453</v>
      </c>
      <c r="B2879" s="475" t="s">
        <v>5454</v>
      </c>
      <c r="C2879" s="475" t="s">
        <v>5471</v>
      </c>
      <c r="D2879" s="475" t="s">
        <v>5472</v>
      </c>
      <c r="E2879" s="476" t="s">
        <v>34</v>
      </c>
      <c r="F2879" s="475" t="s">
        <v>34</v>
      </c>
      <c r="G2879" s="364">
        <v>93043</v>
      </c>
      <c r="H2879" s="475" t="s">
        <v>2483</v>
      </c>
      <c r="I2879" s="475" t="s">
        <v>171</v>
      </c>
      <c r="J2879" s="475" t="s">
        <v>140</v>
      </c>
      <c r="K2879" s="365">
        <v>30.63</v>
      </c>
      <c r="L2879" s="475" t="s">
        <v>141</v>
      </c>
      <c r="M2879" s="473"/>
    </row>
    <row r="2880" spans="1:13" ht="13.5">
      <c r="A2880" s="475" t="s">
        <v>5453</v>
      </c>
      <c r="B2880" s="475" t="s">
        <v>5454</v>
      </c>
      <c r="C2880" s="475" t="s">
        <v>5471</v>
      </c>
      <c r="D2880" s="475" t="s">
        <v>5472</v>
      </c>
      <c r="E2880" s="476" t="s">
        <v>34</v>
      </c>
      <c r="F2880" s="475" t="s">
        <v>34</v>
      </c>
      <c r="G2880" s="364">
        <v>93044</v>
      </c>
      <c r="H2880" s="475" t="s">
        <v>2484</v>
      </c>
      <c r="I2880" s="475" t="s">
        <v>171</v>
      </c>
      <c r="J2880" s="475" t="s">
        <v>140</v>
      </c>
      <c r="K2880" s="365">
        <v>12.87</v>
      </c>
      <c r="L2880" s="475" t="s">
        <v>141</v>
      </c>
      <c r="M2880" s="473"/>
    </row>
    <row r="2881" spans="1:13" ht="13.5">
      <c r="A2881" s="475" t="s">
        <v>5453</v>
      </c>
      <c r="B2881" s="475" t="s">
        <v>5454</v>
      </c>
      <c r="C2881" s="475" t="s">
        <v>5471</v>
      </c>
      <c r="D2881" s="475" t="s">
        <v>5472</v>
      </c>
      <c r="E2881" s="476" t="s">
        <v>34</v>
      </c>
      <c r="F2881" s="475" t="s">
        <v>34</v>
      </c>
      <c r="G2881" s="364">
        <v>93045</v>
      </c>
      <c r="H2881" s="475" t="s">
        <v>2485</v>
      </c>
      <c r="I2881" s="475" t="s">
        <v>171</v>
      </c>
      <c r="J2881" s="475" t="s">
        <v>140</v>
      </c>
      <c r="K2881" s="365">
        <v>39.799999999999997</v>
      </c>
      <c r="L2881" s="475" t="s">
        <v>141</v>
      </c>
      <c r="M2881" s="473"/>
    </row>
    <row r="2882" spans="1:13" ht="13.5">
      <c r="A2882" s="475" t="s">
        <v>5453</v>
      </c>
      <c r="B2882" s="475" t="s">
        <v>5454</v>
      </c>
      <c r="C2882" s="475" t="s">
        <v>5471</v>
      </c>
      <c r="D2882" s="475" t="s">
        <v>5472</v>
      </c>
      <c r="E2882" s="476" t="s">
        <v>34</v>
      </c>
      <c r="F2882" s="475" t="s">
        <v>34</v>
      </c>
      <c r="G2882" s="364">
        <v>97583</v>
      </c>
      <c r="H2882" s="475" t="s">
        <v>5973</v>
      </c>
      <c r="I2882" s="475" t="s">
        <v>171</v>
      </c>
      <c r="J2882" s="475" t="s">
        <v>140</v>
      </c>
      <c r="K2882" s="365">
        <v>43.32</v>
      </c>
      <c r="L2882" s="475" t="s">
        <v>141</v>
      </c>
      <c r="M2882" s="473"/>
    </row>
    <row r="2883" spans="1:13" ht="13.5">
      <c r="A2883" s="475" t="s">
        <v>5453</v>
      </c>
      <c r="B2883" s="475" t="s">
        <v>5454</v>
      </c>
      <c r="C2883" s="475" t="s">
        <v>5471</v>
      </c>
      <c r="D2883" s="475" t="s">
        <v>5472</v>
      </c>
      <c r="E2883" s="476" t="s">
        <v>34</v>
      </c>
      <c r="F2883" s="475" t="s">
        <v>34</v>
      </c>
      <c r="G2883" s="364">
        <v>97584</v>
      </c>
      <c r="H2883" s="475" t="s">
        <v>5974</v>
      </c>
      <c r="I2883" s="475" t="s">
        <v>171</v>
      </c>
      <c r="J2883" s="475" t="s">
        <v>140</v>
      </c>
      <c r="K2883" s="365">
        <v>59.44</v>
      </c>
      <c r="L2883" s="475" t="s">
        <v>141</v>
      </c>
      <c r="M2883" s="473"/>
    </row>
    <row r="2884" spans="1:13" ht="13.5">
      <c r="A2884" s="475" t="s">
        <v>5453</v>
      </c>
      <c r="B2884" s="475" t="s">
        <v>5454</v>
      </c>
      <c r="C2884" s="475" t="s">
        <v>5471</v>
      </c>
      <c r="D2884" s="475" t="s">
        <v>5472</v>
      </c>
      <c r="E2884" s="476" t="s">
        <v>34</v>
      </c>
      <c r="F2884" s="475" t="s">
        <v>34</v>
      </c>
      <c r="G2884" s="364">
        <v>97585</v>
      </c>
      <c r="H2884" s="475" t="s">
        <v>5975</v>
      </c>
      <c r="I2884" s="475" t="s">
        <v>171</v>
      </c>
      <c r="J2884" s="475" t="s">
        <v>140</v>
      </c>
      <c r="K2884" s="365">
        <v>59.15</v>
      </c>
      <c r="L2884" s="475" t="s">
        <v>141</v>
      </c>
      <c r="M2884" s="473"/>
    </row>
    <row r="2885" spans="1:13" ht="13.5">
      <c r="A2885" s="475" t="s">
        <v>5453</v>
      </c>
      <c r="B2885" s="475" t="s">
        <v>5454</v>
      </c>
      <c r="C2885" s="475" t="s">
        <v>5471</v>
      </c>
      <c r="D2885" s="475" t="s">
        <v>5472</v>
      </c>
      <c r="E2885" s="476" t="s">
        <v>34</v>
      </c>
      <c r="F2885" s="475" t="s">
        <v>34</v>
      </c>
      <c r="G2885" s="364">
        <v>97586</v>
      </c>
      <c r="H2885" s="475" t="s">
        <v>5976</v>
      </c>
      <c r="I2885" s="475" t="s">
        <v>171</v>
      </c>
      <c r="J2885" s="475" t="s">
        <v>140</v>
      </c>
      <c r="K2885" s="365">
        <v>78.61</v>
      </c>
      <c r="L2885" s="475" t="s">
        <v>141</v>
      </c>
      <c r="M2885" s="473"/>
    </row>
    <row r="2886" spans="1:13" ht="13.5">
      <c r="A2886" s="475" t="s">
        <v>5453</v>
      </c>
      <c r="B2886" s="475" t="s">
        <v>5454</v>
      </c>
      <c r="C2886" s="475" t="s">
        <v>5471</v>
      </c>
      <c r="D2886" s="475" t="s">
        <v>5472</v>
      </c>
      <c r="E2886" s="476" t="s">
        <v>34</v>
      </c>
      <c r="F2886" s="475" t="s">
        <v>34</v>
      </c>
      <c r="G2886" s="364">
        <v>97587</v>
      </c>
      <c r="H2886" s="475" t="s">
        <v>5977</v>
      </c>
      <c r="I2886" s="475" t="s">
        <v>171</v>
      </c>
      <c r="J2886" s="475" t="s">
        <v>140</v>
      </c>
      <c r="K2886" s="365">
        <v>136.36000000000001</v>
      </c>
      <c r="L2886" s="475" t="s">
        <v>141</v>
      </c>
      <c r="M2886" s="473"/>
    </row>
    <row r="2887" spans="1:13" ht="13.5">
      <c r="A2887" s="475" t="s">
        <v>5453</v>
      </c>
      <c r="B2887" s="475" t="s">
        <v>5454</v>
      </c>
      <c r="C2887" s="475" t="s">
        <v>5471</v>
      </c>
      <c r="D2887" s="475" t="s">
        <v>5472</v>
      </c>
      <c r="E2887" s="476" t="s">
        <v>34</v>
      </c>
      <c r="F2887" s="475" t="s">
        <v>34</v>
      </c>
      <c r="G2887" s="364">
        <v>97589</v>
      </c>
      <c r="H2887" s="475" t="s">
        <v>5978</v>
      </c>
      <c r="I2887" s="475" t="s">
        <v>171</v>
      </c>
      <c r="J2887" s="475" t="s">
        <v>140</v>
      </c>
      <c r="K2887" s="365">
        <v>26.97</v>
      </c>
      <c r="L2887" s="475" t="s">
        <v>141</v>
      </c>
      <c r="M2887" s="473"/>
    </row>
    <row r="2888" spans="1:13" ht="13.5">
      <c r="A2888" s="475" t="s">
        <v>5453</v>
      </c>
      <c r="B2888" s="475" t="s">
        <v>5454</v>
      </c>
      <c r="C2888" s="475" t="s">
        <v>5471</v>
      </c>
      <c r="D2888" s="475" t="s">
        <v>5472</v>
      </c>
      <c r="E2888" s="476" t="s">
        <v>34</v>
      </c>
      <c r="F2888" s="475" t="s">
        <v>34</v>
      </c>
      <c r="G2888" s="364">
        <v>97590</v>
      </c>
      <c r="H2888" s="475" t="s">
        <v>5979</v>
      </c>
      <c r="I2888" s="475" t="s">
        <v>171</v>
      </c>
      <c r="J2888" s="475" t="s">
        <v>140</v>
      </c>
      <c r="K2888" s="365">
        <v>53.85</v>
      </c>
      <c r="L2888" s="475" t="s">
        <v>141</v>
      </c>
      <c r="M2888" s="473"/>
    </row>
    <row r="2889" spans="1:13" ht="13.5">
      <c r="A2889" s="475" t="s">
        <v>5453</v>
      </c>
      <c r="B2889" s="475" t="s">
        <v>5454</v>
      </c>
      <c r="C2889" s="475" t="s">
        <v>5471</v>
      </c>
      <c r="D2889" s="475" t="s">
        <v>5472</v>
      </c>
      <c r="E2889" s="476" t="s">
        <v>34</v>
      </c>
      <c r="F2889" s="475" t="s">
        <v>34</v>
      </c>
      <c r="G2889" s="364">
        <v>97591</v>
      </c>
      <c r="H2889" s="475" t="s">
        <v>5980</v>
      </c>
      <c r="I2889" s="475" t="s">
        <v>171</v>
      </c>
      <c r="J2889" s="475" t="s">
        <v>140</v>
      </c>
      <c r="K2889" s="365">
        <v>72.58</v>
      </c>
      <c r="L2889" s="475" t="s">
        <v>141</v>
      </c>
      <c r="M2889" s="473"/>
    </row>
    <row r="2890" spans="1:13" ht="13.5">
      <c r="A2890" s="475" t="s">
        <v>5453</v>
      </c>
      <c r="B2890" s="475" t="s">
        <v>5454</v>
      </c>
      <c r="C2890" s="475" t="s">
        <v>5471</v>
      </c>
      <c r="D2890" s="475" t="s">
        <v>5472</v>
      </c>
      <c r="E2890" s="476" t="s">
        <v>34</v>
      </c>
      <c r="F2890" s="475" t="s">
        <v>34</v>
      </c>
      <c r="G2890" s="364">
        <v>97592</v>
      </c>
      <c r="H2890" s="475" t="s">
        <v>5981</v>
      </c>
      <c r="I2890" s="475" t="s">
        <v>171</v>
      </c>
      <c r="J2890" s="475" t="s">
        <v>140</v>
      </c>
      <c r="K2890" s="365">
        <v>96.36</v>
      </c>
      <c r="L2890" s="475" t="s">
        <v>141</v>
      </c>
      <c r="M2890" s="473"/>
    </row>
    <row r="2891" spans="1:13" ht="13.5">
      <c r="A2891" s="475" t="s">
        <v>5453</v>
      </c>
      <c r="B2891" s="475" t="s">
        <v>5454</v>
      </c>
      <c r="C2891" s="475" t="s">
        <v>5471</v>
      </c>
      <c r="D2891" s="475" t="s">
        <v>5472</v>
      </c>
      <c r="E2891" s="476" t="s">
        <v>34</v>
      </c>
      <c r="F2891" s="475" t="s">
        <v>34</v>
      </c>
      <c r="G2891" s="364">
        <v>97593</v>
      </c>
      <c r="H2891" s="475" t="s">
        <v>5982</v>
      </c>
      <c r="I2891" s="475" t="s">
        <v>171</v>
      </c>
      <c r="J2891" s="475" t="s">
        <v>140</v>
      </c>
      <c r="K2891" s="365">
        <v>73.77</v>
      </c>
      <c r="L2891" s="475" t="s">
        <v>141</v>
      </c>
      <c r="M2891" s="473"/>
    </row>
    <row r="2892" spans="1:13" ht="13.5">
      <c r="A2892" s="475" t="s">
        <v>5453</v>
      </c>
      <c r="B2892" s="475" t="s">
        <v>5454</v>
      </c>
      <c r="C2892" s="475" t="s">
        <v>5471</v>
      </c>
      <c r="D2892" s="475" t="s">
        <v>5472</v>
      </c>
      <c r="E2892" s="476" t="s">
        <v>34</v>
      </c>
      <c r="F2892" s="475" t="s">
        <v>34</v>
      </c>
      <c r="G2892" s="364">
        <v>97594</v>
      </c>
      <c r="H2892" s="475" t="s">
        <v>5983</v>
      </c>
      <c r="I2892" s="475" t="s">
        <v>171</v>
      </c>
      <c r="J2892" s="475" t="s">
        <v>140</v>
      </c>
      <c r="K2892" s="365">
        <v>71.989999999999995</v>
      </c>
      <c r="L2892" s="475" t="s">
        <v>141</v>
      </c>
      <c r="M2892" s="473"/>
    </row>
    <row r="2893" spans="1:13" ht="13.5">
      <c r="A2893" s="475" t="s">
        <v>5453</v>
      </c>
      <c r="B2893" s="475" t="s">
        <v>5454</v>
      </c>
      <c r="C2893" s="475" t="s">
        <v>5471</v>
      </c>
      <c r="D2893" s="475" t="s">
        <v>5472</v>
      </c>
      <c r="E2893" s="476" t="s">
        <v>34</v>
      </c>
      <c r="F2893" s="475" t="s">
        <v>34</v>
      </c>
      <c r="G2893" s="364">
        <v>97595</v>
      </c>
      <c r="H2893" s="475" t="s">
        <v>5984</v>
      </c>
      <c r="I2893" s="475" t="s">
        <v>171</v>
      </c>
      <c r="J2893" s="475" t="s">
        <v>140</v>
      </c>
      <c r="K2893" s="365">
        <v>47.79</v>
      </c>
      <c r="L2893" s="475" t="s">
        <v>141</v>
      </c>
      <c r="M2893" s="473"/>
    </row>
    <row r="2894" spans="1:13" ht="13.5">
      <c r="A2894" s="475" t="s">
        <v>5453</v>
      </c>
      <c r="B2894" s="475" t="s">
        <v>5454</v>
      </c>
      <c r="C2894" s="475" t="s">
        <v>5471</v>
      </c>
      <c r="D2894" s="475" t="s">
        <v>5472</v>
      </c>
      <c r="E2894" s="476" t="s">
        <v>34</v>
      </c>
      <c r="F2894" s="475" t="s">
        <v>34</v>
      </c>
      <c r="G2894" s="364">
        <v>97596</v>
      </c>
      <c r="H2894" s="475" t="s">
        <v>5985</v>
      </c>
      <c r="I2894" s="475" t="s">
        <v>171</v>
      </c>
      <c r="J2894" s="475" t="s">
        <v>140</v>
      </c>
      <c r="K2894" s="365">
        <v>33.26</v>
      </c>
      <c r="L2894" s="475" t="s">
        <v>141</v>
      </c>
      <c r="M2894" s="473"/>
    </row>
    <row r="2895" spans="1:13" ht="13.5">
      <c r="A2895" s="475" t="s">
        <v>5453</v>
      </c>
      <c r="B2895" s="475" t="s">
        <v>5454</v>
      </c>
      <c r="C2895" s="475" t="s">
        <v>5471</v>
      </c>
      <c r="D2895" s="475" t="s">
        <v>5472</v>
      </c>
      <c r="E2895" s="476" t="s">
        <v>34</v>
      </c>
      <c r="F2895" s="475" t="s">
        <v>34</v>
      </c>
      <c r="G2895" s="364">
        <v>97597</v>
      </c>
      <c r="H2895" s="475" t="s">
        <v>5986</v>
      </c>
      <c r="I2895" s="475" t="s">
        <v>171</v>
      </c>
      <c r="J2895" s="475" t="s">
        <v>140</v>
      </c>
      <c r="K2895" s="365">
        <v>41.09</v>
      </c>
      <c r="L2895" s="475" t="s">
        <v>141</v>
      </c>
      <c r="M2895" s="473"/>
    </row>
    <row r="2896" spans="1:13" ht="13.5">
      <c r="A2896" s="475" t="s">
        <v>5453</v>
      </c>
      <c r="B2896" s="475" t="s">
        <v>5454</v>
      </c>
      <c r="C2896" s="475" t="s">
        <v>5471</v>
      </c>
      <c r="D2896" s="475" t="s">
        <v>5472</v>
      </c>
      <c r="E2896" s="476" t="s">
        <v>34</v>
      </c>
      <c r="F2896" s="475" t="s">
        <v>34</v>
      </c>
      <c r="G2896" s="364">
        <v>97598</v>
      </c>
      <c r="H2896" s="475" t="s">
        <v>5987</v>
      </c>
      <c r="I2896" s="475" t="s">
        <v>171</v>
      </c>
      <c r="J2896" s="475" t="s">
        <v>140</v>
      </c>
      <c r="K2896" s="365">
        <v>39.229999999999997</v>
      </c>
      <c r="L2896" s="475" t="s">
        <v>141</v>
      </c>
      <c r="M2896" s="473"/>
    </row>
    <row r="2897" spans="1:13" ht="13.5">
      <c r="A2897" s="475" t="s">
        <v>5453</v>
      </c>
      <c r="B2897" s="475" t="s">
        <v>5454</v>
      </c>
      <c r="C2897" s="475" t="s">
        <v>5471</v>
      </c>
      <c r="D2897" s="475" t="s">
        <v>5472</v>
      </c>
      <c r="E2897" s="476" t="s">
        <v>34</v>
      </c>
      <c r="F2897" s="475" t="s">
        <v>34</v>
      </c>
      <c r="G2897" s="364">
        <v>97599</v>
      </c>
      <c r="H2897" s="475" t="s">
        <v>5988</v>
      </c>
      <c r="I2897" s="475" t="s">
        <v>171</v>
      </c>
      <c r="J2897" s="475" t="s">
        <v>140</v>
      </c>
      <c r="K2897" s="365">
        <v>36.78</v>
      </c>
      <c r="L2897" s="475" t="s">
        <v>141</v>
      </c>
      <c r="M2897" s="473"/>
    </row>
    <row r="2898" spans="1:13" ht="13.5">
      <c r="A2898" s="475" t="s">
        <v>5453</v>
      </c>
      <c r="B2898" s="475" t="s">
        <v>5454</v>
      </c>
      <c r="C2898" s="475" t="s">
        <v>5471</v>
      </c>
      <c r="D2898" s="475" t="s">
        <v>5472</v>
      </c>
      <c r="E2898" s="476" t="s">
        <v>34</v>
      </c>
      <c r="F2898" s="475" t="s">
        <v>34</v>
      </c>
      <c r="G2898" s="364">
        <v>97609</v>
      </c>
      <c r="H2898" s="475" t="s">
        <v>5989</v>
      </c>
      <c r="I2898" s="475" t="s">
        <v>171</v>
      </c>
      <c r="J2898" s="475" t="s">
        <v>140</v>
      </c>
      <c r="K2898" s="365">
        <v>28.21</v>
      </c>
      <c r="L2898" s="475" t="s">
        <v>141</v>
      </c>
      <c r="M2898" s="473"/>
    </row>
    <row r="2899" spans="1:13" ht="13.5">
      <c r="A2899" s="475" t="s">
        <v>5453</v>
      </c>
      <c r="B2899" s="475" t="s">
        <v>5454</v>
      </c>
      <c r="C2899" s="475" t="s">
        <v>5471</v>
      </c>
      <c r="D2899" s="475" t="s">
        <v>5472</v>
      </c>
      <c r="E2899" s="476" t="s">
        <v>34</v>
      </c>
      <c r="F2899" s="475" t="s">
        <v>34</v>
      </c>
      <c r="G2899" s="364">
        <v>97610</v>
      </c>
      <c r="H2899" s="475" t="s">
        <v>5990</v>
      </c>
      <c r="I2899" s="475" t="s">
        <v>171</v>
      </c>
      <c r="J2899" s="475" t="s">
        <v>140</v>
      </c>
      <c r="K2899" s="365">
        <v>35.79</v>
      </c>
      <c r="L2899" s="475" t="s">
        <v>141</v>
      </c>
      <c r="M2899" s="473"/>
    </row>
    <row r="2900" spans="1:13" ht="13.5">
      <c r="A2900" s="475" t="s">
        <v>5453</v>
      </c>
      <c r="B2900" s="475" t="s">
        <v>5454</v>
      </c>
      <c r="C2900" s="475" t="s">
        <v>5471</v>
      </c>
      <c r="D2900" s="475" t="s">
        <v>5472</v>
      </c>
      <c r="E2900" s="476" t="s">
        <v>34</v>
      </c>
      <c r="F2900" s="475" t="s">
        <v>34</v>
      </c>
      <c r="G2900" s="364">
        <v>97611</v>
      </c>
      <c r="H2900" s="475" t="s">
        <v>5991</v>
      </c>
      <c r="I2900" s="475" t="s">
        <v>171</v>
      </c>
      <c r="J2900" s="475" t="s">
        <v>140</v>
      </c>
      <c r="K2900" s="365">
        <v>16.62</v>
      </c>
      <c r="L2900" s="475" t="s">
        <v>141</v>
      </c>
      <c r="M2900" s="473"/>
    </row>
    <row r="2901" spans="1:13" ht="13.5">
      <c r="A2901" s="475" t="s">
        <v>5453</v>
      </c>
      <c r="B2901" s="475" t="s">
        <v>5454</v>
      </c>
      <c r="C2901" s="475" t="s">
        <v>5471</v>
      </c>
      <c r="D2901" s="475" t="s">
        <v>5472</v>
      </c>
      <c r="E2901" s="476" t="s">
        <v>34</v>
      </c>
      <c r="F2901" s="475" t="s">
        <v>34</v>
      </c>
      <c r="G2901" s="364">
        <v>97612</v>
      </c>
      <c r="H2901" s="475" t="s">
        <v>5992</v>
      </c>
      <c r="I2901" s="475" t="s">
        <v>171</v>
      </c>
      <c r="J2901" s="475" t="s">
        <v>140</v>
      </c>
      <c r="K2901" s="365">
        <v>18.03</v>
      </c>
      <c r="L2901" s="475" t="s">
        <v>141</v>
      </c>
      <c r="M2901" s="473"/>
    </row>
    <row r="2902" spans="1:13" ht="13.5">
      <c r="A2902" s="475" t="s">
        <v>5453</v>
      </c>
      <c r="B2902" s="475" t="s">
        <v>5454</v>
      </c>
      <c r="C2902" s="475" t="s">
        <v>5471</v>
      </c>
      <c r="D2902" s="475" t="s">
        <v>5472</v>
      </c>
      <c r="E2902" s="476" t="s">
        <v>34</v>
      </c>
      <c r="F2902" s="475" t="s">
        <v>34</v>
      </c>
      <c r="G2902" s="364">
        <v>97613</v>
      </c>
      <c r="H2902" s="475" t="s">
        <v>5993</v>
      </c>
      <c r="I2902" s="475" t="s">
        <v>171</v>
      </c>
      <c r="J2902" s="475" t="s">
        <v>140</v>
      </c>
      <c r="K2902" s="365">
        <v>22.68</v>
      </c>
      <c r="L2902" s="475" t="s">
        <v>141</v>
      </c>
      <c r="M2902" s="473"/>
    </row>
    <row r="2903" spans="1:13" ht="13.5">
      <c r="A2903" s="475" t="s">
        <v>5453</v>
      </c>
      <c r="B2903" s="475" t="s">
        <v>5454</v>
      </c>
      <c r="C2903" s="475" t="s">
        <v>5471</v>
      </c>
      <c r="D2903" s="475" t="s">
        <v>5472</v>
      </c>
      <c r="E2903" s="476" t="s">
        <v>34</v>
      </c>
      <c r="F2903" s="475" t="s">
        <v>34</v>
      </c>
      <c r="G2903" s="364">
        <v>97614</v>
      </c>
      <c r="H2903" s="475" t="s">
        <v>5994</v>
      </c>
      <c r="I2903" s="475" t="s">
        <v>171</v>
      </c>
      <c r="J2903" s="475" t="s">
        <v>140</v>
      </c>
      <c r="K2903" s="365">
        <v>39.479999999999997</v>
      </c>
      <c r="L2903" s="475" t="s">
        <v>141</v>
      </c>
      <c r="M2903" s="473"/>
    </row>
    <row r="2904" spans="1:13" ht="13.5">
      <c r="A2904" s="475" t="s">
        <v>5453</v>
      </c>
      <c r="B2904" s="475" t="s">
        <v>5454</v>
      </c>
      <c r="C2904" s="475" t="s">
        <v>5471</v>
      </c>
      <c r="D2904" s="475" t="s">
        <v>5472</v>
      </c>
      <c r="E2904" s="476" t="s">
        <v>34</v>
      </c>
      <c r="F2904" s="475" t="s">
        <v>34</v>
      </c>
      <c r="G2904" s="364">
        <v>97615</v>
      </c>
      <c r="H2904" s="475" t="s">
        <v>5995</v>
      </c>
      <c r="I2904" s="475" t="s">
        <v>171</v>
      </c>
      <c r="J2904" s="475" t="s">
        <v>140</v>
      </c>
      <c r="K2904" s="365">
        <v>31.1</v>
      </c>
      <c r="L2904" s="475" t="s">
        <v>141</v>
      </c>
      <c r="M2904" s="473"/>
    </row>
    <row r="2905" spans="1:13" ht="13.5">
      <c r="A2905" s="475" t="s">
        <v>5453</v>
      </c>
      <c r="B2905" s="475" t="s">
        <v>5454</v>
      </c>
      <c r="C2905" s="475" t="s">
        <v>5471</v>
      </c>
      <c r="D2905" s="475" t="s">
        <v>5472</v>
      </c>
      <c r="E2905" s="476" t="s">
        <v>34</v>
      </c>
      <c r="F2905" s="475" t="s">
        <v>34</v>
      </c>
      <c r="G2905" s="364">
        <v>97616</v>
      </c>
      <c r="H2905" s="475" t="s">
        <v>5996</v>
      </c>
      <c r="I2905" s="475" t="s">
        <v>171</v>
      </c>
      <c r="J2905" s="475" t="s">
        <v>140</v>
      </c>
      <c r="K2905" s="365">
        <v>34.93</v>
      </c>
      <c r="L2905" s="475" t="s">
        <v>141</v>
      </c>
      <c r="M2905" s="473"/>
    </row>
    <row r="2906" spans="1:13" ht="13.5">
      <c r="A2906" s="475" t="s">
        <v>5453</v>
      </c>
      <c r="B2906" s="475" t="s">
        <v>5454</v>
      </c>
      <c r="C2906" s="475" t="s">
        <v>5471</v>
      </c>
      <c r="D2906" s="475" t="s">
        <v>5472</v>
      </c>
      <c r="E2906" s="476" t="s">
        <v>34</v>
      </c>
      <c r="F2906" s="475" t="s">
        <v>34</v>
      </c>
      <c r="G2906" s="364">
        <v>97617</v>
      </c>
      <c r="H2906" s="475" t="s">
        <v>5997</v>
      </c>
      <c r="I2906" s="475" t="s">
        <v>171</v>
      </c>
      <c r="J2906" s="475" t="s">
        <v>140</v>
      </c>
      <c r="K2906" s="365">
        <v>34.71</v>
      </c>
      <c r="L2906" s="475" t="s">
        <v>141</v>
      </c>
      <c r="M2906" s="473"/>
    </row>
    <row r="2907" spans="1:13" ht="13.5">
      <c r="A2907" s="475" t="s">
        <v>5453</v>
      </c>
      <c r="B2907" s="475" t="s">
        <v>5454</v>
      </c>
      <c r="C2907" s="475" t="s">
        <v>5471</v>
      </c>
      <c r="D2907" s="475" t="s">
        <v>5472</v>
      </c>
      <c r="E2907" s="476" t="s">
        <v>34</v>
      </c>
      <c r="F2907" s="475" t="s">
        <v>34</v>
      </c>
      <c r="G2907" s="364">
        <v>97618</v>
      </c>
      <c r="H2907" s="475" t="s">
        <v>5998</v>
      </c>
      <c r="I2907" s="475" t="s">
        <v>171</v>
      </c>
      <c r="J2907" s="475" t="s">
        <v>140</v>
      </c>
      <c r="K2907" s="365">
        <v>33.07</v>
      </c>
      <c r="L2907" s="475" t="s">
        <v>141</v>
      </c>
      <c r="M2907" s="473"/>
    </row>
    <row r="2908" spans="1:13" ht="13.5">
      <c r="A2908" s="475" t="s">
        <v>5453</v>
      </c>
      <c r="B2908" s="475" t="s">
        <v>5454</v>
      </c>
      <c r="C2908" s="475" t="s">
        <v>5474</v>
      </c>
      <c r="D2908" s="475" t="s">
        <v>5475</v>
      </c>
      <c r="E2908" s="476" t="s">
        <v>34</v>
      </c>
      <c r="F2908" s="475" t="s">
        <v>34</v>
      </c>
      <c r="G2908" s="364">
        <v>41598</v>
      </c>
      <c r="H2908" s="475" t="s">
        <v>2486</v>
      </c>
      <c r="I2908" s="475" t="s">
        <v>171</v>
      </c>
      <c r="J2908" s="475" t="s">
        <v>140</v>
      </c>
      <c r="K2908" s="365">
        <v>1492.39</v>
      </c>
      <c r="L2908" s="475" t="s">
        <v>141</v>
      </c>
      <c r="M2908" s="473"/>
    </row>
    <row r="2909" spans="1:13" ht="13.5">
      <c r="A2909" s="475" t="s">
        <v>5453</v>
      </c>
      <c r="B2909" s="475" t="s">
        <v>5454</v>
      </c>
      <c r="C2909" s="475" t="s">
        <v>5474</v>
      </c>
      <c r="D2909" s="475" t="s">
        <v>5475</v>
      </c>
      <c r="E2909" s="476" t="s">
        <v>34</v>
      </c>
      <c r="F2909" s="475" t="s">
        <v>34</v>
      </c>
      <c r="G2909" s="364">
        <v>72941</v>
      </c>
      <c r="H2909" s="475" t="s">
        <v>2487</v>
      </c>
      <c r="I2909" s="475" t="s">
        <v>171</v>
      </c>
      <c r="J2909" s="475" t="s">
        <v>140</v>
      </c>
      <c r="K2909" s="365">
        <v>173.9</v>
      </c>
      <c r="L2909" s="475" t="s">
        <v>141</v>
      </c>
      <c r="M2909" s="473"/>
    </row>
    <row r="2910" spans="1:13" ht="13.5">
      <c r="A2910" s="475" t="s">
        <v>5453</v>
      </c>
      <c r="B2910" s="475" t="s">
        <v>5454</v>
      </c>
      <c r="C2910" s="475" t="s">
        <v>5474</v>
      </c>
      <c r="D2910" s="475" t="s">
        <v>5475</v>
      </c>
      <c r="E2910" s="476" t="s">
        <v>34</v>
      </c>
      <c r="F2910" s="475" t="s">
        <v>34</v>
      </c>
      <c r="G2910" s="364">
        <v>73624</v>
      </c>
      <c r="H2910" s="475" t="s">
        <v>2488</v>
      </c>
      <c r="I2910" s="475" t="s">
        <v>171</v>
      </c>
      <c r="J2910" s="475" t="s">
        <v>140</v>
      </c>
      <c r="K2910" s="365">
        <v>76.42</v>
      </c>
      <c r="L2910" s="475" t="s">
        <v>141</v>
      </c>
      <c r="M2910" s="473"/>
    </row>
    <row r="2911" spans="1:13" ht="13.5">
      <c r="A2911" s="475" t="s">
        <v>5453</v>
      </c>
      <c r="B2911" s="475" t="s">
        <v>5454</v>
      </c>
      <c r="C2911" s="475" t="s">
        <v>5474</v>
      </c>
      <c r="D2911" s="475" t="s">
        <v>5475</v>
      </c>
      <c r="E2911" s="476">
        <v>73767</v>
      </c>
      <c r="F2911" s="475" t="s">
        <v>5476</v>
      </c>
      <c r="G2911" s="364" t="s">
        <v>2489</v>
      </c>
      <c r="H2911" s="475" t="s">
        <v>2490</v>
      </c>
      <c r="I2911" s="475" t="s">
        <v>171</v>
      </c>
      <c r="J2911" s="475" t="s">
        <v>337</v>
      </c>
      <c r="K2911" s="365">
        <v>10.81</v>
      </c>
      <c r="L2911" s="475" t="s">
        <v>141</v>
      </c>
      <c r="M2911" s="473"/>
    </row>
    <row r="2912" spans="1:13" ht="13.5">
      <c r="A2912" s="475" t="s">
        <v>5453</v>
      </c>
      <c r="B2912" s="475" t="s">
        <v>5454</v>
      </c>
      <c r="C2912" s="475" t="s">
        <v>5474</v>
      </c>
      <c r="D2912" s="475" t="s">
        <v>5475</v>
      </c>
      <c r="E2912" s="476">
        <v>73767</v>
      </c>
      <c r="F2912" s="475" t="s">
        <v>5476</v>
      </c>
      <c r="G2912" s="364" t="s">
        <v>2491</v>
      </c>
      <c r="H2912" s="475" t="s">
        <v>2492</v>
      </c>
      <c r="I2912" s="475" t="s">
        <v>171</v>
      </c>
      <c r="J2912" s="475" t="s">
        <v>140</v>
      </c>
      <c r="K2912" s="365">
        <v>9.8699999999999992</v>
      </c>
      <c r="L2912" s="475" t="s">
        <v>141</v>
      </c>
      <c r="M2912" s="473"/>
    </row>
    <row r="2913" spans="1:13" ht="13.5">
      <c r="A2913" s="475" t="s">
        <v>5453</v>
      </c>
      <c r="B2913" s="475" t="s">
        <v>5454</v>
      </c>
      <c r="C2913" s="475" t="s">
        <v>5474</v>
      </c>
      <c r="D2913" s="475" t="s">
        <v>5475</v>
      </c>
      <c r="E2913" s="476">
        <v>73767</v>
      </c>
      <c r="F2913" s="475" t="s">
        <v>5476</v>
      </c>
      <c r="G2913" s="364" t="s">
        <v>2493</v>
      </c>
      <c r="H2913" s="475" t="s">
        <v>2494</v>
      </c>
      <c r="I2913" s="475" t="s">
        <v>171</v>
      </c>
      <c r="J2913" s="475" t="s">
        <v>140</v>
      </c>
      <c r="K2913" s="365">
        <v>7.03</v>
      </c>
      <c r="L2913" s="475" t="s">
        <v>141</v>
      </c>
      <c r="M2913" s="473"/>
    </row>
    <row r="2914" spans="1:13" ht="13.5">
      <c r="A2914" s="475" t="s">
        <v>5453</v>
      </c>
      <c r="B2914" s="475" t="s">
        <v>5454</v>
      </c>
      <c r="C2914" s="475" t="s">
        <v>5474</v>
      </c>
      <c r="D2914" s="475" t="s">
        <v>5475</v>
      </c>
      <c r="E2914" s="476">
        <v>73767</v>
      </c>
      <c r="F2914" s="475" t="s">
        <v>5476</v>
      </c>
      <c r="G2914" s="364" t="s">
        <v>2495</v>
      </c>
      <c r="H2914" s="475" t="s">
        <v>2496</v>
      </c>
      <c r="I2914" s="475" t="s">
        <v>171</v>
      </c>
      <c r="J2914" s="475" t="s">
        <v>140</v>
      </c>
      <c r="K2914" s="365">
        <v>4.45</v>
      </c>
      <c r="L2914" s="475" t="s">
        <v>141</v>
      </c>
      <c r="M2914" s="473"/>
    </row>
    <row r="2915" spans="1:13" ht="13.5">
      <c r="A2915" s="475" t="s">
        <v>5453</v>
      </c>
      <c r="B2915" s="475" t="s">
        <v>5454</v>
      </c>
      <c r="C2915" s="475" t="s">
        <v>5474</v>
      </c>
      <c r="D2915" s="475" t="s">
        <v>5475</v>
      </c>
      <c r="E2915" s="476">
        <v>73767</v>
      </c>
      <c r="F2915" s="475" t="s">
        <v>5476</v>
      </c>
      <c r="G2915" s="364" t="s">
        <v>2497</v>
      </c>
      <c r="H2915" s="475" t="s">
        <v>2498</v>
      </c>
      <c r="I2915" s="475" t="s">
        <v>171</v>
      </c>
      <c r="J2915" s="475" t="s">
        <v>140</v>
      </c>
      <c r="K2915" s="365">
        <v>4.04</v>
      </c>
      <c r="L2915" s="475" t="s">
        <v>141</v>
      </c>
      <c r="M2915" s="473"/>
    </row>
    <row r="2916" spans="1:13" ht="13.5">
      <c r="A2916" s="475" t="s">
        <v>5453</v>
      </c>
      <c r="B2916" s="475" t="s">
        <v>5454</v>
      </c>
      <c r="C2916" s="475" t="s">
        <v>5474</v>
      </c>
      <c r="D2916" s="475" t="s">
        <v>5475</v>
      </c>
      <c r="E2916" s="476">
        <v>73781</v>
      </c>
      <c r="F2916" s="475" t="s">
        <v>5477</v>
      </c>
      <c r="G2916" s="364" t="s">
        <v>2499</v>
      </c>
      <c r="H2916" s="475" t="s">
        <v>2500</v>
      </c>
      <c r="I2916" s="475" t="s">
        <v>171</v>
      </c>
      <c r="J2916" s="475" t="s">
        <v>140</v>
      </c>
      <c r="K2916" s="365">
        <v>339.7</v>
      </c>
      <c r="L2916" s="475" t="s">
        <v>141</v>
      </c>
      <c r="M2916" s="473"/>
    </row>
    <row r="2917" spans="1:13" ht="13.5">
      <c r="A2917" s="475" t="s">
        <v>5453</v>
      </c>
      <c r="B2917" s="475" t="s">
        <v>5454</v>
      </c>
      <c r="C2917" s="475" t="s">
        <v>5474</v>
      </c>
      <c r="D2917" s="475" t="s">
        <v>5475</v>
      </c>
      <c r="E2917" s="476">
        <v>73781</v>
      </c>
      <c r="F2917" s="475" t="s">
        <v>5477</v>
      </c>
      <c r="G2917" s="364" t="s">
        <v>2501</v>
      </c>
      <c r="H2917" s="475" t="s">
        <v>2502</v>
      </c>
      <c r="I2917" s="475" t="s">
        <v>171</v>
      </c>
      <c r="J2917" s="475" t="s">
        <v>140</v>
      </c>
      <c r="K2917" s="365">
        <v>26.06</v>
      </c>
      <c r="L2917" s="475" t="s">
        <v>141</v>
      </c>
      <c r="M2917" s="473"/>
    </row>
    <row r="2918" spans="1:13" ht="13.5">
      <c r="A2918" s="475" t="s">
        <v>5453</v>
      </c>
      <c r="B2918" s="475" t="s">
        <v>5454</v>
      </c>
      <c r="C2918" s="475" t="s">
        <v>5474</v>
      </c>
      <c r="D2918" s="475" t="s">
        <v>5475</v>
      </c>
      <c r="E2918" s="476">
        <v>73781</v>
      </c>
      <c r="F2918" s="475" t="s">
        <v>5477</v>
      </c>
      <c r="G2918" s="364" t="s">
        <v>2503</v>
      </c>
      <c r="H2918" s="475" t="s">
        <v>2504</v>
      </c>
      <c r="I2918" s="475" t="s">
        <v>171</v>
      </c>
      <c r="J2918" s="475" t="s">
        <v>140</v>
      </c>
      <c r="K2918" s="365">
        <v>79.97</v>
      </c>
      <c r="L2918" s="475" t="s">
        <v>141</v>
      </c>
      <c r="M2918" s="473"/>
    </row>
    <row r="2919" spans="1:13" ht="13.5">
      <c r="A2919" s="475" t="s">
        <v>5453</v>
      </c>
      <c r="B2919" s="475" t="s">
        <v>5454</v>
      </c>
      <c r="C2919" s="475" t="s">
        <v>5474</v>
      </c>
      <c r="D2919" s="475" t="s">
        <v>5475</v>
      </c>
      <c r="E2919" s="476" t="s">
        <v>34</v>
      </c>
      <c r="F2919" s="475" t="s">
        <v>34</v>
      </c>
      <c r="G2919" s="364">
        <v>88543</v>
      </c>
      <c r="H2919" s="475" t="s">
        <v>2505</v>
      </c>
      <c r="I2919" s="475" t="s">
        <v>171</v>
      </c>
      <c r="J2919" s="475" t="s">
        <v>140</v>
      </c>
      <c r="K2919" s="365">
        <v>136.03</v>
      </c>
      <c r="L2919" s="475" t="s">
        <v>141</v>
      </c>
      <c r="M2919" s="473"/>
    </row>
    <row r="2920" spans="1:13" ht="13.5">
      <c r="A2920" s="475" t="s">
        <v>5453</v>
      </c>
      <c r="B2920" s="475" t="s">
        <v>5454</v>
      </c>
      <c r="C2920" s="475" t="s">
        <v>5474</v>
      </c>
      <c r="D2920" s="475" t="s">
        <v>5475</v>
      </c>
      <c r="E2920" s="476" t="s">
        <v>34</v>
      </c>
      <c r="F2920" s="475" t="s">
        <v>34</v>
      </c>
      <c r="G2920" s="364">
        <v>88544</v>
      </c>
      <c r="H2920" s="475" t="s">
        <v>2506</v>
      </c>
      <c r="I2920" s="475" t="s">
        <v>171</v>
      </c>
      <c r="J2920" s="475" t="s">
        <v>140</v>
      </c>
      <c r="K2920" s="365">
        <v>84.57</v>
      </c>
      <c r="L2920" s="475" t="s">
        <v>141</v>
      </c>
      <c r="M2920" s="473"/>
    </row>
    <row r="2921" spans="1:13" ht="13.5">
      <c r="A2921" s="475" t="s">
        <v>5453</v>
      </c>
      <c r="B2921" s="475" t="s">
        <v>5454</v>
      </c>
      <c r="C2921" s="475" t="s">
        <v>5474</v>
      </c>
      <c r="D2921" s="475" t="s">
        <v>5475</v>
      </c>
      <c r="E2921" s="476" t="s">
        <v>34</v>
      </c>
      <c r="F2921" s="475" t="s">
        <v>34</v>
      </c>
      <c r="G2921" s="364">
        <v>88545</v>
      </c>
      <c r="H2921" s="475" t="s">
        <v>2507</v>
      </c>
      <c r="I2921" s="475" t="s">
        <v>171</v>
      </c>
      <c r="J2921" s="475" t="s">
        <v>140</v>
      </c>
      <c r="K2921" s="365">
        <v>157.9</v>
      </c>
      <c r="L2921" s="475" t="s">
        <v>141</v>
      </c>
      <c r="M2921" s="473"/>
    </row>
    <row r="2922" spans="1:13" ht="13.5">
      <c r="A2922" s="475" t="s">
        <v>5453</v>
      </c>
      <c r="B2922" s="475" t="s">
        <v>5454</v>
      </c>
      <c r="C2922" s="475" t="s">
        <v>5478</v>
      </c>
      <c r="D2922" s="475" t="s">
        <v>5479</v>
      </c>
      <c r="E2922" s="476" t="s">
        <v>34</v>
      </c>
      <c r="F2922" s="475" t="s">
        <v>34</v>
      </c>
      <c r="G2922" s="364">
        <v>83397</v>
      </c>
      <c r="H2922" s="475" t="s">
        <v>2508</v>
      </c>
      <c r="I2922" s="475" t="s">
        <v>171</v>
      </c>
      <c r="J2922" s="475" t="s">
        <v>140</v>
      </c>
      <c r="K2922" s="365">
        <v>1109.1500000000001</v>
      </c>
      <c r="L2922" s="475" t="s">
        <v>141</v>
      </c>
      <c r="M2922" s="473"/>
    </row>
    <row r="2923" spans="1:13" ht="13.5">
      <c r="A2923" s="475" t="s">
        <v>5453</v>
      </c>
      <c r="B2923" s="475" t="s">
        <v>5454</v>
      </c>
      <c r="C2923" s="475" t="s">
        <v>5480</v>
      </c>
      <c r="D2923" s="475" t="s">
        <v>5481</v>
      </c>
      <c r="E2923" s="476">
        <v>73769</v>
      </c>
      <c r="F2923" s="475" t="s">
        <v>5482</v>
      </c>
      <c r="G2923" s="364" t="s">
        <v>2509</v>
      </c>
      <c r="H2923" s="475" t="s">
        <v>2510</v>
      </c>
      <c r="I2923" s="475" t="s">
        <v>171</v>
      </c>
      <c r="J2923" s="475" t="s">
        <v>140</v>
      </c>
      <c r="K2923" s="365">
        <v>1176.2</v>
      </c>
      <c r="L2923" s="475" t="s">
        <v>141</v>
      </c>
      <c r="M2923" s="473"/>
    </row>
    <row r="2924" spans="1:13" ht="13.5">
      <c r="A2924" s="475" t="s">
        <v>5453</v>
      </c>
      <c r="B2924" s="475" t="s">
        <v>5454</v>
      </c>
      <c r="C2924" s="475" t="s">
        <v>5480</v>
      </c>
      <c r="D2924" s="475" t="s">
        <v>5481</v>
      </c>
      <c r="E2924" s="476">
        <v>73769</v>
      </c>
      <c r="F2924" s="475" t="s">
        <v>5482</v>
      </c>
      <c r="G2924" s="364" t="s">
        <v>2511</v>
      </c>
      <c r="H2924" s="475" t="s">
        <v>2512</v>
      </c>
      <c r="I2924" s="475" t="s">
        <v>171</v>
      </c>
      <c r="J2924" s="475" t="s">
        <v>140</v>
      </c>
      <c r="K2924" s="365">
        <v>1177.71</v>
      </c>
      <c r="L2924" s="475" t="s">
        <v>141</v>
      </c>
      <c r="M2924" s="473"/>
    </row>
    <row r="2925" spans="1:13" ht="13.5">
      <c r="A2925" s="475" t="s">
        <v>5453</v>
      </c>
      <c r="B2925" s="475" t="s">
        <v>5454</v>
      </c>
      <c r="C2925" s="475" t="s">
        <v>5480</v>
      </c>
      <c r="D2925" s="475" t="s">
        <v>5481</v>
      </c>
      <c r="E2925" s="476">
        <v>73769</v>
      </c>
      <c r="F2925" s="475" t="s">
        <v>5482</v>
      </c>
      <c r="G2925" s="364" t="s">
        <v>2513</v>
      </c>
      <c r="H2925" s="475" t="s">
        <v>2514</v>
      </c>
      <c r="I2925" s="475" t="s">
        <v>171</v>
      </c>
      <c r="J2925" s="475" t="s">
        <v>140</v>
      </c>
      <c r="K2925" s="365">
        <v>1213.6600000000001</v>
      </c>
      <c r="L2925" s="475" t="s">
        <v>141</v>
      </c>
      <c r="M2925" s="473"/>
    </row>
    <row r="2926" spans="1:13" ht="13.5">
      <c r="A2926" s="475" t="s">
        <v>5453</v>
      </c>
      <c r="B2926" s="475" t="s">
        <v>5454</v>
      </c>
      <c r="C2926" s="475" t="s">
        <v>5480</v>
      </c>
      <c r="D2926" s="475" t="s">
        <v>5481</v>
      </c>
      <c r="E2926" s="476">
        <v>73769</v>
      </c>
      <c r="F2926" s="475" t="s">
        <v>5482</v>
      </c>
      <c r="G2926" s="364" t="s">
        <v>2515</v>
      </c>
      <c r="H2926" s="475" t="s">
        <v>6520</v>
      </c>
      <c r="I2926" s="475" t="s">
        <v>171</v>
      </c>
      <c r="J2926" s="475" t="s">
        <v>140</v>
      </c>
      <c r="K2926" s="365">
        <v>1224.8599999999999</v>
      </c>
      <c r="L2926" s="475" t="s">
        <v>141</v>
      </c>
      <c r="M2926" s="473"/>
    </row>
    <row r="2927" spans="1:13" ht="13.5">
      <c r="A2927" s="475" t="s">
        <v>5453</v>
      </c>
      <c r="B2927" s="475" t="s">
        <v>5454</v>
      </c>
      <c r="C2927" s="475" t="s">
        <v>5480</v>
      </c>
      <c r="D2927" s="475" t="s">
        <v>5481</v>
      </c>
      <c r="E2927" s="476">
        <v>73855</v>
      </c>
      <c r="F2927" s="475" t="s">
        <v>5483</v>
      </c>
      <c r="G2927" s="364" t="s">
        <v>2516</v>
      </c>
      <c r="H2927" s="475" t="s">
        <v>2517</v>
      </c>
      <c r="I2927" s="475" t="s">
        <v>171</v>
      </c>
      <c r="J2927" s="475" t="s">
        <v>337</v>
      </c>
      <c r="K2927" s="365">
        <v>914.76</v>
      </c>
      <c r="L2927" s="475" t="s">
        <v>141</v>
      </c>
      <c r="M2927" s="473"/>
    </row>
    <row r="2928" spans="1:13" ht="13.5">
      <c r="A2928" s="475" t="s">
        <v>5453</v>
      </c>
      <c r="B2928" s="475" t="s">
        <v>5454</v>
      </c>
      <c r="C2928" s="475" t="s">
        <v>5484</v>
      </c>
      <c r="D2928" s="475" t="s">
        <v>5485</v>
      </c>
      <c r="E2928" s="476" t="s">
        <v>34</v>
      </c>
      <c r="F2928" s="475" t="s">
        <v>34</v>
      </c>
      <c r="G2928" s="364">
        <v>72281</v>
      </c>
      <c r="H2928" s="475" t="s">
        <v>2518</v>
      </c>
      <c r="I2928" s="475" t="s">
        <v>171</v>
      </c>
      <c r="J2928" s="475" t="s">
        <v>140</v>
      </c>
      <c r="K2928" s="365">
        <v>102.76</v>
      </c>
      <c r="L2928" s="475" t="s">
        <v>141</v>
      </c>
      <c r="M2928" s="473"/>
    </row>
    <row r="2929" spans="1:13" ht="13.5">
      <c r="A2929" s="475" t="s">
        <v>5453</v>
      </c>
      <c r="B2929" s="475" t="s">
        <v>5454</v>
      </c>
      <c r="C2929" s="475" t="s">
        <v>5484</v>
      </c>
      <c r="D2929" s="475" t="s">
        <v>5485</v>
      </c>
      <c r="E2929" s="476" t="s">
        <v>34</v>
      </c>
      <c r="F2929" s="475" t="s">
        <v>34</v>
      </c>
      <c r="G2929" s="364">
        <v>72282</v>
      </c>
      <c r="H2929" s="475" t="s">
        <v>2519</v>
      </c>
      <c r="I2929" s="475" t="s">
        <v>171</v>
      </c>
      <c r="J2929" s="475" t="s">
        <v>140</v>
      </c>
      <c r="K2929" s="365">
        <v>139.85</v>
      </c>
      <c r="L2929" s="475" t="s">
        <v>141</v>
      </c>
      <c r="M2929" s="473"/>
    </row>
    <row r="2930" spans="1:13" ht="13.5">
      <c r="A2930" s="475" t="s">
        <v>5453</v>
      </c>
      <c r="B2930" s="475" t="s">
        <v>5454</v>
      </c>
      <c r="C2930" s="475" t="s">
        <v>5484</v>
      </c>
      <c r="D2930" s="475" t="s">
        <v>5485</v>
      </c>
      <c r="E2930" s="476">
        <v>73831</v>
      </c>
      <c r="F2930" s="475" t="s">
        <v>5486</v>
      </c>
      <c r="G2930" s="364" t="s">
        <v>2520</v>
      </c>
      <c r="H2930" s="475" t="s">
        <v>2521</v>
      </c>
      <c r="I2930" s="475" t="s">
        <v>171</v>
      </c>
      <c r="J2930" s="475" t="s">
        <v>140</v>
      </c>
      <c r="K2930" s="365">
        <v>32.39</v>
      </c>
      <c r="L2930" s="475" t="s">
        <v>141</v>
      </c>
      <c r="M2930" s="473"/>
    </row>
    <row r="2931" spans="1:13" ht="13.5">
      <c r="A2931" s="475" t="s">
        <v>5453</v>
      </c>
      <c r="B2931" s="475" t="s">
        <v>5454</v>
      </c>
      <c r="C2931" s="475" t="s">
        <v>5484</v>
      </c>
      <c r="D2931" s="475" t="s">
        <v>5485</v>
      </c>
      <c r="E2931" s="476">
        <v>73831</v>
      </c>
      <c r="F2931" s="475" t="s">
        <v>5486</v>
      </c>
      <c r="G2931" s="364" t="s">
        <v>2522</v>
      </c>
      <c r="H2931" s="475" t="s">
        <v>2523</v>
      </c>
      <c r="I2931" s="475" t="s">
        <v>171</v>
      </c>
      <c r="J2931" s="475" t="s">
        <v>140</v>
      </c>
      <c r="K2931" s="365">
        <v>42.78</v>
      </c>
      <c r="L2931" s="475" t="s">
        <v>141</v>
      </c>
      <c r="M2931" s="473"/>
    </row>
    <row r="2932" spans="1:13" ht="13.5">
      <c r="A2932" s="475" t="s">
        <v>5453</v>
      </c>
      <c r="B2932" s="475" t="s">
        <v>5454</v>
      </c>
      <c r="C2932" s="475" t="s">
        <v>5484</v>
      </c>
      <c r="D2932" s="475" t="s">
        <v>5485</v>
      </c>
      <c r="E2932" s="476">
        <v>73831</v>
      </c>
      <c r="F2932" s="475" t="s">
        <v>5486</v>
      </c>
      <c r="G2932" s="364" t="s">
        <v>2524</v>
      </c>
      <c r="H2932" s="475" t="s">
        <v>2525</v>
      </c>
      <c r="I2932" s="475" t="s">
        <v>171</v>
      </c>
      <c r="J2932" s="475" t="s">
        <v>140</v>
      </c>
      <c r="K2932" s="365">
        <v>20.85</v>
      </c>
      <c r="L2932" s="475" t="s">
        <v>141</v>
      </c>
      <c r="M2932" s="473"/>
    </row>
    <row r="2933" spans="1:13" ht="13.5">
      <c r="A2933" s="475" t="s">
        <v>5453</v>
      </c>
      <c r="B2933" s="475" t="s">
        <v>5454</v>
      </c>
      <c r="C2933" s="475" t="s">
        <v>5484</v>
      </c>
      <c r="D2933" s="475" t="s">
        <v>5485</v>
      </c>
      <c r="E2933" s="476">
        <v>73831</v>
      </c>
      <c r="F2933" s="475" t="s">
        <v>5486</v>
      </c>
      <c r="G2933" s="364" t="s">
        <v>2526</v>
      </c>
      <c r="H2933" s="475" t="s">
        <v>2527</v>
      </c>
      <c r="I2933" s="475" t="s">
        <v>171</v>
      </c>
      <c r="J2933" s="475" t="s">
        <v>140</v>
      </c>
      <c r="K2933" s="365">
        <v>27.03</v>
      </c>
      <c r="L2933" s="475" t="s">
        <v>141</v>
      </c>
      <c r="M2933" s="473"/>
    </row>
    <row r="2934" spans="1:13" ht="13.5">
      <c r="A2934" s="475" t="s">
        <v>5453</v>
      </c>
      <c r="B2934" s="475" t="s">
        <v>5454</v>
      </c>
      <c r="C2934" s="475" t="s">
        <v>5484</v>
      </c>
      <c r="D2934" s="475" t="s">
        <v>5485</v>
      </c>
      <c r="E2934" s="476">
        <v>73831</v>
      </c>
      <c r="F2934" s="475" t="s">
        <v>5486</v>
      </c>
      <c r="G2934" s="364" t="s">
        <v>2528</v>
      </c>
      <c r="H2934" s="475" t="s">
        <v>2529</v>
      </c>
      <c r="I2934" s="475" t="s">
        <v>171</v>
      </c>
      <c r="J2934" s="475" t="s">
        <v>140</v>
      </c>
      <c r="K2934" s="365">
        <v>47.97</v>
      </c>
      <c r="L2934" s="475" t="s">
        <v>141</v>
      </c>
      <c r="M2934" s="473"/>
    </row>
    <row r="2935" spans="1:13" ht="13.5">
      <c r="A2935" s="475" t="s">
        <v>5453</v>
      </c>
      <c r="B2935" s="475" t="s">
        <v>5454</v>
      </c>
      <c r="C2935" s="475" t="s">
        <v>5484</v>
      </c>
      <c r="D2935" s="475" t="s">
        <v>5485</v>
      </c>
      <c r="E2935" s="476">
        <v>73831</v>
      </c>
      <c r="F2935" s="475" t="s">
        <v>5486</v>
      </c>
      <c r="G2935" s="364" t="s">
        <v>2530</v>
      </c>
      <c r="H2935" s="475" t="s">
        <v>2531</v>
      </c>
      <c r="I2935" s="475" t="s">
        <v>171</v>
      </c>
      <c r="J2935" s="475" t="s">
        <v>140</v>
      </c>
      <c r="K2935" s="365">
        <v>38.520000000000003</v>
      </c>
      <c r="L2935" s="475" t="s">
        <v>141</v>
      </c>
      <c r="M2935" s="473"/>
    </row>
    <row r="2936" spans="1:13" ht="13.5">
      <c r="A2936" s="475" t="s">
        <v>5453</v>
      </c>
      <c r="B2936" s="475" t="s">
        <v>5454</v>
      </c>
      <c r="C2936" s="475" t="s">
        <v>5484</v>
      </c>
      <c r="D2936" s="475" t="s">
        <v>5485</v>
      </c>
      <c r="E2936" s="476">
        <v>73831</v>
      </c>
      <c r="F2936" s="475" t="s">
        <v>5486</v>
      </c>
      <c r="G2936" s="364" t="s">
        <v>2532</v>
      </c>
      <c r="H2936" s="475" t="s">
        <v>2533</v>
      </c>
      <c r="I2936" s="475" t="s">
        <v>171</v>
      </c>
      <c r="J2936" s="475" t="s">
        <v>140</v>
      </c>
      <c r="K2936" s="365">
        <v>43.94</v>
      </c>
      <c r="L2936" s="475" t="s">
        <v>141</v>
      </c>
      <c r="M2936" s="473"/>
    </row>
    <row r="2937" spans="1:13" ht="13.5">
      <c r="A2937" s="475" t="s">
        <v>5453</v>
      </c>
      <c r="B2937" s="475" t="s">
        <v>5454</v>
      </c>
      <c r="C2937" s="475" t="s">
        <v>5484</v>
      </c>
      <c r="D2937" s="475" t="s">
        <v>5485</v>
      </c>
      <c r="E2937" s="476">
        <v>73831</v>
      </c>
      <c r="F2937" s="475" t="s">
        <v>5486</v>
      </c>
      <c r="G2937" s="364" t="s">
        <v>2534</v>
      </c>
      <c r="H2937" s="475" t="s">
        <v>2535</v>
      </c>
      <c r="I2937" s="475" t="s">
        <v>171</v>
      </c>
      <c r="J2937" s="475" t="s">
        <v>140</v>
      </c>
      <c r="K2937" s="365">
        <v>50.59</v>
      </c>
      <c r="L2937" s="475" t="s">
        <v>141</v>
      </c>
      <c r="M2937" s="473"/>
    </row>
    <row r="2938" spans="1:13" ht="13.5">
      <c r="A2938" s="475" t="s">
        <v>5453</v>
      </c>
      <c r="B2938" s="475" t="s">
        <v>5454</v>
      </c>
      <c r="C2938" s="475" t="s">
        <v>5484</v>
      </c>
      <c r="D2938" s="475" t="s">
        <v>5485</v>
      </c>
      <c r="E2938" s="476">
        <v>74231</v>
      </c>
      <c r="F2938" s="475" t="s">
        <v>5487</v>
      </c>
      <c r="G2938" s="364" t="s">
        <v>2536</v>
      </c>
      <c r="H2938" s="475" t="s">
        <v>2537</v>
      </c>
      <c r="I2938" s="475" t="s">
        <v>171</v>
      </c>
      <c r="J2938" s="475" t="s">
        <v>140</v>
      </c>
      <c r="K2938" s="365">
        <v>127.25</v>
      </c>
      <c r="L2938" s="475" t="s">
        <v>141</v>
      </c>
      <c r="M2938" s="473"/>
    </row>
    <row r="2939" spans="1:13" ht="13.5">
      <c r="A2939" s="475" t="s">
        <v>5453</v>
      </c>
      <c r="B2939" s="475" t="s">
        <v>5454</v>
      </c>
      <c r="C2939" s="475" t="s">
        <v>5484</v>
      </c>
      <c r="D2939" s="475" t="s">
        <v>5485</v>
      </c>
      <c r="E2939" s="476">
        <v>74246</v>
      </c>
      <c r="F2939" s="475" t="s">
        <v>5488</v>
      </c>
      <c r="G2939" s="364" t="s">
        <v>2538</v>
      </c>
      <c r="H2939" s="475" t="s">
        <v>2539</v>
      </c>
      <c r="I2939" s="475" t="s">
        <v>171</v>
      </c>
      <c r="J2939" s="475" t="s">
        <v>140</v>
      </c>
      <c r="K2939" s="365">
        <v>261.19</v>
      </c>
      <c r="L2939" s="475" t="s">
        <v>141</v>
      </c>
      <c r="M2939" s="473"/>
    </row>
    <row r="2940" spans="1:13" ht="13.5">
      <c r="A2940" s="475" t="s">
        <v>5453</v>
      </c>
      <c r="B2940" s="475" t="s">
        <v>5454</v>
      </c>
      <c r="C2940" s="475" t="s">
        <v>5484</v>
      </c>
      <c r="D2940" s="475" t="s">
        <v>5485</v>
      </c>
      <c r="E2940" s="476" t="s">
        <v>34</v>
      </c>
      <c r="F2940" s="475" t="s">
        <v>34</v>
      </c>
      <c r="G2940" s="364">
        <v>83399</v>
      </c>
      <c r="H2940" s="475" t="s">
        <v>2540</v>
      </c>
      <c r="I2940" s="475" t="s">
        <v>171</v>
      </c>
      <c r="J2940" s="475" t="s">
        <v>140</v>
      </c>
      <c r="K2940" s="365">
        <v>29.06</v>
      </c>
      <c r="L2940" s="475" t="s">
        <v>141</v>
      </c>
      <c r="M2940" s="473"/>
    </row>
    <row r="2941" spans="1:13" ht="13.5">
      <c r="A2941" s="475" t="s">
        <v>5453</v>
      </c>
      <c r="B2941" s="475" t="s">
        <v>5454</v>
      </c>
      <c r="C2941" s="475" t="s">
        <v>5484</v>
      </c>
      <c r="D2941" s="475" t="s">
        <v>5485</v>
      </c>
      <c r="E2941" s="476" t="s">
        <v>34</v>
      </c>
      <c r="F2941" s="475" t="s">
        <v>34</v>
      </c>
      <c r="G2941" s="364">
        <v>83400</v>
      </c>
      <c r="H2941" s="475" t="s">
        <v>2541</v>
      </c>
      <c r="I2941" s="475" t="s">
        <v>171</v>
      </c>
      <c r="J2941" s="475" t="s">
        <v>140</v>
      </c>
      <c r="K2941" s="365">
        <v>89.82</v>
      </c>
      <c r="L2941" s="475" t="s">
        <v>141</v>
      </c>
      <c r="M2941" s="473"/>
    </row>
    <row r="2942" spans="1:13" ht="13.5">
      <c r="A2942" s="475" t="s">
        <v>5453</v>
      </c>
      <c r="B2942" s="475" t="s">
        <v>5454</v>
      </c>
      <c r="C2942" s="475" t="s">
        <v>5484</v>
      </c>
      <c r="D2942" s="475" t="s">
        <v>5485</v>
      </c>
      <c r="E2942" s="476" t="s">
        <v>34</v>
      </c>
      <c r="F2942" s="475" t="s">
        <v>34</v>
      </c>
      <c r="G2942" s="364">
        <v>83401</v>
      </c>
      <c r="H2942" s="475" t="s">
        <v>2542</v>
      </c>
      <c r="I2942" s="475" t="s">
        <v>171</v>
      </c>
      <c r="J2942" s="475" t="s">
        <v>140</v>
      </c>
      <c r="K2942" s="365">
        <v>89.82</v>
      </c>
      <c r="L2942" s="475" t="s">
        <v>141</v>
      </c>
      <c r="M2942" s="473"/>
    </row>
    <row r="2943" spans="1:13" ht="13.5">
      <c r="A2943" s="475" t="s">
        <v>5453</v>
      </c>
      <c r="B2943" s="475" t="s">
        <v>5454</v>
      </c>
      <c r="C2943" s="475" t="s">
        <v>5484</v>
      </c>
      <c r="D2943" s="475" t="s">
        <v>5485</v>
      </c>
      <c r="E2943" s="476" t="s">
        <v>34</v>
      </c>
      <c r="F2943" s="475" t="s">
        <v>34</v>
      </c>
      <c r="G2943" s="364">
        <v>83402</v>
      </c>
      <c r="H2943" s="475" t="s">
        <v>2543</v>
      </c>
      <c r="I2943" s="475" t="s">
        <v>171</v>
      </c>
      <c r="J2943" s="475" t="s">
        <v>140</v>
      </c>
      <c r="K2943" s="365">
        <v>49.96</v>
      </c>
      <c r="L2943" s="475" t="s">
        <v>141</v>
      </c>
      <c r="M2943" s="473"/>
    </row>
    <row r="2944" spans="1:13" ht="13.5">
      <c r="A2944" s="475" t="s">
        <v>5453</v>
      </c>
      <c r="B2944" s="475" t="s">
        <v>5454</v>
      </c>
      <c r="C2944" s="475" t="s">
        <v>5484</v>
      </c>
      <c r="D2944" s="475" t="s">
        <v>5485</v>
      </c>
      <c r="E2944" s="476" t="s">
        <v>34</v>
      </c>
      <c r="F2944" s="475" t="s">
        <v>34</v>
      </c>
      <c r="G2944" s="364">
        <v>83475</v>
      </c>
      <c r="H2944" s="475" t="s">
        <v>2544</v>
      </c>
      <c r="I2944" s="475" t="s">
        <v>171</v>
      </c>
      <c r="J2944" s="475" t="s">
        <v>140</v>
      </c>
      <c r="K2944" s="365">
        <v>371.81</v>
      </c>
      <c r="L2944" s="475" t="s">
        <v>141</v>
      </c>
      <c r="M2944" s="473"/>
    </row>
    <row r="2945" spans="1:13" ht="13.5">
      <c r="A2945" s="475" t="s">
        <v>5453</v>
      </c>
      <c r="B2945" s="475" t="s">
        <v>5454</v>
      </c>
      <c r="C2945" s="475" t="s">
        <v>5484</v>
      </c>
      <c r="D2945" s="475" t="s">
        <v>5485</v>
      </c>
      <c r="E2945" s="476" t="s">
        <v>34</v>
      </c>
      <c r="F2945" s="475" t="s">
        <v>34</v>
      </c>
      <c r="G2945" s="364">
        <v>83478</v>
      </c>
      <c r="H2945" s="475" t="s">
        <v>2545</v>
      </c>
      <c r="I2945" s="475" t="s">
        <v>171</v>
      </c>
      <c r="J2945" s="475" t="s">
        <v>140</v>
      </c>
      <c r="K2945" s="365">
        <v>261.27</v>
      </c>
      <c r="L2945" s="475" t="s">
        <v>141</v>
      </c>
      <c r="M2945" s="473"/>
    </row>
    <row r="2946" spans="1:13" ht="13.5">
      <c r="A2946" s="475" t="s">
        <v>5453</v>
      </c>
      <c r="B2946" s="475" t="s">
        <v>5454</v>
      </c>
      <c r="C2946" s="475" t="s">
        <v>5484</v>
      </c>
      <c r="D2946" s="475" t="s">
        <v>5485</v>
      </c>
      <c r="E2946" s="476" t="s">
        <v>34</v>
      </c>
      <c r="F2946" s="475" t="s">
        <v>34</v>
      </c>
      <c r="G2946" s="364">
        <v>83479</v>
      </c>
      <c r="H2946" s="475" t="s">
        <v>2546</v>
      </c>
      <c r="I2946" s="475" t="s">
        <v>171</v>
      </c>
      <c r="J2946" s="475" t="s">
        <v>140</v>
      </c>
      <c r="K2946" s="365">
        <v>105</v>
      </c>
      <c r="L2946" s="475" t="s">
        <v>141</v>
      </c>
      <c r="M2946" s="473"/>
    </row>
    <row r="2947" spans="1:13" ht="13.5">
      <c r="A2947" s="475" t="s">
        <v>5453</v>
      </c>
      <c r="B2947" s="475" t="s">
        <v>5454</v>
      </c>
      <c r="C2947" s="475" t="s">
        <v>5484</v>
      </c>
      <c r="D2947" s="475" t="s">
        <v>5485</v>
      </c>
      <c r="E2947" s="476" t="s">
        <v>34</v>
      </c>
      <c r="F2947" s="475" t="s">
        <v>34</v>
      </c>
      <c r="G2947" s="364">
        <v>83480</v>
      </c>
      <c r="H2947" s="475" t="s">
        <v>2547</v>
      </c>
      <c r="I2947" s="475" t="s">
        <v>171</v>
      </c>
      <c r="J2947" s="475" t="s">
        <v>140</v>
      </c>
      <c r="K2947" s="365">
        <v>82.37</v>
      </c>
      <c r="L2947" s="475" t="s">
        <v>141</v>
      </c>
      <c r="M2947" s="473"/>
    </row>
    <row r="2948" spans="1:13" ht="13.5">
      <c r="A2948" s="475" t="s">
        <v>5453</v>
      </c>
      <c r="B2948" s="475" t="s">
        <v>5454</v>
      </c>
      <c r="C2948" s="475" t="s">
        <v>5484</v>
      </c>
      <c r="D2948" s="475" t="s">
        <v>5485</v>
      </c>
      <c r="E2948" s="476" t="s">
        <v>34</v>
      </c>
      <c r="F2948" s="475" t="s">
        <v>34</v>
      </c>
      <c r="G2948" s="364">
        <v>83481</v>
      </c>
      <c r="H2948" s="475" t="s">
        <v>2548</v>
      </c>
      <c r="I2948" s="475" t="s">
        <v>171</v>
      </c>
      <c r="J2948" s="475" t="s">
        <v>140</v>
      </c>
      <c r="K2948" s="365">
        <v>92.87</v>
      </c>
      <c r="L2948" s="475" t="s">
        <v>141</v>
      </c>
      <c r="M2948" s="473"/>
    </row>
    <row r="2949" spans="1:13" ht="13.5">
      <c r="A2949" s="475" t="s">
        <v>5453</v>
      </c>
      <c r="B2949" s="475" t="s">
        <v>5454</v>
      </c>
      <c r="C2949" s="475" t="s">
        <v>5484</v>
      </c>
      <c r="D2949" s="475" t="s">
        <v>5485</v>
      </c>
      <c r="E2949" s="476" t="s">
        <v>34</v>
      </c>
      <c r="F2949" s="475" t="s">
        <v>34</v>
      </c>
      <c r="G2949" s="364">
        <v>97600</v>
      </c>
      <c r="H2949" s="475" t="s">
        <v>5999</v>
      </c>
      <c r="I2949" s="475" t="s">
        <v>171</v>
      </c>
      <c r="J2949" s="475" t="s">
        <v>140</v>
      </c>
      <c r="K2949" s="365">
        <v>232.86</v>
      </c>
      <c r="L2949" s="475" t="s">
        <v>141</v>
      </c>
      <c r="M2949" s="473"/>
    </row>
    <row r="2950" spans="1:13" ht="13.5">
      <c r="A2950" s="475" t="s">
        <v>5453</v>
      </c>
      <c r="B2950" s="475" t="s">
        <v>5454</v>
      </c>
      <c r="C2950" s="475" t="s">
        <v>5484</v>
      </c>
      <c r="D2950" s="475" t="s">
        <v>5485</v>
      </c>
      <c r="E2950" s="476" t="s">
        <v>34</v>
      </c>
      <c r="F2950" s="475" t="s">
        <v>34</v>
      </c>
      <c r="G2950" s="364">
        <v>97601</v>
      </c>
      <c r="H2950" s="475" t="s">
        <v>6000</v>
      </c>
      <c r="I2950" s="475" t="s">
        <v>171</v>
      </c>
      <c r="J2950" s="475" t="s">
        <v>140</v>
      </c>
      <c r="K2950" s="365">
        <v>245.37</v>
      </c>
      <c r="L2950" s="475" t="s">
        <v>141</v>
      </c>
      <c r="M2950" s="473"/>
    </row>
    <row r="2951" spans="1:13" ht="13.5">
      <c r="A2951" s="475" t="s">
        <v>5453</v>
      </c>
      <c r="B2951" s="475" t="s">
        <v>5454</v>
      </c>
      <c r="C2951" s="475" t="s">
        <v>5484</v>
      </c>
      <c r="D2951" s="475" t="s">
        <v>5485</v>
      </c>
      <c r="E2951" s="476" t="s">
        <v>34</v>
      </c>
      <c r="F2951" s="475" t="s">
        <v>34</v>
      </c>
      <c r="G2951" s="364">
        <v>97605</v>
      </c>
      <c r="H2951" s="475" t="s">
        <v>6001</v>
      </c>
      <c r="I2951" s="475" t="s">
        <v>171</v>
      </c>
      <c r="J2951" s="475" t="s">
        <v>140</v>
      </c>
      <c r="K2951" s="365">
        <v>65.47</v>
      </c>
      <c r="L2951" s="475" t="s">
        <v>141</v>
      </c>
      <c r="M2951" s="473"/>
    </row>
    <row r="2952" spans="1:13" ht="13.5">
      <c r="A2952" s="475" t="s">
        <v>5453</v>
      </c>
      <c r="B2952" s="475" t="s">
        <v>5454</v>
      </c>
      <c r="C2952" s="475" t="s">
        <v>5484</v>
      </c>
      <c r="D2952" s="475" t="s">
        <v>5485</v>
      </c>
      <c r="E2952" s="476" t="s">
        <v>34</v>
      </c>
      <c r="F2952" s="475" t="s">
        <v>34</v>
      </c>
      <c r="G2952" s="364">
        <v>97606</v>
      </c>
      <c r="H2952" s="475" t="s">
        <v>6002</v>
      </c>
      <c r="I2952" s="475" t="s">
        <v>171</v>
      </c>
      <c r="J2952" s="475" t="s">
        <v>140</v>
      </c>
      <c r="K2952" s="365">
        <v>53.88</v>
      </c>
      <c r="L2952" s="475" t="s">
        <v>141</v>
      </c>
      <c r="M2952" s="473"/>
    </row>
    <row r="2953" spans="1:13" ht="13.5">
      <c r="A2953" s="475" t="s">
        <v>5453</v>
      </c>
      <c r="B2953" s="475" t="s">
        <v>5454</v>
      </c>
      <c r="C2953" s="475" t="s">
        <v>5484</v>
      </c>
      <c r="D2953" s="475" t="s">
        <v>5485</v>
      </c>
      <c r="E2953" s="476" t="s">
        <v>34</v>
      </c>
      <c r="F2953" s="475" t="s">
        <v>34</v>
      </c>
      <c r="G2953" s="364">
        <v>97607</v>
      </c>
      <c r="H2953" s="475" t="s">
        <v>6003</v>
      </c>
      <c r="I2953" s="475" t="s">
        <v>171</v>
      </c>
      <c r="J2953" s="475" t="s">
        <v>140</v>
      </c>
      <c r="K2953" s="365">
        <v>75.040000000000006</v>
      </c>
      <c r="L2953" s="475" t="s">
        <v>141</v>
      </c>
      <c r="M2953" s="473"/>
    </row>
    <row r="2954" spans="1:13" ht="13.5">
      <c r="A2954" s="475" t="s">
        <v>5453</v>
      </c>
      <c r="B2954" s="475" t="s">
        <v>5454</v>
      </c>
      <c r="C2954" s="475" t="s">
        <v>5484</v>
      </c>
      <c r="D2954" s="475" t="s">
        <v>5485</v>
      </c>
      <c r="E2954" s="476" t="s">
        <v>34</v>
      </c>
      <c r="F2954" s="475" t="s">
        <v>34</v>
      </c>
      <c r="G2954" s="364">
        <v>97608</v>
      </c>
      <c r="H2954" s="475" t="s">
        <v>6004</v>
      </c>
      <c r="I2954" s="475" t="s">
        <v>171</v>
      </c>
      <c r="J2954" s="475" t="s">
        <v>140</v>
      </c>
      <c r="K2954" s="365">
        <v>63.45</v>
      </c>
      <c r="L2954" s="475" t="s">
        <v>141</v>
      </c>
      <c r="M2954" s="473"/>
    </row>
    <row r="2955" spans="1:13" ht="13.5">
      <c r="A2955" s="475" t="s">
        <v>5453</v>
      </c>
      <c r="B2955" s="475" t="s">
        <v>5454</v>
      </c>
      <c r="C2955" s="475" t="s">
        <v>5489</v>
      </c>
      <c r="D2955" s="475" t="s">
        <v>5490</v>
      </c>
      <c r="E2955" s="476">
        <v>73857</v>
      </c>
      <c r="F2955" s="475" t="s">
        <v>5491</v>
      </c>
      <c r="G2955" s="364" t="s">
        <v>2549</v>
      </c>
      <c r="H2955" s="475" t="s">
        <v>2550</v>
      </c>
      <c r="I2955" s="475" t="s">
        <v>171</v>
      </c>
      <c r="J2955" s="475" t="s">
        <v>140</v>
      </c>
      <c r="K2955" s="365">
        <v>6573.68</v>
      </c>
      <c r="L2955" s="475" t="s">
        <v>141</v>
      </c>
      <c r="M2955" s="473"/>
    </row>
    <row r="2956" spans="1:13" ht="13.5">
      <c r="A2956" s="475" t="s">
        <v>5453</v>
      </c>
      <c r="B2956" s="475" t="s">
        <v>5454</v>
      </c>
      <c r="C2956" s="475" t="s">
        <v>5489</v>
      </c>
      <c r="D2956" s="475" t="s">
        <v>5490</v>
      </c>
      <c r="E2956" s="476">
        <v>73857</v>
      </c>
      <c r="F2956" s="475" t="s">
        <v>5491</v>
      </c>
      <c r="G2956" s="364" t="s">
        <v>2551</v>
      </c>
      <c r="H2956" s="475" t="s">
        <v>2552</v>
      </c>
      <c r="I2956" s="475" t="s">
        <v>171</v>
      </c>
      <c r="J2956" s="475" t="s">
        <v>140</v>
      </c>
      <c r="K2956" s="365">
        <v>8123.59</v>
      </c>
      <c r="L2956" s="475" t="s">
        <v>141</v>
      </c>
      <c r="M2956" s="473"/>
    </row>
    <row r="2957" spans="1:13" ht="13.5">
      <c r="A2957" s="475" t="s">
        <v>5453</v>
      </c>
      <c r="B2957" s="475" t="s">
        <v>5454</v>
      </c>
      <c r="C2957" s="475" t="s">
        <v>5489</v>
      </c>
      <c r="D2957" s="475" t="s">
        <v>5490</v>
      </c>
      <c r="E2957" s="476">
        <v>73857</v>
      </c>
      <c r="F2957" s="475" t="s">
        <v>5491</v>
      </c>
      <c r="G2957" s="364" t="s">
        <v>2553</v>
      </c>
      <c r="H2957" s="475" t="s">
        <v>2554</v>
      </c>
      <c r="I2957" s="475" t="s">
        <v>171</v>
      </c>
      <c r="J2957" s="475" t="s">
        <v>140</v>
      </c>
      <c r="K2957" s="365">
        <v>10240.6</v>
      </c>
      <c r="L2957" s="475" t="s">
        <v>141</v>
      </c>
      <c r="M2957" s="473"/>
    </row>
    <row r="2958" spans="1:13" ht="13.5">
      <c r="A2958" s="475" t="s">
        <v>5453</v>
      </c>
      <c r="B2958" s="475" t="s">
        <v>5454</v>
      </c>
      <c r="C2958" s="475" t="s">
        <v>5489</v>
      </c>
      <c r="D2958" s="475" t="s">
        <v>5490</v>
      </c>
      <c r="E2958" s="476">
        <v>73857</v>
      </c>
      <c r="F2958" s="475" t="s">
        <v>5491</v>
      </c>
      <c r="G2958" s="364" t="s">
        <v>2555</v>
      </c>
      <c r="H2958" s="475" t="s">
        <v>2556</v>
      </c>
      <c r="I2958" s="475" t="s">
        <v>171</v>
      </c>
      <c r="J2958" s="475" t="s">
        <v>140</v>
      </c>
      <c r="K2958" s="365">
        <v>14342.08</v>
      </c>
      <c r="L2958" s="475" t="s">
        <v>141</v>
      </c>
      <c r="M2958" s="473"/>
    </row>
    <row r="2959" spans="1:13" ht="13.5">
      <c r="A2959" s="475" t="s">
        <v>5453</v>
      </c>
      <c r="B2959" s="475" t="s">
        <v>5454</v>
      </c>
      <c r="C2959" s="475" t="s">
        <v>5489</v>
      </c>
      <c r="D2959" s="475" t="s">
        <v>5490</v>
      </c>
      <c r="E2959" s="476">
        <v>73857</v>
      </c>
      <c r="F2959" s="475" t="s">
        <v>5491</v>
      </c>
      <c r="G2959" s="364" t="s">
        <v>2557</v>
      </c>
      <c r="H2959" s="475" t="s">
        <v>2558</v>
      </c>
      <c r="I2959" s="475" t="s">
        <v>171</v>
      </c>
      <c r="J2959" s="475" t="s">
        <v>140</v>
      </c>
      <c r="K2959" s="365">
        <v>16729.61</v>
      </c>
      <c r="L2959" s="475" t="s">
        <v>141</v>
      </c>
      <c r="M2959" s="473"/>
    </row>
    <row r="2960" spans="1:13" ht="13.5">
      <c r="A2960" s="475" t="s">
        <v>5453</v>
      </c>
      <c r="B2960" s="475" t="s">
        <v>5454</v>
      </c>
      <c r="C2960" s="475" t="s">
        <v>5489</v>
      </c>
      <c r="D2960" s="475" t="s">
        <v>5490</v>
      </c>
      <c r="E2960" s="476">
        <v>73857</v>
      </c>
      <c r="F2960" s="475" t="s">
        <v>5491</v>
      </c>
      <c r="G2960" s="364" t="s">
        <v>2559</v>
      </c>
      <c r="H2960" s="475" t="s">
        <v>2560</v>
      </c>
      <c r="I2960" s="475" t="s">
        <v>171</v>
      </c>
      <c r="J2960" s="475" t="s">
        <v>140</v>
      </c>
      <c r="K2960" s="365">
        <v>27231.46</v>
      </c>
      <c r="L2960" s="475" t="s">
        <v>141</v>
      </c>
      <c r="M2960" s="473"/>
    </row>
    <row r="2961" spans="1:13" ht="13.5">
      <c r="A2961" s="475" t="s">
        <v>5453</v>
      </c>
      <c r="B2961" s="475" t="s">
        <v>5454</v>
      </c>
      <c r="C2961" s="475" t="s">
        <v>5489</v>
      </c>
      <c r="D2961" s="475" t="s">
        <v>5490</v>
      </c>
      <c r="E2961" s="476">
        <v>73857</v>
      </c>
      <c r="F2961" s="475" t="s">
        <v>5491</v>
      </c>
      <c r="G2961" s="364" t="s">
        <v>2561</v>
      </c>
      <c r="H2961" s="475" t="s">
        <v>2562</v>
      </c>
      <c r="I2961" s="475" t="s">
        <v>171</v>
      </c>
      <c r="J2961" s="475" t="s">
        <v>140</v>
      </c>
      <c r="K2961" s="365">
        <v>4537.99</v>
      </c>
      <c r="L2961" s="475" t="s">
        <v>141</v>
      </c>
      <c r="M2961" s="473"/>
    </row>
    <row r="2962" spans="1:13" ht="13.5">
      <c r="A2962" s="475" t="s">
        <v>5453</v>
      </c>
      <c r="B2962" s="475" t="s">
        <v>5454</v>
      </c>
      <c r="C2962" s="475" t="s">
        <v>5489</v>
      </c>
      <c r="D2962" s="475" t="s">
        <v>5490</v>
      </c>
      <c r="E2962" s="476">
        <v>73857</v>
      </c>
      <c r="F2962" s="475" t="s">
        <v>5491</v>
      </c>
      <c r="G2962" s="364" t="s">
        <v>2563</v>
      </c>
      <c r="H2962" s="475" t="s">
        <v>2564</v>
      </c>
      <c r="I2962" s="475" t="s">
        <v>171</v>
      </c>
      <c r="J2962" s="475" t="s">
        <v>140</v>
      </c>
      <c r="K2962" s="365">
        <v>5081.71</v>
      </c>
      <c r="L2962" s="475" t="s">
        <v>141</v>
      </c>
      <c r="M2962" s="473"/>
    </row>
    <row r="2963" spans="1:13" ht="13.5">
      <c r="A2963" s="475" t="s">
        <v>5453</v>
      </c>
      <c r="B2963" s="475" t="s">
        <v>5454</v>
      </c>
      <c r="C2963" s="475" t="s">
        <v>5489</v>
      </c>
      <c r="D2963" s="475" t="s">
        <v>5490</v>
      </c>
      <c r="E2963" s="476">
        <v>73857</v>
      </c>
      <c r="F2963" s="475" t="s">
        <v>5491</v>
      </c>
      <c r="G2963" s="364" t="s">
        <v>2565</v>
      </c>
      <c r="H2963" s="475" t="s">
        <v>2566</v>
      </c>
      <c r="I2963" s="475" t="s">
        <v>171</v>
      </c>
      <c r="J2963" s="475" t="s">
        <v>140</v>
      </c>
      <c r="K2963" s="365">
        <v>37312.92</v>
      </c>
      <c r="L2963" s="475" t="s">
        <v>141</v>
      </c>
      <c r="M2963" s="473"/>
    </row>
    <row r="2964" spans="1:13" ht="13.5">
      <c r="A2964" s="475" t="s">
        <v>5453</v>
      </c>
      <c r="B2964" s="475" t="s">
        <v>5454</v>
      </c>
      <c r="C2964" s="475" t="s">
        <v>5489</v>
      </c>
      <c r="D2964" s="475" t="s">
        <v>5490</v>
      </c>
      <c r="E2964" s="476">
        <v>73857</v>
      </c>
      <c r="F2964" s="475" t="s">
        <v>5491</v>
      </c>
      <c r="G2964" s="364" t="s">
        <v>2567</v>
      </c>
      <c r="H2964" s="475" t="s">
        <v>2568</v>
      </c>
      <c r="I2964" s="475" t="s">
        <v>171</v>
      </c>
      <c r="J2964" s="475" t="s">
        <v>140</v>
      </c>
      <c r="K2964" s="365">
        <v>52191.97</v>
      </c>
      <c r="L2964" s="475" t="s">
        <v>141</v>
      </c>
      <c r="M2964" s="473"/>
    </row>
    <row r="2965" spans="1:13" ht="13.5">
      <c r="A2965" s="475" t="s">
        <v>5453</v>
      </c>
      <c r="B2965" s="475" t="s">
        <v>5454</v>
      </c>
      <c r="C2965" s="475" t="s">
        <v>5492</v>
      </c>
      <c r="D2965" s="475" t="s">
        <v>5493</v>
      </c>
      <c r="E2965" s="476" t="s">
        <v>34</v>
      </c>
      <c r="F2965" s="475" t="s">
        <v>34</v>
      </c>
      <c r="G2965" s="364">
        <v>93128</v>
      </c>
      <c r="H2965" s="475" t="s">
        <v>2569</v>
      </c>
      <c r="I2965" s="475" t="s">
        <v>171</v>
      </c>
      <c r="J2965" s="475" t="s">
        <v>337</v>
      </c>
      <c r="K2965" s="365">
        <v>104.14</v>
      </c>
      <c r="L2965" s="475" t="s">
        <v>141</v>
      </c>
      <c r="M2965" s="473"/>
    </row>
    <row r="2966" spans="1:13" ht="13.5">
      <c r="A2966" s="475" t="s">
        <v>5453</v>
      </c>
      <c r="B2966" s="475" t="s">
        <v>5454</v>
      </c>
      <c r="C2966" s="475" t="s">
        <v>5492</v>
      </c>
      <c r="D2966" s="475" t="s">
        <v>5493</v>
      </c>
      <c r="E2966" s="476" t="s">
        <v>34</v>
      </c>
      <c r="F2966" s="475" t="s">
        <v>34</v>
      </c>
      <c r="G2966" s="364">
        <v>93137</v>
      </c>
      <c r="H2966" s="475" t="s">
        <v>2570</v>
      </c>
      <c r="I2966" s="475" t="s">
        <v>171</v>
      </c>
      <c r="J2966" s="475" t="s">
        <v>337</v>
      </c>
      <c r="K2966" s="365">
        <v>123.68</v>
      </c>
      <c r="L2966" s="475" t="s">
        <v>141</v>
      </c>
      <c r="M2966" s="473"/>
    </row>
    <row r="2967" spans="1:13" ht="13.5">
      <c r="A2967" s="475" t="s">
        <v>5453</v>
      </c>
      <c r="B2967" s="475" t="s">
        <v>5454</v>
      </c>
      <c r="C2967" s="475" t="s">
        <v>5492</v>
      </c>
      <c r="D2967" s="475" t="s">
        <v>5493</v>
      </c>
      <c r="E2967" s="476" t="s">
        <v>34</v>
      </c>
      <c r="F2967" s="475" t="s">
        <v>34</v>
      </c>
      <c r="G2967" s="364">
        <v>93138</v>
      </c>
      <c r="H2967" s="475" t="s">
        <v>2571</v>
      </c>
      <c r="I2967" s="475" t="s">
        <v>171</v>
      </c>
      <c r="J2967" s="475" t="s">
        <v>337</v>
      </c>
      <c r="K2967" s="365">
        <v>116.9</v>
      </c>
      <c r="L2967" s="475" t="s">
        <v>141</v>
      </c>
      <c r="M2967" s="473"/>
    </row>
    <row r="2968" spans="1:13" ht="13.5">
      <c r="A2968" s="475" t="s">
        <v>5453</v>
      </c>
      <c r="B2968" s="475" t="s">
        <v>5454</v>
      </c>
      <c r="C2968" s="475" t="s">
        <v>5492</v>
      </c>
      <c r="D2968" s="475" t="s">
        <v>5493</v>
      </c>
      <c r="E2968" s="476" t="s">
        <v>34</v>
      </c>
      <c r="F2968" s="475" t="s">
        <v>34</v>
      </c>
      <c r="G2968" s="364">
        <v>93139</v>
      </c>
      <c r="H2968" s="475" t="s">
        <v>2572</v>
      </c>
      <c r="I2968" s="475" t="s">
        <v>171</v>
      </c>
      <c r="J2968" s="475" t="s">
        <v>337</v>
      </c>
      <c r="K2968" s="365">
        <v>149.19</v>
      </c>
      <c r="L2968" s="475" t="s">
        <v>141</v>
      </c>
      <c r="M2968" s="473"/>
    </row>
    <row r="2969" spans="1:13" ht="13.5">
      <c r="A2969" s="475" t="s">
        <v>5453</v>
      </c>
      <c r="B2969" s="475" t="s">
        <v>5454</v>
      </c>
      <c r="C2969" s="475" t="s">
        <v>5492</v>
      </c>
      <c r="D2969" s="475" t="s">
        <v>5493</v>
      </c>
      <c r="E2969" s="476" t="s">
        <v>34</v>
      </c>
      <c r="F2969" s="475" t="s">
        <v>34</v>
      </c>
      <c r="G2969" s="364">
        <v>93140</v>
      </c>
      <c r="H2969" s="475" t="s">
        <v>2573</v>
      </c>
      <c r="I2969" s="475" t="s">
        <v>171</v>
      </c>
      <c r="J2969" s="475" t="s">
        <v>337</v>
      </c>
      <c r="K2969" s="365">
        <v>140.51</v>
      </c>
      <c r="L2969" s="475" t="s">
        <v>141</v>
      </c>
      <c r="M2969" s="473"/>
    </row>
    <row r="2970" spans="1:13" ht="13.5">
      <c r="A2970" s="475" t="s">
        <v>5453</v>
      </c>
      <c r="B2970" s="475" t="s">
        <v>5454</v>
      </c>
      <c r="C2970" s="475" t="s">
        <v>5492</v>
      </c>
      <c r="D2970" s="475" t="s">
        <v>5493</v>
      </c>
      <c r="E2970" s="476" t="s">
        <v>34</v>
      </c>
      <c r="F2970" s="475" t="s">
        <v>34</v>
      </c>
      <c r="G2970" s="364">
        <v>93141</v>
      </c>
      <c r="H2970" s="475" t="s">
        <v>2574</v>
      </c>
      <c r="I2970" s="475" t="s">
        <v>171</v>
      </c>
      <c r="J2970" s="475" t="s">
        <v>337</v>
      </c>
      <c r="K2970" s="365">
        <v>127.06</v>
      </c>
      <c r="L2970" s="475" t="s">
        <v>141</v>
      </c>
      <c r="M2970" s="473"/>
    </row>
    <row r="2971" spans="1:13" ht="13.5">
      <c r="A2971" s="475" t="s">
        <v>5453</v>
      </c>
      <c r="B2971" s="475" t="s">
        <v>5454</v>
      </c>
      <c r="C2971" s="475" t="s">
        <v>5492</v>
      </c>
      <c r="D2971" s="475" t="s">
        <v>5493</v>
      </c>
      <c r="E2971" s="476" t="s">
        <v>34</v>
      </c>
      <c r="F2971" s="475" t="s">
        <v>34</v>
      </c>
      <c r="G2971" s="364">
        <v>93142</v>
      </c>
      <c r="H2971" s="475" t="s">
        <v>2575</v>
      </c>
      <c r="I2971" s="475" t="s">
        <v>171</v>
      </c>
      <c r="J2971" s="475" t="s">
        <v>337</v>
      </c>
      <c r="K2971" s="365">
        <v>142.05000000000001</v>
      </c>
      <c r="L2971" s="475" t="s">
        <v>141</v>
      </c>
      <c r="M2971" s="473"/>
    </row>
    <row r="2972" spans="1:13" ht="13.5">
      <c r="A2972" s="475" t="s">
        <v>5453</v>
      </c>
      <c r="B2972" s="475" t="s">
        <v>5454</v>
      </c>
      <c r="C2972" s="475" t="s">
        <v>5492</v>
      </c>
      <c r="D2972" s="475" t="s">
        <v>5493</v>
      </c>
      <c r="E2972" s="476" t="s">
        <v>34</v>
      </c>
      <c r="F2972" s="475" t="s">
        <v>34</v>
      </c>
      <c r="G2972" s="364">
        <v>93143</v>
      </c>
      <c r="H2972" s="475" t="s">
        <v>2576</v>
      </c>
      <c r="I2972" s="475" t="s">
        <v>171</v>
      </c>
      <c r="J2972" s="475" t="s">
        <v>337</v>
      </c>
      <c r="K2972" s="365">
        <v>128.84</v>
      </c>
      <c r="L2972" s="475" t="s">
        <v>141</v>
      </c>
      <c r="M2972" s="473"/>
    </row>
    <row r="2973" spans="1:13" ht="13.5">
      <c r="A2973" s="475" t="s">
        <v>5453</v>
      </c>
      <c r="B2973" s="475" t="s">
        <v>5454</v>
      </c>
      <c r="C2973" s="475" t="s">
        <v>5492</v>
      </c>
      <c r="D2973" s="475" t="s">
        <v>5493</v>
      </c>
      <c r="E2973" s="476" t="s">
        <v>34</v>
      </c>
      <c r="F2973" s="475" t="s">
        <v>34</v>
      </c>
      <c r="G2973" s="364">
        <v>93144</v>
      </c>
      <c r="H2973" s="475" t="s">
        <v>2577</v>
      </c>
      <c r="I2973" s="475" t="s">
        <v>171</v>
      </c>
      <c r="J2973" s="475" t="s">
        <v>337</v>
      </c>
      <c r="K2973" s="365">
        <v>165.51</v>
      </c>
      <c r="L2973" s="475" t="s">
        <v>141</v>
      </c>
      <c r="M2973" s="473"/>
    </row>
    <row r="2974" spans="1:13" ht="13.5">
      <c r="A2974" s="475" t="s">
        <v>5453</v>
      </c>
      <c r="B2974" s="475" t="s">
        <v>5454</v>
      </c>
      <c r="C2974" s="475" t="s">
        <v>5492</v>
      </c>
      <c r="D2974" s="475" t="s">
        <v>5493</v>
      </c>
      <c r="E2974" s="476" t="s">
        <v>34</v>
      </c>
      <c r="F2974" s="475" t="s">
        <v>34</v>
      </c>
      <c r="G2974" s="364">
        <v>93145</v>
      </c>
      <c r="H2974" s="475" t="s">
        <v>2578</v>
      </c>
      <c r="I2974" s="475" t="s">
        <v>171</v>
      </c>
      <c r="J2974" s="475" t="s">
        <v>337</v>
      </c>
      <c r="K2974" s="365">
        <v>154.77000000000001</v>
      </c>
      <c r="L2974" s="475" t="s">
        <v>141</v>
      </c>
      <c r="M2974" s="473"/>
    </row>
    <row r="2975" spans="1:13" ht="13.5">
      <c r="A2975" s="475" t="s">
        <v>5453</v>
      </c>
      <c r="B2975" s="475" t="s">
        <v>5454</v>
      </c>
      <c r="C2975" s="475" t="s">
        <v>5492</v>
      </c>
      <c r="D2975" s="475" t="s">
        <v>5493</v>
      </c>
      <c r="E2975" s="476" t="s">
        <v>34</v>
      </c>
      <c r="F2975" s="475" t="s">
        <v>34</v>
      </c>
      <c r="G2975" s="364">
        <v>93146</v>
      </c>
      <c r="H2975" s="475" t="s">
        <v>2579</v>
      </c>
      <c r="I2975" s="475" t="s">
        <v>171</v>
      </c>
      <c r="J2975" s="475" t="s">
        <v>337</v>
      </c>
      <c r="K2975" s="365">
        <v>167.54</v>
      </c>
      <c r="L2975" s="475" t="s">
        <v>141</v>
      </c>
      <c r="M2975" s="473"/>
    </row>
    <row r="2976" spans="1:13" ht="13.5">
      <c r="A2976" s="475" t="s">
        <v>5453</v>
      </c>
      <c r="B2976" s="475" t="s">
        <v>5454</v>
      </c>
      <c r="C2976" s="475" t="s">
        <v>5492</v>
      </c>
      <c r="D2976" s="475" t="s">
        <v>5493</v>
      </c>
      <c r="E2976" s="476" t="s">
        <v>34</v>
      </c>
      <c r="F2976" s="475" t="s">
        <v>34</v>
      </c>
      <c r="G2976" s="364">
        <v>93147</v>
      </c>
      <c r="H2976" s="475" t="s">
        <v>2580</v>
      </c>
      <c r="I2976" s="475" t="s">
        <v>171</v>
      </c>
      <c r="J2976" s="475" t="s">
        <v>337</v>
      </c>
      <c r="K2976" s="365">
        <v>191.17</v>
      </c>
      <c r="L2976" s="475" t="s">
        <v>141</v>
      </c>
      <c r="M2976" s="473"/>
    </row>
    <row r="2977" spans="1:13" ht="13.5">
      <c r="A2977" s="475" t="s">
        <v>5453</v>
      </c>
      <c r="B2977" s="475" t="s">
        <v>5454</v>
      </c>
      <c r="C2977" s="475" t="s">
        <v>5494</v>
      </c>
      <c r="D2977" s="475" t="s">
        <v>5495</v>
      </c>
      <c r="E2977" s="476" t="s">
        <v>34</v>
      </c>
      <c r="F2977" s="475" t="s">
        <v>34</v>
      </c>
      <c r="G2977" s="364">
        <v>8260</v>
      </c>
      <c r="H2977" s="475" t="s">
        <v>2581</v>
      </c>
      <c r="I2977" s="475" t="s">
        <v>171</v>
      </c>
      <c r="J2977" s="475" t="s">
        <v>140</v>
      </c>
      <c r="K2977" s="365">
        <v>2898.12</v>
      </c>
      <c r="L2977" s="475" t="s">
        <v>141</v>
      </c>
      <c r="M2977" s="473"/>
    </row>
    <row r="2978" spans="1:13" ht="13.5">
      <c r="A2978" s="475" t="s">
        <v>5453</v>
      </c>
      <c r="B2978" s="475" t="s">
        <v>5454</v>
      </c>
      <c r="C2978" s="475" t="s">
        <v>5494</v>
      </c>
      <c r="D2978" s="475" t="s">
        <v>5495</v>
      </c>
      <c r="E2978" s="476" t="s">
        <v>34</v>
      </c>
      <c r="F2978" s="475" t="s">
        <v>34</v>
      </c>
      <c r="G2978" s="364">
        <v>72315</v>
      </c>
      <c r="H2978" s="475" t="s">
        <v>2582</v>
      </c>
      <c r="I2978" s="475" t="s">
        <v>171</v>
      </c>
      <c r="J2978" s="475" t="s">
        <v>337</v>
      </c>
      <c r="K2978" s="365">
        <v>27.2</v>
      </c>
      <c r="L2978" s="475" t="s">
        <v>141</v>
      </c>
      <c r="M2978" s="473"/>
    </row>
    <row r="2979" spans="1:13" ht="13.5">
      <c r="A2979" s="475" t="s">
        <v>5453</v>
      </c>
      <c r="B2979" s="475" t="s">
        <v>5454</v>
      </c>
      <c r="C2979" s="475" t="s">
        <v>5494</v>
      </c>
      <c r="D2979" s="475" t="s">
        <v>5495</v>
      </c>
      <c r="E2979" s="476" t="s">
        <v>34</v>
      </c>
      <c r="F2979" s="475" t="s">
        <v>34</v>
      </c>
      <c r="G2979" s="364">
        <v>96971</v>
      </c>
      <c r="H2979" s="475" t="s">
        <v>6005</v>
      </c>
      <c r="I2979" s="475" t="s">
        <v>139</v>
      </c>
      <c r="J2979" s="475" t="s">
        <v>337</v>
      </c>
      <c r="K2979" s="365">
        <v>20.6</v>
      </c>
      <c r="L2979" s="475" t="s">
        <v>141</v>
      </c>
      <c r="M2979" s="473"/>
    </row>
    <row r="2980" spans="1:13" ht="13.5">
      <c r="A2980" s="475" t="s">
        <v>5453</v>
      </c>
      <c r="B2980" s="475" t="s">
        <v>5454</v>
      </c>
      <c r="C2980" s="475" t="s">
        <v>5494</v>
      </c>
      <c r="D2980" s="475" t="s">
        <v>5495</v>
      </c>
      <c r="E2980" s="476" t="s">
        <v>34</v>
      </c>
      <c r="F2980" s="475" t="s">
        <v>34</v>
      </c>
      <c r="G2980" s="364">
        <v>96972</v>
      </c>
      <c r="H2980" s="475" t="s">
        <v>6006</v>
      </c>
      <c r="I2980" s="475" t="s">
        <v>139</v>
      </c>
      <c r="J2980" s="475" t="s">
        <v>337</v>
      </c>
      <c r="K2980" s="365">
        <v>27.84</v>
      </c>
      <c r="L2980" s="475" t="s">
        <v>141</v>
      </c>
      <c r="M2980" s="473"/>
    </row>
    <row r="2981" spans="1:13" ht="13.5">
      <c r="A2981" s="475" t="s">
        <v>5453</v>
      </c>
      <c r="B2981" s="475" t="s">
        <v>5454</v>
      </c>
      <c r="C2981" s="475" t="s">
        <v>5494</v>
      </c>
      <c r="D2981" s="475" t="s">
        <v>5495</v>
      </c>
      <c r="E2981" s="476" t="s">
        <v>34</v>
      </c>
      <c r="F2981" s="475" t="s">
        <v>34</v>
      </c>
      <c r="G2981" s="364">
        <v>96973</v>
      </c>
      <c r="H2981" s="475" t="s">
        <v>6007</v>
      </c>
      <c r="I2981" s="475" t="s">
        <v>139</v>
      </c>
      <c r="J2981" s="475" t="s">
        <v>337</v>
      </c>
      <c r="K2981" s="365">
        <v>34.659999999999997</v>
      </c>
      <c r="L2981" s="475" t="s">
        <v>141</v>
      </c>
      <c r="M2981" s="473"/>
    </row>
    <row r="2982" spans="1:13" ht="13.5">
      <c r="A2982" s="475" t="s">
        <v>5453</v>
      </c>
      <c r="B2982" s="475" t="s">
        <v>5454</v>
      </c>
      <c r="C2982" s="475" t="s">
        <v>5494</v>
      </c>
      <c r="D2982" s="475" t="s">
        <v>5495</v>
      </c>
      <c r="E2982" s="476" t="s">
        <v>34</v>
      </c>
      <c r="F2982" s="475" t="s">
        <v>34</v>
      </c>
      <c r="G2982" s="364">
        <v>96974</v>
      </c>
      <c r="H2982" s="475" t="s">
        <v>6008</v>
      </c>
      <c r="I2982" s="475" t="s">
        <v>139</v>
      </c>
      <c r="J2982" s="475" t="s">
        <v>337</v>
      </c>
      <c r="K2982" s="365">
        <v>43.51</v>
      </c>
      <c r="L2982" s="475" t="s">
        <v>141</v>
      </c>
      <c r="M2982" s="473"/>
    </row>
    <row r="2983" spans="1:13" ht="13.5">
      <c r="A2983" s="475" t="s">
        <v>5453</v>
      </c>
      <c r="B2983" s="475" t="s">
        <v>5454</v>
      </c>
      <c r="C2983" s="475" t="s">
        <v>5494</v>
      </c>
      <c r="D2983" s="475" t="s">
        <v>5495</v>
      </c>
      <c r="E2983" s="476" t="s">
        <v>34</v>
      </c>
      <c r="F2983" s="475" t="s">
        <v>34</v>
      </c>
      <c r="G2983" s="364">
        <v>96975</v>
      </c>
      <c r="H2983" s="475" t="s">
        <v>6009</v>
      </c>
      <c r="I2983" s="475" t="s">
        <v>139</v>
      </c>
      <c r="J2983" s="475" t="s">
        <v>337</v>
      </c>
      <c r="K2983" s="365">
        <v>55.06</v>
      </c>
      <c r="L2983" s="475" t="s">
        <v>141</v>
      </c>
      <c r="M2983" s="473"/>
    </row>
    <row r="2984" spans="1:13" ht="13.5">
      <c r="A2984" s="475" t="s">
        <v>5453</v>
      </c>
      <c r="B2984" s="475" t="s">
        <v>5454</v>
      </c>
      <c r="C2984" s="475" t="s">
        <v>5494</v>
      </c>
      <c r="D2984" s="475" t="s">
        <v>5495</v>
      </c>
      <c r="E2984" s="476" t="s">
        <v>34</v>
      </c>
      <c r="F2984" s="475" t="s">
        <v>34</v>
      </c>
      <c r="G2984" s="364">
        <v>96976</v>
      </c>
      <c r="H2984" s="475" t="s">
        <v>6010</v>
      </c>
      <c r="I2984" s="475" t="s">
        <v>139</v>
      </c>
      <c r="J2984" s="475" t="s">
        <v>337</v>
      </c>
      <c r="K2984" s="365">
        <v>70.14</v>
      </c>
      <c r="L2984" s="475" t="s">
        <v>141</v>
      </c>
      <c r="M2984" s="473"/>
    </row>
    <row r="2985" spans="1:13" ht="13.5">
      <c r="A2985" s="475" t="s">
        <v>5453</v>
      </c>
      <c r="B2985" s="475" t="s">
        <v>5454</v>
      </c>
      <c r="C2985" s="475" t="s">
        <v>5494</v>
      </c>
      <c r="D2985" s="475" t="s">
        <v>5495</v>
      </c>
      <c r="E2985" s="476" t="s">
        <v>34</v>
      </c>
      <c r="F2985" s="475" t="s">
        <v>34</v>
      </c>
      <c r="G2985" s="364">
        <v>96977</v>
      </c>
      <c r="H2985" s="475" t="s">
        <v>6011</v>
      </c>
      <c r="I2985" s="475" t="s">
        <v>139</v>
      </c>
      <c r="J2985" s="475" t="s">
        <v>337</v>
      </c>
      <c r="K2985" s="365">
        <v>24.72</v>
      </c>
      <c r="L2985" s="475" t="s">
        <v>141</v>
      </c>
      <c r="M2985" s="473"/>
    </row>
    <row r="2986" spans="1:13" ht="13.5">
      <c r="A2986" s="475" t="s">
        <v>5453</v>
      </c>
      <c r="B2986" s="475" t="s">
        <v>5454</v>
      </c>
      <c r="C2986" s="475" t="s">
        <v>5494</v>
      </c>
      <c r="D2986" s="475" t="s">
        <v>5495</v>
      </c>
      <c r="E2986" s="476" t="s">
        <v>34</v>
      </c>
      <c r="F2986" s="475" t="s">
        <v>34</v>
      </c>
      <c r="G2986" s="364">
        <v>96978</v>
      </c>
      <c r="H2986" s="475" t="s">
        <v>6012</v>
      </c>
      <c r="I2986" s="475" t="s">
        <v>139</v>
      </c>
      <c r="J2986" s="475" t="s">
        <v>337</v>
      </c>
      <c r="K2986" s="365">
        <v>34.6</v>
      </c>
      <c r="L2986" s="475" t="s">
        <v>141</v>
      </c>
      <c r="M2986" s="473"/>
    </row>
    <row r="2987" spans="1:13" ht="13.5">
      <c r="A2987" s="475" t="s">
        <v>5453</v>
      </c>
      <c r="B2987" s="475" t="s">
        <v>5454</v>
      </c>
      <c r="C2987" s="475" t="s">
        <v>5494</v>
      </c>
      <c r="D2987" s="475" t="s">
        <v>5495</v>
      </c>
      <c r="E2987" s="476" t="s">
        <v>34</v>
      </c>
      <c r="F2987" s="475" t="s">
        <v>34</v>
      </c>
      <c r="G2987" s="364">
        <v>96979</v>
      </c>
      <c r="H2987" s="475" t="s">
        <v>6013</v>
      </c>
      <c r="I2987" s="475" t="s">
        <v>139</v>
      </c>
      <c r="J2987" s="475" t="s">
        <v>337</v>
      </c>
      <c r="K2987" s="365">
        <v>48.39</v>
      </c>
      <c r="L2987" s="475" t="s">
        <v>141</v>
      </c>
      <c r="M2987" s="473"/>
    </row>
    <row r="2988" spans="1:13" ht="13.5">
      <c r="A2988" s="475" t="s">
        <v>5453</v>
      </c>
      <c r="B2988" s="475" t="s">
        <v>5454</v>
      </c>
      <c r="C2988" s="475" t="s">
        <v>5494</v>
      </c>
      <c r="D2988" s="475" t="s">
        <v>5495</v>
      </c>
      <c r="E2988" s="476" t="s">
        <v>34</v>
      </c>
      <c r="F2988" s="475" t="s">
        <v>34</v>
      </c>
      <c r="G2988" s="364">
        <v>96984</v>
      </c>
      <c r="H2988" s="475" t="s">
        <v>6015</v>
      </c>
      <c r="I2988" s="475" t="s">
        <v>171</v>
      </c>
      <c r="J2988" s="475" t="s">
        <v>337</v>
      </c>
      <c r="K2988" s="365">
        <v>40.24</v>
      </c>
      <c r="L2988" s="475" t="s">
        <v>141</v>
      </c>
      <c r="M2988" s="473"/>
    </row>
    <row r="2989" spans="1:13" ht="13.5">
      <c r="A2989" s="475" t="s">
        <v>5453</v>
      </c>
      <c r="B2989" s="475" t="s">
        <v>5454</v>
      </c>
      <c r="C2989" s="475" t="s">
        <v>5494</v>
      </c>
      <c r="D2989" s="475" t="s">
        <v>5495</v>
      </c>
      <c r="E2989" s="476" t="s">
        <v>34</v>
      </c>
      <c r="F2989" s="475" t="s">
        <v>34</v>
      </c>
      <c r="G2989" s="364">
        <v>96985</v>
      </c>
      <c r="H2989" s="475" t="s">
        <v>6016</v>
      </c>
      <c r="I2989" s="475" t="s">
        <v>171</v>
      </c>
      <c r="J2989" s="475" t="s">
        <v>337</v>
      </c>
      <c r="K2989" s="365">
        <v>50.35</v>
      </c>
      <c r="L2989" s="475" t="s">
        <v>141</v>
      </c>
      <c r="M2989" s="473"/>
    </row>
    <row r="2990" spans="1:13" ht="13.5">
      <c r="A2990" s="475" t="s">
        <v>5453</v>
      </c>
      <c r="B2990" s="475" t="s">
        <v>5454</v>
      </c>
      <c r="C2990" s="475" t="s">
        <v>5494</v>
      </c>
      <c r="D2990" s="475" t="s">
        <v>5495</v>
      </c>
      <c r="E2990" s="476" t="s">
        <v>34</v>
      </c>
      <c r="F2990" s="475" t="s">
        <v>34</v>
      </c>
      <c r="G2990" s="364">
        <v>96986</v>
      </c>
      <c r="H2990" s="475" t="s">
        <v>6017</v>
      </c>
      <c r="I2990" s="475" t="s">
        <v>171</v>
      </c>
      <c r="J2990" s="475" t="s">
        <v>337</v>
      </c>
      <c r="K2990" s="365">
        <v>75.23</v>
      </c>
      <c r="L2990" s="475" t="s">
        <v>141</v>
      </c>
      <c r="M2990" s="473"/>
    </row>
    <row r="2991" spans="1:13" ht="13.5">
      <c r="A2991" s="475" t="s">
        <v>5453</v>
      </c>
      <c r="B2991" s="475" t="s">
        <v>5454</v>
      </c>
      <c r="C2991" s="475" t="s">
        <v>5494</v>
      </c>
      <c r="D2991" s="475" t="s">
        <v>5495</v>
      </c>
      <c r="E2991" s="476" t="s">
        <v>34</v>
      </c>
      <c r="F2991" s="475" t="s">
        <v>34</v>
      </c>
      <c r="G2991" s="364">
        <v>96987</v>
      </c>
      <c r="H2991" s="475" t="s">
        <v>6018</v>
      </c>
      <c r="I2991" s="475" t="s">
        <v>171</v>
      </c>
      <c r="J2991" s="475" t="s">
        <v>337</v>
      </c>
      <c r="K2991" s="365">
        <v>101.59</v>
      </c>
      <c r="L2991" s="475" t="s">
        <v>141</v>
      </c>
      <c r="M2991" s="473"/>
    </row>
    <row r="2992" spans="1:13" ht="13.5">
      <c r="A2992" s="475" t="s">
        <v>5453</v>
      </c>
      <c r="B2992" s="475" t="s">
        <v>5454</v>
      </c>
      <c r="C2992" s="475" t="s">
        <v>5494</v>
      </c>
      <c r="D2992" s="475" t="s">
        <v>5495</v>
      </c>
      <c r="E2992" s="476" t="s">
        <v>34</v>
      </c>
      <c r="F2992" s="475" t="s">
        <v>34</v>
      </c>
      <c r="G2992" s="364">
        <v>96988</v>
      </c>
      <c r="H2992" s="475" t="s">
        <v>6019</v>
      </c>
      <c r="I2992" s="475" t="s">
        <v>171</v>
      </c>
      <c r="J2992" s="475" t="s">
        <v>337</v>
      </c>
      <c r="K2992" s="365">
        <v>147.96</v>
      </c>
      <c r="L2992" s="475" t="s">
        <v>141</v>
      </c>
      <c r="M2992" s="473"/>
    </row>
    <row r="2993" spans="1:13" ht="13.5">
      <c r="A2993" s="475" t="s">
        <v>5453</v>
      </c>
      <c r="B2993" s="475" t="s">
        <v>5454</v>
      </c>
      <c r="C2993" s="475" t="s">
        <v>5494</v>
      </c>
      <c r="D2993" s="475" t="s">
        <v>5495</v>
      </c>
      <c r="E2993" s="476" t="s">
        <v>34</v>
      </c>
      <c r="F2993" s="475" t="s">
        <v>34</v>
      </c>
      <c r="G2993" s="364">
        <v>96989</v>
      </c>
      <c r="H2993" s="475" t="s">
        <v>6020</v>
      </c>
      <c r="I2993" s="475" t="s">
        <v>171</v>
      </c>
      <c r="J2993" s="475" t="s">
        <v>337</v>
      </c>
      <c r="K2993" s="365">
        <v>97.38</v>
      </c>
      <c r="L2993" s="475" t="s">
        <v>141</v>
      </c>
      <c r="M2993" s="473"/>
    </row>
    <row r="2994" spans="1:13" ht="13.5">
      <c r="A2994" s="475" t="s">
        <v>5453</v>
      </c>
      <c r="B2994" s="475" t="s">
        <v>5454</v>
      </c>
      <c r="C2994" s="475" t="s">
        <v>5494</v>
      </c>
      <c r="D2994" s="475" t="s">
        <v>5495</v>
      </c>
      <c r="E2994" s="476" t="s">
        <v>34</v>
      </c>
      <c r="F2994" s="475" t="s">
        <v>34</v>
      </c>
      <c r="G2994" s="364">
        <v>98463</v>
      </c>
      <c r="H2994" s="475" t="s">
        <v>6014</v>
      </c>
      <c r="I2994" s="475" t="s">
        <v>171</v>
      </c>
      <c r="J2994" s="475" t="s">
        <v>337</v>
      </c>
      <c r="K2994" s="365">
        <v>19.420000000000002</v>
      </c>
      <c r="L2994" s="475" t="s">
        <v>141</v>
      </c>
      <c r="M2994" s="473"/>
    </row>
    <row r="2995" spans="1:13" ht="13.5">
      <c r="A2995" s="475" t="s">
        <v>5453</v>
      </c>
      <c r="B2995" s="475" t="s">
        <v>5454</v>
      </c>
      <c r="C2995" s="475" t="s">
        <v>5496</v>
      </c>
      <c r="D2995" s="475" t="s">
        <v>5497</v>
      </c>
      <c r="E2995" s="476" t="s">
        <v>34</v>
      </c>
      <c r="F2995" s="475" t="s">
        <v>34</v>
      </c>
      <c r="G2995" s="364">
        <v>9535</v>
      </c>
      <c r="H2995" s="475" t="s">
        <v>2583</v>
      </c>
      <c r="I2995" s="475" t="s">
        <v>171</v>
      </c>
      <c r="J2995" s="475" t="s">
        <v>337</v>
      </c>
      <c r="K2995" s="365">
        <v>63.09</v>
      </c>
      <c r="L2995" s="475" t="s">
        <v>141</v>
      </c>
      <c r="M2995" s="473"/>
    </row>
    <row r="2996" spans="1:13" ht="13.5">
      <c r="A2996" s="475" t="s">
        <v>5453</v>
      </c>
      <c r="B2996" s="475" t="s">
        <v>5454</v>
      </c>
      <c r="C2996" s="475" t="s">
        <v>5498</v>
      </c>
      <c r="D2996" s="475" t="s">
        <v>5499</v>
      </c>
      <c r="E2996" s="476" t="s">
        <v>34</v>
      </c>
      <c r="F2996" s="475" t="s">
        <v>34</v>
      </c>
      <c r="G2996" s="364">
        <v>72327</v>
      </c>
      <c r="H2996" s="475" t="s">
        <v>2584</v>
      </c>
      <c r="I2996" s="475" t="s">
        <v>171</v>
      </c>
      <c r="J2996" s="475" t="s">
        <v>337</v>
      </c>
      <c r="K2996" s="365">
        <v>6.46</v>
      </c>
      <c r="L2996" s="475" t="s">
        <v>141</v>
      </c>
      <c r="M2996" s="473"/>
    </row>
    <row r="2997" spans="1:13" ht="13.5">
      <c r="A2997" s="475" t="s">
        <v>5453</v>
      </c>
      <c r="B2997" s="475" t="s">
        <v>5454</v>
      </c>
      <c r="C2997" s="475" t="s">
        <v>5498</v>
      </c>
      <c r="D2997" s="475" t="s">
        <v>5499</v>
      </c>
      <c r="E2997" s="476" t="s">
        <v>34</v>
      </c>
      <c r="F2997" s="475" t="s">
        <v>34</v>
      </c>
      <c r="G2997" s="364">
        <v>72328</v>
      </c>
      <c r="H2997" s="475" t="s">
        <v>2585</v>
      </c>
      <c r="I2997" s="475" t="s">
        <v>171</v>
      </c>
      <c r="J2997" s="475" t="s">
        <v>337</v>
      </c>
      <c r="K2997" s="365">
        <v>7.87</v>
      </c>
      <c r="L2997" s="475" t="s">
        <v>141</v>
      </c>
      <c r="M2997" s="473"/>
    </row>
    <row r="2998" spans="1:13" ht="13.5">
      <c r="A2998" s="475" t="s">
        <v>5453</v>
      </c>
      <c r="B2998" s="475" t="s">
        <v>5454</v>
      </c>
      <c r="C2998" s="475" t="s">
        <v>5498</v>
      </c>
      <c r="D2998" s="475" t="s">
        <v>5499</v>
      </c>
      <c r="E2998" s="476" t="s">
        <v>34</v>
      </c>
      <c r="F2998" s="475" t="s">
        <v>34</v>
      </c>
      <c r="G2998" s="364">
        <v>72330</v>
      </c>
      <c r="H2998" s="475" t="s">
        <v>2586</v>
      </c>
      <c r="I2998" s="475" t="s">
        <v>171</v>
      </c>
      <c r="J2998" s="475" t="s">
        <v>337</v>
      </c>
      <c r="K2998" s="365">
        <v>38.6</v>
      </c>
      <c r="L2998" s="475" t="s">
        <v>141</v>
      </c>
      <c r="M2998" s="473"/>
    </row>
    <row r="2999" spans="1:13" ht="13.5">
      <c r="A2999" s="475" t="s">
        <v>5453</v>
      </c>
      <c r="B2999" s="475" t="s">
        <v>5454</v>
      </c>
      <c r="C2999" s="475" t="s">
        <v>5498</v>
      </c>
      <c r="D2999" s="475" t="s">
        <v>5499</v>
      </c>
      <c r="E2999" s="476">
        <v>73780</v>
      </c>
      <c r="F2999" s="475" t="s">
        <v>5500</v>
      </c>
      <c r="G2999" s="364" t="s">
        <v>2587</v>
      </c>
      <c r="H2999" s="475" t="s">
        <v>2588</v>
      </c>
      <c r="I2999" s="475" t="s">
        <v>171</v>
      </c>
      <c r="J2999" s="475" t="s">
        <v>140</v>
      </c>
      <c r="K2999" s="365">
        <v>228.44</v>
      </c>
      <c r="L2999" s="475" t="s">
        <v>141</v>
      </c>
      <c r="M2999" s="473"/>
    </row>
    <row r="3000" spans="1:13" ht="13.5">
      <c r="A3000" s="475" t="s">
        <v>5453</v>
      </c>
      <c r="B3000" s="475" t="s">
        <v>5454</v>
      </c>
      <c r="C3000" s="475" t="s">
        <v>5498</v>
      </c>
      <c r="D3000" s="475" t="s">
        <v>5499</v>
      </c>
      <c r="E3000" s="476">
        <v>73780</v>
      </c>
      <c r="F3000" s="475" t="s">
        <v>5500</v>
      </c>
      <c r="G3000" s="364" t="s">
        <v>2589</v>
      </c>
      <c r="H3000" s="475" t="s">
        <v>2590</v>
      </c>
      <c r="I3000" s="475" t="s">
        <v>171</v>
      </c>
      <c r="J3000" s="475" t="s">
        <v>140</v>
      </c>
      <c r="K3000" s="365">
        <v>351.29</v>
      </c>
      <c r="L3000" s="475" t="s">
        <v>141</v>
      </c>
      <c r="M3000" s="473"/>
    </row>
    <row r="3001" spans="1:13" ht="13.5">
      <c r="A3001" s="475" t="s">
        <v>5453</v>
      </c>
      <c r="B3001" s="475" t="s">
        <v>5454</v>
      </c>
      <c r="C3001" s="475" t="s">
        <v>5498</v>
      </c>
      <c r="D3001" s="475" t="s">
        <v>5499</v>
      </c>
      <c r="E3001" s="476">
        <v>73780</v>
      </c>
      <c r="F3001" s="475" t="s">
        <v>5500</v>
      </c>
      <c r="G3001" s="364" t="s">
        <v>2591</v>
      </c>
      <c r="H3001" s="475" t="s">
        <v>2592</v>
      </c>
      <c r="I3001" s="475" t="s">
        <v>171</v>
      </c>
      <c r="J3001" s="475" t="s">
        <v>140</v>
      </c>
      <c r="K3001" s="365">
        <v>649.04</v>
      </c>
      <c r="L3001" s="475" t="s">
        <v>141</v>
      </c>
      <c r="M3001" s="473"/>
    </row>
    <row r="3002" spans="1:13" ht="13.5">
      <c r="A3002" s="475" t="s">
        <v>5453</v>
      </c>
      <c r="B3002" s="475" t="s">
        <v>5454</v>
      </c>
      <c r="C3002" s="475" t="s">
        <v>5498</v>
      </c>
      <c r="D3002" s="475" t="s">
        <v>5499</v>
      </c>
      <c r="E3002" s="476" t="s">
        <v>34</v>
      </c>
      <c r="F3002" s="475" t="s">
        <v>34</v>
      </c>
      <c r="G3002" s="364">
        <v>83482</v>
      </c>
      <c r="H3002" s="475" t="s">
        <v>2593</v>
      </c>
      <c r="I3002" s="475" t="s">
        <v>171</v>
      </c>
      <c r="J3002" s="475" t="s">
        <v>337</v>
      </c>
      <c r="K3002" s="365">
        <v>38.6</v>
      </c>
      <c r="L3002" s="475" t="s">
        <v>141</v>
      </c>
      <c r="M3002" s="473"/>
    </row>
    <row r="3003" spans="1:13" ht="13.5">
      <c r="A3003" s="475" t="s">
        <v>5453</v>
      </c>
      <c r="B3003" s="475" t="s">
        <v>5454</v>
      </c>
      <c r="C3003" s="475" t="s">
        <v>5498</v>
      </c>
      <c r="D3003" s="475" t="s">
        <v>5499</v>
      </c>
      <c r="E3003" s="476" t="s">
        <v>34</v>
      </c>
      <c r="F3003" s="475" t="s">
        <v>34</v>
      </c>
      <c r="G3003" s="364">
        <v>83487</v>
      </c>
      <c r="H3003" s="475" t="s">
        <v>2594</v>
      </c>
      <c r="I3003" s="475" t="s">
        <v>171</v>
      </c>
      <c r="J3003" s="475" t="s">
        <v>140</v>
      </c>
      <c r="K3003" s="365">
        <v>107.32</v>
      </c>
      <c r="L3003" s="475" t="s">
        <v>141</v>
      </c>
      <c r="M3003" s="473"/>
    </row>
    <row r="3004" spans="1:13" ht="13.5">
      <c r="A3004" s="475" t="s">
        <v>5453</v>
      </c>
      <c r="B3004" s="475" t="s">
        <v>5454</v>
      </c>
      <c r="C3004" s="475" t="s">
        <v>5498</v>
      </c>
      <c r="D3004" s="475" t="s">
        <v>5499</v>
      </c>
      <c r="E3004" s="476" t="s">
        <v>34</v>
      </c>
      <c r="F3004" s="475" t="s">
        <v>34</v>
      </c>
      <c r="G3004" s="364">
        <v>83490</v>
      </c>
      <c r="H3004" s="475" t="s">
        <v>2595</v>
      </c>
      <c r="I3004" s="475" t="s">
        <v>171</v>
      </c>
      <c r="J3004" s="475" t="s">
        <v>140</v>
      </c>
      <c r="K3004" s="365">
        <v>225.35</v>
      </c>
      <c r="L3004" s="475" t="s">
        <v>141</v>
      </c>
      <c r="M3004" s="473"/>
    </row>
    <row r="3005" spans="1:13" ht="13.5">
      <c r="A3005" s="475" t="s">
        <v>5453</v>
      </c>
      <c r="B3005" s="475" t="s">
        <v>5454</v>
      </c>
      <c r="C3005" s="475" t="s">
        <v>5498</v>
      </c>
      <c r="D3005" s="475" t="s">
        <v>5499</v>
      </c>
      <c r="E3005" s="476" t="s">
        <v>34</v>
      </c>
      <c r="F3005" s="475" t="s">
        <v>34</v>
      </c>
      <c r="G3005" s="364">
        <v>83491</v>
      </c>
      <c r="H3005" s="475" t="s">
        <v>2596</v>
      </c>
      <c r="I3005" s="475" t="s">
        <v>171</v>
      </c>
      <c r="J3005" s="475" t="s">
        <v>140</v>
      </c>
      <c r="K3005" s="365">
        <v>316.45999999999998</v>
      </c>
      <c r="L3005" s="475" t="s">
        <v>141</v>
      </c>
      <c r="M3005" s="473"/>
    </row>
    <row r="3006" spans="1:13" ht="13.5">
      <c r="A3006" s="475" t="s">
        <v>5453</v>
      </c>
      <c r="B3006" s="475" t="s">
        <v>5454</v>
      </c>
      <c r="C3006" s="475" t="s">
        <v>5498</v>
      </c>
      <c r="D3006" s="475" t="s">
        <v>5499</v>
      </c>
      <c r="E3006" s="476" t="s">
        <v>34</v>
      </c>
      <c r="F3006" s="475" t="s">
        <v>34</v>
      </c>
      <c r="G3006" s="364">
        <v>83492</v>
      </c>
      <c r="H3006" s="475" t="s">
        <v>2597</v>
      </c>
      <c r="I3006" s="475" t="s">
        <v>171</v>
      </c>
      <c r="J3006" s="475" t="s">
        <v>140</v>
      </c>
      <c r="K3006" s="365">
        <v>479.1</v>
      </c>
      <c r="L3006" s="475" t="s">
        <v>141</v>
      </c>
      <c r="M3006" s="473"/>
    </row>
    <row r="3007" spans="1:13" ht="13.5">
      <c r="A3007" s="475" t="s">
        <v>5453</v>
      </c>
      <c r="B3007" s="475" t="s">
        <v>5454</v>
      </c>
      <c r="C3007" s="475" t="s">
        <v>5498</v>
      </c>
      <c r="D3007" s="475" t="s">
        <v>5499</v>
      </c>
      <c r="E3007" s="476" t="s">
        <v>34</v>
      </c>
      <c r="F3007" s="475" t="s">
        <v>34</v>
      </c>
      <c r="G3007" s="364">
        <v>83493</v>
      </c>
      <c r="H3007" s="475" t="s">
        <v>2598</v>
      </c>
      <c r="I3007" s="475" t="s">
        <v>171</v>
      </c>
      <c r="J3007" s="475" t="s">
        <v>337</v>
      </c>
      <c r="K3007" s="365">
        <v>38.6</v>
      </c>
      <c r="L3007" s="475" t="s">
        <v>141</v>
      </c>
      <c r="M3007" s="473"/>
    </row>
    <row r="3008" spans="1:13" ht="13.5">
      <c r="A3008" s="475" t="s">
        <v>5453</v>
      </c>
      <c r="B3008" s="475" t="s">
        <v>5454</v>
      </c>
      <c r="C3008" s="475" t="s">
        <v>5498</v>
      </c>
      <c r="D3008" s="475" t="s">
        <v>5499</v>
      </c>
      <c r="E3008" s="476" t="s">
        <v>34</v>
      </c>
      <c r="F3008" s="475" t="s">
        <v>34</v>
      </c>
      <c r="G3008" s="364">
        <v>85195</v>
      </c>
      <c r="H3008" s="475" t="s">
        <v>2599</v>
      </c>
      <c r="I3008" s="475" t="s">
        <v>171</v>
      </c>
      <c r="J3008" s="475" t="s">
        <v>337</v>
      </c>
      <c r="K3008" s="365">
        <v>65.849999999999994</v>
      </c>
      <c r="L3008" s="475" t="s">
        <v>141</v>
      </c>
      <c r="M3008" s="473"/>
    </row>
    <row r="3009" spans="1:13" ht="13.5">
      <c r="A3009" s="475" t="s">
        <v>5453</v>
      </c>
      <c r="B3009" s="475" t="s">
        <v>5454</v>
      </c>
      <c r="C3009" s="475" t="s">
        <v>5498</v>
      </c>
      <c r="D3009" s="475" t="s">
        <v>5499</v>
      </c>
      <c r="E3009" s="476" t="s">
        <v>34</v>
      </c>
      <c r="F3009" s="475" t="s">
        <v>34</v>
      </c>
      <c r="G3009" s="364">
        <v>88547</v>
      </c>
      <c r="H3009" s="475" t="s">
        <v>2600</v>
      </c>
      <c r="I3009" s="475" t="s">
        <v>171</v>
      </c>
      <c r="J3009" s="475" t="s">
        <v>337</v>
      </c>
      <c r="K3009" s="365">
        <v>72.27</v>
      </c>
      <c r="L3009" s="475" t="s">
        <v>141</v>
      </c>
      <c r="M3009" s="473"/>
    </row>
    <row r="3010" spans="1:13" ht="13.5">
      <c r="A3010" s="475" t="s">
        <v>5501</v>
      </c>
      <c r="B3010" s="475" t="s">
        <v>5502</v>
      </c>
      <c r="C3010" s="475" t="s">
        <v>5503</v>
      </c>
      <c r="D3010" s="475" t="s">
        <v>5504</v>
      </c>
      <c r="E3010" s="476" t="s">
        <v>34</v>
      </c>
      <c r="F3010" s="475" t="s">
        <v>34</v>
      </c>
      <c r="G3010" s="364">
        <v>72283</v>
      </c>
      <c r="H3010" s="475" t="s">
        <v>2601</v>
      </c>
      <c r="I3010" s="475" t="s">
        <v>171</v>
      </c>
      <c r="J3010" s="475" t="s">
        <v>337</v>
      </c>
      <c r="K3010" s="365">
        <v>860.98</v>
      </c>
      <c r="L3010" s="475" t="s">
        <v>141</v>
      </c>
      <c r="M3010" s="473"/>
    </row>
    <row r="3011" spans="1:13" ht="13.5">
      <c r="A3011" s="475" t="s">
        <v>5501</v>
      </c>
      <c r="B3011" s="475" t="s">
        <v>5502</v>
      </c>
      <c r="C3011" s="475" t="s">
        <v>5503</v>
      </c>
      <c r="D3011" s="475" t="s">
        <v>5504</v>
      </c>
      <c r="E3011" s="476" t="s">
        <v>34</v>
      </c>
      <c r="F3011" s="475" t="s">
        <v>34</v>
      </c>
      <c r="G3011" s="364">
        <v>72287</v>
      </c>
      <c r="H3011" s="475" t="s">
        <v>2602</v>
      </c>
      <c r="I3011" s="475" t="s">
        <v>171</v>
      </c>
      <c r="J3011" s="475" t="s">
        <v>337</v>
      </c>
      <c r="K3011" s="365">
        <v>231.02</v>
      </c>
      <c r="L3011" s="475" t="s">
        <v>141</v>
      </c>
      <c r="M3011" s="473"/>
    </row>
    <row r="3012" spans="1:13" ht="13.5">
      <c r="A3012" s="475" t="s">
        <v>5501</v>
      </c>
      <c r="B3012" s="475" t="s">
        <v>5502</v>
      </c>
      <c r="C3012" s="475" t="s">
        <v>5503</v>
      </c>
      <c r="D3012" s="475" t="s">
        <v>5504</v>
      </c>
      <c r="E3012" s="476" t="s">
        <v>34</v>
      </c>
      <c r="F3012" s="475" t="s">
        <v>34</v>
      </c>
      <c r="G3012" s="364">
        <v>72288</v>
      </c>
      <c r="H3012" s="475" t="s">
        <v>2603</v>
      </c>
      <c r="I3012" s="475" t="s">
        <v>171</v>
      </c>
      <c r="J3012" s="475" t="s">
        <v>337</v>
      </c>
      <c r="K3012" s="365">
        <v>288.16000000000003</v>
      </c>
      <c r="L3012" s="475" t="s">
        <v>141</v>
      </c>
      <c r="M3012" s="473"/>
    </row>
    <row r="3013" spans="1:13" ht="13.5">
      <c r="A3013" s="475" t="s">
        <v>5501</v>
      </c>
      <c r="B3013" s="475" t="s">
        <v>5502</v>
      </c>
      <c r="C3013" s="475" t="s">
        <v>5503</v>
      </c>
      <c r="D3013" s="475" t="s">
        <v>5504</v>
      </c>
      <c r="E3013" s="476" t="s">
        <v>34</v>
      </c>
      <c r="F3013" s="475" t="s">
        <v>34</v>
      </c>
      <c r="G3013" s="364">
        <v>72553</v>
      </c>
      <c r="H3013" s="475" t="s">
        <v>2604</v>
      </c>
      <c r="I3013" s="475" t="s">
        <v>171</v>
      </c>
      <c r="J3013" s="475" t="s">
        <v>337</v>
      </c>
      <c r="K3013" s="365">
        <v>158.47999999999999</v>
      </c>
      <c r="L3013" s="475" t="s">
        <v>141</v>
      </c>
      <c r="M3013" s="473"/>
    </row>
    <row r="3014" spans="1:13" ht="13.5">
      <c r="A3014" s="475" t="s">
        <v>5501</v>
      </c>
      <c r="B3014" s="475" t="s">
        <v>5502</v>
      </c>
      <c r="C3014" s="475" t="s">
        <v>5503</v>
      </c>
      <c r="D3014" s="475" t="s">
        <v>5504</v>
      </c>
      <c r="E3014" s="476" t="s">
        <v>34</v>
      </c>
      <c r="F3014" s="475" t="s">
        <v>34</v>
      </c>
      <c r="G3014" s="364">
        <v>72554</v>
      </c>
      <c r="H3014" s="475" t="s">
        <v>2605</v>
      </c>
      <c r="I3014" s="475" t="s">
        <v>171</v>
      </c>
      <c r="J3014" s="475" t="s">
        <v>337</v>
      </c>
      <c r="K3014" s="365">
        <v>535.41</v>
      </c>
      <c r="L3014" s="475" t="s">
        <v>141</v>
      </c>
      <c r="M3014" s="473"/>
    </row>
    <row r="3015" spans="1:13" ht="13.5">
      <c r="A3015" s="475" t="s">
        <v>5501</v>
      </c>
      <c r="B3015" s="475" t="s">
        <v>5502</v>
      </c>
      <c r="C3015" s="475" t="s">
        <v>5503</v>
      </c>
      <c r="D3015" s="475" t="s">
        <v>5504</v>
      </c>
      <c r="E3015" s="476">
        <v>73775</v>
      </c>
      <c r="F3015" s="475" t="s">
        <v>5505</v>
      </c>
      <c r="G3015" s="364" t="s">
        <v>2606</v>
      </c>
      <c r="H3015" s="475" t="s">
        <v>2607</v>
      </c>
      <c r="I3015" s="475" t="s">
        <v>171</v>
      </c>
      <c r="J3015" s="475" t="s">
        <v>337</v>
      </c>
      <c r="K3015" s="365">
        <v>164.88</v>
      </c>
      <c r="L3015" s="475" t="s">
        <v>141</v>
      </c>
      <c r="M3015" s="473"/>
    </row>
    <row r="3016" spans="1:13" ht="13.5">
      <c r="A3016" s="475" t="s">
        <v>5501</v>
      </c>
      <c r="B3016" s="475" t="s">
        <v>5502</v>
      </c>
      <c r="C3016" s="475" t="s">
        <v>5503</v>
      </c>
      <c r="D3016" s="475" t="s">
        <v>5504</v>
      </c>
      <c r="E3016" s="476">
        <v>73775</v>
      </c>
      <c r="F3016" s="475" t="s">
        <v>5505</v>
      </c>
      <c r="G3016" s="364" t="s">
        <v>2608</v>
      </c>
      <c r="H3016" s="475" t="s">
        <v>2609</v>
      </c>
      <c r="I3016" s="475" t="s">
        <v>171</v>
      </c>
      <c r="J3016" s="475" t="s">
        <v>337</v>
      </c>
      <c r="K3016" s="365">
        <v>169.93</v>
      </c>
      <c r="L3016" s="475" t="s">
        <v>141</v>
      </c>
      <c r="M3016" s="473"/>
    </row>
    <row r="3017" spans="1:13" ht="13.5">
      <c r="A3017" s="475" t="s">
        <v>5501</v>
      </c>
      <c r="B3017" s="475" t="s">
        <v>5502</v>
      </c>
      <c r="C3017" s="475" t="s">
        <v>5503</v>
      </c>
      <c r="D3017" s="475" t="s">
        <v>5504</v>
      </c>
      <c r="E3017" s="476" t="s">
        <v>34</v>
      </c>
      <c r="F3017" s="475" t="s">
        <v>34</v>
      </c>
      <c r="G3017" s="364">
        <v>83633</v>
      </c>
      <c r="H3017" s="475" t="s">
        <v>2610</v>
      </c>
      <c r="I3017" s="475" t="s">
        <v>171</v>
      </c>
      <c r="J3017" s="475" t="s">
        <v>140</v>
      </c>
      <c r="K3017" s="365">
        <v>1894.12</v>
      </c>
      <c r="L3017" s="475" t="s">
        <v>141</v>
      </c>
      <c r="M3017" s="473"/>
    </row>
    <row r="3018" spans="1:13" ht="13.5">
      <c r="A3018" s="475" t="s">
        <v>5501</v>
      </c>
      <c r="B3018" s="475" t="s">
        <v>5502</v>
      </c>
      <c r="C3018" s="475" t="s">
        <v>5503</v>
      </c>
      <c r="D3018" s="475" t="s">
        <v>5504</v>
      </c>
      <c r="E3018" s="476" t="s">
        <v>34</v>
      </c>
      <c r="F3018" s="475" t="s">
        <v>34</v>
      </c>
      <c r="G3018" s="364">
        <v>83634</v>
      </c>
      <c r="H3018" s="475" t="s">
        <v>2611</v>
      </c>
      <c r="I3018" s="475" t="s">
        <v>171</v>
      </c>
      <c r="J3018" s="475" t="s">
        <v>337</v>
      </c>
      <c r="K3018" s="365">
        <v>501.42</v>
      </c>
      <c r="L3018" s="475" t="s">
        <v>141</v>
      </c>
      <c r="M3018" s="473"/>
    </row>
    <row r="3019" spans="1:13" ht="13.5">
      <c r="A3019" s="475" t="s">
        <v>5501</v>
      </c>
      <c r="B3019" s="475" t="s">
        <v>5502</v>
      </c>
      <c r="C3019" s="475" t="s">
        <v>5503</v>
      </c>
      <c r="D3019" s="475" t="s">
        <v>5504</v>
      </c>
      <c r="E3019" s="476" t="s">
        <v>34</v>
      </c>
      <c r="F3019" s="475" t="s">
        <v>34</v>
      </c>
      <c r="G3019" s="364">
        <v>83635</v>
      </c>
      <c r="H3019" s="475" t="s">
        <v>2612</v>
      </c>
      <c r="I3019" s="475" t="s">
        <v>171</v>
      </c>
      <c r="J3019" s="475" t="s">
        <v>363</v>
      </c>
      <c r="K3019" s="365">
        <v>191.81</v>
      </c>
      <c r="L3019" s="475" t="s">
        <v>141</v>
      </c>
      <c r="M3019" s="473"/>
    </row>
    <row r="3020" spans="1:13" ht="13.5">
      <c r="A3020" s="475" t="s">
        <v>5501</v>
      </c>
      <c r="B3020" s="475" t="s">
        <v>5502</v>
      </c>
      <c r="C3020" s="475" t="s">
        <v>5503</v>
      </c>
      <c r="D3020" s="475" t="s">
        <v>5504</v>
      </c>
      <c r="E3020" s="476" t="s">
        <v>34</v>
      </c>
      <c r="F3020" s="475" t="s">
        <v>34</v>
      </c>
      <c r="G3020" s="364">
        <v>96765</v>
      </c>
      <c r="H3020" s="475" t="s">
        <v>6521</v>
      </c>
      <c r="I3020" s="475" t="s">
        <v>171</v>
      </c>
      <c r="J3020" s="475" t="s">
        <v>337</v>
      </c>
      <c r="K3020" s="365">
        <v>1015.95</v>
      </c>
      <c r="L3020" s="475" t="s">
        <v>141</v>
      </c>
      <c r="M3020" s="473"/>
    </row>
    <row r="3021" spans="1:13" ht="13.5">
      <c r="A3021" s="475" t="s">
        <v>5501</v>
      </c>
      <c r="B3021" s="475" t="s">
        <v>5502</v>
      </c>
      <c r="C3021" s="475" t="s">
        <v>5506</v>
      </c>
      <c r="D3021" s="475" t="s">
        <v>5507</v>
      </c>
      <c r="E3021" s="476" t="s">
        <v>34</v>
      </c>
      <c r="F3021" s="475" t="s">
        <v>34</v>
      </c>
      <c r="G3021" s="364">
        <v>72337</v>
      </c>
      <c r="H3021" s="475" t="s">
        <v>2613</v>
      </c>
      <c r="I3021" s="475" t="s">
        <v>171</v>
      </c>
      <c r="J3021" s="475" t="s">
        <v>337</v>
      </c>
      <c r="K3021" s="365">
        <v>22.12</v>
      </c>
      <c r="L3021" s="475" t="s">
        <v>141</v>
      </c>
      <c r="M3021" s="473"/>
    </row>
    <row r="3022" spans="1:13" ht="13.5">
      <c r="A3022" s="475" t="s">
        <v>5501</v>
      </c>
      <c r="B3022" s="475" t="s">
        <v>5502</v>
      </c>
      <c r="C3022" s="475" t="s">
        <v>5506</v>
      </c>
      <c r="D3022" s="475" t="s">
        <v>5507</v>
      </c>
      <c r="E3022" s="476">
        <v>73749</v>
      </c>
      <c r="F3022" s="475" t="s">
        <v>5508</v>
      </c>
      <c r="G3022" s="364" t="s">
        <v>2614</v>
      </c>
      <c r="H3022" s="475" t="s">
        <v>2615</v>
      </c>
      <c r="I3022" s="475" t="s">
        <v>171</v>
      </c>
      <c r="J3022" s="475" t="s">
        <v>140</v>
      </c>
      <c r="K3022" s="365">
        <v>173.54</v>
      </c>
      <c r="L3022" s="475" t="s">
        <v>141</v>
      </c>
      <c r="M3022" s="473"/>
    </row>
    <row r="3023" spans="1:13" ht="13.5">
      <c r="A3023" s="475" t="s">
        <v>5501</v>
      </c>
      <c r="B3023" s="475" t="s">
        <v>5502</v>
      </c>
      <c r="C3023" s="475" t="s">
        <v>5506</v>
      </c>
      <c r="D3023" s="475" t="s">
        <v>5507</v>
      </c>
      <c r="E3023" s="476">
        <v>73749</v>
      </c>
      <c r="F3023" s="475" t="s">
        <v>5508</v>
      </c>
      <c r="G3023" s="364" t="s">
        <v>2616</v>
      </c>
      <c r="H3023" s="475" t="s">
        <v>2617</v>
      </c>
      <c r="I3023" s="475" t="s">
        <v>171</v>
      </c>
      <c r="J3023" s="475" t="s">
        <v>140</v>
      </c>
      <c r="K3023" s="365">
        <v>318.70999999999998</v>
      </c>
      <c r="L3023" s="475" t="s">
        <v>141</v>
      </c>
      <c r="M3023" s="473"/>
    </row>
    <row r="3024" spans="1:13" ht="13.5">
      <c r="A3024" s="475" t="s">
        <v>5501</v>
      </c>
      <c r="B3024" s="475" t="s">
        <v>5502</v>
      </c>
      <c r="C3024" s="475" t="s">
        <v>5506</v>
      </c>
      <c r="D3024" s="475" t="s">
        <v>5507</v>
      </c>
      <c r="E3024" s="476">
        <v>73749</v>
      </c>
      <c r="F3024" s="475" t="s">
        <v>5508</v>
      </c>
      <c r="G3024" s="364" t="s">
        <v>2618</v>
      </c>
      <c r="H3024" s="475" t="s">
        <v>2619</v>
      </c>
      <c r="I3024" s="475" t="s">
        <v>171</v>
      </c>
      <c r="J3024" s="475" t="s">
        <v>140</v>
      </c>
      <c r="K3024" s="365">
        <v>1026.98</v>
      </c>
      <c r="L3024" s="475" t="s">
        <v>141</v>
      </c>
      <c r="M3024" s="473"/>
    </row>
    <row r="3025" spans="1:13" ht="13.5">
      <c r="A3025" s="475" t="s">
        <v>5501</v>
      </c>
      <c r="B3025" s="475" t="s">
        <v>5502</v>
      </c>
      <c r="C3025" s="475" t="s">
        <v>5506</v>
      </c>
      <c r="D3025" s="475" t="s">
        <v>5507</v>
      </c>
      <c r="E3025" s="476" t="s">
        <v>34</v>
      </c>
      <c r="F3025" s="475" t="s">
        <v>34</v>
      </c>
      <c r="G3025" s="364">
        <v>83366</v>
      </c>
      <c r="H3025" s="475" t="s">
        <v>5899</v>
      </c>
      <c r="I3025" s="475" t="s">
        <v>171</v>
      </c>
      <c r="J3025" s="475" t="s">
        <v>337</v>
      </c>
      <c r="K3025" s="365">
        <v>64.88</v>
      </c>
      <c r="L3025" s="475" t="s">
        <v>141</v>
      </c>
      <c r="M3025" s="473"/>
    </row>
    <row r="3026" spans="1:13" ht="13.5">
      <c r="A3026" s="475" t="s">
        <v>5501</v>
      </c>
      <c r="B3026" s="475" t="s">
        <v>5502</v>
      </c>
      <c r="C3026" s="475" t="s">
        <v>5506</v>
      </c>
      <c r="D3026" s="475" t="s">
        <v>5507</v>
      </c>
      <c r="E3026" s="476" t="s">
        <v>34</v>
      </c>
      <c r="F3026" s="475" t="s">
        <v>34</v>
      </c>
      <c r="G3026" s="364">
        <v>83367</v>
      </c>
      <c r="H3026" s="475" t="s">
        <v>2620</v>
      </c>
      <c r="I3026" s="475" t="s">
        <v>171</v>
      </c>
      <c r="J3026" s="475" t="s">
        <v>337</v>
      </c>
      <c r="K3026" s="365">
        <v>566.34</v>
      </c>
      <c r="L3026" s="475" t="s">
        <v>141</v>
      </c>
      <c r="M3026" s="473"/>
    </row>
    <row r="3027" spans="1:13" ht="13.5">
      <c r="A3027" s="475" t="s">
        <v>5501</v>
      </c>
      <c r="B3027" s="475" t="s">
        <v>5502</v>
      </c>
      <c r="C3027" s="475" t="s">
        <v>5506</v>
      </c>
      <c r="D3027" s="475" t="s">
        <v>5507</v>
      </c>
      <c r="E3027" s="476" t="s">
        <v>34</v>
      </c>
      <c r="F3027" s="475" t="s">
        <v>34</v>
      </c>
      <c r="G3027" s="364">
        <v>83368</v>
      </c>
      <c r="H3027" s="475" t="s">
        <v>2621</v>
      </c>
      <c r="I3027" s="475" t="s">
        <v>171</v>
      </c>
      <c r="J3027" s="475" t="s">
        <v>337</v>
      </c>
      <c r="K3027" s="365">
        <v>1518.77</v>
      </c>
      <c r="L3027" s="475" t="s">
        <v>141</v>
      </c>
      <c r="M3027" s="473"/>
    </row>
    <row r="3028" spans="1:13" ht="13.5">
      <c r="A3028" s="475" t="s">
        <v>5501</v>
      </c>
      <c r="B3028" s="475" t="s">
        <v>5502</v>
      </c>
      <c r="C3028" s="475" t="s">
        <v>5506</v>
      </c>
      <c r="D3028" s="475" t="s">
        <v>5507</v>
      </c>
      <c r="E3028" s="476" t="s">
        <v>34</v>
      </c>
      <c r="F3028" s="475" t="s">
        <v>34</v>
      </c>
      <c r="G3028" s="364">
        <v>83369</v>
      </c>
      <c r="H3028" s="475" t="s">
        <v>2622</v>
      </c>
      <c r="I3028" s="475" t="s">
        <v>171</v>
      </c>
      <c r="J3028" s="475" t="s">
        <v>337</v>
      </c>
      <c r="K3028" s="365">
        <v>350.42</v>
      </c>
      <c r="L3028" s="475" t="s">
        <v>141</v>
      </c>
      <c r="M3028" s="473"/>
    </row>
    <row r="3029" spans="1:13" ht="13.5">
      <c r="A3029" s="475" t="s">
        <v>5501</v>
      </c>
      <c r="B3029" s="475" t="s">
        <v>5502</v>
      </c>
      <c r="C3029" s="475" t="s">
        <v>5506</v>
      </c>
      <c r="D3029" s="475" t="s">
        <v>5507</v>
      </c>
      <c r="E3029" s="476" t="s">
        <v>34</v>
      </c>
      <c r="F3029" s="475" t="s">
        <v>34</v>
      </c>
      <c r="G3029" s="364">
        <v>83370</v>
      </c>
      <c r="H3029" s="475" t="s">
        <v>2623</v>
      </c>
      <c r="I3029" s="475" t="s">
        <v>171</v>
      </c>
      <c r="J3029" s="475" t="s">
        <v>337</v>
      </c>
      <c r="K3029" s="365">
        <v>209.27</v>
      </c>
      <c r="L3029" s="475" t="s">
        <v>141</v>
      </c>
      <c r="M3029" s="473"/>
    </row>
    <row r="3030" spans="1:13" ht="13.5">
      <c r="A3030" s="475" t="s">
        <v>5501</v>
      </c>
      <c r="B3030" s="475" t="s">
        <v>5502</v>
      </c>
      <c r="C3030" s="475" t="s">
        <v>5506</v>
      </c>
      <c r="D3030" s="475" t="s">
        <v>5507</v>
      </c>
      <c r="E3030" s="476" t="s">
        <v>34</v>
      </c>
      <c r="F3030" s="475" t="s">
        <v>34</v>
      </c>
      <c r="G3030" s="364">
        <v>83371</v>
      </c>
      <c r="H3030" s="475" t="s">
        <v>2624</v>
      </c>
      <c r="I3030" s="475" t="s">
        <v>171</v>
      </c>
      <c r="J3030" s="475" t="s">
        <v>337</v>
      </c>
      <c r="K3030" s="365">
        <v>120.83</v>
      </c>
      <c r="L3030" s="475" t="s">
        <v>141</v>
      </c>
      <c r="M3030" s="473"/>
    </row>
    <row r="3031" spans="1:13" ht="13.5">
      <c r="A3031" s="475" t="s">
        <v>5501</v>
      </c>
      <c r="B3031" s="475" t="s">
        <v>5502</v>
      </c>
      <c r="C3031" s="475" t="s">
        <v>5506</v>
      </c>
      <c r="D3031" s="475" t="s">
        <v>5507</v>
      </c>
      <c r="E3031" s="476" t="s">
        <v>34</v>
      </c>
      <c r="F3031" s="475" t="s">
        <v>34</v>
      </c>
      <c r="G3031" s="364">
        <v>84676</v>
      </c>
      <c r="H3031" s="475" t="s">
        <v>2625</v>
      </c>
      <c r="I3031" s="475" t="s">
        <v>171</v>
      </c>
      <c r="J3031" s="475" t="s">
        <v>337</v>
      </c>
      <c r="K3031" s="365">
        <v>514.78</v>
      </c>
      <c r="L3031" s="475" t="s">
        <v>141</v>
      </c>
      <c r="M3031" s="473"/>
    </row>
    <row r="3032" spans="1:13" ht="13.5">
      <c r="A3032" s="475" t="s">
        <v>5501</v>
      </c>
      <c r="B3032" s="475" t="s">
        <v>5502</v>
      </c>
      <c r="C3032" s="475" t="s">
        <v>5506</v>
      </c>
      <c r="D3032" s="475" t="s">
        <v>5507</v>
      </c>
      <c r="E3032" s="476" t="s">
        <v>34</v>
      </c>
      <c r="F3032" s="475" t="s">
        <v>34</v>
      </c>
      <c r="G3032" s="364">
        <v>84796</v>
      </c>
      <c r="H3032" s="475" t="s">
        <v>2626</v>
      </c>
      <c r="I3032" s="475" t="s">
        <v>171</v>
      </c>
      <c r="J3032" s="475" t="s">
        <v>140</v>
      </c>
      <c r="K3032" s="365">
        <v>473.58</v>
      </c>
      <c r="L3032" s="475" t="s">
        <v>141</v>
      </c>
      <c r="M3032" s="473"/>
    </row>
    <row r="3033" spans="1:13" ht="13.5">
      <c r="A3033" s="475" t="s">
        <v>5501</v>
      </c>
      <c r="B3033" s="475" t="s">
        <v>5502</v>
      </c>
      <c r="C3033" s="475" t="s">
        <v>5506</v>
      </c>
      <c r="D3033" s="475" t="s">
        <v>5507</v>
      </c>
      <c r="E3033" s="476" t="s">
        <v>34</v>
      </c>
      <c r="F3033" s="475" t="s">
        <v>34</v>
      </c>
      <c r="G3033" s="364">
        <v>84798</v>
      </c>
      <c r="H3033" s="475" t="s">
        <v>2627</v>
      </c>
      <c r="I3033" s="475" t="s">
        <v>171</v>
      </c>
      <c r="J3033" s="475" t="s">
        <v>140</v>
      </c>
      <c r="K3033" s="365">
        <v>215.13</v>
      </c>
      <c r="L3033" s="475" t="s">
        <v>141</v>
      </c>
      <c r="M3033" s="473"/>
    </row>
    <row r="3034" spans="1:13" ht="13.5">
      <c r="A3034" s="475" t="s">
        <v>5501</v>
      </c>
      <c r="B3034" s="475" t="s">
        <v>5502</v>
      </c>
      <c r="C3034" s="475" t="s">
        <v>5506</v>
      </c>
      <c r="D3034" s="475" t="s">
        <v>5507</v>
      </c>
      <c r="E3034" s="476" t="s">
        <v>34</v>
      </c>
      <c r="F3034" s="475" t="s">
        <v>34</v>
      </c>
      <c r="G3034" s="364">
        <v>98261</v>
      </c>
      <c r="H3034" s="475" t="s">
        <v>6276</v>
      </c>
      <c r="I3034" s="475" t="s">
        <v>139</v>
      </c>
      <c r="J3034" s="475" t="s">
        <v>337</v>
      </c>
      <c r="K3034" s="365">
        <v>2.72</v>
      </c>
      <c r="L3034" s="475" t="s">
        <v>141</v>
      </c>
      <c r="M3034" s="473"/>
    </row>
    <row r="3035" spans="1:13" ht="13.5">
      <c r="A3035" s="475" t="s">
        <v>5501</v>
      </c>
      <c r="B3035" s="475" t="s">
        <v>5502</v>
      </c>
      <c r="C3035" s="475" t="s">
        <v>5506</v>
      </c>
      <c r="D3035" s="475" t="s">
        <v>5507</v>
      </c>
      <c r="E3035" s="476" t="s">
        <v>34</v>
      </c>
      <c r="F3035" s="475" t="s">
        <v>34</v>
      </c>
      <c r="G3035" s="364">
        <v>98262</v>
      </c>
      <c r="H3035" s="475" t="s">
        <v>6277</v>
      </c>
      <c r="I3035" s="475" t="s">
        <v>139</v>
      </c>
      <c r="J3035" s="475" t="s">
        <v>337</v>
      </c>
      <c r="K3035" s="365">
        <v>3.25</v>
      </c>
      <c r="L3035" s="475" t="s">
        <v>141</v>
      </c>
      <c r="M3035" s="473"/>
    </row>
    <row r="3036" spans="1:13" ht="13.5">
      <c r="A3036" s="475" t="s">
        <v>5501</v>
      </c>
      <c r="B3036" s="475" t="s">
        <v>5502</v>
      </c>
      <c r="C3036" s="475" t="s">
        <v>5506</v>
      </c>
      <c r="D3036" s="475" t="s">
        <v>5507</v>
      </c>
      <c r="E3036" s="476" t="s">
        <v>34</v>
      </c>
      <c r="F3036" s="475" t="s">
        <v>34</v>
      </c>
      <c r="G3036" s="364">
        <v>98263</v>
      </c>
      <c r="H3036" s="475" t="s">
        <v>6278</v>
      </c>
      <c r="I3036" s="475" t="s">
        <v>139</v>
      </c>
      <c r="J3036" s="475" t="s">
        <v>337</v>
      </c>
      <c r="K3036" s="365">
        <v>3.91</v>
      </c>
      <c r="L3036" s="475" t="s">
        <v>141</v>
      </c>
      <c r="M3036" s="473"/>
    </row>
    <row r="3037" spans="1:13" ht="13.5">
      <c r="A3037" s="475" t="s">
        <v>5501</v>
      </c>
      <c r="B3037" s="475" t="s">
        <v>5502</v>
      </c>
      <c r="C3037" s="475" t="s">
        <v>5506</v>
      </c>
      <c r="D3037" s="475" t="s">
        <v>5507</v>
      </c>
      <c r="E3037" s="476" t="s">
        <v>34</v>
      </c>
      <c r="F3037" s="475" t="s">
        <v>34</v>
      </c>
      <c r="G3037" s="364">
        <v>98264</v>
      </c>
      <c r="H3037" s="475" t="s">
        <v>6279</v>
      </c>
      <c r="I3037" s="475" t="s">
        <v>139</v>
      </c>
      <c r="J3037" s="475" t="s">
        <v>337</v>
      </c>
      <c r="K3037" s="365">
        <v>4.42</v>
      </c>
      <c r="L3037" s="475" t="s">
        <v>141</v>
      </c>
      <c r="M3037" s="473"/>
    </row>
    <row r="3038" spans="1:13" ht="13.5">
      <c r="A3038" s="475" t="s">
        <v>5501</v>
      </c>
      <c r="B3038" s="475" t="s">
        <v>5502</v>
      </c>
      <c r="C3038" s="475" t="s">
        <v>5506</v>
      </c>
      <c r="D3038" s="475" t="s">
        <v>5507</v>
      </c>
      <c r="E3038" s="476" t="s">
        <v>34</v>
      </c>
      <c r="F3038" s="475" t="s">
        <v>34</v>
      </c>
      <c r="G3038" s="364">
        <v>98265</v>
      </c>
      <c r="H3038" s="475" t="s">
        <v>6280</v>
      </c>
      <c r="I3038" s="475" t="s">
        <v>139</v>
      </c>
      <c r="J3038" s="475" t="s">
        <v>337</v>
      </c>
      <c r="K3038" s="365">
        <v>5.19</v>
      </c>
      <c r="L3038" s="475" t="s">
        <v>141</v>
      </c>
      <c r="M3038" s="473"/>
    </row>
    <row r="3039" spans="1:13" ht="13.5">
      <c r="A3039" s="475" t="s">
        <v>5501</v>
      </c>
      <c r="B3039" s="475" t="s">
        <v>5502</v>
      </c>
      <c r="C3039" s="475" t="s">
        <v>5506</v>
      </c>
      <c r="D3039" s="475" t="s">
        <v>5507</v>
      </c>
      <c r="E3039" s="476" t="s">
        <v>34</v>
      </c>
      <c r="F3039" s="475" t="s">
        <v>34</v>
      </c>
      <c r="G3039" s="364">
        <v>98266</v>
      </c>
      <c r="H3039" s="475" t="s">
        <v>6281</v>
      </c>
      <c r="I3039" s="475" t="s">
        <v>139</v>
      </c>
      <c r="J3039" s="475" t="s">
        <v>337</v>
      </c>
      <c r="K3039" s="365">
        <v>5.64</v>
      </c>
      <c r="L3039" s="475" t="s">
        <v>141</v>
      </c>
      <c r="M3039" s="473"/>
    </row>
    <row r="3040" spans="1:13" ht="13.5">
      <c r="A3040" s="475" t="s">
        <v>5501</v>
      </c>
      <c r="B3040" s="475" t="s">
        <v>5502</v>
      </c>
      <c r="C3040" s="475" t="s">
        <v>5506</v>
      </c>
      <c r="D3040" s="475" t="s">
        <v>5507</v>
      </c>
      <c r="E3040" s="476" t="s">
        <v>34</v>
      </c>
      <c r="F3040" s="475" t="s">
        <v>34</v>
      </c>
      <c r="G3040" s="364">
        <v>98267</v>
      </c>
      <c r="H3040" s="475" t="s">
        <v>6282</v>
      </c>
      <c r="I3040" s="475" t="s">
        <v>139</v>
      </c>
      <c r="J3040" s="475" t="s">
        <v>337</v>
      </c>
      <c r="K3040" s="365">
        <v>9.41</v>
      </c>
      <c r="L3040" s="475" t="s">
        <v>141</v>
      </c>
      <c r="M3040" s="473"/>
    </row>
    <row r="3041" spans="1:13" ht="13.5">
      <c r="A3041" s="475" t="s">
        <v>5501</v>
      </c>
      <c r="B3041" s="475" t="s">
        <v>5502</v>
      </c>
      <c r="C3041" s="475" t="s">
        <v>5506</v>
      </c>
      <c r="D3041" s="475" t="s">
        <v>5507</v>
      </c>
      <c r="E3041" s="476" t="s">
        <v>34</v>
      </c>
      <c r="F3041" s="475" t="s">
        <v>34</v>
      </c>
      <c r="G3041" s="364">
        <v>98268</v>
      </c>
      <c r="H3041" s="475" t="s">
        <v>6283</v>
      </c>
      <c r="I3041" s="475" t="s">
        <v>139</v>
      </c>
      <c r="J3041" s="475" t="s">
        <v>337</v>
      </c>
      <c r="K3041" s="365">
        <v>15.68</v>
      </c>
      <c r="L3041" s="475" t="s">
        <v>141</v>
      </c>
      <c r="M3041" s="473"/>
    </row>
    <row r="3042" spans="1:13" ht="13.5">
      <c r="A3042" s="475" t="s">
        <v>5501</v>
      </c>
      <c r="B3042" s="475" t="s">
        <v>5502</v>
      </c>
      <c r="C3042" s="475" t="s">
        <v>5506</v>
      </c>
      <c r="D3042" s="475" t="s">
        <v>5507</v>
      </c>
      <c r="E3042" s="476" t="s">
        <v>34</v>
      </c>
      <c r="F3042" s="475" t="s">
        <v>34</v>
      </c>
      <c r="G3042" s="364">
        <v>98269</v>
      </c>
      <c r="H3042" s="475" t="s">
        <v>6284</v>
      </c>
      <c r="I3042" s="475" t="s">
        <v>139</v>
      </c>
      <c r="J3042" s="475" t="s">
        <v>337</v>
      </c>
      <c r="K3042" s="365">
        <v>20.41</v>
      </c>
      <c r="L3042" s="475" t="s">
        <v>141</v>
      </c>
      <c r="M3042" s="473"/>
    </row>
    <row r="3043" spans="1:13" ht="13.5">
      <c r="A3043" s="475" t="s">
        <v>5501</v>
      </c>
      <c r="B3043" s="475" t="s">
        <v>5502</v>
      </c>
      <c r="C3043" s="475" t="s">
        <v>5506</v>
      </c>
      <c r="D3043" s="475" t="s">
        <v>5507</v>
      </c>
      <c r="E3043" s="476" t="s">
        <v>34</v>
      </c>
      <c r="F3043" s="475" t="s">
        <v>34</v>
      </c>
      <c r="G3043" s="364">
        <v>98270</v>
      </c>
      <c r="H3043" s="475" t="s">
        <v>6285</v>
      </c>
      <c r="I3043" s="475" t="s">
        <v>139</v>
      </c>
      <c r="J3043" s="475" t="s">
        <v>337</v>
      </c>
      <c r="K3043" s="365">
        <v>33.590000000000003</v>
      </c>
      <c r="L3043" s="475" t="s">
        <v>141</v>
      </c>
      <c r="M3043" s="473"/>
    </row>
    <row r="3044" spans="1:13" ht="13.5">
      <c r="A3044" s="475" t="s">
        <v>5501</v>
      </c>
      <c r="B3044" s="475" t="s">
        <v>5502</v>
      </c>
      <c r="C3044" s="475" t="s">
        <v>5506</v>
      </c>
      <c r="D3044" s="475" t="s">
        <v>5507</v>
      </c>
      <c r="E3044" s="476" t="s">
        <v>34</v>
      </c>
      <c r="F3044" s="475" t="s">
        <v>34</v>
      </c>
      <c r="G3044" s="364">
        <v>98271</v>
      </c>
      <c r="H3044" s="475" t="s">
        <v>6286</v>
      </c>
      <c r="I3044" s="475" t="s">
        <v>139</v>
      </c>
      <c r="J3044" s="475" t="s">
        <v>337</v>
      </c>
      <c r="K3044" s="365">
        <v>52.5</v>
      </c>
      <c r="L3044" s="475" t="s">
        <v>141</v>
      </c>
      <c r="M3044" s="473"/>
    </row>
    <row r="3045" spans="1:13" ht="13.5">
      <c r="A3045" s="475" t="s">
        <v>5501</v>
      </c>
      <c r="B3045" s="475" t="s">
        <v>5502</v>
      </c>
      <c r="C3045" s="475" t="s">
        <v>5506</v>
      </c>
      <c r="D3045" s="475" t="s">
        <v>5507</v>
      </c>
      <c r="E3045" s="476" t="s">
        <v>34</v>
      </c>
      <c r="F3045" s="475" t="s">
        <v>34</v>
      </c>
      <c r="G3045" s="364">
        <v>98272</v>
      </c>
      <c r="H3045" s="475" t="s">
        <v>6287</v>
      </c>
      <c r="I3045" s="475" t="s">
        <v>139</v>
      </c>
      <c r="J3045" s="475" t="s">
        <v>337</v>
      </c>
      <c r="K3045" s="365">
        <v>124.05</v>
      </c>
      <c r="L3045" s="475" t="s">
        <v>141</v>
      </c>
      <c r="M3045" s="473"/>
    </row>
    <row r="3046" spans="1:13" ht="13.5">
      <c r="A3046" s="475" t="s">
        <v>5501</v>
      </c>
      <c r="B3046" s="475" t="s">
        <v>5502</v>
      </c>
      <c r="C3046" s="475" t="s">
        <v>5506</v>
      </c>
      <c r="D3046" s="475" t="s">
        <v>5507</v>
      </c>
      <c r="E3046" s="476" t="s">
        <v>34</v>
      </c>
      <c r="F3046" s="475" t="s">
        <v>34</v>
      </c>
      <c r="G3046" s="364">
        <v>98273</v>
      </c>
      <c r="H3046" s="475" t="s">
        <v>6288</v>
      </c>
      <c r="I3046" s="475" t="s">
        <v>139</v>
      </c>
      <c r="J3046" s="475" t="s">
        <v>337</v>
      </c>
      <c r="K3046" s="365">
        <v>2.3199999999999998</v>
      </c>
      <c r="L3046" s="475" t="s">
        <v>141</v>
      </c>
      <c r="M3046" s="473"/>
    </row>
    <row r="3047" spans="1:13" ht="13.5">
      <c r="A3047" s="475" t="s">
        <v>5501</v>
      </c>
      <c r="B3047" s="475" t="s">
        <v>5502</v>
      </c>
      <c r="C3047" s="475" t="s">
        <v>5506</v>
      </c>
      <c r="D3047" s="475" t="s">
        <v>5507</v>
      </c>
      <c r="E3047" s="476" t="s">
        <v>34</v>
      </c>
      <c r="F3047" s="475" t="s">
        <v>34</v>
      </c>
      <c r="G3047" s="364">
        <v>98274</v>
      </c>
      <c r="H3047" s="475" t="s">
        <v>6289</v>
      </c>
      <c r="I3047" s="475" t="s">
        <v>139</v>
      </c>
      <c r="J3047" s="475" t="s">
        <v>337</v>
      </c>
      <c r="K3047" s="365">
        <v>3.1</v>
      </c>
      <c r="L3047" s="475" t="s">
        <v>141</v>
      </c>
      <c r="M3047" s="473"/>
    </row>
    <row r="3048" spans="1:13" ht="13.5">
      <c r="A3048" s="475" t="s">
        <v>5501</v>
      </c>
      <c r="B3048" s="475" t="s">
        <v>5502</v>
      </c>
      <c r="C3048" s="475" t="s">
        <v>5506</v>
      </c>
      <c r="D3048" s="475" t="s">
        <v>5507</v>
      </c>
      <c r="E3048" s="476" t="s">
        <v>34</v>
      </c>
      <c r="F3048" s="475" t="s">
        <v>34</v>
      </c>
      <c r="G3048" s="364">
        <v>98275</v>
      </c>
      <c r="H3048" s="475" t="s">
        <v>6290</v>
      </c>
      <c r="I3048" s="475" t="s">
        <v>139</v>
      </c>
      <c r="J3048" s="475" t="s">
        <v>337</v>
      </c>
      <c r="K3048" s="365">
        <v>3.54</v>
      </c>
      <c r="L3048" s="475" t="s">
        <v>141</v>
      </c>
      <c r="M3048" s="473"/>
    </row>
    <row r="3049" spans="1:13" ht="13.5">
      <c r="A3049" s="475" t="s">
        <v>5501</v>
      </c>
      <c r="B3049" s="475" t="s">
        <v>5502</v>
      </c>
      <c r="C3049" s="475" t="s">
        <v>5506</v>
      </c>
      <c r="D3049" s="475" t="s">
        <v>5507</v>
      </c>
      <c r="E3049" s="476" t="s">
        <v>34</v>
      </c>
      <c r="F3049" s="475" t="s">
        <v>34</v>
      </c>
      <c r="G3049" s="364">
        <v>98276</v>
      </c>
      <c r="H3049" s="475" t="s">
        <v>6291</v>
      </c>
      <c r="I3049" s="475" t="s">
        <v>139</v>
      </c>
      <c r="J3049" s="475" t="s">
        <v>337</v>
      </c>
      <c r="K3049" s="365">
        <v>7.31</v>
      </c>
      <c r="L3049" s="475" t="s">
        <v>141</v>
      </c>
      <c r="M3049" s="473"/>
    </row>
    <row r="3050" spans="1:13" ht="13.5">
      <c r="A3050" s="475" t="s">
        <v>5501</v>
      </c>
      <c r="B3050" s="475" t="s">
        <v>5502</v>
      </c>
      <c r="C3050" s="475" t="s">
        <v>5506</v>
      </c>
      <c r="D3050" s="475" t="s">
        <v>5507</v>
      </c>
      <c r="E3050" s="476" t="s">
        <v>34</v>
      </c>
      <c r="F3050" s="475" t="s">
        <v>34</v>
      </c>
      <c r="G3050" s="364">
        <v>98277</v>
      </c>
      <c r="H3050" s="475" t="s">
        <v>6292</v>
      </c>
      <c r="I3050" s="475" t="s">
        <v>139</v>
      </c>
      <c r="J3050" s="475" t="s">
        <v>337</v>
      </c>
      <c r="K3050" s="365">
        <v>13.59</v>
      </c>
      <c r="L3050" s="475" t="s">
        <v>141</v>
      </c>
      <c r="M3050" s="473"/>
    </row>
    <row r="3051" spans="1:13" ht="13.5">
      <c r="A3051" s="475" t="s">
        <v>5501</v>
      </c>
      <c r="B3051" s="475" t="s">
        <v>5502</v>
      </c>
      <c r="C3051" s="475" t="s">
        <v>5506</v>
      </c>
      <c r="D3051" s="475" t="s">
        <v>5507</v>
      </c>
      <c r="E3051" s="476" t="s">
        <v>34</v>
      </c>
      <c r="F3051" s="475" t="s">
        <v>34</v>
      </c>
      <c r="G3051" s="364">
        <v>98278</v>
      </c>
      <c r="H3051" s="475" t="s">
        <v>6293</v>
      </c>
      <c r="I3051" s="475" t="s">
        <v>139</v>
      </c>
      <c r="J3051" s="475" t="s">
        <v>337</v>
      </c>
      <c r="K3051" s="365">
        <v>18.309999999999999</v>
      </c>
      <c r="L3051" s="475" t="s">
        <v>141</v>
      </c>
      <c r="M3051" s="473"/>
    </row>
    <row r="3052" spans="1:13" ht="13.5">
      <c r="A3052" s="475" t="s">
        <v>5501</v>
      </c>
      <c r="B3052" s="475" t="s">
        <v>5502</v>
      </c>
      <c r="C3052" s="475" t="s">
        <v>5506</v>
      </c>
      <c r="D3052" s="475" t="s">
        <v>5507</v>
      </c>
      <c r="E3052" s="476" t="s">
        <v>34</v>
      </c>
      <c r="F3052" s="475" t="s">
        <v>34</v>
      </c>
      <c r="G3052" s="364">
        <v>98279</v>
      </c>
      <c r="H3052" s="475" t="s">
        <v>6294</v>
      </c>
      <c r="I3052" s="475" t="s">
        <v>139</v>
      </c>
      <c r="J3052" s="475" t="s">
        <v>337</v>
      </c>
      <c r="K3052" s="365">
        <v>31.49</v>
      </c>
      <c r="L3052" s="475" t="s">
        <v>141</v>
      </c>
      <c r="M3052" s="473"/>
    </row>
    <row r="3053" spans="1:13" ht="13.5">
      <c r="A3053" s="475" t="s">
        <v>5501</v>
      </c>
      <c r="B3053" s="475" t="s">
        <v>5502</v>
      </c>
      <c r="C3053" s="475" t="s">
        <v>5506</v>
      </c>
      <c r="D3053" s="475" t="s">
        <v>5507</v>
      </c>
      <c r="E3053" s="476" t="s">
        <v>34</v>
      </c>
      <c r="F3053" s="475" t="s">
        <v>34</v>
      </c>
      <c r="G3053" s="364">
        <v>98280</v>
      </c>
      <c r="H3053" s="475" t="s">
        <v>6295</v>
      </c>
      <c r="I3053" s="475" t="s">
        <v>139</v>
      </c>
      <c r="J3053" s="475" t="s">
        <v>337</v>
      </c>
      <c r="K3053" s="365">
        <v>5.41</v>
      </c>
      <c r="L3053" s="475" t="s">
        <v>141</v>
      </c>
      <c r="M3053" s="473"/>
    </row>
    <row r="3054" spans="1:13" ht="13.5">
      <c r="A3054" s="475" t="s">
        <v>5501</v>
      </c>
      <c r="B3054" s="475" t="s">
        <v>5502</v>
      </c>
      <c r="C3054" s="475" t="s">
        <v>5506</v>
      </c>
      <c r="D3054" s="475" t="s">
        <v>5507</v>
      </c>
      <c r="E3054" s="476" t="s">
        <v>34</v>
      </c>
      <c r="F3054" s="475" t="s">
        <v>34</v>
      </c>
      <c r="G3054" s="364">
        <v>98281</v>
      </c>
      <c r="H3054" s="475" t="s">
        <v>6296</v>
      </c>
      <c r="I3054" s="475" t="s">
        <v>139</v>
      </c>
      <c r="J3054" s="475" t="s">
        <v>337</v>
      </c>
      <c r="K3054" s="365">
        <v>5.95</v>
      </c>
      <c r="L3054" s="475" t="s">
        <v>141</v>
      </c>
      <c r="M3054" s="473"/>
    </row>
    <row r="3055" spans="1:13" ht="13.5">
      <c r="A3055" s="475" t="s">
        <v>5501</v>
      </c>
      <c r="B3055" s="475" t="s">
        <v>5502</v>
      </c>
      <c r="C3055" s="475" t="s">
        <v>5506</v>
      </c>
      <c r="D3055" s="475" t="s">
        <v>5507</v>
      </c>
      <c r="E3055" s="476" t="s">
        <v>34</v>
      </c>
      <c r="F3055" s="475" t="s">
        <v>34</v>
      </c>
      <c r="G3055" s="364">
        <v>98282</v>
      </c>
      <c r="H3055" s="475" t="s">
        <v>6297</v>
      </c>
      <c r="I3055" s="475" t="s">
        <v>139</v>
      </c>
      <c r="J3055" s="475" t="s">
        <v>337</v>
      </c>
      <c r="K3055" s="365">
        <v>6.61</v>
      </c>
      <c r="L3055" s="475" t="s">
        <v>141</v>
      </c>
      <c r="M3055" s="473"/>
    </row>
    <row r="3056" spans="1:13" ht="13.5">
      <c r="A3056" s="475" t="s">
        <v>5501</v>
      </c>
      <c r="B3056" s="475" t="s">
        <v>5502</v>
      </c>
      <c r="C3056" s="475" t="s">
        <v>5506</v>
      </c>
      <c r="D3056" s="475" t="s">
        <v>5507</v>
      </c>
      <c r="E3056" s="476" t="s">
        <v>34</v>
      </c>
      <c r="F3056" s="475" t="s">
        <v>34</v>
      </c>
      <c r="G3056" s="364">
        <v>98283</v>
      </c>
      <c r="H3056" s="475" t="s">
        <v>6298</v>
      </c>
      <c r="I3056" s="475" t="s">
        <v>139</v>
      </c>
      <c r="J3056" s="475" t="s">
        <v>337</v>
      </c>
      <c r="K3056" s="365">
        <v>7.12</v>
      </c>
      <c r="L3056" s="475" t="s">
        <v>141</v>
      </c>
      <c r="M3056" s="473"/>
    </row>
    <row r="3057" spans="1:13" ht="13.5">
      <c r="A3057" s="475" t="s">
        <v>5501</v>
      </c>
      <c r="B3057" s="475" t="s">
        <v>5502</v>
      </c>
      <c r="C3057" s="475" t="s">
        <v>5506</v>
      </c>
      <c r="D3057" s="475" t="s">
        <v>5507</v>
      </c>
      <c r="E3057" s="476" t="s">
        <v>34</v>
      </c>
      <c r="F3057" s="475" t="s">
        <v>34</v>
      </c>
      <c r="G3057" s="364">
        <v>98284</v>
      </c>
      <c r="H3057" s="475" t="s">
        <v>6299</v>
      </c>
      <c r="I3057" s="475" t="s">
        <v>139</v>
      </c>
      <c r="J3057" s="475" t="s">
        <v>337</v>
      </c>
      <c r="K3057" s="365">
        <v>7.89</v>
      </c>
      <c r="L3057" s="475" t="s">
        <v>141</v>
      </c>
      <c r="M3057" s="473"/>
    </row>
    <row r="3058" spans="1:13" ht="13.5">
      <c r="A3058" s="475" t="s">
        <v>5501</v>
      </c>
      <c r="B3058" s="475" t="s">
        <v>5502</v>
      </c>
      <c r="C3058" s="475" t="s">
        <v>5506</v>
      </c>
      <c r="D3058" s="475" t="s">
        <v>5507</v>
      </c>
      <c r="E3058" s="476" t="s">
        <v>34</v>
      </c>
      <c r="F3058" s="475" t="s">
        <v>34</v>
      </c>
      <c r="G3058" s="364">
        <v>98285</v>
      </c>
      <c r="H3058" s="475" t="s">
        <v>6300</v>
      </c>
      <c r="I3058" s="475" t="s">
        <v>139</v>
      </c>
      <c r="J3058" s="475" t="s">
        <v>337</v>
      </c>
      <c r="K3058" s="365">
        <v>8.33</v>
      </c>
      <c r="L3058" s="475" t="s">
        <v>141</v>
      </c>
      <c r="M3058" s="473"/>
    </row>
    <row r="3059" spans="1:13" ht="13.5">
      <c r="A3059" s="475" t="s">
        <v>5501</v>
      </c>
      <c r="B3059" s="475" t="s">
        <v>5502</v>
      </c>
      <c r="C3059" s="475" t="s">
        <v>5506</v>
      </c>
      <c r="D3059" s="475" t="s">
        <v>5507</v>
      </c>
      <c r="E3059" s="476" t="s">
        <v>34</v>
      </c>
      <c r="F3059" s="475" t="s">
        <v>34</v>
      </c>
      <c r="G3059" s="364">
        <v>98286</v>
      </c>
      <c r="H3059" s="475" t="s">
        <v>6301</v>
      </c>
      <c r="I3059" s="475" t="s">
        <v>139</v>
      </c>
      <c r="J3059" s="475" t="s">
        <v>337</v>
      </c>
      <c r="K3059" s="365">
        <v>12.1</v>
      </c>
      <c r="L3059" s="475" t="s">
        <v>141</v>
      </c>
      <c r="M3059" s="473"/>
    </row>
    <row r="3060" spans="1:13" ht="13.5">
      <c r="A3060" s="475" t="s">
        <v>5501</v>
      </c>
      <c r="B3060" s="475" t="s">
        <v>5502</v>
      </c>
      <c r="C3060" s="475" t="s">
        <v>5506</v>
      </c>
      <c r="D3060" s="475" t="s">
        <v>5507</v>
      </c>
      <c r="E3060" s="476" t="s">
        <v>34</v>
      </c>
      <c r="F3060" s="475" t="s">
        <v>34</v>
      </c>
      <c r="G3060" s="364">
        <v>98287</v>
      </c>
      <c r="H3060" s="475" t="s">
        <v>6302</v>
      </c>
      <c r="I3060" s="475" t="s">
        <v>139</v>
      </c>
      <c r="J3060" s="475" t="s">
        <v>337</v>
      </c>
      <c r="K3060" s="365">
        <v>1.0900000000000001</v>
      </c>
      <c r="L3060" s="475" t="s">
        <v>141</v>
      </c>
      <c r="M3060" s="473"/>
    </row>
    <row r="3061" spans="1:13" ht="13.5">
      <c r="A3061" s="475" t="s">
        <v>5501</v>
      </c>
      <c r="B3061" s="475" t="s">
        <v>5502</v>
      </c>
      <c r="C3061" s="475" t="s">
        <v>5506</v>
      </c>
      <c r="D3061" s="475" t="s">
        <v>5507</v>
      </c>
      <c r="E3061" s="476" t="s">
        <v>34</v>
      </c>
      <c r="F3061" s="475" t="s">
        <v>34</v>
      </c>
      <c r="G3061" s="364">
        <v>98288</v>
      </c>
      <c r="H3061" s="475" t="s">
        <v>6303</v>
      </c>
      <c r="I3061" s="475" t="s">
        <v>139</v>
      </c>
      <c r="J3061" s="475" t="s">
        <v>337</v>
      </c>
      <c r="K3061" s="365">
        <v>1.63</v>
      </c>
      <c r="L3061" s="475" t="s">
        <v>141</v>
      </c>
      <c r="M3061" s="473"/>
    </row>
    <row r="3062" spans="1:13" ht="13.5">
      <c r="A3062" s="475" t="s">
        <v>5501</v>
      </c>
      <c r="B3062" s="475" t="s">
        <v>5502</v>
      </c>
      <c r="C3062" s="475" t="s">
        <v>5506</v>
      </c>
      <c r="D3062" s="475" t="s">
        <v>5507</v>
      </c>
      <c r="E3062" s="476" t="s">
        <v>34</v>
      </c>
      <c r="F3062" s="475" t="s">
        <v>34</v>
      </c>
      <c r="G3062" s="364">
        <v>98289</v>
      </c>
      <c r="H3062" s="475" t="s">
        <v>6304</v>
      </c>
      <c r="I3062" s="475" t="s">
        <v>139</v>
      </c>
      <c r="J3062" s="475" t="s">
        <v>337</v>
      </c>
      <c r="K3062" s="365">
        <v>2.29</v>
      </c>
      <c r="L3062" s="475" t="s">
        <v>141</v>
      </c>
      <c r="M3062" s="473"/>
    </row>
    <row r="3063" spans="1:13" ht="13.5">
      <c r="A3063" s="475" t="s">
        <v>5501</v>
      </c>
      <c r="B3063" s="475" t="s">
        <v>5502</v>
      </c>
      <c r="C3063" s="475" t="s">
        <v>5506</v>
      </c>
      <c r="D3063" s="475" t="s">
        <v>5507</v>
      </c>
      <c r="E3063" s="476" t="s">
        <v>34</v>
      </c>
      <c r="F3063" s="475" t="s">
        <v>34</v>
      </c>
      <c r="G3063" s="364">
        <v>98290</v>
      </c>
      <c r="H3063" s="475" t="s">
        <v>6305</v>
      </c>
      <c r="I3063" s="475" t="s">
        <v>139</v>
      </c>
      <c r="J3063" s="475" t="s">
        <v>337</v>
      </c>
      <c r="K3063" s="365">
        <v>2.8</v>
      </c>
      <c r="L3063" s="475" t="s">
        <v>141</v>
      </c>
      <c r="M3063" s="473"/>
    </row>
    <row r="3064" spans="1:13" ht="13.5">
      <c r="A3064" s="475" t="s">
        <v>5501</v>
      </c>
      <c r="B3064" s="475" t="s">
        <v>5502</v>
      </c>
      <c r="C3064" s="475" t="s">
        <v>5506</v>
      </c>
      <c r="D3064" s="475" t="s">
        <v>5507</v>
      </c>
      <c r="E3064" s="476" t="s">
        <v>34</v>
      </c>
      <c r="F3064" s="475" t="s">
        <v>34</v>
      </c>
      <c r="G3064" s="364">
        <v>98291</v>
      </c>
      <c r="H3064" s="475" t="s">
        <v>6306</v>
      </c>
      <c r="I3064" s="475" t="s">
        <v>139</v>
      </c>
      <c r="J3064" s="475" t="s">
        <v>337</v>
      </c>
      <c r="K3064" s="365">
        <v>3.58</v>
      </c>
      <c r="L3064" s="475" t="s">
        <v>141</v>
      </c>
      <c r="M3064" s="473"/>
    </row>
    <row r="3065" spans="1:13" ht="13.5">
      <c r="A3065" s="475" t="s">
        <v>5501</v>
      </c>
      <c r="B3065" s="475" t="s">
        <v>5502</v>
      </c>
      <c r="C3065" s="475" t="s">
        <v>5506</v>
      </c>
      <c r="D3065" s="475" t="s">
        <v>5507</v>
      </c>
      <c r="E3065" s="476" t="s">
        <v>34</v>
      </c>
      <c r="F3065" s="475" t="s">
        <v>34</v>
      </c>
      <c r="G3065" s="364">
        <v>98292</v>
      </c>
      <c r="H3065" s="475" t="s">
        <v>6307</v>
      </c>
      <c r="I3065" s="475" t="s">
        <v>139</v>
      </c>
      <c r="J3065" s="475" t="s">
        <v>337</v>
      </c>
      <c r="K3065" s="365">
        <v>4.01</v>
      </c>
      <c r="L3065" s="475" t="s">
        <v>141</v>
      </c>
      <c r="M3065" s="473"/>
    </row>
    <row r="3066" spans="1:13" ht="13.5">
      <c r="A3066" s="475" t="s">
        <v>5501</v>
      </c>
      <c r="B3066" s="475" t="s">
        <v>5502</v>
      </c>
      <c r="C3066" s="475" t="s">
        <v>5506</v>
      </c>
      <c r="D3066" s="475" t="s">
        <v>5507</v>
      </c>
      <c r="E3066" s="476" t="s">
        <v>34</v>
      </c>
      <c r="F3066" s="475" t="s">
        <v>34</v>
      </c>
      <c r="G3066" s="364">
        <v>98293</v>
      </c>
      <c r="H3066" s="475" t="s">
        <v>6308</v>
      </c>
      <c r="I3066" s="475" t="s">
        <v>139</v>
      </c>
      <c r="J3066" s="475" t="s">
        <v>337</v>
      </c>
      <c r="K3066" s="365">
        <v>7.79</v>
      </c>
      <c r="L3066" s="475" t="s">
        <v>141</v>
      </c>
      <c r="M3066" s="473"/>
    </row>
    <row r="3067" spans="1:13" ht="13.5">
      <c r="A3067" s="475" t="s">
        <v>5501</v>
      </c>
      <c r="B3067" s="475" t="s">
        <v>5502</v>
      </c>
      <c r="C3067" s="475" t="s">
        <v>5506</v>
      </c>
      <c r="D3067" s="475" t="s">
        <v>5507</v>
      </c>
      <c r="E3067" s="476" t="s">
        <v>34</v>
      </c>
      <c r="F3067" s="475" t="s">
        <v>34</v>
      </c>
      <c r="G3067" s="364">
        <v>98400</v>
      </c>
      <c r="H3067" s="475" t="s">
        <v>6309</v>
      </c>
      <c r="I3067" s="475" t="s">
        <v>139</v>
      </c>
      <c r="J3067" s="475" t="s">
        <v>337</v>
      </c>
      <c r="K3067" s="365">
        <v>11.27</v>
      </c>
      <c r="L3067" s="475" t="s">
        <v>141</v>
      </c>
      <c r="M3067" s="473"/>
    </row>
    <row r="3068" spans="1:13" ht="13.5">
      <c r="A3068" s="475" t="s">
        <v>5501</v>
      </c>
      <c r="B3068" s="475" t="s">
        <v>5502</v>
      </c>
      <c r="C3068" s="475" t="s">
        <v>5506</v>
      </c>
      <c r="D3068" s="475" t="s">
        <v>5507</v>
      </c>
      <c r="E3068" s="476" t="s">
        <v>34</v>
      </c>
      <c r="F3068" s="475" t="s">
        <v>34</v>
      </c>
      <c r="G3068" s="364">
        <v>98401</v>
      </c>
      <c r="H3068" s="475" t="s">
        <v>6310</v>
      </c>
      <c r="I3068" s="475" t="s">
        <v>139</v>
      </c>
      <c r="J3068" s="475" t="s">
        <v>337</v>
      </c>
      <c r="K3068" s="365">
        <v>17.690000000000001</v>
      </c>
      <c r="L3068" s="475" t="s">
        <v>141</v>
      </c>
      <c r="M3068" s="473"/>
    </row>
    <row r="3069" spans="1:13" ht="13.5">
      <c r="A3069" s="475" t="s">
        <v>5501</v>
      </c>
      <c r="B3069" s="475" t="s">
        <v>5502</v>
      </c>
      <c r="C3069" s="475" t="s">
        <v>5506</v>
      </c>
      <c r="D3069" s="475" t="s">
        <v>5507</v>
      </c>
      <c r="E3069" s="476" t="s">
        <v>34</v>
      </c>
      <c r="F3069" s="475" t="s">
        <v>34</v>
      </c>
      <c r="G3069" s="364">
        <v>98402</v>
      </c>
      <c r="H3069" s="475" t="s">
        <v>6311</v>
      </c>
      <c r="I3069" s="475" t="s">
        <v>139</v>
      </c>
      <c r="J3069" s="475" t="s">
        <v>337</v>
      </c>
      <c r="K3069" s="365">
        <v>23.06</v>
      </c>
      <c r="L3069" s="475" t="s">
        <v>141</v>
      </c>
      <c r="M3069" s="473"/>
    </row>
    <row r="3070" spans="1:13" ht="13.5">
      <c r="A3070" s="475" t="s">
        <v>5501</v>
      </c>
      <c r="B3070" s="475" t="s">
        <v>5502</v>
      </c>
      <c r="C3070" s="475" t="s">
        <v>5509</v>
      </c>
      <c r="D3070" s="475" t="s">
        <v>5510</v>
      </c>
      <c r="E3070" s="476" t="s">
        <v>34</v>
      </c>
      <c r="F3070" s="475" t="s">
        <v>34</v>
      </c>
      <c r="G3070" s="364">
        <v>98397</v>
      </c>
      <c r="H3070" s="475" t="s">
        <v>6312</v>
      </c>
      <c r="I3070" s="475" t="s">
        <v>322</v>
      </c>
      <c r="J3070" s="475" t="s">
        <v>337</v>
      </c>
      <c r="K3070" s="365">
        <v>8.6300000000000008</v>
      </c>
      <c r="L3070" s="475" t="s">
        <v>141</v>
      </c>
      <c r="M3070" s="473"/>
    </row>
    <row r="3071" spans="1:13" ht="13.5">
      <c r="A3071" s="475" t="s">
        <v>5501</v>
      </c>
      <c r="B3071" s="475" t="s">
        <v>5502</v>
      </c>
      <c r="C3071" s="475" t="s">
        <v>5511</v>
      </c>
      <c r="D3071" s="475" t="s">
        <v>5512</v>
      </c>
      <c r="E3071" s="476">
        <v>74003</v>
      </c>
      <c r="F3071" s="475" t="s">
        <v>5513</v>
      </c>
      <c r="G3071" s="364" t="s">
        <v>2628</v>
      </c>
      <c r="H3071" s="475" t="s">
        <v>2629</v>
      </c>
      <c r="I3071" s="475" t="s">
        <v>171</v>
      </c>
      <c r="J3071" s="475" t="s">
        <v>140</v>
      </c>
      <c r="K3071" s="365">
        <v>5366.85</v>
      </c>
      <c r="L3071" s="475" t="s">
        <v>141</v>
      </c>
      <c r="M3071" s="473"/>
    </row>
    <row r="3072" spans="1:13" ht="13.5">
      <c r="A3072" s="475" t="s">
        <v>5501</v>
      </c>
      <c r="B3072" s="475" t="s">
        <v>5502</v>
      </c>
      <c r="C3072" s="475" t="s">
        <v>5511</v>
      </c>
      <c r="D3072" s="475" t="s">
        <v>5512</v>
      </c>
      <c r="E3072" s="476" t="s">
        <v>34</v>
      </c>
      <c r="F3072" s="475" t="s">
        <v>34</v>
      </c>
      <c r="G3072" s="364">
        <v>85120</v>
      </c>
      <c r="H3072" s="475" t="s">
        <v>2630</v>
      </c>
      <c r="I3072" s="475" t="s">
        <v>171</v>
      </c>
      <c r="J3072" s="475" t="s">
        <v>140</v>
      </c>
      <c r="K3072" s="365">
        <v>122.32</v>
      </c>
      <c r="L3072" s="475" t="s">
        <v>141</v>
      </c>
      <c r="M3072" s="473"/>
    </row>
    <row r="3073" spans="1:13" ht="13.5">
      <c r="A3073" s="475" t="s">
        <v>5501</v>
      </c>
      <c r="B3073" s="475" t="s">
        <v>5502</v>
      </c>
      <c r="C3073" s="475" t="s">
        <v>5514</v>
      </c>
      <c r="D3073" s="475" t="s">
        <v>5515</v>
      </c>
      <c r="E3073" s="476" t="s">
        <v>34</v>
      </c>
      <c r="F3073" s="475" t="s">
        <v>34</v>
      </c>
      <c r="G3073" s="364">
        <v>83486</v>
      </c>
      <c r="H3073" s="475" t="s">
        <v>2631</v>
      </c>
      <c r="I3073" s="475" t="s">
        <v>171</v>
      </c>
      <c r="J3073" s="475" t="s">
        <v>337</v>
      </c>
      <c r="K3073" s="365">
        <v>1204.8</v>
      </c>
      <c r="L3073" s="475" t="s">
        <v>141</v>
      </c>
      <c r="M3073" s="473"/>
    </row>
    <row r="3074" spans="1:13" ht="13.5">
      <c r="A3074" s="475" t="s">
        <v>5501</v>
      </c>
      <c r="B3074" s="475" t="s">
        <v>5502</v>
      </c>
      <c r="C3074" s="475" t="s">
        <v>5514</v>
      </c>
      <c r="D3074" s="475" t="s">
        <v>5515</v>
      </c>
      <c r="E3074" s="476" t="s">
        <v>34</v>
      </c>
      <c r="F3074" s="475" t="s">
        <v>34</v>
      </c>
      <c r="G3074" s="364">
        <v>83643</v>
      </c>
      <c r="H3074" s="475" t="s">
        <v>2632</v>
      </c>
      <c r="I3074" s="475" t="s">
        <v>171</v>
      </c>
      <c r="J3074" s="475" t="s">
        <v>337</v>
      </c>
      <c r="K3074" s="365">
        <v>3812.26</v>
      </c>
      <c r="L3074" s="475" t="s">
        <v>141</v>
      </c>
      <c r="M3074" s="473"/>
    </row>
    <row r="3075" spans="1:13" ht="13.5">
      <c r="A3075" s="475" t="s">
        <v>5501</v>
      </c>
      <c r="B3075" s="475" t="s">
        <v>5502</v>
      </c>
      <c r="C3075" s="475" t="s">
        <v>5514</v>
      </c>
      <c r="D3075" s="475" t="s">
        <v>5515</v>
      </c>
      <c r="E3075" s="476" t="s">
        <v>34</v>
      </c>
      <c r="F3075" s="475" t="s">
        <v>34</v>
      </c>
      <c r="G3075" s="364">
        <v>83644</v>
      </c>
      <c r="H3075" s="475" t="s">
        <v>2633</v>
      </c>
      <c r="I3075" s="475" t="s">
        <v>171</v>
      </c>
      <c r="J3075" s="475" t="s">
        <v>337</v>
      </c>
      <c r="K3075" s="365">
        <v>5159.3100000000004</v>
      </c>
      <c r="L3075" s="475" t="s">
        <v>141</v>
      </c>
      <c r="M3075" s="473"/>
    </row>
    <row r="3076" spans="1:13" ht="13.5">
      <c r="A3076" s="475" t="s">
        <v>5501</v>
      </c>
      <c r="B3076" s="475" t="s">
        <v>5502</v>
      </c>
      <c r="C3076" s="475" t="s">
        <v>5514</v>
      </c>
      <c r="D3076" s="475" t="s">
        <v>5515</v>
      </c>
      <c r="E3076" s="476" t="s">
        <v>34</v>
      </c>
      <c r="F3076" s="475" t="s">
        <v>34</v>
      </c>
      <c r="G3076" s="364">
        <v>83645</v>
      </c>
      <c r="H3076" s="475" t="s">
        <v>2634</v>
      </c>
      <c r="I3076" s="475" t="s">
        <v>171</v>
      </c>
      <c r="J3076" s="475" t="s">
        <v>337</v>
      </c>
      <c r="K3076" s="365">
        <v>1624.91</v>
      </c>
      <c r="L3076" s="475" t="s">
        <v>141</v>
      </c>
      <c r="M3076" s="473"/>
    </row>
    <row r="3077" spans="1:13" ht="13.5">
      <c r="A3077" s="475" t="s">
        <v>5501</v>
      </c>
      <c r="B3077" s="475" t="s">
        <v>5502</v>
      </c>
      <c r="C3077" s="475" t="s">
        <v>5514</v>
      </c>
      <c r="D3077" s="475" t="s">
        <v>5515</v>
      </c>
      <c r="E3077" s="476" t="s">
        <v>34</v>
      </c>
      <c r="F3077" s="475" t="s">
        <v>34</v>
      </c>
      <c r="G3077" s="364">
        <v>83646</v>
      </c>
      <c r="H3077" s="475" t="s">
        <v>2635</v>
      </c>
      <c r="I3077" s="475" t="s">
        <v>171</v>
      </c>
      <c r="J3077" s="475" t="s">
        <v>337</v>
      </c>
      <c r="K3077" s="365">
        <v>1889.72</v>
      </c>
      <c r="L3077" s="475" t="s">
        <v>141</v>
      </c>
      <c r="M3077" s="473"/>
    </row>
    <row r="3078" spans="1:13" ht="13.5">
      <c r="A3078" s="475" t="s">
        <v>5501</v>
      </c>
      <c r="B3078" s="475" t="s">
        <v>5502</v>
      </c>
      <c r="C3078" s="475" t="s">
        <v>5514</v>
      </c>
      <c r="D3078" s="475" t="s">
        <v>5515</v>
      </c>
      <c r="E3078" s="476" t="s">
        <v>34</v>
      </c>
      <c r="F3078" s="475" t="s">
        <v>34</v>
      </c>
      <c r="G3078" s="364">
        <v>83647</v>
      </c>
      <c r="H3078" s="475" t="s">
        <v>2636</v>
      </c>
      <c r="I3078" s="475" t="s">
        <v>171</v>
      </c>
      <c r="J3078" s="475" t="s">
        <v>337</v>
      </c>
      <c r="K3078" s="365">
        <v>1228.6300000000001</v>
      </c>
      <c r="L3078" s="475" t="s">
        <v>141</v>
      </c>
      <c r="M3078" s="473"/>
    </row>
    <row r="3079" spans="1:13" ht="13.5">
      <c r="A3079" s="475" t="s">
        <v>5501</v>
      </c>
      <c r="B3079" s="475" t="s">
        <v>5502</v>
      </c>
      <c r="C3079" s="475" t="s">
        <v>5514</v>
      </c>
      <c r="D3079" s="475" t="s">
        <v>5515</v>
      </c>
      <c r="E3079" s="476" t="s">
        <v>34</v>
      </c>
      <c r="F3079" s="475" t="s">
        <v>34</v>
      </c>
      <c r="G3079" s="364">
        <v>83648</v>
      </c>
      <c r="H3079" s="475" t="s">
        <v>2637</v>
      </c>
      <c r="I3079" s="475" t="s">
        <v>171</v>
      </c>
      <c r="J3079" s="475" t="s">
        <v>337</v>
      </c>
      <c r="K3079" s="365">
        <v>780.93</v>
      </c>
      <c r="L3079" s="475" t="s">
        <v>141</v>
      </c>
      <c r="M3079" s="473"/>
    </row>
    <row r="3080" spans="1:13" ht="13.5">
      <c r="A3080" s="475" t="s">
        <v>5501</v>
      </c>
      <c r="B3080" s="475" t="s">
        <v>5502</v>
      </c>
      <c r="C3080" s="475" t="s">
        <v>5514</v>
      </c>
      <c r="D3080" s="475" t="s">
        <v>5515</v>
      </c>
      <c r="E3080" s="476" t="s">
        <v>34</v>
      </c>
      <c r="F3080" s="475" t="s">
        <v>34</v>
      </c>
      <c r="G3080" s="364">
        <v>83649</v>
      </c>
      <c r="H3080" s="475" t="s">
        <v>2638</v>
      </c>
      <c r="I3080" s="475" t="s">
        <v>171</v>
      </c>
      <c r="J3080" s="475" t="s">
        <v>140</v>
      </c>
      <c r="K3080" s="365">
        <v>4775.0600000000004</v>
      </c>
      <c r="L3080" s="475" t="s">
        <v>141</v>
      </c>
      <c r="M3080" s="473"/>
    </row>
    <row r="3081" spans="1:13" ht="13.5">
      <c r="A3081" s="475" t="s">
        <v>5501</v>
      </c>
      <c r="B3081" s="475" t="s">
        <v>5502</v>
      </c>
      <c r="C3081" s="475" t="s">
        <v>5514</v>
      </c>
      <c r="D3081" s="475" t="s">
        <v>5515</v>
      </c>
      <c r="E3081" s="476" t="s">
        <v>34</v>
      </c>
      <c r="F3081" s="475" t="s">
        <v>34</v>
      </c>
      <c r="G3081" s="364">
        <v>83650</v>
      </c>
      <c r="H3081" s="475" t="s">
        <v>2639</v>
      </c>
      <c r="I3081" s="475" t="s">
        <v>171</v>
      </c>
      <c r="J3081" s="475" t="s">
        <v>140</v>
      </c>
      <c r="K3081" s="365">
        <v>3982.5</v>
      </c>
      <c r="L3081" s="475" t="s">
        <v>141</v>
      </c>
      <c r="M3081" s="473"/>
    </row>
    <row r="3082" spans="1:13" ht="13.5">
      <c r="A3082" s="475" t="s">
        <v>5501</v>
      </c>
      <c r="B3082" s="475" t="s">
        <v>5502</v>
      </c>
      <c r="C3082" s="475" t="s">
        <v>6313</v>
      </c>
      <c r="D3082" s="475" t="s">
        <v>6314</v>
      </c>
      <c r="E3082" s="476" t="s">
        <v>34</v>
      </c>
      <c r="F3082" s="475" t="s">
        <v>34</v>
      </c>
      <c r="G3082" s="364">
        <v>98294</v>
      </c>
      <c r="H3082" s="475" t="s">
        <v>6315</v>
      </c>
      <c r="I3082" s="475" t="s">
        <v>139</v>
      </c>
      <c r="J3082" s="475" t="s">
        <v>140</v>
      </c>
      <c r="K3082" s="365">
        <v>1.65</v>
      </c>
      <c r="L3082" s="475" t="s">
        <v>141</v>
      </c>
      <c r="M3082" s="473"/>
    </row>
    <row r="3083" spans="1:13" ht="13.5">
      <c r="A3083" s="475" t="s">
        <v>5501</v>
      </c>
      <c r="B3083" s="475" t="s">
        <v>5502</v>
      </c>
      <c r="C3083" s="475" t="s">
        <v>6313</v>
      </c>
      <c r="D3083" s="475" t="s">
        <v>6314</v>
      </c>
      <c r="E3083" s="476" t="s">
        <v>34</v>
      </c>
      <c r="F3083" s="475" t="s">
        <v>34</v>
      </c>
      <c r="G3083" s="364">
        <v>98295</v>
      </c>
      <c r="H3083" s="475" t="s">
        <v>6316</v>
      </c>
      <c r="I3083" s="475" t="s">
        <v>139</v>
      </c>
      <c r="J3083" s="475" t="s">
        <v>140</v>
      </c>
      <c r="K3083" s="365">
        <v>1.17</v>
      </c>
      <c r="L3083" s="475" t="s">
        <v>141</v>
      </c>
      <c r="M3083" s="473"/>
    </row>
    <row r="3084" spans="1:13" ht="13.5">
      <c r="A3084" s="475" t="s">
        <v>5501</v>
      </c>
      <c r="B3084" s="475" t="s">
        <v>5502</v>
      </c>
      <c r="C3084" s="475" t="s">
        <v>6313</v>
      </c>
      <c r="D3084" s="475" t="s">
        <v>6314</v>
      </c>
      <c r="E3084" s="476" t="s">
        <v>34</v>
      </c>
      <c r="F3084" s="475" t="s">
        <v>34</v>
      </c>
      <c r="G3084" s="364">
        <v>98296</v>
      </c>
      <c r="H3084" s="475" t="s">
        <v>6317</v>
      </c>
      <c r="I3084" s="475" t="s">
        <v>139</v>
      </c>
      <c r="J3084" s="475" t="s">
        <v>140</v>
      </c>
      <c r="K3084" s="365">
        <v>2.5499999999999998</v>
      </c>
      <c r="L3084" s="475" t="s">
        <v>141</v>
      </c>
      <c r="M3084" s="473"/>
    </row>
    <row r="3085" spans="1:13" ht="13.5">
      <c r="A3085" s="475" t="s">
        <v>5501</v>
      </c>
      <c r="B3085" s="475" t="s">
        <v>5502</v>
      </c>
      <c r="C3085" s="475" t="s">
        <v>6313</v>
      </c>
      <c r="D3085" s="475" t="s">
        <v>6314</v>
      </c>
      <c r="E3085" s="476" t="s">
        <v>34</v>
      </c>
      <c r="F3085" s="475" t="s">
        <v>34</v>
      </c>
      <c r="G3085" s="364">
        <v>98297</v>
      </c>
      <c r="H3085" s="475" t="s">
        <v>6318</v>
      </c>
      <c r="I3085" s="475" t="s">
        <v>139</v>
      </c>
      <c r="J3085" s="475" t="s">
        <v>140</v>
      </c>
      <c r="K3085" s="365">
        <v>1.76</v>
      </c>
      <c r="L3085" s="475" t="s">
        <v>141</v>
      </c>
      <c r="M3085" s="473"/>
    </row>
    <row r="3086" spans="1:13" ht="13.5">
      <c r="A3086" s="475" t="s">
        <v>5501</v>
      </c>
      <c r="B3086" s="475" t="s">
        <v>5502</v>
      </c>
      <c r="C3086" s="475" t="s">
        <v>6313</v>
      </c>
      <c r="D3086" s="475" t="s">
        <v>6314</v>
      </c>
      <c r="E3086" s="476" t="s">
        <v>34</v>
      </c>
      <c r="F3086" s="475" t="s">
        <v>34</v>
      </c>
      <c r="G3086" s="364">
        <v>98301</v>
      </c>
      <c r="H3086" s="475" t="s">
        <v>6319</v>
      </c>
      <c r="I3086" s="475" t="s">
        <v>171</v>
      </c>
      <c r="J3086" s="475" t="s">
        <v>140</v>
      </c>
      <c r="K3086" s="365">
        <v>381.89</v>
      </c>
      <c r="L3086" s="475" t="s">
        <v>141</v>
      </c>
      <c r="M3086" s="473"/>
    </row>
    <row r="3087" spans="1:13" ht="13.5">
      <c r="A3087" s="475" t="s">
        <v>5501</v>
      </c>
      <c r="B3087" s="475" t="s">
        <v>5502</v>
      </c>
      <c r="C3087" s="475" t="s">
        <v>6313</v>
      </c>
      <c r="D3087" s="475" t="s">
        <v>6314</v>
      </c>
      <c r="E3087" s="476" t="s">
        <v>34</v>
      </c>
      <c r="F3087" s="475" t="s">
        <v>34</v>
      </c>
      <c r="G3087" s="364">
        <v>98302</v>
      </c>
      <c r="H3087" s="475" t="s">
        <v>6320</v>
      </c>
      <c r="I3087" s="475" t="s">
        <v>171</v>
      </c>
      <c r="J3087" s="475" t="s">
        <v>140</v>
      </c>
      <c r="K3087" s="365">
        <v>505.22</v>
      </c>
      <c r="L3087" s="475" t="s">
        <v>141</v>
      </c>
      <c r="M3087" s="473"/>
    </row>
    <row r="3088" spans="1:13" ht="13.5">
      <c r="A3088" s="475" t="s">
        <v>5501</v>
      </c>
      <c r="B3088" s="475" t="s">
        <v>5502</v>
      </c>
      <c r="C3088" s="475" t="s">
        <v>6313</v>
      </c>
      <c r="D3088" s="475" t="s">
        <v>6314</v>
      </c>
      <c r="E3088" s="476" t="s">
        <v>34</v>
      </c>
      <c r="F3088" s="475" t="s">
        <v>34</v>
      </c>
      <c r="G3088" s="364">
        <v>98304</v>
      </c>
      <c r="H3088" s="475" t="s">
        <v>6321</v>
      </c>
      <c r="I3088" s="475" t="s">
        <v>171</v>
      </c>
      <c r="J3088" s="475" t="s">
        <v>140</v>
      </c>
      <c r="K3088" s="365">
        <v>819.27</v>
      </c>
      <c r="L3088" s="475" t="s">
        <v>141</v>
      </c>
      <c r="M3088" s="473"/>
    </row>
    <row r="3089" spans="1:13" ht="13.5">
      <c r="A3089" s="475" t="s">
        <v>5501</v>
      </c>
      <c r="B3089" s="475" t="s">
        <v>5502</v>
      </c>
      <c r="C3089" s="475" t="s">
        <v>6313</v>
      </c>
      <c r="D3089" s="475" t="s">
        <v>6314</v>
      </c>
      <c r="E3089" s="476" t="s">
        <v>34</v>
      </c>
      <c r="F3089" s="475" t="s">
        <v>34</v>
      </c>
      <c r="G3089" s="364">
        <v>98307</v>
      </c>
      <c r="H3089" s="475" t="s">
        <v>6322</v>
      </c>
      <c r="I3089" s="475" t="s">
        <v>171</v>
      </c>
      <c r="J3089" s="475" t="s">
        <v>337</v>
      </c>
      <c r="K3089" s="365">
        <v>36.340000000000003</v>
      </c>
      <c r="L3089" s="475" t="s">
        <v>141</v>
      </c>
      <c r="M3089" s="473"/>
    </row>
    <row r="3090" spans="1:13" ht="13.5">
      <c r="A3090" s="475" t="s">
        <v>5501</v>
      </c>
      <c r="B3090" s="475" t="s">
        <v>5502</v>
      </c>
      <c r="C3090" s="475" t="s">
        <v>6313</v>
      </c>
      <c r="D3090" s="475" t="s">
        <v>6314</v>
      </c>
      <c r="E3090" s="476" t="s">
        <v>34</v>
      </c>
      <c r="F3090" s="475" t="s">
        <v>34</v>
      </c>
      <c r="G3090" s="364">
        <v>98308</v>
      </c>
      <c r="H3090" s="475" t="s">
        <v>6323</v>
      </c>
      <c r="I3090" s="475" t="s">
        <v>171</v>
      </c>
      <c r="J3090" s="475" t="s">
        <v>337</v>
      </c>
      <c r="K3090" s="365">
        <v>23.7</v>
      </c>
      <c r="L3090" s="475" t="s">
        <v>141</v>
      </c>
      <c r="M3090" s="473"/>
    </row>
    <row r="3091" spans="1:13" ht="13.5">
      <c r="A3091" s="475" t="s">
        <v>5501</v>
      </c>
      <c r="B3091" s="475" t="s">
        <v>5502</v>
      </c>
      <c r="C3091" s="475" t="s">
        <v>6313</v>
      </c>
      <c r="D3091" s="475" t="s">
        <v>6314</v>
      </c>
      <c r="E3091" s="476" t="s">
        <v>34</v>
      </c>
      <c r="F3091" s="475" t="s">
        <v>34</v>
      </c>
      <c r="G3091" s="364">
        <v>98593</v>
      </c>
      <c r="H3091" s="475" t="s">
        <v>6522</v>
      </c>
      <c r="I3091" s="475" t="s">
        <v>171</v>
      </c>
      <c r="J3091" s="475" t="s">
        <v>140</v>
      </c>
      <c r="K3091" s="365">
        <v>671.97</v>
      </c>
      <c r="L3091" s="475" t="s">
        <v>141</v>
      </c>
      <c r="M3091" s="473"/>
    </row>
    <row r="3092" spans="1:13" ht="13.5">
      <c r="A3092" s="475" t="s">
        <v>5516</v>
      </c>
      <c r="B3092" s="475" t="s">
        <v>5517</v>
      </c>
      <c r="C3092" s="475" t="s">
        <v>5518</v>
      </c>
      <c r="D3092" s="475" t="s">
        <v>5519</v>
      </c>
      <c r="E3092" s="476" t="s">
        <v>34</v>
      </c>
      <c r="F3092" s="475" t="s">
        <v>34</v>
      </c>
      <c r="G3092" s="364">
        <v>89355</v>
      </c>
      <c r="H3092" s="475" t="s">
        <v>2640</v>
      </c>
      <c r="I3092" s="475" t="s">
        <v>139</v>
      </c>
      <c r="J3092" s="475" t="s">
        <v>337</v>
      </c>
      <c r="K3092" s="365">
        <v>13.04</v>
      </c>
      <c r="L3092" s="475" t="s">
        <v>141</v>
      </c>
      <c r="M3092" s="473"/>
    </row>
    <row r="3093" spans="1:13" ht="13.5">
      <c r="A3093" s="475" t="s">
        <v>5516</v>
      </c>
      <c r="B3093" s="475" t="s">
        <v>5517</v>
      </c>
      <c r="C3093" s="475" t="s">
        <v>5518</v>
      </c>
      <c r="D3093" s="475" t="s">
        <v>5519</v>
      </c>
      <c r="E3093" s="476" t="s">
        <v>34</v>
      </c>
      <c r="F3093" s="475" t="s">
        <v>34</v>
      </c>
      <c r="G3093" s="364">
        <v>89356</v>
      </c>
      <c r="H3093" s="475" t="s">
        <v>2641</v>
      </c>
      <c r="I3093" s="475" t="s">
        <v>139</v>
      </c>
      <c r="J3093" s="475" t="s">
        <v>337</v>
      </c>
      <c r="K3093" s="365">
        <v>15.35</v>
      </c>
      <c r="L3093" s="475" t="s">
        <v>141</v>
      </c>
      <c r="M3093" s="473"/>
    </row>
    <row r="3094" spans="1:13" ht="13.5">
      <c r="A3094" s="475" t="s">
        <v>5516</v>
      </c>
      <c r="B3094" s="475" t="s">
        <v>5517</v>
      </c>
      <c r="C3094" s="475" t="s">
        <v>5518</v>
      </c>
      <c r="D3094" s="475" t="s">
        <v>5519</v>
      </c>
      <c r="E3094" s="476" t="s">
        <v>34</v>
      </c>
      <c r="F3094" s="475" t="s">
        <v>34</v>
      </c>
      <c r="G3094" s="364">
        <v>89357</v>
      </c>
      <c r="H3094" s="475" t="s">
        <v>2642</v>
      </c>
      <c r="I3094" s="475" t="s">
        <v>139</v>
      </c>
      <c r="J3094" s="475" t="s">
        <v>337</v>
      </c>
      <c r="K3094" s="365">
        <v>21.2</v>
      </c>
      <c r="L3094" s="475" t="s">
        <v>141</v>
      </c>
      <c r="M3094" s="473"/>
    </row>
    <row r="3095" spans="1:13" ht="13.5">
      <c r="A3095" s="475" t="s">
        <v>5516</v>
      </c>
      <c r="B3095" s="475" t="s">
        <v>5517</v>
      </c>
      <c r="C3095" s="475" t="s">
        <v>5518</v>
      </c>
      <c r="D3095" s="475" t="s">
        <v>5519</v>
      </c>
      <c r="E3095" s="476" t="s">
        <v>34</v>
      </c>
      <c r="F3095" s="475" t="s">
        <v>34</v>
      </c>
      <c r="G3095" s="364">
        <v>89401</v>
      </c>
      <c r="H3095" s="475" t="s">
        <v>2643</v>
      </c>
      <c r="I3095" s="475" t="s">
        <v>139</v>
      </c>
      <c r="J3095" s="475" t="s">
        <v>337</v>
      </c>
      <c r="K3095" s="365">
        <v>5.44</v>
      </c>
      <c r="L3095" s="475" t="s">
        <v>141</v>
      </c>
      <c r="M3095" s="473"/>
    </row>
    <row r="3096" spans="1:13" ht="13.5">
      <c r="A3096" s="475" t="s">
        <v>5516</v>
      </c>
      <c r="B3096" s="475" t="s">
        <v>5517</v>
      </c>
      <c r="C3096" s="475" t="s">
        <v>5518</v>
      </c>
      <c r="D3096" s="475" t="s">
        <v>5519</v>
      </c>
      <c r="E3096" s="476" t="s">
        <v>34</v>
      </c>
      <c r="F3096" s="475" t="s">
        <v>34</v>
      </c>
      <c r="G3096" s="364">
        <v>89402</v>
      </c>
      <c r="H3096" s="475" t="s">
        <v>2644</v>
      </c>
      <c r="I3096" s="475" t="s">
        <v>139</v>
      </c>
      <c r="J3096" s="475" t="s">
        <v>337</v>
      </c>
      <c r="K3096" s="365">
        <v>6.59</v>
      </c>
      <c r="L3096" s="475" t="s">
        <v>141</v>
      </c>
      <c r="M3096" s="473"/>
    </row>
    <row r="3097" spans="1:13" ht="13.5">
      <c r="A3097" s="475" t="s">
        <v>5516</v>
      </c>
      <c r="B3097" s="475" t="s">
        <v>5517</v>
      </c>
      <c r="C3097" s="475" t="s">
        <v>5518</v>
      </c>
      <c r="D3097" s="475" t="s">
        <v>5519</v>
      </c>
      <c r="E3097" s="476" t="s">
        <v>34</v>
      </c>
      <c r="F3097" s="475" t="s">
        <v>34</v>
      </c>
      <c r="G3097" s="364">
        <v>89403</v>
      </c>
      <c r="H3097" s="475" t="s">
        <v>2645</v>
      </c>
      <c r="I3097" s="475" t="s">
        <v>139</v>
      </c>
      <c r="J3097" s="475" t="s">
        <v>337</v>
      </c>
      <c r="K3097" s="365">
        <v>10.71</v>
      </c>
      <c r="L3097" s="475" t="s">
        <v>141</v>
      </c>
      <c r="M3097" s="473"/>
    </row>
    <row r="3098" spans="1:13" ht="13.5">
      <c r="A3098" s="475" t="s">
        <v>5516</v>
      </c>
      <c r="B3098" s="475" t="s">
        <v>5517</v>
      </c>
      <c r="C3098" s="475" t="s">
        <v>5518</v>
      </c>
      <c r="D3098" s="475" t="s">
        <v>5519</v>
      </c>
      <c r="E3098" s="476" t="s">
        <v>34</v>
      </c>
      <c r="F3098" s="475" t="s">
        <v>34</v>
      </c>
      <c r="G3098" s="364">
        <v>89446</v>
      </c>
      <c r="H3098" s="475" t="s">
        <v>2646</v>
      </c>
      <c r="I3098" s="475" t="s">
        <v>139</v>
      </c>
      <c r="J3098" s="475" t="s">
        <v>337</v>
      </c>
      <c r="K3098" s="365">
        <v>3.26</v>
      </c>
      <c r="L3098" s="475" t="s">
        <v>141</v>
      </c>
      <c r="M3098" s="473"/>
    </row>
    <row r="3099" spans="1:13" ht="13.5">
      <c r="A3099" s="475" t="s">
        <v>5516</v>
      </c>
      <c r="B3099" s="475" t="s">
        <v>5517</v>
      </c>
      <c r="C3099" s="475" t="s">
        <v>5518</v>
      </c>
      <c r="D3099" s="475" t="s">
        <v>5519</v>
      </c>
      <c r="E3099" s="476" t="s">
        <v>34</v>
      </c>
      <c r="F3099" s="475" t="s">
        <v>34</v>
      </c>
      <c r="G3099" s="364">
        <v>89447</v>
      </c>
      <c r="H3099" s="475" t="s">
        <v>2647</v>
      </c>
      <c r="I3099" s="475" t="s">
        <v>139</v>
      </c>
      <c r="J3099" s="475" t="s">
        <v>337</v>
      </c>
      <c r="K3099" s="365">
        <v>6.8</v>
      </c>
      <c r="L3099" s="475" t="s">
        <v>141</v>
      </c>
      <c r="M3099" s="473"/>
    </row>
    <row r="3100" spans="1:13" ht="13.5">
      <c r="A3100" s="475" t="s">
        <v>5516</v>
      </c>
      <c r="B3100" s="475" t="s">
        <v>5517</v>
      </c>
      <c r="C3100" s="475" t="s">
        <v>5518</v>
      </c>
      <c r="D3100" s="475" t="s">
        <v>5519</v>
      </c>
      <c r="E3100" s="476" t="s">
        <v>34</v>
      </c>
      <c r="F3100" s="475" t="s">
        <v>34</v>
      </c>
      <c r="G3100" s="364">
        <v>89448</v>
      </c>
      <c r="H3100" s="475" t="s">
        <v>2648</v>
      </c>
      <c r="I3100" s="475" t="s">
        <v>139</v>
      </c>
      <c r="J3100" s="475" t="s">
        <v>337</v>
      </c>
      <c r="K3100" s="365">
        <v>9.75</v>
      </c>
      <c r="L3100" s="475" t="s">
        <v>141</v>
      </c>
      <c r="M3100" s="473"/>
    </row>
    <row r="3101" spans="1:13" ht="13.5">
      <c r="A3101" s="475" t="s">
        <v>5516</v>
      </c>
      <c r="B3101" s="475" t="s">
        <v>5517</v>
      </c>
      <c r="C3101" s="475" t="s">
        <v>5518</v>
      </c>
      <c r="D3101" s="475" t="s">
        <v>5519</v>
      </c>
      <c r="E3101" s="476" t="s">
        <v>34</v>
      </c>
      <c r="F3101" s="475" t="s">
        <v>34</v>
      </c>
      <c r="G3101" s="364">
        <v>89449</v>
      </c>
      <c r="H3101" s="475" t="s">
        <v>2649</v>
      </c>
      <c r="I3101" s="475" t="s">
        <v>139</v>
      </c>
      <c r="J3101" s="475" t="s">
        <v>337</v>
      </c>
      <c r="K3101" s="365">
        <v>11.22</v>
      </c>
      <c r="L3101" s="475" t="s">
        <v>141</v>
      </c>
      <c r="M3101" s="473"/>
    </row>
    <row r="3102" spans="1:13" ht="13.5">
      <c r="A3102" s="475" t="s">
        <v>5516</v>
      </c>
      <c r="B3102" s="475" t="s">
        <v>5517</v>
      </c>
      <c r="C3102" s="475" t="s">
        <v>5518</v>
      </c>
      <c r="D3102" s="475" t="s">
        <v>5519</v>
      </c>
      <c r="E3102" s="476" t="s">
        <v>34</v>
      </c>
      <c r="F3102" s="475" t="s">
        <v>34</v>
      </c>
      <c r="G3102" s="364">
        <v>89450</v>
      </c>
      <c r="H3102" s="475" t="s">
        <v>2650</v>
      </c>
      <c r="I3102" s="475" t="s">
        <v>139</v>
      </c>
      <c r="J3102" s="475" t="s">
        <v>337</v>
      </c>
      <c r="K3102" s="365">
        <v>18.440000000000001</v>
      </c>
      <c r="L3102" s="475" t="s">
        <v>141</v>
      </c>
      <c r="M3102" s="473"/>
    </row>
    <row r="3103" spans="1:13" ht="13.5">
      <c r="A3103" s="475" t="s">
        <v>5516</v>
      </c>
      <c r="B3103" s="475" t="s">
        <v>5517</v>
      </c>
      <c r="C3103" s="475" t="s">
        <v>5518</v>
      </c>
      <c r="D3103" s="475" t="s">
        <v>5519</v>
      </c>
      <c r="E3103" s="476" t="s">
        <v>34</v>
      </c>
      <c r="F3103" s="475" t="s">
        <v>34</v>
      </c>
      <c r="G3103" s="364">
        <v>89451</v>
      </c>
      <c r="H3103" s="475" t="s">
        <v>2651</v>
      </c>
      <c r="I3103" s="475" t="s">
        <v>139</v>
      </c>
      <c r="J3103" s="475" t="s">
        <v>337</v>
      </c>
      <c r="K3103" s="365">
        <v>30.39</v>
      </c>
      <c r="L3103" s="475" t="s">
        <v>141</v>
      </c>
      <c r="M3103" s="473"/>
    </row>
    <row r="3104" spans="1:13" ht="13.5">
      <c r="A3104" s="475" t="s">
        <v>5516</v>
      </c>
      <c r="B3104" s="475" t="s">
        <v>5517</v>
      </c>
      <c r="C3104" s="475" t="s">
        <v>5518</v>
      </c>
      <c r="D3104" s="475" t="s">
        <v>5519</v>
      </c>
      <c r="E3104" s="476" t="s">
        <v>34</v>
      </c>
      <c r="F3104" s="475" t="s">
        <v>34</v>
      </c>
      <c r="G3104" s="364">
        <v>89452</v>
      </c>
      <c r="H3104" s="475" t="s">
        <v>2652</v>
      </c>
      <c r="I3104" s="475" t="s">
        <v>139</v>
      </c>
      <c r="J3104" s="475" t="s">
        <v>337</v>
      </c>
      <c r="K3104" s="365">
        <v>37.79</v>
      </c>
      <c r="L3104" s="475" t="s">
        <v>141</v>
      </c>
      <c r="M3104" s="473"/>
    </row>
    <row r="3105" spans="1:13" ht="13.5">
      <c r="A3105" s="475" t="s">
        <v>5516</v>
      </c>
      <c r="B3105" s="475" t="s">
        <v>5517</v>
      </c>
      <c r="C3105" s="475" t="s">
        <v>5518</v>
      </c>
      <c r="D3105" s="475" t="s">
        <v>5519</v>
      </c>
      <c r="E3105" s="476" t="s">
        <v>34</v>
      </c>
      <c r="F3105" s="475" t="s">
        <v>34</v>
      </c>
      <c r="G3105" s="364">
        <v>89508</v>
      </c>
      <c r="H3105" s="475" t="s">
        <v>2653</v>
      </c>
      <c r="I3105" s="475" t="s">
        <v>139</v>
      </c>
      <c r="J3105" s="475" t="s">
        <v>337</v>
      </c>
      <c r="K3105" s="365">
        <v>13.27</v>
      </c>
      <c r="L3105" s="475" t="s">
        <v>141</v>
      </c>
      <c r="M3105" s="473"/>
    </row>
    <row r="3106" spans="1:13" ht="13.5">
      <c r="A3106" s="475" t="s">
        <v>5516</v>
      </c>
      <c r="B3106" s="475" t="s">
        <v>5517</v>
      </c>
      <c r="C3106" s="475" t="s">
        <v>5518</v>
      </c>
      <c r="D3106" s="475" t="s">
        <v>5519</v>
      </c>
      <c r="E3106" s="476" t="s">
        <v>34</v>
      </c>
      <c r="F3106" s="475" t="s">
        <v>34</v>
      </c>
      <c r="G3106" s="364">
        <v>89509</v>
      </c>
      <c r="H3106" s="475" t="s">
        <v>2654</v>
      </c>
      <c r="I3106" s="475" t="s">
        <v>139</v>
      </c>
      <c r="J3106" s="475" t="s">
        <v>337</v>
      </c>
      <c r="K3106" s="365">
        <v>18.309999999999999</v>
      </c>
      <c r="L3106" s="475" t="s">
        <v>141</v>
      </c>
      <c r="M3106" s="473"/>
    </row>
    <row r="3107" spans="1:13" ht="13.5">
      <c r="A3107" s="475" t="s">
        <v>5516</v>
      </c>
      <c r="B3107" s="475" t="s">
        <v>5517</v>
      </c>
      <c r="C3107" s="475" t="s">
        <v>5518</v>
      </c>
      <c r="D3107" s="475" t="s">
        <v>5519</v>
      </c>
      <c r="E3107" s="476" t="s">
        <v>34</v>
      </c>
      <c r="F3107" s="475" t="s">
        <v>34</v>
      </c>
      <c r="G3107" s="364">
        <v>89511</v>
      </c>
      <c r="H3107" s="475" t="s">
        <v>2655</v>
      </c>
      <c r="I3107" s="475" t="s">
        <v>139</v>
      </c>
      <c r="J3107" s="475" t="s">
        <v>337</v>
      </c>
      <c r="K3107" s="365">
        <v>27.46</v>
      </c>
      <c r="L3107" s="475" t="s">
        <v>141</v>
      </c>
      <c r="M3107" s="473"/>
    </row>
    <row r="3108" spans="1:13" ht="13.5">
      <c r="A3108" s="475" t="s">
        <v>5516</v>
      </c>
      <c r="B3108" s="475" t="s">
        <v>5517</v>
      </c>
      <c r="C3108" s="475" t="s">
        <v>5518</v>
      </c>
      <c r="D3108" s="475" t="s">
        <v>5519</v>
      </c>
      <c r="E3108" s="476" t="s">
        <v>34</v>
      </c>
      <c r="F3108" s="475" t="s">
        <v>34</v>
      </c>
      <c r="G3108" s="364">
        <v>89512</v>
      </c>
      <c r="H3108" s="475" t="s">
        <v>2656</v>
      </c>
      <c r="I3108" s="475" t="s">
        <v>139</v>
      </c>
      <c r="J3108" s="475" t="s">
        <v>337</v>
      </c>
      <c r="K3108" s="365">
        <v>42.93</v>
      </c>
      <c r="L3108" s="475" t="s">
        <v>141</v>
      </c>
      <c r="M3108" s="473"/>
    </row>
    <row r="3109" spans="1:13" ht="13.5">
      <c r="A3109" s="475" t="s">
        <v>5516</v>
      </c>
      <c r="B3109" s="475" t="s">
        <v>5517</v>
      </c>
      <c r="C3109" s="475" t="s">
        <v>5518</v>
      </c>
      <c r="D3109" s="475" t="s">
        <v>5519</v>
      </c>
      <c r="E3109" s="476" t="s">
        <v>34</v>
      </c>
      <c r="F3109" s="475" t="s">
        <v>34</v>
      </c>
      <c r="G3109" s="364">
        <v>89576</v>
      </c>
      <c r="H3109" s="475" t="s">
        <v>2657</v>
      </c>
      <c r="I3109" s="475" t="s">
        <v>139</v>
      </c>
      <c r="J3109" s="475" t="s">
        <v>337</v>
      </c>
      <c r="K3109" s="365">
        <v>15.31</v>
      </c>
      <c r="L3109" s="475" t="s">
        <v>141</v>
      </c>
      <c r="M3109" s="473"/>
    </row>
    <row r="3110" spans="1:13" ht="13.5">
      <c r="A3110" s="475" t="s">
        <v>5516</v>
      </c>
      <c r="B3110" s="475" t="s">
        <v>5517</v>
      </c>
      <c r="C3110" s="475" t="s">
        <v>5518</v>
      </c>
      <c r="D3110" s="475" t="s">
        <v>5519</v>
      </c>
      <c r="E3110" s="476" t="s">
        <v>34</v>
      </c>
      <c r="F3110" s="475" t="s">
        <v>34</v>
      </c>
      <c r="G3110" s="364">
        <v>89578</v>
      </c>
      <c r="H3110" s="475" t="s">
        <v>2658</v>
      </c>
      <c r="I3110" s="475" t="s">
        <v>139</v>
      </c>
      <c r="J3110" s="475" t="s">
        <v>337</v>
      </c>
      <c r="K3110" s="365">
        <v>26.3</v>
      </c>
      <c r="L3110" s="475" t="s">
        <v>141</v>
      </c>
      <c r="M3110" s="473"/>
    </row>
    <row r="3111" spans="1:13" ht="13.5">
      <c r="A3111" s="475" t="s">
        <v>5516</v>
      </c>
      <c r="B3111" s="475" t="s">
        <v>5517</v>
      </c>
      <c r="C3111" s="475" t="s">
        <v>5518</v>
      </c>
      <c r="D3111" s="475" t="s">
        <v>5519</v>
      </c>
      <c r="E3111" s="476" t="s">
        <v>34</v>
      </c>
      <c r="F3111" s="475" t="s">
        <v>34</v>
      </c>
      <c r="G3111" s="364">
        <v>89580</v>
      </c>
      <c r="H3111" s="475" t="s">
        <v>2659</v>
      </c>
      <c r="I3111" s="475" t="s">
        <v>139</v>
      </c>
      <c r="J3111" s="475" t="s">
        <v>337</v>
      </c>
      <c r="K3111" s="365">
        <v>51.49</v>
      </c>
      <c r="L3111" s="475" t="s">
        <v>141</v>
      </c>
      <c r="M3111" s="473"/>
    </row>
    <row r="3112" spans="1:13" ht="13.5">
      <c r="A3112" s="475" t="s">
        <v>5516</v>
      </c>
      <c r="B3112" s="475" t="s">
        <v>5517</v>
      </c>
      <c r="C3112" s="475" t="s">
        <v>5518</v>
      </c>
      <c r="D3112" s="475" t="s">
        <v>5519</v>
      </c>
      <c r="E3112" s="476" t="s">
        <v>34</v>
      </c>
      <c r="F3112" s="475" t="s">
        <v>34</v>
      </c>
      <c r="G3112" s="364">
        <v>89633</v>
      </c>
      <c r="H3112" s="475" t="s">
        <v>2660</v>
      </c>
      <c r="I3112" s="475" t="s">
        <v>139</v>
      </c>
      <c r="J3112" s="475" t="s">
        <v>337</v>
      </c>
      <c r="K3112" s="365">
        <v>15.49</v>
      </c>
      <c r="L3112" s="475" t="s">
        <v>141</v>
      </c>
      <c r="M3112" s="473"/>
    </row>
    <row r="3113" spans="1:13" ht="13.5">
      <c r="A3113" s="475" t="s">
        <v>5516</v>
      </c>
      <c r="B3113" s="475" t="s">
        <v>5517</v>
      </c>
      <c r="C3113" s="475" t="s">
        <v>5518</v>
      </c>
      <c r="D3113" s="475" t="s">
        <v>5519</v>
      </c>
      <c r="E3113" s="476" t="s">
        <v>34</v>
      </c>
      <c r="F3113" s="475" t="s">
        <v>34</v>
      </c>
      <c r="G3113" s="364">
        <v>89634</v>
      </c>
      <c r="H3113" s="475" t="s">
        <v>2661</v>
      </c>
      <c r="I3113" s="475" t="s">
        <v>139</v>
      </c>
      <c r="J3113" s="475" t="s">
        <v>337</v>
      </c>
      <c r="K3113" s="365">
        <v>22.88</v>
      </c>
      <c r="L3113" s="475" t="s">
        <v>141</v>
      </c>
      <c r="M3113" s="473"/>
    </row>
    <row r="3114" spans="1:13" ht="13.5">
      <c r="A3114" s="475" t="s">
        <v>5516</v>
      </c>
      <c r="B3114" s="475" t="s">
        <v>5517</v>
      </c>
      <c r="C3114" s="475" t="s">
        <v>5518</v>
      </c>
      <c r="D3114" s="475" t="s">
        <v>5519</v>
      </c>
      <c r="E3114" s="476" t="s">
        <v>34</v>
      </c>
      <c r="F3114" s="475" t="s">
        <v>34</v>
      </c>
      <c r="G3114" s="364">
        <v>89635</v>
      </c>
      <c r="H3114" s="475" t="s">
        <v>2662</v>
      </c>
      <c r="I3114" s="475" t="s">
        <v>139</v>
      </c>
      <c r="J3114" s="475" t="s">
        <v>337</v>
      </c>
      <c r="K3114" s="365">
        <v>31.89</v>
      </c>
      <c r="L3114" s="475" t="s">
        <v>141</v>
      </c>
      <c r="M3114" s="473"/>
    </row>
    <row r="3115" spans="1:13" ht="13.5">
      <c r="A3115" s="475" t="s">
        <v>5516</v>
      </c>
      <c r="B3115" s="475" t="s">
        <v>5517</v>
      </c>
      <c r="C3115" s="475" t="s">
        <v>5518</v>
      </c>
      <c r="D3115" s="475" t="s">
        <v>5519</v>
      </c>
      <c r="E3115" s="476" t="s">
        <v>34</v>
      </c>
      <c r="F3115" s="475" t="s">
        <v>34</v>
      </c>
      <c r="G3115" s="364">
        <v>89636</v>
      </c>
      <c r="H3115" s="475" t="s">
        <v>2663</v>
      </c>
      <c r="I3115" s="475" t="s">
        <v>139</v>
      </c>
      <c r="J3115" s="475" t="s">
        <v>337</v>
      </c>
      <c r="K3115" s="365">
        <v>38.67</v>
      </c>
      <c r="L3115" s="475" t="s">
        <v>141</v>
      </c>
      <c r="M3115" s="473"/>
    </row>
    <row r="3116" spans="1:13" ht="13.5">
      <c r="A3116" s="475" t="s">
        <v>5516</v>
      </c>
      <c r="B3116" s="475" t="s">
        <v>5517</v>
      </c>
      <c r="C3116" s="475" t="s">
        <v>5518</v>
      </c>
      <c r="D3116" s="475" t="s">
        <v>5519</v>
      </c>
      <c r="E3116" s="476" t="s">
        <v>34</v>
      </c>
      <c r="F3116" s="475" t="s">
        <v>34</v>
      </c>
      <c r="G3116" s="364">
        <v>89711</v>
      </c>
      <c r="H3116" s="475" t="s">
        <v>2664</v>
      </c>
      <c r="I3116" s="475" t="s">
        <v>139</v>
      </c>
      <c r="J3116" s="475" t="s">
        <v>337</v>
      </c>
      <c r="K3116" s="365">
        <v>13.49</v>
      </c>
      <c r="L3116" s="475" t="s">
        <v>141</v>
      </c>
      <c r="M3116" s="473"/>
    </row>
    <row r="3117" spans="1:13" ht="13.5">
      <c r="A3117" s="475" t="s">
        <v>5516</v>
      </c>
      <c r="B3117" s="475" t="s">
        <v>5517</v>
      </c>
      <c r="C3117" s="475" t="s">
        <v>5518</v>
      </c>
      <c r="D3117" s="475" t="s">
        <v>5519</v>
      </c>
      <c r="E3117" s="476" t="s">
        <v>34</v>
      </c>
      <c r="F3117" s="475" t="s">
        <v>34</v>
      </c>
      <c r="G3117" s="364">
        <v>89712</v>
      </c>
      <c r="H3117" s="475" t="s">
        <v>2665</v>
      </c>
      <c r="I3117" s="475" t="s">
        <v>139</v>
      </c>
      <c r="J3117" s="475" t="s">
        <v>337</v>
      </c>
      <c r="K3117" s="365">
        <v>19.899999999999999</v>
      </c>
      <c r="L3117" s="475" t="s">
        <v>141</v>
      </c>
      <c r="M3117" s="473"/>
    </row>
    <row r="3118" spans="1:13" ht="13.5">
      <c r="A3118" s="475" t="s">
        <v>5516</v>
      </c>
      <c r="B3118" s="475" t="s">
        <v>5517</v>
      </c>
      <c r="C3118" s="475" t="s">
        <v>5518</v>
      </c>
      <c r="D3118" s="475" t="s">
        <v>5519</v>
      </c>
      <c r="E3118" s="476" t="s">
        <v>34</v>
      </c>
      <c r="F3118" s="475" t="s">
        <v>34</v>
      </c>
      <c r="G3118" s="364">
        <v>89713</v>
      </c>
      <c r="H3118" s="475" t="s">
        <v>2666</v>
      </c>
      <c r="I3118" s="475" t="s">
        <v>139</v>
      </c>
      <c r="J3118" s="475" t="s">
        <v>337</v>
      </c>
      <c r="K3118" s="365">
        <v>30.35</v>
      </c>
      <c r="L3118" s="475" t="s">
        <v>141</v>
      </c>
      <c r="M3118" s="473"/>
    </row>
    <row r="3119" spans="1:13" ht="13.5">
      <c r="A3119" s="475" t="s">
        <v>5516</v>
      </c>
      <c r="B3119" s="475" t="s">
        <v>5517</v>
      </c>
      <c r="C3119" s="475" t="s">
        <v>5518</v>
      </c>
      <c r="D3119" s="475" t="s">
        <v>5519</v>
      </c>
      <c r="E3119" s="476" t="s">
        <v>34</v>
      </c>
      <c r="F3119" s="475" t="s">
        <v>34</v>
      </c>
      <c r="G3119" s="364">
        <v>89714</v>
      </c>
      <c r="H3119" s="475" t="s">
        <v>2667</v>
      </c>
      <c r="I3119" s="475" t="s">
        <v>139</v>
      </c>
      <c r="J3119" s="475" t="s">
        <v>337</v>
      </c>
      <c r="K3119" s="365">
        <v>39.19</v>
      </c>
      <c r="L3119" s="475" t="s">
        <v>141</v>
      </c>
      <c r="M3119" s="473"/>
    </row>
    <row r="3120" spans="1:13" ht="13.5">
      <c r="A3120" s="475" t="s">
        <v>5516</v>
      </c>
      <c r="B3120" s="475" t="s">
        <v>5517</v>
      </c>
      <c r="C3120" s="475" t="s">
        <v>5518</v>
      </c>
      <c r="D3120" s="475" t="s">
        <v>5519</v>
      </c>
      <c r="E3120" s="476" t="s">
        <v>34</v>
      </c>
      <c r="F3120" s="475" t="s">
        <v>34</v>
      </c>
      <c r="G3120" s="364">
        <v>89716</v>
      </c>
      <c r="H3120" s="475" t="s">
        <v>2668</v>
      </c>
      <c r="I3120" s="475" t="s">
        <v>139</v>
      </c>
      <c r="J3120" s="475" t="s">
        <v>337</v>
      </c>
      <c r="K3120" s="365">
        <v>14.92</v>
      </c>
      <c r="L3120" s="475" t="s">
        <v>141</v>
      </c>
      <c r="M3120" s="473"/>
    </row>
    <row r="3121" spans="1:13" ht="13.5">
      <c r="A3121" s="475" t="s">
        <v>5516</v>
      </c>
      <c r="B3121" s="475" t="s">
        <v>5517</v>
      </c>
      <c r="C3121" s="475" t="s">
        <v>5518</v>
      </c>
      <c r="D3121" s="475" t="s">
        <v>5519</v>
      </c>
      <c r="E3121" s="476" t="s">
        <v>34</v>
      </c>
      <c r="F3121" s="475" t="s">
        <v>34</v>
      </c>
      <c r="G3121" s="364">
        <v>89717</v>
      </c>
      <c r="H3121" s="475" t="s">
        <v>2669</v>
      </c>
      <c r="I3121" s="475" t="s">
        <v>139</v>
      </c>
      <c r="J3121" s="475" t="s">
        <v>337</v>
      </c>
      <c r="K3121" s="365">
        <v>22.52</v>
      </c>
      <c r="L3121" s="475" t="s">
        <v>141</v>
      </c>
      <c r="M3121" s="473"/>
    </row>
    <row r="3122" spans="1:13" ht="13.5">
      <c r="A3122" s="475" t="s">
        <v>5516</v>
      </c>
      <c r="B3122" s="475" t="s">
        <v>5517</v>
      </c>
      <c r="C3122" s="475" t="s">
        <v>5518</v>
      </c>
      <c r="D3122" s="475" t="s">
        <v>5519</v>
      </c>
      <c r="E3122" s="476" t="s">
        <v>34</v>
      </c>
      <c r="F3122" s="475" t="s">
        <v>34</v>
      </c>
      <c r="G3122" s="364">
        <v>89770</v>
      </c>
      <c r="H3122" s="475" t="s">
        <v>2670</v>
      </c>
      <c r="I3122" s="475" t="s">
        <v>139</v>
      </c>
      <c r="J3122" s="475" t="s">
        <v>337</v>
      </c>
      <c r="K3122" s="365">
        <v>23.5</v>
      </c>
      <c r="L3122" s="475" t="s">
        <v>141</v>
      </c>
      <c r="M3122" s="473"/>
    </row>
    <row r="3123" spans="1:13" ht="13.5">
      <c r="A3123" s="475" t="s">
        <v>5516</v>
      </c>
      <c r="B3123" s="475" t="s">
        <v>5517</v>
      </c>
      <c r="C3123" s="475" t="s">
        <v>5518</v>
      </c>
      <c r="D3123" s="475" t="s">
        <v>5519</v>
      </c>
      <c r="E3123" s="476" t="s">
        <v>34</v>
      </c>
      <c r="F3123" s="475" t="s">
        <v>34</v>
      </c>
      <c r="G3123" s="364">
        <v>89771</v>
      </c>
      <c r="H3123" s="475" t="s">
        <v>2671</v>
      </c>
      <c r="I3123" s="475" t="s">
        <v>139</v>
      </c>
      <c r="J3123" s="475" t="s">
        <v>337</v>
      </c>
      <c r="K3123" s="365">
        <v>32.08</v>
      </c>
      <c r="L3123" s="475" t="s">
        <v>141</v>
      </c>
      <c r="M3123" s="473"/>
    </row>
    <row r="3124" spans="1:13" ht="13.5">
      <c r="A3124" s="475" t="s">
        <v>5516</v>
      </c>
      <c r="B3124" s="475" t="s">
        <v>5517</v>
      </c>
      <c r="C3124" s="475" t="s">
        <v>5518</v>
      </c>
      <c r="D3124" s="475" t="s">
        <v>5519</v>
      </c>
      <c r="E3124" s="476" t="s">
        <v>34</v>
      </c>
      <c r="F3124" s="475" t="s">
        <v>34</v>
      </c>
      <c r="G3124" s="364">
        <v>89773</v>
      </c>
      <c r="H3124" s="475" t="s">
        <v>2672</v>
      </c>
      <c r="I3124" s="475" t="s">
        <v>139</v>
      </c>
      <c r="J3124" s="475" t="s">
        <v>337</v>
      </c>
      <c r="K3124" s="365">
        <v>74.540000000000006</v>
      </c>
      <c r="L3124" s="475" t="s">
        <v>141</v>
      </c>
      <c r="M3124" s="473"/>
    </row>
    <row r="3125" spans="1:13" ht="13.5">
      <c r="A3125" s="475" t="s">
        <v>5516</v>
      </c>
      <c r="B3125" s="475" t="s">
        <v>5517</v>
      </c>
      <c r="C3125" s="475" t="s">
        <v>5518</v>
      </c>
      <c r="D3125" s="475" t="s">
        <v>5519</v>
      </c>
      <c r="E3125" s="476" t="s">
        <v>34</v>
      </c>
      <c r="F3125" s="475" t="s">
        <v>34</v>
      </c>
      <c r="G3125" s="364">
        <v>89775</v>
      </c>
      <c r="H3125" s="475" t="s">
        <v>2673</v>
      </c>
      <c r="I3125" s="475" t="s">
        <v>139</v>
      </c>
      <c r="J3125" s="475" t="s">
        <v>337</v>
      </c>
      <c r="K3125" s="365">
        <v>117.6</v>
      </c>
      <c r="L3125" s="475" t="s">
        <v>141</v>
      </c>
      <c r="M3125" s="473"/>
    </row>
    <row r="3126" spans="1:13" ht="13.5">
      <c r="A3126" s="475" t="s">
        <v>5516</v>
      </c>
      <c r="B3126" s="475" t="s">
        <v>5517</v>
      </c>
      <c r="C3126" s="475" t="s">
        <v>5518</v>
      </c>
      <c r="D3126" s="475" t="s">
        <v>5519</v>
      </c>
      <c r="E3126" s="476" t="s">
        <v>34</v>
      </c>
      <c r="F3126" s="475" t="s">
        <v>34</v>
      </c>
      <c r="G3126" s="364">
        <v>89798</v>
      </c>
      <c r="H3126" s="475" t="s">
        <v>2674</v>
      </c>
      <c r="I3126" s="475" t="s">
        <v>139</v>
      </c>
      <c r="J3126" s="475" t="s">
        <v>337</v>
      </c>
      <c r="K3126" s="365">
        <v>7.62</v>
      </c>
      <c r="L3126" s="475" t="s">
        <v>141</v>
      </c>
      <c r="M3126" s="473"/>
    </row>
    <row r="3127" spans="1:13" ht="13.5">
      <c r="A3127" s="475" t="s">
        <v>5516</v>
      </c>
      <c r="B3127" s="475" t="s">
        <v>5517</v>
      </c>
      <c r="C3127" s="475" t="s">
        <v>5518</v>
      </c>
      <c r="D3127" s="475" t="s">
        <v>5519</v>
      </c>
      <c r="E3127" s="476" t="s">
        <v>34</v>
      </c>
      <c r="F3127" s="475" t="s">
        <v>34</v>
      </c>
      <c r="G3127" s="364">
        <v>89799</v>
      </c>
      <c r="H3127" s="475" t="s">
        <v>2675</v>
      </c>
      <c r="I3127" s="475" t="s">
        <v>139</v>
      </c>
      <c r="J3127" s="475" t="s">
        <v>337</v>
      </c>
      <c r="K3127" s="365">
        <v>12.74</v>
      </c>
      <c r="L3127" s="475" t="s">
        <v>141</v>
      </c>
      <c r="M3127" s="473"/>
    </row>
    <row r="3128" spans="1:13" ht="13.5">
      <c r="A3128" s="475" t="s">
        <v>5516</v>
      </c>
      <c r="B3128" s="475" t="s">
        <v>5517</v>
      </c>
      <c r="C3128" s="475" t="s">
        <v>5518</v>
      </c>
      <c r="D3128" s="475" t="s">
        <v>5519</v>
      </c>
      <c r="E3128" s="476" t="s">
        <v>34</v>
      </c>
      <c r="F3128" s="475" t="s">
        <v>34</v>
      </c>
      <c r="G3128" s="364">
        <v>89800</v>
      </c>
      <c r="H3128" s="475" t="s">
        <v>2676</v>
      </c>
      <c r="I3128" s="475" t="s">
        <v>139</v>
      </c>
      <c r="J3128" s="475" t="s">
        <v>337</v>
      </c>
      <c r="K3128" s="365">
        <v>15.99</v>
      </c>
      <c r="L3128" s="475" t="s">
        <v>141</v>
      </c>
      <c r="M3128" s="473"/>
    </row>
    <row r="3129" spans="1:13" ht="13.5">
      <c r="A3129" s="475" t="s">
        <v>5516</v>
      </c>
      <c r="B3129" s="475" t="s">
        <v>5517</v>
      </c>
      <c r="C3129" s="475" t="s">
        <v>5518</v>
      </c>
      <c r="D3129" s="475" t="s">
        <v>5519</v>
      </c>
      <c r="E3129" s="476" t="s">
        <v>34</v>
      </c>
      <c r="F3129" s="475" t="s">
        <v>34</v>
      </c>
      <c r="G3129" s="364">
        <v>89848</v>
      </c>
      <c r="H3129" s="475" t="s">
        <v>2677</v>
      </c>
      <c r="I3129" s="475" t="s">
        <v>139</v>
      </c>
      <c r="J3129" s="475" t="s">
        <v>337</v>
      </c>
      <c r="K3129" s="365">
        <v>20.059999999999999</v>
      </c>
      <c r="L3129" s="475" t="s">
        <v>141</v>
      </c>
      <c r="M3129" s="473"/>
    </row>
    <row r="3130" spans="1:13" ht="13.5">
      <c r="A3130" s="475" t="s">
        <v>5516</v>
      </c>
      <c r="B3130" s="475" t="s">
        <v>5517</v>
      </c>
      <c r="C3130" s="475" t="s">
        <v>5518</v>
      </c>
      <c r="D3130" s="475" t="s">
        <v>5519</v>
      </c>
      <c r="E3130" s="476" t="s">
        <v>34</v>
      </c>
      <c r="F3130" s="475" t="s">
        <v>34</v>
      </c>
      <c r="G3130" s="364">
        <v>89849</v>
      </c>
      <c r="H3130" s="475" t="s">
        <v>2678</v>
      </c>
      <c r="I3130" s="475" t="s">
        <v>139</v>
      </c>
      <c r="J3130" s="475" t="s">
        <v>337</v>
      </c>
      <c r="K3130" s="365">
        <v>37.909999999999997</v>
      </c>
      <c r="L3130" s="475" t="s">
        <v>141</v>
      </c>
      <c r="M3130" s="473"/>
    </row>
    <row r="3131" spans="1:13" ht="13.5">
      <c r="A3131" s="475" t="s">
        <v>5516</v>
      </c>
      <c r="B3131" s="475" t="s">
        <v>5517</v>
      </c>
      <c r="C3131" s="475" t="s">
        <v>5518</v>
      </c>
      <c r="D3131" s="475" t="s">
        <v>5519</v>
      </c>
      <c r="E3131" s="476" t="s">
        <v>34</v>
      </c>
      <c r="F3131" s="475" t="s">
        <v>34</v>
      </c>
      <c r="G3131" s="364">
        <v>89865</v>
      </c>
      <c r="H3131" s="475" t="s">
        <v>2679</v>
      </c>
      <c r="I3131" s="475" t="s">
        <v>139</v>
      </c>
      <c r="J3131" s="475" t="s">
        <v>337</v>
      </c>
      <c r="K3131" s="365">
        <v>9.1999999999999993</v>
      </c>
      <c r="L3131" s="475" t="s">
        <v>141</v>
      </c>
      <c r="M3131" s="473"/>
    </row>
    <row r="3132" spans="1:13" ht="13.5">
      <c r="A3132" s="475" t="s">
        <v>5516</v>
      </c>
      <c r="B3132" s="475" t="s">
        <v>5517</v>
      </c>
      <c r="C3132" s="475" t="s">
        <v>5518</v>
      </c>
      <c r="D3132" s="475" t="s">
        <v>5519</v>
      </c>
      <c r="E3132" s="476" t="s">
        <v>34</v>
      </c>
      <c r="F3132" s="475" t="s">
        <v>34</v>
      </c>
      <c r="G3132" s="364">
        <v>91784</v>
      </c>
      <c r="H3132" s="475" t="s">
        <v>2680</v>
      </c>
      <c r="I3132" s="475" t="s">
        <v>139</v>
      </c>
      <c r="J3132" s="475" t="s">
        <v>337</v>
      </c>
      <c r="K3132" s="365">
        <v>31</v>
      </c>
      <c r="L3132" s="475" t="s">
        <v>141</v>
      </c>
      <c r="M3132" s="473"/>
    </row>
    <row r="3133" spans="1:13" ht="13.5">
      <c r="A3133" s="475" t="s">
        <v>5516</v>
      </c>
      <c r="B3133" s="475" t="s">
        <v>5517</v>
      </c>
      <c r="C3133" s="475" t="s">
        <v>5518</v>
      </c>
      <c r="D3133" s="475" t="s">
        <v>5519</v>
      </c>
      <c r="E3133" s="476" t="s">
        <v>34</v>
      </c>
      <c r="F3133" s="475" t="s">
        <v>34</v>
      </c>
      <c r="G3133" s="364">
        <v>91785</v>
      </c>
      <c r="H3133" s="475" t="s">
        <v>2681</v>
      </c>
      <c r="I3133" s="475" t="s">
        <v>139</v>
      </c>
      <c r="J3133" s="475" t="s">
        <v>140</v>
      </c>
      <c r="K3133" s="365">
        <v>30.61</v>
      </c>
      <c r="L3133" s="475" t="s">
        <v>141</v>
      </c>
      <c r="M3133" s="473"/>
    </row>
    <row r="3134" spans="1:13" ht="13.5">
      <c r="A3134" s="475" t="s">
        <v>5516</v>
      </c>
      <c r="B3134" s="475" t="s">
        <v>5517</v>
      </c>
      <c r="C3134" s="475" t="s">
        <v>5518</v>
      </c>
      <c r="D3134" s="475" t="s">
        <v>5519</v>
      </c>
      <c r="E3134" s="476" t="s">
        <v>34</v>
      </c>
      <c r="F3134" s="475" t="s">
        <v>34</v>
      </c>
      <c r="G3134" s="364">
        <v>91786</v>
      </c>
      <c r="H3134" s="475" t="s">
        <v>2682</v>
      </c>
      <c r="I3134" s="475" t="s">
        <v>139</v>
      </c>
      <c r="J3134" s="475" t="s">
        <v>140</v>
      </c>
      <c r="K3134" s="365">
        <v>19.96</v>
      </c>
      <c r="L3134" s="475" t="s">
        <v>141</v>
      </c>
      <c r="M3134" s="473"/>
    </row>
    <row r="3135" spans="1:13" ht="13.5">
      <c r="A3135" s="475" t="s">
        <v>5516</v>
      </c>
      <c r="B3135" s="475" t="s">
        <v>5517</v>
      </c>
      <c r="C3135" s="475" t="s">
        <v>5518</v>
      </c>
      <c r="D3135" s="475" t="s">
        <v>5519</v>
      </c>
      <c r="E3135" s="476" t="s">
        <v>34</v>
      </c>
      <c r="F3135" s="475" t="s">
        <v>34</v>
      </c>
      <c r="G3135" s="364">
        <v>91787</v>
      </c>
      <c r="H3135" s="475" t="s">
        <v>2683</v>
      </c>
      <c r="I3135" s="475" t="s">
        <v>139</v>
      </c>
      <c r="J3135" s="475" t="s">
        <v>140</v>
      </c>
      <c r="K3135" s="365">
        <v>21.41</v>
      </c>
      <c r="L3135" s="475" t="s">
        <v>141</v>
      </c>
      <c r="M3135" s="473"/>
    </row>
    <row r="3136" spans="1:13" ht="13.5">
      <c r="A3136" s="475" t="s">
        <v>5516</v>
      </c>
      <c r="B3136" s="475" t="s">
        <v>5517</v>
      </c>
      <c r="C3136" s="475" t="s">
        <v>5518</v>
      </c>
      <c r="D3136" s="475" t="s">
        <v>5519</v>
      </c>
      <c r="E3136" s="476" t="s">
        <v>34</v>
      </c>
      <c r="F3136" s="475" t="s">
        <v>34</v>
      </c>
      <c r="G3136" s="364">
        <v>91788</v>
      </c>
      <c r="H3136" s="475" t="s">
        <v>2684</v>
      </c>
      <c r="I3136" s="475" t="s">
        <v>139</v>
      </c>
      <c r="J3136" s="475" t="s">
        <v>140</v>
      </c>
      <c r="K3136" s="365">
        <v>27.65</v>
      </c>
      <c r="L3136" s="475" t="s">
        <v>141</v>
      </c>
      <c r="M3136" s="473"/>
    </row>
    <row r="3137" spans="1:13" ht="13.5">
      <c r="A3137" s="475" t="s">
        <v>5516</v>
      </c>
      <c r="B3137" s="475" t="s">
        <v>5517</v>
      </c>
      <c r="C3137" s="475" t="s">
        <v>5518</v>
      </c>
      <c r="D3137" s="475" t="s">
        <v>5519</v>
      </c>
      <c r="E3137" s="476" t="s">
        <v>34</v>
      </c>
      <c r="F3137" s="475" t="s">
        <v>34</v>
      </c>
      <c r="G3137" s="364">
        <v>91789</v>
      </c>
      <c r="H3137" s="475" t="s">
        <v>2685</v>
      </c>
      <c r="I3137" s="475" t="s">
        <v>139</v>
      </c>
      <c r="J3137" s="475" t="s">
        <v>337</v>
      </c>
      <c r="K3137" s="365">
        <v>28.18</v>
      </c>
      <c r="L3137" s="475" t="s">
        <v>141</v>
      </c>
      <c r="M3137" s="473"/>
    </row>
    <row r="3138" spans="1:13" ht="13.5">
      <c r="A3138" s="475" t="s">
        <v>5516</v>
      </c>
      <c r="B3138" s="475" t="s">
        <v>5517</v>
      </c>
      <c r="C3138" s="475" t="s">
        <v>5518</v>
      </c>
      <c r="D3138" s="475" t="s">
        <v>5519</v>
      </c>
      <c r="E3138" s="476" t="s">
        <v>34</v>
      </c>
      <c r="F3138" s="475" t="s">
        <v>34</v>
      </c>
      <c r="G3138" s="364">
        <v>91790</v>
      </c>
      <c r="H3138" s="475" t="s">
        <v>2686</v>
      </c>
      <c r="I3138" s="475" t="s">
        <v>139</v>
      </c>
      <c r="J3138" s="475" t="s">
        <v>140</v>
      </c>
      <c r="K3138" s="365">
        <v>43.31</v>
      </c>
      <c r="L3138" s="475" t="s">
        <v>141</v>
      </c>
      <c r="M3138" s="473"/>
    </row>
    <row r="3139" spans="1:13" ht="13.5">
      <c r="A3139" s="475" t="s">
        <v>5516</v>
      </c>
      <c r="B3139" s="475" t="s">
        <v>5517</v>
      </c>
      <c r="C3139" s="475" t="s">
        <v>5518</v>
      </c>
      <c r="D3139" s="475" t="s">
        <v>5519</v>
      </c>
      <c r="E3139" s="476" t="s">
        <v>34</v>
      </c>
      <c r="F3139" s="475" t="s">
        <v>34</v>
      </c>
      <c r="G3139" s="364">
        <v>91791</v>
      </c>
      <c r="H3139" s="475" t="s">
        <v>2687</v>
      </c>
      <c r="I3139" s="475" t="s">
        <v>139</v>
      </c>
      <c r="J3139" s="475" t="s">
        <v>140</v>
      </c>
      <c r="K3139" s="365">
        <v>54.92</v>
      </c>
      <c r="L3139" s="475" t="s">
        <v>141</v>
      </c>
      <c r="M3139" s="473"/>
    </row>
    <row r="3140" spans="1:13" ht="13.5">
      <c r="A3140" s="475" t="s">
        <v>5516</v>
      </c>
      <c r="B3140" s="475" t="s">
        <v>5517</v>
      </c>
      <c r="C3140" s="475" t="s">
        <v>5518</v>
      </c>
      <c r="D3140" s="475" t="s">
        <v>5519</v>
      </c>
      <c r="E3140" s="476" t="s">
        <v>34</v>
      </c>
      <c r="F3140" s="475" t="s">
        <v>34</v>
      </c>
      <c r="G3140" s="364">
        <v>91792</v>
      </c>
      <c r="H3140" s="475" t="s">
        <v>2688</v>
      </c>
      <c r="I3140" s="475" t="s">
        <v>139</v>
      </c>
      <c r="J3140" s="475" t="s">
        <v>140</v>
      </c>
      <c r="K3140" s="365">
        <v>40.380000000000003</v>
      </c>
      <c r="L3140" s="475" t="s">
        <v>141</v>
      </c>
      <c r="M3140" s="473"/>
    </row>
    <row r="3141" spans="1:13" ht="13.5">
      <c r="A3141" s="475" t="s">
        <v>5516</v>
      </c>
      <c r="B3141" s="475" t="s">
        <v>5517</v>
      </c>
      <c r="C3141" s="475" t="s">
        <v>5518</v>
      </c>
      <c r="D3141" s="475" t="s">
        <v>5519</v>
      </c>
      <c r="E3141" s="476" t="s">
        <v>34</v>
      </c>
      <c r="F3141" s="475" t="s">
        <v>34</v>
      </c>
      <c r="G3141" s="364">
        <v>91793</v>
      </c>
      <c r="H3141" s="475" t="s">
        <v>2689</v>
      </c>
      <c r="I3141" s="475" t="s">
        <v>139</v>
      </c>
      <c r="J3141" s="475" t="s">
        <v>140</v>
      </c>
      <c r="K3141" s="365">
        <v>59.54</v>
      </c>
      <c r="L3141" s="475" t="s">
        <v>141</v>
      </c>
      <c r="M3141" s="473"/>
    </row>
    <row r="3142" spans="1:13" ht="13.5">
      <c r="A3142" s="475" t="s">
        <v>5516</v>
      </c>
      <c r="B3142" s="475" t="s">
        <v>5517</v>
      </c>
      <c r="C3142" s="475" t="s">
        <v>5518</v>
      </c>
      <c r="D3142" s="475" t="s">
        <v>5519</v>
      </c>
      <c r="E3142" s="476" t="s">
        <v>34</v>
      </c>
      <c r="F3142" s="475" t="s">
        <v>34</v>
      </c>
      <c r="G3142" s="364">
        <v>91794</v>
      </c>
      <c r="H3142" s="475" t="s">
        <v>2690</v>
      </c>
      <c r="I3142" s="475" t="s">
        <v>139</v>
      </c>
      <c r="J3142" s="475" t="s">
        <v>140</v>
      </c>
      <c r="K3142" s="365">
        <v>26.58</v>
      </c>
      <c r="L3142" s="475" t="s">
        <v>141</v>
      </c>
      <c r="M3142" s="473"/>
    </row>
    <row r="3143" spans="1:13" ht="13.5">
      <c r="A3143" s="475" t="s">
        <v>5516</v>
      </c>
      <c r="B3143" s="475" t="s">
        <v>5517</v>
      </c>
      <c r="C3143" s="475" t="s">
        <v>5518</v>
      </c>
      <c r="D3143" s="475" t="s">
        <v>5519</v>
      </c>
      <c r="E3143" s="476" t="s">
        <v>34</v>
      </c>
      <c r="F3143" s="475" t="s">
        <v>34</v>
      </c>
      <c r="G3143" s="364">
        <v>91795</v>
      </c>
      <c r="H3143" s="475" t="s">
        <v>2691</v>
      </c>
      <c r="I3143" s="475" t="s">
        <v>139</v>
      </c>
      <c r="J3143" s="475" t="s">
        <v>140</v>
      </c>
      <c r="K3143" s="365">
        <v>45.44</v>
      </c>
      <c r="L3143" s="475" t="s">
        <v>141</v>
      </c>
      <c r="M3143" s="473"/>
    </row>
    <row r="3144" spans="1:13" ht="13.5">
      <c r="A3144" s="475" t="s">
        <v>5516</v>
      </c>
      <c r="B3144" s="475" t="s">
        <v>5517</v>
      </c>
      <c r="C3144" s="475" t="s">
        <v>5518</v>
      </c>
      <c r="D3144" s="475" t="s">
        <v>5519</v>
      </c>
      <c r="E3144" s="476" t="s">
        <v>34</v>
      </c>
      <c r="F3144" s="475" t="s">
        <v>34</v>
      </c>
      <c r="G3144" s="364">
        <v>91796</v>
      </c>
      <c r="H3144" s="475" t="s">
        <v>2692</v>
      </c>
      <c r="I3144" s="475" t="s">
        <v>139</v>
      </c>
      <c r="J3144" s="475" t="s">
        <v>337</v>
      </c>
      <c r="K3144" s="365">
        <v>47.74</v>
      </c>
      <c r="L3144" s="475" t="s">
        <v>141</v>
      </c>
      <c r="M3144" s="473"/>
    </row>
    <row r="3145" spans="1:13" ht="13.5">
      <c r="A3145" s="475" t="s">
        <v>5516</v>
      </c>
      <c r="B3145" s="475" t="s">
        <v>5517</v>
      </c>
      <c r="C3145" s="475" t="s">
        <v>5518</v>
      </c>
      <c r="D3145" s="475" t="s">
        <v>5519</v>
      </c>
      <c r="E3145" s="476" t="s">
        <v>34</v>
      </c>
      <c r="F3145" s="475" t="s">
        <v>34</v>
      </c>
      <c r="G3145" s="364">
        <v>92275</v>
      </c>
      <c r="H3145" s="475" t="s">
        <v>7548</v>
      </c>
      <c r="I3145" s="475" t="s">
        <v>139</v>
      </c>
      <c r="J3145" s="475" t="s">
        <v>140</v>
      </c>
      <c r="K3145" s="365">
        <v>32.74</v>
      </c>
      <c r="L3145" s="475" t="s">
        <v>141</v>
      </c>
      <c r="M3145" s="473"/>
    </row>
    <row r="3146" spans="1:13" ht="13.5">
      <c r="A3146" s="475" t="s">
        <v>5516</v>
      </c>
      <c r="B3146" s="475" t="s">
        <v>5517</v>
      </c>
      <c r="C3146" s="475" t="s">
        <v>5518</v>
      </c>
      <c r="D3146" s="475" t="s">
        <v>5519</v>
      </c>
      <c r="E3146" s="476" t="s">
        <v>34</v>
      </c>
      <c r="F3146" s="475" t="s">
        <v>34</v>
      </c>
      <c r="G3146" s="364">
        <v>92276</v>
      </c>
      <c r="H3146" s="475" t="s">
        <v>7549</v>
      </c>
      <c r="I3146" s="475" t="s">
        <v>139</v>
      </c>
      <c r="J3146" s="475" t="s">
        <v>140</v>
      </c>
      <c r="K3146" s="365">
        <v>41.44</v>
      </c>
      <c r="L3146" s="475" t="s">
        <v>141</v>
      </c>
      <c r="M3146" s="473"/>
    </row>
    <row r="3147" spans="1:13" ht="13.5">
      <c r="A3147" s="475" t="s">
        <v>5516</v>
      </c>
      <c r="B3147" s="475" t="s">
        <v>5517</v>
      </c>
      <c r="C3147" s="475" t="s">
        <v>5518</v>
      </c>
      <c r="D3147" s="475" t="s">
        <v>5519</v>
      </c>
      <c r="E3147" s="476" t="s">
        <v>34</v>
      </c>
      <c r="F3147" s="475" t="s">
        <v>34</v>
      </c>
      <c r="G3147" s="364">
        <v>92277</v>
      </c>
      <c r="H3147" s="475" t="s">
        <v>7550</v>
      </c>
      <c r="I3147" s="475" t="s">
        <v>139</v>
      </c>
      <c r="J3147" s="475" t="s">
        <v>140</v>
      </c>
      <c r="K3147" s="365">
        <v>59.67</v>
      </c>
      <c r="L3147" s="475" t="s">
        <v>141</v>
      </c>
      <c r="M3147" s="473"/>
    </row>
    <row r="3148" spans="1:13" ht="13.5">
      <c r="A3148" s="475" t="s">
        <v>5516</v>
      </c>
      <c r="B3148" s="475" t="s">
        <v>5517</v>
      </c>
      <c r="C3148" s="475" t="s">
        <v>5518</v>
      </c>
      <c r="D3148" s="475" t="s">
        <v>5519</v>
      </c>
      <c r="E3148" s="476" t="s">
        <v>34</v>
      </c>
      <c r="F3148" s="475" t="s">
        <v>34</v>
      </c>
      <c r="G3148" s="364">
        <v>92278</v>
      </c>
      <c r="H3148" s="475" t="s">
        <v>7551</v>
      </c>
      <c r="I3148" s="475" t="s">
        <v>139</v>
      </c>
      <c r="J3148" s="475" t="s">
        <v>140</v>
      </c>
      <c r="K3148" s="365">
        <v>80.14</v>
      </c>
      <c r="L3148" s="475" t="s">
        <v>141</v>
      </c>
      <c r="M3148" s="473"/>
    </row>
    <row r="3149" spans="1:13" ht="13.5">
      <c r="A3149" s="475" t="s">
        <v>5516</v>
      </c>
      <c r="B3149" s="475" t="s">
        <v>5517</v>
      </c>
      <c r="C3149" s="475" t="s">
        <v>5518</v>
      </c>
      <c r="D3149" s="475" t="s">
        <v>5519</v>
      </c>
      <c r="E3149" s="476" t="s">
        <v>34</v>
      </c>
      <c r="F3149" s="475" t="s">
        <v>34</v>
      </c>
      <c r="G3149" s="364">
        <v>92279</v>
      </c>
      <c r="H3149" s="475" t="s">
        <v>7552</v>
      </c>
      <c r="I3149" s="475" t="s">
        <v>139</v>
      </c>
      <c r="J3149" s="475" t="s">
        <v>140</v>
      </c>
      <c r="K3149" s="365">
        <v>115.68</v>
      </c>
      <c r="L3149" s="475" t="s">
        <v>141</v>
      </c>
      <c r="M3149" s="473"/>
    </row>
    <row r="3150" spans="1:13" ht="13.5">
      <c r="A3150" s="475" t="s">
        <v>5516</v>
      </c>
      <c r="B3150" s="475" t="s">
        <v>5517</v>
      </c>
      <c r="C3150" s="475" t="s">
        <v>5518</v>
      </c>
      <c r="D3150" s="475" t="s">
        <v>5519</v>
      </c>
      <c r="E3150" s="476" t="s">
        <v>34</v>
      </c>
      <c r="F3150" s="475" t="s">
        <v>34</v>
      </c>
      <c r="G3150" s="364">
        <v>92280</v>
      </c>
      <c r="H3150" s="475" t="s">
        <v>7553</v>
      </c>
      <c r="I3150" s="475" t="s">
        <v>139</v>
      </c>
      <c r="J3150" s="475" t="s">
        <v>140</v>
      </c>
      <c r="K3150" s="365">
        <v>162.26</v>
      </c>
      <c r="L3150" s="475" t="s">
        <v>141</v>
      </c>
      <c r="M3150" s="473"/>
    </row>
    <row r="3151" spans="1:13" ht="13.5">
      <c r="A3151" s="475" t="s">
        <v>5516</v>
      </c>
      <c r="B3151" s="475" t="s">
        <v>5517</v>
      </c>
      <c r="C3151" s="475" t="s">
        <v>5518</v>
      </c>
      <c r="D3151" s="475" t="s">
        <v>5519</v>
      </c>
      <c r="E3151" s="476" t="s">
        <v>34</v>
      </c>
      <c r="F3151" s="475" t="s">
        <v>34</v>
      </c>
      <c r="G3151" s="364">
        <v>92281</v>
      </c>
      <c r="H3151" s="475" t="s">
        <v>7554</v>
      </c>
      <c r="I3151" s="475" t="s">
        <v>139</v>
      </c>
      <c r="J3151" s="475" t="s">
        <v>140</v>
      </c>
      <c r="K3151" s="365">
        <v>97.64</v>
      </c>
      <c r="L3151" s="475" t="s">
        <v>141</v>
      </c>
      <c r="M3151" s="473"/>
    </row>
    <row r="3152" spans="1:13" ht="13.5">
      <c r="A3152" s="475" t="s">
        <v>5516</v>
      </c>
      <c r="B3152" s="475" t="s">
        <v>5517</v>
      </c>
      <c r="C3152" s="475" t="s">
        <v>5518</v>
      </c>
      <c r="D3152" s="475" t="s">
        <v>5519</v>
      </c>
      <c r="E3152" s="476" t="s">
        <v>34</v>
      </c>
      <c r="F3152" s="475" t="s">
        <v>34</v>
      </c>
      <c r="G3152" s="364">
        <v>92282</v>
      </c>
      <c r="H3152" s="475" t="s">
        <v>7555</v>
      </c>
      <c r="I3152" s="475" t="s">
        <v>139</v>
      </c>
      <c r="J3152" s="475" t="s">
        <v>140</v>
      </c>
      <c r="K3152" s="365">
        <v>108.96</v>
      </c>
      <c r="L3152" s="475" t="s">
        <v>141</v>
      </c>
      <c r="M3152" s="473"/>
    </row>
    <row r="3153" spans="1:13" ht="13.5">
      <c r="A3153" s="475" t="s">
        <v>5516</v>
      </c>
      <c r="B3153" s="475" t="s">
        <v>5517</v>
      </c>
      <c r="C3153" s="475" t="s">
        <v>5518</v>
      </c>
      <c r="D3153" s="475" t="s">
        <v>5519</v>
      </c>
      <c r="E3153" s="476" t="s">
        <v>34</v>
      </c>
      <c r="F3153" s="475" t="s">
        <v>34</v>
      </c>
      <c r="G3153" s="364">
        <v>92283</v>
      </c>
      <c r="H3153" s="475" t="s">
        <v>7556</v>
      </c>
      <c r="I3153" s="475" t="s">
        <v>139</v>
      </c>
      <c r="J3153" s="475" t="s">
        <v>140</v>
      </c>
      <c r="K3153" s="365">
        <v>145.02000000000001</v>
      </c>
      <c r="L3153" s="475" t="s">
        <v>141</v>
      </c>
      <c r="M3153" s="473"/>
    </row>
    <row r="3154" spans="1:13" ht="13.5">
      <c r="A3154" s="475" t="s">
        <v>5516</v>
      </c>
      <c r="B3154" s="475" t="s">
        <v>5517</v>
      </c>
      <c r="C3154" s="475" t="s">
        <v>5518</v>
      </c>
      <c r="D3154" s="475" t="s">
        <v>5519</v>
      </c>
      <c r="E3154" s="476" t="s">
        <v>34</v>
      </c>
      <c r="F3154" s="475" t="s">
        <v>34</v>
      </c>
      <c r="G3154" s="364">
        <v>92284</v>
      </c>
      <c r="H3154" s="475" t="s">
        <v>7557</v>
      </c>
      <c r="I3154" s="475" t="s">
        <v>139</v>
      </c>
      <c r="J3154" s="475" t="s">
        <v>140</v>
      </c>
      <c r="K3154" s="365">
        <v>177.48</v>
      </c>
      <c r="L3154" s="475" t="s">
        <v>141</v>
      </c>
      <c r="M3154" s="473"/>
    </row>
    <row r="3155" spans="1:13" ht="13.5">
      <c r="A3155" s="475" t="s">
        <v>5516</v>
      </c>
      <c r="B3155" s="475" t="s">
        <v>5517</v>
      </c>
      <c r="C3155" s="475" t="s">
        <v>5518</v>
      </c>
      <c r="D3155" s="475" t="s">
        <v>5519</v>
      </c>
      <c r="E3155" s="476" t="s">
        <v>34</v>
      </c>
      <c r="F3155" s="475" t="s">
        <v>34</v>
      </c>
      <c r="G3155" s="364">
        <v>92285</v>
      </c>
      <c r="H3155" s="475" t="s">
        <v>7558</v>
      </c>
      <c r="I3155" s="475" t="s">
        <v>139</v>
      </c>
      <c r="J3155" s="475" t="s">
        <v>140</v>
      </c>
      <c r="K3155" s="365">
        <v>231.99</v>
      </c>
      <c r="L3155" s="475" t="s">
        <v>141</v>
      </c>
      <c r="M3155" s="473"/>
    </row>
    <row r="3156" spans="1:13" ht="13.5">
      <c r="A3156" s="475" t="s">
        <v>5516</v>
      </c>
      <c r="B3156" s="475" t="s">
        <v>5517</v>
      </c>
      <c r="C3156" s="475" t="s">
        <v>5518</v>
      </c>
      <c r="D3156" s="475" t="s">
        <v>5519</v>
      </c>
      <c r="E3156" s="476" t="s">
        <v>34</v>
      </c>
      <c r="F3156" s="475" t="s">
        <v>34</v>
      </c>
      <c r="G3156" s="364">
        <v>92286</v>
      </c>
      <c r="H3156" s="475" t="s">
        <v>7559</v>
      </c>
      <c r="I3156" s="475" t="s">
        <v>139</v>
      </c>
      <c r="J3156" s="475" t="s">
        <v>140</v>
      </c>
      <c r="K3156" s="365">
        <v>280.22000000000003</v>
      </c>
      <c r="L3156" s="475" t="s">
        <v>141</v>
      </c>
      <c r="M3156" s="473"/>
    </row>
    <row r="3157" spans="1:13" ht="13.5">
      <c r="A3157" s="475" t="s">
        <v>5516</v>
      </c>
      <c r="B3157" s="475" t="s">
        <v>5517</v>
      </c>
      <c r="C3157" s="475" t="s">
        <v>5518</v>
      </c>
      <c r="D3157" s="475" t="s">
        <v>5519</v>
      </c>
      <c r="E3157" s="476" t="s">
        <v>34</v>
      </c>
      <c r="F3157" s="475" t="s">
        <v>34</v>
      </c>
      <c r="G3157" s="364">
        <v>92305</v>
      </c>
      <c r="H3157" s="475" t="s">
        <v>7560</v>
      </c>
      <c r="I3157" s="475" t="s">
        <v>139</v>
      </c>
      <c r="J3157" s="475" t="s">
        <v>140</v>
      </c>
      <c r="K3157" s="365">
        <v>22.32</v>
      </c>
      <c r="L3157" s="475" t="s">
        <v>141</v>
      </c>
      <c r="M3157" s="473"/>
    </row>
    <row r="3158" spans="1:13" ht="13.5">
      <c r="A3158" s="475" t="s">
        <v>5516</v>
      </c>
      <c r="B3158" s="475" t="s">
        <v>5517</v>
      </c>
      <c r="C3158" s="475" t="s">
        <v>5518</v>
      </c>
      <c r="D3158" s="475" t="s">
        <v>5519</v>
      </c>
      <c r="E3158" s="476" t="s">
        <v>34</v>
      </c>
      <c r="F3158" s="475" t="s">
        <v>34</v>
      </c>
      <c r="G3158" s="364">
        <v>92306</v>
      </c>
      <c r="H3158" s="475" t="s">
        <v>7561</v>
      </c>
      <c r="I3158" s="475" t="s">
        <v>139</v>
      </c>
      <c r="J3158" s="475" t="s">
        <v>140</v>
      </c>
      <c r="K3158" s="365">
        <v>36.01</v>
      </c>
      <c r="L3158" s="475" t="s">
        <v>141</v>
      </c>
      <c r="M3158" s="473"/>
    </row>
    <row r="3159" spans="1:13" ht="13.5">
      <c r="A3159" s="475" t="s">
        <v>5516</v>
      </c>
      <c r="B3159" s="475" t="s">
        <v>5517</v>
      </c>
      <c r="C3159" s="475" t="s">
        <v>5518</v>
      </c>
      <c r="D3159" s="475" t="s">
        <v>5519</v>
      </c>
      <c r="E3159" s="476" t="s">
        <v>34</v>
      </c>
      <c r="F3159" s="475" t="s">
        <v>34</v>
      </c>
      <c r="G3159" s="364">
        <v>92307</v>
      </c>
      <c r="H3159" s="475" t="s">
        <v>7562</v>
      </c>
      <c r="I3159" s="475" t="s">
        <v>139</v>
      </c>
      <c r="J3159" s="475" t="s">
        <v>140</v>
      </c>
      <c r="K3159" s="365">
        <v>44.94</v>
      </c>
      <c r="L3159" s="475" t="s">
        <v>141</v>
      </c>
      <c r="M3159" s="473"/>
    </row>
    <row r="3160" spans="1:13" ht="13.5">
      <c r="A3160" s="475" t="s">
        <v>5516</v>
      </c>
      <c r="B3160" s="475" t="s">
        <v>5517</v>
      </c>
      <c r="C3160" s="475" t="s">
        <v>5518</v>
      </c>
      <c r="D3160" s="475" t="s">
        <v>5519</v>
      </c>
      <c r="E3160" s="476" t="s">
        <v>34</v>
      </c>
      <c r="F3160" s="475" t="s">
        <v>34</v>
      </c>
      <c r="G3160" s="364">
        <v>92308</v>
      </c>
      <c r="H3160" s="475" t="s">
        <v>7563</v>
      </c>
      <c r="I3160" s="475" t="s">
        <v>139</v>
      </c>
      <c r="J3160" s="475" t="s">
        <v>140</v>
      </c>
      <c r="K3160" s="365">
        <v>37.659999999999997</v>
      </c>
      <c r="L3160" s="475" t="s">
        <v>141</v>
      </c>
      <c r="M3160" s="473"/>
    </row>
    <row r="3161" spans="1:13" ht="13.5">
      <c r="A3161" s="475" t="s">
        <v>5516</v>
      </c>
      <c r="B3161" s="475" t="s">
        <v>5517</v>
      </c>
      <c r="C3161" s="475" t="s">
        <v>5518</v>
      </c>
      <c r="D3161" s="475" t="s">
        <v>5519</v>
      </c>
      <c r="E3161" s="476" t="s">
        <v>34</v>
      </c>
      <c r="F3161" s="475" t="s">
        <v>34</v>
      </c>
      <c r="G3161" s="364">
        <v>92309</v>
      </c>
      <c r="H3161" s="475" t="s">
        <v>7564</v>
      </c>
      <c r="I3161" s="475" t="s">
        <v>139</v>
      </c>
      <c r="J3161" s="475" t="s">
        <v>140</v>
      </c>
      <c r="K3161" s="365">
        <v>102.56</v>
      </c>
      <c r="L3161" s="475" t="s">
        <v>141</v>
      </c>
      <c r="M3161" s="473"/>
    </row>
    <row r="3162" spans="1:13" ht="13.5">
      <c r="A3162" s="475" t="s">
        <v>5516</v>
      </c>
      <c r="B3162" s="475" t="s">
        <v>5517</v>
      </c>
      <c r="C3162" s="475" t="s">
        <v>5518</v>
      </c>
      <c r="D3162" s="475" t="s">
        <v>5519</v>
      </c>
      <c r="E3162" s="476" t="s">
        <v>34</v>
      </c>
      <c r="F3162" s="475" t="s">
        <v>34</v>
      </c>
      <c r="G3162" s="364">
        <v>92310</v>
      </c>
      <c r="H3162" s="475" t="s">
        <v>7565</v>
      </c>
      <c r="I3162" s="475" t="s">
        <v>139</v>
      </c>
      <c r="J3162" s="475" t="s">
        <v>140</v>
      </c>
      <c r="K3162" s="365">
        <v>114.15</v>
      </c>
      <c r="L3162" s="475" t="s">
        <v>141</v>
      </c>
      <c r="M3162" s="473"/>
    </row>
    <row r="3163" spans="1:13" ht="13.5">
      <c r="A3163" s="475" t="s">
        <v>5516</v>
      </c>
      <c r="B3163" s="475" t="s">
        <v>5517</v>
      </c>
      <c r="C3163" s="475" t="s">
        <v>5518</v>
      </c>
      <c r="D3163" s="475" t="s">
        <v>5519</v>
      </c>
      <c r="E3163" s="476" t="s">
        <v>34</v>
      </c>
      <c r="F3163" s="475" t="s">
        <v>34</v>
      </c>
      <c r="G3163" s="364">
        <v>92320</v>
      </c>
      <c r="H3163" s="475" t="s">
        <v>7566</v>
      </c>
      <c r="I3163" s="475" t="s">
        <v>139</v>
      </c>
      <c r="J3163" s="475" t="s">
        <v>140</v>
      </c>
      <c r="K3163" s="365">
        <v>29.5</v>
      </c>
      <c r="L3163" s="475" t="s">
        <v>141</v>
      </c>
      <c r="M3163" s="473"/>
    </row>
    <row r="3164" spans="1:13" ht="13.5">
      <c r="A3164" s="475" t="s">
        <v>5516</v>
      </c>
      <c r="B3164" s="475" t="s">
        <v>5517</v>
      </c>
      <c r="C3164" s="475" t="s">
        <v>5518</v>
      </c>
      <c r="D3164" s="475" t="s">
        <v>5519</v>
      </c>
      <c r="E3164" s="476" t="s">
        <v>34</v>
      </c>
      <c r="F3164" s="475" t="s">
        <v>34</v>
      </c>
      <c r="G3164" s="364">
        <v>92321</v>
      </c>
      <c r="H3164" s="475" t="s">
        <v>7567</v>
      </c>
      <c r="I3164" s="475" t="s">
        <v>139</v>
      </c>
      <c r="J3164" s="475" t="s">
        <v>140</v>
      </c>
      <c r="K3164" s="365">
        <v>48.35</v>
      </c>
      <c r="L3164" s="475" t="s">
        <v>141</v>
      </c>
      <c r="M3164" s="473"/>
    </row>
    <row r="3165" spans="1:13" ht="13.5">
      <c r="A3165" s="475" t="s">
        <v>5516</v>
      </c>
      <c r="B3165" s="475" t="s">
        <v>5517</v>
      </c>
      <c r="C3165" s="475" t="s">
        <v>5518</v>
      </c>
      <c r="D3165" s="475" t="s">
        <v>5519</v>
      </c>
      <c r="E3165" s="476" t="s">
        <v>34</v>
      </c>
      <c r="F3165" s="475" t="s">
        <v>34</v>
      </c>
      <c r="G3165" s="364">
        <v>92322</v>
      </c>
      <c r="H3165" s="475" t="s">
        <v>7568</v>
      </c>
      <c r="I3165" s="475" t="s">
        <v>139</v>
      </c>
      <c r="J3165" s="475" t="s">
        <v>140</v>
      </c>
      <c r="K3165" s="365">
        <v>61.76</v>
      </c>
      <c r="L3165" s="475" t="s">
        <v>141</v>
      </c>
      <c r="M3165" s="473"/>
    </row>
    <row r="3166" spans="1:13" ht="13.5">
      <c r="A3166" s="475" t="s">
        <v>5516</v>
      </c>
      <c r="B3166" s="475" t="s">
        <v>5517</v>
      </c>
      <c r="C3166" s="475" t="s">
        <v>5518</v>
      </c>
      <c r="D3166" s="475" t="s">
        <v>5519</v>
      </c>
      <c r="E3166" s="476" t="s">
        <v>34</v>
      </c>
      <c r="F3166" s="475" t="s">
        <v>34</v>
      </c>
      <c r="G3166" s="364">
        <v>92323</v>
      </c>
      <c r="H3166" s="475" t="s">
        <v>7569</v>
      </c>
      <c r="I3166" s="475" t="s">
        <v>139</v>
      </c>
      <c r="J3166" s="475" t="s">
        <v>140</v>
      </c>
      <c r="K3166" s="365">
        <v>43.13</v>
      </c>
      <c r="L3166" s="475" t="s">
        <v>141</v>
      </c>
      <c r="M3166" s="473"/>
    </row>
    <row r="3167" spans="1:13" ht="13.5">
      <c r="A3167" s="475" t="s">
        <v>5516</v>
      </c>
      <c r="B3167" s="475" t="s">
        <v>5517</v>
      </c>
      <c r="C3167" s="475" t="s">
        <v>5518</v>
      </c>
      <c r="D3167" s="475" t="s">
        <v>5519</v>
      </c>
      <c r="E3167" s="476" t="s">
        <v>34</v>
      </c>
      <c r="F3167" s="475" t="s">
        <v>34</v>
      </c>
      <c r="G3167" s="364">
        <v>92324</v>
      </c>
      <c r="H3167" s="475" t="s">
        <v>7570</v>
      </c>
      <c r="I3167" s="475" t="s">
        <v>139</v>
      </c>
      <c r="J3167" s="475" t="s">
        <v>140</v>
      </c>
      <c r="K3167" s="365">
        <v>113.18</v>
      </c>
      <c r="L3167" s="475" t="s">
        <v>141</v>
      </c>
      <c r="M3167" s="473"/>
    </row>
    <row r="3168" spans="1:13" ht="13.5">
      <c r="A3168" s="475" t="s">
        <v>5516</v>
      </c>
      <c r="B3168" s="475" t="s">
        <v>5517</v>
      </c>
      <c r="C3168" s="475" t="s">
        <v>5518</v>
      </c>
      <c r="D3168" s="475" t="s">
        <v>5519</v>
      </c>
      <c r="E3168" s="476" t="s">
        <v>34</v>
      </c>
      <c r="F3168" s="475" t="s">
        <v>34</v>
      </c>
      <c r="G3168" s="364">
        <v>92325</v>
      </c>
      <c r="H3168" s="475" t="s">
        <v>7571</v>
      </c>
      <c r="I3168" s="475" t="s">
        <v>139</v>
      </c>
      <c r="J3168" s="475" t="s">
        <v>140</v>
      </c>
      <c r="K3168" s="365">
        <v>129.21</v>
      </c>
      <c r="L3168" s="475" t="s">
        <v>141</v>
      </c>
      <c r="M3168" s="473"/>
    </row>
    <row r="3169" spans="1:13" ht="13.5">
      <c r="A3169" s="475" t="s">
        <v>5516</v>
      </c>
      <c r="B3169" s="475" t="s">
        <v>5517</v>
      </c>
      <c r="C3169" s="475" t="s">
        <v>5518</v>
      </c>
      <c r="D3169" s="475" t="s">
        <v>5519</v>
      </c>
      <c r="E3169" s="476" t="s">
        <v>34</v>
      </c>
      <c r="F3169" s="475" t="s">
        <v>34</v>
      </c>
      <c r="G3169" s="364">
        <v>92335</v>
      </c>
      <c r="H3169" s="475" t="s">
        <v>2693</v>
      </c>
      <c r="I3169" s="475" t="s">
        <v>139</v>
      </c>
      <c r="J3169" s="475" t="s">
        <v>337</v>
      </c>
      <c r="K3169" s="365">
        <v>58.38</v>
      </c>
      <c r="L3169" s="475" t="s">
        <v>141</v>
      </c>
      <c r="M3169" s="473"/>
    </row>
    <row r="3170" spans="1:13" ht="13.5">
      <c r="A3170" s="475" t="s">
        <v>5516</v>
      </c>
      <c r="B3170" s="475" t="s">
        <v>5517</v>
      </c>
      <c r="C3170" s="475" t="s">
        <v>5518</v>
      </c>
      <c r="D3170" s="475" t="s">
        <v>5519</v>
      </c>
      <c r="E3170" s="476" t="s">
        <v>34</v>
      </c>
      <c r="F3170" s="475" t="s">
        <v>34</v>
      </c>
      <c r="G3170" s="364">
        <v>92336</v>
      </c>
      <c r="H3170" s="475" t="s">
        <v>2694</v>
      </c>
      <c r="I3170" s="475" t="s">
        <v>139</v>
      </c>
      <c r="J3170" s="475" t="s">
        <v>337</v>
      </c>
      <c r="K3170" s="365">
        <v>71.7</v>
      </c>
      <c r="L3170" s="475" t="s">
        <v>141</v>
      </c>
      <c r="M3170" s="473"/>
    </row>
    <row r="3171" spans="1:13" ht="13.5">
      <c r="A3171" s="475" t="s">
        <v>5516</v>
      </c>
      <c r="B3171" s="475" t="s">
        <v>5517</v>
      </c>
      <c r="C3171" s="475" t="s">
        <v>5518</v>
      </c>
      <c r="D3171" s="475" t="s">
        <v>5519</v>
      </c>
      <c r="E3171" s="476" t="s">
        <v>34</v>
      </c>
      <c r="F3171" s="475" t="s">
        <v>34</v>
      </c>
      <c r="G3171" s="364">
        <v>92337</v>
      </c>
      <c r="H3171" s="475" t="s">
        <v>2695</v>
      </c>
      <c r="I3171" s="475" t="s">
        <v>139</v>
      </c>
      <c r="J3171" s="475" t="s">
        <v>337</v>
      </c>
      <c r="K3171" s="365">
        <v>94.26</v>
      </c>
      <c r="L3171" s="475" t="s">
        <v>141</v>
      </c>
      <c r="M3171" s="473"/>
    </row>
    <row r="3172" spans="1:13" ht="13.5">
      <c r="A3172" s="475" t="s">
        <v>5516</v>
      </c>
      <c r="B3172" s="475" t="s">
        <v>5517</v>
      </c>
      <c r="C3172" s="475" t="s">
        <v>5518</v>
      </c>
      <c r="D3172" s="475" t="s">
        <v>5519</v>
      </c>
      <c r="E3172" s="476" t="s">
        <v>34</v>
      </c>
      <c r="F3172" s="475" t="s">
        <v>34</v>
      </c>
      <c r="G3172" s="364">
        <v>92338</v>
      </c>
      <c r="H3172" s="475" t="s">
        <v>2696</v>
      </c>
      <c r="I3172" s="475" t="s">
        <v>139</v>
      </c>
      <c r="J3172" s="475" t="s">
        <v>140</v>
      </c>
      <c r="K3172" s="365">
        <v>74.75</v>
      </c>
      <c r="L3172" s="475" t="s">
        <v>141</v>
      </c>
      <c r="M3172" s="473"/>
    </row>
    <row r="3173" spans="1:13" ht="13.5">
      <c r="A3173" s="475" t="s">
        <v>5516</v>
      </c>
      <c r="B3173" s="475" t="s">
        <v>5517</v>
      </c>
      <c r="C3173" s="475" t="s">
        <v>5518</v>
      </c>
      <c r="D3173" s="475" t="s">
        <v>5519</v>
      </c>
      <c r="E3173" s="476" t="s">
        <v>34</v>
      </c>
      <c r="F3173" s="475" t="s">
        <v>34</v>
      </c>
      <c r="G3173" s="364">
        <v>92339</v>
      </c>
      <c r="H3173" s="475" t="s">
        <v>2697</v>
      </c>
      <c r="I3173" s="475" t="s">
        <v>139</v>
      </c>
      <c r="J3173" s="475" t="s">
        <v>140</v>
      </c>
      <c r="K3173" s="365">
        <v>110.76</v>
      </c>
      <c r="L3173" s="475" t="s">
        <v>141</v>
      </c>
      <c r="M3173" s="473"/>
    </row>
    <row r="3174" spans="1:13" ht="13.5">
      <c r="A3174" s="475" t="s">
        <v>5516</v>
      </c>
      <c r="B3174" s="475" t="s">
        <v>5517</v>
      </c>
      <c r="C3174" s="475" t="s">
        <v>5518</v>
      </c>
      <c r="D3174" s="475" t="s">
        <v>5519</v>
      </c>
      <c r="E3174" s="476" t="s">
        <v>34</v>
      </c>
      <c r="F3174" s="475" t="s">
        <v>34</v>
      </c>
      <c r="G3174" s="364">
        <v>92341</v>
      </c>
      <c r="H3174" s="475" t="s">
        <v>2698</v>
      </c>
      <c r="I3174" s="475" t="s">
        <v>139</v>
      </c>
      <c r="J3174" s="475" t="s">
        <v>337</v>
      </c>
      <c r="K3174" s="365">
        <v>65.56</v>
      </c>
      <c r="L3174" s="475" t="s">
        <v>141</v>
      </c>
      <c r="M3174" s="473"/>
    </row>
    <row r="3175" spans="1:13" ht="13.5">
      <c r="A3175" s="475" t="s">
        <v>5516</v>
      </c>
      <c r="B3175" s="475" t="s">
        <v>5517</v>
      </c>
      <c r="C3175" s="475" t="s">
        <v>5518</v>
      </c>
      <c r="D3175" s="475" t="s">
        <v>5519</v>
      </c>
      <c r="E3175" s="476" t="s">
        <v>34</v>
      </c>
      <c r="F3175" s="475" t="s">
        <v>34</v>
      </c>
      <c r="G3175" s="364">
        <v>92342</v>
      </c>
      <c r="H3175" s="475" t="s">
        <v>2699</v>
      </c>
      <c r="I3175" s="475" t="s">
        <v>139</v>
      </c>
      <c r="J3175" s="475" t="s">
        <v>337</v>
      </c>
      <c r="K3175" s="365">
        <v>78.91</v>
      </c>
      <c r="L3175" s="475" t="s">
        <v>141</v>
      </c>
      <c r="M3175" s="473"/>
    </row>
    <row r="3176" spans="1:13" ht="13.5">
      <c r="A3176" s="475" t="s">
        <v>5516</v>
      </c>
      <c r="B3176" s="475" t="s">
        <v>5517</v>
      </c>
      <c r="C3176" s="475" t="s">
        <v>5518</v>
      </c>
      <c r="D3176" s="475" t="s">
        <v>5519</v>
      </c>
      <c r="E3176" s="476" t="s">
        <v>34</v>
      </c>
      <c r="F3176" s="475" t="s">
        <v>34</v>
      </c>
      <c r="G3176" s="364">
        <v>92343</v>
      </c>
      <c r="H3176" s="475" t="s">
        <v>2700</v>
      </c>
      <c r="I3176" s="475" t="s">
        <v>139</v>
      </c>
      <c r="J3176" s="475" t="s">
        <v>337</v>
      </c>
      <c r="K3176" s="365">
        <v>101.54</v>
      </c>
      <c r="L3176" s="475" t="s">
        <v>141</v>
      </c>
      <c r="M3176" s="473"/>
    </row>
    <row r="3177" spans="1:13" ht="13.5">
      <c r="A3177" s="475" t="s">
        <v>5516</v>
      </c>
      <c r="B3177" s="475" t="s">
        <v>5517</v>
      </c>
      <c r="C3177" s="475" t="s">
        <v>5518</v>
      </c>
      <c r="D3177" s="475" t="s">
        <v>5519</v>
      </c>
      <c r="E3177" s="476" t="s">
        <v>34</v>
      </c>
      <c r="F3177" s="475" t="s">
        <v>34</v>
      </c>
      <c r="G3177" s="364">
        <v>92361</v>
      </c>
      <c r="H3177" s="475" t="s">
        <v>2701</v>
      </c>
      <c r="I3177" s="475" t="s">
        <v>139</v>
      </c>
      <c r="J3177" s="475" t="s">
        <v>140</v>
      </c>
      <c r="K3177" s="365">
        <v>59.84</v>
      </c>
      <c r="L3177" s="475" t="s">
        <v>141</v>
      </c>
      <c r="M3177" s="473"/>
    </row>
    <row r="3178" spans="1:13" ht="13.5">
      <c r="A3178" s="475" t="s">
        <v>5516</v>
      </c>
      <c r="B3178" s="475" t="s">
        <v>5517</v>
      </c>
      <c r="C3178" s="475" t="s">
        <v>5518</v>
      </c>
      <c r="D3178" s="475" t="s">
        <v>5519</v>
      </c>
      <c r="E3178" s="476" t="s">
        <v>34</v>
      </c>
      <c r="F3178" s="475" t="s">
        <v>34</v>
      </c>
      <c r="G3178" s="364">
        <v>92362</v>
      </c>
      <c r="H3178" s="475" t="s">
        <v>2702</v>
      </c>
      <c r="I3178" s="475" t="s">
        <v>139</v>
      </c>
      <c r="J3178" s="475" t="s">
        <v>140</v>
      </c>
      <c r="K3178" s="365">
        <v>95.26</v>
      </c>
      <c r="L3178" s="475" t="s">
        <v>141</v>
      </c>
      <c r="M3178" s="473"/>
    </row>
    <row r="3179" spans="1:13" ht="13.5">
      <c r="A3179" s="475" t="s">
        <v>5516</v>
      </c>
      <c r="B3179" s="475" t="s">
        <v>5517</v>
      </c>
      <c r="C3179" s="475" t="s">
        <v>5518</v>
      </c>
      <c r="D3179" s="475" t="s">
        <v>5519</v>
      </c>
      <c r="E3179" s="476" t="s">
        <v>34</v>
      </c>
      <c r="F3179" s="475" t="s">
        <v>34</v>
      </c>
      <c r="G3179" s="364">
        <v>92364</v>
      </c>
      <c r="H3179" s="475" t="s">
        <v>2703</v>
      </c>
      <c r="I3179" s="475" t="s">
        <v>139</v>
      </c>
      <c r="J3179" s="475" t="s">
        <v>337</v>
      </c>
      <c r="K3179" s="365">
        <v>35.51</v>
      </c>
      <c r="L3179" s="475" t="s">
        <v>141</v>
      </c>
      <c r="M3179" s="473"/>
    </row>
    <row r="3180" spans="1:13" ht="13.5">
      <c r="A3180" s="475" t="s">
        <v>5516</v>
      </c>
      <c r="B3180" s="475" t="s">
        <v>5517</v>
      </c>
      <c r="C3180" s="475" t="s">
        <v>5518</v>
      </c>
      <c r="D3180" s="475" t="s">
        <v>5519</v>
      </c>
      <c r="E3180" s="476" t="s">
        <v>34</v>
      </c>
      <c r="F3180" s="475" t="s">
        <v>34</v>
      </c>
      <c r="G3180" s="364">
        <v>92365</v>
      </c>
      <c r="H3180" s="475" t="s">
        <v>2704</v>
      </c>
      <c r="I3180" s="475" t="s">
        <v>139</v>
      </c>
      <c r="J3180" s="475" t="s">
        <v>337</v>
      </c>
      <c r="K3180" s="365">
        <v>40.83</v>
      </c>
      <c r="L3180" s="475" t="s">
        <v>141</v>
      </c>
      <c r="M3180" s="473"/>
    </row>
    <row r="3181" spans="1:13" ht="13.5">
      <c r="A3181" s="475" t="s">
        <v>5516</v>
      </c>
      <c r="B3181" s="475" t="s">
        <v>5517</v>
      </c>
      <c r="C3181" s="475" t="s">
        <v>5518</v>
      </c>
      <c r="D3181" s="475" t="s">
        <v>5519</v>
      </c>
      <c r="E3181" s="476" t="s">
        <v>34</v>
      </c>
      <c r="F3181" s="475" t="s">
        <v>34</v>
      </c>
      <c r="G3181" s="364">
        <v>92366</v>
      </c>
      <c r="H3181" s="475" t="s">
        <v>2705</v>
      </c>
      <c r="I3181" s="475" t="s">
        <v>139</v>
      </c>
      <c r="J3181" s="475" t="s">
        <v>337</v>
      </c>
      <c r="K3181" s="365">
        <v>56.7</v>
      </c>
      <c r="L3181" s="475" t="s">
        <v>141</v>
      </c>
      <c r="M3181" s="473"/>
    </row>
    <row r="3182" spans="1:13" ht="13.5">
      <c r="A3182" s="475" t="s">
        <v>5516</v>
      </c>
      <c r="B3182" s="475" t="s">
        <v>5517</v>
      </c>
      <c r="C3182" s="475" t="s">
        <v>5518</v>
      </c>
      <c r="D3182" s="475" t="s">
        <v>5519</v>
      </c>
      <c r="E3182" s="476" t="s">
        <v>34</v>
      </c>
      <c r="F3182" s="475" t="s">
        <v>34</v>
      </c>
      <c r="G3182" s="364">
        <v>92367</v>
      </c>
      <c r="H3182" s="475" t="s">
        <v>2706</v>
      </c>
      <c r="I3182" s="475" t="s">
        <v>139</v>
      </c>
      <c r="J3182" s="475" t="s">
        <v>337</v>
      </c>
      <c r="K3182" s="365">
        <v>69.64</v>
      </c>
      <c r="L3182" s="475" t="s">
        <v>141</v>
      </c>
      <c r="M3182" s="473"/>
    </row>
    <row r="3183" spans="1:13" ht="13.5">
      <c r="A3183" s="475" t="s">
        <v>5516</v>
      </c>
      <c r="B3183" s="475" t="s">
        <v>5517</v>
      </c>
      <c r="C3183" s="475" t="s">
        <v>5518</v>
      </c>
      <c r="D3183" s="475" t="s">
        <v>5519</v>
      </c>
      <c r="E3183" s="476" t="s">
        <v>34</v>
      </c>
      <c r="F3183" s="475" t="s">
        <v>34</v>
      </c>
      <c r="G3183" s="364">
        <v>92368</v>
      </c>
      <c r="H3183" s="475" t="s">
        <v>2707</v>
      </c>
      <c r="I3183" s="475" t="s">
        <v>139</v>
      </c>
      <c r="J3183" s="475" t="s">
        <v>337</v>
      </c>
      <c r="K3183" s="365">
        <v>91.9</v>
      </c>
      <c r="L3183" s="475" t="s">
        <v>141</v>
      </c>
      <c r="M3183" s="473"/>
    </row>
    <row r="3184" spans="1:13" ht="13.5">
      <c r="A3184" s="475" t="s">
        <v>5516</v>
      </c>
      <c r="B3184" s="475" t="s">
        <v>5517</v>
      </c>
      <c r="C3184" s="475" t="s">
        <v>5518</v>
      </c>
      <c r="D3184" s="475" t="s">
        <v>5519</v>
      </c>
      <c r="E3184" s="476" t="s">
        <v>34</v>
      </c>
      <c r="F3184" s="475" t="s">
        <v>34</v>
      </c>
      <c r="G3184" s="364">
        <v>92648</v>
      </c>
      <c r="H3184" s="475" t="s">
        <v>2708</v>
      </c>
      <c r="I3184" s="475" t="s">
        <v>139</v>
      </c>
      <c r="J3184" s="475" t="s">
        <v>140</v>
      </c>
      <c r="K3184" s="365">
        <v>51.37</v>
      </c>
      <c r="L3184" s="475" t="s">
        <v>141</v>
      </c>
      <c r="M3184" s="473"/>
    </row>
    <row r="3185" spans="1:13" ht="13.5">
      <c r="A3185" s="475" t="s">
        <v>5516</v>
      </c>
      <c r="B3185" s="475" t="s">
        <v>5517</v>
      </c>
      <c r="C3185" s="475" t="s">
        <v>5518</v>
      </c>
      <c r="D3185" s="475" t="s">
        <v>5519</v>
      </c>
      <c r="E3185" s="476" t="s">
        <v>34</v>
      </c>
      <c r="F3185" s="475" t="s">
        <v>34</v>
      </c>
      <c r="G3185" s="364">
        <v>92649</v>
      </c>
      <c r="H3185" s="475" t="s">
        <v>2709</v>
      </c>
      <c r="I3185" s="475" t="s">
        <v>139</v>
      </c>
      <c r="J3185" s="475" t="s">
        <v>140</v>
      </c>
      <c r="K3185" s="365">
        <v>62.51</v>
      </c>
      <c r="L3185" s="475" t="s">
        <v>141</v>
      </c>
      <c r="M3185" s="473"/>
    </row>
    <row r="3186" spans="1:13" ht="13.5">
      <c r="A3186" s="475" t="s">
        <v>5516</v>
      </c>
      <c r="B3186" s="475" t="s">
        <v>5517</v>
      </c>
      <c r="C3186" s="475" t="s">
        <v>5518</v>
      </c>
      <c r="D3186" s="475" t="s">
        <v>5519</v>
      </c>
      <c r="E3186" s="476" t="s">
        <v>34</v>
      </c>
      <c r="F3186" s="475" t="s">
        <v>34</v>
      </c>
      <c r="G3186" s="364">
        <v>92650</v>
      </c>
      <c r="H3186" s="475" t="s">
        <v>2710</v>
      </c>
      <c r="I3186" s="475" t="s">
        <v>139</v>
      </c>
      <c r="J3186" s="475" t="s">
        <v>140</v>
      </c>
      <c r="K3186" s="365">
        <v>97.93</v>
      </c>
      <c r="L3186" s="475" t="s">
        <v>141</v>
      </c>
      <c r="M3186" s="473"/>
    </row>
    <row r="3187" spans="1:13" ht="13.5">
      <c r="A3187" s="475" t="s">
        <v>5516</v>
      </c>
      <c r="B3187" s="475" t="s">
        <v>5517</v>
      </c>
      <c r="C3187" s="475" t="s">
        <v>5518</v>
      </c>
      <c r="D3187" s="475" t="s">
        <v>5519</v>
      </c>
      <c r="E3187" s="476" t="s">
        <v>34</v>
      </c>
      <c r="F3187" s="475" t="s">
        <v>34</v>
      </c>
      <c r="G3187" s="364">
        <v>92652</v>
      </c>
      <c r="H3187" s="475" t="s">
        <v>2711</v>
      </c>
      <c r="I3187" s="475" t="s">
        <v>139</v>
      </c>
      <c r="J3187" s="475" t="s">
        <v>337</v>
      </c>
      <c r="K3187" s="365">
        <v>38.78</v>
      </c>
      <c r="L3187" s="475" t="s">
        <v>141</v>
      </c>
      <c r="M3187" s="473"/>
    </row>
    <row r="3188" spans="1:13" ht="13.5">
      <c r="A3188" s="475" t="s">
        <v>5516</v>
      </c>
      <c r="B3188" s="475" t="s">
        <v>5517</v>
      </c>
      <c r="C3188" s="475" t="s">
        <v>5518</v>
      </c>
      <c r="D3188" s="475" t="s">
        <v>5519</v>
      </c>
      <c r="E3188" s="476" t="s">
        <v>34</v>
      </c>
      <c r="F3188" s="475" t="s">
        <v>34</v>
      </c>
      <c r="G3188" s="364">
        <v>92653</v>
      </c>
      <c r="H3188" s="475" t="s">
        <v>2712</v>
      </c>
      <c r="I3188" s="475" t="s">
        <v>139</v>
      </c>
      <c r="J3188" s="475" t="s">
        <v>337</v>
      </c>
      <c r="K3188" s="365">
        <v>44.13</v>
      </c>
      <c r="L3188" s="475" t="s">
        <v>141</v>
      </c>
      <c r="M3188" s="473"/>
    </row>
    <row r="3189" spans="1:13" ht="13.5">
      <c r="A3189" s="475" t="s">
        <v>5516</v>
      </c>
      <c r="B3189" s="475" t="s">
        <v>5517</v>
      </c>
      <c r="C3189" s="475" t="s">
        <v>5518</v>
      </c>
      <c r="D3189" s="475" t="s">
        <v>5519</v>
      </c>
      <c r="E3189" s="476" t="s">
        <v>34</v>
      </c>
      <c r="F3189" s="475" t="s">
        <v>34</v>
      </c>
      <c r="G3189" s="364">
        <v>92654</v>
      </c>
      <c r="H3189" s="475" t="s">
        <v>2713</v>
      </c>
      <c r="I3189" s="475" t="s">
        <v>139</v>
      </c>
      <c r="J3189" s="475" t="s">
        <v>337</v>
      </c>
      <c r="K3189" s="365">
        <v>60</v>
      </c>
      <c r="L3189" s="475" t="s">
        <v>141</v>
      </c>
      <c r="M3189" s="473"/>
    </row>
    <row r="3190" spans="1:13" ht="13.5">
      <c r="A3190" s="475" t="s">
        <v>5516</v>
      </c>
      <c r="B3190" s="475" t="s">
        <v>5517</v>
      </c>
      <c r="C3190" s="475" t="s">
        <v>5518</v>
      </c>
      <c r="D3190" s="475" t="s">
        <v>5519</v>
      </c>
      <c r="E3190" s="476" t="s">
        <v>34</v>
      </c>
      <c r="F3190" s="475" t="s">
        <v>34</v>
      </c>
      <c r="G3190" s="364">
        <v>92655</v>
      </c>
      <c r="H3190" s="475" t="s">
        <v>2714</v>
      </c>
      <c r="I3190" s="475" t="s">
        <v>139</v>
      </c>
      <c r="J3190" s="475" t="s">
        <v>337</v>
      </c>
      <c r="K3190" s="365">
        <v>73.010000000000005</v>
      </c>
      <c r="L3190" s="475" t="s">
        <v>141</v>
      </c>
      <c r="M3190" s="473"/>
    </row>
    <row r="3191" spans="1:13" ht="13.5">
      <c r="A3191" s="475" t="s">
        <v>5516</v>
      </c>
      <c r="B3191" s="475" t="s">
        <v>5517</v>
      </c>
      <c r="C3191" s="475" t="s">
        <v>5518</v>
      </c>
      <c r="D3191" s="475" t="s">
        <v>5519</v>
      </c>
      <c r="E3191" s="476" t="s">
        <v>34</v>
      </c>
      <c r="F3191" s="475" t="s">
        <v>34</v>
      </c>
      <c r="G3191" s="364">
        <v>92656</v>
      </c>
      <c r="H3191" s="475" t="s">
        <v>2715</v>
      </c>
      <c r="I3191" s="475" t="s">
        <v>139</v>
      </c>
      <c r="J3191" s="475" t="s">
        <v>337</v>
      </c>
      <c r="K3191" s="365">
        <v>95.28</v>
      </c>
      <c r="L3191" s="475" t="s">
        <v>141</v>
      </c>
      <c r="M3191" s="473"/>
    </row>
    <row r="3192" spans="1:13" ht="13.5">
      <c r="A3192" s="475" t="s">
        <v>5516</v>
      </c>
      <c r="B3192" s="475" t="s">
        <v>5517</v>
      </c>
      <c r="C3192" s="475" t="s">
        <v>5518</v>
      </c>
      <c r="D3192" s="475" t="s">
        <v>5519</v>
      </c>
      <c r="E3192" s="476" t="s">
        <v>34</v>
      </c>
      <c r="F3192" s="475" t="s">
        <v>34</v>
      </c>
      <c r="G3192" s="364">
        <v>92687</v>
      </c>
      <c r="H3192" s="475" t="s">
        <v>2716</v>
      </c>
      <c r="I3192" s="475" t="s">
        <v>139</v>
      </c>
      <c r="J3192" s="475" t="s">
        <v>337</v>
      </c>
      <c r="K3192" s="365">
        <v>18.29</v>
      </c>
      <c r="L3192" s="475" t="s">
        <v>141</v>
      </c>
      <c r="M3192" s="473"/>
    </row>
    <row r="3193" spans="1:13" ht="13.5">
      <c r="A3193" s="475" t="s">
        <v>5516</v>
      </c>
      <c r="B3193" s="475" t="s">
        <v>5517</v>
      </c>
      <c r="C3193" s="475" t="s">
        <v>5518</v>
      </c>
      <c r="D3193" s="475" t="s">
        <v>5519</v>
      </c>
      <c r="E3193" s="476" t="s">
        <v>34</v>
      </c>
      <c r="F3193" s="475" t="s">
        <v>34</v>
      </c>
      <c r="G3193" s="364">
        <v>92688</v>
      </c>
      <c r="H3193" s="475" t="s">
        <v>2717</v>
      </c>
      <c r="I3193" s="475" t="s">
        <v>139</v>
      </c>
      <c r="J3193" s="475" t="s">
        <v>337</v>
      </c>
      <c r="K3193" s="365">
        <v>25.79</v>
      </c>
      <c r="L3193" s="475" t="s">
        <v>141</v>
      </c>
      <c r="M3193" s="473"/>
    </row>
    <row r="3194" spans="1:13" ht="13.5">
      <c r="A3194" s="475" t="s">
        <v>5516</v>
      </c>
      <c r="B3194" s="475" t="s">
        <v>5517</v>
      </c>
      <c r="C3194" s="475" t="s">
        <v>5518</v>
      </c>
      <c r="D3194" s="475" t="s">
        <v>5519</v>
      </c>
      <c r="E3194" s="476" t="s">
        <v>34</v>
      </c>
      <c r="F3194" s="475" t="s">
        <v>34</v>
      </c>
      <c r="G3194" s="364">
        <v>92689</v>
      </c>
      <c r="H3194" s="475" t="s">
        <v>2718</v>
      </c>
      <c r="I3194" s="475" t="s">
        <v>139</v>
      </c>
      <c r="J3194" s="475" t="s">
        <v>140</v>
      </c>
      <c r="K3194" s="365">
        <v>25.91</v>
      </c>
      <c r="L3194" s="475" t="s">
        <v>141</v>
      </c>
      <c r="M3194" s="473"/>
    </row>
    <row r="3195" spans="1:13" ht="13.5">
      <c r="A3195" s="475" t="s">
        <v>5516</v>
      </c>
      <c r="B3195" s="475" t="s">
        <v>5517</v>
      </c>
      <c r="C3195" s="475" t="s">
        <v>5518</v>
      </c>
      <c r="D3195" s="475" t="s">
        <v>5519</v>
      </c>
      <c r="E3195" s="476" t="s">
        <v>34</v>
      </c>
      <c r="F3195" s="475" t="s">
        <v>34</v>
      </c>
      <c r="G3195" s="364">
        <v>92690</v>
      </c>
      <c r="H3195" s="475" t="s">
        <v>2719</v>
      </c>
      <c r="I3195" s="475" t="s">
        <v>139</v>
      </c>
      <c r="J3195" s="475" t="s">
        <v>140</v>
      </c>
      <c r="K3195" s="365">
        <v>37.51</v>
      </c>
      <c r="L3195" s="475" t="s">
        <v>141</v>
      </c>
      <c r="M3195" s="473"/>
    </row>
    <row r="3196" spans="1:13" ht="13.5">
      <c r="A3196" s="475" t="s">
        <v>5516</v>
      </c>
      <c r="B3196" s="475" t="s">
        <v>5517</v>
      </c>
      <c r="C3196" s="475" t="s">
        <v>5518</v>
      </c>
      <c r="D3196" s="475" t="s">
        <v>5519</v>
      </c>
      <c r="E3196" s="476" t="s">
        <v>34</v>
      </c>
      <c r="F3196" s="475" t="s">
        <v>34</v>
      </c>
      <c r="G3196" s="364">
        <v>94462</v>
      </c>
      <c r="H3196" s="475" t="s">
        <v>2720</v>
      </c>
      <c r="I3196" s="475" t="s">
        <v>139</v>
      </c>
      <c r="J3196" s="475" t="s">
        <v>337</v>
      </c>
      <c r="K3196" s="365">
        <v>65.150000000000006</v>
      </c>
      <c r="L3196" s="475" t="s">
        <v>141</v>
      </c>
      <c r="M3196" s="473"/>
    </row>
    <row r="3197" spans="1:13" ht="13.5">
      <c r="A3197" s="475" t="s">
        <v>5516</v>
      </c>
      <c r="B3197" s="475" t="s">
        <v>5517</v>
      </c>
      <c r="C3197" s="475" t="s">
        <v>5518</v>
      </c>
      <c r="D3197" s="475" t="s">
        <v>5519</v>
      </c>
      <c r="E3197" s="476" t="s">
        <v>34</v>
      </c>
      <c r="F3197" s="475" t="s">
        <v>34</v>
      </c>
      <c r="G3197" s="364">
        <v>94463</v>
      </c>
      <c r="H3197" s="475" t="s">
        <v>2721</v>
      </c>
      <c r="I3197" s="475" t="s">
        <v>139</v>
      </c>
      <c r="J3197" s="475" t="s">
        <v>337</v>
      </c>
      <c r="K3197" s="365">
        <v>76.14</v>
      </c>
      <c r="L3197" s="475" t="s">
        <v>141</v>
      </c>
      <c r="M3197" s="473"/>
    </row>
    <row r="3198" spans="1:13" ht="13.5">
      <c r="A3198" s="475" t="s">
        <v>5516</v>
      </c>
      <c r="B3198" s="475" t="s">
        <v>5517</v>
      </c>
      <c r="C3198" s="475" t="s">
        <v>5518</v>
      </c>
      <c r="D3198" s="475" t="s">
        <v>5519</v>
      </c>
      <c r="E3198" s="476" t="s">
        <v>34</v>
      </c>
      <c r="F3198" s="475" t="s">
        <v>34</v>
      </c>
      <c r="G3198" s="364">
        <v>94464</v>
      </c>
      <c r="H3198" s="475" t="s">
        <v>2722</v>
      </c>
      <c r="I3198" s="475" t="s">
        <v>139</v>
      </c>
      <c r="J3198" s="475" t="s">
        <v>337</v>
      </c>
      <c r="K3198" s="365">
        <v>107.04</v>
      </c>
      <c r="L3198" s="475" t="s">
        <v>141</v>
      </c>
      <c r="M3198" s="473"/>
    </row>
    <row r="3199" spans="1:13" ht="13.5">
      <c r="A3199" s="475" t="s">
        <v>5516</v>
      </c>
      <c r="B3199" s="475" t="s">
        <v>5517</v>
      </c>
      <c r="C3199" s="475" t="s">
        <v>5518</v>
      </c>
      <c r="D3199" s="475" t="s">
        <v>5519</v>
      </c>
      <c r="E3199" s="476" t="s">
        <v>34</v>
      </c>
      <c r="F3199" s="475" t="s">
        <v>34</v>
      </c>
      <c r="G3199" s="364">
        <v>94602</v>
      </c>
      <c r="H3199" s="475" t="s">
        <v>7572</v>
      </c>
      <c r="I3199" s="475" t="s">
        <v>139</v>
      </c>
      <c r="J3199" s="475" t="s">
        <v>140</v>
      </c>
      <c r="K3199" s="365">
        <v>127.89</v>
      </c>
      <c r="L3199" s="475" t="s">
        <v>141</v>
      </c>
      <c r="M3199" s="473"/>
    </row>
    <row r="3200" spans="1:13" ht="13.5">
      <c r="A3200" s="475" t="s">
        <v>5516</v>
      </c>
      <c r="B3200" s="475" t="s">
        <v>5517</v>
      </c>
      <c r="C3200" s="475" t="s">
        <v>5518</v>
      </c>
      <c r="D3200" s="475" t="s">
        <v>5519</v>
      </c>
      <c r="E3200" s="476" t="s">
        <v>34</v>
      </c>
      <c r="F3200" s="475" t="s">
        <v>34</v>
      </c>
      <c r="G3200" s="364">
        <v>94603</v>
      </c>
      <c r="H3200" s="475" t="s">
        <v>7573</v>
      </c>
      <c r="I3200" s="475" t="s">
        <v>139</v>
      </c>
      <c r="J3200" s="475" t="s">
        <v>140</v>
      </c>
      <c r="K3200" s="365">
        <v>170.78</v>
      </c>
      <c r="L3200" s="475" t="s">
        <v>141</v>
      </c>
      <c r="M3200" s="473"/>
    </row>
    <row r="3201" spans="1:13" ht="13.5">
      <c r="A3201" s="475" t="s">
        <v>5516</v>
      </c>
      <c r="B3201" s="475" t="s">
        <v>5517</v>
      </c>
      <c r="C3201" s="475" t="s">
        <v>5518</v>
      </c>
      <c r="D3201" s="475" t="s">
        <v>5519</v>
      </c>
      <c r="E3201" s="476" t="s">
        <v>34</v>
      </c>
      <c r="F3201" s="475" t="s">
        <v>34</v>
      </c>
      <c r="G3201" s="364">
        <v>94604</v>
      </c>
      <c r="H3201" s="475" t="s">
        <v>7574</v>
      </c>
      <c r="I3201" s="475" t="s">
        <v>139</v>
      </c>
      <c r="J3201" s="475" t="s">
        <v>140</v>
      </c>
      <c r="K3201" s="365">
        <v>232.49</v>
      </c>
      <c r="L3201" s="475" t="s">
        <v>141</v>
      </c>
      <c r="M3201" s="473"/>
    </row>
    <row r="3202" spans="1:13" ht="13.5">
      <c r="A3202" s="475" t="s">
        <v>5516</v>
      </c>
      <c r="B3202" s="475" t="s">
        <v>5517</v>
      </c>
      <c r="C3202" s="475" t="s">
        <v>5518</v>
      </c>
      <c r="D3202" s="475" t="s">
        <v>5519</v>
      </c>
      <c r="E3202" s="476" t="s">
        <v>34</v>
      </c>
      <c r="F3202" s="475" t="s">
        <v>34</v>
      </c>
      <c r="G3202" s="364">
        <v>94605</v>
      </c>
      <c r="H3202" s="475" t="s">
        <v>7575</v>
      </c>
      <c r="I3202" s="475" t="s">
        <v>139</v>
      </c>
      <c r="J3202" s="475" t="s">
        <v>140</v>
      </c>
      <c r="K3202" s="365">
        <v>330.92</v>
      </c>
      <c r="L3202" s="475" t="s">
        <v>141</v>
      </c>
      <c r="M3202" s="473"/>
    </row>
    <row r="3203" spans="1:13" ht="13.5">
      <c r="A3203" s="475" t="s">
        <v>5516</v>
      </c>
      <c r="B3203" s="475" t="s">
        <v>5517</v>
      </c>
      <c r="C3203" s="475" t="s">
        <v>5518</v>
      </c>
      <c r="D3203" s="475" t="s">
        <v>5519</v>
      </c>
      <c r="E3203" s="476" t="s">
        <v>34</v>
      </c>
      <c r="F3203" s="475" t="s">
        <v>34</v>
      </c>
      <c r="G3203" s="364">
        <v>94648</v>
      </c>
      <c r="H3203" s="475" t="s">
        <v>2723</v>
      </c>
      <c r="I3203" s="475" t="s">
        <v>139</v>
      </c>
      <c r="J3203" s="475" t="s">
        <v>337</v>
      </c>
      <c r="K3203" s="365">
        <v>7.16</v>
      </c>
      <c r="L3203" s="475" t="s">
        <v>141</v>
      </c>
      <c r="M3203" s="473"/>
    </row>
    <row r="3204" spans="1:13" ht="13.5">
      <c r="A3204" s="475" t="s">
        <v>5516</v>
      </c>
      <c r="B3204" s="475" t="s">
        <v>5517</v>
      </c>
      <c r="C3204" s="475" t="s">
        <v>5518</v>
      </c>
      <c r="D3204" s="475" t="s">
        <v>5519</v>
      </c>
      <c r="E3204" s="476" t="s">
        <v>34</v>
      </c>
      <c r="F3204" s="475" t="s">
        <v>34</v>
      </c>
      <c r="G3204" s="364">
        <v>94649</v>
      </c>
      <c r="H3204" s="475" t="s">
        <v>2724</v>
      </c>
      <c r="I3204" s="475" t="s">
        <v>139</v>
      </c>
      <c r="J3204" s="475" t="s">
        <v>337</v>
      </c>
      <c r="K3204" s="365">
        <v>10.5</v>
      </c>
      <c r="L3204" s="475" t="s">
        <v>141</v>
      </c>
      <c r="M3204" s="473"/>
    </row>
    <row r="3205" spans="1:13" ht="13.5">
      <c r="A3205" s="475" t="s">
        <v>5516</v>
      </c>
      <c r="B3205" s="475" t="s">
        <v>5517</v>
      </c>
      <c r="C3205" s="475" t="s">
        <v>5518</v>
      </c>
      <c r="D3205" s="475" t="s">
        <v>5519</v>
      </c>
      <c r="E3205" s="476" t="s">
        <v>34</v>
      </c>
      <c r="F3205" s="475" t="s">
        <v>34</v>
      </c>
      <c r="G3205" s="364">
        <v>94650</v>
      </c>
      <c r="H3205" s="475" t="s">
        <v>2725</v>
      </c>
      <c r="I3205" s="475" t="s">
        <v>139</v>
      </c>
      <c r="J3205" s="475" t="s">
        <v>337</v>
      </c>
      <c r="K3205" s="365">
        <v>15.02</v>
      </c>
      <c r="L3205" s="475" t="s">
        <v>141</v>
      </c>
      <c r="M3205" s="473"/>
    </row>
    <row r="3206" spans="1:13" ht="13.5">
      <c r="A3206" s="475" t="s">
        <v>5516</v>
      </c>
      <c r="B3206" s="475" t="s">
        <v>5517</v>
      </c>
      <c r="C3206" s="475" t="s">
        <v>5518</v>
      </c>
      <c r="D3206" s="475" t="s">
        <v>5519</v>
      </c>
      <c r="E3206" s="476" t="s">
        <v>34</v>
      </c>
      <c r="F3206" s="475" t="s">
        <v>34</v>
      </c>
      <c r="G3206" s="364">
        <v>94651</v>
      </c>
      <c r="H3206" s="475" t="s">
        <v>2726</v>
      </c>
      <c r="I3206" s="475" t="s">
        <v>139</v>
      </c>
      <c r="J3206" s="475" t="s">
        <v>337</v>
      </c>
      <c r="K3206" s="365">
        <v>16.29</v>
      </c>
      <c r="L3206" s="475" t="s">
        <v>141</v>
      </c>
      <c r="M3206" s="473"/>
    </row>
    <row r="3207" spans="1:13" ht="13.5">
      <c r="A3207" s="475" t="s">
        <v>5516</v>
      </c>
      <c r="B3207" s="475" t="s">
        <v>5517</v>
      </c>
      <c r="C3207" s="475" t="s">
        <v>5518</v>
      </c>
      <c r="D3207" s="475" t="s">
        <v>5519</v>
      </c>
      <c r="E3207" s="476" t="s">
        <v>34</v>
      </c>
      <c r="F3207" s="475" t="s">
        <v>34</v>
      </c>
      <c r="G3207" s="364">
        <v>94652</v>
      </c>
      <c r="H3207" s="475" t="s">
        <v>2727</v>
      </c>
      <c r="I3207" s="475" t="s">
        <v>139</v>
      </c>
      <c r="J3207" s="475" t="s">
        <v>337</v>
      </c>
      <c r="K3207" s="365">
        <v>26.51</v>
      </c>
      <c r="L3207" s="475" t="s">
        <v>141</v>
      </c>
      <c r="M3207" s="473"/>
    </row>
    <row r="3208" spans="1:13" ht="13.5">
      <c r="A3208" s="475" t="s">
        <v>5516</v>
      </c>
      <c r="B3208" s="475" t="s">
        <v>5517</v>
      </c>
      <c r="C3208" s="475" t="s">
        <v>5518</v>
      </c>
      <c r="D3208" s="475" t="s">
        <v>5519</v>
      </c>
      <c r="E3208" s="476" t="s">
        <v>34</v>
      </c>
      <c r="F3208" s="475" t="s">
        <v>34</v>
      </c>
      <c r="G3208" s="364">
        <v>94653</v>
      </c>
      <c r="H3208" s="475" t="s">
        <v>2728</v>
      </c>
      <c r="I3208" s="475" t="s">
        <v>139</v>
      </c>
      <c r="J3208" s="475" t="s">
        <v>337</v>
      </c>
      <c r="K3208" s="365">
        <v>37.409999999999997</v>
      </c>
      <c r="L3208" s="475" t="s">
        <v>141</v>
      </c>
      <c r="M3208" s="473"/>
    </row>
    <row r="3209" spans="1:13" ht="13.5">
      <c r="A3209" s="475" t="s">
        <v>5516</v>
      </c>
      <c r="B3209" s="475" t="s">
        <v>5517</v>
      </c>
      <c r="C3209" s="475" t="s">
        <v>5518</v>
      </c>
      <c r="D3209" s="475" t="s">
        <v>5519</v>
      </c>
      <c r="E3209" s="476" t="s">
        <v>34</v>
      </c>
      <c r="F3209" s="475" t="s">
        <v>34</v>
      </c>
      <c r="G3209" s="364">
        <v>94654</v>
      </c>
      <c r="H3209" s="475" t="s">
        <v>2729</v>
      </c>
      <c r="I3209" s="475" t="s">
        <v>139</v>
      </c>
      <c r="J3209" s="475" t="s">
        <v>337</v>
      </c>
      <c r="K3209" s="365">
        <v>50.31</v>
      </c>
      <c r="L3209" s="475" t="s">
        <v>141</v>
      </c>
      <c r="M3209" s="473"/>
    </row>
    <row r="3210" spans="1:13" ht="13.5">
      <c r="A3210" s="475" t="s">
        <v>5516</v>
      </c>
      <c r="B3210" s="475" t="s">
        <v>5517</v>
      </c>
      <c r="C3210" s="475" t="s">
        <v>5518</v>
      </c>
      <c r="D3210" s="475" t="s">
        <v>5519</v>
      </c>
      <c r="E3210" s="476" t="s">
        <v>34</v>
      </c>
      <c r="F3210" s="475" t="s">
        <v>34</v>
      </c>
      <c r="G3210" s="364">
        <v>94655</v>
      </c>
      <c r="H3210" s="475" t="s">
        <v>2730</v>
      </c>
      <c r="I3210" s="475" t="s">
        <v>139</v>
      </c>
      <c r="J3210" s="475" t="s">
        <v>337</v>
      </c>
      <c r="K3210" s="365">
        <v>69.72</v>
      </c>
      <c r="L3210" s="475" t="s">
        <v>141</v>
      </c>
      <c r="M3210" s="473"/>
    </row>
    <row r="3211" spans="1:13" ht="13.5">
      <c r="A3211" s="475" t="s">
        <v>5516</v>
      </c>
      <c r="B3211" s="475" t="s">
        <v>5517</v>
      </c>
      <c r="C3211" s="475" t="s">
        <v>5518</v>
      </c>
      <c r="D3211" s="475" t="s">
        <v>5519</v>
      </c>
      <c r="E3211" s="476" t="s">
        <v>34</v>
      </c>
      <c r="F3211" s="475" t="s">
        <v>34</v>
      </c>
      <c r="G3211" s="364">
        <v>94716</v>
      </c>
      <c r="H3211" s="475" t="s">
        <v>2731</v>
      </c>
      <c r="I3211" s="475" t="s">
        <v>139</v>
      </c>
      <c r="J3211" s="475" t="s">
        <v>337</v>
      </c>
      <c r="K3211" s="365">
        <v>15.27</v>
      </c>
      <c r="L3211" s="475" t="s">
        <v>141</v>
      </c>
      <c r="M3211" s="473"/>
    </row>
    <row r="3212" spans="1:13" ht="13.5">
      <c r="A3212" s="475" t="s">
        <v>5516</v>
      </c>
      <c r="B3212" s="475" t="s">
        <v>5517</v>
      </c>
      <c r="C3212" s="475" t="s">
        <v>5518</v>
      </c>
      <c r="D3212" s="475" t="s">
        <v>5519</v>
      </c>
      <c r="E3212" s="476" t="s">
        <v>34</v>
      </c>
      <c r="F3212" s="475" t="s">
        <v>34</v>
      </c>
      <c r="G3212" s="364">
        <v>94717</v>
      </c>
      <c r="H3212" s="475" t="s">
        <v>2732</v>
      </c>
      <c r="I3212" s="475" t="s">
        <v>139</v>
      </c>
      <c r="J3212" s="475" t="s">
        <v>337</v>
      </c>
      <c r="K3212" s="365">
        <v>21.99</v>
      </c>
      <c r="L3212" s="475" t="s">
        <v>141</v>
      </c>
      <c r="M3212" s="473"/>
    </row>
    <row r="3213" spans="1:13" ht="13.5">
      <c r="A3213" s="475" t="s">
        <v>5516</v>
      </c>
      <c r="B3213" s="475" t="s">
        <v>5517</v>
      </c>
      <c r="C3213" s="475" t="s">
        <v>5518</v>
      </c>
      <c r="D3213" s="475" t="s">
        <v>5519</v>
      </c>
      <c r="E3213" s="476" t="s">
        <v>34</v>
      </c>
      <c r="F3213" s="475" t="s">
        <v>34</v>
      </c>
      <c r="G3213" s="364">
        <v>94718</v>
      </c>
      <c r="H3213" s="475" t="s">
        <v>2733</v>
      </c>
      <c r="I3213" s="475" t="s">
        <v>139</v>
      </c>
      <c r="J3213" s="475" t="s">
        <v>337</v>
      </c>
      <c r="K3213" s="365">
        <v>27.28</v>
      </c>
      <c r="L3213" s="475" t="s">
        <v>141</v>
      </c>
      <c r="M3213" s="473"/>
    </row>
    <row r="3214" spans="1:13" ht="13.5">
      <c r="A3214" s="475" t="s">
        <v>5516</v>
      </c>
      <c r="B3214" s="475" t="s">
        <v>5517</v>
      </c>
      <c r="C3214" s="475" t="s">
        <v>5518</v>
      </c>
      <c r="D3214" s="475" t="s">
        <v>5519</v>
      </c>
      <c r="E3214" s="476" t="s">
        <v>34</v>
      </c>
      <c r="F3214" s="475" t="s">
        <v>34</v>
      </c>
      <c r="G3214" s="364">
        <v>94719</v>
      </c>
      <c r="H3214" s="475" t="s">
        <v>2734</v>
      </c>
      <c r="I3214" s="475" t="s">
        <v>139</v>
      </c>
      <c r="J3214" s="475" t="s">
        <v>337</v>
      </c>
      <c r="K3214" s="365">
        <v>35.35</v>
      </c>
      <c r="L3214" s="475" t="s">
        <v>141</v>
      </c>
      <c r="M3214" s="473"/>
    </row>
    <row r="3215" spans="1:13" ht="13.5">
      <c r="A3215" s="475" t="s">
        <v>5516</v>
      </c>
      <c r="B3215" s="475" t="s">
        <v>5517</v>
      </c>
      <c r="C3215" s="475" t="s">
        <v>5518</v>
      </c>
      <c r="D3215" s="475" t="s">
        <v>5519</v>
      </c>
      <c r="E3215" s="476" t="s">
        <v>34</v>
      </c>
      <c r="F3215" s="475" t="s">
        <v>34</v>
      </c>
      <c r="G3215" s="364">
        <v>94720</v>
      </c>
      <c r="H3215" s="475" t="s">
        <v>2735</v>
      </c>
      <c r="I3215" s="475" t="s">
        <v>139</v>
      </c>
      <c r="J3215" s="475" t="s">
        <v>337</v>
      </c>
      <c r="K3215" s="365">
        <v>53.65</v>
      </c>
      <c r="L3215" s="475" t="s">
        <v>141</v>
      </c>
      <c r="M3215" s="473"/>
    </row>
    <row r="3216" spans="1:13" ht="13.5">
      <c r="A3216" s="475" t="s">
        <v>5516</v>
      </c>
      <c r="B3216" s="475" t="s">
        <v>5517</v>
      </c>
      <c r="C3216" s="475" t="s">
        <v>5518</v>
      </c>
      <c r="D3216" s="475" t="s">
        <v>5519</v>
      </c>
      <c r="E3216" s="476" t="s">
        <v>34</v>
      </c>
      <c r="F3216" s="475" t="s">
        <v>34</v>
      </c>
      <c r="G3216" s="364">
        <v>94721</v>
      </c>
      <c r="H3216" s="475" t="s">
        <v>2736</v>
      </c>
      <c r="I3216" s="475" t="s">
        <v>139</v>
      </c>
      <c r="J3216" s="475" t="s">
        <v>337</v>
      </c>
      <c r="K3216" s="365">
        <v>77.28</v>
      </c>
      <c r="L3216" s="475" t="s">
        <v>141</v>
      </c>
      <c r="M3216" s="473"/>
    </row>
    <row r="3217" spans="1:13" ht="13.5">
      <c r="A3217" s="475" t="s">
        <v>5516</v>
      </c>
      <c r="B3217" s="475" t="s">
        <v>5517</v>
      </c>
      <c r="C3217" s="475" t="s">
        <v>5518</v>
      </c>
      <c r="D3217" s="475" t="s">
        <v>5519</v>
      </c>
      <c r="E3217" s="476" t="s">
        <v>34</v>
      </c>
      <c r="F3217" s="475" t="s">
        <v>34</v>
      </c>
      <c r="G3217" s="364">
        <v>94722</v>
      </c>
      <c r="H3217" s="475" t="s">
        <v>2737</v>
      </c>
      <c r="I3217" s="475" t="s">
        <v>139</v>
      </c>
      <c r="J3217" s="475" t="s">
        <v>337</v>
      </c>
      <c r="K3217" s="365">
        <v>135.33000000000001</v>
      </c>
      <c r="L3217" s="475" t="s">
        <v>141</v>
      </c>
      <c r="M3217" s="473"/>
    </row>
    <row r="3218" spans="1:13" ht="13.5">
      <c r="A3218" s="475" t="s">
        <v>5516</v>
      </c>
      <c r="B3218" s="475" t="s">
        <v>5517</v>
      </c>
      <c r="C3218" s="475" t="s">
        <v>5518</v>
      </c>
      <c r="D3218" s="475" t="s">
        <v>5519</v>
      </c>
      <c r="E3218" s="476" t="s">
        <v>34</v>
      </c>
      <c r="F3218" s="475" t="s">
        <v>34</v>
      </c>
      <c r="G3218" s="364">
        <v>95697</v>
      </c>
      <c r="H3218" s="475" t="s">
        <v>6523</v>
      </c>
      <c r="I3218" s="475" t="s">
        <v>139</v>
      </c>
      <c r="J3218" s="475" t="s">
        <v>140</v>
      </c>
      <c r="K3218" s="365">
        <v>48.67</v>
      </c>
      <c r="L3218" s="475" t="s">
        <v>141</v>
      </c>
      <c r="M3218" s="473"/>
    </row>
    <row r="3219" spans="1:13" ht="13.5">
      <c r="A3219" s="475" t="s">
        <v>5516</v>
      </c>
      <c r="B3219" s="475" t="s">
        <v>5517</v>
      </c>
      <c r="C3219" s="475" t="s">
        <v>5518</v>
      </c>
      <c r="D3219" s="475" t="s">
        <v>5519</v>
      </c>
      <c r="E3219" s="476" t="s">
        <v>34</v>
      </c>
      <c r="F3219" s="475" t="s">
        <v>34</v>
      </c>
      <c r="G3219" s="364">
        <v>96635</v>
      </c>
      <c r="H3219" s="475" t="s">
        <v>2738</v>
      </c>
      <c r="I3219" s="475" t="s">
        <v>139</v>
      </c>
      <c r="J3219" s="475" t="s">
        <v>140</v>
      </c>
      <c r="K3219" s="365">
        <v>20.92</v>
      </c>
      <c r="L3219" s="475" t="s">
        <v>141</v>
      </c>
      <c r="M3219" s="473"/>
    </row>
    <row r="3220" spans="1:13" ht="13.5">
      <c r="A3220" s="475" t="s">
        <v>5516</v>
      </c>
      <c r="B3220" s="475" t="s">
        <v>5517</v>
      </c>
      <c r="C3220" s="475" t="s">
        <v>5518</v>
      </c>
      <c r="D3220" s="475" t="s">
        <v>5519</v>
      </c>
      <c r="E3220" s="476" t="s">
        <v>34</v>
      </c>
      <c r="F3220" s="475" t="s">
        <v>34</v>
      </c>
      <c r="G3220" s="364">
        <v>96636</v>
      </c>
      <c r="H3220" s="475" t="s">
        <v>2739</v>
      </c>
      <c r="I3220" s="475" t="s">
        <v>139</v>
      </c>
      <c r="J3220" s="475" t="s">
        <v>140</v>
      </c>
      <c r="K3220" s="365">
        <v>22.14</v>
      </c>
      <c r="L3220" s="475" t="s">
        <v>141</v>
      </c>
      <c r="M3220" s="473"/>
    </row>
    <row r="3221" spans="1:13" ht="13.5">
      <c r="A3221" s="475" t="s">
        <v>5516</v>
      </c>
      <c r="B3221" s="475" t="s">
        <v>5517</v>
      </c>
      <c r="C3221" s="475" t="s">
        <v>5518</v>
      </c>
      <c r="D3221" s="475" t="s">
        <v>5519</v>
      </c>
      <c r="E3221" s="476" t="s">
        <v>34</v>
      </c>
      <c r="F3221" s="475" t="s">
        <v>34</v>
      </c>
      <c r="G3221" s="364">
        <v>96644</v>
      </c>
      <c r="H3221" s="475" t="s">
        <v>2740</v>
      </c>
      <c r="I3221" s="475" t="s">
        <v>139</v>
      </c>
      <c r="J3221" s="475" t="s">
        <v>140</v>
      </c>
      <c r="K3221" s="365">
        <v>13.47</v>
      </c>
      <c r="L3221" s="475" t="s">
        <v>141</v>
      </c>
      <c r="M3221" s="473"/>
    </row>
    <row r="3222" spans="1:13" ht="13.5">
      <c r="A3222" s="475" t="s">
        <v>5516</v>
      </c>
      <c r="B3222" s="475" t="s">
        <v>5517</v>
      </c>
      <c r="C3222" s="475" t="s">
        <v>5518</v>
      </c>
      <c r="D3222" s="475" t="s">
        <v>5519</v>
      </c>
      <c r="E3222" s="476" t="s">
        <v>34</v>
      </c>
      <c r="F3222" s="475" t="s">
        <v>34</v>
      </c>
      <c r="G3222" s="364">
        <v>96645</v>
      </c>
      <c r="H3222" s="475" t="s">
        <v>2741</v>
      </c>
      <c r="I3222" s="475" t="s">
        <v>139</v>
      </c>
      <c r="J3222" s="475" t="s">
        <v>140</v>
      </c>
      <c r="K3222" s="365">
        <v>17.46</v>
      </c>
      <c r="L3222" s="475" t="s">
        <v>141</v>
      </c>
      <c r="M3222" s="473"/>
    </row>
    <row r="3223" spans="1:13" ht="13.5">
      <c r="A3223" s="475" t="s">
        <v>5516</v>
      </c>
      <c r="B3223" s="475" t="s">
        <v>5517</v>
      </c>
      <c r="C3223" s="475" t="s">
        <v>5518</v>
      </c>
      <c r="D3223" s="475" t="s">
        <v>5519</v>
      </c>
      <c r="E3223" s="476" t="s">
        <v>34</v>
      </c>
      <c r="F3223" s="475" t="s">
        <v>34</v>
      </c>
      <c r="G3223" s="364">
        <v>96646</v>
      </c>
      <c r="H3223" s="475" t="s">
        <v>2742</v>
      </c>
      <c r="I3223" s="475" t="s">
        <v>139</v>
      </c>
      <c r="J3223" s="475" t="s">
        <v>140</v>
      </c>
      <c r="K3223" s="365">
        <v>27.12</v>
      </c>
      <c r="L3223" s="475" t="s">
        <v>141</v>
      </c>
      <c r="M3223" s="473"/>
    </row>
    <row r="3224" spans="1:13" ht="13.5">
      <c r="A3224" s="475" t="s">
        <v>5516</v>
      </c>
      <c r="B3224" s="475" t="s">
        <v>5517</v>
      </c>
      <c r="C3224" s="475" t="s">
        <v>5518</v>
      </c>
      <c r="D3224" s="475" t="s">
        <v>5519</v>
      </c>
      <c r="E3224" s="476" t="s">
        <v>34</v>
      </c>
      <c r="F3224" s="475" t="s">
        <v>34</v>
      </c>
      <c r="G3224" s="364">
        <v>96647</v>
      </c>
      <c r="H3224" s="475" t="s">
        <v>2743</v>
      </c>
      <c r="I3224" s="475" t="s">
        <v>139</v>
      </c>
      <c r="J3224" s="475" t="s">
        <v>140</v>
      </c>
      <c r="K3224" s="365">
        <v>12.13</v>
      </c>
      <c r="L3224" s="475" t="s">
        <v>141</v>
      </c>
      <c r="M3224" s="473"/>
    </row>
    <row r="3225" spans="1:13" ht="13.5">
      <c r="A3225" s="475" t="s">
        <v>5516</v>
      </c>
      <c r="B3225" s="475" t="s">
        <v>5517</v>
      </c>
      <c r="C3225" s="475" t="s">
        <v>5518</v>
      </c>
      <c r="D3225" s="475" t="s">
        <v>5519</v>
      </c>
      <c r="E3225" s="476" t="s">
        <v>34</v>
      </c>
      <c r="F3225" s="475" t="s">
        <v>34</v>
      </c>
      <c r="G3225" s="364">
        <v>96648</v>
      </c>
      <c r="H3225" s="475" t="s">
        <v>2744</v>
      </c>
      <c r="I3225" s="475" t="s">
        <v>139</v>
      </c>
      <c r="J3225" s="475" t="s">
        <v>140</v>
      </c>
      <c r="K3225" s="365">
        <v>22.15</v>
      </c>
      <c r="L3225" s="475" t="s">
        <v>141</v>
      </c>
      <c r="M3225" s="473"/>
    </row>
    <row r="3226" spans="1:13" ht="13.5">
      <c r="A3226" s="475" t="s">
        <v>5516</v>
      </c>
      <c r="B3226" s="475" t="s">
        <v>5517</v>
      </c>
      <c r="C3226" s="475" t="s">
        <v>5518</v>
      </c>
      <c r="D3226" s="475" t="s">
        <v>5519</v>
      </c>
      <c r="E3226" s="476" t="s">
        <v>34</v>
      </c>
      <c r="F3226" s="475" t="s">
        <v>34</v>
      </c>
      <c r="G3226" s="364">
        <v>96649</v>
      </c>
      <c r="H3226" s="475" t="s">
        <v>2745</v>
      </c>
      <c r="I3226" s="475" t="s">
        <v>139</v>
      </c>
      <c r="J3226" s="475" t="s">
        <v>140</v>
      </c>
      <c r="K3226" s="365">
        <v>32.72</v>
      </c>
      <c r="L3226" s="475" t="s">
        <v>141</v>
      </c>
      <c r="M3226" s="473"/>
    </row>
    <row r="3227" spans="1:13" ht="13.5">
      <c r="A3227" s="475" t="s">
        <v>5516</v>
      </c>
      <c r="B3227" s="475" t="s">
        <v>5517</v>
      </c>
      <c r="C3227" s="475" t="s">
        <v>5518</v>
      </c>
      <c r="D3227" s="475" t="s">
        <v>5519</v>
      </c>
      <c r="E3227" s="476" t="s">
        <v>34</v>
      </c>
      <c r="F3227" s="475" t="s">
        <v>34</v>
      </c>
      <c r="G3227" s="364">
        <v>96668</v>
      </c>
      <c r="H3227" s="475" t="s">
        <v>2746</v>
      </c>
      <c r="I3227" s="475" t="s">
        <v>139</v>
      </c>
      <c r="J3227" s="475" t="s">
        <v>140</v>
      </c>
      <c r="K3227" s="365">
        <v>8.2899999999999991</v>
      </c>
      <c r="L3227" s="475" t="s">
        <v>141</v>
      </c>
      <c r="M3227" s="473"/>
    </row>
    <row r="3228" spans="1:13" ht="13.5">
      <c r="A3228" s="475" t="s">
        <v>5516</v>
      </c>
      <c r="B3228" s="475" t="s">
        <v>5517</v>
      </c>
      <c r="C3228" s="475" t="s">
        <v>5518</v>
      </c>
      <c r="D3228" s="475" t="s">
        <v>5519</v>
      </c>
      <c r="E3228" s="476" t="s">
        <v>34</v>
      </c>
      <c r="F3228" s="475" t="s">
        <v>34</v>
      </c>
      <c r="G3228" s="364">
        <v>96669</v>
      </c>
      <c r="H3228" s="475" t="s">
        <v>2747</v>
      </c>
      <c r="I3228" s="475" t="s">
        <v>139</v>
      </c>
      <c r="J3228" s="475" t="s">
        <v>140</v>
      </c>
      <c r="K3228" s="365">
        <v>10.28</v>
      </c>
      <c r="L3228" s="475" t="s">
        <v>141</v>
      </c>
      <c r="M3228" s="473"/>
    </row>
    <row r="3229" spans="1:13" ht="13.5">
      <c r="A3229" s="475" t="s">
        <v>5516</v>
      </c>
      <c r="B3229" s="475" t="s">
        <v>5517</v>
      </c>
      <c r="C3229" s="475" t="s">
        <v>5518</v>
      </c>
      <c r="D3229" s="475" t="s">
        <v>5519</v>
      </c>
      <c r="E3229" s="476" t="s">
        <v>34</v>
      </c>
      <c r="F3229" s="475" t="s">
        <v>34</v>
      </c>
      <c r="G3229" s="364">
        <v>96670</v>
      </c>
      <c r="H3229" s="475" t="s">
        <v>2748</v>
      </c>
      <c r="I3229" s="475" t="s">
        <v>139</v>
      </c>
      <c r="J3229" s="475" t="s">
        <v>140</v>
      </c>
      <c r="K3229" s="365">
        <v>15.61</v>
      </c>
      <c r="L3229" s="475" t="s">
        <v>141</v>
      </c>
      <c r="M3229" s="473"/>
    </row>
    <row r="3230" spans="1:13" ht="13.5">
      <c r="A3230" s="475" t="s">
        <v>5516</v>
      </c>
      <c r="B3230" s="475" t="s">
        <v>5517</v>
      </c>
      <c r="C3230" s="475" t="s">
        <v>5518</v>
      </c>
      <c r="D3230" s="475" t="s">
        <v>5519</v>
      </c>
      <c r="E3230" s="476" t="s">
        <v>34</v>
      </c>
      <c r="F3230" s="475" t="s">
        <v>34</v>
      </c>
      <c r="G3230" s="364">
        <v>96671</v>
      </c>
      <c r="H3230" s="475" t="s">
        <v>2749</v>
      </c>
      <c r="I3230" s="475" t="s">
        <v>139</v>
      </c>
      <c r="J3230" s="475" t="s">
        <v>140</v>
      </c>
      <c r="K3230" s="365">
        <v>20.93</v>
      </c>
      <c r="L3230" s="475" t="s">
        <v>141</v>
      </c>
      <c r="M3230" s="473"/>
    </row>
    <row r="3231" spans="1:13" ht="13.5">
      <c r="A3231" s="475" t="s">
        <v>5516</v>
      </c>
      <c r="B3231" s="475" t="s">
        <v>5517</v>
      </c>
      <c r="C3231" s="475" t="s">
        <v>5518</v>
      </c>
      <c r="D3231" s="475" t="s">
        <v>5519</v>
      </c>
      <c r="E3231" s="476" t="s">
        <v>34</v>
      </c>
      <c r="F3231" s="475" t="s">
        <v>34</v>
      </c>
      <c r="G3231" s="364">
        <v>96672</v>
      </c>
      <c r="H3231" s="475" t="s">
        <v>2750</v>
      </c>
      <c r="I3231" s="475" t="s">
        <v>139</v>
      </c>
      <c r="J3231" s="475" t="s">
        <v>140</v>
      </c>
      <c r="K3231" s="365">
        <v>30.75</v>
      </c>
      <c r="L3231" s="475" t="s">
        <v>141</v>
      </c>
      <c r="M3231" s="473"/>
    </row>
    <row r="3232" spans="1:13" ht="13.5">
      <c r="A3232" s="475" t="s">
        <v>5516</v>
      </c>
      <c r="B3232" s="475" t="s">
        <v>5517</v>
      </c>
      <c r="C3232" s="475" t="s">
        <v>5518</v>
      </c>
      <c r="D3232" s="475" t="s">
        <v>5519</v>
      </c>
      <c r="E3232" s="476" t="s">
        <v>34</v>
      </c>
      <c r="F3232" s="475" t="s">
        <v>34</v>
      </c>
      <c r="G3232" s="364">
        <v>96673</v>
      </c>
      <c r="H3232" s="475" t="s">
        <v>2751</v>
      </c>
      <c r="I3232" s="475" t="s">
        <v>139</v>
      </c>
      <c r="J3232" s="475" t="s">
        <v>140</v>
      </c>
      <c r="K3232" s="365">
        <v>50.12</v>
      </c>
      <c r="L3232" s="475" t="s">
        <v>141</v>
      </c>
      <c r="M3232" s="473"/>
    </row>
    <row r="3233" spans="1:13" ht="13.5">
      <c r="A3233" s="475" t="s">
        <v>5516</v>
      </c>
      <c r="B3233" s="475" t="s">
        <v>5517</v>
      </c>
      <c r="C3233" s="475" t="s">
        <v>5518</v>
      </c>
      <c r="D3233" s="475" t="s">
        <v>5519</v>
      </c>
      <c r="E3233" s="476" t="s">
        <v>34</v>
      </c>
      <c r="F3233" s="475" t="s">
        <v>34</v>
      </c>
      <c r="G3233" s="364">
        <v>96674</v>
      </c>
      <c r="H3233" s="475" t="s">
        <v>2752</v>
      </c>
      <c r="I3233" s="475" t="s">
        <v>139</v>
      </c>
      <c r="J3233" s="475" t="s">
        <v>140</v>
      </c>
      <c r="K3233" s="365">
        <v>70.44</v>
      </c>
      <c r="L3233" s="475" t="s">
        <v>141</v>
      </c>
      <c r="M3233" s="473"/>
    </row>
    <row r="3234" spans="1:13" ht="13.5">
      <c r="A3234" s="475" t="s">
        <v>5516</v>
      </c>
      <c r="B3234" s="475" t="s">
        <v>5517</v>
      </c>
      <c r="C3234" s="475" t="s">
        <v>5518</v>
      </c>
      <c r="D3234" s="475" t="s">
        <v>5519</v>
      </c>
      <c r="E3234" s="476" t="s">
        <v>34</v>
      </c>
      <c r="F3234" s="475" t="s">
        <v>34</v>
      </c>
      <c r="G3234" s="364">
        <v>96675</v>
      </c>
      <c r="H3234" s="475" t="s">
        <v>2753</v>
      </c>
      <c r="I3234" s="475" t="s">
        <v>139</v>
      </c>
      <c r="J3234" s="475" t="s">
        <v>140</v>
      </c>
      <c r="K3234" s="365">
        <v>122.21</v>
      </c>
      <c r="L3234" s="475" t="s">
        <v>141</v>
      </c>
      <c r="M3234" s="473"/>
    </row>
    <row r="3235" spans="1:13" ht="13.5">
      <c r="A3235" s="475" t="s">
        <v>5516</v>
      </c>
      <c r="B3235" s="475" t="s">
        <v>5517</v>
      </c>
      <c r="C3235" s="475" t="s">
        <v>5518</v>
      </c>
      <c r="D3235" s="475" t="s">
        <v>5519</v>
      </c>
      <c r="E3235" s="476" t="s">
        <v>34</v>
      </c>
      <c r="F3235" s="475" t="s">
        <v>34</v>
      </c>
      <c r="G3235" s="364">
        <v>96676</v>
      </c>
      <c r="H3235" s="475" t="s">
        <v>2754</v>
      </c>
      <c r="I3235" s="475" t="s">
        <v>139</v>
      </c>
      <c r="J3235" s="475" t="s">
        <v>140</v>
      </c>
      <c r="K3235" s="365">
        <v>8.25</v>
      </c>
      <c r="L3235" s="475" t="s">
        <v>141</v>
      </c>
      <c r="M3235" s="473"/>
    </row>
    <row r="3236" spans="1:13" ht="13.5">
      <c r="A3236" s="475" t="s">
        <v>5516</v>
      </c>
      <c r="B3236" s="475" t="s">
        <v>5517</v>
      </c>
      <c r="C3236" s="475" t="s">
        <v>5518</v>
      </c>
      <c r="D3236" s="475" t="s">
        <v>5519</v>
      </c>
      <c r="E3236" s="476" t="s">
        <v>34</v>
      </c>
      <c r="F3236" s="475" t="s">
        <v>34</v>
      </c>
      <c r="G3236" s="364">
        <v>96677</v>
      </c>
      <c r="H3236" s="475" t="s">
        <v>2755</v>
      </c>
      <c r="I3236" s="475" t="s">
        <v>139</v>
      </c>
      <c r="J3236" s="475" t="s">
        <v>140</v>
      </c>
      <c r="K3236" s="365">
        <v>13.58</v>
      </c>
      <c r="L3236" s="475" t="s">
        <v>141</v>
      </c>
      <c r="M3236" s="473"/>
    </row>
    <row r="3237" spans="1:13" ht="13.5">
      <c r="A3237" s="475" t="s">
        <v>5516</v>
      </c>
      <c r="B3237" s="475" t="s">
        <v>5517</v>
      </c>
      <c r="C3237" s="475" t="s">
        <v>5518</v>
      </c>
      <c r="D3237" s="475" t="s">
        <v>5519</v>
      </c>
      <c r="E3237" s="476" t="s">
        <v>34</v>
      </c>
      <c r="F3237" s="475" t="s">
        <v>34</v>
      </c>
      <c r="G3237" s="364">
        <v>96678</v>
      </c>
      <c r="H3237" s="475" t="s">
        <v>2756</v>
      </c>
      <c r="I3237" s="475" t="s">
        <v>139</v>
      </c>
      <c r="J3237" s="475" t="s">
        <v>140</v>
      </c>
      <c r="K3237" s="365">
        <v>18.89</v>
      </c>
      <c r="L3237" s="475" t="s">
        <v>141</v>
      </c>
      <c r="M3237" s="473"/>
    </row>
    <row r="3238" spans="1:13" ht="13.5">
      <c r="A3238" s="475" t="s">
        <v>5516</v>
      </c>
      <c r="B3238" s="475" t="s">
        <v>5517</v>
      </c>
      <c r="C3238" s="475" t="s">
        <v>5518</v>
      </c>
      <c r="D3238" s="475" t="s">
        <v>5519</v>
      </c>
      <c r="E3238" s="476" t="s">
        <v>34</v>
      </c>
      <c r="F3238" s="475" t="s">
        <v>34</v>
      </c>
      <c r="G3238" s="364">
        <v>96679</v>
      </c>
      <c r="H3238" s="475" t="s">
        <v>2757</v>
      </c>
      <c r="I3238" s="475" t="s">
        <v>139</v>
      </c>
      <c r="J3238" s="475" t="s">
        <v>140</v>
      </c>
      <c r="K3238" s="365">
        <v>27.59</v>
      </c>
      <c r="L3238" s="475" t="s">
        <v>141</v>
      </c>
      <c r="M3238" s="473"/>
    </row>
    <row r="3239" spans="1:13" ht="13.5">
      <c r="A3239" s="475" t="s">
        <v>5516</v>
      </c>
      <c r="B3239" s="475" t="s">
        <v>5517</v>
      </c>
      <c r="C3239" s="475" t="s">
        <v>5518</v>
      </c>
      <c r="D3239" s="475" t="s">
        <v>5519</v>
      </c>
      <c r="E3239" s="476" t="s">
        <v>34</v>
      </c>
      <c r="F3239" s="475" t="s">
        <v>34</v>
      </c>
      <c r="G3239" s="364">
        <v>96680</v>
      </c>
      <c r="H3239" s="475" t="s">
        <v>2758</v>
      </c>
      <c r="I3239" s="475" t="s">
        <v>139</v>
      </c>
      <c r="J3239" s="475" t="s">
        <v>140</v>
      </c>
      <c r="K3239" s="365">
        <v>37.22</v>
      </c>
      <c r="L3239" s="475" t="s">
        <v>141</v>
      </c>
      <c r="M3239" s="473"/>
    </row>
    <row r="3240" spans="1:13" ht="13.5">
      <c r="A3240" s="475" t="s">
        <v>5516</v>
      </c>
      <c r="B3240" s="475" t="s">
        <v>5517</v>
      </c>
      <c r="C3240" s="475" t="s">
        <v>5518</v>
      </c>
      <c r="D3240" s="475" t="s">
        <v>5519</v>
      </c>
      <c r="E3240" s="476" t="s">
        <v>34</v>
      </c>
      <c r="F3240" s="475" t="s">
        <v>34</v>
      </c>
      <c r="G3240" s="364">
        <v>96681</v>
      </c>
      <c r="H3240" s="475" t="s">
        <v>2759</v>
      </c>
      <c r="I3240" s="475" t="s">
        <v>139</v>
      </c>
      <c r="J3240" s="475" t="s">
        <v>140</v>
      </c>
      <c r="K3240" s="365">
        <v>69.239999999999995</v>
      </c>
      <c r="L3240" s="475" t="s">
        <v>141</v>
      </c>
      <c r="M3240" s="473"/>
    </row>
    <row r="3241" spans="1:13" ht="13.5">
      <c r="A3241" s="475" t="s">
        <v>5516</v>
      </c>
      <c r="B3241" s="475" t="s">
        <v>5517</v>
      </c>
      <c r="C3241" s="475" t="s">
        <v>5518</v>
      </c>
      <c r="D3241" s="475" t="s">
        <v>5519</v>
      </c>
      <c r="E3241" s="476" t="s">
        <v>34</v>
      </c>
      <c r="F3241" s="475" t="s">
        <v>34</v>
      </c>
      <c r="G3241" s="364">
        <v>96682</v>
      </c>
      <c r="H3241" s="475" t="s">
        <v>2760</v>
      </c>
      <c r="I3241" s="475" t="s">
        <v>139</v>
      </c>
      <c r="J3241" s="475" t="s">
        <v>140</v>
      </c>
      <c r="K3241" s="365">
        <v>102.08</v>
      </c>
      <c r="L3241" s="475" t="s">
        <v>141</v>
      </c>
      <c r="M3241" s="473"/>
    </row>
    <row r="3242" spans="1:13" ht="13.5">
      <c r="A3242" s="475" t="s">
        <v>5516</v>
      </c>
      <c r="B3242" s="475" t="s">
        <v>5517</v>
      </c>
      <c r="C3242" s="475" t="s">
        <v>5518</v>
      </c>
      <c r="D3242" s="475" t="s">
        <v>5519</v>
      </c>
      <c r="E3242" s="476" t="s">
        <v>34</v>
      </c>
      <c r="F3242" s="475" t="s">
        <v>34</v>
      </c>
      <c r="G3242" s="364">
        <v>96683</v>
      </c>
      <c r="H3242" s="475" t="s">
        <v>2761</v>
      </c>
      <c r="I3242" s="475" t="s">
        <v>139</v>
      </c>
      <c r="J3242" s="475" t="s">
        <v>140</v>
      </c>
      <c r="K3242" s="365">
        <v>139.84</v>
      </c>
      <c r="L3242" s="475" t="s">
        <v>141</v>
      </c>
      <c r="M3242" s="473"/>
    </row>
    <row r="3243" spans="1:13" ht="13.5">
      <c r="A3243" s="475" t="s">
        <v>5516</v>
      </c>
      <c r="B3243" s="475" t="s">
        <v>5517</v>
      </c>
      <c r="C3243" s="475" t="s">
        <v>5518</v>
      </c>
      <c r="D3243" s="475" t="s">
        <v>5519</v>
      </c>
      <c r="E3243" s="476" t="s">
        <v>34</v>
      </c>
      <c r="F3243" s="475" t="s">
        <v>34</v>
      </c>
      <c r="G3243" s="364">
        <v>96718</v>
      </c>
      <c r="H3243" s="475" t="s">
        <v>2762</v>
      </c>
      <c r="I3243" s="475" t="s">
        <v>139</v>
      </c>
      <c r="J3243" s="475" t="s">
        <v>140</v>
      </c>
      <c r="K3243" s="365">
        <v>5.39</v>
      </c>
      <c r="L3243" s="475" t="s">
        <v>141</v>
      </c>
      <c r="M3243" s="473"/>
    </row>
    <row r="3244" spans="1:13" ht="13.5">
      <c r="A3244" s="475" t="s">
        <v>5516</v>
      </c>
      <c r="B3244" s="475" t="s">
        <v>5517</v>
      </c>
      <c r="C3244" s="475" t="s">
        <v>5518</v>
      </c>
      <c r="D3244" s="475" t="s">
        <v>5519</v>
      </c>
      <c r="E3244" s="476" t="s">
        <v>34</v>
      </c>
      <c r="F3244" s="475" t="s">
        <v>34</v>
      </c>
      <c r="G3244" s="364">
        <v>96719</v>
      </c>
      <c r="H3244" s="475" t="s">
        <v>2763</v>
      </c>
      <c r="I3244" s="475" t="s">
        <v>139</v>
      </c>
      <c r="J3244" s="475" t="s">
        <v>140</v>
      </c>
      <c r="K3244" s="365">
        <v>11.41</v>
      </c>
      <c r="L3244" s="475" t="s">
        <v>141</v>
      </c>
      <c r="M3244" s="473"/>
    </row>
    <row r="3245" spans="1:13" ht="13.5">
      <c r="A3245" s="475" t="s">
        <v>5516</v>
      </c>
      <c r="B3245" s="475" t="s">
        <v>5517</v>
      </c>
      <c r="C3245" s="475" t="s">
        <v>5518</v>
      </c>
      <c r="D3245" s="475" t="s">
        <v>5519</v>
      </c>
      <c r="E3245" s="476" t="s">
        <v>34</v>
      </c>
      <c r="F3245" s="475" t="s">
        <v>34</v>
      </c>
      <c r="G3245" s="364">
        <v>96720</v>
      </c>
      <c r="H3245" s="475" t="s">
        <v>2764</v>
      </c>
      <c r="I3245" s="475" t="s">
        <v>139</v>
      </c>
      <c r="J3245" s="475" t="s">
        <v>140</v>
      </c>
      <c r="K3245" s="365">
        <v>13.83</v>
      </c>
      <c r="L3245" s="475" t="s">
        <v>141</v>
      </c>
      <c r="M3245" s="473"/>
    </row>
    <row r="3246" spans="1:13" ht="13.5">
      <c r="A3246" s="475" t="s">
        <v>5516</v>
      </c>
      <c r="B3246" s="475" t="s">
        <v>5517</v>
      </c>
      <c r="C3246" s="475" t="s">
        <v>5518</v>
      </c>
      <c r="D3246" s="475" t="s">
        <v>5519</v>
      </c>
      <c r="E3246" s="476" t="s">
        <v>34</v>
      </c>
      <c r="F3246" s="475" t="s">
        <v>34</v>
      </c>
      <c r="G3246" s="364">
        <v>96721</v>
      </c>
      <c r="H3246" s="475" t="s">
        <v>2765</v>
      </c>
      <c r="I3246" s="475" t="s">
        <v>139</v>
      </c>
      <c r="J3246" s="475" t="s">
        <v>140</v>
      </c>
      <c r="K3246" s="365">
        <v>18.38</v>
      </c>
      <c r="L3246" s="475" t="s">
        <v>141</v>
      </c>
      <c r="M3246" s="473"/>
    </row>
    <row r="3247" spans="1:13" ht="13.5">
      <c r="A3247" s="475" t="s">
        <v>5516</v>
      </c>
      <c r="B3247" s="475" t="s">
        <v>5517</v>
      </c>
      <c r="C3247" s="475" t="s">
        <v>5518</v>
      </c>
      <c r="D3247" s="475" t="s">
        <v>5519</v>
      </c>
      <c r="E3247" s="476" t="s">
        <v>34</v>
      </c>
      <c r="F3247" s="475" t="s">
        <v>34</v>
      </c>
      <c r="G3247" s="364">
        <v>96722</v>
      </c>
      <c r="H3247" s="475" t="s">
        <v>2766</v>
      </c>
      <c r="I3247" s="475" t="s">
        <v>139</v>
      </c>
      <c r="J3247" s="475" t="s">
        <v>140</v>
      </c>
      <c r="K3247" s="365">
        <v>25.2</v>
      </c>
      <c r="L3247" s="475" t="s">
        <v>141</v>
      </c>
      <c r="M3247" s="473"/>
    </row>
    <row r="3248" spans="1:13" ht="13.5">
      <c r="A3248" s="475" t="s">
        <v>5516</v>
      </c>
      <c r="B3248" s="475" t="s">
        <v>5517</v>
      </c>
      <c r="C3248" s="475" t="s">
        <v>5518</v>
      </c>
      <c r="D3248" s="475" t="s">
        <v>5519</v>
      </c>
      <c r="E3248" s="476" t="s">
        <v>34</v>
      </c>
      <c r="F3248" s="475" t="s">
        <v>34</v>
      </c>
      <c r="G3248" s="364">
        <v>96723</v>
      </c>
      <c r="H3248" s="475" t="s">
        <v>2767</v>
      </c>
      <c r="I3248" s="475" t="s">
        <v>139</v>
      </c>
      <c r="J3248" s="475" t="s">
        <v>140</v>
      </c>
      <c r="K3248" s="365">
        <v>33.15</v>
      </c>
      <c r="L3248" s="475" t="s">
        <v>141</v>
      </c>
      <c r="M3248" s="473"/>
    </row>
    <row r="3249" spans="1:13" ht="13.5">
      <c r="A3249" s="475" t="s">
        <v>5516</v>
      </c>
      <c r="B3249" s="475" t="s">
        <v>5517</v>
      </c>
      <c r="C3249" s="475" t="s">
        <v>5518</v>
      </c>
      <c r="D3249" s="475" t="s">
        <v>5519</v>
      </c>
      <c r="E3249" s="476" t="s">
        <v>34</v>
      </c>
      <c r="F3249" s="475" t="s">
        <v>34</v>
      </c>
      <c r="G3249" s="364">
        <v>96724</v>
      </c>
      <c r="H3249" s="475" t="s">
        <v>2768</v>
      </c>
      <c r="I3249" s="475" t="s">
        <v>139</v>
      </c>
      <c r="J3249" s="475" t="s">
        <v>140</v>
      </c>
      <c r="K3249" s="365">
        <v>54.15</v>
      </c>
      <c r="L3249" s="475" t="s">
        <v>141</v>
      </c>
      <c r="M3249" s="473"/>
    </row>
    <row r="3250" spans="1:13" ht="13.5">
      <c r="A3250" s="475" t="s">
        <v>5516</v>
      </c>
      <c r="B3250" s="475" t="s">
        <v>5517</v>
      </c>
      <c r="C3250" s="475" t="s">
        <v>5518</v>
      </c>
      <c r="D3250" s="475" t="s">
        <v>5519</v>
      </c>
      <c r="E3250" s="476" t="s">
        <v>34</v>
      </c>
      <c r="F3250" s="475" t="s">
        <v>34</v>
      </c>
      <c r="G3250" s="364">
        <v>96725</v>
      </c>
      <c r="H3250" s="475" t="s">
        <v>2769</v>
      </c>
      <c r="I3250" s="475" t="s">
        <v>139</v>
      </c>
      <c r="J3250" s="475" t="s">
        <v>140</v>
      </c>
      <c r="K3250" s="365">
        <v>70.73</v>
      </c>
      <c r="L3250" s="475" t="s">
        <v>141</v>
      </c>
      <c r="M3250" s="473"/>
    </row>
    <row r="3251" spans="1:13" ht="13.5">
      <c r="A3251" s="475" t="s">
        <v>5516</v>
      </c>
      <c r="B3251" s="475" t="s">
        <v>5517</v>
      </c>
      <c r="C3251" s="475" t="s">
        <v>5518</v>
      </c>
      <c r="D3251" s="475" t="s">
        <v>5519</v>
      </c>
      <c r="E3251" s="476" t="s">
        <v>34</v>
      </c>
      <c r="F3251" s="475" t="s">
        <v>34</v>
      </c>
      <c r="G3251" s="364">
        <v>96726</v>
      </c>
      <c r="H3251" s="475" t="s">
        <v>2770</v>
      </c>
      <c r="I3251" s="475" t="s">
        <v>139</v>
      </c>
      <c r="J3251" s="475" t="s">
        <v>140</v>
      </c>
      <c r="K3251" s="365">
        <v>115.24</v>
      </c>
      <c r="L3251" s="475" t="s">
        <v>141</v>
      </c>
      <c r="M3251" s="473"/>
    </row>
    <row r="3252" spans="1:13" ht="13.5">
      <c r="A3252" s="475" t="s">
        <v>5516</v>
      </c>
      <c r="B3252" s="475" t="s">
        <v>5517</v>
      </c>
      <c r="C3252" s="475" t="s">
        <v>5518</v>
      </c>
      <c r="D3252" s="475" t="s">
        <v>5519</v>
      </c>
      <c r="E3252" s="476" t="s">
        <v>34</v>
      </c>
      <c r="F3252" s="475" t="s">
        <v>34</v>
      </c>
      <c r="G3252" s="364">
        <v>96727</v>
      </c>
      <c r="H3252" s="475" t="s">
        <v>2771</v>
      </c>
      <c r="I3252" s="475" t="s">
        <v>139</v>
      </c>
      <c r="J3252" s="475" t="s">
        <v>140</v>
      </c>
      <c r="K3252" s="365">
        <v>9.9700000000000006</v>
      </c>
      <c r="L3252" s="475" t="s">
        <v>141</v>
      </c>
      <c r="M3252" s="473"/>
    </row>
    <row r="3253" spans="1:13" ht="13.5">
      <c r="A3253" s="475" t="s">
        <v>5516</v>
      </c>
      <c r="B3253" s="475" t="s">
        <v>5517</v>
      </c>
      <c r="C3253" s="475" t="s">
        <v>5518</v>
      </c>
      <c r="D3253" s="475" t="s">
        <v>5519</v>
      </c>
      <c r="E3253" s="476" t="s">
        <v>34</v>
      </c>
      <c r="F3253" s="475" t="s">
        <v>34</v>
      </c>
      <c r="G3253" s="364">
        <v>96728</v>
      </c>
      <c r="H3253" s="475" t="s">
        <v>2772</v>
      </c>
      <c r="I3253" s="475" t="s">
        <v>139</v>
      </c>
      <c r="J3253" s="475" t="s">
        <v>140</v>
      </c>
      <c r="K3253" s="365">
        <v>11.81</v>
      </c>
      <c r="L3253" s="475" t="s">
        <v>141</v>
      </c>
      <c r="M3253" s="473"/>
    </row>
    <row r="3254" spans="1:13" ht="13.5">
      <c r="A3254" s="475" t="s">
        <v>5516</v>
      </c>
      <c r="B3254" s="475" t="s">
        <v>5517</v>
      </c>
      <c r="C3254" s="475" t="s">
        <v>5518</v>
      </c>
      <c r="D3254" s="475" t="s">
        <v>5519</v>
      </c>
      <c r="E3254" s="476" t="s">
        <v>34</v>
      </c>
      <c r="F3254" s="475" t="s">
        <v>34</v>
      </c>
      <c r="G3254" s="364">
        <v>96729</v>
      </c>
      <c r="H3254" s="475" t="s">
        <v>2773</v>
      </c>
      <c r="I3254" s="475" t="s">
        <v>139</v>
      </c>
      <c r="J3254" s="475" t="s">
        <v>140</v>
      </c>
      <c r="K3254" s="365">
        <v>17.739999999999998</v>
      </c>
      <c r="L3254" s="475" t="s">
        <v>141</v>
      </c>
      <c r="M3254" s="473"/>
    </row>
    <row r="3255" spans="1:13" ht="13.5">
      <c r="A3255" s="475" t="s">
        <v>5516</v>
      </c>
      <c r="B3255" s="475" t="s">
        <v>5517</v>
      </c>
      <c r="C3255" s="475" t="s">
        <v>5518</v>
      </c>
      <c r="D3255" s="475" t="s">
        <v>5519</v>
      </c>
      <c r="E3255" s="476" t="s">
        <v>34</v>
      </c>
      <c r="F3255" s="475" t="s">
        <v>34</v>
      </c>
      <c r="G3255" s="364">
        <v>96730</v>
      </c>
      <c r="H3255" s="475" t="s">
        <v>2774</v>
      </c>
      <c r="I3255" s="475" t="s">
        <v>139</v>
      </c>
      <c r="J3255" s="475" t="s">
        <v>140</v>
      </c>
      <c r="K3255" s="365">
        <v>22.2</v>
      </c>
      <c r="L3255" s="475" t="s">
        <v>141</v>
      </c>
      <c r="M3255" s="473"/>
    </row>
    <row r="3256" spans="1:13" ht="13.5">
      <c r="A3256" s="475" t="s">
        <v>5516</v>
      </c>
      <c r="B3256" s="475" t="s">
        <v>5517</v>
      </c>
      <c r="C3256" s="475" t="s">
        <v>5518</v>
      </c>
      <c r="D3256" s="475" t="s">
        <v>5519</v>
      </c>
      <c r="E3256" s="476" t="s">
        <v>34</v>
      </c>
      <c r="F3256" s="475" t="s">
        <v>34</v>
      </c>
      <c r="G3256" s="364">
        <v>96731</v>
      </c>
      <c r="H3256" s="475" t="s">
        <v>2775</v>
      </c>
      <c r="I3256" s="475" t="s">
        <v>139</v>
      </c>
      <c r="J3256" s="475" t="s">
        <v>140</v>
      </c>
      <c r="K3256" s="365">
        <v>32.54</v>
      </c>
      <c r="L3256" s="475" t="s">
        <v>141</v>
      </c>
      <c r="M3256" s="473"/>
    </row>
    <row r="3257" spans="1:13" ht="13.5">
      <c r="A3257" s="475" t="s">
        <v>5516</v>
      </c>
      <c r="B3257" s="475" t="s">
        <v>5517</v>
      </c>
      <c r="C3257" s="475" t="s">
        <v>5518</v>
      </c>
      <c r="D3257" s="475" t="s">
        <v>5519</v>
      </c>
      <c r="E3257" s="476" t="s">
        <v>34</v>
      </c>
      <c r="F3257" s="475" t="s">
        <v>34</v>
      </c>
      <c r="G3257" s="364">
        <v>96732</v>
      </c>
      <c r="H3257" s="475" t="s">
        <v>2776</v>
      </c>
      <c r="I3257" s="475" t="s">
        <v>139</v>
      </c>
      <c r="J3257" s="475" t="s">
        <v>140</v>
      </c>
      <c r="K3257" s="365">
        <v>40.08</v>
      </c>
      <c r="L3257" s="475" t="s">
        <v>141</v>
      </c>
      <c r="M3257" s="473"/>
    </row>
    <row r="3258" spans="1:13" ht="13.5">
      <c r="A3258" s="475" t="s">
        <v>5516</v>
      </c>
      <c r="B3258" s="475" t="s">
        <v>5517</v>
      </c>
      <c r="C3258" s="475" t="s">
        <v>5518</v>
      </c>
      <c r="D3258" s="475" t="s">
        <v>5519</v>
      </c>
      <c r="E3258" s="476" t="s">
        <v>34</v>
      </c>
      <c r="F3258" s="475" t="s">
        <v>34</v>
      </c>
      <c r="G3258" s="364">
        <v>96733</v>
      </c>
      <c r="H3258" s="475" t="s">
        <v>2777</v>
      </c>
      <c r="I3258" s="475" t="s">
        <v>139</v>
      </c>
      <c r="J3258" s="475" t="s">
        <v>140</v>
      </c>
      <c r="K3258" s="365">
        <v>73.36</v>
      </c>
      <c r="L3258" s="475" t="s">
        <v>141</v>
      </c>
      <c r="M3258" s="473"/>
    </row>
    <row r="3259" spans="1:13" ht="13.5">
      <c r="A3259" s="475" t="s">
        <v>5516</v>
      </c>
      <c r="B3259" s="475" t="s">
        <v>5517</v>
      </c>
      <c r="C3259" s="475" t="s">
        <v>5518</v>
      </c>
      <c r="D3259" s="475" t="s">
        <v>5519</v>
      </c>
      <c r="E3259" s="476" t="s">
        <v>34</v>
      </c>
      <c r="F3259" s="475" t="s">
        <v>34</v>
      </c>
      <c r="G3259" s="364">
        <v>96734</v>
      </c>
      <c r="H3259" s="475" t="s">
        <v>2778</v>
      </c>
      <c r="I3259" s="475" t="s">
        <v>139</v>
      </c>
      <c r="J3259" s="475" t="s">
        <v>140</v>
      </c>
      <c r="K3259" s="365">
        <v>101.15</v>
      </c>
      <c r="L3259" s="475" t="s">
        <v>141</v>
      </c>
      <c r="M3259" s="473"/>
    </row>
    <row r="3260" spans="1:13" ht="13.5">
      <c r="A3260" s="475" t="s">
        <v>5516</v>
      </c>
      <c r="B3260" s="475" t="s">
        <v>5517</v>
      </c>
      <c r="C3260" s="475" t="s">
        <v>5518</v>
      </c>
      <c r="D3260" s="475" t="s">
        <v>5519</v>
      </c>
      <c r="E3260" s="476" t="s">
        <v>34</v>
      </c>
      <c r="F3260" s="475" t="s">
        <v>34</v>
      </c>
      <c r="G3260" s="364">
        <v>96735</v>
      </c>
      <c r="H3260" s="475" t="s">
        <v>2779</v>
      </c>
      <c r="I3260" s="475" t="s">
        <v>139</v>
      </c>
      <c r="J3260" s="475" t="s">
        <v>140</v>
      </c>
      <c r="K3260" s="365">
        <v>132.41999999999999</v>
      </c>
      <c r="L3260" s="475" t="s">
        <v>141</v>
      </c>
      <c r="M3260" s="473"/>
    </row>
    <row r="3261" spans="1:13" ht="13.5">
      <c r="A3261" s="475" t="s">
        <v>5516</v>
      </c>
      <c r="B3261" s="475" t="s">
        <v>5517</v>
      </c>
      <c r="C3261" s="475" t="s">
        <v>5518</v>
      </c>
      <c r="D3261" s="475" t="s">
        <v>5519</v>
      </c>
      <c r="E3261" s="476" t="s">
        <v>34</v>
      </c>
      <c r="F3261" s="475" t="s">
        <v>34</v>
      </c>
      <c r="G3261" s="364">
        <v>96794</v>
      </c>
      <c r="H3261" s="475" t="s">
        <v>2780</v>
      </c>
      <c r="I3261" s="475" t="s">
        <v>139</v>
      </c>
      <c r="J3261" s="475" t="s">
        <v>140</v>
      </c>
      <c r="K3261" s="365">
        <v>6.5</v>
      </c>
      <c r="L3261" s="475" t="s">
        <v>141</v>
      </c>
      <c r="M3261" s="473"/>
    </row>
    <row r="3262" spans="1:13" ht="13.5">
      <c r="A3262" s="475" t="s">
        <v>5516</v>
      </c>
      <c r="B3262" s="475" t="s">
        <v>5517</v>
      </c>
      <c r="C3262" s="475" t="s">
        <v>5518</v>
      </c>
      <c r="D3262" s="475" t="s">
        <v>5519</v>
      </c>
      <c r="E3262" s="476" t="s">
        <v>34</v>
      </c>
      <c r="F3262" s="475" t="s">
        <v>34</v>
      </c>
      <c r="G3262" s="364">
        <v>96795</v>
      </c>
      <c r="H3262" s="475" t="s">
        <v>2781</v>
      </c>
      <c r="I3262" s="475" t="s">
        <v>139</v>
      </c>
      <c r="J3262" s="475" t="s">
        <v>140</v>
      </c>
      <c r="K3262" s="365">
        <v>8.25</v>
      </c>
      <c r="L3262" s="475" t="s">
        <v>141</v>
      </c>
      <c r="M3262" s="473"/>
    </row>
    <row r="3263" spans="1:13" ht="13.5">
      <c r="A3263" s="475" t="s">
        <v>5516</v>
      </c>
      <c r="B3263" s="475" t="s">
        <v>5517</v>
      </c>
      <c r="C3263" s="475" t="s">
        <v>5518</v>
      </c>
      <c r="D3263" s="475" t="s">
        <v>5519</v>
      </c>
      <c r="E3263" s="476" t="s">
        <v>34</v>
      </c>
      <c r="F3263" s="475" t="s">
        <v>34</v>
      </c>
      <c r="G3263" s="364">
        <v>96796</v>
      </c>
      <c r="H3263" s="475" t="s">
        <v>2782</v>
      </c>
      <c r="I3263" s="475" t="s">
        <v>139</v>
      </c>
      <c r="J3263" s="475" t="s">
        <v>140</v>
      </c>
      <c r="K3263" s="365">
        <v>11.54</v>
      </c>
      <c r="L3263" s="475" t="s">
        <v>141</v>
      </c>
      <c r="M3263" s="473"/>
    </row>
    <row r="3264" spans="1:13" ht="13.5">
      <c r="A3264" s="475" t="s">
        <v>5516</v>
      </c>
      <c r="B3264" s="475" t="s">
        <v>5517</v>
      </c>
      <c r="C3264" s="475" t="s">
        <v>5518</v>
      </c>
      <c r="D3264" s="475" t="s">
        <v>5519</v>
      </c>
      <c r="E3264" s="476" t="s">
        <v>34</v>
      </c>
      <c r="F3264" s="475" t="s">
        <v>34</v>
      </c>
      <c r="G3264" s="364">
        <v>96797</v>
      </c>
      <c r="H3264" s="475" t="s">
        <v>2783</v>
      </c>
      <c r="I3264" s="475" t="s">
        <v>139</v>
      </c>
      <c r="J3264" s="475" t="s">
        <v>140</v>
      </c>
      <c r="K3264" s="365">
        <v>17.41</v>
      </c>
      <c r="L3264" s="475" t="s">
        <v>141</v>
      </c>
      <c r="M3264" s="473"/>
    </row>
    <row r="3265" spans="1:13" ht="13.5">
      <c r="A3265" s="475" t="s">
        <v>5516</v>
      </c>
      <c r="B3265" s="475" t="s">
        <v>5517</v>
      </c>
      <c r="C3265" s="475" t="s">
        <v>5518</v>
      </c>
      <c r="D3265" s="475" t="s">
        <v>5519</v>
      </c>
      <c r="E3265" s="476" t="s">
        <v>34</v>
      </c>
      <c r="F3265" s="475" t="s">
        <v>34</v>
      </c>
      <c r="G3265" s="364">
        <v>96798</v>
      </c>
      <c r="H3265" s="475" t="s">
        <v>2784</v>
      </c>
      <c r="I3265" s="475" t="s">
        <v>139</v>
      </c>
      <c r="J3265" s="475" t="s">
        <v>140</v>
      </c>
      <c r="K3265" s="365">
        <v>6.61</v>
      </c>
      <c r="L3265" s="475" t="s">
        <v>141</v>
      </c>
      <c r="M3265" s="473"/>
    </row>
    <row r="3266" spans="1:13" ht="13.5">
      <c r="A3266" s="475" t="s">
        <v>5516</v>
      </c>
      <c r="B3266" s="475" t="s">
        <v>5517</v>
      </c>
      <c r="C3266" s="475" t="s">
        <v>5518</v>
      </c>
      <c r="D3266" s="475" t="s">
        <v>5519</v>
      </c>
      <c r="E3266" s="476" t="s">
        <v>34</v>
      </c>
      <c r="F3266" s="475" t="s">
        <v>34</v>
      </c>
      <c r="G3266" s="364">
        <v>96799</v>
      </c>
      <c r="H3266" s="475" t="s">
        <v>2785</v>
      </c>
      <c r="I3266" s="475" t="s">
        <v>139</v>
      </c>
      <c r="J3266" s="475" t="s">
        <v>140</v>
      </c>
      <c r="K3266" s="365">
        <v>8.84</v>
      </c>
      <c r="L3266" s="475" t="s">
        <v>141</v>
      </c>
      <c r="M3266" s="473"/>
    </row>
    <row r="3267" spans="1:13" ht="13.5">
      <c r="A3267" s="475" t="s">
        <v>5516</v>
      </c>
      <c r="B3267" s="475" t="s">
        <v>5517</v>
      </c>
      <c r="C3267" s="475" t="s">
        <v>5518</v>
      </c>
      <c r="D3267" s="475" t="s">
        <v>5519</v>
      </c>
      <c r="E3267" s="476" t="s">
        <v>34</v>
      </c>
      <c r="F3267" s="475" t="s">
        <v>34</v>
      </c>
      <c r="G3267" s="364">
        <v>96800</v>
      </c>
      <c r="H3267" s="475" t="s">
        <v>2786</v>
      </c>
      <c r="I3267" s="475" t="s">
        <v>139</v>
      </c>
      <c r="J3267" s="475" t="s">
        <v>140</v>
      </c>
      <c r="K3267" s="365">
        <v>12.75</v>
      </c>
      <c r="L3267" s="475" t="s">
        <v>141</v>
      </c>
      <c r="M3267" s="473"/>
    </row>
    <row r="3268" spans="1:13" ht="13.5">
      <c r="A3268" s="475" t="s">
        <v>5516</v>
      </c>
      <c r="B3268" s="475" t="s">
        <v>5517</v>
      </c>
      <c r="C3268" s="475" t="s">
        <v>5518</v>
      </c>
      <c r="D3268" s="475" t="s">
        <v>5519</v>
      </c>
      <c r="E3268" s="476" t="s">
        <v>34</v>
      </c>
      <c r="F3268" s="475" t="s">
        <v>34</v>
      </c>
      <c r="G3268" s="364">
        <v>96801</v>
      </c>
      <c r="H3268" s="475" t="s">
        <v>2787</v>
      </c>
      <c r="I3268" s="475" t="s">
        <v>139</v>
      </c>
      <c r="J3268" s="475" t="s">
        <v>140</v>
      </c>
      <c r="K3268" s="365">
        <v>19.5</v>
      </c>
      <c r="L3268" s="475" t="s">
        <v>141</v>
      </c>
      <c r="M3268" s="473"/>
    </row>
    <row r="3269" spans="1:13" ht="13.5">
      <c r="A3269" s="475" t="s">
        <v>5516</v>
      </c>
      <c r="B3269" s="475" t="s">
        <v>5517</v>
      </c>
      <c r="C3269" s="475" t="s">
        <v>5518</v>
      </c>
      <c r="D3269" s="475" t="s">
        <v>5519</v>
      </c>
      <c r="E3269" s="476" t="s">
        <v>34</v>
      </c>
      <c r="F3269" s="475" t="s">
        <v>34</v>
      </c>
      <c r="G3269" s="364">
        <v>97327</v>
      </c>
      <c r="H3269" s="475" t="s">
        <v>7576</v>
      </c>
      <c r="I3269" s="475" t="s">
        <v>139</v>
      </c>
      <c r="J3269" s="475" t="s">
        <v>140</v>
      </c>
      <c r="K3269" s="365">
        <v>17.88</v>
      </c>
      <c r="L3269" s="475" t="s">
        <v>141</v>
      </c>
      <c r="M3269" s="473"/>
    </row>
    <row r="3270" spans="1:13" ht="13.5">
      <c r="A3270" s="475" t="s">
        <v>5516</v>
      </c>
      <c r="B3270" s="475" t="s">
        <v>5517</v>
      </c>
      <c r="C3270" s="475" t="s">
        <v>5518</v>
      </c>
      <c r="D3270" s="475" t="s">
        <v>5519</v>
      </c>
      <c r="E3270" s="476" t="s">
        <v>34</v>
      </c>
      <c r="F3270" s="475" t="s">
        <v>34</v>
      </c>
      <c r="G3270" s="364">
        <v>97328</v>
      </c>
      <c r="H3270" s="475" t="s">
        <v>7577</v>
      </c>
      <c r="I3270" s="475" t="s">
        <v>139</v>
      </c>
      <c r="J3270" s="475" t="s">
        <v>140</v>
      </c>
      <c r="K3270" s="365">
        <v>31.33</v>
      </c>
      <c r="L3270" s="475" t="s">
        <v>141</v>
      </c>
      <c r="M3270" s="473"/>
    </row>
    <row r="3271" spans="1:13" ht="13.5">
      <c r="A3271" s="475" t="s">
        <v>5516</v>
      </c>
      <c r="B3271" s="475" t="s">
        <v>5517</v>
      </c>
      <c r="C3271" s="475" t="s">
        <v>5518</v>
      </c>
      <c r="D3271" s="475" t="s">
        <v>5519</v>
      </c>
      <c r="E3271" s="476" t="s">
        <v>34</v>
      </c>
      <c r="F3271" s="475" t="s">
        <v>34</v>
      </c>
      <c r="G3271" s="364">
        <v>97329</v>
      </c>
      <c r="H3271" s="475" t="s">
        <v>7578</v>
      </c>
      <c r="I3271" s="475" t="s">
        <v>139</v>
      </c>
      <c r="J3271" s="475" t="s">
        <v>140</v>
      </c>
      <c r="K3271" s="365">
        <v>38.9</v>
      </c>
      <c r="L3271" s="475" t="s">
        <v>141</v>
      </c>
      <c r="M3271" s="473"/>
    </row>
    <row r="3272" spans="1:13" ht="13.5">
      <c r="A3272" s="475" t="s">
        <v>5516</v>
      </c>
      <c r="B3272" s="475" t="s">
        <v>5517</v>
      </c>
      <c r="C3272" s="475" t="s">
        <v>5518</v>
      </c>
      <c r="D3272" s="475" t="s">
        <v>5519</v>
      </c>
      <c r="E3272" s="476" t="s">
        <v>34</v>
      </c>
      <c r="F3272" s="475" t="s">
        <v>34</v>
      </c>
      <c r="G3272" s="364">
        <v>97330</v>
      </c>
      <c r="H3272" s="475" t="s">
        <v>7579</v>
      </c>
      <c r="I3272" s="475" t="s">
        <v>139</v>
      </c>
      <c r="J3272" s="475" t="s">
        <v>140</v>
      </c>
      <c r="K3272" s="365">
        <v>47.38</v>
      </c>
      <c r="L3272" s="475" t="s">
        <v>141</v>
      </c>
      <c r="M3272" s="473"/>
    </row>
    <row r="3273" spans="1:13" ht="13.5">
      <c r="A3273" s="475" t="s">
        <v>5516</v>
      </c>
      <c r="B3273" s="475" t="s">
        <v>5517</v>
      </c>
      <c r="C3273" s="475" t="s">
        <v>5518</v>
      </c>
      <c r="D3273" s="475" t="s">
        <v>5519</v>
      </c>
      <c r="E3273" s="476" t="s">
        <v>34</v>
      </c>
      <c r="F3273" s="475" t="s">
        <v>34</v>
      </c>
      <c r="G3273" s="364">
        <v>97331</v>
      </c>
      <c r="H3273" s="475" t="s">
        <v>7580</v>
      </c>
      <c r="I3273" s="475" t="s">
        <v>139</v>
      </c>
      <c r="J3273" s="475" t="s">
        <v>140</v>
      </c>
      <c r="K3273" s="365">
        <v>18.11</v>
      </c>
      <c r="L3273" s="475" t="s">
        <v>141</v>
      </c>
      <c r="M3273" s="473"/>
    </row>
    <row r="3274" spans="1:13" ht="13.5">
      <c r="A3274" s="475" t="s">
        <v>5516</v>
      </c>
      <c r="B3274" s="475" t="s">
        <v>5517</v>
      </c>
      <c r="C3274" s="475" t="s">
        <v>5518</v>
      </c>
      <c r="D3274" s="475" t="s">
        <v>5519</v>
      </c>
      <c r="E3274" s="476" t="s">
        <v>34</v>
      </c>
      <c r="F3274" s="475" t="s">
        <v>34</v>
      </c>
      <c r="G3274" s="364">
        <v>97332</v>
      </c>
      <c r="H3274" s="475" t="s">
        <v>7581</v>
      </c>
      <c r="I3274" s="475" t="s">
        <v>139</v>
      </c>
      <c r="J3274" s="475" t="s">
        <v>140</v>
      </c>
      <c r="K3274" s="365">
        <v>31.6</v>
      </c>
      <c r="L3274" s="475" t="s">
        <v>141</v>
      </c>
      <c r="M3274" s="473"/>
    </row>
    <row r="3275" spans="1:13" ht="13.5">
      <c r="A3275" s="475" t="s">
        <v>5516</v>
      </c>
      <c r="B3275" s="475" t="s">
        <v>5517</v>
      </c>
      <c r="C3275" s="475" t="s">
        <v>5518</v>
      </c>
      <c r="D3275" s="475" t="s">
        <v>5519</v>
      </c>
      <c r="E3275" s="476" t="s">
        <v>34</v>
      </c>
      <c r="F3275" s="475" t="s">
        <v>34</v>
      </c>
      <c r="G3275" s="364">
        <v>97333</v>
      </c>
      <c r="H3275" s="475" t="s">
        <v>7582</v>
      </c>
      <c r="I3275" s="475" t="s">
        <v>139</v>
      </c>
      <c r="J3275" s="475" t="s">
        <v>140</v>
      </c>
      <c r="K3275" s="365">
        <v>39.229999999999997</v>
      </c>
      <c r="L3275" s="475" t="s">
        <v>141</v>
      </c>
      <c r="M3275" s="473"/>
    </row>
    <row r="3276" spans="1:13" ht="13.5">
      <c r="A3276" s="475" t="s">
        <v>5516</v>
      </c>
      <c r="B3276" s="475" t="s">
        <v>5517</v>
      </c>
      <c r="C3276" s="475" t="s">
        <v>5518</v>
      </c>
      <c r="D3276" s="475" t="s">
        <v>5519</v>
      </c>
      <c r="E3276" s="476" t="s">
        <v>34</v>
      </c>
      <c r="F3276" s="475" t="s">
        <v>34</v>
      </c>
      <c r="G3276" s="364">
        <v>97334</v>
      </c>
      <c r="H3276" s="475" t="s">
        <v>7583</v>
      </c>
      <c r="I3276" s="475" t="s">
        <v>139</v>
      </c>
      <c r="J3276" s="475" t="s">
        <v>140</v>
      </c>
      <c r="K3276" s="365">
        <v>47.75</v>
      </c>
      <c r="L3276" s="475" t="s">
        <v>141</v>
      </c>
      <c r="M3276" s="473"/>
    </row>
    <row r="3277" spans="1:13" ht="13.5">
      <c r="A3277" s="475" t="s">
        <v>5516</v>
      </c>
      <c r="B3277" s="475" t="s">
        <v>5517</v>
      </c>
      <c r="C3277" s="475" t="s">
        <v>5518</v>
      </c>
      <c r="D3277" s="475" t="s">
        <v>5519</v>
      </c>
      <c r="E3277" s="476" t="s">
        <v>34</v>
      </c>
      <c r="F3277" s="475" t="s">
        <v>34</v>
      </c>
      <c r="G3277" s="364">
        <v>97335</v>
      </c>
      <c r="H3277" s="475" t="s">
        <v>7584</v>
      </c>
      <c r="I3277" s="475" t="s">
        <v>139</v>
      </c>
      <c r="J3277" s="475" t="s">
        <v>140</v>
      </c>
      <c r="K3277" s="365">
        <v>46.96</v>
      </c>
      <c r="L3277" s="475" t="s">
        <v>141</v>
      </c>
      <c r="M3277" s="473"/>
    </row>
    <row r="3278" spans="1:13" ht="13.5">
      <c r="A3278" s="475" t="s">
        <v>5516</v>
      </c>
      <c r="B3278" s="475" t="s">
        <v>5517</v>
      </c>
      <c r="C3278" s="475" t="s">
        <v>5518</v>
      </c>
      <c r="D3278" s="475" t="s">
        <v>5519</v>
      </c>
      <c r="E3278" s="476" t="s">
        <v>34</v>
      </c>
      <c r="F3278" s="475" t="s">
        <v>34</v>
      </c>
      <c r="G3278" s="364">
        <v>97336</v>
      </c>
      <c r="H3278" s="475" t="s">
        <v>7585</v>
      </c>
      <c r="I3278" s="475" t="s">
        <v>139</v>
      </c>
      <c r="J3278" s="475" t="s">
        <v>140</v>
      </c>
      <c r="K3278" s="365">
        <v>59.63</v>
      </c>
      <c r="L3278" s="475" t="s">
        <v>141</v>
      </c>
      <c r="M3278" s="473"/>
    </row>
    <row r="3279" spans="1:13" ht="13.5">
      <c r="A3279" s="475" t="s">
        <v>5516</v>
      </c>
      <c r="B3279" s="475" t="s">
        <v>5517</v>
      </c>
      <c r="C3279" s="475" t="s">
        <v>5518</v>
      </c>
      <c r="D3279" s="475" t="s">
        <v>5519</v>
      </c>
      <c r="E3279" s="476" t="s">
        <v>34</v>
      </c>
      <c r="F3279" s="475" t="s">
        <v>34</v>
      </c>
      <c r="G3279" s="364">
        <v>97337</v>
      </c>
      <c r="H3279" s="475" t="s">
        <v>7586</v>
      </c>
      <c r="I3279" s="475" t="s">
        <v>139</v>
      </c>
      <c r="J3279" s="475" t="s">
        <v>140</v>
      </c>
      <c r="K3279" s="365">
        <v>89.45</v>
      </c>
      <c r="L3279" s="475" t="s">
        <v>141</v>
      </c>
      <c r="M3279" s="473"/>
    </row>
    <row r="3280" spans="1:13" ht="13.5">
      <c r="A3280" s="475" t="s">
        <v>5516</v>
      </c>
      <c r="B3280" s="475" t="s">
        <v>5517</v>
      </c>
      <c r="C3280" s="475" t="s">
        <v>5518</v>
      </c>
      <c r="D3280" s="475" t="s">
        <v>5519</v>
      </c>
      <c r="E3280" s="476" t="s">
        <v>34</v>
      </c>
      <c r="F3280" s="475" t="s">
        <v>34</v>
      </c>
      <c r="G3280" s="364">
        <v>97338</v>
      </c>
      <c r="H3280" s="475" t="s">
        <v>7587</v>
      </c>
      <c r="I3280" s="475" t="s">
        <v>139</v>
      </c>
      <c r="J3280" s="475" t="s">
        <v>140</v>
      </c>
      <c r="K3280" s="365">
        <v>107.5</v>
      </c>
      <c r="L3280" s="475" t="s">
        <v>141</v>
      </c>
      <c r="M3280" s="473"/>
    </row>
    <row r="3281" spans="1:13" ht="13.5">
      <c r="A3281" s="475" t="s">
        <v>5516</v>
      </c>
      <c r="B3281" s="475" t="s">
        <v>5517</v>
      </c>
      <c r="C3281" s="475" t="s">
        <v>5518</v>
      </c>
      <c r="D3281" s="475" t="s">
        <v>5519</v>
      </c>
      <c r="E3281" s="476" t="s">
        <v>34</v>
      </c>
      <c r="F3281" s="475" t="s">
        <v>34</v>
      </c>
      <c r="G3281" s="364">
        <v>97339</v>
      </c>
      <c r="H3281" s="475" t="s">
        <v>7588</v>
      </c>
      <c r="I3281" s="475" t="s">
        <v>139</v>
      </c>
      <c r="J3281" s="475" t="s">
        <v>140</v>
      </c>
      <c r="K3281" s="365">
        <v>115.68</v>
      </c>
      <c r="L3281" s="475" t="s">
        <v>141</v>
      </c>
      <c r="M3281" s="473"/>
    </row>
    <row r="3282" spans="1:13" ht="13.5">
      <c r="A3282" s="475" t="s">
        <v>5516</v>
      </c>
      <c r="B3282" s="475" t="s">
        <v>5517</v>
      </c>
      <c r="C3282" s="475" t="s">
        <v>5518</v>
      </c>
      <c r="D3282" s="475" t="s">
        <v>5519</v>
      </c>
      <c r="E3282" s="476" t="s">
        <v>34</v>
      </c>
      <c r="F3282" s="475" t="s">
        <v>34</v>
      </c>
      <c r="G3282" s="364">
        <v>97340</v>
      </c>
      <c r="H3282" s="475" t="s">
        <v>7589</v>
      </c>
      <c r="I3282" s="475" t="s">
        <v>139</v>
      </c>
      <c r="J3282" s="475" t="s">
        <v>140</v>
      </c>
      <c r="K3282" s="365">
        <v>116.25</v>
      </c>
      <c r="L3282" s="475" t="s">
        <v>141</v>
      </c>
      <c r="M3282" s="473"/>
    </row>
    <row r="3283" spans="1:13" ht="13.5">
      <c r="A3283" s="475" t="s">
        <v>5516</v>
      </c>
      <c r="B3283" s="475" t="s">
        <v>5517</v>
      </c>
      <c r="C3283" s="475" t="s">
        <v>5518</v>
      </c>
      <c r="D3283" s="475" t="s">
        <v>5519</v>
      </c>
      <c r="E3283" s="476" t="s">
        <v>34</v>
      </c>
      <c r="F3283" s="475" t="s">
        <v>34</v>
      </c>
      <c r="G3283" s="364">
        <v>97341</v>
      </c>
      <c r="H3283" s="475" t="s">
        <v>7590</v>
      </c>
      <c r="I3283" s="475" t="s">
        <v>139</v>
      </c>
      <c r="J3283" s="475" t="s">
        <v>140</v>
      </c>
      <c r="K3283" s="365">
        <v>32.25</v>
      </c>
      <c r="L3283" s="475" t="s">
        <v>141</v>
      </c>
      <c r="M3283" s="473"/>
    </row>
    <row r="3284" spans="1:13" ht="13.5">
      <c r="A3284" s="475" t="s">
        <v>5516</v>
      </c>
      <c r="B3284" s="475" t="s">
        <v>5517</v>
      </c>
      <c r="C3284" s="475" t="s">
        <v>5518</v>
      </c>
      <c r="D3284" s="475" t="s">
        <v>5519</v>
      </c>
      <c r="E3284" s="476" t="s">
        <v>34</v>
      </c>
      <c r="F3284" s="475" t="s">
        <v>34</v>
      </c>
      <c r="G3284" s="364">
        <v>97342</v>
      </c>
      <c r="H3284" s="475" t="s">
        <v>7591</v>
      </c>
      <c r="I3284" s="475" t="s">
        <v>139</v>
      </c>
      <c r="J3284" s="475" t="s">
        <v>140</v>
      </c>
      <c r="K3284" s="365">
        <v>50.23</v>
      </c>
      <c r="L3284" s="475" t="s">
        <v>141</v>
      </c>
      <c r="M3284" s="473"/>
    </row>
    <row r="3285" spans="1:13" ht="13.5">
      <c r="A3285" s="475" t="s">
        <v>5516</v>
      </c>
      <c r="B3285" s="475" t="s">
        <v>5517</v>
      </c>
      <c r="C3285" s="475" t="s">
        <v>5518</v>
      </c>
      <c r="D3285" s="475" t="s">
        <v>5519</v>
      </c>
      <c r="E3285" s="476" t="s">
        <v>34</v>
      </c>
      <c r="F3285" s="475" t="s">
        <v>34</v>
      </c>
      <c r="G3285" s="364">
        <v>97343</v>
      </c>
      <c r="H3285" s="475" t="s">
        <v>7592</v>
      </c>
      <c r="I3285" s="475" t="s">
        <v>139</v>
      </c>
      <c r="J3285" s="475" t="s">
        <v>140</v>
      </c>
      <c r="K3285" s="365">
        <v>63.13</v>
      </c>
      <c r="L3285" s="475" t="s">
        <v>141</v>
      </c>
      <c r="M3285" s="473"/>
    </row>
    <row r="3286" spans="1:13" ht="13.5">
      <c r="A3286" s="475" t="s">
        <v>5516</v>
      </c>
      <c r="B3286" s="475" t="s">
        <v>5517</v>
      </c>
      <c r="C3286" s="475" t="s">
        <v>5518</v>
      </c>
      <c r="D3286" s="475" t="s">
        <v>5519</v>
      </c>
      <c r="E3286" s="476" t="s">
        <v>34</v>
      </c>
      <c r="F3286" s="475" t="s">
        <v>34</v>
      </c>
      <c r="G3286" s="364">
        <v>97344</v>
      </c>
      <c r="H3286" s="475" t="s">
        <v>7593</v>
      </c>
      <c r="I3286" s="475" t="s">
        <v>139</v>
      </c>
      <c r="J3286" s="475" t="s">
        <v>140</v>
      </c>
      <c r="K3286" s="365">
        <v>39.43</v>
      </c>
      <c r="L3286" s="475" t="s">
        <v>141</v>
      </c>
      <c r="M3286" s="473"/>
    </row>
    <row r="3287" spans="1:13" ht="13.5">
      <c r="A3287" s="475" t="s">
        <v>5516</v>
      </c>
      <c r="B3287" s="475" t="s">
        <v>5517</v>
      </c>
      <c r="C3287" s="475" t="s">
        <v>5518</v>
      </c>
      <c r="D3287" s="475" t="s">
        <v>5519</v>
      </c>
      <c r="E3287" s="476" t="s">
        <v>34</v>
      </c>
      <c r="F3287" s="475" t="s">
        <v>34</v>
      </c>
      <c r="G3287" s="364">
        <v>97345</v>
      </c>
      <c r="H3287" s="475" t="s">
        <v>7594</v>
      </c>
      <c r="I3287" s="475" t="s">
        <v>139</v>
      </c>
      <c r="J3287" s="475" t="s">
        <v>140</v>
      </c>
      <c r="K3287" s="365">
        <v>62.57</v>
      </c>
      <c r="L3287" s="475" t="s">
        <v>141</v>
      </c>
      <c r="M3287" s="473"/>
    </row>
    <row r="3288" spans="1:13" ht="13.5">
      <c r="A3288" s="475" t="s">
        <v>5516</v>
      </c>
      <c r="B3288" s="475" t="s">
        <v>5517</v>
      </c>
      <c r="C3288" s="475" t="s">
        <v>5518</v>
      </c>
      <c r="D3288" s="475" t="s">
        <v>5519</v>
      </c>
      <c r="E3288" s="476" t="s">
        <v>34</v>
      </c>
      <c r="F3288" s="475" t="s">
        <v>34</v>
      </c>
      <c r="G3288" s="364">
        <v>97346</v>
      </c>
      <c r="H3288" s="475" t="s">
        <v>7595</v>
      </c>
      <c r="I3288" s="475" t="s">
        <v>139</v>
      </c>
      <c r="J3288" s="475" t="s">
        <v>140</v>
      </c>
      <c r="K3288" s="365">
        <v>79.95</v>
      </c>
      <c r="L3288" s="475" t="s">
        <v>141</v>
      </c>
      <c r="M3288" s="473"/>
    </row>
    <row r="3289" spans="1:13" ht="13.5">
      <c r="A3289" s="475" t="s">
        <v>5516</v>
      </c>
      <c r="B3289" s="475" t="s">
        <v>5517</v>
      </c>
      <c r="C3289" s="475" t="s">
        <v>5518</v>
      </c>
      <c r="D3289" s="475" t="s">
        <v>5519</v>
      </c>
      <c r="E3289" s="476" t="s">
        <v>34</v>
      </c>
      <c r="F3289" s="475" t="s">
        <v>34</v>
      </c>
      <c r="G3289" s="364">
        <v>97347</v>
      </c>
      <c r="H3289" s="475" t="s">
        <v>7596</v>
      </c>
      <c r="I3289" s="475" t="s">
        <v>139</v>
      </c>
      <c r="J3289" s="475" t="s">
        <v>140</v>
      </c>
      <c r="K3289" s="365">
        <v>56.5</v>
      </c>
      <c r="L3289" s="475" t="s">
        <v>141</v>
      </c>
      <c r="M3289" s="473"/>
    </row>
    <row r="3290" spans="1:13" ht="13.5">
      <c r="A3290" s="475" t="s">
        <v>5516</v>
      </c>
      <c r="B3290" s="475" t="s">
        <v>5517</v>
      </c>
      <c r="C3290" s="475" t="s">
        <v>5518</v>
      </c>
      <c r="D3290" s="475" t="s">
        <v>5519</v>
      </c>
      <c r="E3290" s="476" t="s">
        <v>34</v>
      </c>
      <c r="F3290" s="475" t="s">
        <v>34</v>
      </c>
      <c r="G3290" s="364">
        <v>97348</v>
      </c>
      <c r="H3290" s="475" t="s">
        <v>7597</v>
      </c>
      <c r="I3290" s="475" t="s">
        <v>139</v>
      </c>
      <c r="J3290" s="475" t="s">
        <v>140</v>
      </c>
      <c r="K3290" s="365">
        <v>78</v>
      </c>
      <c r="L3290" s="475" t="s">
        <v>141</v>
      </c>
      <c r="M3290" s="473"/>
    </row>
    <row r="3291" spans="1:13" ht="13.5">
      <c r="A3291" s="475" t="s">
        <v>5516</v>
      </c>
      <c r="B3291" s="475" t="s">
        <v>5517</v>
      </c>
      <c r="C3291" s="475" t="s">
        <v>5518</v>
      </c>
      <c r="D3291" s="475" t="s">
        <v>5519</v>
      </c>
      <c r="E3291" s="476" t="s">
        <v>34</v>
      </c>
      <c r="F3291" s="475" t="s">
        <v>34</v>
      </c>
      <c r="G3291" s="364">
        <v>97349</v>
      </c>
      <c r="H3291" s="475" t="s">
        <v>7598</v>
      </c>
      <c r="I3291" s="475" t="s">
        <v>139</v>
      </c>
      <c r="J3291" s="475" t="s">
        <v>140</v>
      </c>
      <c r="K3291" s="365">
        <v>112.31</v>
      </c>
      <c r="L3291" s="475" t="s">
        <v>141</v>
      </c>
      <c r="M3291" s="473"/>
    </row>
    <row r="3292" spans="1:13" ht="13.5">
      <c r="A3292" s="475" t="s">
        <v>5516</v>
      </c>
      <c r="B3292" s="475" t="s">
        <v>5517</v>
      </c>
      <c r="C3292" s="475" t="s">
        <v>5518</v>
      </c>
      <c r="D3292" s="475" t="s">
        <v>5519</v>
      </c>
      <c r="E3292" s="476" t="s">
        <v>34</v>
      </c>
      <c r="F3292" s="475" t="s">
        <v>34</v>
      </c>
      <c r="G3292" s="364">
        <v>97350</v>
      </c>
      <c r="H3292" s="475" t="s">
        <v>7599</v>
      </c>
      <c r="I3292" s="475" t="s">
        <v>139</v>
      </c>
      <c r="J3292" s="475" t="s">
        <v>140</v>
      </c>
      <c r="K3292" s="365">
        <v>136.33000000000001</v>
      </c>
      <c r="L3292" s="475" t="s">
        <v>141</v>
      </c>
      <c r="M3292" s="473"/>
    </row>
    <row r="3293" spans="1:13" ht="13.5">
      <c r="A3293" s="475" t="s">
        <v>5516</v>
      </c>
      <c r="B3293" s="475" t="s">
        <v>5517</v>
      </c>
      <c r="C3293" s="475" t="s">
        <v>5518</v>
      </c>
      <c r="D3293" s="475" t="s">
        <v>5519</v>
      </c>
      <c r="E3293" s="476" t="s">
        <v>34</v>
      </c>
      <c r="F3293" s="475" t="s">
        <v>34</v>
      </c>
      <c r="G3293" s="364">
        <v>97351</v>
      </c>
      <c r="H3293" s="475" t="s">
        <v>7600</v>
      </c>
      <c r="I3293" s="475" t="s">
        <v>139</v>
      </c>
      <c r="J3293" s="475" t="s">
        <v>140</v>
      </c>
      <c r="K3293" s="365">
        <v>188.42</v>
      </c>
      <c r="L3293" s="475" t="s">
        <v>141</v>
      </c>
      <c r="M3293" s="473"/>
    </row>
    <row r="3294" spans="1:13" ht="13.5">
      <c r="A3294" s="475" t="s">
        <v>5516</v>
      </c>
      <c r="B3294" s="475" t="s">
        <v>5517</v>
      </c>
      <c r="C3294" s="475" t="s">
        <v>5518</v>
      </c>
      <c r="D3294" s="475" t="s">
        <v>5519</v>
      </c>
      <c r="E3294" s="476" t="s">
        <v>34</v>
      </c>
      <c r="F3294" s="475" t="s">
        <v>34</v>
      </c>
      <c r="G3294" s="364">
        <v>97352</v>
      </c>
      <c r="H3294" s="475" t="s">
        <v>7601</v>
      </c>
      <c r="I3294" s="475" t="s">
        <v>139</v>
      </c>
      <c r="J3294" s="475" t="s">
        <v>140</v>
      </c>
      <c r="K3294" s="365">
        <v>244.1</v>
      </c>
      <c r="L3294" s="475" t="s">
        <v>141</v>
      </c>
      <c r="M3294" s="473"/>
    </row>
    <row r="3295" spans="1:13" ht="13.5">
      <c r="A3295" s="475" t="s">
        <v>5516</v>
      </c>
      <c r="B3295" s="475" t="s">
        <v>5517</v>
      </c>
      <c r="C3295" s="475" t="s">
        <v>5518</v>
      </c>
      <c r="D3295" s="475" t="s">
        <v>5519</v>
      </c>
      <c r="E3295" s="476" t="s">
        <v>34</v>
      </c>
      <c r="F3295" s="475" t="s">
        <v>34</v>
      </c>
      <c r="G3295" s="364">
        <v>97353</v>
      </c>
      <c r="H3295" s="475" t="s">
        <v>7602</v>
      </c>
      <c r="I3295" s="475" t="s">
        <v>139</v>
      </c>
      <c r="J3295" s="475" t="s">
        <v>140</v>
      </c>
      <c r="K3295" s="365">
        <v>37.9</v>
      </c>
      <c r="L3295" s="475" t="s">
        <v>141</v>
      </c>
      <c r="M3295" s="473"/>
    </row>
    <row r="3296" spans="1:13" ht="13.5">
      <c r="A3296" s="475" t="s">
        <v>5516</v>
      </c>
      <c r="B3296" s="475" t="s">
        <v>5517</v>
      </c>
      <c r="C3296" s="475" t="s">
        <v>5518</v>
      </c>
      <c r="D3296" s="475" t="s">
        <v>5519</v>
      </c>
      <c r="E3296" s="476" t="s">
        <v>34</v>
      </c>
      <c r="F3296" s="475" t="s">
        <v>34</v>
      </c>
      <c r="G3296" s="364">
        <v>97354</v>
      </c>
      <c r="H3296" s="475" t="s">
        <v>7603</v>
      </c>
      <c r="I3296" s="475" t="s">
        <v>139</v>
      </c>
      <c r="J3296" s="475" t="s">
        <v>140</v>
      </c>
      <c r="K3296" s="365">
        <v>59.77</v>
      </c>
      <c r="L3296" s="475" t="s">
        <v>141</v>
      </c>
      <c r="M3296" s="473"/>
    </row>
    <row r="3297" spans="1:13" ht="13.5">
      <c r="A3297" s="475" t="s">
        <v>5516</v>
      </c>
      <c r="B3297" s="475" t="s">
        <v>5517</v>
      </c>
      <c r="C3297" s="475" t="s">
        <v>5518</v>
      </c>
      <c r="D3297" s="475" t="s">
        <v>5519</v>
      </c>
      <c r="E3297" s="476" t="s">
        <v>34</v>
      </c>
      <c r="F3297" s="475" t="s">
        <v>34</v>
      </c>
      <c r="G3297" s="364">
        <v>97355</v>
      </c>
      <c r="H3297" s="475" t="s">
        <v>7604</v>
      </c>
      <c r="I3297" s="475" t="s">
        <v>139</v>
      </c>
      <c r="J3297" s="475" t="s">
        <v>140</v>
      </c>
      <c r="K3297" s="365">
        <v>81.5</v>
      </c>
      <c r="L3297" s="475" t="s">
        <v>141</v>
      </c>
      <c r="M3297" s="473"/>
    </row>
    <row r="3298" spans="1:13" ht="13.5">
      <c r="A3298" s="475" t="s">
        <v>5516</v>
      </c>
      <c r="B3298" s="475" t="s">
        <v>5517</v>
      </c>
      <c r="C3298" s="475" t="s">
        <v>5518</v>
      </c>
      <c r="D3298" s="475" t="s">
        <v>5519</v>
      </c>
      <c r="E3298" s="476" t="s">
        <v>34</v>
      </c>
      <c r="F3298" s="475" t="s">
        <v>34</v>
      </c>
      <c r="G3298" s="364">
        <v>97356</v>
      </c>
      <c r="H3298" s="475" t="s">
        <v>7605</v>
      </c>
      <c r="I3298" s="475" t="s">
        <v>139</v>
      </c>
      <c r="J3298" s="475" t="s">
        <v>140</v>
      </c>
      <c r="K3298" s="365">
        <v>45.08</v>
      </c>
      <c r="L3298" s="475" t="s">
        <v>141</v>
      </c>
      <c r="M3298" s="473"/>
    </row>
    <row r="3299" spans="1:13" ht="13.5">
      <c r="A3299" s="475" t="s">
        <v>5516</v>
      </c>
      <c r="B3299" s="475" t="s">
        <v>5517</v>
      </c>
      <c r="C3299" s="475" t="s">
        <v>5518</v>
      </c>
      <c r="D3299" s="475" t="s">
        <v>5519</v>
      </c>
      <c r="E3299" s="476" t="s">
        <v>34</v>
      </c>
      <c r="F3299" s="475" t="s">
        <v>34</v>
      </c>
      <c r="G3299" s="364">
        <v>97357</v>
      </c>
      <c r="H3299" s="475" t="s">
        <v>7606</v>
      </c>
      <c r="I3299" s="475" t="s">
        <v>139</v>
      </c>
      <c r="J3299" s="475" t="s">
        <v>140</v>
      </c>
      <c r="K3299" s="365">
        <v>72.11</v>
      </c>
      <c r="L3299" s="475" t="s">
        <v>141</v>
      </c>
      <c r="M3299" s="473"/>
    </row>
    <row r="3300" spans="1:13" ht="13.5">
      <c r="A3300" s="475" t="s">
        <v>5516</v>
      </c>
      <c r="B3300" s="475" t="s">
        <v>5517</v>
      </c>
      <c r="C3300" s="475" t="s">
        <v>5518</v>
      </c>
      <c r="D3300" s="475" t="s">
        <v>5519</v>
      </c>
      <c r="E3300" s="476" t="s">
        <v>34</v>
      </c>
      <c r="F3300" s="475" t="s">
        <v>34</v>
      </c>
      <c r="G3300" s="364">
        <v>97358</v>
      </c>
      <c r="H3300" s="475" t="s">
        <v>7607</v>
      </c>
      <c r="I3300" s="475" t="s">
        <v>139</v>
      </c>
      <c r="J3300" s="475" t="s">
        <v>140</v>
      </c>
      <c r="K3300" s="365">
        <v>98.32</v>
      </c>
      <c r="L3300" s="475" t="s">
        <v>141</v>
      </c>
      <c r="M3300" s="473"/>
    </row>
    <row r="3301" spans="1:13" ht="13.5">
      <c r="A3301" s="475" t="s">
        <v>5516</v>
      </c>
      <c r="B3301" s="475" t="s">
        <v>5517</v>
      </c>
      <c r="C3301" s="475" t="s">
        <v>5518</v>
      </c>
      <c r="D3301" s="475" t="s">
        <v>5519</v>
      </c>
      <c r="E3301" s="476" t="s">
        <v>34</v>
      </c>
      <c r="F3301" s="475" t="s">
        <v>34</v>
      </c>
      <c r="G3301" s="364">
        <v>97498</v>
      </c>
      <c r="H3301" s="475" t="s">
        <v>6524</v>
      </c>
      <c r="I3301" s="475" t="s">
        <v>139</v>
      </c>
      <c r="J3301" s="475" t="s">
        <v>337</v>
      </c>
      <c r="K3301" s="365">
        <v>28.9</v>
      </c>
      <c r="L3301" s="475" t="s">
        <v>141</v>
      </c>
      <c r="M3301" s="473"/>
    </row>
    <row r="3302" spans="1:13" ht="13.5">
      <c r="A3302" s="475" t="s">
        <v>5516</v>
      </c>
      <c r="B3302" s="475" t="s">
        <v>5517</v>
      </c>
      <c r="C3302" s="475" t="s">
        <v>5518</v>
      </c>
      <c r="D3302" s="475" t="s">
        <v>5519</v>
      </c>
      <c r="E3302" s="476" t="s">
        <v>34</v>
      </c>
      <c r="F3302" s="475" t="s">
        <v>34</v>
      </c>
      <c r="G3302" s="364">
        <v>97535</v>
      </c>
      <c r="H3302" s="475" t="s">
        <v>6525</v>
      </c>
      <c r="I3302" s="475" t="s">
        <v>139</v>
      </c>
      <c r="J3302" s="475" t="s">
        <v>337</v>
      </c>
      <c r="K3302" s="365">
        <v>32.17</v>
      </c>
      <c r="L3302" s="475" t="s">
        <v>141</v>
      </c>
      <c r="M3302" s="473"/>
    </row>
    <row r="3303" spans="1:13" ht="13.5">
      <c r="A3303" s="475" t="s">
        <v>5516</v>
      </c>
      <c r="B3303" s="475" t="s">
        <v>5517</v>
      </c>
      <c r="C3303" s="475" t="s">
        <v>5518</v>
      </c>
      <c r="D3303" s="475" t="s">
        <v>5519</v>
      </c>
      <c r="E3303" s="476" t="s">
        <v>34</v>
      </c>
      <c r="F3303" s="475" t="s">
        <v>34</v>
      </c>
      <c r="G3303" s="364">
        <v>97536</v>
      </c>
      <c r="H3303" s="475" t="s">
        <v>6526</v>
      </c>
      <c r="I3303" s="475" t="s">
        <v>139</v>
      </c>
      <c r="J3303" s="475" t="s">
        <v>337</v>
      </c>
      <c r="K3303" s="365">
        <v>39.68</v>
      </c>
      <c r="L3303" s="475" t="s">
        <v>141</v>
      </c>
      <c r="M3303" s="473"/>
    </row>
    <row r="3304" spans="1:13" ht="13.5">
      <c r="A3304" s="475" t="s">
        <v>5516</v>
      </c>
      <c r="B3304" s="475" t="s">
        <v>5517</v>
      </c>
      <c r="C3304" s="475" t="s">
        <v>5458</v>
      </c>
      <c r="D3304" s="475" t="s">
        <v>5520</v>
      </c>
      <c r="E3304" s="476" t="s">
        <v>34</v>
      </c>
      <c r="F3304" s="475" t="s">
        <v>34</v>
      </c>
      <c r="G3304" s="364">
        <v>72293</v>
      </c>
      <c r="H3304" s="475" t="s">
        <v>2788</v>
      </c>
      <c r="I3304" s="475" t="s">
        <v>171</v>
      </c>
      <c r="J3304" s="475" t="s">
        <v>337</v>
      </c>
      <c r="K3304" s="365">
        <v>5.17</v>
      </c>
      <c r="L3304" s="475" t="s">
        <v>141</v>
      </c>
      <c r="M3304" s="473"/>
    </row>
    <row r="3305" spans="1:13" ht="13.5">
      <c r="A3305" s="475" t="s">
        <v>5516</v>
      </c>
      <c r="B3305" s="475" t="s">
        <v>5517</v>
      </c>
      <c r="C3305" s="475" t="s">
        <v>5458</v>
      </c>
      <c r="D3305" s="475" t="s">
        <v>5520</v>
      </c>
      <c r="E3305" s="476" t="s">
        <v>34</v>
      </c>
      <c r="F3305" s="475" t="s">
        <v>34</v>
      </c>
      <c r="G3305" s="364">
        <v>72294</v>
      </c>
      <c r="H3305" s="475" t="s">
        <v>2789</v>
      </c>
      <c r="I3305" s="475" t="s">
        <v>171</v>
      </c>
      <c r="J3305" s="475" t="s">
        <v>337</v>
      </c>
      <c r="K3305" s="365">
        <v>7.77</v>
      </c>
      <c r="L3305" s="475" t="s">
        <v>141</v>
      </c>
      <c r="M3305" s="473"/>
    </row>
    <row r="3306" spans="1:13" ht="13.5">
      <c r="A3306" s="475" t="s">
        <v>5516</v>
      </c>
      <c r="B3306" s="475" t="s">
        <v>5517</v>
      </c>
      <c r="C3306" s="475" t="s">
        <v>5458</v>
      </c>
      <c r="D3306" s="475" t="s">
        <v>5520</v>
      </c>
      <c r="E3306" s="476" t="s">
        <v>34</v>
      </c>
      <c r="F3306" s="475" t="s">
        <v>34</v>
      </c>
      <c r="G3306" s="364">
        <v>72295</v>
      </c>
      <c r="H3306" s="475" t="s">
        <v>2790</v>
      </c>
      <c r="I3306" s="475" t="s">
        <v>171</v>
      </c>
      <c r="J3306" s="475" t="s">
        <v>337</v>
      </c>
      <c r="K3306" s="365">
        <v>10.75</v>
      </c>
      <c r="L3306" s="475" t="s">
        <v>141</v>
      </c>
      <c r="M3306" s="473"/>
    </row>
    <row r="3307" spans="1:13" ht="13.5">
      <c r="A3307" s="475" t="s">
        <v>5516</v>
      </c>
      <c r="B3307" s="475" t="s">
        <v>5517</v>
      </c>
      <c r="C3307" s="475" t="s">
        <v>5458</v>
      </c>
      <c r="D3307" s="475" t="s">
        <v>5520</v>
      </c>
      <c r="E3307" s="476" t="s">
        <v>34</v>
      </c>
      <c r="F3307" s="475" t="s">
        <v>34</v>
      </c>
      <c r="G3307" s="364">
        <v>72306</v>
      </c>
      <c r="H3307" s="475" t="s">
        <v>2791</v>
      </c>
      <c r="I3307" s="475" t="s">
        <v>171</v>
      </c>
      <c r="J3307" s="475" t="s">
        <v>337</v>
      </c>
      <c r="K3307" s="365">
        <v>167.38</v>
      </c>
      <c r="L3307" s="475" t="s">
        <v>141</v>
      </c>
      <c r="M3307" s="473"/>
    </row>
    <row r="3308" spans="1:13" ht="13.5">
      <c r="A3308" s="475" t="s">
        <v>5516</v>
      </c>
      <c r="B3308" s="475" t="s">
        <v>5517</v>
      </c>
      <c r="C3308" s="475" t="s">
        <v>5458</v>
      </c>
      <c r="D3308" s="475" t="s">
        <v>5520</v>
      </c>
      <c r="E3308" s="476" t="s">
        <v>34</v>
      </c>
      <c r="F3308" s="475" t="s">
        <v>34</v>
      </c>
      <c r="G3308" s="364">
        <v>72307</v>
      </c>
      <c r="H3308" s="475" t="s">
        <v>2792</v>
      </c>
      <c r="I3308" s="475" t="s">
        <v>171</v>
      </c>
      <c r="J3308" s="475" t="s">
        <v>337</v>
      </c>
      <c r="K3308" s="365">
        <v>234.73</v>
      </c>
      <c r="L3308" s="475" t="s">
        <v>141</v>
      </c>
      <c r="M3308" s="473"/>
    </row>
    <row r="3309" spans="1:13" ht="13.5">
      <c r="A3309" s="475" t="s">
        <v>5516</v>
      </c>
      <c r="B3309" s="475" t="s">
        <v>5517</v>
      </c>
      <c r="C3309" s="475" t="s">
        <v>5458</v>
      </c>
      <c r="D3309" s="475" t="s">
        <v>5520</v>
      </c>
      <c r="E3309" s="476" t="s">
        <v>34</v>
      </c>
      <c r="F3309" s="475" t="s">
        <v>34</v>
      </c>
      <c r="G3309" s="364">
        <v>72313</v>
      </c>
      <c r="H3309" s="475" t="s">
        <v>2793</v>
      </c>
      <c r="I3309" s="475" t="s">
        <v>171</v>
      </c>
      <c r="J3309" s="475" t="s">
        <v>337</v>
      </c>
      <c r="K3309" s="365">
        <v>548.12</v>
      </c>
      <c r="L3309" s="475" t="s">
        <v>141</v>
      </c>
      <c r="M3309" s="473"/>
    </row>
    <row r="3310" spans="1:13" ht="13.5">
      <c r="A3310" s="475" t="s">
        <v>5516</v>
      </c>
      <c r="B3310" s="475" t="s">
        <v>5517</v>
      </c>
      <c r="C3310" s="475" t="s">
        <v>5458</v>
      </c>
      <c r="D3310" s="475" t="s">
        <v>5520</v>
      </c>
      <c r="E3310" s="476" t="s">
        <v>34</v>
      </c>
      <c r="F3310" s="475" t="s">
        <v>34</v>
      </c>
      <c r="G3310" s="364">
        <v>72482</v>
      </c>
      <c r="H3310" s="475" t="s">
        <v>2794</v>
      </c>
      <c r="I3310" s="475" t="s">
        <v>171</v>
      </c>
      <c r="J3310" s="475" t="s">
        <v>337</v>
      </c>
      <c r="K3310" s="365">
        <v>235.25</v>
      </c>
      <c r="L3310" s="475" t="s">
        <v>141</v>
      </c>
      <c r="M3310" s="473"/>
    </row>
    <row r="3311" spans="1:13" ht="13.5">
      <c r="A3311" s="475" t="s">
        <v>5516</v>
      </c>
      <c r="B3311" s="475" t="s">
        <v>5517</v>
      </c>
      <c r="C3311" s="475" t="s">
        <v>5458</v>
      </c>
      <c r="D3311" s="475" t="s">
        <v>5520</v>
      </c>
      <c r="E3311" s="476" t="s">
        <v>34</v>
      </c>
      <c r="F3311" s="475" t="s">
        <v>34</v>
      </c>
      <c r="G3311" s="364">
        <v>72619</v>
      </c>
      <c r="H3311" s="475" t="s">
        <v>2795</v>
      </c>
      <c r="I3311" s="475" t="s">
        <v>171</v>
      </c>
      <c r="J3311" s="475" t="s">
        <v>337</v>
      </c>
      <c r="K3311" s="365">
        <v>98.29</v>
      </c>
      <c r="L3311" s="475" t="s">
        <v>141</v>
      </c>
      <c r="M3311" s="473"/>
    </row>
    <row r="3312" spans="1:13" ht="13.5">
      <c r="A3312" s="475" t="s">
        <v>5516</v>
      </c>
      <c r="B3312" s="475" t="s">
        <v>5517</v>
      </c>
      <c r="C3312" s="475" t="s">
        <v>5458</v>
      </c>
      <c r="D3312" s="475" t="s">
        <v>5520</v>
      </c>
      <c r="E3312" s="476" t="s">
        <v>34</v>
      </c>
      <c r="F3312" s="475" t="s">
        <v>34</v>
      </c>
      <c r="G3312" s="364">
        <v>72620</v>
      </c>
      <c r="H3312" s="475" t="s">
        <v>2796</v>
      </c>
      <c r="I3312" s="475" t="s">
        <v>171</v>
      </c>
      <c r="J3312" s="475" t="s">
        <v>337</v>
      </c>
      <c r="K3312" s="365">
        <v>171.48</v>
      </c>
      <c r="L3312" s="475" t="s">
        <v>141</v>
      </c>
      <c r="M3312" s="473"/>
    </row>
    <row r="3313" spans="1:13" ht="13.5">
      <c r="A3313" s="475" t="s">
        <v>5516</v>
      </c>
      <c r="B3313" s="475" t="s">
        <v>5517</v>
      </c>
      <c r="C3313" s="475" t="s">
        <v>5458</v>
      </c>
      <c r="D3313" s="475" t="s">
        <v>5520</v>
      </c>
      <c r="E3313" s="476" t="s">
        <v>34</v>
      </c>
      <c r="F3313" s="475" t="s">
        <v>34</v>
      </c>
      <c r="G3313" s="364">
        <v>72621</v>
      </c>
      <c r="H3313" s="475" t="s">
        <v>2797</v>
      </c>
      <c r="I3313" s="475" t="s">
        <v>171</v>
      </c>
      <c r="J3313" s="475" t="s">
        <v>337</v>
      </c>
      <c r="K3313" s="365">
        <v>275.36</v>
      </c>
      <c r="L3313" s="475" t="s">
        <v>141</v>
      </c>
      <c r="M3313" s="473"/>
    </row>
    <row r="3314" spans="1:13" ht="13.5">
      <c r="A3314" s="475" t="s">
        <v>5516</v>
      </c>
      <c r="B3314" s="475" t="s">
        <v>5517</v>
      </c>
      <c r="C3314" s="475" t="s">
        <v>5458</v>
      </c>
      <c r="D3314" s="475" t="s">
        <v>5520</v>
      </c>
      <c r="E3314" s="476" t="s">
        <v>34</v>
      </c>
      <c r="F3314" s="475" t="s">
        <v>34</v>
      </c>
      <c r="G3314" s="364">
        <v>72667</v>
      </c>
      <c r="H3314" s="475" t="s">
        <v>2798</v>
      </c>
      <c r="I3314" s="475" t="s">
        <v>171</v>
      </c>
      <c r="J3314" s="475" t="s">
        <v>337</v>
      </c>
      <c r="K3314" s="365">
        <v>134.94999999999999</v>
      </c>
      <c r="L3314" s="475" t="s">
        <v>141</v>
      </c>
      <c r="M3314" s="473"/>
    </row>
    <row r="3315" spans="1:13" ht="13.5">
      <c r="A3315" s="475" t="s">
        <v>5516</v>
      </c>
      <c r="B3315" s="475" t="s">
        <v>5517</v>
      </c>
      <c r="C3315" s="475" t="s">
        <v>5458</v>
      </c>
      <c r="D3315" s="475" t="s">
        <v>5520</v>
      </c>
      <c r="E3315" s="476" t="s">
        <v>34</v>
      </c>
      <c r="F3315" s="475" t="s">
        <v>34</v>
      </c>
      <c r="G3315" s="364">
        <v>72668</v>
      </c>
      <c r="H3315" s="475" t="s">
        <v>2799</v>
      </c>
      <c r="I3315" s="475" t="s">
        <v>171</v>
      </c>
      <c r="J3315" s="475" t="s">
        <v>337</v>
      </c>
      <c r="K3315" s="365">
        <v>134.25</v>
      </c>
      <c r="L3315" s="475" t="s">
        <v>141</v>
      </c>
      <c r="M3315" s="473"/>
    </row>
    <row r="3316" spans="1:13" ht="13.5">
      <c r="A3316" s="475" t="s">
        <v>5516</v>
      </c>
      <c r="B3316" s="475" t="s">
        <v>5517</v>
      </c>
      <c r="C3316" s="475" t="s">
        <v>5458</v>
      </c>
      <c r="D3316" s="475" t="s">
        <v>5520</v>
      </c>
      <c r="E3316" s="476" t="s">
        <v>34</v>
      </c>
      <c r="F3316" s="475" t="s">
        <v>34</v>
      </c>
      <c r="G3316" s="364">
        <v>72669</v>
      </c>
      <c r="H3316" s="475" t="s">
        <v>2800</v>
      </c>
      <c r="I3316" s="475" t="s">
        <v>171</v>
      </c>
      <c r="J3316" s="475" t="s">
        <v>337</v>
      </c>
      <c r="K3316" s="365">
        <v>138.33000000000001</v>
      </c>
      <c r="L3316" s="475" t="s">
        <v>141</v>
      </c>
      <c r="M3316" s="473"/>
    </row>
    <row r="3317" spans="1:13" ht="13.5">
      <c r="A3317" s="475" t="s">
        <v>5516</v>
      </c>
      <c r="B3317" s="475" t="s">
        <v>5517</v>
      </c>
      <c r="C3317" s="475" t="s">
        <v>5458</v>
      </c>
      <c r="D3317" s="475" t="s">
        <v>5520</v>
      </c>
      <c r="E3317" s="476" t="s">
        <v>34</v>
      </c>
      <c r="F3317" s="475" t="s">
        <v>34</v>
      </c>
      <c r="G3317" s="364">
        <v>72681</v>
      </c>
      <c r="H3317" s="475" t="s">
        <v>2801</v>
      </c>
      <c r="I3317" s="475" t="s">
        <v>171</v>
      </c>
      <c r="J3317" s="475" t="s">
        <v>337</v>
      </c>
      <c r="K3317" s="365">
        <v>95.18</v>
      </c>
      <c r="L3317" s="475" t="s">
        <v>141</v>
      </c>
      <c r="M3317" s="473"/>
    </row>
    <row r="3318" spans="1:13" ht="13.5">
      <c r="A3318" s="475" t="s">
        <v>5516</v>
      </c>
      <c r="B3318" s="475" t="s">
        <v>5517</v>
      </c>
      <c r="C3318" s="475" t="s">
        <v>5458</v>
      </c>
      <c r="D3318" s="475" t="s">
        <v>5520</v>
      </c>
      <c r="E3318" s="476" t="s">
        <v>34</v>
      </c>
      <c r="F3318" s="475" t="s">
        <v>34</v>
      </c>
      <c r="G3318" s="364">
        <v>72682</v>
      </c>
      <c r="H3318" s="475" t="s">
        <v>2802</v>
      </c>
      <c r="I3318" s="475" t="s">
        <v>171</v>
      </c>
      <c r="J3318" s="475" t="s">
        <v>337</v>
      </c>
      <c r="K3318" s="365">
        <v>191.71</v>
      </c>
      <c r="L3318" s="475" t="s">
        <v>141</v>
      </c>
      <c r="M3318" s="473"/>
    </row>
    <row r="3319" spans="1:13" ht="13.5">
      <c r="A3319" s="475" t="s">
        <v>5516</v>
      </c>
      <c r="B3319" s="475" t="s">
        <v>5517</v>
      </c>
      <c r="C3319" s="475" t="s">
        <v>5458</v>
      </c>
      <c r="D3319" s="475" t="s">
        <v>5520</v>
      </c>
      <c r="E3319" s="476" t="s">
        <v>34</v>
      </c>
      <c r="F3319" s="475" t="s">
        <v>34</v>
      </c>
      <c r="G3319" s="364">
        <v>72683</v>
      </c>
      <c r="H3319" s="475" t="s">
        <v>2803</v>
      </c>
      <c r="I3319" s="475" t="s">
        <v>171</v>
      </c>
      <c r="J3319" s="475" t="s">
        <v>337</v>
      </c>
      <c r="K3319" s="365">
        <v>308.11</v>
      </c>
      <c r="L3319" s="475" t="s">
        <v>141</v>
      </c>
      <c r="M3319" s="473"/>
    </row>
    <row r="3320" spans="1:13" ht="13.5">
      <c r="A3320" s="475" t="s">
        <v>5516</v>
      </c>
      <c r="B3320" s="475" t="s">
        <v>5517</v>
      </c>
      <c r="C3320" s="475" t="s">
        <v>5458</v>
      </c>
      <c r="D3320" s="475" t="s">
        <v>5520</v>
      </c>
      <c r="E3320" s="476" t="s">
        <v>34</v>
      </c>
      <c r="F3320" s="475" t="s">
        <v>34</v>
      </c>
      <c r="G3320" s="364">
        <v>72719</v>
      </c>
      <c r="H3320" s="475" t="s">
        <v>2804</v>
      </c>
      <c r="I3320" s="475" t="s">
        <v>171</v>
      </c>
      <c r="J3320" s="475" t="s">
        <v>337</v>
      </c>
      <c r="K3320" s="365">
        <v>209.98</v>
      </c>
      <c r="L3320" s="475" t="s">
        <v>141</v>
      </c>
      <c r="M3320" s="473"/>
    </row>
    <row r="3321" spans="1:13" ht="13.5">
      <c r="A3321" s="475" t="s">
        <v>5516</v>
      </c>
      <c r="B3321" s="475" t="s">
        <v>5517</v>
      </c>
      <c r="C3321" s="475" t="s">
        <v>5458</v>
      </c>
      <c r="D3321" s="475" t="s">
        <v>5520</v>
      </c>
      <c r="E3321" s="476" t="s">
        <v>34</v>
      </c>
      <c r="F3321" s="475" t="s">
        <v>34</v>
      </c>
      <c r="G3321" s="364">
        <v>72720</v>
      </c>
      <c r="H3321" s="475" t="s">
        <v>2805</v>
      </c>
      <c r="I3321" s="475" t="s">
        <v>171</v>
      </c>
      <c r="J3321" s="475" t="s">
        <v>337</v>
      </c>
      <c r="K3321" s="365">
        <v>289.29000000000002</v>
      </c>
      <c r="L3321" s="475" t="s">
        <v>141</v>
      </c>
      <c r="M3321" s="473"/>
    </row>
    <row r="3322" spans="1:13" ht="13.5">
      <c r="A3322" s="475" t="s">
        <v>5516</v>
      </c>
      <c r="B3322" s="475" t="s">
        <v>5517</v>
      </c>
      <c r="C3322" s="475" t="s">
        <v>5458</v>
      </c>
      <c r="D3322" s="475" t="s">
        <v>5520</v>
      </c>
      <c r="E3322" s="476" t="s">
        <v>34</v>
      </c>
      <c r="F3322" s="475" t="s">
        <v>34</v>
      </c>
      <c r="G3322" s="364">
        <v>72721</v>
      </c>
      <c r="H3322" s="475" t="s">
        <v>2806</v>
      </c>
      <c r="I3322" s="475" t="s">
        <v>171</v>
      </c>
      <c r="J3322" s="475" t="s">
        <v>337</v>
      </c>
      <c r="K3322" s="365">
        <v>627.25</v>
      </c>
      <c r="L3322" s="475" t="s">
        <v>141</v>
      </c>
      <c r="M3322" s="473"/>
    </row>
    <row r="3323" spans="1:13" ht="13.5">
      <c r="A3323" s="475" t="s">
        <v>5516</v>
      </c>
      <c r="B3323" s="475" t="s">
        <v>5517</v>
      </c>
      <c r="C3323" s="475" t="s">
        <v>5458</v>
      </c>
      <c r="D3323" s="475" t="s">
        <v>5520</v>
      </c>
      <c r="E3323" s="476" t="s">
        <v>34</v>
      </c>
      <c r="F3323" s="475" t="s">
        <v>34</v>
      </c>
      <c r="G3323" s="364">
        <v>89358</v>
      </c>
      <c r="H3323" s="475" t="s">
        <v>2807</v>
      </c>
      <c r="I3323" s="475" t="s">
        <v>171</v>
      </c>
      <c r="J3323" s="475" t="s">
        <v>337</v>
      </c>
      <c r="K3323" s="365">
        <v>5.4</v>
      </c>
      <c r="L3323" s="475" t="s">
        <v>141</v>
      </c>
      <c r="M3323" s="473"/>
    </row>
    <row r="3324" spans="1:13" ht="13.5">
      <c r="A3324" s="475" t="s">
        <v>5516</v>
      </c>
      <c r="B3324" s="475" t="s">
        <v>5517</v>
      </c>
      <c r="C3324" s="475" t="s">
        <v>5458</v>
      </c>
      <c r="D3324" s="475" t="s">
        <v>5520</v>
      </c>
      <c r="E3324" s="476" t="s">
        <v>34</v>
      </c>
      <c r="F3324" s="475" t="s">
        <v>34</v>
      </c>
      <c r="G3324" s="364">
        <v>89359</v>
      </c>
      <c r="H3324" s="475" t="s">
        <v>2808</v>
      </c>
      <c r="I3324" s="475" t="s">
        <v>171</v>
      </c>
      <c r="J3324" s="475" t="s">
        <v>337</v>
      </c>
      <c r="K3324" s="365">
        <v>5.64</v>
      </c>
      <c r="L3324" s="475" t="s">
        <v>141</v>
      </c>
      <c r="M3324" s="473"/>
    </row>
    <row r="3325" spans="1:13" ht="13.5">
      <c r="A3325" s="475" t="s">
        <v>5516</v>
      </c>
      <c r="B3325" s="475" t="s">
        <v>5517</v>
      </c>
      <c r="C3325" s="475" t="s">
        <v>5458</v>
      </c>
      <c r="D3325" s="475" t="s">
        <v>5520</v>
      </c>
      <c r="E3325" s="476" t="s">
        <v>34</v>
      </c>
      <c r="F3325" s="475" t="s">
        <v>34</v>
      </c>
      <c r="G3325" s="364">
        <v>89360</v>
      </c>
      <c r="H3325" s="475" t="s">
        <v>2809</v>
      </c>
      <c r="I3325" s="475" t="s">
        <v>171</v>
      </c>
      <c r="J3325" s="475" t="s">
        <v>337</v>
      </c>
      <c r="K3325" s="365">
        <v>6.68</v>
      </c>
      <c r="L3325" s="475" t="s">
        <v>141</v>
      </c>
      <c r="M3325" s="473"/>
    </row>
    <row r="3326" spans="1:13" ht="13.5">
      <c r="A3326" s="475" t="s">
        <v>5516</v>
      </c>
      <c r="B3326" s="475" t="s">
        <v>5517</v>
      </c>
      <c r="C3326" s="475" t="s">
        <v>5458</v>
      </c>
      <c r="D3326" s="475" t="s">
        <v>5520</v>
      </c>
      <c r="E3326" s="476" t="s">
        <v>34</v>
      </c>
      <c r="F3326" s="475" t="s">
        <v>34</v>
      </c>
      <c r="G3326" s="364">
        <v>89361</v>
      </c>
      <c r="H3326" s="475" t="s">
        <v>2810</v>
      </c>
      <c r="I3326" s="475" t="s">
        <v>171</v>
      </c>
      <c r="J3326" s="475" t="s">
        <v>337</v>
      </c>
      <c r="K3326" s="365">
        <v>6.28</v>
      </c>
      <c r="L3326" s="475" t="s">
        <v>141</v>
      </c>
      <c r="M3326" s="473"/>
    </row>
    <row r="3327" spans="1:13" ht="13.5">
      <c r="A3327" s="475" t="s">
        <v>5516</v>
      </c>
      <c r="B3327" s="475" t="s">
        <v>5517</v>
      </c>
      <c r="C3327" s="475" t="s">
        <v>5458</v>
      </c>
      <c r="D3327" s="475" t="s">
        <v>5520</v>
      </c>
      <c r="E3327" s="476" t="s">
        <v>34</v>
      </c>
      <c r="F3327" s="475" t="s">
        <v>34</v>
      </c>
      <c r="G3327" s="364">
        <v>89362</v>
      </c>
      <c r="H3327" s="475" t="s">
        <v>2811</v>
      </c>
      <c r="I3327" s="475" t="s">
        <v>171</v>
      </c>
      <c r="J3327" s="475" t="s">
        <v>337</v>
      </c>
      <c r="K3327" s="365">
        <v>6.4</v>
      </c>
      <c r="L3327" s="475" t="s">
        <v>141</v>
      </c>
      <c r="M3327" s="473"/>
    </row>
    <row r="3328" spans="1:13" ht="13.5">
      <c r="A3328" s="475" t="s">
        <v>5516</v>
      </c>
      <c r="B3328" s="475" t="s">
        <v>5517</v>
      </c>
      <c r="C3328" s="475" t="s">
        <v>5458</v>
      </c>
      <c r="D3328" s="475" t="s">
        <v>5520</v>
      </c>
      <c r="E3328" s="476" t="s">
        <v>34</v>
      </c>
      <c r="F3328" s="475" t="s">
        <v>34</v>
      </c>
      <c r="G3328" s="364">
        <v>89363</v>
      </c>
      <c r="H3328" s="475" t="s">
        <v>2812</v>
      </c>
      <c r="I3328" s="475" t="s">
        <v>171</v>
      </c>
      <c r="J3328" s="475" t="s">
        <v>337</v>
      </c>
      <c r="K3328" s="365">
        <v>6.93</v>
      </c>
      <c r="L3328" s="475" t="s">
        <v>141</v>
      </c>
      <c r="M3328" s="473"/>
    </row>
    <row r="3329" spans="1:13" ht="13.5">
      <c r="A3329" s="475" t="s">
        <v>5516</v>
      </c>
      <c r="B3329" s="475" t="s">
        <v>5517</v>
      </c>
      <c r="C3329" s="475" t="s">
        <v>5458</v>
      </c>
      <c r="D3329" s="475" t="s">
        <v>5520</v>
      </c>
      <c r="E3329" s="476" t="s">
        <v>34</v>
      </c>
      <c r="F3329" s="475" t="s">
        <v>34</v>
      </c>
      <c r="G3329" s="364">
        <v>89364</v>
      </c>
      <c r="H3329" s="475" t="s">
        <v>2813</v>
      </c>
      <c r="I3329" s="475" t="s">
        <v>171</v>
      </c>
      <c r="J3329" s="475" t="s">
        <v>337</v>
      </c>
      <c r="K3329" s="365">
        <v>8.02</v>
      </c>
      <c r="L3329" s="475" t="s">
        <v>141</v>
      </c>
      <c r="M3329" s="473"/>
    </row>
    <row r="3330" spans="1:13" ht="13.5">
      <c r="A3330" s="475" t="s">
        <v>5516</v>
      </c>
      <c r="B3330" s="475" t="s">
        <v>5517</v>
      </c>
      <c r="C3330" s="475" t="s">
        <v>5458</v>
      </c>
      <c r="D3330" s="475" t="s">
        <v>5520</v>
      </c>
      <c r="E3330" s="476" t="s">
        <v>34</v>
      </c>
      <c r="F3330" s="475" t="s">
        <v>34</v>
      </c>
      <c r="G3330" s="364">
        <v>89365</v>
      </c>
      <c r="H3330" s="475" t="s">
        <v>2814</v>
      </c>
      <c r="I3330" s="475" t="s">
        <v>171</v>
      </c>
      <c r="J3330" s="475" t="s">
        <v>337</v>
      </c>
      <c r="K3330" s="365">
        <v>7.53</v>
      </c>
      <c r="L3330" s="475" t="s">
        <v>141</v>
      </c>
      <c r="M3330" s="473"/>
    </row>
    <row r="3331" spans="1:13" ht="13.5">
      <c r="A3331" s="475" t="s">
        <v>5516</v>
      </c>
      <c r="B3331" s="475" t="s">
        <v>5517</v>
      </c>
      <c r="C3331" s="475" t="s">
        <v>5458</v>
      </c>
      <c r="D3331" s="475" t="s">
        <v>5520</v>
      </c>
      <c r="E3331" s="476" t="s">
        <v>34</v>
      </c>
      <c r="F3331" s="475" t="s">
        <v>34</v>
      </c>
      <c r="G3331" s="364">
        <v>89366</v>
      </c>
      <c r="H3331" s="475" t="s">
        <v>2815</v>
      </c>
      <c r="I3331" s="475" t="s">
        <v>171</v>
      </c>
      <c r="J3331" s="475" t="s">
        <v>337</v>
      </c>
      <c r="K3331" s="365">
        <v>10.92</v>
      </c>
      <c r="L3331" s="475" t="s">
        <v>141</v>
      </c>
      <c r="M3331" s="473"/>
    </row>
    <row r="3332" spans="1:13" ht="13.5">
      <c r="A3332" s="475" t="s">
        <v>5516</v>
      </c>
      <c r="B3332" s="475" t="s">
        <v>5517</v>
      </c>
      <c r="C3332" s="475" t="s">
        <v>5458</v>
      </c>
      <c r="D3332" s="475" t="s">
        <v>5520</v>
      </c>
      <c r="E3332" s="476" t="s">
        <v>34</v>
      </c>
      <c r="F3332" s="475" t="s">
        <v>34</v>
      </c>
      <c r="G3332" s="364">
        <v>89367</v>
      </c>
      <c r="H3332" s="475" t="s">
        <v>2816</v>
      </c>
      <c r="I3332" s="475" t="s">
        <v>171</v>
      </c>
      <c r="J3332" s="475" t="s">
        <v>337</v>
      </c>
      <c r="K3332" s="365">
        <v>8.67</v>
      </c>
      <c r="L3332" s="475" t="s">
        <v>141</v>
      </c>
      <c r="M3332" s="473"/>
    </row>
    <row r="3333" spans="1:13" ht="13.5">
      <c r="A3333" s="475" t="s">
        <v>5516</v>
      </c>
      <c r="B3333" s="475" t="s">
        <v>5517</v>
      </c>
      <c r="C3333" s="475" t="s">
        <v>5458</v>
      </c>
      <c r="D3333" s="475" t="s">
        <v>5520</v>
      </c>
      <c r="E3333" s="476" t="s">
        <v>34</v>
      </c>
      <c r="F3333" s="475" t="s">
        <v>34</v>
      </c>
      <c r="G3333" s="364">
        <v>89368</v>
      </c>
      <c r="H3333" s="475" t="s">
        <v>2817</v>
      </c>
      <c r="I3333" s="475" t="s">
        <v>171</v>
      </c>
      <c r="J3333" s="475" t="s">
        <v>337</v>
      </c>
      <c r="K3333" s="365">
        <v>10.16</v>
      </c>
      <c r="L3333" s="475" t="s">
        <v>141</v>
      </c>
      <c r="M3333" s="473"/>
    </row>
    <row r="3334" spans="1:13" ht="13.5">
      <c r="A3334" s="475" t="s">
        <v>5516</v>
      </c>
      <c r="B3334" s="475" t="s">
        <v>5517</v>
      </c>
      <c r="C3334" s="475" t="s">
        <v>5458</v>
      </c>
      <c r="D3334" s="475" t="s">
        <v>5520</v>
      </c>
      <c r="E3334" s="476" t="s">
        <v>34</v>
      </c>
      <c r="F3334" s="475" t="s">
        <v>34</v>
      </c>
      <c r="G3334" s="364">
        <v>89369</v>
      </c>
      <c r="H3334" s="475" t="s">
        <v>2818</v>
      </c>
      <c r="I3334" s="475" t="s">
        <v>171</v>
      </c>
      <c r="J3334" s="475" t="s">
        <v>337</v>
      </c>
      <c r="K3334" s="365">
        <v>12</v>
      </c>
      <c r="L3334" s="475" t="s">
        <v>141</v>
      </c>
      <c r="M3334" s="473"/>
    </row>
    <row r="3335" spans="1:13" ht="13.5">
      <c r="A3335" s="475" t="s">
        <v>5516</v>
      </c>
      <c r="B3335" s="475" t="s">
        <v>5517</v>
      </c>
      <c r="C3335" s="475" t="s">
        <v>5458</v>
      </c>
      <c r="D3335" s="475" t="s">
        <v>5520</v>
      </c>
      <c r="E3335" s="476" t="s">
        <v>34</v>
      </c>
      <c r="F3335" s="475" t="s">
        <v>34</v>
      </c>
      <c r="G3335" s="364">
        <v>89370</v>
      </c>
      <c r="H3335" s="475" t="s">
        <v>2819</v>
      </c>
      <c r="I3335" s="475" t="s">
        <v>171</v>
      </c>
      <c r="J3335" s="475" t="s">
        <v>337</v>
      </c>
      <c r="K3335" s="365">
        <v>9.84</v>
      </c>
      <c r="L3335" s="475" t="s">
        <v>141</v>
      </c>
      <c r="M3335" s="473"/>
    </row>
    <row r="3336" spans="1:13" ht="13.5">
      <c r="A3336" s="475" t="s">
        <v>5516</v>
      </c>
      <c r="B3336" s="475" t="s">
        <v>5517</v>
      </c>
      <c r="C3336" s="475" t="s">
        <v>5458</v>
      </c>
      <c r="D3336" s="475" t="s">
        <v>5520</v>
      </c>
      <c r="E3336" s="476" t="s">
        <v>34</v>
      </c>
      <c r="F3336" s="475" t="s">
        <v>34</v>
      </c>
      <c r="G3336" s="364">
        <v>89371</v>
      </c>
      <c r="H3336" s="475" t="s">
        <v>2820</v>
      </c>
      <c r="I3336" s="475" t="s">
        <v>171</v>
      </c>
      <c r="J3336" s="475" t="s">
        <v>337</v>
      </c>
      <c r="K3336" s="365">
        <v>4.0199999999999996</v>
      </c>
      <c r="L3336" s="475" t="s">
        <v>141</v>
      </c>
      <c r="M3336" s="473"/>
    </row>
    <row r="3337" spans="1:13" ht="13.5">
      <c r="A3337" s="475" t="s">
        <v>5516</v>
      </c>
      <c r="B3337" s="475" t="s">
        <v>5517</v>
      </c>
      <c r="C3337" s="475" t="s">
        <v>5458</v>
      </c>
      <c r="D3337" s="475" t="s">
        <v>5520</v>
      </c>
      <c r="E3337" s="476" t="s">
        <v>34</v>
      </c>
      <c r="F3337" s="475" t="s">
        <v>34</v>
      </c>
      <c r="G3337" s="364">
        <v>89372</v>
      </c>
      <c r="H3337" s="475" t="s">
        <v>2821</v>
      </c>
      <c r="I3337" s="475" t="s">
        <v>171</v>
      </c>
      <c r="J3337" s="475" t="s">
        <v>337</v>
      </c>
      <c r="K3337" s="365">
        <v>8.94</v>
      </c>
      <c r="L3337" s="475" t="s">
        <v>141</v>
      </c>
      <c r="M3337" s="473"/>
    </row>
    <row r="3338" spans="1:13" ht="13.5">
      <c r="A3338" s="475" t="s">
        <v>5516</v>
      </c>
      <c r="B3338" s="475" t="s">
        <v>5517</v>
      </c>
      <c r="C3338" s="475" t="s">
        <v>5458</v>
      </c>
      <c r="D3338" s="475" t="s">
        <v>5520</v>
      </c>
      <c r="E3338" s="476" t="s">
        <v>34</v>
      </c>
      <c r="F3338" s="475" t="s">
        <v>34</v>
      </c>
      <c r="G3338" s="364">
        <v>89373</v>
      </c>
      <c r="H3338" s="475" t="s">
        <v>2822</v>
      </c>
      <c r="I3338" s="475" t="s">
        <v>171</v>
      </c>
      <c r="J3338" s="475" t="s">
        <v>337</v>
      </c>
      <c r="K3338" s="365">
        <v>4.47</v>
      </c>
      <c r="L3338" s="475" t="s">
        <v>141</v>
      </c>
      <c r="M3338" s="473"/>
    </row>
    <row r="3339" spans="1:13" ht="13.5">
      <c r="A3339" s="475" t="s">
        <v>5516</v>
      </c>
      <c r="B3339" s="475" t="s">
        <v>5517</v>
      </c>
      <c r="C3339" s="475" t="s">
        <v>5458</v>
      </c>
      <c r="D3339" s="475" t="s">
        <v>5520</v>
      </c>
      <c r="E3339" s="476" t="s">
        <v>34</v>
      </c>
      <c r="F3339" s="475" t="s">
        <v>34</v>
      </c>
      <c r="G3339" s="364">
        <v>89374</v>
      </c>
      <c r="H3339" s="475" t="s">
        <v>2823</v>
      </c>
      <c r="I3339" s="475" t="s">
        <v>171</v>
      </c>
      <c r="J3339" s="475" t="s">
        <v>337</v>
      </c>
      <c r="K3339" s="365">
        <v>7.13</v>
      </c>
      <c r="L3339" s="475" t="s">
        <v>141</v>
      </c>
      <c r="M3339" s="473"/>
    </row>
    <row r="3340" spans="1:13" ht="13.5">
      <c r="A3340" s="475" t="s">
        <v>5516</v>
      </c>
      <c r="B3340" s="475" t="s">
        <v>5517</v>
      </c>
      <c r="C3340" s="475" t="s">
        <v>5458</v>
      </c>
      <c r="D3340" s="475" t="s">
        <v>5520</v>
      </c>
      <c r="E3340" s="476" t="s">
        <v>34</v>
      </c>
      <c r="F3340" s="475" t="s">
        <v>34</v>
      </c>
      <c r="G3340" s="364">
        <v>89375</v>
      </c>
      <c r="H3340" s="475" t="s">
        <v>2824</v>
      </c>
      <c r="I3340" s="475" t="s">
        <v>171</v>
      </c>
      <c r="J3340" s="475" t="s">
        <v>337</v>
      </c>
      <c r="K3340" s="365">
        <v>8.74</v>
      </c>
      <c r="L3340" s="475" t="s">
        <v>141</v>
      </c>
      <c r="M3340" s="473"/>
    </row>
    <row r="3341" spans="1:13" ht="13.5">
      <c r="A3341" s="475" t="s">
        <v>5516</v>
      </c>
      <c r="B3341" s="475" t="s">
        <v>5517</v>
      </c>
      <c r="C3341" s="475" t="s">
        <v>5458</v>
      </c>
      <c r="D3341" s="475" t="s">
        <v>5520</v>
      </c>
      <c r="E3341" s="476" t="s">
        <v>34</v>
      </c>
      <c r="F3341" s="475" t="s">
        <v>34</v>
      </c>
      <c r="G3341" s="364">
        <v>89376</v>
      </c>
      <c r="H3341" s="475" t="s">
        <v>2825</v>
      </c>
      <c r="I3341" s="475" t="s">
        <v>171</v>
      </c>
      <c r="J3341" s="475" t="s">
        <v>337</v>
      </c>
      <c r="K3341" s="365">
        <v>4.07</v>
      </c>
      <c r="L3341" s="475" t="s">
        <v>141</v>
      </c>
      <c r="M3341" s="473"/>
    </row>
    <row r="3342" spans="1:13" ht="13.5">
      <c r="A3342" s="475" t="s">
        <v>5516</v>
      </c>
      <c r="B3342" s="475" t="s">
        <v>5517</v>
      </c>
      <c r="C3342" s="475" t="s">
        <v>5458</v>
      </c>
      <c r="D3342" s="475" t="s">
        <v>5520</v>
      </c>
      <c r="E3342" s="476" t="s">
        <v>34</v>
      </c>
      <c r="F3342" s="475" t="s">
        <v>34</v>
      </c>
      <c r="G3342" s="364">
        <v>89377</v>
      </c>
      <c r="H3342" s="475" t="s">
        <v>2826</v>
      </c>
      <c r="I3342" s="475" t="s">
        <v>171</v>
      </c>
      <c r="J3342" s="475" t="s">
        <v>337</v>
      </c>
      <c r="K3342" s="365">
        <v>6.45</v>
      </c>
      <c r="L3342" s="475" t="s">
        <v>141</v>
      </c>
      <c r="M3342" s="473"/>
    </row>
    <row r="3343" spans="1:13" ht="13.5">
      <c r="A3343" s="475" t="s">
        <v>5516</v>
      </c>
      <c r="B3343" s="475" t="s">
        <v>5517</v>
      </c>
      <c r="C3343" s="475" t="s">
        <v>5458</v>
      </c>
      <c r="D3343" s="475" t="s">
        <v>5520</v>
      </c>
      <c r="E3343" s="476" t="s">
        <v>34</v>
      </c>
      <c r="F3343" s="475" t="s">
        <v>34</v>
      </c>
      <c r="G3343" s="364">
        <v>89378</v>
      </c>
      <c r="H3343" s="475" t="s">
        <v>2827</v>
      </c>
      <c r="I3343" s="475" t="s">
        <v>171</v>
      </c>
      <c r="J3343" s="475" t="s">
        <v>337</v>
      </c>
      <c r="K3343" s="365">
        <v>4.75</v>
      </c>
      <c r="L3343" s="475" t="s">
        <v>141</v>
      </c>
      <c r="M3343" s="473"/>
    </row>
    <row r="3344" spans="1:13" ht="13.5">
      <c r="A3344" s="475" t="s">
        <v>5516</v>
      </c>
      <c r="B3344" s="475" t="s">
        <v>5517</v>
      </c>
      <c r="C3344" s="475" t="s">
        <v>5458</v>
      </c>
      <c r="D3344" s="475" t="s">
        <v>5520</v>
      </c>
      <c r="E3344" s="476" t="s">
        <v>34</v>
      </c>
      <c r="F3344" s="475" t="s">
        <v>34</v>
      </c>
      <c r="G3344" s="364">
        <v>89379</v>
      </c>
      <c r="H3344" s="475" t="s">
        <v>2828</v>
      </c>
      <c r="I3344" s="475" t="s">
        <v>171</v>
      </c>
      <c r="J3344" s="475" t="s">
        <v>337</v>
      </c>
      <c r="K3344" s="365">
        <v>11.3</v>
      </c>
      <c r="L3344" s="475" t="s">
        <v>141</v>
      </c>
      <c r="M3344" s="473"/>
    </row>
    <row r="3345" spans="1:13" ht="13.5">
      <c r="A3345" s="475" t="s">
        <v>5516</v>
      </c>
      <c r="B3345" s="475" t="s">
        <v>5517</v>
      </c>
      <c r="C3345" s="475" t="s">
        <v>5458</v>
      </c>
      <c r="D3345" s="475" t="s">
        <v>5520</v>
      </c>
      <c r="E3345" s="476" t="s">
        <v>34</v>
      </c>
      <c r="F3345" s="475" t="s">
        <v>34</v>
      </c>
      <c r="G3345" s="364">
        <v>89380</v>
      </c>
      <c r="H3345" s="475" t="s">
        <v>2829</v>
      </c>
      <c r="I3345" s="475" t="s">
        <v>171</v>
      </c>
      <c r="J3345" s="475" t="s">
        <v>337</v>
      </c>
      <c r="K3345" s="365">
        <v>6.76</v>
      </c>
      <c r="L3345" s="475" t="s">
        <v>141</v>
      </c>
      <c r="M3345" s="473"/>
    </row>
    <row r="3346" spans="1:13" ht="13.5">
      <c r="A3346" s="475" t="s">
        <v>5516</v>
      </c>
      <c r="B3346" s="475" t="s">
        <v>5517</v>
      </c>
      <c r="C3346" s="475" t="s">
        <v>5458</v>
      </c>
      <c r="D3346" s="475" t="s">
        <v>5520</v>
      </c>
      <c r="E3346" s="476" t="s">
        <v>34</v>
      </c>
      <c r="F3346" s="475" t="s">
        <v>34</v>
      </c>
      <c r="G3346" s="364">
        <v>89381</v>
      </c>
      <c r="H3346" s="475" t="s">
        <v>2830</v>
      </c>
      <c r="I3346" s="475" t="s">
        <v>171</v>
      </c>
      <c r="J3346" s="475" t="s">
        <v>337</v>
      </c>
      <c r="K3346" s="365">
        <v>8.9</v>
      </c>
      <c r="L3346" s="475" t="s">
        <v>141</v>
      </c>
      <c r="M3346" s="473"/>
    </row>
    <row r="3347" spans="1:13" ht="13.5">
      <c r="A3347" s="475" t="s">
        <v>5516</v>
      </c>
      <c r="B3347" s="475" t="s">
        <v>5517</v>
      </c>
      <c r="C3347" s="475" t="s">
        <v>5458</v>
      </c>
      <c r="D3347" s="475" t="s">
        <v>5520</v>
      </c>
      <c r="E3347" s="476" t="s">
        <v>34</v>
      </c>
      <c r="F3347" s="475" t="s">
        <v>34</v>
      </c>
      <c r="G3347" s="364">
        <v>89382</v>
      </c>
      <c r="H3347" s="475" t="s">
        <v>2831</v>
      </c>
      <c r="I3347" s="475" t="s">
        <v>171</v>
      </c>
      <c r="J3347" s="475" t="s">
        <v>337</v>
      </c>
      <c r="K3347" s="365">
        <v>10.4</v>
      </c>
      <c r="L3347" s="475" t="s">
        <v>141</v>
      </c>
      <c r="M3347" s="473"/>
    </row>
    <row r="3348" spans="1:13" ht="13.5">
      <c r="A3348" s="475" t="s">
        <v>5516</v>
      </c>
      <c r="B3348" s="475" t="s">
        <v>5517</v>
      </c>
      <c r="C3348" s="475" t="s">
        <v>5458</v>
      </c>
      <c r="D3348" s="475" t="s">
        <v>5520</v>
      </c>
      <c r="E3348" s="476" t="s">
        <v>34</v>
      </c>
      <c r="F3348" s="475" t="s">
        <v>34</v>
      </c>
      <c r="G3348" s="364">
        <v>89383</v>
      </c>
      <c r="H3348" s="475" t="s">
        <v>2832</v>
      </c>
      <c r="I3348" s="475" t="s">
        <v>171</v>
      </c>
      <c r="J3348" s="475" t="s">
        <v>337</v>
      </c>
      <c r="K3348" s="365">
        <v>4.82</v>
      </c>
      <c r="L3348" s="475" t="s">
        <v>141</v>
      </c>
      <c r="M3348" s="473"/>
    </row>
    <row r="3349" spans="1:13" ht="13.5">
      <c r="A3349" s="475" t="s">
        <v>5516</v>
      </c>
      <c r="B3349" s="475" t="s">
        <v>5517</v>
      </c>
      <c r="C3349" s="475" t="s">
        <v>5458</v>
      </c>
      <c r="D3349" s="475" t="s">
        <v>5520</v>
      </c>
      <c r="E3349" s="476" t="s">
        <v>34</v>
      </c>
      <c r="F3349" s="475" t="s">
        <v>34</v>
      </c>
      <c r="G3349" s="364">
        <v>89384</v>
      </c>
      <c r="H3349" s="475" t="s">
        <v>2833</v>
      </c>
      <c r="I3349" s="475" t="s">
        <v>171</v>
      </c>
      <c r="J3349" s="475" t="s">
        <v>337</v>
      </c>
      <c r="K3349" s="365">
        <v>9</v>
      </c>
      <c r="L3349" s="475" t="s">
        <v>141</v>
      </c>
      <c r="M3349" s="473"/>
    </row>
    <row r="3350" spans="1:13" ht="13.5">
      <c r="A3350" s="475" t="s">
        <v>5516</v>
      </c>
      <c r="B3350" s="475" t="s">
        <v>5517</v>
      </c>
      <c r="C3350" s="475" t="s">
        <v>5458</v>
      </c>
      <c r="D3350" s="475" t="s">
        <v>5520</v>
      </c>
      <c r="E3350" s="476" t="s">
        <v>34</v>
      </c>
      <c r="F3350" s="475" t="s">
        <v>34</v>
      </c>
      <c r="G3350" s="364">
        <v>89385</v>
      </c>
      <c r="H3350" s="475" t="s">
        <v>2834</v>
      </c>
      <c r="I3350" s="475" t="s">
        <v>171</v>
      </c>
      <c r="J3350" s="475" t="s">
        <v>337</v>
      </c>
      <c r="K3350" s="365">
        <v>5.34</v>
      </c>
      <c r="L3350" s="475" t="s">
        <v>141</v>
      </c>
      <c r="M3350" s="473"/>
    </row>
    <row r="3351" spans="1:13" ht="13.5">
      <c r="A3351" s="475" t="s">
        <v>5516</v>
      </c>
      <c r="B3351" s="475" t="s">
        <v>5517</v>
      </c>
      <c r="C3351" s="475" t="s">
        <v>5458</v>
      </c>
      <c r="D3351" s="475" t="s">
        <v>5520</v>
      </c>
      <c r="E3351" s="476" t="s">
        <v>34</v>
      </c>
      <c r="F3351" s="475" t="s">
        <v>34</v>
      </c>
      <c r="G3351" s="364">
        <v>89386</v>
      </c>
      <c r="H3351" s="475" t="s">
        <v>2835</v>
      </c>
      <c r="I3351" s="475" t="s">
        <v>171</v>
      </c>
      <c r="J3351" s="475" t="s">
        <v>337</v>
      </c>
      <c r="K3351" s="365">
        <v>6.46</v>
      </c>
      <c r="L3351" s="475" t="s">
        <v>141</v>
      </c>
      <c r="M3351" s="473"/>
    </row>
    <row r="3352" spans="1:13" ht="13.5">
      <c r="A3352" s="475" t="s">
        <v>5516</v>
      </c>
      <c r="B3352" s="475" t="s">
        <v>5517</v>
      </c>
      <c r="C3352" s="475" t="s">
        <v>5458</v>
      </c>
      <c r="D3352" s="475" t="s">
        <v>5520</v>
      </c>
      <c r="E3352" s="476" t="s">
        <v>34</v>
      </c>
      <c r="F3352" s="475" t="s">
        <v>34</v>
      </c>
      <c r="G3352" s="364">
        <v>89387</v>
      </c>
      <c r="H3352" s="475" t="s">
        <v>2836</v>
      </c>
      <c r="I3352" s="475" t="s">
        <v>171</v>
      </c>
      <c r="J3352" s="475" t="s">
        <v>337</v>
      </c>
      <c r="K3352" s="365">
        <v>22.1</v>
      </c>
      <c r="L3352" s="475" t="s">
        <v>141</v>
      </c>
      <c r="M3352" s="473"/>
    </row>
    <row r="3353" spans="1:13" ht="13.5">
      <c r="A3353" s="475" t="s">
        <v>5516</v>
      </c>
      <c r="B3353" s="475" t="s">
        <v>5517</v>
      </c>
      <c r="C3353" s="475" t="s">
        <v>5458</v>
      </c>
      <c r="D3353" s="475" t="s">
        <v>5520</v>
      </c>
      <c r="E3353" s="476" t="s">
        <v>34</v>
      </c>
      <c r="F3353" s="475" t="s">
        <v>34</v>
      </c>
      <c r="G3353" s="364">
        <v>89388</v>
      </c>
      <c r="H3353" s="475" t="s">
        <v>2837</v>
      </c>
      <c r="I3353" s="475" t="s">
        <v>171</v>
      </c>
      <c r="J3353" s="475" t="s">
        <v>337</v>
      </c>
      <c r="K3353" s="365">
        <v>8.23</v>
      </c>
      <c r="L3353" s="475" t="s">
        <v>141</v>
      </c>
      <c r="M3353" s="473"/>
    </row>
    <row r="3354" spans="1:13" ht="13.5">
      <c r="A3354" s="475" t="s">
        <v>5516</v>
      </c>
      <c r="B3354" s="475" t="s">
        <v>5517</v>
      </c>
      <c r="C3354" s="475" t="s">
        <v>5458</v>
      </c>
      <c r="D3354" s="475" t="s">
        <v>5520</v>
      </c>
      <c r="E3354" s="476" t="s">
        <v>34</v>
      </c>
      <c r="F3354" s="475" t="s">
        <v>34</v>
      </c>
      <c r="G3354" s="364">
        <v>89389</v>
      </c>
      <c r="H3354" s="475" t="s">
        <v>2838</v>
      </c>
      <c r="I3354" s="475" t="s">
        <v>171</v>
      </c>
      <c r="J3354" s="475" t="s">
        <v>337</v>
      </c>
      <c r="K3354" s="365">
        <v>8.84</v>
      </c>
      <c r="L3354" s="475" t="s">
        <v>141</v>
      </c>
      <c r="M3354" s="473"/>
    </row>
    <row r="3355" spans="1:13" ht="13.5">
      <c r="A3355" s="475" t="s">
        <v>5516</v>
      </c>
      <c r="B3355" s="475" t="s">
        <v>5517</v>
      </c>
      <c r="C3355" s="475" t="s">
        <v>5458</v>
      </c>
      <c r="D3355" s="475" t="s">
        <v>5520</v>
      </c>
      <c r="E3355" s="476" t="s">
        <v>34</v>
      </c>
      <c r="F3355" s="475" t="s">
        <v>34</v>
      </c>
      <c r="G3355" s="364">
        <v>89390</v>
      </c>
      <c r="H3355" s="475" t="s">
        <v>2839</v>
      </c>
      <c r="I3355" s="475" t="s">
        <v>171</v>
      </c>
      <c r="J3355" s="475" t="s">
        <v>337</v>
      </c>
      <c r="K3355" s="365">
        <v>15.28</v>
      </c>
      <c r="L3355" s="475" t="s">
        <v>141</v>
      </c>
      <c r="M3355" s="473"/>
    </row>
    <row r="3356" spans="1:13" ht="13.5">
      <c r="A3356" s="475" t="s">
        <v>5516</v>
      </c>
      <c r="B3356" s="475" t="s">
        <v>5517</v>
      </c>
      <c r="C3356" s="475" t="s">
        <v>5458</v>
      </c>
      <c r="D3356" s="475" t="s">
        <v>5520</v>
      </c>
      <c r="E3356" s="476" t="s">
        <v>34</v>
      </c>
      <c r="F3356" s="475" t="s">
        <v>34</v>
      </c>
      <c r="G3356" s="364">
        <v>89391</v>
      </c>
      <c r="H3356" s="475" t="s">
        <v>2840</v>
      </c>
      <c r="I3356" s="475" t="s">
        <v>171</v>
      </c>
      <c r="J3356" s="475" t="s">
        <v>337</v>
      </c>
      <c r="K3356" s="365">
        <v>6.39</v>
      </c>
      <c r="L3356" s="475" t="s">
        <v>141</v>
      </c>
      <c r="M3356" s="473"/>
    </row>
    <row r="3357" spans="1:13" ht="13.5">
      <c r="A3357" s="475" t="s">
        <v>5516</v>
      </c>
      <c r="B3357" s="475" t="s">
        <v>5517</v>
      </c>
      <c r="C3357" s="475" t="s">
        <v>5458</v>
      </c>
      <c r="D3357" s="475" t="s">
        <v>5520</v>
      </c>
      <c r="E3357" s="476" t="s">
        <v>34</v>
      </c>
      <c r="F3357" s="475" t="s">
        <v>34</v>
      </c>
      <c r="G3357" s="364">
        <v>89392</v>
      </c>
      <c r="H3357" s="475" t="s">
        <v>2841</v>
      </c>
      <c r="I3357" s="475" t="s">
        <v>171</v>
      </c>
      <c r="J3357" s="475" t="s">
        <v>337</v>
      </c>
      <c r="K3357" s="365">
        <v>17.97</v>
      </c>
      <c r="L3357" s="475" t="s">
        <v>141</v>
      </c>
      <c r="M3357" s="473"/>
    </row>
    <row r="3358" spans="1:13" ht="13.5">
      <c r="A3358" s="475" t="s">
        <v>5516</v>
      </c>
      <c r="B3358" s="475" t="s">
        <v>5517</v>
      </c>
      <c r="C3358" s="475" t="s">
        <v>5458</v>
      </c>
      <c r="D3358" s="475" t="s">
        <v>5520</v>
      </c>
      <c r="E3358" s="476" t="s">
        <v>34</v>
      </c>
      <c r="F3358" s="475" t="s">
        <v>34</v>
      </c>
      <c r="G3358" s="364">
        <v>89393</v>
      </c>
      <c r="H3358" s="475" t="s">
        <v>2842</v>
      </c>
      <c r="I3358" s="475" t="s">
        <v>171</v>
      </c>
      <c r="J3358" s="475" t="s">
        <v>337</v>
      </c>
      <c r="K3358" s="365">
        <v>7.47</v>
      </c>
      <c r="L3358" s="475" t="s">
        <v>141</v>
      </c>
      <c r="M3358" s="473"/>
    </row>
    <row r="3359" spans="1:13" ht="13.5">
      <c r="A3359" s="475" t="s">
        <v>5516</v>
      </c>
      <c r="B3359" s="475" t="s">
        <v>5517</v>
      </c>
      <c r="C3359" s="475" t="s">
        <v>5458</v>
      </c>
      <c r="D3359" s="475" t="s">
        <v>5520</v>
      </c>
      <c r="E3359" s="476" t="s">
        <v>34</v>
      </c>
      <c r="F3359" s="475" t="s">
        <v>34</v>
      </c>
      <c r="G3359" s="364">
        <v>89394</v>
      </c>
      <c r="H3359" s="475" t="s">
        <v>2843</v>
      </c>
      <c r="I3359" s="475" t="s">
        <v>171</v>
      </c>
      <c r="J3359" s="475" t="s">
        <v>337</v>
      </c>
      <c r="K3359" s="365">
        <v>13.61</v>
      </c>
      <c r="L3359" s="475" t="s">
        <v>141</v>
      </c>
      <c r="M3359" s="473"/>
    </row>
    <row r="3360" spans="1:13" ht="13.5">
      <c r="A3360" s="475" t="s">
        <v>5516</v>
      </c>
      <c r="B3360" s="475" t="s">
        <v>5517</v>
      </c>
      <c r="C3360" s="475" t="s">
        <v>5458</v>
      </c>
      <c r="D3360" s="475" t="s">
        <v>5520</v>
      </c>
      <c r="E3360" s="476" t="s">
        <v>34</v>
      </c>
      <c r="F3360" s="475" t="s">
        <v>34</v>
      </c>
      <c r="G3360" s="364">
        <v>89395</v>
      </c>
      <c r="H3360" s="475" t="s">
        <v>2844</v>
      </c>
      <c r="I3360" s="475" t="s">
        <v>171</v>
      </c>
      <c r="J3360" s="475" t="s">
        <v>337</v>
      </c>
      <c r="K3360" s="365">
        <v>8.91</v>
      </c>
      <c r="L3360" s="475" t="s">
        <v>141</v>
      </c>
      <c r="M3360" s="473"/>
    </row>
    <row r="3361" spans="1:13" ht="13.5">
      <c r="A3361" s="475" t="s">
        <v>5516</v>
      </c>
      <c r="B3361" s="475" t="s">
        <v>5517</v>
      </c>
      <c r="C3361" s="475" t="s">
        <v>5458</v>
      </c>
      <c r="D3361" s="475" t="s">
        <v>5520</v>
      </c>
      <c r="E3361" s="476" t="s">
        <v>34</v>
      </c>
      <c r="F3361" s="475" t="s">
        <v>34</v>
      </c>
      <c r="G3361" s="364">
        <v>89396</v>
      </c>
      <c r="H3361" s="475" t="s">
        <v>2845</v>
      </c>
      <c r="I3361" s="475" t="s">
        <v>171</v>
      </c>
      <c r="J3361" s="475" t="s">
        <v>337</v>
      </c>
      <c r="K3361" s="365">
        <v>14.16</v>
      </c>
      <c r="L3361" s="475" t="s">
        <v>141</v>
      </c>
      <c r="M3361" s="473"/>
    </row>
    <row r="3362" spans="1:13" ht="13.5">
      <c r="A3362" s="475" t="s">
        <v>5516</v>
      </c>
      <c r="B3362" s="475" t="s">
        <v>5517</v>
      </c>
      <c r="C3362" s="475" t="s">
        <v>5458</v>
      </c>
      <c r="D3362" s="475" t="s">
        <v>5520</v>
      </c>
      <c r="E3362" s="476" t="s">
        <v>34</v>
      </c>
      <c r="F3362" s="475" t="s">
        <v>34</v>
      </c>
      <c r="G3362" s="364">
        <v>89397</v>
      </c>
      <c r="H3362" s="475" t="s">
        <v>2846</v>
      </c>
      <c r="I3362" s="475" t="s">
        <v>171</v>
      </c>
      <c r="J3362" s="475" t="s">
        <v>337</v>
      </c>
      <c r="K3362" s="365">
        <v>10.31</v>
      </c>
      <c r="L3362" s="475" t="s">
        <v>141</v>
      </c>
      <c r="M3362" s="473"/>
    </row>
    <row r="3363" spans="1:13" ht="13.5">
      <c r="A3363" s="475" t="s">
        <v>5516</v>
      </c>
      <c r="B3363" s="475" t="s">
        <v>5517</v>
      </c>
      <c r="C3363" s="475" t="s">
        <v>5458</v>
      </c>
      <c r="D3363" s="475" t="s">
        <v>5520</v>
      </c>
      <c r="E3363" s="476" t="s">
        <v>34</v>
      </c>
      <c r="F3363" s="475" t="s">
        <v>34</v>
      </c>
      <c r="G3363" s="364">
        <v>89398</v>
      </c>
      <c r="H3363" s="475" t="s">
        <v>2847</v>
      </c>
      <c r="I3363" s="475" t="s">
        <v>171</v>
      </c>
      <c r="J3363" s="475" t="s">
        <v>337</v>
      </c>
      <c r="K3363" s="365">
        <v>12.63</v>
      </c>
      <c r="L3363" s="475" t="s">
        <v>141</v>
      </c>
      <c r="M3363" s="473"/>
    </row>
    <row r="3364" spans="1:13" ht="13.5">
      <c r="A3364" s="475" t="s">
        <v>5516</v>
      </c>
      <c r="B3364" s="475" t="s">
        <v>5517</v>
      </c>
      <c r="C3364" s="475" t="s">
        <v>5458</v>
      </c>
      <c r="D3364" s="475" t="s">
        <v>5520</v>
      </c>
      <c r="E3364" s="476" t="s">
        <v>34</v>
      </c>
      <c r="F3364" s="475" t="s">
        <v>34</v>
      </c>
      <c r="G3364" s="364">
        <v>89399</v>
      </c>
      <c r="H3364" s="475" t="s">
        <v>2848</v>
      </c>
      <c r="I3364" s="475" t="s">
        <v>171</v>
      </c>
      <c r="J3364" s="475" t="s">
        <v>337</v>
      </c>
      <c r="K3364" s="365">
        <v>21.54</v>
      </c>
      <c r="L3364" s="475" t="s">
        <v>141</v>
      </c>
      <c r="M3364" s="473"/>
    </row>
    <row r="3365" spans="1:13" ht="13.5">
      <c r="A3365" s="475" t="s">
        <v>5516</v>
      </c>
      <c r="B3365" s="475" t="s">
        <v>5517</v>
      </c>
      <c r="C3365" s="475" t="s">
        <v>5458</v>
      </c>
      <c r="D3365" s="475" t="s">
        <v>5520</v>
      </c>
      <c r="E3365" s="476" t="s">
        <v>34</v>
      </c>
      <c r="F3365" s="475" t="s">
        <v>34</v>
      </c>
      <c r="G3365" s="364">
        <v>89400</v>
      </c>
      <c r="H3365" s="475" t="s">
        <v>2849</v>
      </c>
      <c r="I3365" s="475" t="s">
        <v>171</v>
      </c>
      <c r="J3365" s="475" t="s">
        <v>337</v>
      </c>
      <c r="K3365" s="365">
        <v>14.02</v>
      </c>
      <c r="L3365" s="475" t="s">
        <v>141</v>
      </c>
      <c r="M3365" s="473"/>
    </row>
    <row r="3366" spans="1:13" ht="13.5">
      <c r="A3366" s="475" t="s">
        <v>5516</v>
      </c>
      <c r="B3366" s="475" t="s">
        <v>5517</v>
      </c>
      <c r="C3366" s="475" t="s">
        <v>5458</v>
      </c>
      <c r="D3366" s="475" t="s">
        <v>5520</v>
      </c>
      <c r="E3366" s="476" t="s">
        <v>34</v>
      </c>
      <c r="F3366" s="475" t="s">
        <v>34</v>
      </c>
      <c r="G3366" s="364">
        <v>89404</v>
      </c>
      <c r="H3366" s="475" t="s">
        <v>2850</v>
      </c>
      <c r="I3366" s="475" t="s">
        <v>171</v>
      </c>
      <c r="J3366" s="475" t="s">
        <v>337</v>
      </c>
      <c r="K3366" s="365">
        <v>3.62</v>
      </c>
      <c r="L3366" s="475" t="s">
        <v>141</v>
      </c>
      <c r="M3366" s="473"/>
    </row>
    <row r="3367" spans="1:13" ht="13.5">
      <c r="A3367" s="475" t="s">
        <v>5516</v>
      </c>
      <c r="B3367" s="475" t="s">
        <v>5517</v>
      </c>
      <c r="C3367" s="475" t="s">
        <v>5458</v>
      </c>
      <c r="D3367" s="475" t="s">
        <v>5520</v>
      </c>
      <c r="E3367" s="476" t="s">
        <v>34</v>
      </c>
      <c r="F3367" s="475" t="s">
        <v>34</v>
      </c>
      <c r="G3367" s="364">
        <v>89405</v>
      </c>
      <c r="H3367" s="475" t="s">
        <v>2851</v>
      </c>
      <c r="I3367" s="475" t="s">
        <v>171</v>
      </c>
      <c r="J3367" s="475" t="s">
        <v>337</v>
      </c>
      <c r="K3367" s="365">
        <v>3.86</v>
      </c>
      <c r="L3367" s="475" t="s">
        <v>141</v>
      </c>
      <c r="M3367" s="473"/>
    </row>
    <row r="3368" spans="1:13" ht="13.5">
      <c r="A3368" s="475" t="s">
        <v>5516</v>
      </c>
      <c r="B3368" s="475" t="s">
        <v>5517</v>
      </c>
      <c r="C3368" s="475" t="s">
        <v>5458</v>
      </c>
      <c r="D3368" s="475" t="s">
        <v>5520</v>
      </c>
      <c r="E3368" s="476" t="s">
        <v>34</v>
      </c>
      <c r="F3368" s="475" t="s">
        <v>34</v>
      </c>
      <c r="G3368" s="364">
        <v>89406</v>
      </c>
      <c r="H3368" s="475" t="s">
        <v>2852</v>
      </c>
      <c r="I3368" s="475" t="s">
        <v>171</v>
      </c>
      <c r="J3368" s="475" t="s">
        <v>337</v>
      </c>
      <c r="K3368" s="365">
        <v>4.9000000000000004</v>
      </c>
      <c r="L3368" s="475" t="s">
        <v>141</v>
      </c>
      <c r="M3368" s="473"/>
    </row>
    <row r="3369" spans="1:13" ht="13.5">
      <c r="A3369" s="475" t="s">
        <v>5516</v>
      </c>
      <c r="B3369" s="475" t="s">
        <v>5517</v>
      </c>
      <c r="C3369" s="475" t="s">
        <v>5458</v>
      </c>
      <c r="D3369" s="475" t="s">
        <v>5520</v>
      </c>
      <c r="E3369" s="476" t="s">
        <v>34</v>
      </c>
      <c r="F3369" s="475" t="s">
        <v>34</v>
      </c>
      <c r="G3369" s="364">
        <v>89407</v>
      </c>
      <c r="H3369" s="475" t="s">
        <v>2853</v>
      </c>
      <c r="I3369" s="475" t="s">
        <v>171</v>
      </c>
      <c r="J3369" s="475" t="s">
        <v>337</v>
      </c>
      <c r="K3369" s="365">
        <v>4.5</v>
      </c>
      <c r="L3369" s="475" t="s">
        <v>141</v>
      </c>
      <c r="M3369" s="473"/>
    </row>
    <row r="3370" spans="1:13" ht="13.5">
      <c r="A3370" s="475" t="s">
        <v>5516</v>
      </c>
      <c r="B3370" s="475" t="s">
        <v>5517</v>
      </c>
      <c r="C3370" s="475" t="s">
        <v>5458</v>
      </c>
      <c r="D3370" s="475" t="s">
        <v>5520</v>
      </c>
      <c r="E3370" s="476" t="s">
        <v>34</v>
      </c>
      <c r="F3370" s="475" t="s">
        <v>34</v>
      </c>
      <c r="G3370" s="364">
        <v>89408</v>
      </c>
      <c r="H3370" s="475" t="s">
        <v>2854</v>
      </c>
      <c r="I3370" s="475" t="s">
        <v>171</v>
      </c>
      <c r="J3370" s="475" t="s">
        <v>337</v>
      </c>
      <c r="K3370" s="365">
        <v>4.3499999999999996</v>
      </c>
      <c r="L3370" s="475" t="s">
        <v>141</v>
      </c>
      <c r="M3370" s="473"/>
    </row>
    <row r="3371" spans="1:13" ht="13.5">
      <c r="A3371" s="475" t="s">
        <v>5516</v>
      </c>
      <c r="B3371" s="475" t="s">
        <v>5517</v>
      </c>
      <c r="C3371" s="475" t="s">
        <v>5458</v>
      </c>
      <c r="D3371" s="475" t="s">
        <v>5520</v>
      </c>
      <c r="E3371" s="476" t="s">
        <v>34</v>
      </c>
      <c r="F3371" s="475" t="s">
        <v>34</v>
      </c>
      <c r="G3371" s="364">
        <v>89409</v>
      </c>
      <c r="H3371" s="475" t="s">
        <v>2855</v>
      </c>
      <c r="I3371" s="475" t="s">
        <v>171</v>
      </c>
      <c r="J3371" s="475" t="s">
        <v>337</v>
      </c>
      <c r="K3371" s="365">
        <v>4.88</v>
      </c>
      <c r="L3371" s="475" t="s">
        <v>141</v>
      </c>
      <c r="M3371" s="473"/>
    </row>
    <row r="3372" spans="1:13" ht="13.5">
      <c r="A3372" s="475" t="s">
        <v>5516</v>
      </c>
      <c r="B3372" s="475" t="s">
        <v>5517</v>
      </c>
      <c r="C3372" s="475" t="s">
        <v>5458</v>
      </c>
      <c r="D3372" s="475" t="s">
        <v>5520</v>
      </c>
      <c r="E3372" s="476" t="s">
        <v>34</v>
      </c>
      <c r="F3372" s="475" t="s">
        <v>34</v>
      </c>
      <c r="G3372" s="364">
        <v>89410</v>
      </c>
      <c r="H3372" s="475" t="s">
        <v>2856</v>
      </c>
      <c r="I3372" s="475" t="s">
        <v>171</v>
      </c>
      <c r="J3372" s="475" t="s">
        <v>337</v>
      </c>
      <c r="K3372" s="365">
        <v>5.97</v>
      </c>
      <c r="L3372" s="475" t="s">
        <v>141</v>
      </c>
      <c r="M3372" s="473"/>
    </row>
    <row r="3373" spans="1:13" ht="13.5">
      <c r="A3373" s="475" t="s">
        <v>5516</v>
      </c>
      <c r="B3373" s="475" t="s">
        <v>5517</v>
      </c>
      <c r="C3373" s="475" t="s">
        <v>5458</v>
      </c>
      <c r="D3373" s="475" t="s">
        <v>5520</v>
      </c>
      <c r="E3373" s="476" t="s">
        <v>34</v>
      </c>
      <c r="F3373" s="475" t="s">
        <v>34</v>
      </c>
      <c r="G3373" s="364">
        <v>89411</v>
      </c>
      <c r="H3373" s="475" t="s">
        <v>2857</v>
      </c>
      <c r="I3373" s="475" t="s">
        <v>171</v>
      </c>
      <c r="J3373" s="475" t="s">
        <v>337</v>
      </c>
      <c r="K3373" s="365">
        <v>5.48</v>
      </c>
      <c r="L3373" s="475" t="s">
        <v>141</v>
      </c>
      <c r="M3373" s="473"/>
    </row>
    <row r="3374" spans="1:13" ht="13.5">
      <c r="A3374" s="475" t="s">
        <v>5516</v>
      </c>
      <c r="B3374" s="475" t="s">
        <v>5517</v>
      </c>
      <c r="C3374" s="475" t="s">
        <v>5458</v>
      </c>
      <c r="D3374" s="475" t="s">
        <v>5520</v>
      </c>
      <c r="E3374" s="476" t="s">
        <v>34</v>
      </c>
      <c r="F3374" s="475" t="s">
        <v>34</v>
      </c>
      <c r="G3374" s="364">
        <v>89412</v>
      </c>
      <c r="H3374" s="475" t="s">
        <v>2858</v>
      </c>
      <c r="I3374" s="475" t="s">
        <v>171</v>
      </c>
      <c r="J3374" s="475" t="s">
        <v>337</v>
      </c>
      <c r="K3374" s="365">
        <v>6.15</v>
      </c>
      <c r="L3374" s="475" t="s">
        <v>141</v>
      </c>
      <c r="M3374" s="473"/>
    </row>
    <row r="3375" spans="1:13" ht="13.5">
      <c r="A3375" s="475" t="s">
        <v>5516</v>
      </c>
      <c r="B3375" s="475" t="s">
        <v>5517</v>
      </c>
      <c r="C3375" s="475" t="s">
        <v>5458</v>
      </c>
      <c r="D3375" s="475" t="s">
        <v>5520</v>
      </c>
      <c r="E3375" s="476" t="s">
        <v>34</v>
      </c>
      <c r="F3375" s="475" t="s">
        <v>34</v>
      </c>
      <c r="G3375" s="364">
        <v>89413</v>
      </c>
      <c r="H3375" s="475" t="s">
        <v>2859</v>
      </c>
      <c r="I3375" s="475" t="s">
        <v>171</v>
      </c>
      <c r="J3375" s="475" t="s">
        <v>337</v>
      </c>
      <c r="K3375" s="365">
        <v>6.2</v>
      </c>
      <c r="L3375" s="475" t="s">
        <v>141</v>
      </c>
      <c r="M3375" s="473"/>
    </row>
    <row r="3376" spans="1:13" ht="13.5">
      <c r="A3376" s="475" t="s">
        <v>5516</v>
      </c>
      <c r="B3376" s="475" t="s">
        <v>5517</v>
      </c>
      <c r="C3376" s="475" t="s">
        <v>5458</v>
      </c>
      <c r="D3376" s="475" t="s">
        <v>5520</v>
      </c>
      <c r="E3376" s="476" t="s">
        <v>34</v>
      </c>
      <c r="F3376" s="475" t="s">
        <v>34</v>
      </c>
      <c r="G3376" s="364">
        <v>89414</v>
      </c>
      <c r="H3376" s="475" t="s">
        <v>2860</v>
      </c>
      <c r="I3376" s="475" t="s">
        <v>171</v>
      </c>
      <c r="J3376" s="475" t="s">
        <v>337</v>
      </c>
      <c r="K3376" s="365">
        <v>7.69</v>
      </c>
      <c r="L3376" s="475" t="s">
        <v>141</v>
      </c>
      <c r="M3376" s="473"/>
    </row>
    <row r="3377" spans="1:13" ht="13.5">
      <c r="A3377" s="475" t="s">
        <v>5516</v>
      </c>
      <c r="B3377" s="475" t="s">
        <v>5517</v>
      </c>
      <c r="C3377" s="475" t="s">
        <v>5458</v>
      </c>
      <c r="D3377" s="475" t="s">
        <v>5520</v>
      </c>
      <c r="E3377" s="476" t="s">
        <v>34</v>
      </c>
      <c r="F3377" s="475" t="s">
        <v>34</v>
      </c>
      <c r="G3377" s="364">
        <v>89415</v>
      </c>
      <c r="H3377" s="475" t="s">
        <v>2861</v>
      </c>
      <c r="I3377" s="475" t="s">
        <v>171</v>
      </c>
      <c r="J3377" s="475" t="s">
        <v>337</v>
      </c>
      <c r="K3377" s="365">
        <v>9.5299999999999994</v>
      </c>
      <c r="L3377" s="475" t="s">
        <v>141</v>
      </c>
      <c r="M3377" s="473"/>
    </row>
    <row r="3378" spans="1:13" ht="13.5">
      <c r="A3378" s="475" t="s">
        <v>5516</v>
      </c>
      <c r="B3378" s="475" t="s">
        <v>5517</v>
      </c>
      <c r="C3378" s="475" t="s">
        <v>5458</v>
      </c>
      <c r="D3378" s="475" t="s">
        <v>5520</v>
      </c>
      <c r="E3378" s="476" t="s">
        <v>34</v>
      </c>
      <c r="F3378" s="475" t="s">
        <v>34</v>
      </c>
      <c r="G3378" s="364">
        <v>89416</v>
      </c>
      <c r="H3378" s="475" t="s">
        <v>2862</v>
      </c>
      <c r="I3378" s="475" t="s">
        <v>171</v>
      </c>
      <c r="J3378" s="475" t="s">
        <v>337</v>
      </c>
      <c r="K3378" s="365">
        <v>7.37</v>
      </c>
      <c r="L3378" s="475" t="s">
        <v>141</v>
      </c>
      <c r="M3378" s="473"/>
    </row>
    <row r="3379" spans="1:13" ht="13.5">
      <c r="A3379" s="475" t="s">
        <v>5516</v>
      </c>
      <c r="B3379" s="475" t="s">
        <v>5517</v>
      </c>
      <c r="C3379" s="475" t="s">
        <v>5458</v>
      </c>
      <c r="D3379" s="475" t="s">
        <v>5520</v>
      </c>
      <c r="E3379" s="476" t="s">
        <v>34</v>
      </c>
      <c r="F3379" s="475" t="s">
        <v>34</v>
      </c>
      <c r="G3379" s="364">
        <v>89417</v>
      </c>
      <c r="H3379" s="475" t="s">
        <v>2863</v>
      </c>
      <c r="I3379" s="475" t="s">
        <v>171</v>
      </c>
      <c r="J3379" s="475" t="s">
        <v>337</v>
      </c>
      <c r="K3379" s="365">
        <v>2.85</v>
      </c>
      <c r="L3379" s="475" t="s">
        <v>141</v>
      </c>
      <c r="M3379" s="473"/>
    </row>
    <row r="3380" spans="1:13" ht="13.5">
      <c r="A3380" s="475" t="s">
        <v>5516</v>
      </c>
      <c r="B3380" s="475" t="s">
        <v>5517</v>
      </c>
      <c r="C3380" s="475" t="s">
        <v>5458</v>
      </c>
      <c r="D3380" s="475" t="s">
        <v>5520</v>
      </c>
      <c r="E3380" s="476" t="s">
        <v>34</v>
      </c>
      <c r="F3380" s="475" t="s">
        <v>34</v>
      </c>
      <c r="G3380" s="364">
        <v>89418</v>
      </c>
      <c r="H3380" s="475" t="s">
        <v>2864</v>
      </c>
      <c r="I3380" s="475" t="s">
        <v>171</v>
      </c>
      <c r="J3380" s="475" t="s">
        <v>337</v>
      </c>
      <c r="K3380" s="365">
        <v>7.77</v>
      </c>
      <c r="L3380" s="475" t="s">
        <v>141</v>
      </c>
      <c r="M3380" s="473"/>
    </row>
    <row r="3381" spans="1:13" ht="13.5">
      <c r="A3381" s="475" t="s">
        <v>5516</v>
      </c>
      <c r="B3381" s="475" t="s">
        <v>5517</v>
      </c>
      <c r="C3381" s="475" t="s">
        <v>5458</v>
      </c>
      <c r="D3381" s="475" t="s">
        <v>5520</v>
      </c>
      <c r="E3381" s="476" t="s">
        <v>34</v>
      </c>
      <c r="F3381" s="475" t="s">
        <v>34</v>
      </c>
      <c r="G3381" s="364">
        <v>89419</v>
      </c>
      <c r="H3381" s="475" t="s">
        <v>2865</v>
      </c>
      <c r="I3381" s="475" t="s">
        <v>171</v>
      </c>
      <c r="J3381" s="475" t="s">
        <v>337</v>
      </c>
      <c r="K3381" s="365">
        <v>3.3</v>
      </c>
      <c r="L3381" s="475" t="s">
        <v>141</v>
      </c>
      <c r="M3381" s="473"/>
    </row>
    <row r="3382" spans="1:13" ht="13.5">
      <c r="A3382" s="475" t="s">
        <v>5516</v>
      </c>
      <c r="B3382" s="475" t="s">
        <v>5517</v>
      </c>
      <c r="C3382" s="475" t="s">
        <v>5458</v>
      </c>
      <c r="D3382" s="475" t="s">
        <v>5520</v>
      </c>
      <c r="E3382" s="476" t="s">
        <v>34</v>
      </c>
      <c r="F3382" s="475" t="s">
        <v>34</v>
      </c>
      <c r="G3382" s="364">
        <v>89420</v>
      </c>
      <c r="H3382" s="475" t="s">
        <v>2866</v>
      </c>
      <c r="I3382" s="475" t="s">
        <v>171</v>
      </c>
      <c r="J3382" s="475" t="s">
        <v>337</v>
      </c>
      <c r="K3382" s="365">
        <v>5.96</v>
      </c>
      <c r="L3382" s="475" t="s">
        <v>141</v>
      </c>
      <c r="M3382" s="473"/>
    </row>
    <row r="3383" spans="1:13" ht="13.5">
      <c r="A3383" s="475" t="s">
        <v>5516</v>
      </c>
      <c r="B3383" s="475" t="s">
        <v>5517</v>
      </c>
      <c r="C3383" s="475" t="s">
        <v>5458</v>
      </c>
      <c r="D3383" s="475" t="s">
        <v>5520</v>
      </c>
      <c r="E3383" s="476" t="s">
        <v>34</v>
      </c>
      <c r="F3383" s="475" t="s">
        <v>34</v>
      </c>
      <c r="G3383" s="364">
        <v>89421</v>
      </c>
      <c r="H3383" s="475" t="s">
        <v>2867</v>
      </c>
      <c r="I3383" s="475" t="s">
        <v>171</v>
      </c>
      <c r="J3383" s="475" t="s">
        <v>337</v>
      </c>
      <c r="K3383" s="365">
        <v>7.57</v>
      </c>
      <c r="L3383" s="475" t="s">
        <v>141</v>
      </c>
      <c r="M3383" s="473"/>
    </row>
    <row r="3384" spans="1:13" ht="13.5">
      <c r="A3384" s="475" t="s">
        <v>5516</v>
      </c>
      <c r="B3384" s="475" t="s">
        <v>5517</v>
      </c>
      <c r="C3384" s="475" t="s">
        <v>5458</v>
      </c>
      <c r="D3384" s="475" t="s">
        <v>5520</v>
      </c>
      <c r="E3384" s="476" t="s">
        <v>34</v>
      </c>
      <c r="F3384" s="475" t="s">
        <v>34</v>
      </c>
      <c r="G3384" s="364">
        <v>89422</v>
      </c>
      <c r="H3384" s="475" t="s">
        <v>2868</v>
      </c>
      <c r="I3384" s="475" t="s">
        <v>171</v>
      </c>
      <c r="J3384" s="475" t="s">
        <v>337</v>
      </c>
      <c r="K3384" s="365">
        <v>2.9</v>
      </c>
      <c r="L3384" s="475" t="s">
        <v>141</v>
      </c>
      <c r="M3384" s="473"/>
    </row>
    <row r="3385" spans="1:13" ht="13.5">
      <c r="A3385" s="475" t="s">
        <v>5516</v>
      </c>
      <c r="B3385" s="475" t="s">
        <v>5517</v>
      </c>
      <c r="C3385" s="475" t="s">
        <v>5458</v>
      </c>
      <c r="D3385" s="475" t="s">
        <v>5520</v>
      </c>
      <c r="E3385" s="476" t="s">
        <v>34</v>
      </c>
      <c r="F3385" s="475" t="s">
        <v>34</v>
      </c>
      <c r="G3385" s="364">
        <v>89423</v>
      </c>
      <c r="H3385" s="475" t="s">
        <v>2869</v>
      </c>
      <c r="I3385" s="475" t="s">
        <v>171</v>
      </c>
      <c r="J3385" s="475" t="s">
        <v>337</v>
      </c>
      <c r="K3385" s="365">
        <v>5.67</v>
      </c>
      <c r="L3385" s="475" t="s">
        <v>141</v>
      </c>
      <c r="M3385" s="473"/>
    </row>
    <row r="3386" spans="1:13" ht="13.5">
      <c r="A3386" s="475" t="s">
        <v>5516</v>
      </c>
      <c r="B3386" s="475" t="s">
        <v>5517</v>
      </c>
      <c r="C3386" s="475" t="s">
        <v>5458</v>
      </c>
      <c r="D3386" s="475" t="s">
        <v>5520</v>
      </c>
      <c r="E3386" s="476" t="s">
        <v>34</v>
      </c>
      <c r="F3386" s="475" t="s">
        <v>34</v>
      </c>
      <c r="G3386" s="364">
        <v>89424</v>
      </c>
      <c r="H3386" s="475" t="s">
        <v>2870</v>
      </c>
      <c r="I3386" s="475" t="s">
        <v>171</v>
      </c>
      <c r="J3386" s="475" t="s">
        <v>337</v>
      </c>
      <c r="K3386" s="365">
        <v>3.38</v>
      </c>
      <c r="L3386" s="475" t="s">
        <v>141</v>
      </c>
      <c r="M3386" s="473"/>
    </row>
    <row r="3387" spans="1:13" ht="13.5">
      <c r="A3387" s="475" t="s">
        <v>5516</v>
      </c>
      <c r="B3387" s="475" t="s">
        <v>5517</v>
      </c>
      <c r="C3387" s="475" t="s">
        <v>5458</v>
      </c>
      <c r="D3387" s="475" t="s">
        <v>5520</v>
      </c>
      <c r="E3387" s="476" t="s">
        <v>34</v>
      </c>
      <c r="F3387" s="475" t="s">
        <v>34</v>
      </c>
      <c r="G3387" s="364">
        <v>89425</v>
      </c>
      <c r="H3387" s="475" t="s">
        <v>2871</v>
      </c>
      <c r="I3387" s="475" t="s">
        <v>171</v>
      </c>
      <c r="J3387" s="475" t="s">
        <v>337</v>
      </c>
      <c r="K3387" s="365">
        <v>9.93</v>
      </c>
      <c r="L3387" s="475" t="s">
        <v>141</v>
      </c>
      <c r="M3387" s="473"/>
    </row>
    <row r="3388" spans="1:13" ht="13.5">
      <c r="A3388" s="475" t="s">
        <v>5516</v>
      </c>
      <c r="B3388" s="475" t="s">
        <v>5517</v>
      </c>
      <c r="C3388" s="475" t="s">
        <v>5458</v>
      </c>
      <c r="D3388" s="475" t="s">
        <v>5520</v>
      </c>
      <c r="E3388" s="476" t="s">
        <v>34</v>
      </c>
      <c r="F3388" s="475" t="s">
        <v>34</v>
      </c>
      <c r="G3388" s="364">
        <v>89426</v>
      </c>
      <c r="H3388" s="475" t="s">
        <v>2872</v>
      </c>
      <c r="I3388" s="475" t="s">
        <v>171</v>
      </c>
      <c r="J3388" s="475" t="s">
        <v>337</v>
      </c>
      <c r="K3388" s="365">
        <v>5.39</v>
      </c>
      <c r="L3388" s="475" t="s">
        <v>141</v>
      </c>
      <c r="M3388" s="473"/>
    </row>
    <row r="3389" spans="1:13" ht="13.5">
      <c r="A3389" s="475" t="s">
        <v>5516</v>
      </c>
      <c r="B3389" s="475" t="s">
        <v>5517</v>
      </c>
      <c r="C3389" s="475" t="s">
        <v>5458</v>
      </c>
      <c r="D3389" s="475" t="s">
        <v>5520</v>
      </c>
      <c r="E3389" s="476" t="s">
        <v>34</v>
      </c>
      <c r="F3389" s="475" t="s">
        <v>34</v>
      </c>
      <c r="G3389" s="364">
        <v>89427</v>
      </c>
      <c r="H3389" s="475" t="s">
        <v>2873</v>
      </c>
      <c r="I3389" s="475" t="s">
        <v>171</v>
      </c>
      <c r="J3389" s="475" t="s">
        <v>337</v>
      </c>
      <c r="K3389" s="365">
        <v>7.53</v>
      </c>
      <c r="L3389" s="475" t="s">
        <v>141</v>
      </c>
      <c r="M3389" s="473"/>
    </row>
    <row r="3390" spans="1:13" ht="13.5">
      <c r="A3390" s="475" t="s">
        <v>5516</v>
      </c>
      <c r="B3390" s="475" t="s">
        <v>5517</v>
      </c>
      <c r="C3390" s="475" t="s">
        <v>5458</v>
      </c>
      <c r="D3390" s="475" t="s">
        <v>5520</v>
      </c>
      <c r="E3390" s="476" t="s">
        <v>34</v>
      </c>
      <c r="F3390" s="475" t="s">
        <v>34</v>
      </c>
      <c r="G3390" s="364">
        <v>89428</v>
      </c>
      <c r="H3390" s="475" t="s">
        <v>2874</v>
      </c>
      <c r="I3390" s="475" t="s">
        <v>171</v>
      </c>
      <c r="J3390" s="475" t="s">
        <v>337</v>
      </c>
      <c r="K3390" s="365">
        <v>9.0299999999999994</v>
      </c>
      <c r="L3390" s="475" t="s">
        <v>141</v>
      </c>
      <c r="M3390" s="473"/>
    </row>
    <row r="3391" spans="1:13" ht="13.5">
      <c r="A3391" s="475" t="s">
        <v>5516</v>
      </c>
      <c r="B3391" s="475" t="s">
        <v>5517</v>
      </c>
      <c r="C3391" s="475" t="s">
        <v>5458</v>
      </c>
      <c r="D3391" s="475" t="s">
        <v>5520</v>
      </c>
      <c r="E3391" s="476" t="s">
        <v>34</v>
      </c>
      <c r="F3391" s="475" t="s">
        <v>34</v>
      </c>
      <c r="G3391" s="364">
        <v>89429</v>
      </c>
      <c r="H3391" s="475" t="s">
        <v>2875</v>
      </c>
      <c r="I3391" s="475" t="s">
        <v>171</v>
      </c>
      <c r="J3391" s="475" t="s">
        <v>337</v>
      </c>
      <c r="K3391" s="365">
        <v>3.45</v>
      </c>
      <c r="L3391" s="475" t="s">
        <v>141</v>
      </c>
      <c r="M3391" s="473"/>
    </row>
    <row r="3392" spans="1:13" ht="13.5">
      <c r="A3392" s="475" t="s">
        <v>5516</v>
      </c>
      <c r="B3392" s="475" t="s">
        <v>5517</v>
      </c>
      <c r="C3392" s="475" t="s">
        <v>5458</v>
      </c>
      <c r="D3392" s="475" t="s">
        <v>5520</v>
      </c>
      <c r="E3392" s="476" t="s">
        <v>34</v>
      </c>
      <c r="F3392" s="475" t="s">
        <v>34</v>
      </c>
      <c r="G3392" s="364">
        <v>89430</v>
      </c>
      <c r="H3392" s="475" t="s">
        <v>2876</v>
      </c>
      <c r="I3392" s="475" t="s">
        <v>171</v>
      </c>
      <c r="J3392" s="475" t="s">
        <v>337</v>
      </c>
      <c r="K3392" s="365">
        <v>7.63</v>
      </c>
      <c r="L3392" s="475" t="s">
        <v>141</v>
      </c>
      <c r="M3392" s="473"/>
    </row>
    <row r="3393" spans="1:13" ht="13.5">
      <c r="A3393" s="475" t="s">
        <v>5516</v>
      </c>
      <c r="B3393" s="475" t="s">
        <v>5517</v>
      </c>
      <c r="C3393" s="475" t="s">
        <v>5458</v>
      </c>
      <c r="D3393" s="475" t="s">
        <v>5520</v>
      </c>
      <c r="E3393" s="476" t="s">
        <v>34</v>
      </c>
      <c r="F3393" s="475" t="s">
        <v>34</v>
      </c>
      <c r="G3393" s="364">
        <v>89431</v>
      </c>
      <c r="H3393" s="475" t="s">
        <v>2877</v>
      </c>
      <c r="I3393" s="475" t="s">
        <v>171</v>
      </c>
      <c r="J3393" s="475" t="s">
        <v>337</v>
      </c>
      <c r="K3393" s="365">
        <v>4.8</v>
      </c>
      <c r="L3393" s="475" t="s">
        <v>141</v>
      </c>
      <c r="M3393" s="473"/>
    </row>
    <row r="3394" spans="1:13" ht="13.5">
      <c r="A3394" s="475" t="s">
        <v>5516</v>
      </c>
      <c r="B3394" s="475" t="s">
        <v>5517</v>
      </c>
      <c r="C3394" s="475" t="s">
        <v>5458</v>
      </c>
      <c r="D3394" s="475" t="s">
        <v>5520</v>
      </c>
      <c r="E3394" s="476" t="s">
        <v>34</v>
      </c>
      <c r="F3394" s="475" t="s">
        <v>34</v>
      </c>
      <c r="G3394" s="364">
        <v>89432</v>
      </c>
      <c r="H3394" s="475" t="s">
        <v>2878</v>
      </c>
      <c r="I3394" s="475" t="s">
        <v>171</v>
      </c>
      <c r="J3394" s="475" t="s">
        <v>337</v>
      </c>
      <c r="K3394" s="365">
        <v>20.440000000000001</v>
      </c>
      <c r="L3394" s="475" t="s">
        <v>141</v>
      </c>
      <c r="M3394" s="473"/>
    </row>
    <row r="3395" spans="1:13" ht="13.5">
      <c r="A3395" s="475" t="s">
        <v>5516</v>
      </c>
      <c r="B3395" s="475" t="s">
        <v>5517</v>
      </c>
      <c r="C3395" s="475" t="s">
        <v>5458</v>
      </c>
      <c r="D3395" s="475" t="s">
        <v>5520</v>
      </c>
      <c r="E3395" s="476" t="s">
        <v>34</v>
      </c>
      <c r="F3395" s="475" t="s">
        <v>34</v>
      </c>
      <c r="G3395" s="364">
        <v>89433</v>
      </c>
      <c r="H3395" s="475" t="s">
        <v>2879</v>
      </c>
      <c r="I3395" s="475" t="s">
        <v>171</v>
      </c>
      <c r="J3395" s="475" t="s">
        <v>337</v>
      </c>
      <c r="K3395" s="365">
        <v>6.57</v>
      </c>
      <c r="L3395" s="475" t="s">
        <v>141</v>
      </c>
      <c r="M3395" s="473"/>
    </row>
    <row r="3396" spans="1:13" ht="13.5">
      <c r="A3396" s="475" t="s">
        <v>5516</v>
      </c>
      <c r="B3396" s="475" t="s">
        <v>5517</v>
      </c>
      <c r="C3396" s="475" t="s">
        <v>5458</v>
      </c>
      <c r="D3396" s="475" t="s">
        <v>5520</v>
      </c>
      <c r="E3396" s="476" t="s">
        <v>34</v>
      </c>
      <c r="F3396" s="475" t="s">
        <v>34</v>
      </c>
      <c r="G3396" s="364">
        <v>89434</v>
      </c>
      <c r="H3396" s="475" t="s">
        <v>2880</v>
      </c>
      <c r="I3396" s="475" t="s">
        <v>171</v>
      </c>
      <c r="J3396" s="475" t="s">
        <v>337</v>
      </c>
      <c r="K3396" s="365">
        <v>7.18</v>
      </c>
      <c r="L3396" s="475" t="s">
        <v>141</v>
      </c>
      <c r="M3396" s="473"/>
    </row>
    <row r="3397" spans="1:13" ht="13.5">
      <c r="A3397" s="475" t="s">
        <v>5516</v>
      </c>
      <c r="B3397" s="475" t="s">
        <v>5517</v>
      </c>
      <c r="C3397" s="475" t="s">
        <v>5458</v>
      </c>
      <c r="D3397" s="475" t="s">
        <v>5520</v>
      </c>
      <c r="E3397" s="476" t="s">
        <v>34</v>
      </c>
      <c r="F3397" s="475" t="s">
        <v>34</v>
      </c>
      <c r="G3397" s="364">
        <v>89435</v>
      </c>
      <c r="H3397" s="475" t="s">
        <v>2881</v>
      </c>
      <c r="I3397" s="475" t="s">
        <v>171</v>
      </c>
      <c r="J3397" s="475" t="s">
        <v>337</v>
      </c>
      <c r="K3397" s="365">
        <v>13.62</v>
      </c>
      <c r="L3397" s="475" t="s">
        <v>141</v>
      </c>
      <c r="M3397" s="473"/>
    </row>
    <row r="3398" spans="1:13" ht="13.5">
      <c r="A3398" s="475" t="s">
        <v>5516</v>
      </c>
      <c r="B3398" s="475" t="s">
        <v>5517</v>
      </c>
      <c r="C3398" s="475" t="s">
        <v>5458</v>
      </c>
      <c r="D3398" s="475" t="s">
        <v>5520</v>
      </c>
      <c r="E3398" s="476" t="s">
        <v>34</v>
      </c>
      <c r="F3398" s="475" t="s">
        <v>34</v>
      </c>
      <c r="G3398" s="364">
        <v>89436</v>
      </c>
      <c r="H3398" s="475" t="s">
        <v>2882</v>
      </c>
      <c r="I3398" s="475" t="s">
        <v>171</v>
      </c>
      <c r="J3398" s="475" t="s">
        <v>337</v>
      </c>
      <c r="K3398" s="365">
        <v>4.7300000000000004</v>
      </c>
      <c r="L3398" s="475" t="s">
        <v>141</v>
      </c>
      <c r="M3398" s="473"/>
    </row>
    <row r="3399" spans="1:13" ht="13.5">
      <c r="A3399" s="475" t="s">
        <v>5516</v>
      </c>
      <c r="B3399" s="475" t="s">
        <v>5517</v>
      </c>
      <c r="C3399" s="475" t="s">
        <v>5458</v>
      </c>
      <c r="D3399" s="475" t="s">
        <v>5520</v>
      </c>
      <c r="E3399" s="476" t="s">
        <v>34</v>
      </c>
      <c r="F3399" s="475" t="s">
        <v>34</v>
      </c>
      <c r="G3399" s="364">
        <v>89437</v>
      </c>
      <c r="H3399" s="475" t="s">
        <v>2883</v>
      </c>
      <c r="I3399" s="475" t="s">
        <v>171</v>
      </c>
      <c r="J3399" s="475" t="s">
        <v>337</v>
      </c>
      <c r="K3399" s="365">
        <v>16.309999999999999</v>
      </c>
      <c r="L3399" s="475" t="s">
        <v>141</v>
      </c>
      <c r="M3399" s="473"/>
    </row>
    <row r="3400" spans="1:13" ht="13.5">
      <c r="A3400" s="475" t="s">
        <v>5516</v>
      </c>
      <c r="B3400" s="475" t="s">
        <v>5517</v>
      </c>
      <c r="C3400" s="475" t="s">
        <v>5458</v>
      </c>
      <c r="D3400" s="475" t="s">
        <v>5520</v>
      </c>
      <c r="E3400" s="476" t="s">
        <v>34</v>
      </c>
      <c r="F3400" s="475" t="s">
        <v>34</v>
      </c>
      <c r="G3400" s="364">
        <v>89438</v>
      </c>
      <c r="H3400" s="475" t="s">
        <v>2884</v>
      </c>
      <c r="I3400" s="475" t="s">
        <v>171</v>
      </c>
      <c r="J3400" s="475" t="s">
        <v>337</v>
      </c>
      <c r="K3400" s="365">
        <v>5.0999999999999996</v>
      </c>
      <c r="L3400" s="475" t="s">
        <v>141</v>
      </c>
      <c r="M3400" s="473"/>
    </row>
    <row r="3401" spans="1:13" ht="13.5">
      <c r="A3401" s="475" t="s">
        <v>5516</v>
      </c>
      <c r="B3401" s="475" t="s">
        <v>5517</v>
      </c>
      <c r="C3401" s="475" t="s">
        <v>5458</v>
      </c>
      <c r="D3401" s="475" t="s">
        <v>5520</v>
      </c>
      <c r="E3401" s="476" t="s">
        <v>34</v>
      </c>
      <c r="F3401" s="475" t="s">
        <v>34</v>
      </c>
      <c r="G3401" s="364">
        <v>89439</v>
      </c>
      <c r="H3401" s="475" t="s">
        <v>2885</v>
      </c>
      <c r="I3401" s="475" t="s">
        <v>171</v>
      </c>
      <c r="J3401" s="475" t="s">
        <v>337</v>
      </c>
      <c r="K3401" s="365">
        <v>6.51</v>
      </c>
      <c r="L3401" s="475" t="s">
        <v>141</v>
      </c>
      <c r="M3401" s="473"/>
    </row>
    <row r="3402" spans="1:13" ht="13.5">
      <c r="A3402" s="475" t="s">
        <v>5516</v>
      </c>
      <c r="B3402" s="475" t="s">
        <v>5517</v>
      </c>
      <c r="C3402" s="475" t="s">
        <v>5458</v>
      </c>
      <c r="D3402" s="475" t="s">
        <v>5520</v>
      </c>
      <c r="E3402" s="476" t="s">
        <v>34</v>
      </c>
      <c r="F3402" s="475" t="s">
        <v>34</v>
      </c>
      <c r="G3402" s="364">
        <v>89440</v>
      </c>
      <c r="H3402" s="475" t="s">
        <v>2886</v>
      </c>
      <c r="I3402" s="475" t="s">
        <v>171</v>
      </c>
      <c r="J3402" s="475" t="s">
        <v>337</v>
      </c>
      <c r="K3402" s="365">
        <v>6.16</v>
      </c>
      <c r="L3402" s="475" t="s">
        <v>141</v>
      </c>
      <c r="M3402" s="473"/>
    </row>
    <row r="3403" spans="1:13" ht="13.5">
      <c r="A3403" s="475" t="s">
        <v>5516</v>
      </c>
      <c r="B3403" s="475" t="s">
        <v>5517</v>
      </c>
      <c r="C3403" s="475" t="s">
        <v>5458</v>
      </c>
      <c r="D3403" s="475" t="s">
        <v>5520</v>
      </c>
      <c r="E3403" s="476" t="s">
        <v>34</v>
      </c>
      <c r="F3403" s="475" t="s">
        <v>34</v>
      </c>
      <c r="G3403" s="364">
        <v>89441</v>
      </c>
      <c r="H3403" s="475" t="s">
        <v>2887</v>
      </c>
      <c r="I3403" s="475" t="s">
        <v>171</v>
      </c>
      <c r="J3403" s="475" t="s">
        <v>337</v>
      </c>
      <c r="K3403" s="365">
        <v>11.41</v>
      </c>
      <c r="L3403" s="475" t="s">
        <v>141</v>
      </c>
      <c r="M3403" s="473"/>
    </row>
    <row r="3404" spans="1:13" ht="13.5">
      <c r="A3404" s="475" t="s">
        <v>5516</v>
      </c>
      <c r="B3404" s="475" t="s">
        <v>5517</v>
      </c>
      <c r="C3404" s="475" t="s">
        <v>5458</v>
      </c>
      <c r="D3404" s="475" t="s">
        <v>5520</v>
      </c>
      <c r="E3404" s="476" t="s">
        <v>34</v>
      </c>
      <c r="F3404" s="475" t="s">
        <v>34</v>
      </c>
      <c r="G3404" s="364">
        <v>89442</v>
      </c>
      <c r="H3404" s="475" t="s">
        <v>2888</v>
      </c>
      <c r="I3404" s="475" t="s">
        <v>171</v>
      </c>
      <c r="J3404" s="475" t="s">
        <v>337</v>
      </c>
      <c r="K3404" s="365">
        <v>7.56</v>
      </c>
      <c r="L3404" s="475" t="s">
        <v>141</v>
      </c>
      <c r="M3404" s="473"/>
    </row>
    <row r="3405" spans="1:13" ht="13.5">
      <c r="A3405" s="475" t="s">
        <v>5516</v>
      </c>
      <c r="B3405" s="475" t="s">
        <v>5517</v>
      </c>
      <c r="C3405" s="475" t="s">
        <v>5458</v>
      </c>
      <c r="D3405" s="475" t="s">
        <v>5520</v>
      </c>
      <c r="E3405" s="476" t="s">
        <v>34</v>
      </c>
      <c r="F3405" s="475" t="s">
        <v>34</v>
      </c>
      <c r="G3405" s="364">
        <v>89443</v>
      </c>
      <c r="H3405" s="475" t="s">
        <v>2889</v>
      </c>
      <c r="I3405" s="475" t="s">
        <v>171</v>
      </c>
      <c r="J3405" s="475" t="s">
        <v>337</v>
      </c>
      <c r="K3405" s="365">
        <v>9.36</v>
      </c>
      <c r="L3405" s="475" t="s">
        <v>141</v>
      </c>
      <c r="M3405" s="473"/>
    </row>
    <row r="3406" spans="1:13" ht="13.5">
      <c r="A3406" s="475" t="s">
        <v>5516</v>
      </c>
      <c r="B3406" s="475" t="s">
        <v>5517</v>
      </c>
      <c r="C3406" s="475" t="s">
        <v>5458</v>
      </c>
      <c r="D3406" s="475" t="s">
        <v>5520</v>
      </c>
      <c r="E3406" s="476" t="s">
        <v>34</v>
      </c>
      <c r="F3406" s="475" t="s">
        <v>34</v>
      </c>
      <c r="G3406" s="364">
        <v>89444</v>
      </c>
      <c r="H3406" s="475" t="s">
        <v>2890</v>
      </c>
      <c r="I3406" s="475" t="s">
        <v>171</v>
      </c>
      <c r="J3406" s="475" t="s">
        <v>337</v>
      </c>
      <c r="K3406" s="365">
        <v>18.27</v>
      </c>
      <c r="L3406" s="475" t="s">
        <v>141</v>
      </c>
      <c r="M3406" s="473"/>
    </row>
    <row r="3407" spans="1:13" ht="13.5">
      <c r="A3407" s="475" t="s">
        <v>5516</v>
      </c>
      <c r="B3407" s="475" t="s">
        <v>5517</v>
      </c>
      <c r="C3407" s="475" t="s">
        <v>5458</v>
      </c>
      <c r="D3407" s="475" t="s">
        <v>5520</v>
      </c>
      <c r="E3407" s="476" t="s">
        <v>34</v>
      </c>
      <c r="F3407" s="475" t="s">
        <v>34</v>
      </c>
      <c r="G3407" s="364">
        <v>89445</v>
      </c>
      <c r="H3407" s="475" t="s">
        <v>2891</v>
      </c>
      <c r="I3407" s="475" t="s">
        <v>171</v>
      </c>
      <c r="J3407" s="475" t="s">
        <v>337</v>
      </c>
      <c r="K3407" s="365">
        <v>10.75</v>
      </c>
      <c r="L3407" s="475" t="s">
        <v>141</v>
      </c>
      <c r="M3407" s="473"/>
    </row>
    <row r="3408" spans="1:13" ht="13.5">
      <c r="A3408" s="475" t="s">
        <v>5516</v>
      </c>
      <c r="B3408" s="475" t="s">
        <v>5517</v>
      </c>
      <c r="C3408" s="475" t="s">
        <v>5458</v>
      </c>
      <c r="D3408" s="475" t="s">
        <v>5520</v>
      </c>
      <c r="E3408" s="476" t="s">
        <v>34</v>
      </c>
      <c r="F3408" s="475" t="s">
        <v>34</v>
      </c>
      <c r="G3408" s="364">
        <v>89481</v>
      </c>
      <c r="H3408" s="475" t="s">
        <v>2892</v>
      </c>
      <c r="I3408" s="475" t="s">
        <v>171</v>
      </c>
      <c r="J3408" s="475" t="s">
        <v>337</v>
      </c>
      <c r="K3408" s="365">
        <v>3.32</v>
      </c>
      <c r="L3408" s="475" t="s">
        <v>141</v>
      </c>
      <c r="M3408" s="473"/>
    </row>
    <row r="3409" spans="1:13" ht="13.5">
      <c r="A3409" s="475" t="s">
        <v>5516</v>
      </c>
      <c r="B3409" s="475" t="s">
        <v>5517</v>
      </c>
      <c r="C3409" s="475" t="s">
        <v>5458</v>
      </c>
      <c r="D3409" s="475" t="s">
        <v>5520</v>
      </c>
      <c r="E3409" s="476" t="s">
        <v>34</v>
      </c>
      <c r="F3409" s="475" t="s">
        <v>34</v>
      </c>
      <c r="G3409" s="364">
        <v>89485</v>
      </c>
      <c r="H3409" s="475" t="s">
        <v>2893</v>
      </c>
      <c r="I3409" s="475" t="s">
        <v>171</v>
      </c>
      <c r="J3409" s="475" t="s">
        <v>337</v>
      </c>
      <c r="K3409" s="365">
        <v>3.85</v>
      </c>
      <c r="L3409" s="475" t="s">
        <v>141</v>
      </c>
      <c r="M3409" s="473"/>
    </row>
    <row r="3410" spans="1:13" ht="13.5">
      <c r="A3410" s="475" t="s">
        <v>5516</v>
      </c>
      <c r="B3410" s="475" t="s">
        <v>5517</v>
      </c>
      <c r="C3410" s="475" t="s">
        <v>5458</v>
      </c>
      <c r="D3410" s="475" t="s">
        <v>5520</v>
      </c>
      <c r="E3410" s="476" t="s">
        <v>34</v>
      </c>
      <c r="F3410" s="475" t="s">
        <v>34</v>
      </c>
      <c r="G3410" s="364">
        <v>89489</v>
      </c>
      <c r="H3410" s="475" t="s">
        <v>2894</v>
      </c>
      <c r="I3410" s="475" t="s">
        <v>171</v>
      </c>
      <c r="J3410" s="475" t="s">
        <v>337</v>
      </c>
      <c r="K3410" s="365">
        <v>4.9400000000000004</v>
      </c>
      <c r="L3410" s="475" t="s">
        <v>141</v>
      </c>
      <c r="M3410" s="473"/>
    </row>
    <row r="3411" spans="1:13" ht="13.5">
      <c r="A3411" s="475" t="s">
        <v>5516</v>
      </c>
      <c r="B3411" s="475" t="s">
        <v>5517</v>
      </c>
      <c r="C3411" s="475" t="s">
        <v>5458</v>
      </c>
      <c r="D3411" s="475" t="s">
        <v>5520</v>
      </c>
      <c r="E3411" s="476" t="s">
        <v>34</v>
      </c>
      <c r="F3411" s="475" t="s">
        <v>34</v>
      </c>
      <c r="G3411" s="364">
        <v>89490</v>
      </c>
      <c r="H3411" s="475" t="s">
        <v>2895</v>
      </c>
      <c r="I3411" s="475" t="s">
        <v>171</v>
      </c>
      <c r="J3411" s="475" t="s">
        <v>337</v>
      </c>
      <c r="K3411" s="365">
        <v>4.45</v>
      </c>
      <c r="L3411" s="475" t="s">
        <v>141</v>
      </c>
      <c r="M3411" s="473"/>
    </row>
    <row r="3412" spans="1:13" ht="13.5">
      <c r="A3412" s="475" t="s">
        <v>5516</v>
      </c>
      <c r="B3412" s="475" t="s">
        <v>5517</v>
      </c>
      <c r="C3412" s="475" t="s">
        <v>5458</v>
      </c>
      <c r="D3412" s="475" t="s">
        <v>5520</v>
      </c>
      <c r="E3412" s="476" t="s">
        <v>34</v>
      </c>
      <c r="F3412" s="475" t="s">
        <v>34</v>
      </c>
      <c r="G3412" s="364">
        <v>89492</v>
      </c>
      <c r="H3412" s="475" t="s">
        <v>2896</v>
      </c>
      <c r="I3412" s="475" t="s">
        <v>171</v>
      </c>
      <c r="J3412" s="475" t="s">
        <v>337</v>
      </c>
      <c r="K3412" s="365">
        <v>5.0199999999999996</v>
      </c>
      <c r="L3412" s="475" t="s">
        <v>141</v>
      </c>
      <c r="M3412" s="473"/>
    </row>
    <row r="3413" spans="1:13" ht="13.5">
      <c r="A3413" s="475" t="s">
        <v>5516</v>
      </c>
      <c r="B3413" s="475" t="s">
        <v>5517</v>
      </c>
      <c r="C3413" s="475" t="s">
        <v>5458</v>
      </c>
      <c r="D3413" s="475" t="s">
        <v>5520</v>
      </c>
      <c r="E3413" s="476" t="s">
        <v>34</v>
      </c>
      <c r="F3413" s="475" t="s">
        <v>34</v>
      </c>
      <c r="G3413" s="364">
        <v>89493</v>
      </c>
      <c r="H3413" s="475" t="s">
        <v>2897</v>
      </c>
      <c r="I3413" s="475" t="s">
        <v>171</v>
      </c>
      <c r="J3413" s="475" t="s">
        <v>337</v>
      </c>
      <c r="K3413" s="365">
        <v>6.51</v>
      </c>
      <c r="L3413" s="475" t="s">
        <v>141</v>
      </c>
      <c r="M3413" s="473"/>
    </row>
    <row r="3414" spans="1:13" ht="13.5">
      <c r="A3414" s="475" t="s">
        <v>5516</v>
      </c>
      <c r="B3414" s="475" t="s">
        <v>5517</v>
      </c>
      <c r="C3414" s="475" t="s">
        <v>5458</v>
      </c>
      <c r="D3414" s="475" t="s">
        <v>5520</v>
      </c>
      <c r="E3414" s="476" t="s">
        <v>34</v>
      </c>
      <c r="F3414" s="475" t="s">
        <v>34</v>
      </c>
      <c r="G3414" s="364">
        <v>89494</v>
      </c>
      <c r="H3414" s="475" t="s">
        <v>2898</v>
      </c>
      <c r="I3414" s="475" t="s">
        <v>171</v>
      </c>
      <c r="J3414" s="475" t="s">
        <v>337</v>
      </c>
      <c r="K3414" s="365">
        <v>8.35</v>
      </c>
      <c r="L3414" s="475" t="s">
        <v>141</v>
      </c>
      <c r="M3414" s="473"/>
    </row>
    <row r="3415" spans="1:13" ht="13.5">
      <c r="A3415" s="475" t="s">
        <v>5516</v>
      </c>
      <c r="B3415" s="475" t="s">
        <v>5517</v>
      </c>
      <c r="C3415" s="475" t="s">
        <v>5458</v>
      </c>
      <c r="D3415" s="475" t="s">
        <v>5520</v>
      </c>
      <c r="E3415" s="476" t="s">
        <v>34</v>
      </c>
      <c r="F3415" s="475" t="s">
        <v>34</v>
      </c>
      <c r="G3415" s="364">
        <v>89496</v>
      </c>
      <c r="H3415" s="475" t="s">
        <v>2899</v>
      </c>
      <c r="I3415" s="475" t="s">
        <v>171</v>
      </c>
      <c r="J3415" s="475" t="s">
        <v>337</v>
      </c>
      <c r="K3415" s="365">
        <v>6.19</v>
      </c>
      <c r="L3415" s="475" t="s">
        <v>141</v>
      </c>
      <c r="M3415" s="473"/>
    </row>
    <row r="3416" spans="1:13" ht="13.5">
      <c r="A3416" s="475" t="s">
        <v>5516</v>
      </c>
      <c r="B3416" s="475" t="s">
        <v>5517</v>
      </c>
      <c r="C3416" s="475" t="s">
        <v>5458</v>
      </c>
      <c r="D3416" s="475" t="s">
        <v>5520</v>
      </c>
      <c r="E3416" s="476" t="s">
        <v>34</v>
      </c>
      <c r="F3416" s="475" t="s">
        <v>34</v>
      </c>
      <c r="G3416" s="364">
        <v>89497</v>
      </c>
      <c r="H3416" s="475" t="s">
        <v>2900</v>
      </c>
      <c r="I3416" s="475" t="s">
        <v>171</v>
      </c>
      <c r="J3416" s="475" t="s">
        <v>337</v>
      </c>
      <c r="K3416" s="365">
        <v>7.95</v>
      </c>
      <c r="L3416" s="475" t="s">
        <v>141</v>
      </c>
      <c r="M3416" s="473"/>
    </row>
    <row r="3417" spans="1:13" ht="13.5">
      <c r="A3417" s="475" t="s">
        <v>5516</v>
      </c>
      <c r="B3417" s="475" t="s">
        <v>5517</v>
      </c>
      <c r="C3417" s="475" t="s">
        <v>5458</v>
      </c>
      <c r="D3417" s="475" t="s">
        <v>5520</v>
      </c>
      <c r="E3417" s="476" t="s">
        <v>34</v>
      </c>
      <c r="F3417" s="475" t="s">
        <v>34</v>
      </c>
      <c r="G3417" s="364">
        <v>89498</v>
      </c>
      <c r="H3417" s="475" t="s">
        <v>2901</v>
      </c>
      <c r="I3417" s="475" t="s">
        <v>171</v>
      </c>
      <c r="J3417" s="475" t="s">
        <v>337</v>
      </c>
      <c r="K3417" s="365">
        <v>8.6300000000000008</v>
      </c>
      <c r="L3417" s="475" t="s">
        <v>141</v>
      </c>
      <c r="M3417" s="473"/>
    </row>
    <row r="3418" spans="1:13" ht="13.5">
      <c r="A3418" s="475" t="s">
        <v>5516</v>
      </c>
      <c r="B3418" s="475" t="s">
        <v>5517</v>
      </c>
      <c r="C3418" s="475" t="s">
        <v>5458</v>
      </c>
      <c r="D3418" s="475" t="s">
        <v>5520</v>
      </c>
      <c r="E3418" s="476" t="s">
        <v>34</v>
      </c>
      <c r="F3418" s="475" t="s">
        <v>34</v>
      </c>
      <c r="G3418" s="364">
        <v>89499</v>
      </c>
      <c r="H3418" s="475" t="s">
        <v>2902</v>
      </c>
      <c r="I3418" s="475" t="s">
        <v>171</v>
      </c>
      <c r="J3418" s="475" t="s">
        <v>337</v>
      </c>
      <c r="K3418" s="365">
        <v>12.97</v>
      </c>
      <c r="L3418" s="475" t="s">
        <v>141</v>
      </c>
      <c r="M3418" s="473"/>
    </row>
    <row r="3419" spans="1:13" ht="13.5">
      <c r="A3419" s="475" t="s">
        <v>5516</v>
      </c>
      <c r="B3419" s="475" t="s">
        <v>5517</v>
      </c>
      <c r="C3419" s="475" t="s">
        <v>5458</v>
      </c>
      <c r="D3419" s="475" t="s">
        <v>5520</v>
      </c>
      <c r="E3419" s="476" t="s">
        <v>34</v>
      </c>
      <c r="F3419" s="475" t="s">
        <v>34</v>
      </c>
      <c r="G3419" s="364">
        <v>89500</v>
      </c>
      <c r="H3419" s="475" t="s">
        <v>2903</v>
      </c>
      <c r="I3419" s="475" t="s">
        <v>171</v>
      </c>
      <c r="J3419" s="475" t="s">
        <v>337</v>
      </c>
      <c r="K3419" s="365">
        <v>8.76</v>
      </c>
      <c r="L3419" s="475" t="s">
        <v>141</v>
      </c>
      <c r="M3419" s="473"/>
    </row>
    <row r="3420" spans="1:13" ht="13.5">
      <c r="A3420" s="475" t="s">
        <v>5516</v>
      </c>
      <c r="B3420" s="475" t="s">
        <v>5517</v>
      </c>
      <c r="C3420" s="475" t="s">
        <v>5458</v>
      </c>
      <c r="D3420" s="475" t="s">
        <v>5520</v>
      </c>
      <c r="E3420" s="476" t="s">
        <v>34</v>
      </c>
      <c r="F3420" s="475" t="s">
        <v>34</v>
      </c>
      <c r="G3420" s="364">
        <v>89501</v>
      </c>
      <c r="H3420" s="475" t="s">
        <v>2904</v>
      </c>
      <c r="I3420" s="475" t="s">
        <v>171</v>
      </c>
      <c r="J3420" s="475" t="s">
        <v>337</v>
      </c>
      <c r="K3420" s="365">
        <v>9.6300000000000008</v>
      </c>
      <c r="L3420" s="475" t="s">
        <v>141</v>
      </c>
      <c r="M3420" s="473"/>
    </row>
    <row r="3421" spans="1:13" ht="13.5">
      <c r="A3421" s="475" t="s">
        <v>5516</v>
      </c>
      <c r="B3421" s="475" t="s">
        <v>5517</v>
      </c>
      <c r="C3421" s="475" t="s">
        <v>5458</v>
      </c>
      <c r="D3421" s="475" t="s">
        <v>5520</v>
      </c>
      <c r="E3421" s="476" t="s">
        <v>34</v>
      </c>
      <c r="F3421" s="475" t="s">
        <v>34</v>
      </c>
      <c r="G3421" s="364">
        <v>89502</v>
      </c>
      <c r="H3421" s="475" t="s">
        <v>2905</v>
      </c>
      <c r="I3421" s="475" t="s">
        <v>171</v>
      </c>
      <c r="J3421" s="475" t="s">
        <v>337</v>
      </c>
      <c r="K3421" s="365">
        <v>10.85</v>
      </c>
      <c r="L3421" s="475" t="s">
        <v>141</v>
      </c>
      <c r="M3421" s="473"/>
    </row>
    <row r="3422" spans="1:13" ht="13.5">
      <c r="A3422" s="475" t="s">
        <v>5516</v>
      </c>
      <c r="B3422" s="475" t="s">
        <v>5517</v>
      </c>
      <c r="C3422" s="475" t="s">
        <v>5458</v>
      </c>
      <c r="D3422" s="475" t="s">
        <v>5520</v>
      </c>
      <c r="E3422" s="476" t="s">
        <v>34</v>
      </c>
      <c r="F3422" s="475" t="s">
        <v>34</v>
      </c>
      <c r="G3422" s="364">
        <v>89503</v>
      </c>
      <c r="H3422" s="475" t="s">
        <v>2906</v>
      </c>
      <c r="I3422" s="475" t="s">
        <v>171</v>
      </c>
      <c r="J3422" s="475" t="s">
        <v>337</v>
      </c>
      <c r="K3422" s="365">
        <v>16.239999999999998</v>
      </c>
      <c r="L3422" s="475" t="s">
        <v>141</v>
      </c>
      <c r="M3422" s="473"/>
    </row>
    <row r="3423" spans="1:13" ht="13.5">
      <c r="A3423" s="475" t="s">
        <v>5516</v>
      </c>
      <c r="B3423" s="475" t="s">
        <v>5517</v>
      </c>
      <c r="C3423" s="475" t="s">
        <v>5458</v>
      </c>
      <c r="D3423" s="475" t="s">
        <v>5520</v>
      </c>
      <c r="E3423" s="476" t="s">
        <v>34</v>
      </c>
      <c r="F3423" s="475" t="s">
        <v>34</v>
      </c>
      <c r="G3423" s="364">
        <v>89504</v>
      </c>
      <c r="H3423" s="475" t="s">
        <v>2907</v>
      </c>
      <c r="I3423" s="475" t="s">
        <v>171</v>
      </c>
      <c r="J3423" s="475" t="s">
        <v>337</v>
      </c>
      <c r="K3423" s="365">
        <v>14.29</v>
      </c>
      <c r="L3423" s="475" t="s">
        <v>141</v>
      </c>
      <c r="M3423" s="473"/>
    </row>
    <row r="3424" spans="1:13" ht="13.5">
      <c r="A3424" s="475" t="s">
        <v>5516</v>
      </c>
      <c r="B3424" s="475" t="s">
        <v>5517</v>
      </c>
      <c r="C3424" s="475" t="s">
        <v>5458</v>
      </c>
      <c r="D3424" s="475" t="s">
        <v>5520</v>
      </c>
      <c r="E3424" s="476" t="s">
        <v>34</v>
      </c>
      <c r="F3424" s="475" t="s">
        <v>34</v>
      </c>
      <c r="G3424" s="364">
        <v>89505</v>
      </c>
      <c r="H3424" s="475" t="s">
        <v>2908</v>
      </c>
      <c r="I3424" s="475" t="s">
        <v>171</v>
      </c>
      <c r="J3424" s="475" t="s">
        <v>337</v>
      </c>
      <c r="K3424" s="365">
        <v>24.05</v>
      </c>
      <c r="L3424" s="475" t="s">
        <v>141</v>
      </c>
      <c r="M3424" s="473"/>
    </row>
    <row r="3425" spans="1:13" ht="13.5">
      <c r="A3425" s="475" t="s">
        <v>5516</v>
      </c>
      <c r="B3425" s="475" t="s">
        <v>5517</v>
      </c>
      <c r="C3425" s="475" t="s">
        <v>5458</v>
      </c>
      <c r="D3425" s="475" t="s">
        <v>5520</v>
      </c>
      <c r="E3425" s="476" t="s">
        <v>34</v>
      </c>
      <c r="F3425" s="475" t="s">
        <v>34</v>
      </c>
      <c r="G3425" s="364">
        <v>89506</v>
      </c>
      <c r="H3425" s="475" t="s">
        <v>2909</v>
      </c>
      <c r="I3425" s="475" t="s">
        <v>171</v>
      </c>
      <c r="J3425" s="475" t="s">
        <v>337</v>
      </c>
      <c r="K3425" s="365">
        <v>26.99</v>
      </c>
      <c r="L3425" s="475" t="s">
        <v>141</v>
      </c>
      <c r="M3425" s="473"/>
    </row>
    <row r="3426" spans="1:13" ht="13.5">
      <c r="A3426" s="475" t="s">
        <v>5516</v>
      </c>
      <c r="B3426" s="475" t="s">
        <v>5517</v>
      </c>
      <c r="C3426" s="475" t="s">
        <v>5458</v>
      </c>
      <c r="D3426" s="475" t="s">
        <v>5520</v>
      </c>
      <c r="E3426" s="476" t="s">
        <v>34</v>
      </c>
      <c r="F3426" s="475" t="s">
        <v>34</v>
      </c>
      <c r="G3426" s="364">
        <v>89507</v>
      </c>
      <c r="H3426" s="475" t="s">
        <v>2910</v>
      </c>
      <c r="I3426" s="475" t="s">
        <v>171</v>
      </c>
      <c r="J3426" s="475" t="s">
        <v>337</v>
      </c>
      <c r="K3426" s="365">
        <v>33.1</v>
      </c>
      <c r="L3426" s="475" t="s">
        <v>141</v>
      </c>
      <c r="M3426" s="473"/>
    </row>
    <row r="3427" spans="1:13" ht="13.5">
      <c r="A3427" s="475" t="s">
        <v>5516</v>
      </c>
      <c r="B3427" s="475" t="s">
        <v>5517</v>
      </c>
      <c r="C3427" s="475" t="s">
        <v>5458</v>
      </c>
      <c r="D3427" s="475" t="s">
        <v>5520</v>
      </c>
      <c r="E3427" s="476" t="s">
        <v>34</v>
      </c>
      <c r="F3427" s="475" t="s">
        <v>34</v>
      </c>
      <c r="G3427" s="364">
        <v>89510</v>
      </c>
      <c r="H3427" s="475" t="s">
        <v>2911</v>
      </c>
      <c r="I3427" s="475" t="s">
        <v>171</v>
      </c>
      <c r="J3427" s="475" t="s">
        <v>337</v>
      </c>
      <c r="K3427" s="365">
        <v>21.88</v>
      </c>
      <c r="L3427" s="475" t="s">
        <v>141</v>
      </c>
      <c r="M3427" s="473"/>
    </row>
    <row r="3428" spans="1:13" ht="13.5">
      <c r="A3428" s="475" t="s">
        <v>5516</v>
      </c>
      <c r="B3428" s="475" t="s">
        <v>5517</v>
      </c>
      <c r="C3428" s="475" t="s">
        <v>5458</v>
      </c>
      <c r="D3428" s="475" t="s">
        <v>5520</v>
      </c>
      <c r="E3428" s="476" t="s">
        <v>34</v>
      </c>
      <c r="F3428" s="475" t="s">
        <v>34</v>
      </c>
      <c r="G3428" s="364">
        <v>89513</v>
      </c>
      <c r="H3428" s="475" t="s">
        <v>2912</v>
      </c>
      <c r="I3428" s="475" t="s">
        <v>171</v>
      </c>
      <c r="J3428" s="475" t="s">
        <v>337</v>
      </c>
      <c r="K3428" s="365">
        <v>73.61</v>
      </c>
      <c r="L3428" s="475" t="s">
        <v>141</v>
      </c>
      <c r="M3428" s="473"/>
    </row>
    <row r="3429" spans="1:13" ht="13.5">
      <c r="A3429" s="475" t="s">
        <v>5516</v>
      </c>
      <c r="B3429" s="475" t="s">
        <v>5517</v>
      </c>
      <c r="C3429" s="475" t="s">
        <v>5458</v>
      </c>
      <c r="D3429" s="475" t="s">
        <v>5520</v>
      </c>
      <c r="E3429" s="476" t="s">
        <v>34</v>
      </c>
      <c r="F3429" s="475" t="s">
        <v>34</v>
      </c>
      <c r="G3429" s="364">
        <v>89514</v>
      </c>
      <c r="H3429" s="475" t="s">
        <v>2913</v>
      </c>
      <c r="I3429" s="475" t="s">
        <v>171</v>
      </c>
      <c r="J3429" s="475" t="s">
        <v>337</v>
      </c>
      <c r="K3429" s="365">
        <v>6.43</v>
      </c>
      <c r="L3429" s="475" t="s">
        <v>141</v>
      </c>
      <c r="M3429" s="473"/>
    </row>
    <row r="3430" spans="1:13" ht="13.5">
      <c r="A3430" s="475" t="s">
        <v>5516</v>
      </c>
      <c r="B3430" s="475" t="s">
        <v>5517</v>
      </c>
      <c r="C3430" s="475" t="s">
        <v>5458</v>
      </c>
      <c r="D3430" s="475" t="s">
        <v>5520</v>
      </c>
      <c r="E3430" s="476" t="s">
        <v>34</v>
      </c>
      <c r="F3430" s="475" t="s">
        <v>34</v>
      </c>
      <c r="G3430" s="364">
        <v>89515</v>
      </c>
      <c r="H3430" s="475" t="s">
        <v>2914</v>
      </c>
      <c r="I3430" s="475" t="s">
        <v>171</v>
      </c>
      <c r="J3430" s="475" t="s">
        <v>337</v>
      </c>
      <c r="K3430" s="365">
        <v>55.72</v>
      </c>
      <c r="L3430" s="475" t="s">
        <v>141</v>
      </c>
      <c r="M3430" s="473"/>
    </row>
    <row r="3431" spans="1:13" ht="13.5">
      <c r="A3431" s="475" t="s">
        <v>5516</v>
      </c>
      <c r="B3431" s="475" t="s">
        <v>5517</v>
      </c>
      <c r="C3431" s="475" t="s">
        <v>5458</v>
      </c>
      <c r="D3431" s="475" t="s">
        <v>5520</v>
      </c>
      <c r="E3431" s="476" t="s">
        <v>34</v>
      </c>
      <c r="F3431" s="475" t="s">
        <v>34</v>
      </c>
      <c r="G3431" s="364">
        <v>89516</v>
      </c>
      <c r="H3431" s="475" t="s">
        <v>2915</v>
      </c>
      <c r="I3431" s="475" t="s">
        <v>171</v>
      </c>
      <c r="J3431" s="475" t="s">
        <v>337</v>
      </c>
      <c r="K3431" s="365">
        <v>5.67</v>
      </c>
      <c r="L3431" s="475" t="s">
        <v>141</v>
      </c>
      <c r="M3431" s="473"/>
    </row>
    <row r="3432" spans="1:13" ht="13.5">
      <c r="A3432" s="475" t="s">
        <v>5516</v>
      </c>
      <c r="B3432" s="475" t="s">
        <v>5517</v>
      </c>
      <c r="C3432" s="475" t="s">
        <v>5458</v>
      </c>
      <c r="D3432" s="475" t="s">
        <v>5520</v>
      </c>
      <c r="E3432" s="476" t="s">
        <v>34</v>
      </c>
      <c r="F3432" s="475" t="s">
        <v>34</v>
      </c>
      <c r="G3432" s="364">
        <v>89517</v>
      </c>
      <c r="H3432" s="475" t="s">
        <v>2916</v>
      </c>
      <c r="I3432" s="475" t="s">
        <v>171</v>
      </c>
      <c r="J3432" s="475" t="s">
        <v>337</v>
      </c>
      <c r="K3432" s="365">
        <v>47.02</v>
      </c>
      <c r="L3432" s="475" t="s">
        <v>141</v>
      </c>
      <c r="M3432" s="473"/>
    </row>
    <row r="3433" spans="1:13" ht="13.5">
      <c r="A3433" s="475" t="s">
        <v>5516</v>
      </c>
      <c r="B3433" s="475" t="s">
        <v>5517</v>
      </c>
      <c r="C3433" s="475" t="s">
        <v>5458</v>
      </c>
      <c r="D3433" s="475" t="s">
        <v>5520</v>
      </c>
      <c r="E3433" s="476" t="s">
        <v>34</v>
      </c>
      <c r="F3433" s="475" t="s">
        <v>34</v>
      </c>
      <c r="G3433" s="364">
        <v>89518</v>
      </c>
      <c r="H3433" s="475" t="s">
        <v>2917</v>
      </c>
      <c r="I3433" s="475" t="s">
        <v>171</v>
      </c>
      <c r="J3433" s="475" t="s">
        <v>337</v>
      </c>
      <c r="K3433" s="365">
        <v>8.93</v>
      </c>
      <c r="L3433" s="475" t="s">
        <v>141</v>
      </c>
      <c r="M3433" s="473"/>
    </row>
    <row r="3434" spans="1:13" ht="13.5">
      <c r="A3434" s="475" t="s">
        <v>5516</v>
      </c>
      <c r="B3434" s="475" t="s">
        <v>5517</v>
      </c>
      <c r="C3434" s="475" t="s">
        <v>5458</v>
      </c>
      <c r="D3434" s="475" t="s">
        <v>5520</v>
      </c>
      <c r="E3434" s="476" t="s">
        <v>34</v>
      </c>
      <c r="F3434" s="475" t="s">
        <v>34</v>
      </c>
      <c r="G3434" s="364">
        <v>89519</v>
      </c>
      <c r="H3434" s="475" t="s">
        <v>2918</v>
      </c>
      <c r="I3434" s="475" t="s">
        <v>171</v>
      </c>
      <c r="J3434" s="475" t="s">
        <v>337</v>
      </c>
      <c r="K3434" s="365">
        <v>32</v>
      </c>
      <c r="L3434" s="475" t="s">
        <v>141</v>
      </c>
      <c r="M3434" s="473"/>
    </row>
    <row r="3435" spans="1:13" ht="13.5">
      <c r="A3435" s="475" t="s">
        <v>5516</v>
      </c>
      <c r="B3435" s="475" t="s">
        <v>5517</v>
      </c>
      <c r="C3435" s="475" t="s">
        <v>5458</v>
      </c>
      <c r="D3435" s="475" t="s">
        <v>5520</v>
      </c>
      <c r="E3435" s="476" t="s">
        <v>34</v>
      </c>
      <c r="F3435" s="475" t="s">
        <v>34</v>
      </c>
      <c r="G3435" s="364">
        <v>89520</v>
      </c>
      <c r="H3435" s="475" t="s">
        <v>2919</v>
      </c>
      <c r="I3435" s="475" t="s">
        <v>171</v>
      </c>
      <c r="J3435" s="475" t="s">
        <v>337</v>
      </c>
      <c r="K3435" s="365">
        <v>7.92</v>
      </c>
      <c r="L3435" s="475" t="s">
        <v>141</v>
      </c>
      <c r="M3435" s="473"/>
    </row>
    <row r="3436" spans="1:13" ht="13.5">
      <c r="A3436" s="475" t="s">
        <v>5516</v>
      </c>
      <c r="B3436" s="475" t="s">
        <v>5517</v>
      </c>
      <c r="C3436" s="475" t="s">
        <v>5458</v>
      </c>
      <c r="D3436" s="475" t="s">
        <v>5520</v>
      </c>
      <c r="E3436" s="476" t="s">
        <v>34</v>
      </c>
      <c r="F3436" s="475" t="s">
        <v>34</v>
      </c>
      <c r="G3436" s="364">
        <v>89521</v>
      </c>
      <c r="H3436" s="475" t="s">
        <v>2920</v>
      </c>
      <c r="I3436" s="475" t="s">
        <v>171</v>
      </c>
      <c r="J3436" s="475" t="s">
        <v>337</v>
      </c>
      <c r="K3436" s="365">
        <v>86.7</v>
      </c>
      <c r="L3436" s="475" t="s">
        <v>141</v>
      </c>
      <c r="M3436" s="473"/>
    </row>
    <row r="3437" spans="1:13" ht="13.5">
      <c r="A3437" s="475" t="s">
        <v>5516</v>
      </c>
      <c r="B3437" s="475" t="s">
        <v>5517</v>
      </c>
      <c r="C3437" s="475" t="s">
        <v>5458</v>
      </c>
      <c r="D3437" s="475" t="s">
        <v>5520</v>
      </c>
      <c r="E3437" s="476" t="s">
        <v>34</v>
      </c>
      <c r="F3437" s="475" t="s">
        <v>34</v>
      </c>
      <c r="G3437" s="364">
        <v>89522</v>
      </c>
      <c r="H3437" s="475" t="s">
        <v>2921</v>
      </c>
      <c r="I3437" s="475" t="s">
        <v>171</v>
      </c>
      <c r="J3437" s="475" t="s">
        <v>337</v>
      </c>
      <c r="K3437" s="365">
        <v>17.75</v>
      </c>
      <c r="L3437" s="475" t="s">
        <v>141</v>
      </c>
      <c r="M3437" s="473"/>
    </row>
    <row r="3438" spans="1:13" ht="13.5">
      <c r="A3438" s="475" t="s">
        <v>5516</v>
      </c>
      <c r="B3438" s="475" t="s">
        <v>5517</v>
      </c>
      <c r="C3438" s="475" t="s">
        <v>5458</v>
      </c>
      <c r="D3438" s="475" t="s">
        <v>5520</v>
      </c>
      <c r="E3438" s="476" t="s">
        <v>34</v>
      </c>
      <c r="F3438" s="475" t="s">
        <v>34</v>
      </c>
      <c r="G3438" s="364">
        <v>89523</v>
      </c>
      <c r="H3438" s="475" t="s">
        <v>2922</v>
      </c>
      <c r="I3438" s="475" t="s">
        <v>171</v>
      </c>
      <c r="J3438" s="475" t="s">
        <v>337</v>
      </c>
      <c r="K3438" s="365">
        <v>65.63</v>
      </c>
      <c r="L3438" s="475" t="s">
        <v>141</v>
      </c>
      <c r="M3438" s="473"/>
    </row>
    <row r="3439" spans="1:13" ht="13.5">
      <c r="A3439" s="475" t="s">
        <v>5516</v>
      </c>
      <c r="B3439" s="475" t="s">
        <v>5517</v>
      </c>
      <c r="C3439" s="475" t="s">
        <v>5458</v>
      </c>
      <c r="D3439" s="475" t="s">
        <v>5520</v>
      </c>
      <c r="E3439" s="476" t="s">
        <v>34</v>
      </c>
      <c r="F3439" s="475" t="s">
        <v>34</v>
      </c>
      <c r="G3439" s="364">
        <v>89524</v>
      </c>
      <c r="H3439" s="475" t="s">
        <v>2923</v>
      </c>
      <c r="I3439" s="475" t="s">
        <v>171</v>
      </c>
      <c r="J3439" s="475" t="s">
        <v>337</v>
      </c>
      <c r="K3439" s="365">
        <v>15.82</v>
      </c>
      <c r="L3439" s="475" t="s">
        <v>141</v>
      </c>
      <c r="M3439" s="473"/>
    </row>
    <row r="3440" spans="1:13" ht="13.5">
      <c r="A3440" s="475" t="s">
        <v>5516</v>
      </c>
      <c r="B3440" s="475" t="s">
        <v>5517</v>
      </c>
      <c r="C3440" s="475" t="s">
        <v>5458</v>
      </c>
      <c r="D3440" s="475" t="s">
        <v>5520</v>
      </c>
      <c r="E3440" s="476" t="s">
        <v>34</v>
      </c>
      <c r="F3440" s="475" t="s">
        <v>34</v>
      </c>
      <c r="G3440" s="364">
        <v>89525</v>
      </c>
      <c r="H3440" s="475" t="s">
        <v>2924</v>
      </c>
      <c r="I3440" s="475" t="s">
        <v>171</v>
      </c>
      <c r="J3440" s="475" t="s">
        <v>337</v>
      </c>
      <c r="K3440" s="365">
        <v>64.569999999999993</v>
      </c>
      <c r="L3440" s="475" t="s">
        <v>141</v>
      </c>
      <c r="M3440" s="473"/>
    </row>
    <row r="3441" spans="1:13" ht="13.5">
      <c r="A3441" s="475" t="s">
        <v>5516</v>
      </c>
      <c r="B3441" s="475" t="s">
        <v>5517</v>
      </c>
      <c r="C3441" s="475" t="s">
        <v>5458</v>
      </c>
      <c r="D3441" s="475" t="s">
        <v>5520</v>
      </c>
      <c r="E3441" s="476" t="s">
        <v>34</v>
      </c>
      <c r="F3441" s="475" t="s">
        <v>34</v>
      </c>
      <c r="G3441" s="364">
        <v>89526</v>
      </c>
      <c r="H3441" s="475" t="s">
        <v>2925</v>
      </c>
      <c r="I3441" s="475" t="s">
        <v>171</v>
      </c>
      <c r="J3441" s="475" t="s">
        <v>337</v>
      </c>
      <c r="K3441" s="365">
        <v>22.87</v>
      </c>
      <c r="L3441" s="475" t="s">
        <v>141</v>
      </c>
      <c r="M3441" s="473"/>
    </row>
    <row r="3442" spans="1:13" ht="13.5">
      <c r="A3442" s="475" t="s">
        <v>5516</v>
      </c>
      <c r="B3442" s="475" t="s">
        <v>5517</v>
      </c>
      <c r="C3442" s="475" t="s">
        <v>5458</v>
      </c>
      <c r="D3442" s="475" t="s">
        <v>5520</v>
      </c>
      <c r="E3442" s="476" t="s">
        <v>34</v>
      </c>
      <c r="F3442" s="475" t="s">
        <v>34</v>
      </c>
      <c r="G3442" s="364">
        <v>89527</v>
      </c>
      <c r="H3442" s="475" t="s">
        <v>2926</v>
      </c>
      <c r="I3442" s="475" t="s">
        <v>171</v>
      </c>
      <c r="J3442" s="475" t="s">
        <v>337</v>
      </c>
      <c r="K3442" s="365">
        <v>49.79</v>
      </c>
      <c r="L3442" s="475" t="s">
        <v>141</v>
      </c>
      <c r="M3442" s="473"/>
    </row>
    <row r="3443" spans="1:13" ht="13.5">
      <c r="A3443" s="475" t="s">
        <v>5516</v>
      </c>
      <c r="B3443" s="475" t="s">
        <v>5517</v>
      </c>
      <c r="C3443" s="475" t="s">
        <v>5458</v>
      </c>
      <c r="D3443" s="475" t="s">
        <v>5520</v>
      </c>
      <c r="E3443" s="476" t="s">
        <v>34</v>
      </c>
      <c r="F3443" s="475" t="s">
        <v>34</v>
      </c>
      <c r="G3443" s="364">
        <v>89528</v>
      </c>
      <c r="H3443" s="475" t="s">
        <v>2927</v>
      </c>
      <c r="I3443" s="475" t="s">
        <v>171</v>
      </c>
      <c r="J3443" s="475" t="s">
        <v>337</v>
      </c>
      <c r="K3443" s="365">
        <v>2.67</v>
      </c>
      <c r="L3443" s="475" t="s">
        <v>141</v>
      </c>
      <c r="M3443" s="473"/>
    </row>
    <row r="3444" spans="1:13" ht="13.5">
      <c r="A3444" s="475" t="s">
        <v>5516</v>
      </c>
      <c r="B3444" s="475" t="s">
        <v>5517</v>
      </c>
      <c r="C3444" s="475" t="s">
        <v>5458</v>
      </c>
      <c r="D3444" s="475" t="s">
        <v>5520</v>
      </c>
      <c r="E3444" s="476" t="s">
        <v>34</v>
      </c>
      <c r="F3444" s="475" t="s">
        <v>34</v>
      </c>
      <c r="G3444" s="364">
        <v>89529</v>
      </c>
      <c r="H3444" s="475" t="s">
        <v>2928</v>
      </c>
      <c r="I3444" s="475" t="s">
        <v>171</v>
      </c>
      <c r="J3444" s="475" t="s">
        <v>337</v>
      </c>
      <c r="K3444" s="365">
        <v>26.21</v>
      </c>
      <c r="L3444" s="475" t="s">
        <v>141</v>
      </c>
      <c r="M3444" s="473"/>
    </row>
    <row r="3445" spans="1:13" ht="13.5">
      <c r="A3445" s="475" t="s">
        <v>5516</v>
      </c>
      <c r="B3445" s="475" t="s">
        <v>5517</v>
      </c>
      <c r="C3445" s="475" t="s">
        <v>5458</v>
      </c>
      <c r="D3445" s="475" t="s">
        <v>5520</v>
      </c>
      <c r="E3445" s="476" t="s">
        <v>34</v>
      </c>
      <c r="F3445" s="475" t="s">
        <v>34</v>
      </c>
      <c r="G3445" s="364">
        <v>89530</v>
      </c>
      <c r="H3445" s="475" t="s">
        <v>2929</v>
      </c>
      <c r="I3445" s="475" t="s">
        <v>171</v>
      </c>
      <c r="J3445" s="475" t="s">
        <v>337</v>
      </c>
      <c r="K3445" s="365">
        <v>9.2200000000000006</v>
      </c>
      <c r="L3445" s="475" t="s">
        <v>141</v>
      </c>
      <c r="M3445" s="473"/>
    </row>
    <row r="3446" spans="1:13" ht="13.5">
      <c r="A3446" s="475" t="s">
        <v>5516</v>
      </c>
      <c r="B3446" s="475" t="s">
        <v>5517</v>
      </c>
      <c r="C3446" s="475" t="s">
        <v>5458</v>
      </c>
      <c r="D3446" s="475" t="s">
        <v>5520</v>
      </c>
      <c r="E3446" s="476" t="s">
        <v>34</v>
      </c>
      <c r="F3446" s="475" t="s">
        <v>34</v>
      </c>
      <c r="G3446" s="364">
        <v>89531</v>
      </c>
      <c r="H3446" s="475" t="s">
        <v>2930</v>
      </c>
      <c r="I3446" s="475" t="s">
        <v>171</v>
      </c>
      <c r="J3446" s="475" t="s">
        <v>337</v>
      </c>
      <c r="K3446" s="365">
        <v>21.51</v>
      </c>
      <c r="L3446" s="475" t="s">
        <v>141</v>
      </c>
      <c r="M3446" s="473"/>
    </row>
    <row r="3447" spans="1:13" ht="13.5">
      <c r="A3447" s="475" t="s">
        <v>5516</v>
      </c>
      <c r="B3447" s="475" t="s">
        <v>5517</v>
      </c>
      <c r="C3447" s="475" t="s">
        <v>5458</v>
      </c>
      <c r="D3447" s="475" t="s">
        <v>5520</v>
      </c>
      <c r="E3447" s="476" t="s">
        <v>34</v>
      </c>
      <c r="F3447" s="475" t="s">
        <v>34</v>
      </c>
      <c r="G3447" s="364">
        <v>89532</v>
      </c>
      <c r="H3447" s="475" t="s">
        <v>2931</v>
      </c>
      <c r="I3447" s="475" t="s">
        <v>171</v>
      </c>
      <c r="J3447" s="475" t="s">
        <v>337</v>
      </c>
      <c r="K3447" s="365">
        <v>4.68</v>
      </c>
      <c r="L3447" s="475" t="s">
        <v>141</v>
      </c>
      <c r="M3447" s="473"/>
    </row>
    <row r="3448" spans="1:13" ht="13.5">
      <c r="A3448" s="475" t="s">
        <v>5516</v>
      </c>
      <c r="B3448" s="475" t="s">
        <v>5517</v>
      </c>
      <c r="C3448" s="475" t="s">
        <v>5458</v>
      </c>
      <c r="D3448" s="475" t="s">
        <v>5520</v>
      </c>
      <c r="E3448" s="476" t="s">
        <v>34</v>
      </c>
      <c r="F3448" s="475" t="s">
        <v>34</v>
      </c>
      <c r="G3448" s="364">
        <v>89533</v>
      </c>
      <c r="H3448" s="475" t="s">
        <v>2932</v>
      </c>
      <c r="I3448" s="475" t="s">
        <v>171</v>
      </c>
      <c r="J3448" s="475" t="s">
        <v>337</v>
      </c>
      <c r="K3448" s="365">
        <v>21.51</v>
      </c>
      <c r="L3448" s="475" t="s">
        <v>141</v>
      </c>
      <c r="M3448" s="473"/>
    </row>
    <row r="3449" spans="1:13" ht="13.5">
      <c r="A3449" s="475" t="s">
        <v>5516</v>
      </c>
      <c r="B3449" s="475" t="s">
        <v>5517</v>
      </c>
      <c r="C3449" s="475" t="s">
        <v>5458</v>
      </c>
      <c r="D3449" s="475" t="s">
        <v>5520</v>
      </c>
      <c r="E3449" s="476" t="s">
        <v>34</v>
      </c>
      <c r="F3449" s="475" t="s">
        <v>34</v>
      </c>
      <c r="G3449" s="364">
        <v>89534</v>
      </c>
      <c r="H3449" s="475" t="s">
        <v>2933</v>
      </c>
      <c r="I3449" s="475" t="s">
        <v>171</v>
      </c>
      <c r="J3449" s="475" t="s">
        <v>337</v>
      </c>
      <c r="K3449" s="365">
        <v>3.26</v>
      </c>
      <c r="L3449" s="475" t="s">
        <v>141</v>
      </c>
      <c r="M3449" s="473"/>
    </row>
    <row r="3450" spans="1:13" ht="13.5">
      <c r="A3450" s="475" t="s">
        <v>5516</v>
      </c>
      <c r="B3450" s="475" t="s">
        <v>5517</v>
      </c>
      <c r="C3450" s="475" t="s">
        <v>5458</v>
      </c>
      <c r="D3450" s="475" t="s">
        <v>5520</v>
      </c>
      <c r="E3450" s="476" t="s">
        <v>34</v>
      </c>
      <c r="F3450" s="475" t="s">
        <v>34</v>
      </c>
      <c r="G3450" s="364">
        <v>89535</v>
      </c>
      <c r="H3450" s="475" t="s">
        <v>2934</v>
      </c>
      <c r="I3450" s="475" t="s">
        <v>171</v>
      </c>
      <c r="J3450" s="475" t="s">
        <v>337</v>
      </c>
      <c r="K3450" s="365">
        <v>33.590000000000003</v>
      </c>
      <c r="L3450" s="475" t="s">
        <v>141</v>
      </c>
      <c r="M3450" s="473"/>
    </row>
    <row r="3451" spans="1:13" ht="13.5">
      <c r="A3451" s="475" t="s">
        <v>5516</v>
      </c>
      <c r="B3451" s="475" t="s">
        <v>5517</v>
      </c>
      <c r="C3451" s="475" t="s">
        <v>5458</v>
      </c>
      <c r="D3451" s="475" t="s">
        <v>5520</v>
      </c>
      <c r="E3451" s="476" t="s">
        <v>34</v>
      </c>
      <c r="F3451" s="475" t="s">
        <v>34</v>
      </c>
      <c r="G3451" s="364">
        <v>89536</v>
      </c>
      <c r="H3451" s="475" t="s">
        <v>2935</v>
      </c>
      <c r="I3451" s="475" t="s">
        <v>171</v>
      </c>
      <c r="J3451" s="475" t="s">
        <v>337</v>
      </c>
      <c r="K3451" s="365">
        <v>8.32</v>
      </c>
      <c r="L3451" s="475" t="s">
        <v>141</v>
      </c>
      <c r="M3451" s="473"/>
    </row>
    <row r="3452" spans="1:13" ht="13.5">
      <c r="A3452" s="475" t="s">
        <v>5516</v>
      </c>
      <c r="B3452" s="475" t="s">
        <v>5517</v>
      </c>
      <c r="C3452" s="475" t="s">
        <v>5458</v>
      </c>
      <c r="D3452" s="475" t="s">
        <v>5520</v>
      </c>
      <c r="E3452" s="476" t="s">
        <v>34</v>
      </c>
      <c r="F3452" s="475" t="s">
        <v>34</v>
      </c>
      <c r="G3452" s="364">
        <v>89538</v>
      </c>
      <c r="H3452" s="475" t="s">
        <v>2936</v>
      </c>
      <c r="I3452" s="475" t="s">
        <v>171</v>
      </c>
      <c r="J3452" s="475" t="s">
        <v>337</v>
      </c>
      <c r="K3452" s="365">
        <v>2.74</v>
      </c>
      <c r="L3452" s="475" t="s">
        <v>141</v>
      </c>
      <c r="M3452" s="473"/>
    </row>
    <row r="3453" spans="1:13" ht="13.5">
      <c r="A3453" s="475" t="s">
        <v>5516</v>
      </c>
      <c r="B3453" s="475" t="s">
        <v>5517</v>
      </c>
      <c r="C3453" s="475" t="s">
        <v>5458</v>
      </c>
      <c r="D3453" s="475" t="s">
        <v>5520</v>
      </c>
      <c r="E3453" s="476" t="s">
        <v>34</v>
      </c>
      <c r="F3453" s="475" t="s">
        <v>34</v>
      </c>
      <c r="G3453" s="364">
        <v>89540</v>
      </c>
      <c r="H3453" s="475" t="s">
        <v>2937</v>
      </c>
      <c r="I3453" s="475" t="s">
        <v>171</v>
      </c>
      <c r="J3453" s="475" t="s">
        <v>337</v>
      </c>
      <c r="K3453" s="365">
        <v>6.92</v>
      </c>
      <c r="L3453" s="475" t="s">
        <v>141</v>
      </c>
      <c r="M3453" s="473"/>
    </row>
    <row r="3454" spans="1:13" ht="13.5">
      <c r="A3454" s="475" t="s">
        <v>5516</v>
      </c>
      <c r="B3454" s="475" t="s">
        <v>5517</v>
      </c>
      <c r="C3454" s="475" t="s">
        <v>5458</v>
      </c>
      <c r="D3454" s="475" t="s">
        <v>5520</v>
      </c>
      <c r="E3454" s="476" t="s">
        <v>34</v>
      </c>
      <c r="F3454" s="475" t="s">
        <v>34</v>
      </c>
      <c r="G3454" s="364">
        <v>89541</v>
      </c>
      <c r="H3454" s="475" t="s">
        <v>2938</v>
      </c>
      <c r="I3454" s="475" t="s">
        <v>171</v>
      </c>
      <c r="J3454" s="475" t="s">
        <v>337</v>
      </c>
      <c r="K3454" s="365">
        <v>4.0199999999999996</v>
      </c>
      <c r="L3454" s="475" t="s">
        <v>141</v>
      </c>
      <c r="M3454" s="473"/>
    </row>
    <row r="3455" spans="1:13" ht="13.5">
      <c r="A3455" s="475" t="s">
        <v>5516</v>
      </c>
      <c r="B3455" s="475" t="s">
        <v>5517</v>
      </c>
      <c r="C3455" s="475" t="s">
        <v>5458</v>
      </c>
      <c r="D3455" s="475" t="s">
        <v>5520</v>
      </c>
      <c r="E3455" s="476" t="s">
        <v>34</v>
      </c>
      <c r="F3455" s="475" t="s">
        <v>34</v>
      </c>
      <c r="G3455" s="364">
        <v>89542</v>
      </c>
      <c r="H3455" s="475" t="s">
        <v>2939</v>
      </c>
      <c r="I3455" s="475" t="s">
        <v>171</v>
      </c>
      <c r="J3455" s="475" t="s">
        <v>337</v>
      </c>
      <c r="K3455" s="365">
        <v>19.66</v>
      </c>
      <c r="L3455" s="475" t="s">
        <v>141</v>
      </c>
      <c r="M3455" s="473"/>
    </row>
    <row r="3456" spans="1:13" ht="13.5">
      <c r="A3456" s="475" t="s">
        <v>5516</v>
      </c>
      <c r="B3456" s="475" t="s">
        <v>5517</v>
      </c>
      <c r="C3456" s="475" t="s">
        <v>5458</v>
      </c>
      <c r="D3456" s="475" t="s">
        <v>5520</v>
      </c>
      <c r="E3456" s="476" t="s">
        <v>34</v>
      </c>
      <c r="F3456" s="475" t="s">
        <v>34</v>
      </c>
      <c r="G3456" s="364">
        <v>89544</v>
      </c>
      <c r="H3456" s="475" t="s">
        <v>2940</v>
      </c>
      <c r="I3456" s="475" t="s">
        <v>171</v>
      </c>
      <c r="J3456" s="475" t="s">
        <v>337</v>
      </c>
      <c r="K3456" s="365">
        <v>5.63</v>
      </c>
      <c r="L3456" s="475" t="s">
        <v>141</v>
      </c>
      <c r="M3456" s="473"/>
    </row>
    <row r="3457" spans="1:13" ht="13.5">
      <c r="A3457" s="475" t="s">
        <v>5516</v>
      </c>
      <c r="B3457" s="475" t="s">
        <v>5517</v>
      </c>
      <c r="C3457" s="475" t="s">
        <v>5458</v>
      </c>
      <c r="D3457" s="475" t="s">
        <v>5520</v>
      </c>
      <c r="E3457" s="476" t="s">
        <v>34</v>
      </c>
      <c r="F3457" s="475" t="s">
        <v>34</v>
      </c>
      <c r="G3457" s="364">
        <v>89545</v>
      </c>
      <c r="H3457" s="475" t="s">
        <v>2941</v>
      </c>
      <c r="I3457" s="475" t="s">
        <v>171</v>
      </c>
      <c r="J3457" s="475" t="s">
        <v>337</v>
      </c>
      <c r="K3457" s="365">
        <v>8.0299999999999994</v>
      </c>
      <c r="L3457" s="475" t="s">
        <v>141</v>
      </c>
      <c r="M3457" s="473"/>
    </row>
    <row r="3458" spans="1:13" ht="13.5">
      <c r="A3458" s="475" t="s">
        <v>5516</v>
      </c>
      <c r="B3458" s="475" t="s">
        <v>5517</v>
      </c>
      <c r="C3458" s="475" t="s">
        <v>5458</v>
      </c>
      <c r="D3458" s="475" t="s">
        <v>5520</v>
      </c>
      <c r="E3458" s="476" t="s">
        <v>34</v>
      </c>
      <c r="F3458" s="475" t="s">
        <v>34</v>
      </c>
      <c r="G3458" s="364">
        <v>89546</v>
      </c>
      <c r="H3458" s="475" t="s">
        <v>2942</v>
      </c>
      <c r="I3458" s="475" t="s">
        <v>171</v>
      </c>
      <c r="J3458" s="475" t="s">
        <v>337</v>
      </c>
      <c r="K3458" s="365">
        <v>7.02</v>
      </c>
      <c r="L3458" s="475" t="s">
        <v>141</v>
      </c>
      <c r="M3458" s="473"/>
    </row>
    <row r="3459" spans="1:13" ht="13.5">
      <c r="A3459" s="475" t="s">
        <v>5516</v>
      </c>
      <c r="B3459" s="475" t="s">
        <v>5517</v>
      </c>
      <c r="C3459" s="475" t="s">
        <v>5458</v>
      </c>
      <c r="D3459" s="475" t="s">
        <v>5520</v>
      </c>
      <c r="E3459" s="476" t="s">
        <v>34</v>
      </c>
      <c r="F3459" s="475" t="s">
        <v>34</v>
      </c>
      <c r="G3459" s="364">
        <v>89547</v>
      </c>
      <c r="H3459" s="475" t="s">
        <v>2943</v>
      </c>
      <c r="I3459" s="475" t="s">
        <v>171</v>
      </c>
      <c r="J3459" s="475" t="s">
        <v>337</v>
      </c>
      <c r="K3459" s="365">
        <v>12.13</v>
      </c>
      <c r="L3459" s="475" t="s">
        <v>141</v>
      </c>
      <c r="M3459" s="473"/>
    </row>
    <row r="3460" spans="1:13" ht="13.5">
      <c r="A3460" s="475" t="s">
        <v>5516</v>
      </c>
      <c r="B3460" s="475" t="s">
        <v>5517</v>
      </c>
      <c r="C3460" s="475" t="s">
        <v>5458</v>
      </c>
      <c r="D3460" s="475" t="s">
        <v>5520</v>
      </c>
      <c r="E3460" s="476" t="s">
        <v>34</v>
      </c>
      <c r="F3460" s="475" t="s">
        <v>34</v>
      </c>
      <c r="G3460" s="364">
        <v>89548</v>
      </c>
      <c r="H3460" s="475" t="s">
        <v>2944</v>
      </c>
      <c r="I3460" s="475" t="s">
        <v>171</v>
      </c>
      <c r="J3460" s="475" t="s">
        <v>337</v>
      </c>
      <c r="K3460" s="365">
        <v>13.09</v>
      </c>
      <c r="L3460" s="475" t="s">
        <v>141</v>
      </c>
      <c r="M3460" s="473"/>
    </row>
    <row r="3461" spans="1:13" ht="13.5">
      <c r="A3461" s="475" t="s">
        <v>5516</v>
      </c>
      <c r="B3461" s="475" t="s">
        <v>5517</v>
      </c>
      <c r="C3461" s="475" t="s">
        <v>5458</v>
      </c>
      <c r="D3461" s="475" t="s">
        <v>5520</v>
      </c>
      <c r="E3461" s="476" t="s">
        <v>34</v>
      </c>
      <c r="F3461" s="475" t="s">
        <v>34</v>
      </c>
      <c r="G3461" s="364">
        <v>89549</v>
      </c>
      <c r="H3461" s="475" t="s">
        <v>2945</v>
      </c>
      <c r="I3461" s="475" t="s">
        <v>171</v>
      </c>
      <c r="J3461" s="475" t="s">
        <v>337</v>
      </c>
      <c r="K3461" s="365">
        <v>9.5500000000000007</v>
      </c>
      <c r="L3461" s="475" t="s">
        <v>141</v>
      </c>
      <c r="M3461" s="473"/>
    </row>
    <row r="3462" spans="1:13" ht="13.5">
      <c r="A3462" s="475" t="s">
        <v>5516</v>
      </c>
      <c r="B3462" s="475" t="s">
        <v>5517</v>
      </c>
      <c r="C3462" s="475" t="s">
        <v>5458</v>
      </c>
      <c r="D3462" s="475" t="s">
        <v>5520</v>
      </c>
      <c r="E3462" s="476" t="s">
        <v>34</v>
      </c>
      <c r="F3462" s="475" t="s">
        <v>34</v>
      </c>
      <c r="G3462" s="364">
        <v>89550</v>
      </c>
      <c r="H3462" s="475" t="s">
        <v>2946</v>
      </c>
      <c r="I3462" s="475" t="s">
        <v>171</v>
      </c>
      <c r="J3462" s="475" t="s">
        <v>337</v>
      </c>
      <c r="K3462" s="365">
        <v>22.69</v>
      </c>
      <c r="L3462" s="475" t="s">
        <v>141</v>
      </c>
      <c r="M3462" s="473"/>
    </row>
    <row r="3463" spans="1:13" ht="13.5">
      <c r="A3463" s="475" t="s">
        <v>5516</v>
      </c>
      <c r="B3463" s="475" t="s">
        <v>5517</v>
      </c>
      <c r="C3463" s="475" t="s">
        <v>5458</v>
      </c>
      <c r="D3463" s="475" t="s">
        <v>5520</v>
      </c>
      <c r="E3463" s="476" t="s">
        <v>34</v>
      </c>
      <c r="F3463" s="475" t="s">
        <v>34</v>
      </c>
      <c r="G3463" s="364">
        <v>89551</v>
      </c>
      <c r="H3463" s="475" t="s">
        <v>2947</v>
      </c>
      <c r="I3463" s="475" t="s">
        <v>171</v>
      </c>
      <c r="J3463" s="475" t="s">
        <v>337</v>
      </c>
      <c r="K3463" s="365">
        <v>6.4</v>
      </c>
      <c r="L3463" s="475" t="s">
        <v>141</v>
      </c>
      <c r="M3463" s="473"/>
    </row>
    <row r="3464" spans="1:13" ht="13.5">
      <c r="A3464" s="475" t="s">
        <v>5516</v>
      </c>
      <c r="B3464" s="475" t="s">
        <v>5517</v>
      </c>
      <c r="C3464" s="475" t="s">
        <v>5458</v>
      </c>
      <c r="D3464" s="475" t="s">
        <v>5520</v>
      </c>
      <c r="E3464" s="476" t="s">
        <v>34</v>
      </c>
      <c r="F3464" s="475" t="s">
        <v>34</v>
      </c>
      <c r="G3464" s="364">
        <v>89552</v>
      </c>
      <c r="H3464" s="475" t="s">
        <v>2948</v>
      </c>
      <c r="I3464" s="475" t="s">
        <v>171</v>
      </c>
      <c r="J3464" s="475" t="s">
        <v>337</v>
      </c>
      <c r="K3464" s="365">
        <v>12.84</v>
      </c>
      <c r="L3464" s="475" t="s">
        <v>141</v>
      </c>
      <c r="M3464" s="473"/>
    </row>
    <row r="3465" spans="1:13" ht="13.5">
      <c r="A3465" s="475" t="s">
        <v>5516</v>
      </c>
      <c r="B3465" s="475" t="s">
        <v>5517</v>
      </c>
      <c r="C3465" s="475" t="s">
        <v>5458</v>
      </c>
      <c r="D3465" s="475" t="s">
        <v>5520</v>
      </c>
      <c r="E3465" s="476" t="s">
        <v>34</v>
      </c>
      <c r="F3465" s="475" t="s">
        <v>34</v>
      </c>
      <c r="G3465" s="364">
        <v>89553</v>
      </c>
      <c r="H3465" s="475" t="s">
        <v>2949</v>
      </c>
      <c r="I3465" s="475" t="s">
        <v>171</v>
      </c>
      <c r="J3465" s="475" t="s">
        <v>337</v>
      </c>
      <c r="K3465" s="365">
        <v>3.95</v>
      </c>
      <c r="L3465" s="475" t="s">
        <v>141</v>
      </c>
      <c r="M3465" s="473"/>
    </row>
    <row r="3466" spans="1:13" ht="13.5">
      <c r="A3466" s="475" t="s">
        <v>5516</v>
      </c>
      <c r="B3466" s="475" t="s">
        <v>5517</v>
      </c>
      <c r="C3466" s="475" t="s">
        <v>5458</v>
      </c>
      <c r="D3466" s="475" t="s">
        <v>5520</v>
      </c>
      <c r="E3466" s="476" t="s">
        <v>34</v>
      </c>
      <c r="F3466" s="475" t="s">
        <v>34</v>
      </c>
      <c r="G3466" s="364">
        <v>89554</v>
      </c>
      <c r="H3466" s="475" t="s">
        <v>2950</v>
      </c>
      <c r="I3466" s="475" t="s">
        <v>171</v>
      </c>
      <c r="J3466" s="475" t="s">
        <v>337</v>
      </c>
      <c r="K3466" s="365">
        <v>15</v>
      </c>
      <c r="L3466" s="475" t="s">
        <v>141</v>
      </c>
      <c r="M3466" s="473"/>
    </row>
    <row r="3467" spans="1:13" ht="13.5">
      <c r="A3467" s="475" t="s">
        <v>5516</v>
      </c>
      <c r="B3467" s="475" t="s">
        <v>5517</v>
      </c>
      <c r="C3467" s="475" t="s">
        <v>5458</v>
      </c>
      <c r="D3467" s="475" t="s">
        <v>5520</v>
      </c>
      <c r="E3467" s="476" t="s">
        <v>34</v>
      </c>
      <c r="F3467" s="475" t="s">
        <v>34</v>
      </c>
      <c r="G3467" s="364">
        <v>89555</v>
      </c>
      <c r="H3467" s="475" t="s">
        <v>2951</v>
      </c>
      <c r="I3467" s="475" t="s">
        <v>171</v>
      </c>
      <c r="J3467" s="475" t="s">
        <v>337</v>
      </c>
      <c r="K3467" s="365">
        <v>15.53</v>
      </c>
      <c r="L3467" s="475" t="s">
        <v>141</v>
      </c>
      <c r="M3467" s="473"/>
    </row>
    <row r="3468" spans="1:13" ht="13.5">
      <c r="A3468" s="475" t="s">
        <v>5516</v>
      </c>
      <c r="B3468" s="475" t="s">
        <v>5517</v>
      </c>
      <c r="C3468" s="475" t="s">
        <v>5458</v>
      </c>
      <c r="D3468" s="475" t="s">
        <v>5520</v>
      </c>
      <c r="E3468" s="476" t="s">
        <v>34</v>
      </c>
      <c r="F3468" s="475" t="s">
        <v>34</v>
      </c>
      <c r="G3468" s="364">
        <v>89556</v>
      </c>
      <c r="H3468" s="475" t="s">
        <v>2952</v>
      </c>
      <c r="I3468" s="475" t="s">
        <v>171</v>
      </c>
      <c r="J3468" s="475" t="s">
        <v>337</v>
      </c>
      <c r="K3468" s="365">
        <v>21.59</v>
      </c>
      <c r="L3468" s="475" t="s">
        <v>141</v>
      </c>
      <c r="M3468" s="473"/>
    </row>
    <row r="3469" spans="1:13" ht="13.5">
      <c r="A3469" s="475" t="s">
        <v>5516</v>
      </c>
      <c r="B3469" s="475" t="s">
        <v>5517</v>
      </c>
      <c r="C3469" s="475" t="s">
        <v>5458</v>
      </c>
      <c r="D3469" s="475" t="s">
        <v>5520</v>
      </c>
      <c r="E3469" s="476" t="s">
        <v>34</v>
      </c>
      <c r="F3469" s="475" t="s">
        <v>34</v>
      </c>
      <c r="G3469" s="364">
        <v>89557</v>
      </c>
      <c r="H3469" s="475" t="s">
        <v>2953</v>
      </c>
      <c r="I3469" s="475" t="s">
        <v>171</v>
      </c>
      <c r="J3469" s="475" t="s">
        <v>337</v>
      </c>
      <c r="K3469" s="365">
        <v>17.260000000000002</v>
      </c>
      <c r="L3469" s="475" t="s">
        <v>141</v>
      </c>
      <c r="M3469" s="473"/>
    </row>
    <row r="3470" spans="1:13" ht="13.5">
      <c r="A3470" s="475" t="s">
        <v>5516</v>
      </c>
      <c r="B3470" s="475" t="s">
        <v>5517</v>
      </c>
      <c r="C3470" s="475" t="s">
        <v>5458</v>
      </c>
      <c r="D3470" s="475" t="s">
        <v>5520</v>
      </c>
      <c r="E3470" s="476" t="s">
        <v>34</v>
      </c>
      <c r="F3470" s="475" t="s">
        <v>34</v>
      </c>
      <c r="G3470" s="364">
        <v>89558</v>
      </c>
      <c r="H3470" s="475" t="s">
        <v>2954</v>
      </c>
      <c r="I3470" s="475" t="s">
        <v>171</v>
      </c>
      <c r="J3470" s="475" t="s">
        <v>337</v>
      </c>
      <c r="K3470" s="365">
        <v>6.06</v>
      </c>
      <c r="L3470" s="475" t="s">
        <v>141</v>
      </c>
      <c r="M3470" s="473"/>
    </row>
    <row r="3471" spans="1:13" ht="13.5">
      <c r="A3471" s="475" t="s">
        <v>5516</v>
      </c>
      <c r="B3471" s="475" t="s">
        <v>5517</v>
      </c>
      <c r="C3471" s="475" t="s">
        <v>5458</v>
      </c>
      <c r="D3471" s="475" t="s">
        <v>5520</v>
      </c>
      <c r="E3471" s="476" t="s">
        <v>34</v>
      </c>
      <c r="F3471" s="475" t="s">
        <v>34</v>
      </c>
      <c r="G3471" s="364">
        <v>89559</v>
      </c>
      <c r="H3471" s="475" t="s">
        <v>2955</v>
      </c>
      <c r="I3471" s="475" t="s">
        <v>171</v>
      </c>
      <c r="J3471" s="475" t="s">
        <v>337</v>
      </c>
      <c r="K3471" s="365">
        <v>37.270000000000003</v>
      </c>
      <c r="L3471" s="475" t="s">
        <v>141</v>
      </c>
      <c r="M3471" s="473"/>
    </row>
    <row r="3472" spans="1:13" ht="13.5">
      <c r="A3472" s="475" t="s">
        <v>5516</v>
      </c>
      <c r="B3472" s="475" t="s">
        <v>5517</v>
      </c>
      <c r="C3472" s="475" t="s">
        <v>5458</v>
      </c>
      <c r="D3472" s="475" t="s">
        <v>5520</v>
      </c>
      <c r="E3472" s="476" t="s">
        <v>34</v>
      </c>
      <c r="F3472" s="475" t="s">
        <v>34</v>
      </c>
      <c r="G3472" s="364">
        <v>89561</v>
      </c>
      <c r="H3472" s="475" t="s">
        <v>2956</v>
      </c>
      <c r="I3472" s="475" t="s">
        <v>171</v>
      </c>
      <c r="J3472" s="475" t="s">
        <v>337</v>
      </c>
      <c r="K3472" s="365">
        <v>8.39</v>
      </c>
      <c r="L3472" s="475" t="s">
        <v>141</v>
      </c>
      <c r="M3472" s="473"/>
    </row>
    <row r="3473" spans="1:13" ht="13.5">
      <c r="A3473" s="475" t="s">
        <v>5516</v>
      </c>
      <c r="B3473" s="475" t="s">
        <v>5517</v>
      </c>
      <c r="C3473" s="475" t="s">
        <v>5458</v>
      </c>
      <c r="D3473" s="475" t="s">
        <v>5520</v>
      </c>
      <c r="E3473" s="476" t="s">
        <v>34</v>
      </c>
      <c r="F3473" s="475" t="s">
        <v>34</v>
      </c>
      <c r="G3473" s="364">
        <v>89562</v>
      </c>
      <c r="H3473" s="475" t="s">
        <v>2957</v>
      </c>
      <c r="I3473" s="475" t="s">
        <v>171</v>
      </c>
      <c r="J3473" s="475" t="s">
        <v>337</v>
      </c>
      <c r="K3473" s="365">
        <v>6.44</v>
      </c>
      <c r="L3473" s="475" t="s">
        <v>141</v>
      </c>
      <c r="M3473" s="473"/>
    </row>
    <row r="3474" spans="1:13" ht="13.5">
      <c r="A3474" s="475" t="s">
        <v>5516</v>
      </c>
      <c r="B3474" s="475" t="s">
        <v>5517</v>
      </c>
      <c r="C3474" s="475" t="s">
        <v>5458</v>
      </c>
      <c r="D3474" s="475" t="s">
        <v>5520</v>
      </c>
      <c r="E3474" s="476" t="s">
        <v>34</v>
      </c>
      <c r="F3474" s="475" t="s">
        <v>34</v>
      </c>
      <c r="G3474" s="364">
        <v>89563</v>
      </c>
      <c r="H3474" s="475" t="s">
        <v>2958</v>
      </c>
      <c r="I3474" s="475" t="s">
        <v>171</v>
      </c>
      <c r="J3474" s="475" t="s">
        <v>337</v>
      </c>
      <c r="K3474" s="365">
        <v>13.38</v>
      </c>
      <c r="L3474" s="475" t="s">
        <v>141</v>
      </c>
      <c r="M3474" s="473"/>
    </row>
    <row r="3475" spans="1:13" ht="13.5">
      <c r="A3475" s="475" t="s">
        <v>5516</v>
      </c>
      <c r="B3475" s="475" t="s">
        <v>5517</v>
      </c>
      <c r="C3475" s="475" t="s">
        <v>5458</v>
      </c>
      <c r="D3475" s="475" t="s">
        <v>5520</v>
      </c>
      <c r="E3475" s="476" t="s">
        <v>34</v>
      </c>
      <c r="F3475" s="475" t="s">
        <v>34</v>
      </c>
      <c r="G3475" s="364">
        <v>89564</v>
      </c>
      <c r="H3475" s="475" t="s">
        <v>2959</v>
      </c>
      <c r="I3475" s="475" t="s">
        <v>171</v>
      </c>
      <c r="J3475" s="475" t="s">
        <v>337</v>
      </c>
      <c r="K3475" s="365">
        <v>11.55</v>
      </c>
      <c r="L3475" s="475" t="s">
        <v>141</v>
      </c>
      <c r="M3475" s="473"/>
    </row>
    <row r="3476" spans="1:13" ht="13.5">
      <c r="A3476" s="475" t="s">
        <v>5516</v>
      </c>
      <c r="B3476" s="475" t="s">
        <v>5517</v>
      </c>
      <c r="C3476" s="475" t="s">
        <v>5458</v>
      </c>
      <c r="D3476" s="475" t="s">
        <v>5520</v>
      </c>
      <c r="E3476" s="476" t="s">
        <v>34</v>
      </c>
      <c r="F3476" s="475" t="s">
        <v>34</v>
      </c>
      <c r="G3476" s="364">
        <v>89565</v>
      </c>
      <c r="H3476" s="475" t="s">
        <v>2960</v>
      </c>
      <c r="I3476" s="475" t="s">
        <v>171</v>
      </c>
      <c r="J3476" s="475" t="s">
        <v>337</v>
      </c>
      <c r="K3476" s="365">
        <v>32</v>
      </c>
      <c r="L3476" s="475" t="s">
        <v>141</v>
      </c>
      <c r="M3476" s="473"/>
    </row>
    <row r="3477" spans="1:13" ht="13.5">
      <c r="A3477" s="475" t="s">
        <v>5516</v>
      </c>
      <c r="B3477" s="475" t="s">
        <v>5517</v>
      </c>
      <c r="C3477" s="475" t="s">
        <v>5458</v>
      </c>
      <c r="D3477" s="475" t="s">
        <v>5520</v>
      </c>
      <c r="E3477" s="476" t="s">
        <v>34</v>
      </c>
      <c r="F3477" s="475" t="s">
        <v>34</v>
      </c>
      <c r="G3477" s="364">
        <v>89566</v>
      </c>
      <c r="H3477" s="475" t="s">
        <v>2961</v>
      </c>
      <c r="I3477" s="475" t="s">
        <v>171</v>
      </c>
      <c r="J3477" s="475" t="s">
        <v>337</v>
      </c>
      <c r="K3477" s="365">
        <v>27.83</v>
      </c>
      <c r="L3477" s="475" t="s">
        <v>141</v>
      </c>
      <c r="M3477" s="473"/>
    </row>
    <row r="3478" spans="1:13" ht="13.5">
      <c r="A3478" s="475" t="s">
        <v>5516</v>
      </c>
      <c r="B3478" s="475" t="s">
        <v>5517</v>
      </c>
      <c r="C3478" s="475" t="s">
        <v>5458</v>
      </c>
      <c r="D3478" s="475" t="s">
        <v>5520</v>
      </c>
      <c r="E3478" s="476" t="s">
        <v>34</v>
      </c>
      <c r="F3478" s="475" t="s">
        <v>34</v>
      </c>
      <c r="G3478" s="364">
        <v>89567</v>
      </c>
      <c r="H3478" s="475" t="s">
        <v>2962</v>
      </c>
      <c r="I3478" s="475" t="s">
        <v>171</v>
      </c>
      <c r="J3478" s="475" t="s">
        <v>337</v>
      </c>
      <c r="K3478" s="365">
        <v>47.12</v>
      </c>
      <c r="L3478" s="475" t="s">
        <v>141</v>
      </c>
      <c r="M3478" s="473"/>
    </row>
    <row r="3479" spans="1:13" ht="13.5">
      <c r="A3479" s="475" t="s">
        <v>5516</v>
      </c>
      <c r="B3479" s="475" t="s">
        <v>5517</v>
      </c>
      <c r="C3479" s="475" t="s">
        <v>5458</v>
      </c>
      <c r="D3479" s="475" t="s">
        <v>5520</v>
      </c>
      <c r="E3479" s="476" t="s">
        <v>34</v>
      </c>
      <c r="F3479" s="475" t="s">
        <v>34</v>
      </c>
      <c r="G3479" s="364">
        <v>89568</v>
      </c>
      <c r="H3479" s="475" t="s">
        <v>2963</v>
      </c>
      <c r="I3479" s="475" t="s">
        <v>171</v>
      </c>
      <c r="J3479" s="475" t="s">
        <v>337</v>
      </c>
      <c r="K3479" s="365">
        <v>23.12</v>
      </c>
      <c r="L3479" s="475" t="s">
        <v>141</v>
      </c>
      <c r="M3479" s="473"/>
    </row>
    <row r="3480" spans="1:13" ht="13.5">
      <c r="A3480" s="475" t="s">
        <v>5516</v>
      </c>
      <c r="B3480" s="475" t="s">
        <v>5517</v>
      </c>
      <c r="C3480" s="475" t="s">
        <v>5458</v>
      </c>
      <c r="D3480" s="475" t="s">
        <v>5520</v>
      </c>
      <c r="E3480" s="476" t="s">
        <v>34</v>
      </c>
      <c r="F3480" s="475" t="s">
        <v>34</v>
      </c>
      <c r="G3480" s="364">
        <v>89569</v>
      </c>
      <c r="H3480" s="475" t="s">
        <v>2964</v>
      </c>
      <c r="I3480" s="475" t="s">
        <v>171</v>
      </c>
      <c r="J3480" s="475" t="s">
        <v>337</v>
      </c>
      <c r="K3480" s="365">
        <v>44.65</v>
      </c>
      <c r="L3480" s="475" t="s">
        <v>141</v>
      </c>
      <c r="M3480" s="473"/>
    </row>
    <row r="3481" spans="1:13" ht="13.5">
      <c r="A3481" s="475" t="s">
        <v>5516</v>
      </c>
      <c r="B3481" s="475" t="s">
        <v>5517</v>
      </c>
      <c r="C3481" s="475" t="s">
        <v>5458</v>
      </c>
      <c r="D3481" s="475" t="s">
        <v>5520</v>
      </c>
      <c r="E3481" s="476" t="s">
        <v>34</v>
      </c>
      <c r="F3481" s="475" t="s">
        <v>34</v>
      </c>
      <c r="G3481" s="364">
        <v>89570</v>
      </c>
      <c r="H3481" s="475" t="s">
        <v>2965</v>
      </c>
      <c r="I3481" s="475" t="s">
        <v>171</v>
      </c>
      <c r="J3481" s="475" t="s">
        <v>337</v>
      </c>
      <c r="K3481" s="365">
        <v>8.23</v>
      </c>
      <c r="L3481" s="475" t="s">
        <v>141</v>
      </c>
      <c r="M3481" s="473"/>
    </row>
    <row r="3482" spans="1:13" ht="13.5">
      <c r="A3482" s="475" t="s">
        <v>5516</v>
      </c>
      <c r="B3482" s="475" t="s">
        <v>5517</v>
      </c>
      <c r="C3482" s="475" t="s">
        <v>5458</v>
      </c>
      <c r="D3482" s="475" t="s">
        <v>5520</v>
      </c>
      <c r="E3482" s="476" t="s">
        <v>34</v>
      </c>
      <c r="F3482" s="475" t="s">
        <v>34</v>
      </c>
      <c r="G3482" s="364">
        <v>89571</v>
      </c>
      <c r="H3482" s="475" t="s">
        <v>2966</v>
      </c>
      <c r="I3482" s="475" t="s">
        <v>171</v>
      </c>
      <c r="J3482" s="475" t="s">
        <v>337</v>
      </c>
      <c r="K3482" s="365">
        <v>43.47</v>
      </c>
      <c r="L3482" s="475" t="s">
        <v>141</v>
      </c>
      <c r="M3482" s="473"/>
    </row>
    <row r="3483" spans="1:13" ht="13.5">
      <c r="A3483" s="475" t="s">
        <v>5516</v>
      </c>
      <c r="B3483" s="475" t="s">
        <v>5517</v>
      </c>
      <c r="C3483" s="475" t="s">
        <v>5458</v>
      </c>
      <c r="D3483" s="475" t="s">
        <v>5520</v>
      </c>
      <c r="E3483" s="476" t="s">
        <v>34</v>
      </c>
      <c r="F3483" s="475" t="s">
        <v>34</v>
      </c>
      <c r="G3483" s="364">
        <v>89572</v>
      </c>
      <c r="H3483" s="475" t="s">
        <v>2967</v>
      </c>
      <c r="I3483" s="475" t="s">
        <v>171</v>
      </c>
      <c r="J3483" s="475" t="s">
        <v>337</v>
      </c>
      <c r="K3483" s="365">
        <v>5.75</v>
      </c>
      <c r="L3483" s="475" t="s">
        <v>141</v>
      </c>
      <c r="M3483" s="473"/>
    </row>
    <row r="3484" spans="1:13" ht="13.5">
      <c r="A3484" s="475" t="s">
        <v>5516</v>
      </c>
      <c r="B3484" s="475" t="s">
        <v>5517</v>
      </c>
      <c r="C3484" s="475" t="s">
        <v>5458</v>
      </c>
      <c r="D3484" s="475" t="s">
        <v>5520</v>
      </c>
      <c r="E3484" s="476" t="s">
        <v>34</v>
      </c>
      <c r="F3484" s="475" t="s">
        <v>34</v>
      </c>
      <c r="G3484" s="364">
        <v>89573</v>
      </c>
      <c r="H3484" s="475" t="s">
        <v>2968</v>
      </c>
      <c r="I3484" s="475" t="s">
        <v>171</v>
      </c>
      <c r="J3484" s="475" t="s">
        <v>337</v>
      </c>
      <c r="K3484" s="365">
        <v>39.700000000000003</v>
      </c>
      <c r="L3484" s="475" t="s">
        <v>141</v>
      </c>
      <c r="M3484" s="473"/>
    </row>
    <row r="3485" spans="1:13" ht="13.5">
      <c r="A3485" s="475" t="s">
        <v>5516</v>
      </c>
      <c r="B3485" s="475" t="s">
        <v>5517</v>
      </c>
      <c r="C3485" s="475" t="s">
        <v>5458</v>
      </c>
      <c r="D3485" s="475" t="s">
        <v>5520</v>
      </c>
      <c r="E3485" s="476" t="s">
        <v>34</v>
      </c>
      <c r="F3485" s="475" t="s">
        <v>34</v>
      </c>
      <c r="G3485" s="364">
        <v>89574</v>
      </c>
      <c r="H3485" s="475" t="s">
        <v>2969</v>
      </c>
      <c r="I3485" s="475" t="s">
        <v>171</v>
      </c>
      <c r="J3485" s="475" t="s">
        <v>337</v>
      </c>
      <c r="K3485" s="365">
        <v>76.69</v>
      </c>
      <c r="L3485" s="475" t="s">
        <v>141</v>
      </c>
      <c r="M3485" s="473"/>
    </row>
    <row r="3486" spans="1:13" ht="13.5">
      <c r="A3486" s="475" t="s">
        <v>5516</v>
      </c>
      <c r="B3486" s="475" t="s">
        <v>5517</v>
      </c>
      <c r="C3486" s="475" t="s">
        <v>5458</v>
      </c>
      <c r="D3486" s="475" t="s">
        <v>5520</v>
      </c>
      <c r="E3486" s="476" t="s">
        <v>34</v>
      </c>
      <c r="F3486" s="475" t="s">
        <v>34</v>
      </c>
      <c r="G3486" s="364">
        <v>89575</v>
      </c>
      <c r="H3486" s="475" t="s">
        <v>2970</v>
      </c>
      <c r="I3486" s="475" t="s">
        <v>171</v>
      </c>
      <c r="J3486" s="475" t="s">
        <v>337</v>
      </c>
      <c r="K3486" s="365">
        <v>7.7</v>
      </c>
      <c r="L3486" s="475" t="s">
        <v>141</v>
      </c>
      <c r="M3486" s="473"/>
    </row>
    <row r="3487" spans="1:13" ht="13.5">
      <c r="A3487" s="475" t="s">
        <v>5516</v>
      </c>
      <c r="B3487" s="475" t="s">
        <v>5517</v>
      </c>
      <c r="C3487" s="475" t="s">
        <v>5458</v>
      </c>
      <c r="D3487" s="475" t="s">
        <v>5520</v>
      </c>
      <c r="E3487" s="476" t="s">
        <v>34</v>
      </c>
      <c r="F3487" s="475" t="s">
        <v>34</v>
      </c>
      <c r="G3487" s="364">
        <v>89577</v>
      </c>
      <c r="H3487" s="475" t="s">
        <v>2971</v>
      </c>
      <c r="I3487" s="475" t="s">
        <v>171</v>
      </c>
      <c r="J3487" s="475" t="s">
        <v>337</v>
      </c>
      <c r="K3487" s="365">
        <v>23.77</v>
      </c>
      <c r="L3487" s="475" t="s">
        <v>141</v>
      </c>
      <c r="M3487" s="473"/>
    </row>
    <row r="3488" spans="1:13" ht="13.5">
      <c r="A3488" s="475" t="s">
        <v>5516</v>
      </c>
      <c r="B3488" s="475" t="s">
        <v>5517</v>
      </c>
      <c r="C3488" s="475" t="s">
        <v>5458</v>
      </c>
      <c r="D3488" s="475" t="s">
        <v>5520</v>
      </c>
      <c r="E3488" s="476" t="s">
        <v>34</v>
      </c>
      <c r="F3488" s="475" t="s">
        <v>34</v>
      </c>
      <c r="G3488" s="364">
        <v>89579</v>
      </c>
      <c r="H3488" s="475" t="s">
        <v>2972</v>
      </c>
      <c r="I3488" s="475" t="s">
        <v>171</v>
      </c>
      <c r="J3488" s="475" t="s">
        <v>337</v>
      </c>
      <c r="K3488" s="365">
        <v>7.88</v>
      </c>
      <c r="L3488" s="475" t="s">
        <v>141</v>
      </c>
      <c r="M3488" s="473"/>
    </row>
    <row r="3489" spans="1:13" ht="13.5">
      <c r="A3489" s="475" t="s">
        <v>5516</v>
      </c>
      <c r="B3489" s="475" t="s">
        <v>5517</v>
      </c>
      <c r="C3489" s="475" t="s">
        <v>5458</v>
      </c>
      <c r="D3489" s="475" t="s">
        <v>5520</v>
      </c>
      <c r="E3489" s="476" t="s">
        <v>34</v>
      </c>
      <c r="F3489" s="475" t="s">
        <v>34</v>
      </c>
      <c r="G3489" s="364">
        <v>89581</v>
      </c>
      <c r="H3489" s="475" t="s">
        <v>2973</v>
      </c>
      <c r="I3489" s="475" t="s">
        <v>171</v>
      </c>
      <c r="J3489" s="475" t="s">
        <v>337</v>
      </c>
      <c r="K3489" s="365">
        <v>16.41</v>
      </c>
      <c r="L3489" s="475" t="s">
        <v>141</v>
      </c>
      <c r="M3489" s="473"/>
    </row>
    <row r="3490" spans="1:13" ht="13.5">
      <c r="A3490" s="475" t="s">
        <v>5516</v>
      </c>
      <c r="B3490" s="475" t="s">
        <v>5517</v>
      </c>
      <c r="C3490" s="475" t="s">
        <v>5458</v>
      </c>
      <c r="D3490" s="475" t="s">
        <v>5520</v>
      </c>
      <c r="E3490" s="476" t="s">
        <v>34</v>
      </c>
      <c r="F3490" s="475" t="s">
        <v>34</v>
      </c>
      <c r="G3490" s="364">
        <v>89582</v>
      </c>
      <c r="H3490" s="475" t="s">
        <v>2974</v>
      </c>
      <c r="I3490" s="475" t="s">
        <v>171</v>
      </c>
      <c r="J3490" s="475" t="s">
        <v>337</v>
      </c>
      <c r="K3490" s="365">
        <v>14.48</v>
      </c>
      <c r="L3490" s="475" t="s">
        <v>141</v>
      </c>
      <c r="M3490" s="473"/>
    </row>
    <row r="3491" spans="1:13" ht="13.5">
      <c r="A3491" s="475" t="s">
        <v>5516</v>
      </c>
      <c r="B3491" s="475" t="s">
        <v>5517</v>
      </c>
      <c r="C3491" s="475" t="s">
        <v>5458</v>
      </c>
      <c r="D3491" s="475" t="s">
        <v>5520</v>
      </c>
      <c r="E3491" s="476" t="s">
        <v>34</v>
      </c>
      <c r="F3491" s="475" t="s">
        <v>34</v>
      </c>
      <c r="G3491" s="364">
        <v>89583</v>
      </c>
      <c r="H3491" s="475" t="s">
        <v>2975</v>
      </c>
      <c r="I3491" s="475" t="s">
        <v>171</v>
      </c>
      <c r="J3491" s="475" t="s">
        <v>337</v>
      </c>
      <c r="K3491" s="365">
        <v>21.53</v>
      </c>
      <c r="L3491" s="475" t="s">
        <v>141</v>
      </c>
      <c r="M3491" s="473"/>
    </row>
    <row r="3492" spans="1:13" ht="13.5">
      <c r="A3492" s="475" t="s">
        <v>5516</v>
      </c>
      <c r="B3492" s="475" t="s">
        <v>5517</v>
      </c>
      <c r="C3492" s="475" t="s">
        <v>5458</v>
      </c>
      <c r="D3492" s="475" t="s">
        <v>5520</v>
      </c>
      <c r="E3492" s="476" t="s">
        <v>34</v>
      </c>
      <c r="F3492" s="475" t="s">
        <v>34</v>
      </c>
      <c r="G3492" s="364">
        <v>89584</v>
      </c>
      <c r="H3492" s="475" t="s">
        <v>2976</v>
      </c>
      <c r="I3492" s="475" t="s">
        <v>171</v>
      </c>
      <c r="J3492" s="475" t="s">
        <v>337</v>
      </c>
      <c r="K3492" s="365">
        <v>24.86</v>
      </c>
      <c r="L3492" s="475" t="s">
        <v>141</v>
      </c>
      <c r="M3492" s="473"/>
    </row>
    <row r="3493" spans="1:13" ht="13.5">
      <c r="A3493" s="475" t="s">
        <v>5516</v>
      </c>
      <c r="B3493" s="475" t="s">
        <v>5517</v>
      </c>
      <c r="C3493" s="475" t="s">
        <v>5458</v>
      </c>
      <c r="D3493" s="475" t="s">
        <v>5520</v>
      </c>
      <c r="E3493" s="476" t="s">
        <v>34</v>
      </c>
      <c r="F3493" s="475" t="s">
        <v>34</v>
      </c>
      <c r="G3493" s="364">
        <v>89585</v>
      </c>
      <c r="H3493" s="475" t="s">
        <v>2977</v>
      </c>
      <c r="I3493" s="475" t="s">
        <v>171</v>
      </c>
      <c r="J3493" s="475" t="s">
        <v>337</v>
      </c>
      <c r="K3493" s="365">
        <v>20.16</v>
      </c>
      <c r="L3493" s="475" t="s">
        <v>141</v>
      </c>
      <c r="M3493" s="473"/>
    </row>
    <row r="3494" spans="1:13" ht="13.5">
      <c r="A3494" s="475" t="s">
        <v>5516</v>
      </c>
      <c r="B3494" s="475" t="s">
        <v>5517</v>
      </c>
      <c r="C3494" s="475" t="s">
        <v>5458</v>
      </c>
      <c r="D3494" s="475" t="s">
        <v>5520</v>
      </c>
      <c r="E3494" s="476" t="s">
        <v>34</v>
      </c>
      <c r="F3494" s="475" t="s">
        <v>34</v>
      </c>
      <c r="G3494" s="364">
        <v>89586</v>
      </c>
      <c r="H3494" s="475" t="s">
        <v>2978</v>
      </c>
      <c r="I3494" s="475" t="s">
        <v>171</v>
      </c>
      <c r="J3494" s="475" t="s">
        <v>337</v>
      </c>
      <c r="K3494" s="365">
        <v>20.16</v>
      </c>
      <c r="L3494" s="475" t="s">
        <v>141</v>
      </c>
      <c r="M3494" s="473"/>
    </row>
    <row r="3495" spans="1:13" ht="13.5">
      <c r="A3495" s="475" t="s">
        <v>5516</v>
      </c>
      <c r="B3495" s="475" t="s">
        <v>5517</v>
      </c>
      <c r="C3495" s="475" t="s">
        <v>5458</v>
      </c>
      <c r="D3495" s="475" t="s">
        <v>5520</v>
      </c>
      <c r="E3495" s="476" t="s">
        <v>34</v>
      </c>
      <c r="F3495" s="475" t="s">
        <v>34</v>
      </c>
      <c r="G3495" s="364">
        <v>89587</v>
      </c>
      <c r="H3495" s="475" t="s">
        <v>2979</v>
      </c>
      <c r="I3495" s="475" t="s">
        <v>171</v>
      </c>
      <c r="J3495" s="475" t="s">
        <v>337</v>
      </c>
      <c r="K3495" s="365">
        <v>32.24</v>
      </c>
      <c r="L3495" s="475" t="s">
        <v>141</v>
      </c>
      <c r="M3495" s="473"/>
    </row>
    <row r="3496" spans="1:13" ht="13.5">
      <c r="A3496" s="475" t="s">
        <v>5516</v>
      </c>
      <c r="B3496" s="475" t="s">
        <v>5517</v>
      </c>
      <c r="C3496" s="475" t="s">
        <v>5458</v>
      </c>
      <c r="D3496" s="475" t="s">
        <v>5520</v>
      </c>
      <c r="E3496" s="476" t="s">
        <v>34</v>
      </c>
      <c r="F3496" s="475" t="s">
        <v>34</v>
      </c>
      <c r="G3496" s="364">
        <v>89590</v>
      </c>
      <c r="H3496" s="475" t="s">
        <v>2980</v>
      </c>
      <c r="I3496" s="475" t="s">
        <v>171</v>
      </c>
      <c r="J3496" s="475" t="s">
        <v>337</v>
      </c>
      <c r="K3496" s="365">
        <v>77.569999999999993</v>
      </c>
      <c r="L3496" s="475" t="s">
        <v>141</v>
      </c>
      <c r="M3496" s="473"/>
    </row>
    <row r="3497" spans="1:13" ht="13.5">
      <c r="A3497" s="475" t="s">
        <v>5516</v>
      </c>
      <c r="B3497" s="475" t="s">
        <v>5517</v>
      </c>
      <c r="C3497" s="475" t="s">
        <v>5458</v>
      </c>
      <c r="D3497" s="475" t="s">
        <v>5520</v>
      </c>
      <c r="E3497" s="476" t="s">
        <v>34</v>
      </c>
      <c r="F3497" s="475" t="s">
        <v>34</v>
      </c>
      <c r="G3497" s="364">
        <v>89591</v>
      </c>
      <c r="H3497" s="475" t="s">
        <v>2981</v>
      </c>
      <c r="I3497" s="475" t="s">
        <v>171</v>
      </c>
      <c r="J3497" s="475" t="s">
        <v>337</v>
      </c>
      <c r="K3497" s="365">
        <v>64.06</v>
      </c>
      <c r="L3497" s="475" t="s">
        <v>141</v>
      </c>
      <c r="M3497" s="473"/>
    </row>
    <row r="3498" spans="1:13" ht="13.5">
      <c r="A3498" s="475" t="s">
        <v>5516</v>
      </c>
      <c r="B3498" s="475" t="s">
        <v>5517</v>
      </c>
      <c r="C3498" s="475" t="s">
        <v>5458</v>
      </c>
      <c r="D3498" s="475" t="s">
        <v>5520</v>
      </c>
      <c r="E3498" s="476" t="s">
        <v>34</v>
      </c>
      <c r="F3498" s="475" t="s">
        <v>34</v>
      </c>
      <c r="G3498" s="364">
        <v>89592</v>
      </c>
      <c r="H3498" s="475" t="s">
        <v>2982</v>
      </c>
      <c r="I3498" s="475" t="s">
        <v>171</v>
      </c>
      <c r="J3498" s="475" t="s">
        <v>337</v>
      </c>
      <c r="K3498" s="365">
        <v>103.34</v>
      </c>
      <c r="L3498" s="475" t="s">
        <v>141</v>
      </c>
      <c r="M3498" s="473"/>
    </row>
    <row r="3499" spans="1:13" ht="13.5">
      <c r="A3499" s="475" t="s">
        <v>5516</v>
      </c>
      <c r="B3499" s="475" t="s">
        <v>5517</v>
      </c>
      <c r="C3499" s="475" t="s">
        <v>5458</v>
      </c>
      <c r="D3499" s="475" t="s">
        <v>5520</v>
      </c>
      <c r="E3499" s="476" t="s">
        <v>34</v>
      </c>
      <c r="F3499" s="475" t="s">
        <v>34</v>
      </c>
      <c r="G3499" s="364">
        <v>89593</v>
      </c>
      <c r="H3499" s="475" t="s">
        <v>2983</v>
      </c>
      <c r="I3499" s="475" t="s">
        <v>171</v>
      </c>
      <c r="J3499" s="475" t="s">
        <v>337</v>
      </c>
      <c r="K3499" s="365">
        <v>21.55</v>
      </c>
      <c r="L3499" s="475" t="s">
        <v>141</v>
      </c>
      <c r="M3499" s="473"/>
    </row>
    <row r="3500" spans="1:13" ht="13.5">
      <c r="A3500" s="475" t="s">
        <v>5516</v>
      </c>
      <c r="B3500" s="475" t="s">
        <v>5517</v>
      </c>
      <c r="C3500" s="475" t="s">
        <v>5458</v>
      </c>
      <c r="D3500" s="475" t="s">
        <v>5520</v>
      </c>
      <c r="E3500" s="476" t="s">
        <v>34</v>
      </c>
      <c r="F3500" s="475" t="s">
        <v>34</v>
      </c>
      <c r="G3500" s="364">
        <v>89594</v>
      </c>
      <c r="H3500" s="475" t="s">
        <v>2984</v>
      </c>
      <c r="I3500" s="475" t="s">
        <v>171</v>
      </c>
      <c r="J3500" s="475" t="s">
        <v>337</v>
      </c>
      <c r="K3500" s="365">
        <v>25.92</v>
      </c>
      <c r="L3500" s="475" t="s">
        <v>141</v>
      </c>
      <c r="M3500" s="473"/>
    </row>
    <row r="3501" spans="1:13" ht="13.5">
      <c r="A3501" s="475" t="s">
        <v>5516</v>
      </c>
      <c r="B3501" s="475" t="s">
        <v>5517</v>
      </c>
      <c r="C3501" s="475" t="s">
        <v>5458</v>
      </c>
      <c r="D3501" s="475" t="s">
        <v>5520</v>
      </c>
      <c r="E3501" s="476" t="s">
        <v>34</v>
      </c>
      <c r="F3501" s="475" t="s">
        <v>34</v>
      </c>
      <c r="G3501" s="364">
        <v>89595</v>
      </c>
      <c r="H3501" s="475" t="s">
        <v>2985</v>
      </c>
      <c r="I3501" s="475" t="s">
        <v>171</v>
      </c>
      <c r="J3501" s="475" t="s">
        <v>337</v>
      </c>
      <c r="K3501" s="365">
        <v>10.15</v>
      </c>
      <c r="L3501" s="475" t="s">
        <v>141</v>
      </c>
      <c r="M3501" s="473"/>
    </row>
    <row r="3502" spans="1:13" ht="13.5">
      <c r="A3502" s="475" t="s">
        <v>5516</v>
      </c>
      <c r="B3502" s="475" t="s">
        <v>5517</v>
      </c>
      <c r="C3502" s="475" t="s">
        <v>5458</v>
      </c>
      <c r="D3502" s="475" t="s">
        <v>5520</v>
      </c>
      <c r="E3502" s="476" t="s">
        <v>34</v>
      </c>
      <c r="F3502" s="475" t="s">
        <v>34</v>
      </c>
      <c r="G3502" s="364">
        <v>89596</v>
      </c>
      <c r="H3502" s="475" t="s">
        <v>2986</v>
      </c>
      <c r="I3502" s="475" t="s">
        <v>171</v>
      </c>
      <c r="J3502" s="475" t="s">
        <v>337</v>
      </c>
      <c r="K3502" s="365">
        <v>7.58</v>
      </c>
      <c r="L3502" s="475" t="s">
        <v>141</v>
      </c>
      <c r="M3502" s="473"/>
    </row>
    <row r="3503" spans="1:13" ht="13.5">
      <c r="A3503" s="475" t="s">
        <v>5516</v>
      </c>
      <c r="B3503" s="475" t="s">
        <v>5517</v>
      </c>
      <c r="C3503" s="475" t="s">
        <v>5458</v>
      </c>
      <c r="D3503" s="475" t="s">
        <v>5520</v>
      </c>
      <c r="E3503" s="476" t="s">
        <v>34</v>
      </c>
      <c r="F3503" s="475" t="s">
        <v>34</v>
      </c>
      <c r="G3503" s="364">
        <v>89597</v>
      </c>
      <c r="H3503" s="475" t="s">
        <v>2987</v>
      </c>
      <c r="I3503" s="475" t="s">
        <v>171</v>
      </c>
      <c r="J3503" s="475" t="s">
        <v>337</v>
      </c>
      <c r="K3503" s="365">
        <v>14</v>
      </c>
      <c r="L3503" s="475" t="s">
        <v>141</v>
      </c>
      <c r="M3503" s="473"/>
    </row>
    <row r="3504" spans="1:13" ht="13.5">
      <c r="A3504" s="475" t="s">
        <v>5516</v>
      </c>
      <c r="B3504" s="475" t="s">
        <v>5517</v>
      </c>
      <c r="C3504" s="475" t="s">
        <v>5458</v>
      </c>
      <c r="D3504" s="475" t="s">
        <v>5520</v>
      </c>
      <c r="E3504" s="476" t="s">
        <v>34</v>
      </c>
      <c r="F3504" s="475" t="s">
        <v>34</v>
      </c>
      <c r="G3504" s="364">
        <v>89598</v>
      </c>
      <c r="H3504" s="475" t="s">
        <v>2988</v>
      </c>
      <c r="I3504" s="475" t="s">
        <v>171</v>
      </c>
      <c r="J3504" s="475" t="s">
        <v>337</v>
      </c>
      <c r="K3504" s="365">
        <v>35.76</v>
      </c>
      <c r="L3504" s="475" t="s">
        <v>141</v>
      </c>
      <c r="M3504" s="473"/>
    </row>
    <row r="3505" spans="1:13" ht="13.5">
      <c r="A3505" s="475" t="s">
        <v>5516</v>
      </c>
      <c r="B3505" s="475" t="s">
        <v>5517</v>
      </c>
      <c r="C3505" s="475" t="s">
        <v>5458</v>
      </c>
      <c r="D3505" s="475" t="s">
        <v>5520</v>
      </c>
      <c r="E3505" s="476" t="s">
        <v>34</v>
      </c>
      <c r="F3505" s="475" t="s">
        <v>34</v>
      </c>
      <c r="G3505" s="364">
        <v>89599</v>
      </c>
      <c r="H3505" s="475" t="s">
        <v>2989</v>
      </c>
      <c r="I3505" s="475" t="s">
        <v>171</v>
      </c>
      <c r="J3505" s="475" t="s">
        <v>337</v>
      </c>
      <c r="K3505" s="365">
        <v>11.12</v>
      </c>
      <c r="L3505" s="475" t="s">
        <v>141</v>
      </c>
      <c r="M3505" s="473"/>
    </row>
    <row r="3506" spans="1:13" ht="13.5">
      <c r="A3506" s="475" t="s">
        <v>5516</v>
      </c>
      <c r="B3506" s="475" t="s">
        <v>5517</v>
      </c>
      <c r="C3506" s="475" t="s">
        <v>5458</v>
      </c>
      <c r="D3506" s="475" t="s">
        <v>5520</v>
      </c>
      <c r="E3506" s="476" t="s">
        <v>34</v>
      </c>
      <c r="F3506" s="475" t="s">
        <v>34</v>
      </c>
      <c r="G3506" s="364">
        <v>89600</v>
      </c>
      <c r="H3506" s="475" t="s">
        <v>2990</v>
      </c>
      <c r="I3506" s="475" t="s">
        <v>171</v>
      </c>
      <c r="J3506" s="475" t="s">
        <v>337</v>
      </c>
      <c r="K3506" s="365">
        <v>12.08</v>
      </c>
      <c r="L3506" s="475" t="s">
        <v>141</v>
      </c>
      <c r="M3506" s="473"/>
    </row>
    <row r="3507" spans="1:13" ht="13.5">
      <c r="A3507" s="475" t="s">
        <v>5516</v>
      </c>
      <c r="B3507" s="475" t="s">
        <v>5517</v>
      </c>
      <c r="C3507" s="475" t="s">
        <v>5458</v>
      </c>
      <c r="D3507" s="475" t="s">
        <v>5520</v>
      </c>
      <c r="E3507" s="476" t="s">
        <v>34</v>
      </c>
      <c r="F3507" s="475" t="s">
        <v>34</v>
      </c>
      <c r="G3507" s="364">
        <v>89605</v>
      </c>
      <c r="H3507" s="475" t="s">
        <v>2991</v>
      </c>
      <c r="I3507" s="475" t="s">
        <v>171</v>
      </c>
      <c r="J3507" s="475" t="s">
        <v>337</v>
      </c>
      <c r="K3507" s="365">
        <v>13.68</v>
      </c>
      <c r="L3507" s="475" t="s">
        <v>141</v>
      </c>
      <c r="M3507" s="473"/>
    </row>
    <row r="3508" spans="1:13" ht="13.5">
      <c r="A3508" s="475" t="s">
        <v>5516</v>
      </c>
      <c r="B3508" s="475" t="s">
        <v>5517</v>
      </c>
      <c r="C3508" s="475" t="s">
        <v>5458</v>
      </c>
      <c r="D3508" s="475" t="s">
        <v>5520</v>
      </c>
      <c r="E3508" s="476" t="s">
        <v>34</v>
      </c>
      <c r="F3508" s="475" t="s">
        <v>34</v>
      </c>
      <c r="G3508" s="364">
        <v>89609</v>
      </c>
      <c r="H3508" s="475" t="s">
        <v>2992</v>
      </c>
      <c r="I3508" s="475" t="s">
        <v>171</v>
      </c>
      <c r="J3508" s="475" t="s">
        <v>337</v>
      </c>
      <c r="K3508" s="365">
        <v>59.58</v>
      </c>
      <c r="L3508" s="475" t="s">
        <v>141</v>
      </c>
      <c r="M3508" s="473"/>
    </row>
    <row r="3509" spans="1:13" ht="13.5">
      <c r="A3509" s="475" t="s">
        <v>5516</v>
      </c>
      <c r="B3509" s="475" t="s">
        <v>5517</v>
      </c>
      <c r="C3509" s="475" t="s">
        <v>5458</v>
      </c>
      <c r="D3509" s="475" t="s">
        <v>5520</v>
      </c>
      <c r="E3509" s="476" t="s">
        <v>34</v>
      </c>
      <c r="F3509" s="475" t="s">
        <v>34</v>
      </c>
      <c r="G3509" s="364">
        <v>89610</v>
      </c>
      <c r="H3509" s="475" t="s">
        <v>2993</v>
      </c>
      <c r="I3509" s="475" t="s">
        <v>171</v>
      </c>
      <c r="J3509" s="475" t="s">
        <v>337</v>
      </c>
      <c r="K3509" s="365">
        <v>14.01</v>
      </c>
      <c r="L3509" s="475" t="s">
        <v>141</v>
      </c>
      <c r="M3509" s="473"/>
    </row>
    <row r="3510" spans="1:13" ht="13.5">
      <c r="A3510" s="475" t="s">
        <v>5516</v>
      </c>
      <c r="B3510" s="475" t="s">
        <v>5517</v>
      </c>
      <c r="C3510" s="475" t="s">
        <v>5458</v>
      </c>
      <c r="D3510" s="475" t="s">
        <v>5520</v>
      </c>
      <c r="E3510" s="476" t="s">
        <v>34</v>
      </c>
      <c r="F3510" s="475" t="s">
        <v>34</v>
      </c>
      <c r="G3510" s="364">
        <v>89611</v>
      </c>
      <c r="H3510" s="475" t="s">
        <v>2994</v>
      </c>
      <c r="I3510" s="475" t="s">
        <v>171</v>
      </c>
      <c r="J3510" s="475" t="s">
        <v>337</v>
      </c>
      <c r="K3510" s="365">
        <v>22.77</v>
      </c>
      <c r="L3510" s="475" t="s">
        <v>141</v>
      </c>
      <c r="M3510" s="473"/>
    </row>
    <row r="3511" spans="1:13" ht="13.5">
      <c r="A3511" s="475" t="s">
        <v>5516</v>
      </c>
      <c r="B3511" s="475" t="s">
        <v>5517</v>
      </c>
      <c r="C3511" s="475" t="s">
        <v>5458</v>
      </c>
      <c r="D3511" s="475" t="s">
        <v>5520</v>
      </c>
      <c r="E3511" s="476" t="s">
        <v>34</v>
      </c>
      <c r="F3511" s="475" t="s">
        <v>34</v>
      </c>
      <c r="G3511" s="364">
        <v>89612</v>
      </c>
      <c r="H3511" s="475" t="s">
        <v>2995</v>
      </c>
      <c r="I3511" s="475" t="s">
        <v>171</v>
      </c>
      <c r="J3511" s="475" t="s">
        <v>337</v>
      </c>
      <c r="K3511" s="365">
        <v>117.07</v>
      </c>
      <c r="L3511" s="475" t="s">
        <v>141</v>
      </c>
      <c r="M3511" s="473"/>
    </row>
    <row r="3512" spans="1:13" ht="13.5">
      <c r="A3512" s="475" t="s">
        <v>5516</v>
      </c>
      <c r="B3512" s="475" t="s">
        <v>5517</v>
      </c>
      <c r="C3512" s="475" t="s">
        <v>5458</v>
      </c>
      <c r="D3512" s="475" t="s">
        <v>5520</v>
      </c>
      <c r="E3512" s="476" t="s">
        <v>34</v>
      </c>
      <c r="F3512" s="475" t="s">
        <v>34</v>
      </c>
      <c r="G3512" s="364">
        <v>89613</v>
      </c>
      <c r="H3512" s="475" t="s">
        <v>2996</v>
      </c>
      <c r="I3512" s="475" t="s">
        <v>171</v>
      </c>
      <c r="J3512" s="475" t="s">
        <v>337</v>
      </c>
      <c r="K3512" s="365">
        <v>20.420000000000002</v>
      </c>
      <c r="L3512" s="475" t="s">
        <v>141</v>
      </c>
      <c r="M3512" s="473"/>
    </row>
    <row r="3513" spans="1:13" ht="13.5">
      <c r="A3513" s="475" t="s">
        <v>5516</v>
      </c>
      <c r="B3513" s="475" t="s">
        <v>5517</v>
      </c>
      <c r="C3513" s="475" t="s">
        <v>5458</v>
      </c>
      <c r="D3513" s="475" t="s">
        <v>5520</v>
      </c>
      <c r="E3513" s="476" t="s">
        <v>34</v>
      </c>
      <c r="F3513" s="475" t="s">
        <v>34</v>
      </c>
      <c r="G3513" s="364">
        <v>89614</v>
      </c>
      <c r="H3513" s="475" t="s">
        <v>2997</v>
      </c>
      <c r="I3513" s="475" t="s">
        <v>171</v>
      </c>
      <c r="J3513" s="475" t="s">
        <v>337</v>
      </c>
      <c r="K3513" s="365">
        <v>42.64</v>
      </c>
      <c r="L3513" s="475" t="s">
        <v>141</v>
      </c>
      <c r="M3513" s="473"/>
    </row>
    <row r="3514" spans="1:13" ht="13.5">
      <c r="A3514" s="475" t="s">
        <v>5516</v>
      </c>
      <c r="B3514" s="475" t="s">
        <v>5517</v>
      </c>
      <c r="C3514" s="475" t="s">
        <v>5458</v>
      </c>
      <c r="D3514" s="475" t="s">
        <v>5520</v>
      </c>
      <c r="E3514" s="476" t="s">
        <v>34</v>
      </c>
      <c r="F3514" s="475" t="s">
        <v>34</v>
      </c>
      <c r="G3514" s="364">
        <v>89615</v>
      </c>
      <c r="H3514" s="475" t="s">
        <v>2998</v>
      </c>
      <c r="I3514" s="475" t="s">
        <v>171</v>
      </c>
      <c r="J3514" s="475" t="s">
        <v>337</v>
      </c>
      <c r="K3514" s="365">
        <v>176.76</v>
      </c>
      <c r="L3514" s="475" t="s">
        <v>141</v>
      </c>
      <c r="M3514" s="473"/>
    </row>
    <row r="3515" spans="1:13" ht="13.5">
      <c r="A3515" s="475" t="s">
        <v>5516</v>
      </c>
      <c r="B3515" s="475" t="s">
        <v>5517</v>
      </c>
      <c r="C3515" s="475" t="s">
        <v>5458</v>
      </c>
      <c r="D3515" s="475" t="s">
        <v>5520</v>
      </c>
      <c r="E3515" s="476" t="s">
        <v>34</v>
      </c>
      <c r="F3515" s="475" t="s">
        <v>34</v>
      </c>
      <c r="G3515" s="364">
        <v>89616</v>
      </c>
      <c r="H3515" s="475" t="s">
        <v>2999</v>
      </c>
      <c r="I3515" s="475" t="s">
        <v>171</v>
      </c>
      <c r="J3515" s="475" t="s">
        <v>337</v>
      </c>
      <c r="K3515" s="365">
        <v>29.4</v>
      </c>
      <c r="L3515" s="475" t="s">
        <v>141</v>
      </c>
      <c r="M3515" s="473"/>
    </row>
    <row r="3516" spans="1:13" ht="13.5">
      <c r="A3516" s="475" t="s">
        <v>5516</v>
      </c>
      <c r="B3516" s="475" t="s">
        <v>5517</v>
      </c>
      <c r="C3516" s="475" t="s">
        <v>5458</v>
      </c>
      <c r="D3516" s="475" t="s">
        <v>5520</v>
      </c>
      <c r="E3516" s="476" t="s">
        <v>34</v>
      </c>
      <c r="F3516" s="475" t="s">
        <v>34</v>
      </c>
      <c r="G3516" s="364">
        <v>89617</v>
      </c>
      <c r="H3516" s="475" t="s">
        <v>3000</v>
      </c>
      <c r="I3516" s="475" t="s">
        <v>171</v>
      </c>
      <c r="J3516" s="475" t="s">
        <v>337</v>
      </c>
      <c r="K3516" s="365">
        <v>4.76</v>
      </c>
      <c r="L3516" s="475" t="s">
        <v>141</v>
      </c>
      <c r="M3516" s="473"/>
    </row>
    <row r="3517" spans="1:13" ht="13.5">
      <c r="A3517" s="475" t="s">
        <v>5516</v>
      </c>
      <c r="B3517" s="475" t="s">
        <v>5517</v>
      </c>
      <c r="C3517" s="475" t="s">
        <v>5458</v>
      </c>
      <c r="D3517" s="475" t="s">
        <v>5520</v>
      </c>
      <c r="E3517" s="476" t="s">
        <v>34</v>
      </c>
      <c r="F3517" s="475" t="s">
        <v>34</v>
      </c>
      <c r="G3517" s="364">
        <v>89618</v>
      </c>
      <c r="H3517" s="475" t="s">
        <v>3001</v>
      </c>
      <c r="I3517" s="475" t="s">
        <v>171</v>
      </c>
      <c r="J3517" s="475" t="s">
        <v>337</v>
      </c>
      <c r="K3517" s="365">
        <v>10.01</v>
      </c>
      <c r="L3517" s="475" t="s">
        <v>141</v>
      </c>
      <c r="M3517" s="473"/>
    </row>
    <row r="3518" spans="1:13" ht="13.5">
      <c r="A3518" s="475" t="s">
        <v>5516</v>
      </c>
      <c r="B3518" s="475" t="s">
        <v>5517</v>
      </c>
      <c r="C3518" s="475" t="s">
        <v>5458</v>
      </c>
      <c r="D3518" s="475" t="s">
        <v>5520</v>
      </c>
      <c r="E3518" s="476" t="s">
        <v>34</v>
      </c>
      <c r="F3518" s="475" t="s">
        <v>34</v>
      </c>
      <c r="G3518" s="364">
        <v>89619</v>
      </c>
      <c r="H3518" s="475" t="s">
        <v>3002</v>
      </c>
      <c r="I3518" s="475" t="s">
        <v>171</v>
      </c>
      <c r="J3518" s="475" t="s">
        <v>337</v>
      </c>
      <c r="K3518" s="365">
        <v>6.16</v>
      </c>
      <c r="L3518" s="475" t="s">
        <v>141</v>
      </c>
      <c r="M3518" s="473"/>
    </row>
    <row r="3519" spans="1:13" ht="13.5">
      <c r="A3519" s="475" t="s">
        <v>5516</v>
      </c>
      <c r="B3519" s="475" t="s">
        <v>5517</v>
      </c>
      <c r="C3519" s="475" t="s">
        <v>5458</v>
      </c>
      <c r="D3519" s="475" t="s">
        <v>5520</v>
      </c>
      <c r="E3519" s="476" t="s">
        <v>34</v>
      </c>
      <c r="F3519" s="475" t="s">
        <v>34</v>
      </c>
      <c r="G3519" s="364">
        <v>89620</v>
      </c>
      <c r="H3519" s="475" t="s">
        <v>3003</v>
      </c>
      <c r="I3519" s="475" t="s">
        <v>171</v>
      </c>
      <c r="J3519" s="475" t="s">
        <v>337</v>
      </c>
      <c r="K3519" s="365">
        <v>7.8</v>
      </c>
      <c r="L3519" s="475" t="s">
        <v>141</v>
      </c>
      <c r="M3519" s="473"/>
    </row>
    <row r="3520" spans="1:13" ht="13.5">
      <c r="A3520" s="475" t="s">
        <v>5516</v>
      </c>
      <c r="B3520" s="475" t="s">
        <v>5517</v>
      </c>
      <c r="C3520" s="475" t="s">
        <v>5458</v>
      </c>
      <c r="D3520" s="475" t="s">
        <v>5520</v>
      </c>
      <c r="E3520" s="476" t="s">
        <v>34</v>
      </c>
      <c r="F3520" s="475" t="s">
        <v>34</v>
      </c>
      <c r="G3520" s="364">
        <v>89621</v>
      </c>
      <c r="H3520" s="475" t="s">
        <v>3004</v>
      </c>
      <c r="I3520" s="475" t="s">
        <v>171</v>
      </c>
      <c r="J3520" s="475" t="s">
        <v>337</v>
      </c>
      <c r="K3520" s="365">
        <v>16.71</v>
      </c>
      <c r="L3520" s="475" t="s">
        <v>141</v>
      </c>
      <c r="M3520" s="473"/>
    </row>
    <row r="3521" spans="1:13" ht="13.5">
      <c r="A3521" s="475" t="s">
        <v>5516</v>
      </c>
      <c r="B3521" s="475" t="s">
        <v>5517</v>
      </c>
      <c r="C3521" s="475" t="s">
        <v>5458</v>
      </c>
      <c r="D3521" s="475" t="s">
        <v>5520</v>
      </c>
      <c r="E3521" s="476" t="s">
        <v>34</v>
      </c>
      <c r="F3521" s="475" t="s">
        <v>34</v>
      </c>
      <c r="G3521" s="364">
        <v>89622</v>
      </c>
      <c r="H3521" s="475" t="s">
        <v>3005</v>
      </c>
      <c r="I3521" s="475" t="s">
        <v>171</v>
      </c>
      <c r="J3521" s="475" t="s">
        <v>337</v>
      </c>
      <c r="K3521" s="365">
        <v>9.19</v>
      </c>
      <c r="L3521" s="475" t="s">
        <v>141</v>
      </c>
      <c r="M3521" s="473"/>
    </row>
    <row r="3522" spans="1:13" ht="13.5">
      <c r="A3522" s="475" t="s">
        <v>5516</v>
      </c>
      <c r="B3522" s="475" t="s">
        <v>5517</v>
      </c>
      <c r="C3522" s="475" t="s">
        <v>5458</v>
      </c>
      <c r="D3522" s="475" t="s">
        <v>5520</v>
      </c>
      <c r="E3522" s="476" t="s">
        <v>34</v>
      </c>
      <c r="F3522" s="475" t="s">
        <v>34</v>
      </c>
      <c r="G3522" s="364">
        <v>89623</v>
      </c>
      <c r="H3522" s="475" t="s">
        <v>3006</v>
      </c>
      <c r="I3522" s="475" t="s">
        <v>171</v>
      </c>
      <c r="J3522" s="475" t="s">
        <v>337</v>
      </c>
      <c r="K3522" s="365">
        <v>12.34</v>
      </c>
      <c r="L3522" s="475" t="s">
        <v>141</v>
      </c>
      <c r="M3522" s="473"/>
    </row>
    <row r="3523" spans="1:13" ht="13.5">
      <c r="A3523" s="475" t="s">
        <v>5516</v>
      </c>
      <c r="B3523" s="475" t="s">
        <v>5517</v>
      </c>
      <c r="C3523" s="475" t="s">
        <v>5458</v>
      </c>
      <c r="D3523" s="475" t="s">
        <v>5520</v>
      </c>
      <c r="E3523" s="476" t="s">
        <v>34</v>
      </c>
      <c r="F3523" s="475" t="s">
        <v>34</v>
      </c>
      <c r="G3523" s="364">
        <v>89624</v>
      </c>
      <c r="H3523" s="475" t="s">
        <v>3007</v>
      </c>
      <c r="I3523" s="475" t="s">
        <v>171</v>
      </c>
      <c r="J3523" s="475" t="s">
        <v>337</v>
      </c>
      <c r="K3523" s="365">
        <v>13.04</v>
      </c>
      <c r="L3523" s="475" t="s">
        <v>141</v>
      </c>
      <c r="M3523" s="473"/>
    </row>
    <row r="3524" spans="1:13" ht="13.5">
      <c r="A3524" s="475" t="s">
        <v>5516</v>
      </c>
      <c r="B3524" s="475" t="s">
        <v>5517</v>
      </c>
      <c r="C3524" s="475" t="s">
        <v>5458</v>
      </c>
      <c r="D3524" s="475" t="s">
        <v>5520</v>
      </c>
      <c r="E3524" s="476" t="s">
        <v>34</v>
      </c>
      <c r="F3524" s="475" t="s">
        <v>34</v>
      </c>
      <c r="G3524" s="364">
        <v>89625</v>
      </c>
      <c r="H3524" s="475" t="s">
        <v>3008</v>
      </c>
      <c r="I3524" s="475" t="s">
        <v>171</v>
      </c>
      <c r="J3524" s="475" t="s">
        <v>337</v>
      </c>
      <c r="K3524" s="365">
        <v>14.96</v>
      </c>
      <c r="L3524" s="475" t="s">
        <v>141</v>
      </c>
      <c r="M3524" s="473"/>
    </row>
    <row r="3525" spans="1:13" ht="13.5">
      <c r="A3525" s="475" t="s">
        <v>5516</v>
      </c>
      <c r="B3525" s="475" t="s">
        <v>5517</v>
      </c>
      <c r="C3525" s="475" t="s">
        <v>5458</v>
      </c>
      <c r="D3525" s="475" t="s">
        <v>5520</v>
      </c>
      <c r="E3525" s="476" t="s">
        <v>34</v>
      </c>
      <c r="F3525" s="475" t="s">
        <v>34</v>
      </c>
      <c r="G3525" s="364">
        <v>89626</v>
      </c>
      <c r="H3525" s="475" t="s">
        <v>3009</v>
      </c>
      <c r="I3525" s="475" t="s">
        <v>171</v>
      </c>
      <c r="J3525" s="475" t="s">
        <v>337</v>
      </c>
      <c r="K3525" s="365">
        <v>20.36</v>
      </c>
      <c r="L3525" s="475" t="s">
        <v>141</v>
      </c>
      <c r="M3525" s="473"/>
    </row>
    <row r="3526" spans="1:13" ht="13.5">
      <c r="A3526" s="475" t="s">
        <v>5516</v>
      </c>
      <c r="B3526" s="475" t="s">
        <v>5517</v>
      </c>
      <c r="C3526" s="475" t="s">
        <v>5458</v>
      </c>
      <c r="D3526" s="475" t="s">
        <v>5520</v>
      </c>
      <c r="E3526" s="476" t="s">
        <v>34</v>
      </c>
      <c r="F3526" s="475" t="s">
        <v>34</v>
      </c>
      <c r="G3526" s="364">
        <v>89627</v>
      </c>
      <c r="H3526" s="475" t="s">
        <v>3010</v>
      </c>
      <c r="I3526" s="475" t="s">
        <v>171</v>
      </c>
      <c r="J3526" s="475" t="s">
        <v>337</v>
      </c>
      <c r="K3526" s="365">
        <v>14.15</v>
      </c>
      <c r="L3526" s="475" t="s">
        <v>141</v>
      </c>
      <c r="M3526" s="473"/>
    </row>
    <row r="3527" spans="1:13" ht="13.5">
      <c r="A3527" s="475" t="s">
        <v>5516</v>
      </c>
      <c r="B3527" s="475" t="s">
        <v>5517</v>
      </c>
      <c r="C3527" s="475" t="s">
        <v>5458</v>
      </c>
      <c r="D3527" s="475" t="s">
        <v>5520</v>
      </c>
      <c r="E3527" s="476" t="s">
        <v>34</v>
      </c>
      <c r="F3527" s="475" t="s">
        <v>34</v>
      </c>
      <c r="G3527" s="364">
        <v>89628</v>
      </c>
      <c r="H3527" s="475" t="s">
        <v>3011</v>
      </c>
      <c r="I3527" s="475" t="s">
        <v>171</v>
      </c>
      <c r="J3527" s="475" t="s">
        <v>337</v>
      </c>
      <c r="K3527" s="365">
        <v>30.84</v>
      </c>
      <c r="L3527" s="475" t="s">
        <v>141</v>
      </c>
      <c r="M3527" s="473"/>
    </row>
    <row r="3528" spans="1:13" ht="13.5">
      <c r="A3528" s="475" t="s">
        <v>5516</v>
      </c>
      <c r="B3528" s="475" t="s">
        <v>5517</v>
      </c>
      <c r="C3528" s="475" t="s">
        <v>5458</v>
      </c>
      <c r="D3528" s="475" t="s">
        <v>5520</v>
      </c>
      <c r="E3528" s="476" t="s">
        <v>34</v>
      </c>
      <c r="F3528" s="475" t="s">
        <v>34</v>
      </c>
      <c r="G3528" s="364">
        <v>89629</v>
      </c>
      <c r="H3528" s="475" t="s">
        <v>3012</v>
      </c>
      <c r="I3528" s="475" t="s">
        <v>171</v>
      </c>
      <c r="J3528" s="475" t="s">
        <v>337</v>
      </c>
      <c r="K3528" s="365">
        <v>56.08</v>
      </c>
      <c r="L3528" s="475" t="s">
        <v>141</v>
      </c>
      <c r="M3528" s="473"/>
    </row>
    <row r="3529" spans="1:13" ht="13.5">
      <c r="A3529" s="475" t="s">
        <v>5516</v>
      </c>
      <c r="B3529" s="475" t="s">
        <v>5517</v>
      </c>
      <c r="C3529" s="475" t="s">
        <v>5458</v>
      </c>
      <c r="D3529" s="475" t="s">
        <v>5520</v>
      </c>
      <c r="E3529" s="476" t="s">
        <v>34</v>
      </c>
      <c r="F3529" s="475" t="s">
        <v>34</v>
      </c>
      <c r="G3529" s="364">
        <v>89630</v>
      </c>
      <c r="H3529" s="475" t="s">
        <v>3013</v>
      </c>
      <c r="I3529" s="475" t="s">
        <v>171</v>
      </c>
      <c r="J3529" s="475" t="s">
        <v>337</v>
      </c>
      <c r="K3529" s="365">
        <v>48.73</v>
      </c>
      <c r="L3529" s="475" t="s">
        <v>141</v>
      </c>
      <c r="M3529" s="473"/>
    </row>
    <row r="3530" spans="1:13" ht="13.5">
      <c r="A3530" s="475" t="s">
        <v>5516</v>
      </c>
      <c r="B3530" s="475" t="s">
        <v>5517</v>
      </c>
      <c r="C3530" s="475" t="s">
        <v>5458</v>
      </c>
      <c r="D3530" s="475" t="s">
        <v>5520</v>
      </c>
      <c r="E3530" s="476" t="s">
        <v>34</v>
      </c>
      <c r="F3530" s="475" t="s">
        <v>34</v>
      </c>
      <c r="G3530" s="364">
        <v>89631</v>
      </c>
      <c r="H3530" s="475" t="s">
        <v>3014</v>
      </c>
      <c r="I3530" s="475" t="s">
        <v>171</v>
      </c>
      <c r="J3530" s="475" t="s">
        <v>337</v>
      </c>
      <c r="K3530" s="365">
        <v>84.95</v>
      </c>
      <c r="L3530" s="475" t="s">
        <v>141</v>
      </c>
      <c r="M3530" s="473"/>
    </row>
    <row r="3531" spans="1:13" ht="13.5">
      <c r="A3531" s="475" t="s">
        <v>5516</v>
      </c>
      <c r="B3531" s="475" t="s">
        <v>5517</v>
      </c>
      <c r="C3531" s="475" t="s">
        <v>5458</v>
      </c>
      <c r="D3531" s="475" t="s">
        <v>5520</v>
      </c>
      <c r="E3531" s="476" t="s">
        <v>34</v>
      </c>
      <c r="F3531" s="475" t="s">
        <v>34</v>
      </c>
      <c r="G3531" s="364">
        <v>89632</v>
      </c>
      <c r="H3531" s="475" t="s">
        <v>3015</v>
      </c>
      <c r="I3531" s="475" t="s">
        <v>171</v>
      </c>
      <c r="J3531" s="475" t="s">
        <v>337</v>
      </c>
      <c r="K3531" s="365">
        <v>69.89</v>
      </c>
      <c r="L3531" s="475" t="s">
        <v>141</v>
      </c>
      <c r="M3531" s="473"/>
    </row>
    <row r="3532" spans="1:13" ht="13.5">
      <c r="A3532" s="475" t="s">
        <v>5516</v>
      </c>
      <c r="B3532" s="475" t="s">
        <v>5517</v>
      </c>
      <c r="C3532" s="475" t="s">
        <v>5458</v>
      </c>
      <c r="D3532" s="475" t="s">
        <v>5520</v>
      </c>
      <c r="E3532" s="476" t="s">
        <v>34</v>
      </c>
      <c r="F3532" s="475" t="s">
        <v>34</v>
      </c>
      <c r="G3532" s="364">
        <v>89637</v>
      </c>
      <c r="H3532" s="475" t="s">
        <v>3016</v>
      </c>
      <c r="I3532" s="475" t="s">
        <v>171</v>
      </c>
      <c r="J3532" s="475" t="s">
        <v>337</v>
      </c>
      <c r="K3532" s="365">
        <v>5.9</v>
      </c>
      <c r="L3532" s="475" t="s">
        <v>141</v>
      </c>
      <c r="M3532" s="473"/>
    </row>
    <row r="3533" spans="1:13" ht="13.5">
      <c r="A3533" s="475" t="s">
        <v>5516</v>
      </c>
      <c r="B3533" s="475" t="s">
        <v>5517</v>
      </c>
      <c r="C3533" s="475" t="s">
        <v>5458</v>
      </c>
      <c r="D3533" s="475" t="s">
        <v>5520</v>
      </c>
      <c r="E3533" s="476" t="s">
        <v>34</v>
      </c>
      <c r="F3533" s="475" t="s">
        <v>34</v>
      </c>
      <c r="G3533" s="364">
        <v>89638</v>
      </c>
      <c r="H3533" s="475" t="s">
        <v>3017</v>
      </c>
      <c r="I3533" s="475" t="s">
        <v>171</v>
      </c>
      <c r="J3533" s="475" t="s">
        <v>337</v>
      </c>
      <c r="K3533" s="365">
        <v>6.36</v>
      </c>
      <c r="L3533" s="475" t="s">
        <v>141</v>
      </c>
      <c r="M3533" s="473"/>
    </row>
    <row r="3534" spans="1:13" ht="13.5">
      <c r="A3534" s="475" t="s">
        <v>5516</v>
      </c>
      <c r="B3534" s="475" t="s">
        <v>5517</v>
      </c>
      <c r="C3534" s="475" t="s">
        <v>5458</v>
      </c>
      <c r="D3534" s="475" t="s">
        <v>5520</v>
      </c>
      <c r="E3534" s="476" t="s">
        <v>34</v>
      </c>
      <c r="F3534" s="475" t="s">
        <v>34</v>
      </c>
      <c r="G3534" s="364">
        <v>89639</v>
      </c>
      <c r="H3534" s="475" t="s">
        <v>3018</v>
      </c>
      <c r="I3534" s="475" t="s">
        <v>171</v>
      </c>
      <c r="J3534" s="475" t="s">
        <v>337</v>
      </c>
      <c r="K3534" s="365">
        <v>6.53</v>
      </c>
      <c r="L3534" s="475" t="s">
        <v>141</v>
      </c>
      <c r="M3534" s="473"/>
    </row>
    <row r="3535" spans="1:13" ht="13.5">
      <c r="A3535" s="475" t="s">
        <v>5516</v>
      </c>
      <c r="B3535" s="475" t="s">
        <v>5517</v>
      </c>
      <c r="C3535" s="475" t="s">
        <v>5458</v>
      </c>
      <c r="D3535" s="475" t="s">
        <v>5520</v>
      </c>
      <c r="E3535" s="476" t="s">
        <v>34</v>
      </c>
      <c r="F3535" s="475" t="s">
        <v>34</v>
      </c>
      <c r="G3535" s="364">
        <v>89640</v>
      </c>
      <c r="H3535" s="475" t="s">
        <v>15196</v>
      </c>
      <c r="I3535" s="475" t="s">
        <v>171</v>
      </c>
      <c r="J3535" s="475" t="s">
        <v>337</v>
      </c>
      <c r="K3535" s="365">
        <v>9.27</v>
      </c>
      <c r="L3535" s="475" t="s">
        <v>141</v>
      </c>
      <c r="M3535" s="473"/>
    </row>
    <row r="3536" spans="1:13" ht="13.5">
      <c r="A3536" s="475" t="s">
        <v>5516</v>
      </c>
      <c r="B3536" s="475" t="s">
        <v>5517</v>
      </c>
      <c r="C3536" s="475" t="s">
        <v>5458</v>
      </c>
      <c r="D3536" s="475" t="s">
        <v>5520</v>
      </c>
      <c r="E3536" s="476" t="s">
        <v>34</v>
      </c>
      <c r="F3536" s="475" t="s">
        <v>34</v>
      </c>
      <c r="G3536" s="364">
        <v>89641</v>
      </c>
      <c r="H3536" s="475" t="s">
        <v>3019</v>
      </c>
      <c r="I3536" s="475" t="s">
        <v>171</v>
      </c>
      <c r="J3536" s="475" t="s">
        <v>337</v>
      </c>
      <c r="K3536" s="365">
        <v>8.14</v>
      </c>
      <c r="L3536" s="475" t="s">
        <v>141</v>
      </c>
      <c r="M3536" s="473"/>
    </row>
    <row r="3537" spans="1:13" ht="13.5">
      <c r="A3537" s="475" t="s">
        <v>5516</v>
      </c>
      <c r="B3537" s="475" t="s">
        <v>5517</v>
      </c>
      <c r="C3537" s="475" t="s">
        <v>5458</v>
      </c>
      <c r="D3537" s="475" t="s">
        <v>5520</v>
      </c>
      <c r="E3537" s="476" t="s">
        <v>34</v>
      </c>
      <c r="F3537" s="475" t="s">
        <v>34</v>
      </c>
      <c r="G3537" s="364">
        <v>89642</v>
      </c>
      <c r="H3537" s="475" t="s">
        <v>3020</v>
      </c>
      <c r="I3537" s="475" t="s">
        <v>171</v>
      </c>
      <c r="J3537" s="475" t="s">
        <v>337</v>
      </c>
      <c r="K3537" s="365">
        <v>9.02</v>
      </c>
      <c r="L3537" s="475" t="s">
        <v>141</v>
      </c>
      <c r="M3537" s="473"/>
    </row>
    <row r="3538" spans="1:13" ht="13.5">
      <c r="A3538" s="475" t="s">
        <v>5516</v>
      </c>
      <c r="B3538" s="475" t="s">
        <v>5517</v>
      </c>
      <c r="C3538" s="475" t="s">
        <v>5458</v>
      </c>
      <c r="D3538" s="475" t="s">
        <v>5520</v>
      </c>
      <c r="E3538" s="476" t="s">
        <v>34</v>
      </c>
      <c r="F3538" s="475" t="s">
        <v>34</v>
      </c>
      <c r="G3538" s="364">
        <v>89643</v>
      </c>
      <c r="H3538" s="475" t="s">
        <v>3021</v>
      </c>
      <c r="I3538" s="475" t="s">
        <v>171</v>
      </c>
      <c r="J3538" s="475" t="s">
        <v>337</v>
      </c>
      <c r="K3538" s="365">
        <v>9.31</v>
      </c>
      <c r="L3538" s="475" t="s">
        <v>141</v>
      </c>
      <c r="M3538" s="473"/>
    </row>
    <row r="3539" spans="1:13" ht="13.5">
      <c r="A3539" s="475" t="s">
        <v>5516</v>
      </c>
      <c r="B3539" s="475" t="s">
        <v>5517</v>
      </c>
      <c r="C3539" s="475" t="s">
        <v>5458</v>
      </c>
      <c r="D3539" s="475" t="s">
        <v>5520</v>
      </c>
      <c r="E3539" s="476" t="s">
        <v>34</v>
      </c>
      <c r="F3539" s="475" t="s">
        <v>34</v>
      </c>
      <c r="G3539" s="364">
        <v>89644</v>
      </c>
      <c r="H3539" s="475" t="s">
        <v>15197</v>
      </c>
      <c r="I3539" s="475" t="s">
        <v>171</v>
      </c>
      <c r="J3539" s="475" t="s">
        <v>337</v>
      </c>
      <c r="K3539" s="365">
        <v>13.48</v>
      </c>
      <c r="L3539" s="475" t="s">
        <v>141</v>
      </c>
      <c r="M3539" s="473"/>
    </row>
    <row r="3540" spans="1:13" ht="13.5">
      <c r="A3540" s="475" t="s">
        <v>5516</v>
      </c>
      <c r="B3540" s="475" t="s">
        <v>5517</v>
      </c>
      <c r="C3540" s="475" t="s">
        <v>5458</v>
      </c>
      <c r="D3540" s="475" t="s">
        <v>5520</v>
      </c>
      <c r="E3540" s="476" t="s">
        <v>34</v>
      </c>
      <c r="F3540" s="475" t="s">
        <v>34</v>
      </c>
      <c r="G3540" s="364">
        <v>89645</v>
      </c>
      <c r="H3540" s="475" t="s">
        <v>3022</v>
      </c>
      <c r="I3540" s="475" t="s">
        <v>171</v>
      </c>
      <c r="J3540" s="475" t="s">
        <v>337</v>
      </c>
      <c r="K3540" s="365">
        <v>14.18</v>
      </c>
      <c r="L3540" s="475" t="s">
        <v>141</v>
      </c>
      <c r="M3540" s="473"/>
    </row>
    <row r="3541" spans="1:13" ht="13.5">
      <c r="A3541" s="475" t="s">
        <v>5516</v>
      </c>
      <c r="B3541" s="475" t="s">
        <v>5517</v>
      </c>
      <c r="C3541" s="475" t="s">
        <v>5458</v>
      </c>
      <c r="D3541" s="475" t="s">
        <v>5520</v>
      </c>
      <c r="E3541" s="476" t="s">
        <v>34</v>
      </c>
      <c r="F3541" s="475" t="s">
        <v>34</v>
      </c>
      <c r="G3541" s="364">
        <v>89646</v>
      </c>
      <c r="H3541" s="475" t="s">
        <v>3023</v>
      </c>
      <c r="I3541" s="475" t="s">
        <v>171</v>
      </c>
      <c r="J3541" s="475" t="s">
        <v>337</v>
      </c>
      <c r="K3541" s="365">
        <v>11.86</v>
      </c>
      <c r="L3541" s="475" t="s">
        <v>141</v>
      </c>
      <c r="M3541" s="473"/>
    </row>
    <row r="3542" spans="1:13" ht="13.5">
      <c r="A3542" s="475" t="s">
        <v>5516</v>
      </c>
      <c r="B3542" s="475" t="s">
        <v>5517</v>
      </c>
      <c r="C3542" s="475" t="s">
        <v>5458</v>
      </c>
      <c r="D3542" s="475" t="s">
        <v>5520</v>
      </c>
      <c r="E3542" s="476" t="s">
        <v>34</v>
      </c>
      <c r="F3542" s="475" t="s">
        <v>34</v>
      </c>
      <c r="G3542" s="364">
        <v>89647</v>
      </c>
      <c r="H3542" s="475" t="s">
        <v>3024</v>
      </c>
      <c r="I3542" s="475" t="s">
        <v>171</v>
      </c>
      <c r="J3542" s="475" t="s">
        <v>337</v>
      </c>
      <c r="K3542" s="365">
        <v>11.66</v>
      </c>
      <c r="L3542" s="475" t="s">
        <v>141</v>
      </c>
      <c r="M3542" s="473"/>
    </row>
    <row r="3543" spans="1:13" ht="13.5">
      <c r="A3543" s="475" t="s">
        <v>5516</v>
      </c>
      <c r="B3543" s="475" t="s">
        <v>5517</v>
      </c>
      <c r="C3543" s="475" t="s">
        <v>5458</v>
      </c>
      <c r="D3543" s="475" t="s">
        <v>5520</v>
      </c>
      <c r="E3543" s="476" t="s">
        <v>34</v>
      </c>
      <c r="F3543" s="475" t="s">
        <v>34</v>
      </c>
      <c r="G3543" s="364">
        <v>89648</v>
      </c>
      <c r="H3543" s="475" t="s">
        <v>3025</v>
      </c>
      <c r="I3543" s="475" t="s">
        <v>171</v>
      </c>
      <c r="J3543" s="475" t="s">
        <v>337</v>
      </c>
      <c r="K3543" s="365">
        <v>12.6</v>
      </c>
      <c r="L3543" s="475" t="s">
        <v>141</v>
      </c>
      <c r="M3543" s="473"/>
    </row>
    <row r="3544" spans="1:13" ht="13.5">
      <c r="A3544" s="475" t="s">
        <v>5516</v>
      </c>
      <c r="B3544" s="475" t="s">
        <v>5517</v>
      </c>
      <c r="C3544" s="475" t="s">
        <v>5458</v>
      </c>
      <c r="D3544" s="475" t="s">
        <v>5520</v>
      </c>
      <c r="E3544" s="476" t="s">
        <v>34</v>
      </c>
      <c r="F3544" s="475" t="s">
        <v>34</v>
      </c>
      <c r="G3544" s="364">
        <v>89649</v>
      </c>
      <c r="H3544" s="475" t="s">
        <v>3026</v>
      </c>
      <c r="I3544" s="475" t="s">
        <v>171</v>
      </c>
      <c r="J3544" s="475" t="s">
        <v>337</v>
      </c>
      <c r="K3544" s="365">
        <v>16.73</v>
      </c>
      <c r="L3544" s="475" t="s">
        <v>141</v>
      </c>
      <c r="M3544" s="473"/>
    </row>
    <row r="3545" spans="1:13" ht="13.5">
      <c r="A3545" s="475" t="s">
        <v>5516</v>
      </c>
      <c r="B3545" s="475" t="s">
        <v>5517</v>
      </c>
      <c r="C3545" s="475" t="s">
        <v>5458</v>
      </c>
      <c r="D3545" s="475" t="s">
        <v>5520</v>
      </c>
      <c r="E3545" s="476" t="s">
        <v>34</v>
      </c>
      <c r="F3545" s="475" t="s">
        <v>34</v>
      </c>
      <c r="G3545" s="364">
        <v>89650</v>
      </c>
      <c r="H3545" s="475" t="s">
        <v>3027</v>
      </c>
      <c r="I3545" s="475" t="s">
        <v>171</v>
      </c>
      <c r="J3545" s="475" t="s">
        <v>337</v>
      </c>
      <c r="K3545" s="365">
        <v>16.73</v>
      </c>
      <c r="L3545" s="475" t="s">
        <v>141</v>
      </c>
      <c r="M3545" s="473"/>
    </row>
    <row r="3546" spans="1:13" ht="13.5">
      <c r="A3546" s="475" t="s">
        <v>5516</v>
      </c>
      <c r="B3546" s="475" t="s">
        <v>5517</v>
      </c>
      <c r="C3546" s="475" t="s">
        <v>5458</v>
      </c>
      <c r="D3546" s="475" t="s">
        <v>5520</v>
      </c>
      <c r="E3546" s="476" t="s">
        <v>34</v>
      </c>
      <c r="F3546" s="475" t="s">
        <v>34</v>
      </c>
      <c r="G3546" s="364">
        <v>89651</v>
      </c>
      <c r="H3546" s="475" t="s">
        <v>3028</v>
      </c>
      <c r="I3546" s="475" t="s">
        <v>171</v>
      </c>
      <c r="J3546" s="475" t="s">
        <v>337</v>
      </c>
      <c r="K3546" s="365">
        <v>4.1100000000000003</v>
      </c>
      <c r="L3546" s="475" t="s">
        <v>141</v>
      </c>
      <c r="M3546" s="473"/>
    </row>
    <row r="3547" spans="1:13" ht="13.5">
      <c r="A3547" s="475" t="s">
        <v>5516</v>
      </c>
      <c r="B3547" s="475" t="s">
        <v>5517</v>
      </c>
      <c r="C3547" s="475" t="s">
        <v>5458</v>
      </c>
      <c r="D3547" s="475" t="s">
        <v>5520</v>
      </c>
      <c r="E3547" s="476" t="s">
        <v>34</v>
      </c>
      <c r="F3547" s="475" t="s">
        <v>34</v>
      </c>
      <c r="G3547" s="364">
        <v>89652</v>
      </c>
      <c r="H3547" s="475" t="s">
        <v>3029</v>
      </c>
      <c r="I3547" s="475" t="s">
        <v>171</v>
      </c>
      <c r="J3547" s="475" t="s">
        <v>337</v>
      </c>
      <c r="K3547" s="365">
        <v>6.13</v>
      </c>
      <c r="L3547" s="475" t="s">
        <v>141</v>
      </c>
      <c r="M3547" s="473"/>
    </row>
    <row r="3548" spans="1:13" ht="13.5">
      <c r="A3548" s="475" t="s">
        <v>5516</v>
      </c>
      <c r="B3548" s="475" t="s">
        <v>5517</v>
      </c>
      <c r="C3548" s="475" t="s">
        <v>5458</v>
      </c>
      <c r="D3548" s="475" t="s">
        <v>5520</v>
      </c>
      <c r="E3548" s="476" t="s">
        <v>34</v>
      </c>
      <c r="F3548" s="475" t="s">
        <v>34</v>
      </c>
      <c r="G3548" s="364">
        <v>89653</v>
      </c>
      <c r="H3548" s="475" t="s">
        <v>3030</v>
      </c>
      <c r="I3548" s="475" t="s">
        <v>171</v>
      </c>
      <c r="J3548" s="475" t="s">
        <v>337</v>
      </c>
      <c r="K3548" s="365">
        <v>9.24</v>
      </c>
      <c r="L3548" s="475" t="s">
        <v>141</v>
      </c>
      <c r="M3548" s="473"/>
    </row>
    <row r="3549" spans="1:13" ht="13.5">
      <c r="A3549" s="475" t="s">
        <v>5516</v>
      </c>
      <c r="B3549" s="475" t="s">
        <v>5517</v>
      </c>
      <c r="C3549" s="475" t="s">
        <v>5458</v>
      </c>
      <c r="D3549" s="475" t="s">
        <v>5520</v>
      </c>
      <c r="E3549" s="476" t="s">
        <v>34</v>
      </c>
      <c r="F3549" s="475" t="s">
        <v>34</v>
      </c>
      <c r="G3549" s="364">
        <v>89654</v>
      </c>
      <c r="H3549" s="475" t="s">
        <v>3031</v>
      </c>
      <c r="I3549" s="475" t="s">
        <v>171</v>
      </c>
      <c r="J3549" s="475" t="s">
        <v>337</v>
      </c>
      <c r="K3549" s="365">
        <v>9.0299999999999994</v>
      </c>
      <c r="L3549" s="475" t="s">
        <v>141</v>
      </c>
      <c r="M3549" s="473"/>
    </row>
    <row r="3550" spans="1:13" ht="13.5">
      <c r="A3550" s="475" t="s">
        <v>5516</v>
      </c>
      <c r="B3550" s="475" t="s">
        <v>5517</v>
      </c>
      <c r="C3550" s="475" t="s">
        <v>5458</v>
      </c>
      <c r="D3550" s="475" t="s">
        <v>5520</v>
      </c>
      <c r="E3550" s="476" t="s">
        <v>34</v>
      </c>
      <c r="F3550" s="475" t="s">
        <v>34</v>
      </c>
      <c r="G3550" s="364">
        <v>89655</v>
      </c>
      <c r="H3550" s="475" t="s">
        <v>3032</v>
      </c>
      <c r="I3550" s="475" t="s">
        <v>171</v>
      </c>
      <c r="J3550" s="475" t="s">
        <v>337</v>
      </c>
      <c r="K3550" s="365">
        <v>12.83</v>
      </c>
      <c r="L3550" s="475" t="s">
        <v>141</v>
      </c>
      <c r="M3550" s="473"/>
    </row>
    <row r="3551" spans="1:13" ht="13.5">
      <c r="A3551" s="475" t="s">
        <v>5516</v>
      </c>
      <c r="B3551" s="475" t="s">
        <v>5517</v>
      </c>
      <c r="C3551" s="475" t="s">
        <v>5458</v>
      </c>
      <c r="D3551" s="475" t="s">
        <v>5520</v>
      </c>
      <c r="E3551" s="476" t="s">
        <v>34</v>
      </c>
      <c r="F3551" s="475" t="s">
        <v>34</v>
      </c>
      <c r="G3551" s="364">
        <v>89656</v>
      </c>
      <c r="H3551" s="475" t="s">
        <v>3033</v>
      </c>
      <c r="I3551" s="475" t="s">
        <v>171</v>
      </c>
      <c r="J3551" s="475" t="s">
        <v>337</v>
      </c>
      <c r="K3551" s="365">
        <v>6.45</v>
      </c>
      <c r="L3551" s="475" t="s">
        <v>141</v>
      </c>
      <c r="M3551" s="473"/>
    </row>
    <row r="3552" spans="1:13" ht="13.5">
      <c r="A3552" s="475" t="s">
        <v>5516</v>
      </c>
      <c r="B3552" s="475" t="s">
        <v>5517</v>
      </c>
      <c r="C3552" s="475" t="s">
        <v>5458</v>
      </c>
      <c r="D3552" s="475" t="s">
        <v>5520</v>
      </c>
      <c r="E3552" s="476" t="s">
        <v>34</v>
      </c>
      <c r="F3552" s="475" t="s">
        <v>34</v>
      </c>
      <c r="G3552" s="364">
        <v>89657</v>
      </c>
      <c r="H3552" s="475" t="s">
        <v>3034</v>
      </c>
      <c r="I3552" s="475" t="s">
        <v>171</v>
      </c>
      <c r="J3552" s="475" t="s">
        <v>337</v>
      </c>
      <c r="K3552" s="365">
        <v>6.55</v>
      </c>
      <c r="L3552" s="475" t="s">
        <v>141</v>
      </c>
      <c r="M3552" s="473"/>
    </row>
    <row r="3553" spans="1:13" ht="13.5">
      <c r="A3553" s="475" t="s">
        <v>5516</v>
      </c>
      <c r="B3553" s="475" t="s">
        <v>5517</v>
      </c>
      <c r="C3553" s="475" t="s">
        <v>5458</v>
      </c>
      <c r="D3553" s="475" t="s">
        <v>5520</v>
      </c>
      <c r="E3553" s="476" t="s">
        <v>34</v>
      </c>
      <c r="F3553" s="475" t="s">
        <v>34</v>
      </c>
      <c r="G3553" s="364">
        <v>89658</v>
      </c>
      <c r="H3553" s="475" t="s">
        <v>3035</v>
      </c>
      <c r="I3553" s="475" t="s">
        <v>171</v>
      </c>
      <c r="J3553" s="475" t="s">
        <v>337</v>
      </c>
      <c r="K3553" s="365">
        <v>5.59</v>
      </c>
      <c r="L3553" s="475" t="s">
        <v>141</v>
      </c>
      <c r="M3553" s="473"/>
    </row>
    <row r="3554" spans="1:13" ht="13.5">
      <c r="A3554" s="475" t="s">
        <v>5516</v>
      </c>
      <c r="B3554" s="475" t="s">
        <v>5517</v>
      </c>
      <c r="C3554" s="475" t="s">
        <v>5458</v>
      </c>
      <c r="D3554" s="475" t="s">
        <v>5520</v>
      </c>
      <c r="E3554" s="476" t="s">
        <v>34</v>
      </c>
      <c r="F3554" s="475" t="s">
        <v>34</v>
      </c>
      <c r="G3554" s="364">
        <v>89659</v>
      </c>
      <c r="H3554" s="475" t="s">
        <v>3036</v>
      </c>
      <c r="I3554" s="475" t="s">
        <v>171</v>
      </c>
      <c r="J3554" s="475" t="s">
        <v>337</v>
      </c>
      <c r="K3554" s="365">
        <v>8.68</v>
      </c>
      <c r="L3554" s="475" t="s">
        <v>141</v>
      </c>
      <c r="M3554" s="473"/>
    </row>
    <row r="3555" spans="1:13" ht="13.5">
      <c r="A3555" s="475" t="s">
        <v>5516</v>
      </c>
      <c r="B3555" s="475" t="s">
        <v>5517</v>
      </c>
      <c r="C3555" s="475" t="s">
        <v>5458</v>
      </c>
      <c r="D3555" s="475" t="s">
        <v>5520</v>
      </c>
      <c r="E3555" s="476" t="s">
        <v>34</v>
      </c>
      <c r="F3555" s="475" t="s">
        <v>34</v>
      </c>
      <c r="G3555" s="364">
        <v>89660</v>
      </c>
      <c r="H3555" s="475" t="s">
        <v>3037</v>
      </c>
      <c r="I3555" s="475" t="s">
        <v>171</v>
      </c>
      <c r="J3555" s="475" t="s">
        <v>337</v>
      </c>
      <c r="K3555" s="365">
        <v>5.32</v>
      </c>
      <c r="L3555" s="475" t="s">
        <v>141</v>
      </c>
      <c r="M3555" s="473"/>
    </row>
    <row r="3556" spans="1:13" ht="13.5">
      <c r="A3556" s="475" t="s">
        <v>5516</v>
      </c>
      <c r="B3556" s="475" t="s">
        <v>5517</v>
      </c>
      <c r="C3556" s="475" t="s">
        <v>5458</v>
      </c>
      <c r="D3556" s="475" t="s">
        <v>5520</v>
      </c>
      <c r="E3556" s="476" t="s">
        <v>34</v>
      </c>
      <c r="F3556" s="475" t="s">
        <v>34</v>
      </c>
      <c r="G3556" s="364">
        <v>89661</v>
      </c>
      <c r="H3556" s="475" t="s">
        <v>3038</v>
      </c>
      <c r="I3556" s="475" t="s">
        <v>171</v>
      </c>
      <c r="J3556" s="475" t="s">
        <v>337</v>
      </c>
      <c r="K3556" s="365">
        <v>11.04</v>
      </c>
      <c r="L3556" s="475" t="s">
        <v>141</v>
      </c>
      <c r="M3556" s="473"/>
    </row>
    <row r="3557" spans="1:13" ht="13.5">
      <c r="A3557" s="475" t="s">
        <v>5516</v>
      </c>
      <c r="B3557" s="475" t="s">
        <v>5517</v>
      </c>
      <c r="C3557" s="475" t="s">
        <v>5458</v>
      </c>
      <c r="D3557" s="475" t="s">
        <v>5520</v>
      </c>
      <c r="E3557" s="476" t="s">
        <v>34</v>
      </c>
      <c r="F3557" s="475" t="s">
        <v>34</v>
      </c>
      <c r="G3557" s="364">
        <v>89662</v>
      </c>
      <c r="H3557" s="475" t="s">
        <v>3039</v>
      </c>
      <c r="I3557" s="475" t="s">
        <v>171</v>
      </c>
      <c r="J3557" s="475" t="s">
        <v>337</v>
      </c>
      <c r="K3557" s="365">
        <v>16.079999999999998</v>
      </c>
      <c r="L3557" s="475" t="s">
        <v>141</v>
      </c>
      <c r="M3557" s="473"/>
    </row>
    <row r="3558" spans="1:13" ht="13.5">
      <c r="A3558" s="475" t="s">
        <v>5516</v>
      </c>
      <c r="B3558" s="475" t="s">
        <v>5517</v>
      </c>
      <c r="C3558" s="475" t="s">
        <v>5458</v>
      </c>
      <c r="D3558" s="475" t="s">
        <v>5520</v>
      </c>
      <c r="E3558" s="476" t="s">
        <v>34</v>
      </c>
      <c r="F3558" s="475" t="s">
        <v>34</v>
      </c>
      <c r="G3558" s="364">
        <v>89663</v>
      </c>
      <c r="H3558" s="475" t="s">
        <v>3040</v>
      </c>
      <c r="I3558" s="475" t="s">
        <v>171</v>
      </c>
      <c r="J3558" s="475" t="s">
        <v>337</v>
      </c>
      <c r="K3558" s="365">
        <v>7.64</v>
      </c>
      <c r="L3558" s="475" t="s">
        <v>141</v>
      </c>
      <c r="M3558" s="473"/>
    </row>
    <row r="3559" spans="1:13" ht="13.5">
      <c r="A3559" s="475" t="s">
        <v>5516</v>
      </c>
      <c r="B3559" s="475" t="s">
        <v>5517</v>
      </c>
      <c r="C3559" s="475" t="s">
        <v>5458</v>
      </c>
      <c r="D3559" s="475" t="s">
        <v>5520</v>
      </c>
      <c r="E3559" s="476" t="s">
        <v>34</v>
      </c>
      <c r="F3559" s="475" t="s">
        <v>34</v>
      </c>
      <c r="G3559" s="364">
        <v>89664</v>
      </c>
      <c r="H3559" s="475" t="s">
        <v>3041</v>
      </c>
      <c r="I3559" s="475" t="s">
        <v>171</v>
      </c>
      <c r="J3559" s="475" t="s">
        <v>337</v>
      </c>
      <c r="K3559" s="365">
        <v>8.68</v>
      </c>
      <c r="L3559" s="475" t="s">
        <v>141</v>
      </c>
      <c r="M3559" s="473"/>
    </row>
    <row r="3560" spans="1:13" ht="13.5">
      <c r="A3560" s="475" t="s">
        <v>5516</v>
      </c>
      <c r="B3560" s="475" t="s">
        <v>5517</v>
      </c>
      <c r="C3560" s="475" t="s">
        <v>5458</v>
      </c>
      <c r="D3560" s="475" t="s">
        <v>5520</v>
      </c>
      <c r="E3560" s="476" t="s">
        <v>34</v>
      </c>
      <c r="F3560" s="475" t="s">
        <v>34</v>
      </c>
      <c r="G3560" s="364">
        <v>89665</v>
      </c>
      <c r="H3560" s="475" t="s">
        <v>3042</v>
      </c>
      <c r="I3560" s="475" t="s">
        <v>171</v>
      </c>
      <c r="J3560" s="475" t="s">
        <v>337</v>
      </c>
      <c r="K3560" s="365">
        <v>8.5399999999999991</v>
      </c>
      <c r="L3560" s="475" t="s">
        <v>141</v>
      </c>
      <c r="M3560" s="473"/>
    </row>
    <row r="3561" spans="1:13" ht="13.5">
      <c r="A3561" s="475" t="s">
        <v>5516</v>
      </c>
      <c r="B3561" s="475" t="s">
        <v>5517</v>
      </c>
      <c r="C3561" s="475" t="s">
        <v>5458</v>
      </c>
      <c r="D3561" s="475" t="s">
        <v>5520</v>
      </c>
      <c r="E3561" s="476" t="s">
        <v>34</v>
      </c>
      <c r="F3561" s="475" t="s">
        <v>34</v>
      </c>
      <c r="G3561" s="364">
        <v>89666</v>
      </c>
      <c r="H3561" s="475" t="s">
        <v>3043</v>
      </c>
      <c r="I3561" s="475" t="s">
        <v>171</v>
      </c>
      <c r="J3561" s="475" t="s">
        <v>337</v>
      </c>
      <c r="K3561" s="365">
        <v>4.8600000000000003</v>
      </c>
      <c r="L3561" s="475" t="s">
        <v>141</v>
      </c>
      <c r="M3561" s="473"/>
    </row>
    <row r="3562" spans="1:13" ht="13.5">
      <c r="A3562" s="475" t="s">
        <v>5516</v>
      </c>
      <c r="B3562" s="475" t="s">
        <v>5517</v>
      </c>
      <c r="C3562" s="475" t="s">
        <v>5458</v>
      </c>
      <c r="D3562" s="475" t="s">
        <v>5520</v>
      </c>
      <c r="E3562" s="476" t="s">
        <v>34</v>
      </c>
      <c r="F3562" s="475" t="s">
        <v>34</v>
      </c>
      <c r="G3562" s="364">
        <v>89667</v>
      </c>
      <c r="H3562" s="475" t="s">
        <v>3044</v>
      </c>
      <c r="I3562" s="475" t="s">
        <v>171</v>
      </c>
      <c r="J3562" s="475" t="s">
        <v>337</v>
      </c>
      <c r="K3562" s="365">
        <v>21.68</v>
      </c>
      <c r="L3562" s="475" t="s">
        <v>141</v>
      </c>
      <c r="M3562" s="473"/>
    </row>
    <row r="3563" spans="1:13" ht="13.5">
      <c r="A3563" s="475" t="s">
        <v>5516</v>
      </c>
      <c r="B3563" s="475" t="s">
        <v>5517</v>
      </c>
      <c r="C3563" s="475" t="s">
        <v>5458</v>
      </c>
      <c r="D3563" s="475" t="s">
        <v>5520</v>
      </c>
      <c r="E3563" s="476" t="s">
        <v>34</v>
      </c>
      <c r="F3563" s="475" t="s">
        <v>34</v>
      </c>
      <c r="G3563" s="364">
        <v>89668</v>
      </c>
      <c r="H3563" s="475" t="s">
        <v>3045</v>
      </c>
      <c r="I3563" s="475" t="s">
        <v>171</v>
      </c>
      <c r="J3563" s="475" t="s">
        <v>337</v>
      </c>
      <c r="K3563" s="365">
        <v>15.34</v>
      </c>
      <c r="L3563" s="475" t="s">
        <v>141</v>
      </c>
      <c r="M3563" s="473"/>
    </row>
    <row r="3564" spans="1:13" ht="13.5">
      <c r="A3564" s="475" t="s">
        <v>5516</v>
      </c>
      <c r="B3564" s="475" t="s">
        <v>5517</v>
      </c>
      <c r="C3564" s="475" t="s">
        <v>5458</v>
      </c>
      <c r="D3564" s="475" t="s">
        <v>5520</v>
      </c>
      <c r="E3564" s="476" t="s">
        <v>34</v>
      </c>
      <c r="F3564" s="475" t="s">
        <v>34</v>
      </c>
      <c r="G3564" s="364">
        <v>89669</v>
      </c>
      <c r="H3564" s="475" t="s">
        <v>3046</v>
      </c>
      <c r="I3564" s="475" t="s">
        <v>171</v>
      </c>
      <c r="J3564" s="475" t="s">
        <v>337</v>
      </c>
      <c r="K3564" s="365">
        <v>14.15</v>
      </c>
      <c r="L3564" s="475" t="s">
        <v>141</v>
      </c>
      <c r="M3564" s="473"/>
    </row>
    <row r="3565" spans="1:13" ht="13.5">
      <c r="A3565" s="475" t="s">
        <v>5516</v>
      </c>
      <c r="B3565" s="475" t="s">
        <v>5517</v>
      </c>
      <c r="C3565" s="475" t="s">
        <v>5458</v>
      </c>
      <c r="D3565" s="475" t="s">
        <v>5520</v>
      </c>
      <c r="E3565" s="476" t="s">
        <v>34</v>
      </c>
      <c r="F3565" s="475" t="s">
        <v>34</v>
      </c>
      <c r="G3565" s="364">
        <v>89670</v>
      </c>
      <c r="H3565" s="475" t="s">
        <v>3047</v>
      </c>
      <c r="I3565" s="475" t="s">
        <v>171</v>
      </c>
      <c r="J3565" s="475" t="s">
        <v>337</v>
      </c>
      <c r="K3565" s="365">
        <v>7.84</v>
      </c>
      <c r="L3565" s="475" t="s">
        <v>141</v>
      </c>
      <c r="M3565" s="473"/>
    </row>
    <row r="3566" spans="1:13" ht="13.5">
      <c r="A3566" s="475" t="s">
        <v>5516</v>
      </c>
      <c r="B3566" s="475" t="s">
        <v>5517</v>
      </c>
      <c r="C3566" s="475" t="s">
        <v>5458</v>
      </c>
      <c r="D3566" s="475" t="s">
        <v>5520</v>
      </c>
      <c r="E3566" s="476" t="s">
        <v>34</v>
      </c>
      <c r="F3566" s="475" t="s">
        <v>34</v>
      </c>
      <c r="G3566" s="364">
        <v>89671</v>
      </c>
      <c r="H3566" s="475" t="s">
        <v>3048</v>
      </c>
      <c r="I3566" s="475" t="s">
        <v>171</v>
      </c>
      <c r="J3566" s="475" t="s">
        <v>337</v>
      </c>
      <c r="K3566" s="365">
        <v>20.74</v>
      </c>
      <c r="L3566" s="475" t="s">
        <v>141</v>
      </c>
      <c r="M3566" s="473"/>
    </row>
    <row r="3567" spans="1:13" ht="13.5">
      <c r="A3567" s="475" t="s">
        <v>5516</v>
      </c>
      <c r="B3567" s="475" t="s">
        <v>5517</v>
      </c>
      <c r="C3567" s="475" t="s">
        <v>5458</v>
      </c>
      <c r="D3567" s="475" t="s">
        <v>5520</v>
      </c>
      <c r="E3567" s="476" t="s">
        <v>34</v>
      </c>
      <c r="F3567" s="475" t="s">
        <v>34</v>
      </c>
      <c r="G3567" s="364">
        <v>89672</v>
      </c>
      <c r="H3567" s="475" t="s">
        <v>3049</v>
      </c>
      <c r="I3567" s="475" t="s">
        <v>171</v>
      </c>
      <c r="J3567" s="475" t="s">
        <v>337</v>
      </c>
      <c r="K3567" s="365">
        <v>11.38</v>
      </c>
      <c r="L3567" s="475" t="s">
        <v>141</v>
      </c>
      <c r="M3567" s="473"/>
    </row>
    <row r="3568" spans="1:13" ht="13.5">
      <c r="A3568" s="475" t="s">
        <v>5516</v>
      </c>
      <c r="B3568" s="475" t="s">
        <v>5517</v>
      </c>
      <c r="C3568" s="475" t="s">
        <v>5458</v>
      </c>
      <c r="D3568" s="475" t="s">
        <v>5520</v>
      </c>
      <c r="E3568" s="476" t="s">
        <v>34</v>
      </c>
      <c r="F3568" s="475" t="s">
        <v>34</v>
      </c>
      <c r="G3568" s="364">
        <v>89673</v>
      </c>
      <c r="H3568" s="475" t="s">
        <v>3050</v>
      </c>
      <c r="I3568" s="475" t="s">
        <v>171</v>
      </c>
      <c r="J3568" s="475" t="s">
        <v>337</v>
      </c>
      <c r="K3568" s="365">
        <v>16.41</v>
      </c>
      <c r="L3568" s="475" t="s">
        <v>141</v>
      </c>
      <c r="M3568" s="473"/>
    </row>
    <row r="3569" spans="1:13" ht="13.5">
      <c r="A3569" s="475" t="s">
        <v>5516</v>
      </c>
      <c r="B3569" s="475" t="s">
        <v>5517</v>
      </c>
      <c r="C3569" s="475" t="s">
        <v>5458</v>
      </c>
      <c r="D3569" s="475" t="s">
        <v>5520</v>
      </c>
      <c r="E3569" s="476" t="s">
        <v>34</v>
      </c>
      <c r="F3569" s="475" t="s">
        <v>34</v>
      </c>
      <c r="G3569" s="364">
        <v>89674</v>
      </c>
      <c r="H3569" s="475" t="s">
        <v>3051</v>
      </c>
      <c r="I3569" s="475" t="s">
        <v>171</v>
      </c>
      <c r="J3569" s="475" t="s">
        <v>337</v>
      </c>
      <c r="K3569" s="365">
        <v>15.9</v>
      </c>
      <c r="L3569" s="475" t="s">
        <v>141</v>
      </c>
      <c r="M3569" s="473"/>
    </row>
    <row r="3570" spans="1:13" ht="13.5">
      <c r="A3570" s="475" t="s">
        <v>5516</v>
      </c>
      <c r="B3570" s="475" t="s">
        <v>5517</v>
      </c>
      <c r="C3570" s="475" t="s">
        <v>5458</v>
      </c>
      <c r="D3570" s="475" t="s">
        <v>5520</v>
      </c>
      <c r="E3570" s="476" t="s">
        <v>34</v>
      </c>
      <c r="F3570" s="475" t="s">
        <v>34</v>
      </c>
      <c r="G3570" s="364">
        <v>89675</v>
      </c>
      <c r="H3570" s="475" t="s">
        <v>3052</v>
      </c>
      <c r="I3570" s="475" t="s">
        <v>171</v>
      </c>
      <c r="J3570" s="475" t="s">
        <v>337</v>
      </c>
      <c r="K3570" s="365">
        <v>36.42</v>
      </c>
      <c r="L3570" s="475" t="s">
        <v>141</v>
      </c>
      <c r="M3570" s="473"/>
    </row>
    <row r="3571" spans="1:13" ht="13.5">
      <c r="A3571" s="475" t="s">
        <v>5516</v>
      </c>
      <c r="B3571" s="475" t="s">
        <v>5517</v>
      </c>
      <c r="C3571" s="475" t="s">
        <v>5458</v>
      </c>
      <c r="D3571" s="475" t="s">
        <v>5520</v>
      </c>
      <c r="E3571" s="476" t="s">
        <v>34</v>
      </c>
      <c r="F3571" s="475" t="s">
        <v>34</v>
      </c>
      <c r="G3571" s="364">
        <v>89676</v>
      </c>
      <c r="H3571" s="475" t="s">
        <v>3053</v>
      </c>
      <c r="I3571" s="475" t="s">
        <v>171</v>
      </c>
      <c r="J3571" s="475" t="s">
        <v>337</v>
      </c>
      <c r="K3571" s="365">
        <v>23.27</v>
      </c>
      <c r="L3571" s="475" t="s">
        <v>141</v>
      </c>
      <c r="M3571" s="473"/>
    </row>
    <row r="3572" spans="1:13" ht="13.5">
      <c r="A3572" s="475" t="s">
        <v>5516</v>
      </c>
      <c r="B3572" s="475" t="s">
        <v>5517</v>
      </c>
      <c r="C3572" s="475" t="s">
        <v>5458</v>
      </c>
      <c r="D3572" s="475" t="s">
        <v>5520</v>
      </c>
      <c r="E3572" s="476" t="s">
        <v>34</v>
      </c>
      <c r="F3572" s="475" t="s">
        <v>34</v>
      </c>
      <c r="G3572" s="364">
        <v>89677</v>
      </c>
      <c r="H3572" s="475" t="s">
        <v>3054</v>
      </c>
      <c r="I3572" s="475" t="s">
        <v>171</v>
      </c>
      <c r="J3572" s="475" t="s">
        <v>337</v>
      </c>
      <c r="K3572" s="365">
        <v>40.35</v>
      </c>
      <c r="L3572" s="475" t="s">
        <v>141</v>
      </c>
      <c r="M3572" s="473"/>
    </row>
    <row r="3573" spans="1:13" ht="13.5">
      <c r="A3573" s="475" t="s">
        <v>5516</v>
      </c>
      <c r="B3573" s="475" t="s">
        <v>5517</v>
      </c>
      <c r="C3573" s="475" t="s">
        <v>5458</v>
      </c>
      <c r="D3573" s="475" t="s">
        <v>5520</v>
      </c>
      <c r="E3573" s="476" t="s">
        <v>34</v>
      </c>
      <c r="F3573" s="475" t="s">
        <v>34</v>
      </c>
      <c r="G3573" s="364">
        <v>89678</v>
      </c>
      <c r="H3573" s="475" t="s">
        <v>3055</v>
      </c>
      <c r="I3573" s="475" t="s">
        <v>171</v>
      </c>
      <c r="J3573" s="475" t="s">
        <v>337</v>
      </c>
      <c r="K3573" s="365">
        <v>6.27</v>
      </c>
      <c r="L3573" s="475" t="s">
        <v>141</v>
      </c>
      <c r="M3573" s="473"/>
    </row>
    <row r="3574" spans="1:13" ht="13.5">
      <c r="A3574" s="475" t="s">
        <v>5516</v>
      </c>
      <c r="B3574" s="475" t="s">
        <v>5517</v>
      </c>
      <c r="C3574" s="475" t="s">
        <v>5458</v>
      </c>
      <c r="D3574" s="475" t="s">
        <v>5520</v>
      </c>
      <c r="E3574" s="476" t="s">
        <v>34</v>
      </c>
      <c r="F3574" s="475" t="s">
        <v>34</v>
      </c>
      <c r="G3574" s="364">
        <v>89679</v>
      </c>
      <c r="H3574" s="475" t="s">
        <v>3056</v>
      </c>
      <c r="I3574" s="475" t="s">
        <v>171</v>
      </c>
      <c r="J3574" s="475" t="s">
        <v>337</v>
      </c>
      <c r="K3574" s="365">
        <v>63.83</v>
      </c>
      <c r="L3574" s="475" t="s">
        <v>141</v>
      </c>
      <c r="M3574" s="473"/>
    </row>
    <row r="3575" spans="1:13" ht="13.5">
      <c r="A3575" s="475" t="s">
        <v>5516</v>
      </c>
      <c r="B3575" s="475" t="s">
        <v>5517</v>
      </c>
      <c r="C3575" s="475" t="s">
        <v>5458</v>
      </c>
      <c r="D3575" s="475" t="s">
        <v>5520</v>
      </c>
      <c r="E3575" s="476" t="s">
        <v>34</v>
      </c>
      <c r="F3575" s="475" t="s">
        <v>34</v>
      </c>
      <c r="G3575" s="364">
        <v>89680</v>
      </c>
      <c r="H3575" s="475" t="s">
        <v>3057</v>
      </c>
      <c r="I3575" s="475" t="s">
        <v>171</v>
      </c>
      <c r="J3575" s="475" t="s">
        <v>337</v>
      </c>
      <c r="K3575" s="365">
        <v>11.56</v>
      </c>
      <c r="L3575" s="475" t="s">
        <v>141</v>
      </c>
      <c r="M3575" s="473"/>
    </row>
    <row r="3576" spans="1:13" ht="13.5">
      <c r="A3576" s="475" t="s">
        <v>5516</v>
      </c>
      <c r="B3576" s="475" t="s">
        <v>5517</v>
      </c>
      <c r="C3576" s="475" t="s">
        <v>5458</v>
      </c>
      <c r="D3576" s="475" t="s">
        <v>5520</v>
      </c>
      <c r="E3576" s="476" t="s">
        <v>34</v>
      </c>
      <c r="F3576" s="475" t="s">
        <v>34</v>
      </c>
      <c r="G3576" s="364">
        <v>89681</v>
      </c>
      <c r="H3576" s="475" t="s">
        <v>3058</v>
      </c>
      <c r="I3576" s="475" t="s">
        <v>171</v>
      </c>
      <c r="J3576" s="475" t="s">
        <v>337</v>
      </c>
      <c r="K3576" s="365">
        <v>44.5</v>
      </c>
      <c r="L3576" s="475" t="s">
        <v>141</v>
      </c>
      <c r="M3576" s="473"/>
    </row>
    <row r="3577" spans="1:13" ht="13.5">
      <c r="A3577" s="475" t="s">
        <v>5516</v>
      </c>
      <c r="B3577" s="475" t="s">
        <v>5517</v>
      </c>
      <c r="C3577" s="475" t="s">
        <v>5458</v>
      </c>
      <c r="D3577" s="475" t="s">
        <v>5520</v>
      </c>
      <c r="E3577" s="476" t="s">
        <v>34</v>
      </c>
      <c r="F3577" s="475" t="s">
        <v>34</v>
      </c>
      <c r="G3577" s="364">
        <v>89682</v>
      </c>
      <c r="H3577" s="475" t="s">
        <v>3059</v>
      </c>
      <c r="I3577" s="475" t="s">
        <v>171</v>
      </c>
      <c r="J3577" s="475" t="s">
        <v>337</v>
      </c>
      <c r="K3577" s="365">
        <v>16.86</v>
      </c>
      <c r="L3577" s="475" t="s">
        <v>141</v>
      </c>
      <c r="M3577" s="473"/>
    </row>
    <row r="3578" spans="1:13" ht="13.5">
      <c r="A3578" s="475" t="s">
        <v>5516</v>
      </c>
      <c r="B3578" s="475" t="s">
        <v>5517</v>
      </c>
      <c r="C3578" s="475" t="s">
        <v>5458</v>
      </c>
      <c r="D3578" s="475" t="s">
        <v>5520</v>
      </c>
      <c r="E3578" s="476" t="s">
        <v>34</v>
      </c>
      <c r="F3578" s="475" t="s">
        <v>34</v>
      </c>
      <c r="G3578" s="364">
        <v>89684</v>
      </c>
      <c r="H3578" s="475" t="s">
        <v>3060</v>
      </c>
      <c r="I3578" s="475" t="s">
        <v>171</v>
      </c>
      <c r="J3578" s="475" t="s">
        <v>337</v>
      </c>
      <c r="K3578" s="365">
        <v>22.54</v>
      </c>
      <c r="L3578" s="475" t="s">
        <v>141</v>
      </c>
      <c r="M3578" s="473"/>
    </row>
    <row r="3579" spans="1:13" ht="13.5">
      <c r="A3579" s="475" t="s">
        <v>5516</v>
      </c>
      <c r="B3579" s="475" t="s">
        <v>5517</v>
      </c>
      <c r="C3579" s="475" t="s">
        <v>5458</v>
      </c>
      <c r="D3579" s="475" t="s">
        <v>5520</v>
      </c>
      <c r="E3579" s="476" t="s">
        <v>34</v>
      </c>
      <c r="F3579" s="475" t="s">
        <v>34</v>
      </c>
      <c r="G3579" s="364">
        <v>89685</v>
      </c>
      <c r="H3579" s="475" t="s">
        <v>3061</v>
      </c>
      <c r="I3579" s="475" t="s">
        <v>171</v>
      </c>
      <c r="J3579" s="475" t="s">
        <v>337</v>
      </c>
      <c r="K3579" s="365">
        <v>30.14</v>
      </c>
      <c r="L3579" s="475" t="s">
        <v>141</v>
      </c>
      <c r="M3579" s="473"/>
    </row>
    <row r="3580" spans="1:13" ht="13.5">
      <c r="A3580" s="475" t="s">
        <v>5516</v>
      </c>
      <c r="B3580" s="475" t="s">
        <v>5517</v>
      </c>
      <c r="C3580" s="475" t="s">
        <v>5458</v>
      </c>
      <c r="D3580" s="475" t="s">
        <v>5520</v>
      </c>
      <c r="E3580" s="476" t="s">
        <v>34</v>
      </c>
      <c r="F3580" s="475" t="s">
        <v>34</v>
      </c>
      <c r="G3580" s="364">
        <v>89686</v>
      </c>
      <c r="H3580" s="475" t="s">
        <v>3062</v>
      </c>
      <c r="I3580" s="475" t="s">
        <v>171</v>
      </c>
      <c r="J3580" s="475" t="s">
        <v>337</v>
      </c>
      <c r="K3580" s="365">
        <v>78.73</v>
      </c>
      <c r="L3580" s="475" t="s">
        <v>141</v>
      </c>
      <c r="M3580" s="473"/>
    </row>
    <row r="3581" spans="1:13" ht="13.5">
      <c r="A3581" s="475" t="s">
        <v>5516</v>
      </c>
      <c r="B3581" s="475" t="s">
        <v>5517</v>
      </c>
      <c r="C3581" s="475" t="s">
        <v>5458</v>
      </c>
      <c r="D3581" s="475" t="s">
        <v>5520</v>
      </c>
      <c r="E3581" s="476" t="s">
        <v>34</v>
      </c>
      <c r="F3581" s="475" t="s">
        <v>34</v>
      </c>
      <c r="G3581" s="364">
        <v>89687</v>
      </c>
      <c r="H3581" s="475" t="s">
        <v>3063</v>
      </c>
      <c r="I3581" s="475" t="s">
        <v>171</v>
      </c>
      <c r="J3581" s="475" t="s">
        <v>337</v>
      </c>
      <c r="K3581" s="365">
        <v>25.97</v>
      </c>
      <c r="L3581" s="475" t="s">
        <v>141</v>
      </c>
      <c r="M3581" s="473"/>
    </row>
    <row r="3582" spans="1:13" ht="13.5">
      <c r="A3582" s="475" t="s">
        <v>5516</v>
      </c>
      <c r="B3582" s="475" t="s">
        <v>5517</v>
      </c>
      <c r="C3582" s="475" t="s">
        <v>5458</v>
      </c>
      <c r="D3582" s="475" t="s">
        <v>5520</v>
      </c>
      <c r="E3582" s="476" t="s">
        <v>34</v>
      </c>
      <c r="F3582" s="475" t="s">
        <v>34</v>
      </c>
      <c r="G3582" s="364">
        <v>89689</v>
      </c>
      <c r="H3582" s="475" t="s">
        <v>3064</v>
      </c>
      <c r="I3582" s="475" t="s">
        <v>171</v>
      </c>
      <c r="J3582" s="475" t="s">
        <v>337</v>
      </c>
      <c r="K3582" s="365">
        <v>18</v>
      </c>
      <c r="L3582" s="475" t="s">
        <v>141</v>
      </c>
      <c r="M3582" s="473"/>
    </row>
    <row r="3583" spans="1:13" ht="13.5">
      <c r="A3583" s="475" t="s">
        <v>5516</v>
      </c>
      <c r="B3583" s="475" t="s">
        <v>5517</v>
      </c>
      <c r="C3583" s="475" t="s">
        <v>5458</v>
      </c>
      <c r="D3583" s="475" t="s">
        <v>5520</v>
      </c>
      <c r="E3583" s="476" t="s">
        <v>34</v>
      </c>
      <c r="F3583" s="475" t="s">
        <v>34</v>
      </c>
      <c r="G3583" s="364">
        <v>89690</v>
      </c>
      <c r="H3583" s="475" t="s">
        <v>3065</v>
      </c>
      <c r="I3583" s="475" t="s">
        <v>171</v>
      </c>
      <c r="J3583" s="475" t="s">
        <v>337</v>
      </c>
      <c r="K3583" s="365">
        <v>45.28</v>
      </c>
      <c r="L3583" s="475" t="s">
        <v>141</v>
      </c>
      <c r="M3583" s="473"/>
    </row>
    <row r="3584" spans="1:13" ht="13.5">
      <c r="A3584" s="475" t="s">
        <v>5516</v>
      </c>
      <c r="B3584" s="475" t="s">
        <v>5517</v>
      </c>
      <c r="C3584" s="475" t="s">
        <v>5458</v>
      </c>
      <c r="D3584" s="475" t="s">
        <v>5520</v>
      </c>
      <c r="E3584" s="476" t="s">
        <v>34</v>
      </c>
      <c r="F3584" s="475" t="s">
        <v>34</v>
      </c>
      <c r="G3584" s="364">
        <v>89691</v>
      </c>
      <c r="H3584" s="475" t="s">
        <v>3066</v>
      </c>
      <c r="I3584" s="475" t="s">
        <v>171</v>
      </c>
      <c r="J3584" s="475" t="s">
        <v>337</v>
      </c>
      <c r="K3584" s="365">
        <v>7.74</v>
      </c>
      <c r="L3584" s="475" t="s">
        <v>141</v>
      </c>
      <c r="M3584" s="473"/>
    </row>
    <row r="3585" spans="1:13" ht="13.5">
      <c r="A3585" s="475" t="s">
        <v>5516</v>
      </c>
      <c r="B3585" s="475" t="s">
        <v>5517</v>
      </c>
      <c r="C3585" s="475" t="s">
        <v>5458</v>
      </c>
      <c r="D3585" s="475" t="s">
        <v>5520</v>
      </c>
      <c r="E3585" s="476" t="s">
        <v>34</v>
      </c>
      <c r="F3585" s="475" t="s">
        <v>34</v>
      </c>
      <c r="G3585" s="364">
        <v>89692</v>
      </c>
      <c r="H3585" s="475" t="s">
        <v>3067</v>
      </c>
      <c r="I3585" s="475" t="s">
        <v>171</v>
      </c>
      <c r="J3585" s="475" t="s">
        <v>337</v>
      </c>
      <c r="K3585" s="365">
        <v>42.81</v>
      </c>
      <c r="L3585" s="475" t="s">
        <v>141</v>
      </c>
      <c r="M3585" s="473"/>
    </row>
    <row r="3586" spans="1:13" ht="13.5">
      <c r="A3586" s="475" t="s">
        <v>5516</v>
      </c>
      <c r="B3586" s="475" t="s">
        <v>5517</v>
      </c>
      <c r="C3586" s="475" t="s">
        <v>5458</v>
      </c>
      <c r="D3586" s="475" t="s">
        <v>5520</v>
      </c>
      <c r="E3586" s="476" t="s">
        <v>34</v>
      </c>
      <c r="F3586" s="475" t="s">
        <v>34</v>
      </c>
      <c r="G3586" s="364">
        <v>89693</v>
      </c>
      <c r="H3586" s="475" t="s">
        <v>3068</v>
      </c>
      <c r="I3586" s="475" t="s">
        <v>171</v>
      </c>
      <c r="J3586" s="475" t="s">
        <v>337</v>
      </c>
      <c r="K3586" s="365">
        <v>41.63</v>
      </c>
      <c r="L3586" s="475" t="s">
        <v>141</v>
      </c>
      <c r="M3586" s="473"/>
    </row>
    <row r="3587" spans="1:13" ht="13.5">
      <c r="A3587" s="475" t="s">
        <v>5516</v>
      </c>
      <c r="B3587" s="475" t="s">
        <v>5517</v>
      </c>
      <c r="C3587" s="475" t="s">
        <v>5458</v>
      </c>
      <c r="D3587" s="475" t="s">
        <v>5520</v>
      </c>
      <c r="E3587" s="476" t="s">
        <v>34</v>
      </c>
      <c r="F3587" s="475" t="s">
        <v>34</v>
      </c>
      <c r="G3587" s="364">
        <v>89694</v>
      </c>
      <c r="H3587" s="475" t="s">
        <v>3069</v>
      </c>
      <c r="I3587" s="475" t="s">
        <v>171</v>
      </c>
      <c r="J3587" s="475" t="s">
        <v>337</v>
      </c>
      <c r="K3587" s="365">
        <v>11.2</v>
      </c>
      <c r="L3587" s="475" t="s">
        <v>141</v>
      </c>
      <c r="M3587" s="473"/>
    </row>
    <row r="3588" spans="1:13" ht="13.5">
      <c r="A3588" s="475" t="s">
        <v>5516</v>
      </c>
      <c r="B3588" s="475" t="s">
        <v>5517</v>
      </c>
      <c r="C3588" s="475" t="s">
        <v>5458</v>
      </c>
      <c r="D3588" s="475" t="s">
        <v>5520</v>
      </c>
      <c r="E3588" s="476" t="s">
        <v>34</v>
      </c>
      <c r="F3588" s="475" t="s">
        <v>34</v>
      </c>
      <c r="G3588" s="364">
        <v>89695</v>
      </c>
      <c r="H3588" s="475" t="s">
        <v>3070</v>
      </c>
      <c r="I3588" s="475" t="s">
        <v>171</v>
      </c>
      <c r="J3588" s="475" t="s">
        <v>337</v>
      </c>
      <c r="K3588" s="365">
        <v>10.55</v>
      </c>
      <c r="L3588" s="475" t="s">
        <v>141</v>
      </c>
      <c r="M3588" s="473"/>
    </row>
    <row r="3589" spans="1:13" ht="13.5">
      <c r="A3589" s="475" t="s">
        <v>5516</v>
      </c>
      <c r="B3589" s="475" t="s">
        <v>5517</v>
      </c>
      <c r="C3589" s="475" t="s">
        <v>5458</v>
      </c>
      <c r="D3589" s="475" t="s">
        <v>5520</v>
      </c>
      <c r="E3589" s="476" t="s">
        <v>34</v>
      </c>
      <c r="F3589" s="475" t="s">
        <v>34</v>
      </c>
      <c r="G3589" s="364">
        <v>89696</v>
      </c>
      <c r="H3589" s="475" t="s">
        <v>3071</v>
      </c>
      <c r="I3589" s="475" t="s">
        <v>171</v>
      </c>
      <c r="J3589" s="475" t="s">
        <v>337</v>
      </c>
      <c r="K3589" s="365">
        <v>37.86</v>
      </c>
      <c r="L3589" s="475" t="s">
        <v>141</v>
      </c>
      <c r="M3589" s="473"/>
    </row>
    <row r="3590" spans="1:13" ht="13.5">
      <c r="A3590" s="475" t="s">
        <v>5516</v>
      </c>
      <c r="B3590" s="475" t="s">
        <v>5517</v>
      </c>
      <c r="C3590" s="475" t="s">
        <v>5458</v>
      </c>
      <c r="D3590" s="475" t="s">
        <v>5520</v>
      </c>
      <c r="E3590" s="476" t="s">
        <v>34</v>
      </c>
      <c r="F3590" s="475" t="s">
        <v>34</v>
      </c>
      <c r="G3590" s="364">
        <v>89697</v>
      </c>
      <c r="H3590" s="475" t="s">
        <v>3072</v>
      </c>
      <c r="I3590" s="475" t="s">
        <v>171</v>
      </c>
      <c r="J3590" s="475" t="s">
        <v>337</v>
      </c>
      <c r="K3590" s="365">
        <v>8.9700000000000006</v>
      </c>
      <c r="L3590" s="475" t="s">
        <v>141</v>
      </c>
      <c r="M3590" s="473"/>
    </row>
    <row r="3591" spans="1:13" ht="13.5">
      <c r="A3591" s="475" t="s">
        <v>5516</v>
      </c>
      <c r="B3591" s="475" t="s">
        <v>5517</v>
      </c>
      <c r="C3591" s="475" t="s">
        <v>5458</v>
      </c>
      <c r="D3591" s="475" t="s">
        <v>5520</v>
      </c>
      <c r="E3591" s="476" t="s">
        <v>34</v>
      </c>
      <c r="F3591" s="475" t="s">
        <v>34</v>
      </c>
      <c r="G3591" s="364">
        <v>89698</v>
      </c>
      <c r="H3591" s="475" t="s">
        <v>3073</v>
      </c>
      <c r="I3591" s="475" t="s">
        <v>171</v>
      </c>
      <c r="J3591" s="475" t="s">
        <v>337</v>
      </c>
      <c r="K3591" s="365">
        <v>133.03</v>
      </c>
      <c r="L3591" s="475" t="s">
        <v>141</v>
      </c>
      <c r="M3591" s="473"/>
    </row>
    <row r="3592" spans="1:13" ht="13.5">
      <c r="A3592" s="475" t="s">
        <v>5516</v>
      </c>
      <c r="B3592" s="475" t="s">
        <v>5517</v>
      </c>
      <c r="C3592" s="475" t="s">
        <v>5458</v>
      </c>
      <c r="D3592" s="475" t="s">
        <v>5520</v>
      </c>
      <c r="E3592" s="476" t="s">
        <v>34</v>
      </c>
      <c r="F3592" s="475" t="s">
        <v>34</v>
      </c>
      <c r="G3592" s="364">
        <v>89699</v>
      </c>
      <c r="H3592" s="475" t="s">
        <v>3074</v>
      </c>
      <c r="I3592" s="475" t="s">
        <v>171</v>
      </c>
      <c r="J3592" s="475" t="s">
        <v>337</v>
      </c>
      <c r="K3592" s="365">
        <v>113.79</v>
      </c>
      <c r="L3592" s="475" t="s">
        <v>141</v>
      </c>
      <c r="M3592" s="473"/>
    </row>
    <row r="3593" spans="1:13" ht="13.5">
      <c r="A3593" s="475" t="s">
        <v>5516</v>
      </c>
      <c r="B3593" s="475" t="s">
        <v>5517</v>
      </c>
      <c r="C3593" s="475" t="s">
        <v>5458</v>
      </c>
      <c r="D3593" s="475" t="s">
        <v>5520</v>
      </c>
      <c r="E3593" s="476" t="s">
        <v>34</v>
      </c>
      <c r="F3593" s="475" t="s">
        <v>34</v>
      </c>
      <c r="G3593" s="364">
        <v>89700</v>
      </c>
      <c r="H3593" s="475" t="s">
        <v>3075</v>
      </c>
      <c r="I3593" s="475" t="s">
        <v>171</v>
      </c>
      <c r="J3593" s="475" t="s">
        <v>337</v>
      </c>
      <c r="K3593" s="365">
        <v>11.94</v>
      </c>
      <c r="L3593" s="475" t="s">
        <v>141</v>
      </c>
      <c r="M3593" s="473"/>
    </row>
    <row r="3594" spans="1:13" ht="13.5">
      <c r="A3594" s="475" t="s">
        <v>5516</v>
      </c>
      <c r="B3594" s="475" t="s">
        <v>5517</v>
      </c>
      <c r="C3594" s="475" t="s">
        <v>5458</v>
      </c>
      <c r="D3594" s="475" t="s">
        <v>5520</v>
      </c>
      <c r="E3594" s="476" t="s">
        <v>34</v>
      </c>
      <c r="F3594" s="475" t="s">
        <v>34</v>
      </c>
      <c r="G3594" s="364">
        <v>89701</v>
      </c>
      <c r="H3594" s="475" t="s">
        <v>3076</v>
      </c>
      <c r="I3594" s="475" t="s">
        <v>171</v>
      </c>
      <c r="J3594" s="475" t="s">
        <v>337</v>
      </c>
      <c r="K3594" s="365">
        <v>89.07</v>
      </c>
      <c r="L3594" s="475" t="s">
        <v>141</v>
      </c>
      <c r="M3594" s="473"/>
    </row>
    <row r="3595" spans="1:13" ht="13.5">
      <c r="A3595" s="475" t="s">
        <v>5516</v>
      </c>
      <c r="B3595" s="475" t="s">
        <v>5517</v>
      </c>
      <c r="C3595" s="475" t="s">
        <v>5458</v>
      </c>
      <c r="D3595" s="475" t="s">
        <v>5520</v>
      </c>
      <c r="E3595" s="476" t="s">
        <v>34</v>
      </c>
      <c r="F3595" s="475" t="s">
        <v>34</v>
      </c>
      <c r="G3595" s="364">
        <v>89702</v>
      </c>
      <c r="H3595" s="475" t="s">
        <v>3077</v>
      </c>
      <c r="I3595" s="475" t="s">
        <v>171</v>
      </c>
      <c r="J3595" s="475" t="s">
        <v>337</v>
      </c>
      <c r="K3595" s="365">
        <v>11.94</v>
      </c>
      <c r="L3595" s="475" t="s">
        <v>141</v>
      </c>
      <c r="M3595" s="473"/>
    </row>
    <row r="3596" spans="1:13" ht="13.5">
      <c r="A3596" s="475" t="s">
        <v>5516</v>
      </c>
      <c r="B3596" s="475" t="s">
        <v>5517</v>
      </c>
      <c r="C3596" s="475" t="s">
        <v>5458</v>
      </c>
      <c r="D3596" s="475" t="s">
        <v>5520</v>
      </c>
      <c r="E3596" s="476" t="s">
        <v>34</v>
      </c>
      <c r="F3596" s="475" t="s">
        <v>34</v>
      </c>
      <c r="G3596" s="364">
        <v>89703</v>
      </c>
      <c r="H3596" s="475" t="s">
        <v>3078</v>
      </c>
      <c r="I3596" s="475" t="s">
        <v>171</v>
      </c>
      <c r="J3596" s="475" t="s">
        <v>337</v>
      </c>
      <c r="K3596" s="365">
        <v>23.99</v>
      </c>
      <c r="L3596" s="475" t="s">
        <v>141</v>
      </c>
      <c r="M3596" s="473"/>
    </row>
    <row r="3597" spans="1:13" ht="13.5">
      <c r="A3597" s="475" t="s">
        <v>5516</v>
      </c>
      <c r="B3597" s="475" t="s">
        <v>5517</v>
      </c>
      <c r="C3597" s="475" t="s">
        <v>5458</v>
      </c>
      <c r="D3597" s="475" t="s">
        <v>5520</v>
      </c>
      <c r="E3597" s="476" t="s">
        <v>34</v>
      </c>
      <c r="F3597" s="475" t="s">
        <v>34</v>
      </c>
      <c r="G3597" s="364">
        <v>89704</v>
      </c>
      <c r="H3597" s="475" t="s">
        <v>3079</v>
      </c>
      <c r="I3597" s="475" t="s">
        <v>171</v>
      </c>
      <c r="J3597" s="475" t="s">
        <v>337</v>
      </c>
      <c r="K3597" s="365">
        <v>72.7</v>
      </c>
      <c r="L3597" s="475" t="s">
        <v>141</v>
      </c>
      <c r="M3597" s="473"/>
    </row>
    <row r="3598" spans="1:13" ht="13.5">
      <c r="A3598" s="475" t="s">
        <v>5516</v>
      </c>
      <c r="B3598" s="475" t="s">
        <v>5517</v>
      </c>
      <c r="C3598" s="475" t="s">
        <v>5458</v>
      </c>
      <c r="D3598" s="475" t="s">
        <v>5520</v>
      </c>
      <c r="E3598" s="476" t="s">
        <v>34</v>
      </c>
      <c r="F3598" s="475" t="s">
        <v>34</v>
      </c>
      <c r="G3598" s="364">
        <v>89705</v>
      </c>
      <c r="H3598" s="475" t="s">
        <v>3080</v>
      </c>
      <c r="I3598" s="475" t="s">
        <v>171</v>
      </c>
      <c r="J3598" s="475" t="s">
        <v>337</v>
      </c>
      <c r="K3598" s="365">
        <v>14.63</v>
      </c>
      <c r="L3598" s="475" t="s">
        <v>141</v>
      </c>
      <c r="M3598" s="473"/>
    </row>
    <row r="3599" spans="1:13" ht="13.5">
      <c r="A3599" s="475" t="s">
        <v>5516</v>
      </c>
      <c r="B3599" s="475" t="s">
        <v>5517</v>
      </c>
      <c r="C3599" s="475" t="s">
        <v>5458</v>
      </c>
      <c r="D3599" s="475" t="s">
        <v>5520</v>
      </c>
      <c r="E3599" s="476" t="s">
        <v>34</v>
      </c>
      <c r="F3599" s="475" t="s">
        <v>34</v>
      </c>
      <c r="G3599" s="364">
        <v>89706</v>
      </c>
      <c r="H3599" s="475" t="s">
        <v>3081</v>
      </c>
      <c r="I3599" s="475" t="s">
        <v>171</v>
      </c>
      <c r="J3599" s="475" t="s">
        <v>337</v>
      </c>
      <c r="K3599" s="365">
        <v>28.31</v>
      </c>
      <c r="L3599" s="475" t="s">
        <v>141</v>
      </c>
      <c r="M3599" s="473"/>
    </row>
    <row r="3600" spans="1:13" ht="13.5">
      <c r="A3600" s="475" t="s">
        <v>5516</v>
      </c>
      <c r="B3600" s="475" t="s">
        <v>5517</v>
      </c>
      <c r="C3600" s="475" t="s">
        <v>5458</v>
      </c>
      <c r="D3600" s="475" t="s">
        <v>5520</v>
      </c>
      <c r="E3600" s="476" t="s">
        <v>34</v>
      </c>
      <c r="F3600" s="475" t="s">
        <v>34</v>
      </c>
      <c r="G3600" s="364">
        <v>89718</v>
      </c>
      <c r="H3600" s="475" t="s">
        <v>3082</v>
      </c>
      <c r="I3600" s="475" t="s">
        <v>139</v>
      </c>
      <c r="J3600" s="475" t="s">
        <v>337</v>
      </c>
      <c r="K3600" s="365">
        <v>27.64</v>
      </c>
      <c r="L3600" s="475" t="s">
        <v>141</v>
      </c>
      <c r="M3600" s="473"/>
    </row>
    <row r="3601" spans="1:13" ht="13.5">
      <c r="A3601" s="475" t="s">
        <v>5516</v>
      </c>
      <c r="B3601" s="475" t="s">
        <v>5517</v>
      </c>
      <c r="C3601" s="475" t="s">
        <v>5458</v>
      </c>
      <c r="D3601" s="475" t="s">
        <v>5520</v>
      </c>
      <c r="E3601" s="476" t="s">
        <v>34</v>
      </c>
      <c r="F3601" s="475" t="s">
        <v>34</v>
      </c>
      <c r="G3601" s="364">
        <v>89719</v>
      </c>
      <c r="H3601" s="475" t="s">
        <v>3083</v>
      </c>
      <c r="I3601" s="475" t="s">
        <v>171</v>
      </c>
      <c r="J3601" s="475" t="s">
        <v>337</v>
      </c>
      <c r="K3601" s="365">
        <v>6.25</v>
      </c>
      <c r="L3601" s="475" t="s">
        <v>141</v>
      </c>
      <c r="M3601" s="473"/>
    </row>
    <row r="3602" spans="1:13" ht="13.5">
      <c r="A3602" s="475" t="s">
        <v>5516</v>
      </c>
      <c r="B3602" s="475" t="s">
        <v>5517</v>
      </c>
      <c r="C3602" s="475" t="s">
        <v>5458</v>
      </c>
      <c r="D3602" s="475" t="s">
        <v>5520</v>
      </c>
      <c r="E3602" s="476" t="s">
        <v>34</v>
      </c>
      <c r="F3602" s="475" t="s">
        <v>34</v>
      </c>
      <c r="G3602" s="364">
        <v>89720</v>
      </c>
      <c r="H3602" s="475" t="s">
        <v>3084</v>
      </c>
      <c r="I3602" s="475" t="s">
        <v>171</v>
      </c>
      <c r="J3602" s="475" t="s">
        <v>337</v>
      </c>
      <c r="K3602" s="365">
        <v>7.13</v>
      </c>
      <c r="L3602" s="475" t="s">
        <v>141</v>
      </c>
      <c r="M3602" s="473"/>
    </row>
    <row r="3603" spans="1:13" ht="13.5">
      <c r="A3603" s="475" t="s">
        <v>5516</v>
      </c>
      <c r="B3603" s="475" t="s">
        <v>5517</v>
      </c>
      <c r="C3603" s="475" t="s">
        <v>5458</v>
      </c>
      <c r="D3603" s="475" t="s">
        <v>5520</v>
      </c>
      <c r="E3603" s="476" t="s">
        <v>34</v>
      </c>
      <c r="F3603" s="475" t="s">
        <v>34</v>
      </c>
      <c r="G3603" s="364">
        <v>89721</v>
      </c>
      <c r="H3603" s="475" t="s">
        <v>3085</v>
      </c>
      <c r="I3603" s="475" t="s">
        <v>171</v>
      </c>
      <c r="J3603" s="475" t="s">
        <v>337</v>
      </c>
      <c r="K3603" s="365">
        <v>7.42</v>
      </c>
      <c r="L3603" s="475" t="s">
        <v>141</v>
      </c>
      <c r="M3603" s="473"/>
    </row>
    <row r="3604" spans="1:13" ht="13.5">
      <c r="A3604" s="475" t="s">
        <v>5516</v>
      </c>
      <c r="B3604" s="475" t="s">
        <v>5517</v>
      </c>
      <c r="C3604" s="475" t="s">
        <v>5458</v>
      </c>
      <c r="D3604" s="475" t="s">
        <v>5520</v>
      </c>
      <c r="E3604" s="476" t="s">
        <v>34</v>
      </c>
      <c r="F3604" s="475" t="s">
        <v>34</v>
      </c>
      <c r="G3604" s="364">
        <v>89722</v>
      </c>
      <c r="H3604" s="475" t="s">
        <v>15198</v>
      </c>
      <c r="I3604" s="475" t="s">
        <v>171</v>
      </c>
      <c r="J3604" s="475" t="s">
        <v>337</v>
      </c>
      <c r="K3604" s="365">
        <v>11.59</v>
      </c>
      <c r="L3604" s="475" t="s">
        <v>141</v>
      </c>
      <c r="M3604" s="473"/>
    </row>
    <row r="3605" spans="1:13" ht="13.5">
      <c r="A3605" s="475" t="s">
        <v>5516</v>
      </c>
      <c r="B3605" s="475" t="s">
        <v>5517</v>
      </c>
      <c r="C3605" s="475" t="s">
        <v>5458</v>
      </c>
      <c r="D3605" s="475" t="s">
        <v>5520</v>
      </c>
      <c r="E3605" s="476" t="s">
        <v>34</v>
      </c>
      <c r="F3605" s="475" t="s">
        <v>34</v>
      </c>
      <c r="G3605" s="364">
        <v>89723</v>
      </c>
      <c r="H3605" s="475" t="s">
        <v>3086</v>
      </c>
      <c r="I3605" s="475" t="s">
        <v>171</v>
      </c>
      <c r="J3605" s="475" t="s">
        <v>337</v>
      </c>
      <c r="K3605" s="365">
        <v>9.67</v>
      </c>
      <c r="L3605" s="475" t="s">
        <v>141</v>
      </c>
      <c r="M3605" s="473"/>
    </row>
    <row r="3606" spans="1:13" ht="13.5">
      <c r="A3606" s="475" t="s">
        <v>5516</v>
      </c>
      <c r="B3606" s="475" t="s">
        <v>5517</v>
      </c>
      <c r="C3606" s="475" t="s">
        <v>5458</v>
      </c>
      <c r="D3606" s="475" t="s">
        <v>5520</v>
      </c>
      <c r="E3606" s="476" t="s">
        <v>34</v>
      </c>
      <c r="F3606" s="475" t="s">
        <v>34</v>
      </c>
      <c r="G3606" s="364">
        <v>89724</v>
      </c>
      <c r="H3606" s="475" t="s">
        <v>3087</v>
      </c>
      <c r="I3606" s="475" t="s">
        <v>171</v>
      </c>
      <c r="J3606" s="475" t="s">
        <v>337</v>
      </c>
      <c r="K3606" s="365">
        <v>6.79</v>
      </c>
      <c r="L3606" s="475" t="s">
        <v>141</v>
      </c>
      <c r="M3606" s="473"/>
    </row>
    <row r="3607" spans="1:13" ht="13.5">
      <c r="A3607" s="475" t="s">
        <v>5516</v>
      </c>
      <c r="B3607" s="475" t="s">
        <v>5517</v>
      </c>
      <c r="C3607" s="475" t="s">
        <v>5458</v>
      </c>
      <c r="D3607" s="475" t="s">
        <v>5520</v>
      </c>
      <c r="E3607" s="476" t="s">
        <v>34</v>
      </c>
      <c r="F3607" s="475" t="s">
        <v>34</v>
      </c>
      <c r="G3607" s="364">
        <v>89725</v>
      </c>
      <c r="H3607" s="475" t="s">
        <v>3088</v>
      </c>
      <c r="I3607" s="475" t="s">
        <v>171</v>
      </c>
      <c r="J3607" s="475" t="s">
        <v>337</v>
      </c>
      <c r="K3607" s="365">
        <v>9.4700000000000006</v>
      </c>
      <c r="L3607" s="475" t="s">
        <v>141</v>
      </c>
      <c r="M3607" s="473"/>
    </row>
    <row r="3608" spans="1:13" ht="13.5">
      <c r="A3608" s="475" t="s">
        <v>5516</v>
      </c>
      <c r="B3608" s="475" t="s">
        <v>5517</v>
      </c>
      <c r="C3608" s="475" t="s">
        <v>5458</v>
      </c>
      <c r="D3608" s="475" t="s">
        <v>5520</v>
      </c>
      <c r="E3608" s="476" t="s">
        <v>34</v>
      </c>
      <c r="F3608" s="475" t="s">
        <v>34</v>
      </c>
      <c r="G3608" s="364">
        <v>89726</v>
      </c>
      <c r="H3608" s="475" t="s">
        <v>3089</v>
      </c>
      <c r="I3608" s="475" t="s">
        <v>171</v>
      </c>
      <c r="J3608" s="475" t="s">
        <v>337</v>
      </c>
      <c r="K3608" s="365">
        <v>5.27</v>
      </c>
      <c r="L3608" s="475" t="s">
        <v>141</v>
      </c>
      <c r="M3608" s="473"/>
    </row>
    <row r="3609" spans="1:13" ht="13.5">
      <c r="A3609" s="475" t="s">
        <v>5516</v>
      </c>
      <c r="B3609" s="475" t="s">
        <v>5517</v>
      </c>
      <c r="C3609" s="475" t="s">
        <v>5458</v>
      </c>
      <c r="D3609" s="475" t="s">
        <v>5520</v>
      </c>
      <c r="E3609" s="476" t="s">
        <v>34</v>
      </c>
      <c r="F3609" s="475" t="s">
        <v>34</v>
      </c>
      <c r="G3609" s="364">
        <v>89727</v>
      </c>
      <c r="H3609" s="475" t="s">
        <v>3090</v>
      </c>
      <c r="I3609" s="475" t="s">
        <v>171</v>
      </c>
      <c r="J3609" s="475" t="s">
        <v>337</v>
      </c>
      <c r="K3609" s="365">
        <v>10.41</v>
      </c>
      <c r="L3609" s="475" t="s">
        <v>141</v>
      </c>
      <c r="M3609" s="473"/>
    </row>
    <row r="3610" spans="1:13" ht="13.5">
      <c r="A3610" s="475" t="s">
        <v>5516</v>
      </c>
      <c r="B3610" s="475" t="s">
        <v>5517</v>
      </c>
      <c r="C3610" s="475" t="s">
        <v>5458</v>
      </c>
      <c r="D3610" s="475" t="s">
        <v>5520</v>
      </c>
      <c r="E3610" s="476" t="s">
        <v>34</v>
      </c>
      <c r="F3610" s="475" t="s">
        <v>34</v>
      </c>
      <c r="G3610" s="364">
        <v>89728</v>
      </c>
      <c r="H3610" s="475" t="s">
        <v>3091</v>
      </c>
      <c r="I3610" s="475" t="s">
        <v>171</v>
      </c>
      <c r="J3610" s="475" t="s">
        <v>337</v>
      </c>
      <c r="K3610" s="365">
        <v>7.17</v>
      </c>
      <c r="L3610" s="475" t="s">
        <v>141</v>
      </c>
      <c r="M3610" s="473"/>
    </row>
    <row r="3611" spans="1:13" ht="13.5">
      <c r="A3611" s="475" t="s">
        <v>5516</v>
      </c>
      <c r="B3611" s="475" t="s">
        <v>5517</v>
      </c>
      <c r="C3611" s="475" t="s">
        <v>5458</v>
      </c>
      <c r="D3611" s="475" t="s">
        <v>5520</v>
      </c>
      <c r="E3611" s="476" t="s">
        <v>34</v>
      </c>
      <c r="F3611" s="475" t="s">
        <v>34</v>
      </c>
      <c r="G3611" s="364">
        <v>89729</v>
      </c>
      <c r="H3611" s="475" t="s">
        <v>3092</v>
      </c>
      <c r="I3611" s="475" t="s">
        <v>171</v>
      </c>
      <c r="J3611" s="475" t="s">
        <v>337</v>
      </c>
      <c r="K3611" s="365">
        <v>14.14</v>
      </c>
      <c r="L3611" s="475" t="s">
        <v>141</v>
      </c>
      <c r="M3611" s="473"/>
    </row>
    <row r="3612" spans="1:13" ht="13.5">
      <c r="A3612" s="475" t="s">
        <v>5516</v>
      </c>
      <c r="B3612" s="475" t="s">
        <v>5517</v>
      </c>
      <c r="C3612" s="475" t="s">
        <v>5458</v>
      </c>
      <c r="D3612" s="475" t="s">
        <v>5520</v>
      </c>
      <c r="E3612" s="476" t="s">
        <v>34</v>
      </c>
      <c r="F3612" s="475" t="s">
        <v>34</v>
      </c>
      <c r="G3612" s="364">
        <v>89730</v>
      </c>
      <c r="H3612" s="475" t="s">
        <v>3093</v>
      </c>
      <c r="I3612" s="475" t="s">
        <v>171</v>
      </c>
      <c r="J3612" s="475" t="s">
        <v>337</v>
      </c>
      <c r="K3612" s="365">
        <v>7.67</v>
      </c>
      <c r="L3612" s="475" t="s">
        <v>141</v>
      </c>
      <c r="M3612" s="473"/>
    </row>
    <row r="3613" spans="1:13" ht="13.5">
      <c r="A3613" s="475" t="s">
        <v>5516</v>
      </c>
      <c r="B3613" s="475" t="s">
        <v>5517</v>
      </c>
      <c r="C3613" s="475" t="s">
        <v>5458</v>
      </c>
      <c r="D3613" s="475" t="s">
        <v>5520</v>
      </c>
      <c r="E3613" s="476" t="s">
        <v>34</v>
      </c>
      <c r="F3613" s="475" t="s">
        <v>34</v>
      </c>
      <c r="G3613" s="364">
        <v>89731</v>
      </c>
      <c r="H3613" s="475" t="s">
        <v>3094</v>
      </c>
      <c r="I3613" s="475" t="s">
        <v>171</v>
      </c>
      <c r="J3613" s="475" t="s">
        <v>337</v>
      </c>
      <c r="K3613" s="365">
        <v>7.6</v>
      </c>
      <c r="L3613" s="475" t="s">
        <v>141</v>
      </c>
      <c r="M3613" s="473"/>
    </row>
    <row r="3614" spans="1:13" ht="13.5">
      <c r="A3614" s="475" t="s">
        <v>5516</v>
      </c>
      <c r="B3614" s="475" t="s">
        <v>5517</v>
      </c>
      <c r="C3614" s="475" t="s">
        <v>5458</v>
      </c>
      <c r="D3614" s="475" t="s">
        <v>5520</v>
      </c>
      <c r="E3614" s="476" t="s">
        <v>34</v>
      </c>
      <c r="F3614" s="475" t="s">
        <v>34</v>
      </c>
      <c r="G3614" s="364">
        <v>89732</v>
      </c>
      <c r="H3614" s="475" t="s">
        <v>3095</v>
      </c>
      <c r="I3614" s="475" t="s">
        <v>171</v>
      </c>
      <c r="J3614" s="475" t="s">
        <v>337</v>
      </c>
      <c r="K3614" s="365">
        <v>7.96</v>
      </c>
      <c r="L3614" s="475" t="s">
        <v>141</v>
      </c>
      <c r="M3614" s="473"/>
    </row>
    <row r="3615" spans="1:13" ht="13.5">
      <c r="A3615" s="475" t="s">
        <v>5516</v>
      </c>
      <c r="B3615" s="475" t="s">
        <v>5517</v>
      </c>
      <c r="C3615" s="475" t="s">
        <v>5458</v>
      </c>
      <c r="D3615" s="475" t="s">
        <v>5520</v>
      </c>
      <c r="E3615" s="476" t="s">
        <v>34</v>
      </c>
      <c r="F3615" s="475" t="s">
        <v>34</v>
      </c>
      <c r="G3615" s="364">
        <v>89733</v>
      </c>
      <c r="H3615" s="475" t="s">
        <v>3096</v>
      </c>
      <c r="I3615" s="475" t="s">
        <v>171</v>
      </c>
      <c r="J3615" s="475" t="s">
        <v>337</v>
      </c>
      <c r="K3615" s="365">
        <v>11.84</v>
      </c>
      <c r="L3615" s="475" t="s">
        <v>141</v>
      </c>
      <c r="M3615" s="473"/>
    </row>
    <row r="3616" spans="1:13" ht="13.5">
      <c r="A3616" s="475" t="s">
        <v>5516</v>
      </c>
      <c r="B3616" s="475" t="s">
        <v>5517</v>
      </c>
      <c r="C3616" s="475" t="s">
        <v>5458</v>
      </c>
      <c r="D3616" s="475" t="s">
        <v>5520</v>
      </c>
      <c r="E3616" s="476" t="s">
        <v>34</v>
      </c>
      <c r="F3616" s="475" t="s">
        <v>34</v>
      </c>
      <c r="G3616" s="364">
        <v>89734</v>
      </c>
      <c r="H3616" s="475" t="s">
        <v>3097</v>
      </c>
      <c r="I3616" s="475" t="s">
        <v>171</v>
      </c>
      <c r="J3616" s="475" t="s">
        <v>337</v>
      </c>
      <c r="K3616" s="365">
        <v>14.14</v>
      </c>
      <c r="L3616" s="475" t="s">
        <v>141</v>
      </c>
      <c r="M3616" s="473"/>
    </row>
    <row r="3617" spans="1:13" ht="13.5">
      <c r="A3617" s="475" t="s">
        <v>5516</v>
      </c>
      <c r="B3617" s="475" t="s">
        <v>5517</v>
      </c>
      <c r="C3617" s="475" t="s">
        <v>5458</v>
      </c>
      <c r="D3617" s="475" t="s">
        <v>5520</v>
      </c>
      <c r="E3617" s="476" t="s">
        <v>34</v>
      </c>
      <c r="F3617" s="475" t="s">
        <v>34</v>
      </c>
      <c r="G3617" s="364">
        <v>89735</v>
      </c>
      <c r="H3617" s="475" t="s">
        <v>3098</v>
      </c>
      <c r="I3617" s="475" t="s">
        <v>171</v>
      </c>
      <c r="J3617" s="475" t="s">
        <v>337</v>
      </c>
      <c r="K3617" s="365">
        <v>12.43</v>
      </c>
      <c r="L3617" s="475" t="s">
        <v>141</v>
      </c>
      <c r="M3617" s="473"/>
    </row>
    <row r="3618" spans="1:13" ht="13.5">
      <c r="A3618" s="475" t="s">
        <v>5516</v>
      </c>
      <c r="B3618" s="475" t="s">
        <v>5517</v>
      </c>
      <c r="C3618" s="475" t="s">
        <v>5458</v>
      </c>
      <c r="D3618" s="475" t="s">
        <v>5520</v>
      </c>
      <c r="E3618" s="476" t="s">
        <v>34</v>
      </c>
      <c r="F3618" s="475" t="s">
        <v>34</v>
      </c>
      <c r="G3618" s="364">
        <v>89736</v>
      </c>
      <c r="H3618" s="475" t="s">
        <v>3099</v>
      </c>
      <c r="I3618" s="475" t="s">
        <v>171</v>
      </c>
      <c r="J3618" s="475" t="s">
        <v>337</v>
      </c>
      <c r="K3618" s="365">
        <v>4.34</v>
      </c>
      <c r="L3618" s="475" t="s">
        <v>141</v>
      </c>
      <c r="M3618" s="473"/>
    </row>
    <row r="3619" spans="1:13" ht="13.5">
      <c r="A3619" s="475" t="s">
        <v>5516</v>
      </c>
      <c r="B3619" s="475" t="s">
        <v>5517</v>
      </c>
      <c r="C3619" s="475" t="s">
        <v>5458</v>
      </c>
      <c r="D3619" s="475" t="s">
        <v>5520</v>
      </c>
      <c r="E3619" s="476" t="s">
        <v>34</v>
      </c>
      <c r="F3619" s="475" t="s">
        <v>34</v>
      </c>
      <c r="G3619" s="364">
        <v>89737</v>
      </c>
      <c r="H3619" s="475" t="s">
        <v>3100</v>
      </c>
      <c r="I3619" s="475" t="s">
        <v>171</v>
      </c>
      <c r="J3619" s="475" t="s">
        <v>337</v>
      </c>
      <c r="K3619" s="365">
        <v>12.73</v>
      </c>
      <c r="L3619" s="475" t="s">
        <v>141</v>
      </c>
      <c r="M3619" s="473"/>
    </row>
    <row r="3620" spans="1:13" ht="13.5">
      <c r="A3620" s="475" t="s">
        <v>5516</v>
      </c>
      <c r="B3620" s="475" t="s">
        <v>5517</v>
      </c>
      <c r="C3620" s="475" t="s">
        <v>5458</v>
      </c>
      <c r="D3620" s="475" t="s">
        <v>5520</v>
      </c>
      <c r="E3620" s="476" t="s">
        <v>34</v>
      </c>
      <c r="F3620" s="475" t="s">
        <v>34</v>
      </c>
      <c r="G3620" s="364">
        <v>89738</v>
      </c>
      <c r="H3620" s="475" t="s">
        <v>3101</v>
      </c>
      <c r="I3620" s="475" t="s">
        <v>171</v>
      </c>
      <c r="J3620" s="475" t="s">
        <v>337</v>
      </c>
      <c r="K3620" s="365">
        <v>7.43</v>
      </c>
      <c r="L3620" s="475" t="s">
        <v>141</v>
      </c>
      <c r="M3620" s="473"/>
    </row>
    <row r="3621" spans="1:13" ht="13.5">
      <c r="A3621" s="475" t="s">
        <v>5516</v>
      </c>
      <c r="B3621" s="475" t="s">
        <v>5517</v>
      </c>
      <c r="C3621" s="475" t="s">
        <v>5458</v>
      </c>
      <c r="D3621" s="475" t="s">
        <v>5520</v>
      </c>
      <c r="E3621" s="476" t="s">
        <v>34</v>
      </c>
      <c r="F3621" s="475" t="s">
        <v>34</v>
      </c>
      <c r="G3621" s="364">
        <v>89739</v>
      </c>
      <c r="H3621" s="475" t="s">
        <v>3102</v>
      </c>
      <c r="I3621" s="475" t="s">
        <v>171</v>
      </c>
      <c r="J3621" s="475" t="s">
        <v>337</v>
      </c>
      <c r="K3621" s="365">
        <v>13.24</v>
      </c>
      <c r="L3621" s="475" t="s">
        <v>141</v>
      </c>
      <c r="M3621" s="473"/>
    </row>
    <row r="3622" spans="1:13" ht="13.5">
      <c r="A3622" s="475" t="s">
        <v>5516</v>
      </c>
      <c r="B3622" s="475" t="s">
        <v>5517</v>
      </c>
      <c r="C3622" s="475" t="s">
        <v>5458</v>
      </c>
      <c r="D3622" s="475" t="s">
        <v>5520</v>
      </c>
      <c r="E3622" s="476" t="s">
        <v>34</v>
      </c>
      <c r="F3622" s="475" t="s">
        <v>34</v>
      </c>
      <c r="G3622" s="364">
        <v>89740</v>
      </c>
      <c r="H3622" s="475" t="s">
        <v>3103</v>
      </c>
      <c r="I3622" s="475" t="s">
        <v>171</v>
      </c>
      <c r="J3622" s="475" t="s">
        <v>337</v>
      </c>
      <c r="K3622" s="365">
        <v>4.07</v>
      </c>
      <c r="L3622" s="475" t="s">
        <v>141</v>
      </c>
      <c r="M3622" s="473"/>
    </row>
    <row r="3623" spans="1:13" ht="13.5">
      <c r="A3623" s="475" t="s">
        <v>5516</v>
      </c>
      <c r="B3623" s="475" t="s">
        <v>5517</v>
      </c>
      <c r="C3623" s="475" t="s">
        <v>5458</v>
      </c>
      <c r="D3623" s="475" t="s">
        <v>5520</v>
      </c>
      <c r="E3623" s="476" t="s">
        <v>34</v>
      </c>
      <c r="F3623" s="475" t="s">
        <v>34</v>
      </c>
      <c r="G3623" s="364">
        <v>89741</v>
      </c>
      <c r="H3623" s="475" t="s">
        <v>3104</v>
      </c>
      <c r="I3623" s="475" t="s">
        <v>171</v>
      </c>
      <c r="J3623" s="475" t="s">
        <v>337</v>
      </c>
      <c r="K3623" s="365">
        <v>9.7899999999999991</v>
      </c>
      <c r="L3623" s="475" t="s">
        <v>141</v>
      </c>
      <c r="M3623" s="473"/>
    </row>
    <row r="3624" spans="1:13" ht="13.5">
      <c r="A3624" s="475" t="s">
        <v>5516</v>
      </c>
      <c r="B3624" s="475" t="s">
        <v>5517</v>
      </c>
      <c r="C3624" s="475" t="s">
        <v>5458</v>
      </c>
      <c r="D3624" s="475" t="s">
        <v>5520</v>
      </c>
      <c r="E3624" s="476" t="s">
        <v>34</v>
      </c>
      <c r="F3624" s="475" t="s">
        <v>34</v>
      </c>
      <c r="G3624" s="364">
        <v>89742</v>
      </c>
      <c r="H3624" s="475" t="s">
        <v>3105</v>
      </c>
      <c r="I3624" s="475" t="s">
        <v>171</v>
      </c>
      <c r="J3624" s="475" t="s">
        <v>337</v>
      </c>
      <c r="K3624" s="365">
        <v>20.079999999999998</v>
      </c>
      <c r="L3624" s="475" t="s">
        <v>141</v>
      </c>
      <c r="M3624" s="473"/>
    </row>
    <row r="3625" spans="1:13" ht="13.5">
      <c r="A3625" s="475" t="s">
        <v>5516</v>
      </c>
      <c r="B3625" s="475" t="s">
        <v>5517</v>
      </c>
      <c r="C3625" s="475" t="s">
        <v>5458</v>
      </c>
      <c r="D3625" s="475" t="s">
        <v>5520</v>
      </c>
      <c r="E3625" s="476" t="s">
        <v>34</v>
      </c>
      <c r="F3625" s="475" t="s">
        <v>34</v>
      </c>
      <c r="G3625" s="364">
        <v>89743</v>
      </c>
      <c r="H3625" s="475" t="s">
        <v>3106</v>
      </c>
      <c r="I3625" s="475" t="s">
        <v>171</v>
      </c>
      <c r="J3625" s="475" t="s">
        <v>337</v>
      </c>
      <c r="K3625" s="365">
        <v>27.46</v>
      </c>
      <c r="L3625" s="475" t="s">
        <v>141</v>
      </c>
      <c r="M3625" s="473"/>
    </row>
    <row r="3626" spans="1:13" ht="13.5">
      <c r="A3626" s="475" t="s">
        <v>5516</v>
      </c>
      <c r="B3626" s="475" t="s">
        <v>5517</v>
      </c>
      <c r="C3626" s="475" t="s">
        <v>5458</v>
      </c>
      <c r="D3626" s="475" t="s">
        <v>5520</v>
      </c>
      <c r="E3626" s="476" t="s">
        <v>34</v>
      </c>
      <c r="F3626" s="475" t="s">
        <v>34</v>
      </c>
      <c r="G3626" s="364">
        <v>89744</v>
      </c>
      <c r="H3626" s="475" t="s">
        <v>3107</v>
      </c>
      <c r="I3626" s="475" t="s">
        <v>171</v>
      </c>
      <c r="J3626" s="475" t="s">
        <v>337</v>
      </c>
      <c r="K3626" s="365">
        <v>16.600000000000001</v>
      </c>
      <c r="L3626" s="475" t="s">
        <v>141</v>
      </c>
      <c r="M3626" s="473"/>
    </row>
    <row r="3627" spans="1:13" ht="13.5">
      <c r="A3627" s="475" t="s">
        <v>5516</v>
      </c>
      <c r="B3627" s="475" t="s">
        <v>5517</v>
      </c>
      <c r="C3627" s="475" t="s">
        <v>5458</v>
      </c>
      <c r="D3627" s="475" t="s">
        <v>5520</v>
      </c>
      <c r="E3627" s="476" t="s">
        <v>34</v>
      </c>
      <c r="F3627" s="475" t="s">
        <v>34</v>
      </c>
      <c r="G3627" s="364">
        <v>89745</v>
      </c>
      <c r="H3627" s="475" t="s">
        <v>3108</v>
      </c>
      <c r="I3627" s="475" t="s">
        <v>171</v>
      </c>
      <c r="J3627" s="475" t="s">
        <v>337</v>
      </c>
      <c r="K3627" s="365">
        <v>14.83</v>
      </c>
      <c r="L3627" s="475" t="s">
        <v>141</v>
      </c>
      <c r="M3627" s="473"/>
    </row>
    <row r="3628" spans="1:13" ht="13.5">
      <c r="A3628" s="475" t="s">
        <v>5516</v>
      </c>
      <c r="B3628" s="475" t="s">
        <v>5517</v>
      </c>
      <c r="C3628" s="475" t="s">
        <v>5458</v>
      </c>
      <c r="D3628" s="475" t="s">
        <v>5520</v>
      </c>
      <c r="E3628" s="476" t="s">
        <v>34</v>
      </c>
      <c r="F3628" s="475" t="s">
        <v>34</v>
      </c>
      <c r="G3628" s="364">
        <v>89746</v>
      </c>
      <c r="H3628" s="475" t="s">
        <v>3109</v>
      </c>
      <c r="I3628" s="475" t="s">
        <v>171</v>
      </c>
      <c r="J3628" s="475" t="s">
        <v>337</v>
      </c>
      <c r="K3628" s="365">
        <v>16.57</v>
      </c>
      <c r="L3628" s="475" t="s">
        <v>141</v>
      </c>
      <c r="M3628" s="473"/>
    </row>
    <row r="3629" spans="1:13" ht="13.5">
      <c r="A3629" s="475" t="s">
        <v>5516</v>
      </c>
      <c r="B3629" s="475" t="s">
        <v>5517</v>
      </c>
      <c r="C3629" s="475" t="s">
        <v>5458</v>
      </c>
      <c r="D3629" s="475" t="s">
        <v>5520</v>
      </c>
      <c r="E3629" s="476" t="s">
        <v>34</v>
      </c>
      <c r="F3629" s="475" t="s">
        <v>34</v>
      </c>
      <c r="G3629" s="364">
        <v>89747</v>
      </c>
      <c r="H3629" s="475" t="s">
        <v>3110</v>
      </c>
      <c r="I3629" s="475" t="s">
        <v>171</v>
      </c>
      <c r="J3629" s="475" t="s">
        <v>337</v>
      </c>
      <c r="K3629" s="365">
        <v>6.39</v>
      </c>
      <c r="L3629" s="475" t="s">
        <v>141</v>
      </c>
      <c r="M3629" s="473"/>
    </row>
    <row r="3630" spans="1:13" ht="13.5">
      <c r="A3630" s="475" t="s">
        <v>5516</v>
      </c>
      <c r="B3630" s="475" t="s">
        <v>5517</v>
      </c>
      <c r="C3630" s="475" t="s">
        <v>5458</v>
      </c>
      <c r="D3630" s="475" t="s">
        <v>5520</v>
      </c>
      <c r="E3630" s="476" t="s">
        <v>34</v>
      </c>
      <c r="F3630" s="475" t="s">
        <v>34</v>
      </c>
      <c r="G3630" s="364">
        <v>89748</v>
      </c>
      <c r="H3630" s="475" t="s">
        <v>3111</v>
      </c>
      <c r="I3630" s="475" t="s">
        <v>171</v>
      </c>
      <c r="J3630" s="475" t="s">
        <v>337</v>
      </c>
      <c r="K3630" s="365">
        <v>24.6</v>
      </c>
      <c r="L3630" s="475" t="s">
        <v>141</v>
      </c>
      <c r="M3630" s="473"/>
    </row>
    <row r="3631" spans="1:13" ht="13.5">
      <c r="A3631" s="475" t="s">
        <v>5516</v>
      </c>
      <c r="B3631" s="475" t="s">
        <v>5517</v>
      </c>
      <c r="C3631" s="475" t="s">
        <v>5458</v>
      </c>
      <c r="D3631" s="475" t="s">
        <v>5520</v>
      </c>
      <c r="E3631" s="476" t="s">
        <v>34</v>
      </c>
      <c r="F3631" s="475" t="s">
        <v>34</v>
      </c>
      <c r="G3631" s="364">
        <v>89749</v>
      </c>
      <c r="H3631" s="475" t="s">
        <v>3112</v>
      </c>
      <c r="I3631" s="475" t="s">
        <v>171</v>
      </c>
      <c r="J3631" s="475" t="s">
        <v>337</v>
      </c>
      <c r="K3631" s="365">
        <v>7.43</v>
      </c>
      <c r="L3631" s="475" t="s">
        <v>141</v>
      </c>
      <c r="M3631" s="473"/>
    </row>
    <row r="3632" spans="1:13" ht="13.5">
      <c r="A3632" s="475" t="s">
        <v>5516</v>
      </c>
      <c r="B3632" s="475" t="s">
        <v>5517</v>
      </c>
      <c r="C3632" s="475" t="s">
        <v>5458</v>
      </c>
      <c r="D3632" s="475" t="s">
        <v>5520</v>
      </c>
      <c r="E3632" s="476" t="s">
        <v>34</v>
      </c>
      <c r="F3632" s="475" t="s">
        <v>34</v>
      </c>
      <c r="G3632" s="364">
        <v>89750</v>
      </c>
      <c r="H3632" s="475" t="s">
        <v>3113</v>
      </c>
      <c r="I3632" s="475" t="s">
        <v>171</v>
      </c>
      <c r="J3632" s="475" t="s">
        <v>337</v>
      </c>
      <c r="K3632" s="365">
        <v>38.79</v>
      </c>
      <c r="L3632" s="475" t="s">
        <v>141</v>
      </c>
      <c r="M3632" s="473"/>
    </row>
    <row r="3633" spans="1:13" ht="13.5">
      <c r="A3633" s="475" t="s">
        <v>5516</v>
      </c>
      <c r="B3633" s="475" t="s">
        <v>5517</v>
      </c>
      <c r="C3633" s="475" t="s">
        <v>5458</v>
      </c>
      <c r="D3633" s="475" t="s">
        <v>5520</v>
      </c>
      <c r="E3633" s="476" t="s">
        <v>34</v>
      </c>
      <c r="F3633" s="475" t="s">
        <v>34</v>
      </c>
      <c r="G3633" s="364">
        <v>89751</v>
      </c>
      <c r="H3633" s="475" t="s">
        <v>3114</v>
      </c>
      <c r="I3633" s="475" t="s">
        <v>171</v>
      </c>
      <c r="J3633" s="475" t="s">
        <v>337</v>
      </c>
      <c r="K3633" s="365">
        <v>3.61</v>
      </c>
      <c r="L3633" s="475" t="s">
        <v>141</v>
      </c>
      <c r="M3633" s="473"/>
    </row>
    <row r="3634" spans="1:13" ht="13.5">
      <c r="A3634" s="475" t="s">
        <v>5516</v>
      </c>
      <c r="B3634" s="475" t="s">
        <v>5517</v>
      </c>
      <c r="C3634" s="475" t="s">
        <v>5458</v>
      </c>
      <c r="D3634" s="475" t="s">
        <v>5520</v>
      </c>
      <c r="E3634" s="476" t="s">
        <v>34</v>
      </c>
      <c r="F3634" s="475" t="s">
        <v>34</v>
      </c>
      <c r="G3634" s="364">
        <v>89752</v>
      </c>
      <c r="H3634" s="475" t="s">
        <v>3115</v>
      </c>
      <c r="I3634" s="475" t="s">
        <v>171</v>
      </c>
      <c r="J3634" s="475" t="s">
        <v>337</v>
      </c>
      <c r="K3634" s="365">
        <v>4.4000000000000004</v>
      </c>
      <c r="L3634" s="475" t="s">
        <v>141</v>
      </c>
      <c r="M3634" s="473"/>
    </row>
    <row r="3635" spans="1:13" ht="13.5">
      <c r="A3635" s="475" t="s">
        <v>5516</v>
      </c>
      <c r="B3635" s="475" t="s">
        <v>5517</v>
      </c>
      <c r="C3635" s="475" t="s">
        <v>5458</v>
      </c>
      <c r="D3635" s="475" t="s">
        <v>5520</v>
      </c>
      <c r="E3635" s="476" t="s">
        <v>34</v>
      </c>
      <c r="F3635" s="475" t="s">
        <v>34</v>
      </c>
      <c r="G3635" s="364">
        <v>89753</v>
      </c>
      <c r="H3635" s="475" t="s">
        <v>3116</v>
      </c>
      <c r="I3635" s="475" t="s">
        <v>171</v>
      </c>
      <c r="J3635" s="475" t="s">
        <v>337</v>
      </c>
      <c r="K3635" s="365">
        <v>6.11</v>
      </c>
      <c r="L3635" s="475" t="s">
        <v>141</v>
      </c>
      <c r="M3635" s="473"/>
    </row>
    <row r="3636" spans="1:13" ht="13.5">
      <c r="A3636" s="475" t="s">
        <v>5516</v>
      </c>
      <c r="B3636" s="475" t="s">
        <v>5517</v>
      </c>
      <c r="C3636" s="475" t="s">
        <v>5458</v>
      </c>
      <c r="D3636" s="475" t="s">
        <v>5520</v>
      </c>
      <c r="E3636" s="476" t="s">
        <v>34</v>
      </c>
      <c r="F3636" s="475" t="s">
        <v>34</v>
      </c>
      <c r="G3636" s="364">
        <v>89754</v>
      </c>
      <c r="H3636" s="475" t="s">
        <v>3117</v>
      </c>
      <c r="I3636" s="475" t="s">
        <v>171</v>
      </c>
      <c r="J3636" s="475" t="s">
        <v>337</v>
      </c>
      <c r="K3636" s="365">
        <v>10.42</v>
      </c>
      <c r="L3636" s="475" t="s">
        <v>141</v>
      </c>
      <c r="M3636" s="473"/>
    </row>
    <row r="3637" spans="1:13" ht="13.5">
      <c r="A3637" s="475" t="s">
        <v>5516</v>
      </c>
      <c r="B3637" s="475" t="s">
        <v>5517</v>
      </c>
      <c r="C3637" s="475" t="s">
        <v>5458</v>
      </c>
      <c r="D3637" s="475" t="s">
        <v>5520</v>
      </c>
      <c r="E3637" s="476" t="s">
        <v>34</v>
      </c>
      <c r="F3637" s="475" t="s">
        <v>34</v>
      </c>
      <c r="G3637" s="364">
        <v>89755</v>
      </c>
      <c r="H3637" s="475" t="s">
        <v>3118</v>
      </c>
      <c r="I3637" s="475" t="s">
        <v>171</v>
      </c>
      <c r="J3637" s="475" t="s">
        <v>337</v>
      </c>
      <c r="K3637" s="365">
        <v>6.39</v>
      </c>
      <c r="L3637" s="475" t="s">
        <v>141</v>
      </c>
      <c r="M3637" s="473"/>
    </row>
    <row r="3638" spans="1:13" ht="13.5">
      <c r="A3638" s="475" t="s">
        <v>5516</v>
      </c>
      <c r="B3638" s="475" t="s">
        <v>5517</v>
      </c>
      <c r="C3638" s="475" t="s">
        <v>5458</v>
      </c>
      <c r="D3638" s="475" t="s">
        <v>5520</v>
      </c>
      <c r="E3638" s="476" t="s">
        <v>34</v>
      </c>
      <c r="F3638" s="475" t="s">
        <v>34</v>
      </c>
      <c r="G3638" s="364">
        <v>89756</v>
      </c>
      <c r="H3638" s="475" t="s">
        <v>3119</v>
      </c>
      <c r="I3638" s="475" t="s">
        <v>171</v>
      </c>
      <c r="J3638" s="475" t="s">
        <v>337</v>
      </c>
      <c r="K3638" s="365">
        <v>9.93</v>
      </c>
      <c r="L3638" s="475" t="s">
        <v>141</v>
      </c>
      <c r="M3638" s="473"/>
    </row>
    <row r="3639" spans="1:13" ht="13.5">
      <c r="A3639" s="475" t="s">
        <v>5516</v>
      </c>
      <c r="B3639" s="475" t="s">
        <v>5517</v>
      </c>
      <c r="C3639" s="475" t="s">
        <v>5458</v>
      </c>
      <c r="D3639" s="475" t="s">
        <v>5520</v>
      </c>
      <c r="E3639" s="476" t="s">
        <v>34</v>
      </c>
      <c r="F3639" s="475" t="s">
        <v>34</v>
      </c>
      <c r="G3639" s="364">
        <v>89757</v>
      </c>
      <c r="H3639" s="475" t="s">
        <v>3120</v>
      </c>
      <c r="I3639" s="475" t="s">
        <v>171</v>
      </c>
      <c r="J3639" s="475" t="s">
        <v>337</v>
      </c>
      <c r="K3639" s="365">
        <v>14.45</v>
      </c>
      <c r="L3639" s="475" t="s">
        <v>141</v>
      </c>
      <c r="M3639" s="473"/>
    </row>
    <row r="3640" spans="1:13" ht="13.5">
      <c r="A3640" s="475" t="s">
        <v>5516</v>
      </c>
      <c r="B3640" s="475" t="s">
        <v>5517</v>
      </c>
      <c r="C3640" s="475" t="s">
        <v>5458</v>
      </c>
      <c r="D3640" s="475" t="s">
        <v>5520</v>
      </c>
      <c r="E3640" s="476" t="s">
        <v>34</v>
      </c>
      <c r="F3640" s="475" t="s">
        <v>34</v>
      </c>
      <c r="G3640" s="364">
        <v>89758</v>
      </c>
      <c r="H3640" s="475" t="s">
        <v>3121</v>
      </c>
      <c r="I3640" s="475" t="s">
        <v>171</v>
      </c>
      <c r="J3640" s="475" t="s">
        <v>337</v>
      </c>
      <c r="K3640" s="365">
        <v>21.82</v>
      </c>
      <c r="L3640" s="475" t="s">
        <v>141</v>
      </c>
      <c r="M3640" s="473"/>
    </row>
    <row r="3641" spans="1:13" ht="13.5">
      <c r="A3641" s="475" t="s">
        <v>5516</v>
      </c>
      <c r="B3641" s="475" t="s">
        <v>5517</v>
      </c>
      <c r="C3641" s="475" t="s">
        <v>5458</v>
      </c>
      <c r="D3641" s="475" t="s">
        <v>5520</v>
      </c>
      <c r="E3641" s="476" t="s">
        <v>34</v>
      </c>
      <c r="F3641" s="475" t="s">
        <v>34</v>
      </c>
      <c r="G3641" s="364">
        <v>89759</v>
      </c>
      <c r="H3641" s="475" t="s">
        <v>3122</v>
      </c>
      <c r="I3641" s="475" t="s">
        <v>171</v>
      </c>
      <c r="J3641" s="475" t="s">
        <v>337</v>
      </c>
      <c r="K3641" s="365">
        <v>4.82</v>
      </c>
      <c r="L3641" s="475" t="s">
        <v>141</v>
      </c>
      <c r="M3641" s="473"/>
    </row>
    <row r="3642" spans="1:13" ht="13.5">
      <c r="A3642" s="475" t="s">
        <v>5516</v>
      </c>
      <c r="B3642" s="475" t="s">
        <v>5517</v>
      </c>
      <c r="C3642" s="475" t="s">
        <v>5458</v>
      </c>
      <c r="D3642" s="475" t="s">
        <v>5520</v>
      </c>
      <c r="E3642" s="476" t="s">
        <v>34</v>
      </c>
      <c r="F3642" s="475" t="s">
        <v>34</v>
      </c>
      <c r="G3642" s="364">
        <v>89760</v>
      </c>
      <c r="H3642" s="475" t="s">
        <v>3123</v>
      </c>
      <c r="I3642" s="475" t="s">
        <v>171</v>
      </c>
      <c r="J3642" s="475" t="s">
        <v>337</v>
      </c>
      <c r="K3642" s="365">
        <v>9.84</v>
      </c>
      <c r="L3642" s="475" t="s">
        <v>141</v>
      </c>
      <c r="M3642" s="473"/>
    </row>
    <row r="3643" spans="1:13" ht="13.5">
      <c r="A3643" s="475" t="s">
        <v>5516</v>
      </c>
      <c r="B3643" s="475" t="s">
        <v>5517</v>
      </c>
      <c r="C3643" s="475" t="s">
        <v>5458</v>
      </c>
      <c r="D3643" s="475" t="s">
        <v>5520</v>
      </c>
      <c r="E3643" s="476" t="s">
        <v>34</v>
      </c>
      <c r="F3643" s="475" t="s">
        <v>34</v>
      </c>
      <c r="G3643" s="364">
        <v>89761</v>
      </c>
      <c r="H3643" s="475" t="s">
        <v>3124</v>
      </c>
      <c r="I3643" s="475" t="s">
        <v>171</v>
      </c>
      <c r="J3643" s="475" t="s">
        <v>337</v>
      </c>
      <c r="K3643" s="365">
        <v>15.14</v>
      </c>
      <c r="L3643" s="475" t="s">
        <v>141</v>
      </c>
      <c r="M3643" s="473"/>
    </row>
    <row r="3644" spans="1:13" ht="13.5">
      <c r="A3644" s="475" t="s">
        <v>5516</v>
      </c>
      <c r="B3644" s="475" t="s">
        <v>5517</v>
      </c>
      <c r="C3644" s="475" t="s">
        <v>5458</v>
      </c>
      <c r="D3644" s="475" t="s">
        <v>5520</v>
      </c>
      <c r="E3644" s="476" t="s">
        <v>34</v>
      </c>
      <c r="F3644" s="475" t="s">
        <v>34</v>
      </c>
      <c r="G3644" s="364">
        <v>89762</v>
      </c>
      <c r="H3644" s="475" t="s">
        <v>3125</v>
      </c>
      <c r="I3644" s="475" t="s">
        <v>171</v>
      </c>
      <c r="J3644" s="475" t="s">
        <v>337</v>
      </c>
      <c r="K3644" s="365">
        <v>20.82</v>
      </c>
      <c r="L3644" s="475" t="s">
        <v>141</v>
      </c>
      <c r="M3644" s="473"/>
    </row>
    <row r="3645" spans="1:13" ht="13.5">
      <c r="A3645" s="475" t="s">
        <v>5516</v>
      </c>
      <c r="B3645" s="475" t="s">
        <v>5517</v>
      </c>
      <c r="C3645" s="475" t="s">
        <v>5458</v>
      </c>
      <c r="D3645" s="475" t="s">
        <v>5520</v>
      </c>
      <c r="E3645" s="476" t="s">
        <v>34</v>
      </c>
      <c r="F3645" s="475" t="s">
        <v>34</v>
      </c>
      <c r="G3645" s="364">
        <v>89763</v>
      </c>
      <c r="H3645" s="475" t="s">
        <v>3126</v>
      </c>
      <c r="I3645" s="475" t="s">
        <v>171</v>
      </c>
      <c r="J3645" s="475" t="s">
        <v>337</v>
      </c>
      <c r="K3645" s="365">
        <v>77.010000000000005</v>
      </c>
      <c r="L3645" s="475" t="s">
        <v>141</v>
      </c>
      <c r="M3645" s="473"/>
    </row>
    <row r="3646" spans="1:13" ht="13.5">
      <c r="A3646" s="475" t="s">
        <v>5516</v>
      </c>
      <c r="B3646" s="475" t="s">
        <v>5517</v>
      </c>
      <c r="C3646" s="475" t="s">
        <v>5458</v>
      </c>
      <c r="D3646" s="475" t="s">
        <v>5520</v>
      </c>
      <c r="E3646" s="476" t="s">
        <v>34</v>
      </c>
      <c r="F3646" s="475" t="s">
        <v>34</v>
      </c>
      <c r="G3646" s="364">
        <v>89764</v>
      </c>
      <c r="H3646" s="475" t="s">
        <v>3127</v>
      </c>
      <c r="I3646" s="475" t="s">
        <v>171</v>
      </c>
      <c r="J3646" s="475" t="s">
        <v>337</v>
      </c>
      <c r="K3646" s="365">
        <v>16.28</v>
      </c>
      <c r="L3646" s="475" t="s">
        <v>141</v>
      </c>
      <c r="M3646" s="473"/>
    </row>
    <row r="3647" spans="1:13" ht="13.5">
      <c r="A3647" s="475" t="s">
        <v>5516</v>
      </c>
      <c r="B3647" s="475" t="s">
        <v>5517</v>
      </c>
      <c r="C3647" s="475" t="s">
        <v>5458</v>
      </c>
      <c r="D3647" s="475" t="s">
        <v>5520</v>
      </c>
      <c r="E3647" s="476" t="s">
        <v>34</v>
      </c>
      <c r="F3647" s="475" t="s">
        <v>34</v>
      </c>
      <c r="G3647" s="364">
        <v>89765</v>
      </c>
      <c r="H3647" s="475" t="s">
        <v>3128</v>
      </c>
      <c r="I3647" s="475" t="s">
        <v>171</v>
      </c>
      <c r="J3647" s="475" t="s">
        <v>337</v>
      </c>
      <c r="K3647" s="365">
        <v>8.1999999999999993</v>
      </c>
      <c r="L3647" s="475" t="s">
        <v>141</v>
      </c>
      <c r="M3647" s="473"/>
    </row>
    <row r="3648" spans="1:13" ht="13.5">
      <c r="A3648" s="475" t="s">
        <v>5516</v>
      </c>
      <c r="B3648" s="475" t="s">
        <v>5517</v>
      </c>
      <c r="C3648" s="475" t="s">
        <v>5458</v>
      </c>
      <c r="D3648" s="475" t="s">
        <v>5520</v>
      </c>
      <c r="E3648" s="476" t="s">
        <v>34</v>
      </c>
      <c r="F3648" s="475" t="s">
        <v>34</v>
      </c>
      <c r="G3648" s="364">
        <v>89766</v>
      </c>
      <c r="H3648" s="475" t="s">
        <v>3129</v>
      </c>
      <c r="I3648" s="475" t="s">
        <v>171</v>
      </c>
      <c r="J3648" s="475" t="s">
        <v>337</v>
      </c>
      <c r="K3648" s="365">
        <v>11.17</v>
      </c>
      <c r="L3648" s="475" t="s">
        <v>141</v>
      </c>
      <c r="M3648" s="473"/>
    </row>
    <row r="3649" spans="1:13" ht="13.5">
      <c r="A3649" s="475" t="s">
        <v>5516</v>
      </c>
      <c r="B3649" s="475" t="s">
        <v>5517</v>
      </c>
      <c r="C3649" s="475" t="s">
        <v>5458</v>
      </c>
      <c r="D3649" s="475" t="s">
        <v>5520</v>
      </c>
      <c r="E3649" s="476" t="s">
        <v>34</v>
      </c>
      <c r="F3649" s="475" t="s">
        <v>34</v>
      </c>
      <c r="G3649" s="364">
        <v>89767</v>
      </c>
      <c r="H3649" s="475" t="s">
        <v>3130</v>
      </c>
      <c r="I3649" s="475" t="s">
        <v>171</v>
      </c>
      <c r="J3649" s="475" t="s">
        <v>337</v>
      </c>
      <c r="K3649" s="365">
        <v>11.17</v>
      </c>
      <c r="L3649" s="475" t="s">
        <v>141</v>
      </c>
      <c r="M3649" s="473"/>
    </row>
    <row r="3650" spans="1:13" ht="13.5">
      <c r="A3650" s="475" t="s">
        <v>5516</v>
      </c>
      <c r="B3650" s="475" t="s">
        <v>5517</v>
      </c>
      <c r="C3650" s="475" t="s">
        <v>5458</v>
      </c>
      <c r="D3650" s="475" t="s">
        <v>5520</v>
      </c>
      <c r="E3650" s="476" t="s">
        <v>34</v>
      </c>
      <c r="F3650" s="475" t="s">
        <v>34</v>
      </c>
      <c r="G3650" s="364">
        <v>89768</v>
      </c>
      <c r="H3650" s="475" t="s">
        <v>3131</v>
      </c>
      <c r="I3650" s="475" t="s">
        <v>171</v>
      </c>
      <c r="J3650" s="475" t="s">
        <v>337</v>
      </c>
      <c r="K3650" s="365">
        <v>11.7</v>
      </c>
      <c r="L3650" s="475" t="s">
        <v>141</v>
      </c>
      <c r="M3650" s="473"/>
    </row>
    <row r="3651" spans="1:13" ht="13.5">
      <c r="A3651" s="475" t="s">
        <v>5516</v>
      </c>
      <c r="B3651" s="475" t="s">
        <v>5517</v>
      </c>
      <c r="C3651" s="475" t="s">
        <v>5458</v>
      </c>
      <c r="D3651" s="475" t="s">
        <v>5520</v>
      </c>
      <c r="E3651" s="476" t="s">
        <v>34</v>
      </c>
      <c r="F3651" s="475" t="s">
        <v>34</v>
      </c>
      <c r="G3651" s="364">
        <v>89769</v>
      </c>
      <c r="H3651" s="475" t="s">
        <v>3132</v>
      </c>
      <c r="I3651" s="475" t="s">
        <v>171</v>
      </c>
      <c r="J3651" s="475" t="s">
        <v>337</v>
      </c>
      <c r="K3651" s="365">
        <v>24.84</v>
      </c>
      <c r="L3651" s="475" t="s">
        <v>141</v>
      </c>
      <c r="M3651" s="473"/>
    </row>
    <row r="3652" spans="1:13" ht="13.5">
      <c r="A3652" s="475" t="s">
        <v>5516</v>
      </c>
      <c r="B3652" s="475" t="s">
        <v>5517</v>
      </c>
      <c r="C3652" s="475" t="s">
        <v>5458</v>
      </c>
      <c r="D3652" s="475" t="s">
        <v>5520</v>
      </c>
      <c r="E3652" s="476" t="s">
        <v>34</v>
      </c>
      <c r="F3652" s="475" t="s">
        <v>34</v>
      </c>
      <c r="G3652" s="364">
        <v>89772</v>
      </c>
      <c r="H3652" s="475" t="s">
        <v>3133</v>
      </c>
      <c r="I3652" s="475" t="s">
        <v>139</v>
      </c>
      <c r="J3652" s="475" t="s">
        <v>337</v>
      </c>
      <c r="K3652" s="365">
        <v>48.67</v>
      </c>
      <c r="L3652" s="475" t="s">
        <v>141</v>
      </c>
      <c r="M3652" s="473"/>
    </row>
    <row r="3653" spans="1:13" ht="13.5">
      <c r="A3653" s="475" t="s">
        <v>5516</v>
      </c>
      <c r="B3653" s="475" t="s">
        <v>5517</v>
      </c>
      <c r="C3653" s="475" t="s">
        <v>5458</v>
      </c>
      <c r="D3653" s="475" t="s">
        <v>5520</v>
      </c>
      <c r="E3653" s="476" t="s">
        <v>34</v>
      </c>
      <c r="F3653" s="475" t="s">
        <v>34</v>
      </c>
      <c r="G3653" s="364">
        <v>89774</v>
      </c>
      <c r="H3653" s="475" t="s">
        <v>3134</v>
      </c>
      <c r="I3653" s="475" t="s">
        <v>171</v>
      </c>
      <c r="J3653" s="475" t="s">
        <v>337</v>
      </c>
      <c r="K3653" s="365">
        <v>10.08</v>
      </c>
      <c r="L3653" s="475" t="s">
        <v>141</v>
      </c>
      <c r="M3653" s="473"/>
    </row>
    <row r="3654" spans="1:13" ht="13.5">
      <c r="A3654" s="475" t="s">
        <v>5516</v>
      </c>
      <c r="B3654" s="475" t="s">
        <v>5517</v>
      </c>
      <c r="C3654" s="475" t="s">
        <v>5458</v>
      </c>
      <c r="D3654" s="475" t="s">
        <v>5520</v>
      </c>
      <c r="E3654" s="476" t="s">
        <v>34</v>
      </c>
      <c r="F3654" s="475" t="s">
        <v>34</v>
      </c>
      <c r="G3654" s="364">
        <v>89776</v>
      </c>
      <c r="H3654" s="475" t="s">
        <v>3135</v>
      </c>
      <c r="I3654" s="475" t="s">
        <v>171</v>
      </c>
      <c r="J3654" s="475" t="s">
        <v>337</v>
      </c>
      <c r="K3654" s="365">
        <v>13.41</v>
      </c>
      <c r="L3654" s="475" t="s">
        <v>141</v>
      </c>
      <c r="M3654" s="473"/>
    </row>
    <row r="3655" spans="1:13" ht="13.5">
      <c r="A3655" s="475" t="s">
        <v>5516</v>
      </c>
      <c r="B3655" s="475" t="s">
        <v>5517</v>
      </c>
      <c r="C3655" s="475" t="s">
        <v>5458</v>
      </c>
      <c r="D3655" s="475" t="s">
        <v>5520</v>
      </c>
      <c r="E3655" s="476" t="s">
        <v>34</v>
      </c>
      <c r="F3655" s="475" t="s">
        <v>34</v>
      </c>
      <c r="G3655" s="364">
        <v>89777</v>
      </c>
      <c r="H3655" s="475" t="s">
        <v>3136</v>
      </c>
      <c r="I3655" s="475" t="s">
        <v>171</v>
      </c>
      <c r="J3655" s="475" t="s">
        <v>337</v>
      </c>
      <c r="K3655" s="365">
        <v>12.95</v>
      </c>
      <c r="L3655" s="475" t="s">
        <v>141</v>
      </c>
      <c r="M3655" s="473"/>
    </row>
    <row r="3656" spans="1:13" ht="13.5">
      <c r="A3656" s="475" t="s">
        <v>5516</v>
      </c>
      <c r="B3656" s="475" t="s">
        <v>5517</v>
      </c>
      <c r="C3656" s="475" t="s">
        <v>5458</v>
      </c>
      <c r="D3656" s="475" t="s">
        <v>5520</v>
      </c>
      <c r="E3656" s="476" t="s">
        <v>34</v>
      </c>
      <c r="F3656" s="475" t="s">
        <v>34</v>
      </c>
      <c r="G3656" s="364">
        <v>89778</v>
      </c>
      <c r="H3656" s="475" t="s">
        <v>3137</v>
      </c>
      <c r="I3656" s="475" t="s">
        <v>171</v>
      </c>
      <c r="J3656" s="475" t="s">
        <v>337</v>
      </c>
      <c r="K3656" s="365">
        <v>12.75</v>
      </c>
      <c r="L3656" s="475" t="s">
        <v>141</v>
      </c>
      <c r="M3656" s="473"/>
    </row>
    <row r="3657" spans="1:13" ht="13.5">
      <c r="A3657" s="475" t="s">
        <v>5516</v>
      </c>
      <c r="B3657" s="475" t="s">
        <v>5517</v>
      </c>
      <c r="C3657" s="475" t="s">
        <v>5458</v>
      </c>
      <c r="D3657" s="475" t="s">
        <v>5520</v>
      </c>
      <c r="E3657" s="476" t="s">
        <v>34</v>
      </c>
      <c r="F3657" s="475" t="s">
        <v>34</v>
      </c>
      <c r="G3657" s="364">
        <v>89779</v>
      </c>
      <c r="H3657" s="475" t="s">
        <v>3138</v>
      </c>
      <c r="I3657" s="475" t="s">
        <v>171</v>
      </c>
      <c r="J3657" s="475" t="s">
        <v>337</v>
      </c>
      <c r="K3657" s="365">
        <v>18.920000000000002</v>
      </c>
      <c r="L3657" s="475" t="s">
        <v>141</v>
      </c>
      <c r="M3657" s="473"/>
    </row>
    <row r="3658" spans="1:13" ht="13.5">
      <c r="A3658" s="475" t="s">
        <v>5516</v>
      </c>
      <c r="B3658" s="475" t="s">
        <v>5517</v>
      </c>
      <c r="C3658" s="475" t="s">
        <v>5458</v>
      </c>
      <c r="D3658" s="475" t="s">
        <v>5520</v>
      </c>
      <c r="E3658" s="476" t="s">
        <v>34</v>
      </c>
      <c r="F3658" s="475" t="s">
        <v>34</v>
      </c>
      <c r="G3658" s="364">
        <v>89780</v>
      </c>
      <c r="H3658" s="475" t="s">
        <v>3139</v>
      </c>
      <c r="I3658" s="475" t="s">
        <v>171</v>
      </c>
      <c r="J3658" s="475" t="s">
        <v>337</v>
      </c>
      <c r="K3658" s="365">
        <v>12.95</v>
      </c>
      <c r="L3658" s="475" t="s">
        <v>141</v>
      </c>
      <c r="M3658" s="473"/>
    </row>
    <row r="3659" spans="1:13" ht="13.5">
      <c r="A3659" s="475" t="s">
        <v>5516</v>
      </c>
      <c r="B3659" s="475" t="s">
        <v>5517</v>
      </c>
      <c r="C3659" s="475" t="s">
        <v>5458</v>
      </c>
      <c r="D3659" s="475" t="s">
        <v>5520</v>
      </c>
      <c r="E3659" s="476" t="s">
        <v>34</v>
      </c>
      <c r="F3659" s="475" t="s">
        <v>34</v>
      </c>
      <c r="G3659" s="364">
        <v>89781</v>
      </c>
      <c r="H3659" s="475" t="s">
        <v>3140</v>
      </c>
      <c r="I3659" s="475" t="s">
        <v>171</v>
      </c>
      <c r="J3659" s="475" t="s">
        <v>337</v>
      </c>
      <c r="K3659" s="365">
        <v>18.809999999999999</v>
      </c>
      <c r="L3659" s="475" t="s">
        <v>141</v>
      </c>
      <c r="M3659" s="473"/>
    </row>
    <row r="3660" spans="1:13" ht="13.5">
      <c r="A3660" s="475" t="s">
        <v>5516</v>
      </c>
      <c r="B3660" s="475" t="s">
        <v>5517</v>
      </c>
      <c r="C3660" s="475" t="s">
        <v>5458</v>
      </c>
      <c r="D3660" s="475" t="s">
        <v>5520</v>
      </c>
      <c r="E3660" s="476" t="s">
        <v>34</v>
      </c>
      <c r="F3660" s="475" t="s">
        <v>34</v>
      </c>
      <c r="G3660" s="364">
        <v>89782</v>
      </c>
      <c r="H3660" s="475" t="s">
        <v>3141</v>
      </c>
      <c r="I3660" s="475" t="s">
        <v>171</v>
      </c>
      <c r="J3660" s="475" t="s">
        <v>337</v>
      </c>
      <c r="K3660" s="365">
        <v>8.31</v>
      </c>
      <c r="L3660" s="475" t="s">
        <v>141</v>
      </c>
      <c r="M3660" s="473"/>
    </row>
    <row r="3661" spans="1:13" ht="13.5">
      <c r="A3661" s="475" t="s">
        <v>5516</v>
      </c>
      <c r="B3661" s="475" t="s">
        <v>5517</v>
      </c>
      <c r="C3661" s="475" t="s">
        <v>5458</v>
      </c>
      <c r="D3661" s="475" t="s">
        <v>5520</v>
      </c>
      <c r="E3661" s="476" t="s">
        <v>34</v>
      </c>
      <c r="F3661" s="475" t="s">
        <v>34</v>
      </c>
      <c r="G3661" s="364">
        <v>89783</v>
      </c>
      <c r="H3661" s="475" t="s">
        <v>3142</v>
      </c>
      <c r="I3661" s="475" t="s">
        <v>171</v>
      </c>
      <c r="J3661" s="475" t="s">
        <v>337</v>
      </c>
      <c r="K3661" s="365">
        <v>8.4700000000000006</v>
      </c>
      <c r="L3661" s="475" t="s">
        <v>141</v>
      </c>
      <c r="M3661" s="473"/>
    </row>
    <row r="3662" spans="1:13" ht="13.5">
      <c r="A3662" s="475" t="s">
        <v>5516</v>
      </c>
      <c r="B3662" s="475" t="s">
        <v>5517</v>
      </c>
      <c r="C3662" s="475" t="s">
        <v>5458</v>
      </c>
      <c r="D3662" s="475" t="s">
        <v>5520</v>
      </c>
      <c r="E3662" s="476" t="s">
        <v>34</v>
      </c>
      <c r="F3662" s="475" t="s">
        <v>34</v>
      </c>
      <c r="G3662" s="364">
        <v>89784</v>
      </c>
      <c r="H3662" s="475" t="s">
        <v>3143</v>
      </c>
      <c r="I3662" s="475" t="s">
        <v>171</v>
      </c>
      <c r="J3662" s="475" t="s">
        <v>337</v>
      </c>
      <c r="K3662" s="365">
        <v>13.37</v>
      </c>
      <c r="L3662" s="475" t="s">
        <v>141</v>
      </c>
      <c r="M3662" s="473"/>
    </row>
    <row r="3663" spans="1:13" ht="13.5">
      <c r="A3663" s="475" t="s">
        <v>5516</v>
      </c>
      <c r="B3663" s="475" t="s">
        <v>5517</v>
      </c>
      <c r="C3663" s="475" t="s">
        <v>5458</v>
      </c>
      <c r="D3663" s="475" t="s">
        <v>5520</v>
      </c>
      <c r="E3663" s="476" t="s">
        <v>34</v>
      </c>
      <c r="F3663" s="475" t="s">
        <v>34</v>
      </c>
      <c r="G3663" s="364">
        <v>89785</v>
      </c>
      <c r="H3663" s="475" t="s">
        <v>3144</v>
      </c>
      <c r="I3663" s="475" t="s">
        <v>171</v>
      </c>
      <c r="J3663" s="475" t="s">
        <v>337</v>
      </c>
      <c r="K3663" s="365">
        <v>14.4</v>
      </c>
      <c r="L3663" s="475" t="s">
        <v>141</v>
      </c>
      <c r="M3663" s="473"/>
    </row>
    <row r="3664" spans="1:13" ht="13.5">
      <c r="A3664" s="475" t="s">
        <v>5516</v>
      </c>
      <c r="B3664" s="475" t="s">
        <v>5517</v>
      </c>
      <c r="C3664" s="475" t="s">
        <v>5458</v>
      </c>
      <c r="D3664" s="475" t="s">
        <v>5520</v>
      </c>
      <c r="E3664" s="476" t="s">
        <v>34</v>
      </c>
      <c r="F3664" s="475" t="s">
        <v>34</v>
      </c>
      <c r="G3664" s="364">
        <v>89786</v>
      </c>
      <c r="H3664" s="475" t="s">
        <v>3145</v>
      </c>
      <c r="I3664" s="475" t="s">
        <v>171</v>
      </c>
      <c r="J3664" s="475" t="s">
        <v>337</v>
      </c>
      <c r="K3664" s="365">
        <v>21.71</v>
      </c>
      <c r="L3664" s="475" t="s">
        <v>141</v>
      </c>
      <c r="M3664" s="473"/>
    </row>
    <row r="3665" spans="1:13" ht="13.5">
      <c r="A3665" s="475" t="s">
        <v>5516</v>
      </c>
      <c r="B3665" s="475" t="s">
        <v>5517</v>
      </c>
      <c r="C3665" s="475" t="s">
        <v>5458</v>
      </c>
      <c r="D3665" s="475" t="s">
        <v>5520</v>
      </c>
      <c r="E3665" s="476" t="s">
        <v>34</v>
      </c>
      <c r="F3665" s="475" t="s">
        <v>34</v>
      </c>
      <c r="G3665" s="364">
        <v>89787</v>
      </c>
      <c r="H3665" s="475" t="s">
        <v>3146</v>
      </c>
      <c r="I3665" s="475" t="s">
        <v>171</v>
      </c>
      <c r="J3665" s="475" t="s">
        <v>337</v>
      </c>
      <c r="K3665" s="365">
        <v>18.809999999999999</v>
      </c>
      <c r="L3665" s="475" t="s">
        <v>141</v>
      </c>
      <c r="M3665" s="473"/>
    </row>
    <row r="3666" spans="1:13" ht="13.5">
      <c r="A3666" s="475" t="s">
        <v>5516</v>
      </c>
      <c r="B3666" s="475" t="s">
        <v>5517</v>
      </c>
      <c r="C3666" s="475" t="s">
        <v>5458</v>
      </c>
      <c r="D3666" s="475" t="s">
        <v>5520</v>
      </c>
      <c r="E3666" s="476" t="s">
        <v>34</v>
      </c>
      <c r="F3666" s="475" t="s">
        <v>34</v>
      </c>
      <c r="G3666" s="364">
        <v>89788</v>
      </c>
      <c r="H3666" s="475" t="s">
        <v>3147</v>
      </c>
      <c r="I3666" s="475" t="s">
        <v>171</v>
      </c>
      <c r="J3666" s="475" t="s">
        <v>337</v>
      </c>
      <c r="K3666" s="365">
        <v>35.43</v>
      </c>
      <c r="L3666" s="475" t="s">
        <v>141</v>
      </c>
      <c r="M3666" s="473"/>
    </row>
    <row r="3667" spans="1:13" ht="13.5">
      <c r="A3667" s="475" t="s">
        <v>5516</v>
      </c>
      <c r="B3667" s="475" t="s">
        <v>5517</v>
      </c>
      <c r="C3667" s="475" t="s">
        <v>5458</v>
      </c>
      <c r="D3667" s="475" t="s">
        <v>5520</v>
      </c>
      <c r="E3667" s="476" t="s">
        <v>34</v>
      </c>
      <c r="F3667" s="475" t="s">
        <v>34</v>
      </c>
      <c r="G3667" s="364">
        <v>89789</v>
      </c>
      <c r="H3667" s="475" t="s">
        <v>3148</v>
      </c>
      <c r="I3667" s="475" t="s">
        <v>171</v>
      </c>
      <c r="J3667" s="475" t="s">
        <v>337</v>
      </c>
      <c r="K3667" s="365">
        <v>35.950000000000003</v>
      </c>
      <c r="L3667" s="475" t="s">
        <v>141</v>
      </c>
      <c r="M3667" s="473"/>
    </row>
    <row r="3668" spans="1:13" ht="13.5">
      <c r="A3668" s="475" t="s">
        <v>5516</v>
      </c>
      <c r="B3668" s="475" t="s">
        <v>5517</v>
      </c>
      <c r="C3668" s="475" t="s">
        <v>5458</v>
      </c>
      <c r="D3668" s="475" t="s">
        <v>5520</v>
      </c>
      <c r="E3668" s="476" t="s">
        <v>34</v>
      </c>
      <c r="F3668" s="475" t="s">
        <v>34</v>
      </c>
      <c r="G3668" s="364">
        <v>89790</v>
      </c>
      <c r="H3668" s="475" t="s">
        <v>3149</v>
      </c>
      <c r="I3668" s="475" t="s">
        <v>171</v>
      </c>
      <c r="J3668" s="475" t="s">
        <v>337</v>
      </c>
      <c r="K3668" s="365">
        <v>85.07</v>
      </c>
      <c r="L3668" s="475" t="s">
        <v>141</v>
      </c>
      <c r="M3668" s="473"/>
    </row>
    <row r="3669" spans="1:13" ht="13.5">
      <c r="A3669" s="475" t="s">
        <v>5516</v>
      </c>
      <c r="B3669" s="475" t="s">
        <v>5517</v>
      </c>
      <c r="C3669" s="475" t="s">
        <v>5458</v>
      </c>
      <c r="D3669" s="475" t="s">
        <v>5520</v>
      </c>
      <c r="E3669" s="476" t="s">
        <v>34</v>
      </c>
      <c r="F3669" s="475" t="s">
        <v>34</v>
      </c>
      <c r="G3669" s="364">
        <v>89791</v>
      </c>
      <c r="H3669" s="475" t="s">
        <v>3150</v>
      </c>
      <c r="I3669" s="475" t="s">
        <v>171</v>
      </c>
      <c r="J3669" s="475" t="s">
        <v>337</v>
      </c>
      <c r="K3669" s="365">
        <v>86.99</v>
      </c>
      <c r="L3669" s="475" t="s">
        <v>141</v>
      </c>
      <c r="M3669" s="473"/>
    </row>
    <row r="3670" spans="1:13" ht="13.5">
      <c r="A3670" s="475" t="s">
        <v>5516</v>
      </c>
      <c r="B3670" s="475" t="s">
        <v>5517</v>
      </c>
      <c r="C3670" s="475" t="s">
        <v>5458</v>
      </c>
      <c r="D3670" s="475" t="s">
        <v>5520</v>
      </c>
      <c r="E3670" s="476" t="s">
        <v>34</v>
      </c>
      <c r="F3670" s="475" t="s">
        <v>34</v>
      </c>
      <c r="G3670" s="364">
        <v>89792</v>
      </c>
      <c r="H3670" s="475" t="s">
        <v>3151</v>
      </c>
      <c r="I3670" s="475" t="s">
        <v>171</v>
      </c>
      <c r="J3670" s="475" t="s">
        <v>337</v>
      </c>
      <c r="K3670" s="365">
        <v>100.43</v>
      </c>
      <c r="L3670" s="475" t="s">
        <v>141</v>
      </c>
      <c r="M3670" s="473"/>
    </row>
    <row r="3671" spans="1:13" ht="13.5">
      <c r="A3671" s="475" t="s">
        <v>5516</v>
      </c>
      <c r="B3671" s="475" t="s">
        <v>5517</v>
      </c>
      <c r="C3671" s="475" t="s">
        <v>5458</v>
      </c>
      <c r="D3671" s="475" t="s">
        <v>5520</v>
      </c>
      <c r="E3671" s="476" t="s">
        <v>34</v>
      </c>
      <c r="F3671" s="475" t="s">
        <v>34</v>
      </c>
      <c r="G3671" s="364">
        <v>89793</v>
      </c>
      <c r="H3671" s="475" t="s">
        <v>3152</v>
      </c>
      <c r="I3671" s="475" t="s">
        <v>171</v>
      </c>
      <c r="J3671" s="475" t="s">
        <v>337</v>
      </c>
      <c r="K3671" s="365">
        <v>103.01</v>
      </c>
      <c r="L3671" s="475" t="s">
        <v>141</v>
      </c>
      <c r="M3671" s="473"/>
    </row>
    <row r="3672" spans="1:13" ht="13.5">
      <c r="A3672" s="475" t="s">
        <v>5516</v>
      </c>
      <c r="B3672" s="475" t="s">
        <v>5517</v>
      </c>
      <c r="C3672" s="475" t="s">
        <v>5458</v>
      </c>
      <c r="D3672" s="475" t="s">
        <v>5520</v>
      </c>
      <c r="E3672" s="476" t="s">
        <v>34</v>
      </c>
      <c r="F3672" s="475" t="s">
        <v>34</v>
      </c>
      <c r="G3672" s="364">
        <v>89794</v>
      </c>
      <c r="H3672" s="475" t="s">
        <v>3153</v>
      </c>
      <c r="I3672" s="475" t="s">
        <v>171</v>
      </c>
      <c r="J3672" s="475" t="s">
        <v>337</v>
      </c>
      <c r="K3672" s="365">
        <v>9.06</v>
      </c>
      <c r="L3672" s="475" t="s">
        <v>141</v>
      </c>
      <c r="M3672" s="473"/>
    </row>
    <row r="3673" spans="1:13" ht="13.5">
      <c r="A3673" s="475" t="s">
        <v>5516</v>
      </c>
      <c r="B3673" s="475" t="s">
        <v>5517</v>
      </c>
      <c r="C3673" s="475" t="s">
        <v>5458</v>
      </c>
      <c r="D3673" s="475" t="s">
        <v>5520</v>
      </c>
      <c r="E3673" s="476" t="s">
        <v>34</v>
      </c>
      <c r="F3673" s="475" t="s">
        <v>34</v>
      </c>
      <c r="G3673" s="364">
        <v>89795</v>
      </c>
      <c r="H3673" s="475" t="s">
        <v>3154</v>
      </c>
      <c r="I3673" s="475" t="s">
        <v>171</v>
      </c>
      <c r="J3673" s="475" t="s">
        <v>337</v>
      </c>
      <c r="K3673" s="365">
        <v>23.12</v>
      </c>
      <c r="L3673" s="475" t="s">
        <v>141</v>
      </c>
      <c r="M3673" s="473"/>
    </row>
    <row r="3674" spans="1:13" ht="13.5">
      <c r="A3674" s="475" t="s">
        <v>5516</v>
      </c>
      <c r="B3674" s="475" t="s">
        <v>5517</v>
      </c>
      <c r="C3674" s="475" t="s">
        <v>5458</v>
      </c>
      <c r="D3674" s="475" t="s">
        <v>5520</v>
      </c>
      <c r="E3674" s="476" t="s">
        <v>34</v>
      </c>
      <c r="F3674" s="475" t="s">
        <v>34</v>
      </c>
      <c r="G3674" s="364">
        <v>89796</v>
      </c>
      <c r="H3674" s="475" t="s">
        <v>3155</v>
      </c>
      <c r="I3674" s="475" t="s">
        <v>171</v>
      </c>
      <c r="J3674" s="475" t="s">
        <v>337</v>
      </c>
      <c r="K3674" s="365">
        <v>27.1</v>
      </c>
      <c r="L3674" s="475" t="s">
        <v>141</v>
      </c>
      <c r="M3674" s="473"/>
    </row>
    <row r="3675" spans="1:13" ht="13.5">
      <c r="A3675" s="475" t="s">
        <v>5516</v>
      </c>
      <c r="B3675" s="475" t="s">
        <v>5517</v>
      </c>
      <c r="C3675" s="475" t="s">
        <v>5458</v>
      </c>
      <c r="D3675" s="475" t="s">
        <v>5520</v>
      </c>
      <c r="E3675" s="476" t="s">
        <v>34</v>
      </c>
      <c r="F3675" s="475" t="s">
        <v>34</v>
      </c>
      <c r="G3675" s="364">
        <v>89797</v>
      </c>
      <c r="H3675" s="475" t="s">
        <v>3156</v>
      </c>
      <c r="I3675" s="475" t="s">
        <v>171</v>
      </c>
      <c r="J3675" s="475" t="s">
        <v>337</v>
      </c>
      <c r="K3675" s="365">
        <v>30.41</v>
      </c>
      <c r="L3675" s="475" t="s">
        <v>141</v>
      </c>
      <c r="M3675" s="473"/>
    </row>
    <row r="3676" spans="1:13" ht="13.5">
      <c r="A3676" s="475" t="s">
        <v>5516</v>
      </c>
      <c r="B3676" s="475" t="s">
        <v>5517</v>
      </c>
      <c r="C3676" s="475" t="s">
        <v>5458</v>
      </c>
      <c r="D3676" s="475" t="s">
        <v>5520</v>
      </c>
      <c r="E3676" s="476" t="s">
        <v>34</v>
      </c>
      <c r="F3676" s="475" t="s">
        <v>34</v>
      </c>
      <c r="G3676" s="364">
        <v>89801</v>
      </c>
      <c r="H3676" s="475" t="s">
        <v>3157</v>
      </c>
      <c r="I3676" s="475" t="s">
        <v>171</v>
      </c>
      <c r="J3676" s="475" t="s">
        <v>337</v>
      </c>
      <c r="K3676" s="365">
        <v>4.5599999999999996</v>
      </c>
      <c r="L3676" s="475" t="s">
        <v>141</v>
      </c>
      <c r="M3676" s="473"/>
    </row>
    <row r="3677" spans="1:13" ht="13.5">
      <c r="A3677" s="475" t="s">
        <v>5516</v>
      </c>
      <c r="B3677" s="475" t="s">
        <v>5517</v>
      </c>
      <c r="C3677" s="475" t="s">
        <v>5458</v>
      </c>
      <c r="D3677" s="475" t="s">
        <v>5520</v>
      </c>
      <c r="E3677" s="476" t="s">
        <v>34</v>
      </c>
      <c r="F3677" s="475" t="s">
        <v>34</v>
      </c>
      <c r="G3677" s="364">
        <v>89802</v>
      </c>
      <c r="H3677" s="475" t="s">
        <v>3158</v>
      </c>
      <c r="I3677" s="475" t="s">
        <v>171</v>
      </c>
      <c r="J3677" s="475" t="s">
        <v>337</v>
      </c>
      <c r="K3677" s="365">
        <v>4.92</v>
      </c>
      <c r="L3677" s="475" t="s">
        <v>141</v>
      </c>
      <c r="M3677" s="473"/>
    </row>
    <row r="3678" spans="1:13" ht="13.5">
      <c r="A3678" s="475" t="s">
        <v>5516</v>
      </c>
      <c r="B3678" s="475" t="s">
        <v>5517</v>
      </c>
      <c r="C3678" s="475" t="s">
        <v>5458</v>
      </c>
      <c r="D3678" s="475" t="s">
        <v>5520</v>
      </c>
      <c r="E3678" s="476" t="s">
        <v>34</v>
      </c>
      <c r="F3678" s="475" t="s">
        <v>34</v>
      </c>
      <c r="G3678" s="364">
        <v>89803</v>
      </c>
      <c r="H3678" s="475" t="s">
        <v>3159</v>
      </c>
      <c r="I3678" s="475" t="s">
        <v>171</v>
      </c>
      <c r="J3678" s="475" t="s">
        <v>337</v>
      </c>
      <c r="K3678" s="365">
        <v>8.8000000000000007</v>
      </c>
      <c r="L3678" s="475" t="s">
        <v>141</v>
      </c>
      <c r="M3678" s="473"/>
    </row>
    <row r="3679" spans="1:13" ht="13.5">
      <c r="A3679" s="475" t="s">
        <v>5516</v>
      </c>
      <c r="B3679" s="475" t="s">
        <v>5517</v>
      </c>
      <c r="C3679" s="475" t="s">
        <v>5458</v>
      </c>
      <c r="D3679" s="475" t="s">
        <v>5520</v>
      </c>
      <c r="E3679" s="476" t="s">
        <v>34</v>
      </c>
      <c r="F3679" s="475" t="s">
        <v>34</v>
      </c>
      <c r="G3679" s="364">
        <v>89804</v>
      </c>
      <c r="H3679" s="475" t="s">
        <v>3160</v>
      </c>
      <c r="I3679" s="475" t="s">
        <v>171</v>
      </c>
      <c r="J3679" s="475" t="s">
        <v>337</v>
      </c>
      <c r="K3679" s="365">
        <v>9.39</v>
      </c>
      <c r="L3679" s="475" t="s">
        <v>141</v>
      </c>
      <c r="M3679" s="473"/>
    </row>
    <row r="3680" spans="1:13" ht="13.5">
      <c r="A3680" s="475" t="s">
        <v>5516</v>
      </c>
      <c r="B3680" s="475" t="s">
        <v>5517</v>
      </c>
      <c r="C3680" s="475" t="s">
        <v>5458</v>
      </c>
      <c r="D3680" s="475" t="s">
        <v>5520</v>
      </c>
      <c r="E3680" s="476" t="s">
        <v>34</v>
      </c>
      <c r="F3680" s="475" t="s">
        <v>34</v>
      </c>
      <c r="G3680" s="364">
        <v>89805</v>
      </c>
      <c r="H3680" s="475" t="s">
        <v>3161</v>
      </c>
      <c r="I3680" s="475" t="s">
        <v>171</v>
      </c>
      <c r="J3680" s="475" t="s">
        <v>337</v>
      </c>
      <c r="K3680" s="365">
        <v>9.01</v>
      </c>
      <c r="L3680" s="475" t="s">
        <v>141</v>
      </c>
      <c r="M3680" s="473"/>
    </row>
    <row r="3681" spans="1:13" ht="13.5">
      <c r="A3681" s="475" t="s">
        <v>5516</v>
      </c>
      <c r="B3681" s="475" t="s">
        <v>5517</v>
      </c>
      <c r="C3681" s="475" t="s">
        <v>5458</v>
      </c>
      <c r="D3681" s="475" t="s">
        <v>5520</v>
      </c>
      <c r="E3681" s="476" t="s">
        <v>34</v>
      </c>
      <c r="F3681" s="475" t="s">
        <v>34</v>
      </c>
      <c r="G3681" s="364">
        <v>89806</v>
      </c>
      <c r="H3681" s="475" t="s">
        <v>3162</v>
      </c>
      <c r="I3681" s="475" t="s">
        <v>171</v>
      </c>
      <c r="J3681" s="475" t="s">
        <v>337</v>
      </c>
      <c r="K3681" s="365">
        <v>9.52</v>
      </c>
      <c r="L3681" s="475" t="s">
        <v>141</v>
      </c>
      <c r="M3681" s="473"/>
    </row>
    <row r="3682" spans="1:13" ht="13.5">
      <c r="A3682" s="475" t="s">
        <v>5516</v>
      </c>
      <c r="B3682" s="475" t="s">
        <v>5517</v>
      </c>
      <c r="C3682" s="475" t="s">
        <v>5458</v>
      </c>
      <c r="D3682" s="475" t="s">
        <v>5520</v>
      </c>
      <c r="E3682" s="476" t="s">
        <v>34</v>
      </c>
      <c r="F3682" s="475" t="s">
        <v>34</v>
      </c>
      <c r="G3682" s="364">
        <v>89807</v>
      </c>
      <c r="H3682" s="475" t="s">
        <v>3163</v>
      </c>
      <c r="I3682" s="475" t="s">
        <v>171</v>
      </c>
      <c r="J3682" s="475" t="s">
        <v>337</v>
      </c>
      <c r="K3682" s="365">
        <v>16.36</v>
      </c>
      <c r="L3682" s="475" t="s">
        <v>141</v>
      </c>
      <c r="M3682" s="473"/>
    </row>
    <row r="3683" spans="1:13" ht="13.5">
      <c r="A3683" s="475" t="s">
        <v>5516</v>
      </c>
      <c r="B3683" s="475" t="s">
        <v>5517</v>
      </c>
      <c r="C3683" s="475" t="s">
        <v>5458</v>
      </c>
      <c r="D3683" s="475" t="s">
        <v>5520</v>
      </c>
      <c r="E3683" s="476" t="s">
        <v>34</v>
      </c>
      <c r="F3683" s="475" t="s">
        <v>34</v>
      </c>
      <c r="G3683" s="364">
        <v>89808</v>
      </c>
      <c r="H3683" s="475" t="s">
        <v>3164</v>
      </c>
      <c r="I3683" s="475" t="s">
        <v>171</v>
      </c>
      <c r="J3683" s="475" t="s">
        <v>337</v>
      </c>
      <c r="K3683" s="365">
        <v>23.74</v>
      </c>
      <c r="L3683" s="475" t="s">
        <v>141</v>
      </c>
      <c r="M3683" s="473"/>
    </row>
    <row r="3684" spans="1:13" ht="13.5">
      <c r="A3684" s="475" t="s">
        <v>5516</v>
      </c>
      <c r="B3684" s="475" t="s">
        <v>5517</v>
      </c>
      <c r="C3684" s="475" t="s">
        <v>5458</v>
      </c>
      <c r="D3684" s="475" t="s">
        <v>5520</v>
      </c>
      <c r="E3684" s="476" t="s">
        <v>34</v>
      </c>
      <c r="F3684" s="475" t="s">
        <v>34</v>
      </c>
      <c r="G3684" s="364">
        <v>89809</v>
      </c>
      <c r="H3684" s="475" t="s">
        <v>3165</v>
      </c>
      <c r="I3684" s="475" t="s">
        <v>171</v>
      </c>
      <c r="J3684" s="475" t="s">
        <v>337</v>
      </c>
      <c r="K3684" s="365">
        <v>12.22</v>
      </c>
      <c r="L3684" s="475" t="s">
        <v>141</v>
      </c>
      <c r="M3684" s="473"/>
    </row>
    <row r="3685" spans="1:13" ht="13.5">
      <c r="A3685" s="475" t="s">
        <v>5516</v>
      </c>
      <c r="B3685" s="475" t="s">
        <v>5517</v>
      </c>
      <c r="C3685" s="475" t="s">
        <v>5458</v>
      </c>
      <c r="D3685" s="475" t="s">
        <v>5520</v>
      </c>
      <c r="E3685" s="476" t="s">
        <v>34</v>
      </c>
      <c r="F3685" s="475" t="s">
        <v>34</v>
      </c>
      <c r="G3685" s="364">
        <v>89810</v>
      </c>
      <c r="H3685" s="475" t="s">
        <v>3166</v>
      </c>
      <c r="I3685" s="475" t="s">
        <v>171</v>
      </c>
      <c r="J3685" s="475" t="s">
        <v>337</v>
      </c>
      <c r="K3685" s="365">
        <v>12.19</v>
      </c>
      <c r="L3685" s="475" t="s">
        <v>141</v>
      </c>
      <c r="M3685" s="473"/>
    </row>
    <row r="3686" spans="1:13" ht="13.5">
      <c r="A3686" s="475" t="s">
        <v>5516</v>
      </c>
      <c r="B3686" s="475" t="s">
        <v>5517</v>
      </c>
      <c r="C3686" s="475" t="s">
        <v>5458</v>
      </c>
      <c r="D3686" s="475" t="s">
        <v>5520</v>
      </c>
      <c r="E3686" s="476" t="s">
        <v>34</v>
      </c>
      <c r="F3686" s="475" t="s">
        <v>34</v>
      </c>
      <c r="G3686" s="364">
        <v>89811</v>
      </c>
      <c r="H3686" s="475" t="s">
        <v>3167</v>
      </c>
      <c r="I3686" s="475" t="s">
        <v>171</v>
      </c>
      <c r="J3686" s="475" t="s">
        <v>337</v>
      </c>
      <c r="K3686" s="365">
        <v>20.22</v>
      </c>
      <c r="L3686" s="475" t="s">
        <v>141</v>
      </c>
      <c r="M3686" s="473"/>
    </row>
    <row r="3687" spans="1:13" ht="13.5">
      <c r="A3687" s="475" t="s">
        <v>5516</v>
      </c>
      <c r="B3687" s="475" t="s">
        <v>5517</v>
      </c>
      <c r="C3687" s="475" t="s">
        <v>5458</v>
      </c>
      <c r="D3687" s="475" t="s">
        <v>5520</v>
      </c>
      <c r="E3687" s="476" t="s">
        <v>34</v>
      </c>
      <c r="F3687" s="475" t="s">
        <v>34</v>
      </c>
      <c r="G3687" s="364">
        <v>89812</v>
      </c>
      <c r="H3687" s="475" t="s">
        <v>3168</v>
      </c>
      <c r="I3687" s="475" t="s">
        <v>171</v>
      </c>
      <c r="J3687" s="475" t="s">
        <v>337</v>
      </c>
      <c r="K3687" s="365">
        <v>34.409999999999997</v>
      </c>
      <c r="L3687" s="475" t="s">
        <v>141</v>
      </c>
      <c r="M3687" s="473"/>
    </row>
    <row r="3688" spans="1:13" ht="13.5">
      <c r="A3688" s="475" t="s">
        <v>5516</v>
      </c>
      <c r="B3688" s="475" t="s">
        <v>5517</v>
      </c>
      <c r="C3688" s="475" t="s">
        <v>5458</v>
      </c>
      <c r="D3688" s="475" t="s">
        <v>5520</v>
      </c>
      <c r="E3688" s="476" t="s">
        <v>34</v>
      </c>
      <c r="F3688" s="475" t="s">
        <v>34</v>
      </c>
      <c r="G3688" s="364">
        <v>89813</v>
      </c>
      <c r="H3688" s="475" t="s">
        <v>3169</v>
      </c>
      <c r="I3688" s="475" t="s">
        <v>171</v>
      </c>
      <c r="J3688" s="475" t="s">
        <v>337</v>
      </c>
      <c r="K3688" s="365">
        <v>4.43</v>
      </c>
      <c r="L3688" s="475" t="s">
        <v>141</v>
      </c>
      <c r="M3688" s="473"/>
    </row>
    <row r="3689" spans="1:13" ht="13.5">
      <c r="A3689" s="475" t="s">
        <v>5516</v>
      </c>
      <c r="B3689" s="475" t="s">
        <v>5517</v>
      </c>
      <c r="C3689" s="475" t="s">
        <v>5458</v>
      </c>
      <c r="D3689" s="475" t="s">
        <v>5520</v>
      </c>
      <c r="E3689" s="476" t="s">
        <v>34</v>
      </c>
      <c r="F3689" s="475" t="s">
        <v>34</v>
      </c>
      <c r="G3689" s="364">
        <v>89814</v>
      </c>
      <c r="H3689" s="475" t="s">
        <v>3170</v>
      </c>
      <c r="I3689" s="475" t="s">
        <v>171</v>
      </c>
      <c r="J3689" s="475" t="s">
        <v>337</v>
      </c>
      <c r="K3689" s="365">
        <v>8.74</v>
      </c>
      <c r="L3689" s="475" t="s">
        <v>141</v>
      </c>
      <c r="M3689" s="473"/>
    </row>
    <row r="3690" spans="1:13" ht="13.5">
      <c r="A3690" s="475" t="s">
        <v>5516</v>
      </c>
      <c r="B3690" s="475" t="s">
        <v>5517</v>
      </c>
      <c r="C3690" s="475" t="s">
        <v>5458</v>
      </c>
      <c r="D3690" s="475" t="s">
        <v>5520</v>
      </c>
      <c r="E3690" s="476" t="s">
        <v>34</v>
      </c>
      <c r="F3690" s="475" t="s">
        <v>34</v>
      </c>
      <c r="G3690" s="364">
        <v>89815</v>
      </c>
      <c r="H3690" s="475" t="s">
        <v>3171</v>
      </c>
      <c r="I3690" s="475" t="s">
        <v>171</v>
      </c>
      <c r="J3690" s="475" t="s">
        <v>337</v>
      </c>
      <c r="K3690" s="365">
        <v>14.36</v>
      </c>
      <c r="L3690" s="475" t="s">
        <v>141</v>
      </c>
      <c r="M3690" s="473"/>
    </row>
    <row r="3691" spans="1:13" ht="13.5">
      <c r="A3691" s="475" t="s">
        <v>5516</v>
      </c>
      <c r="B3691" s="475" t="s">
        <v>5517</v>
      </c>
      <c r="C3691" s="475" t="s">
        <v>5458</v>
      </c>
      <c r="D3691" s="475" t="s">
        <v>5520</v>
      </c>
      <c r="E3691" s="476" t="s">
        <v>34</v>
      </c>
      <c r="F3691" s="475" t="s">
        <v>34</v>
      </c>
      <c r="G3691" s="364">
        <v>89816</v>
      </c>
      <c r="H3691" s="475" t="s">
        <v>3172</v>
      </c>
      <c r="I3691" s="475" t="s">
        <v>171</v>
      </c>
      <c r="J3691" s="475" t="s">
        <v>337</v>
      </c>
      <c r="K3691" s="365">
        <v>20.04</v>
      </c>
      <c r="L3691" s="475" t="s">
        <v>141</v>
      </c>
      <c r="M3691" s="473"/>
    </row>
    <row r="3692" spans="1:13" ht="13.5">
      <c r="A3692" s="475" t="s">
        <v>5516</v>
      </c>
      <c r="B3692" s="475" t="s">
        <v>5517</v>
      </c>
      <c r="C3692" s="475" t="s">
        <v>5458</v>
      </c>
      <c r="D3692" s="475" t="s">
        <v>5520</v>
      </c>
      <c r="E3692" s="476" t="s">
        <v>34</v>
      </c>
      <c r="F3692" s="475" t="s">
        <v>34</v>
      </c>
      <c r="G3692" s="364">
        <v>89817</v>
      </c>
      <c r="H3692" s="475" t="s">
        <v>3173</v>
      </c>
      <c r="I3692" s="475" t="s">
        <v>171</v>
      </c>
      <c r="J3692" s="475" t="s">
        <v>337</v>
      </c>
      <c r="K3692" s="365">
        <v>7.72</v>
      </c>
      <c r="L3692" s="475" t="s">
        <v>141</v>
      </c>
      <c r="M3692" s="473"/>
    </row>
    <row r="3693" spans="1:13" ht="13.5">
      <c r="A3693" s="475" t="s">
        <v>5516</v>
      </c>
      <c r="B3693" s="475" t="s">
        <v>5517</v>
      </c>
      <c r="C3693" s="475" t="s">
        <v>5458</v>
      </c>
      <c r="D3693" s="475" t="s">
        <v>5520</v>
      </c>
      <c r="E3693" s="476" t="s">
        <v>34</v>
      </c>
      <c r="F3693" s="475" t="s">
        <v>34</v>
      </c>
      <c r="G3693" s="364">
        <v>89818</v>
      </c>
      <c r="H3693" s="475" t="s">
        <v>3174</v>
      </c>
      <c r="I3693" s="475" t="s">
        <v>171</v>
      </c>
      <c r="J3693" s="475" t="s">
        <v>337</v>
      </c>
      <c r="K3693" s="365">
        <v>76.23</v>
      </c>
      <c r="L3693" s="475" t="s">
        <v>141</v>
      </c>
      <c r="M3693" s="473"/>
    </row>
    <row r="3694" spans="1:13" ht="13.5">
      <c r="A3694" s="475" t="s">
        <v>5516</v>
      </c>
      <c r="B3694" s="475" t="s">
        <v>5517</v>
      </c>
      <c r="C3694" s="475" t="s">
        <v>5458</v>
      </c>
      <c r="D3694" s="475" t="s">
        <v>5520</v>
      </c>
      <c r="E3694" s="476" t="s">
        <v>34</v>
      </c>
      <c r="F3694" s="475" t="s">
        <v>34</v>
      </c>
      <c r="G3694" s="364">
        <v>89819</v>
      </c>
      <c r="H3694" s="475" t="s">
        <v>3175</v>
      </c>
      <c r="I3694" s="475" t="s">
        <v>171</v>
      </c>
      <c r="J3694" s="475" t="s">
        <v>337</v>
      </c>
      <c r="K3694" s="365">
        <v>11.05</v>
      </c>
      <c r="L3694" s="475" t="s">
        <v>141</v>
      </c>
      <c r="M3694" s="473"/>
    </row>
    <row r="3695" spans="1:13" ht="13.5">
      <c r="A3695" s="475" t="s">
        <v>5516</v>
      </c>
      <c r="B3695" s="475" t="s">
        <v>5517</v>
      </c>
      <c r="C3695" s="475" t="s">
        <v>5458</v>
      </c>
      <c r="D3695" s="475" t="s">
        <v>5520</v>
      </c>
      <c r="E3695" s="476" t="s">
        <v>34</v>
      </c>
      <c r="F3695" s="475" t="s">
        <v>34</v>
      </c>
      <c r="G3695" s="364">
        <v>89820</v>
      </c>
      <c r="H3695" s="475" t="s">
        <v>3176</v>
      </c>
      <c r="I3695" s="475" t="s">
        <v>171</v>
      </c>
      <c r="J3695" s="475" t="s">
        <v>337</v>
      </c>
      <c r="K3695" s="365">
        <v>15.5</v>
      </c>
      <c r="L3695" s="475" t="s">
        <v>141</v>
      </c>
      <c r="M3695" s="473"/>
    </row>
    <row r="3696" spans="1:13" ht="13.5">
      <c r="A3696" s="475" t="s">
        <v>5516</v>
      </c>
      <c r="B3696" s="475" t="s">
        <v>5517</v>
      </c>
      <c r="C3696" s="475" t="s">
        <v>5458</v>
      </c>
      <c r="D3696" s="475" t="s">
        <v>5520</v>
      </c>
      <c r="E3696" s="476" t="s">
        <v>34</v>
      </c>
      <c r="F3696" s="475" t="s">
        <v>34</v>
      </c>
      <c r="G3696" s="364">
        <v>89821</v>
      </c>
      <c r="H3696" s="475" t="s">
        <v>3177</v>
      </c>
      <c r="I3696" s="475" t="s">
        <v>171</v>
      </c>
      <c r="J3696" s="475" t="s">
        <v>337</v>
      </c>
      <c r="K3696" s="365">
        <v>9.7100000000000009</v>
      </c>
      <c r="L3696" s="475" t="s">
        <v>141</v>
      </c>
      <c r="M3696" s="473"/>
    </row>
    <row r="3697" spans="1:13" ht="13.5">
      <c r="A3697" s="475" t="s">
        <v>5516</v>
      </c>
      <c r="B3697" s="475" t="s">
        <v>5517</v>
      </c>
      <c r="C3697" s="475" t="s">
        <v>5458</v>
      </c>
      <c r="D3697" s="475" t="s">
        <v>5520</v>
      </c>
      <c r="E3697" s="476" t="s">
        <v>34</v>
      </c>
      <c r="F3697" s="475" t="s">
        <v>34</v>
      </c>
      <c r="G3697" s="364">
        <v>89822</v>
      </c>
      <c r="H3697" s="475" t="s">
        <v>3178</v>
      </c>
      <c r="I3697" s="475" t="s">
        <v>171</v>
      </c>
      <c r="J3697" s="475" t="s">
        <v>337</v>
      </c>
      <c r="K3697" s="365">
        <v>11.75</v>
      </c>
      <c r="L3697" s="475" t="s">
        <v>141</v>
      </c>
      <c r="M3697" s="473"/>
    </row>
    <row r="3698" spans="1:13" ht="13.5">
      <c r="A3698" s="475" t="s">
        <v>5516</v>
      </c>
      <c r="B3698" s="475" t="s">
        <v>5517</v>
      </c>
      <c r="C3698" s="475" t="s">
        <v>5458</v>
      </c>
      <c r="D3698" s="475" t="s">
        <v>5520</v>
      </c>
      <c r="E3698" s="476" t="s">
        <v>34</v>
      </c>
      <c r="F3698" s="475" t="s">
        <v>34</v>
      </c>
      <c r="G3698" s="364">
        <v>89823</v>
      </c>
      <c r="H3698" s="475" t="s">
        <v>3179</v>
      </c>
      <c r="I3698" s="475" t="s">
        <v>171</v>
      </c>
      <c r="J3698" s="475" t="s">
        <v>337</v>
      </c>
      <c r="K3698" s="365">
        <v>15.88</v>
      </c>
      <c r="L3698" s="475" t="s">
        <v>141</v>
      </c>
      <c r="M3698" s="473"/>
    </row>
    <row r="3699" spans="1:13" ht="13.5">
      <c r="A3699" s="475" t="s">
        <v>5516</v>
      </c>
      <c r="B3699" s="475" t="s">
        <v>5517</v>
      </c>
      <c r="C3699" s="475" t="s">
        <v>5458</v>
      </c>
      <c r="D3699" s="475" t="s">
        <v>5520</v>
      </c>
      <c r="E3699" s="476" t="s">
        <v>34</v>
      </c>
      <c r="F3699" s="475" t="s">
        <v>34</v>
      </c>
      <c r="G3699" s="364">
        <v>89824</v>
      </c>
      <c r="H3699" s="475" t="s">
        <v>3180</v>
      </c>
      <c r="I3699" s="475" t="s">
        <v>171</v>
      </c>
      <c r="J3699" s="475" t="s">
        <v>337</v>
      </c>
      <c r="K3699" s="365">
        <v>19.3</v>
      </c>
      <c r="L3699" s="475" t="s">
        <v>141</v>
      </c>
      <c r="M3699" s="473"/>
    </row>
    <row r="3700" spans="1:13" ht="13.5">
      <c r="A3700" s="475" t="s">
        <v>5516</v>
      </c>
      <c r="B3700" s="475" t="s">
        <v>5517</v>
      </c>
      <c r="C3700" s="475" t="s">
        <v>5458</v>
      </c>
      <c r="D3700" s="475" t="s">
        <v>5520</v>
      </c>
      <c r="E3700" s="476" t="s">
        <v>34</v>
      </c>
      <c r="F3700" s="475" t="s">
        <v>34</v>
      </c>
      <c r="G3700" s="364">
        <v>89825</v>
      </c>
      <c r="H3700" s="475" t="s">
        <v>3181</v>
      </c>
      <c r="I3700" s="475" t="s">
        <v>171</v>
      </c>
      <c r="J3700" s="475" t="s">
        <v>337</v>
      </c>
      <c r="K3700" s="365">
        <v>9.67</v>
      </c>
      <c r="L3700" s="475" t="s">
        <v>141</v>
      </c>
      <c r="M3700" s="473"/>
    </row>
    <row r="3701" spans="1:13" ht="13.5">
      <c r="A3701" s="475" t="s">
        <v>5516</v>
      </c>
      <c r="B3701" s="475" t="s">
        <v>5517</v>
      </c>
      <c r="C3701" s="475" t="s">
        <v>5458</v>
      </c>
      <c r="D3701" s="475" t="s">
        <v>5520</v>
      </c>
      <c r="E3701" s="476" t="s">
        <v>34</v>
      </c>
      <c r="F3701" s="475" t="s">
        <v>34</v>
      </c>
      <c r="G3701" s="364">
        <v>89826</v>
      </c>
      <c r="H3701" s="475" t="s">
        <v>3182</v>
      </c>
      <c r="I3701" s="475" t="s">
        <v>171</v>
      </c>
      <c r="J3701" s="475" t="s">
        <v>337</v>
      </c>
      <c r="K3701" s="365">
        <v>78.06</v>
      </c>
      <c r="L3701" s="475" t="s">
        <v>141</v>
      </c>
      <c r="M3701" s="473"/>
    </row>
    <row r="3702" spans="1:13" ht="13.5">
      <c r="A3702" s="475" t="s">
        <v>5516</v>
      </c>
      <c r="B3702" s="475" t="s">
        <v>5517</v>
      </c>
      <c r="C3702" s="475" t="s">
        <v>5458</v>
      </c>
      <c r="D3702" s="475" t="s">
        <v>5520</v>
      </c>
      <c r="E3702" s="476" t="s">
        <v>34</v>
      </c>
      <c r="F3702" s="475" t="s">
        <v>34</v>
      </c>
      <c r="G3702" s="364">
        <v>89827</v>
      </c>
      <c r="H3702" s="475" t="s">
        <v>3183</v>
      </c>
      <c r="I3702" s="475" t="s">
        <v>171</v>
      </c>
      <c r="J3702" s="475" t="s">
        <v>337</v>
      </c>
      <c r="K3702" s="365">
        <v>10.7</v>
      </c>
      <c r="L3702" s="475" t="s">
        <v>141</v>
      </c>
      <c r="M3702" s="473"/>
    </row>
    <row r="3703" spans="1:13" ht="13.5">
      <c r="A3703" s="475" t="s">
        <v>5516</v>
      </c>
      <c r="B3703" s="475" t="s">
        <v>5517</v>
      </c>
      <c r="C3703" s="475" t="s">
        <v>5458</v>
      </c>
      <c r="D3703" s="475" t="s">
        <v>5520</v>
      </c>
      <c r="E3703" s="476" t="s">
        <v>34</v>
      </c>
      <c r="F3703" s="475" t="s">
        <v>34</v>
      </c>
      <c r="G3703" s="364">
        <v>89828</v>
      </c>
      <c r="H3703" s="475" t="s">
        <v>3184</v>
      </c>
      <c r="I3703" s="475" t="s">
        <v>171</v>
      </c>
      <c r="J3703" s="475" t="s">
        <v>337</v>
      </c>
      <c r="K3703" s="365">
        <v>28.61</v>
      </c>
      <c r="L3703" s="475" t="s">
        <v>141</v>
      </c>
      <c r="M3703" s="473"/>
    </row>
    <row r="3704" spans="1:13" ht="13.5">
      <c r="A3704" s="475" t="s">
        <v>5516</v>
      </c>
      <c r="B3704" s="475" t="s">
        <v>5517</v>
      </c>
      <c r="C3704" s="475" t="s">
        <v>5458</v>
      </c>
      <c r="D3704" s="475" t="s">
        <v>5520</v>
      </c>
      <c r="E3704" s="476" t="s">
        <v>34</v>
      </c>
      <c r="F3704" s="475" t="s">
        <v>34</v>
      </c>
      <c r="G3704" s="364">
        <v>89829</v>
      </c>
      <c r="H3704" s="475" t="s">
        <v>3185</v>
      </c>
      <c r="I3704" s="475" t="s">
        <v>171</v>
      </c>
      <c r="J3704" s="475" t="s">
        <v>337</v>
      </c>
      <c r="K3704" s="365">
        <v>16.989999999999998</v>
      </c>
      <c r="L3704" s="475" t="s">
        <v>141</v>
      </c>
      <c r="M3704" s="473"/>
    </row>
    <row r="3705" spans="1:13" ht="13.5">
      <c r="A3705" s="475" t="s">
        <v>5516</v>
      </c>
      <c r="B3705" s="475" t="s">
        <v>5517</v>
      </c>
      <c r="C3705" s="475" t="s">
        <v>5458</v>
      </c>
      <c r="D3705" s="475" t="s">
        <v>5520</v>
      </c>
      <c r="E3705" s="476" t="s">
        <v>34</v>
      </c>
      <c r="F3705" s="475" t="s">
        <v>34</v>
      </c>
      <c r="G3705" s="364">
        <v>89830</v>
      </c>
      <c r="H3705" s="475" t="s">
        <v>3186</v>
      </c>
      <c r="I3705" s="475" t="s">
        <v>171</v>
      </c>
      <c r="J3705" s="475" t="s">
        <v>337</v>
      </c>
      <c r="K3705" s="365">
        <v>18.399999999999999</v>
      </c>
      <c r="L3705" s="475" t="s">
        <v>141</v>
      </c>
      <c r="M3705" s="473"/>
    </row>
    <row r="3706" spans="1:13" ht="13.5">
      <c r="A3706" s="475" t="s">
        <v>5516</v>
      </c>
      <c r="B3706" s="475" t="s">
        <v>5517</v>
      </c>
      <c r="C3706" s="475" t="s">
        <v>5458</v>
      </c>
      <c r="D3706" s="475" t="s">
        <v>5520</v>
      </c>
      <c r="E3706" s="476" t="s">
        <v>34</v>
      </c>
      <c r="F3706" s="475" t="s">
        <v>34</v>
      </c>
      <c r="G3706" s="364">
        <v>89831</v>
      </c>
      <c r="H3706" s="475" t="s">
        <v>3187</v>
      </c>
      <c r="I3706" s="475" t="s">
        <v>171</v>
      </c>
      <c r="J3706" s="475" t="s">
        <v>337</v>
      </c>
      <c r="K3706" s="365">
        <v>93.04</v>
      </c>
      <c r="L3706" s="475" t="s">
        <v>141</v>
      </c>
      <c r="M3706" s="473"/>
    </row>
    <row r="3707" spans="1:13" ht="13.5">
      <c r="A3707" s="475" t="s">
        <v>5516</v>
      </c>
      <c r="B3707" s="475" t="s">
        <v>5517</v>
      </c>
      <c r="C3707" s="475" t="s">
        <v>5458</v>
      </c>
      <c r="D3707" s="475" t="s">
        <v>5520</v>
      </c>
      <c r="E3707" s="476" t="s">
        <v>34</v>
      </c>
      <c r="F3707" s="475" t="s">
        <v>34</v>
      </c>
      <c r="G3707" s="364">
        <v>89832</v>
      </c>
      <c r="H3707" s="475" t="s">
        <v>3188</v>
      </c>
      <c r="I3707" s="475" t="s">
        <v>171</v>
      </c>
      <c r="J3707" s="475" t="s">
        <v>337</v>
      </c>
      <c r="K3707" s="365">
        <v>20.16</v>
      </c>
      <c r="L3707" s="475" t="s">
        <v>141</v>
      </c>
      <c r="M3707" s="473"/>
    </row>
    <row r="3708" spans="1:13" ht="13.5">
      <c r="A3708" s="475" t="s">
        <v>5516</v>
      </c>
      <c r="B3708" s="475" t="s">
        <v>5517</v>
      </c>
      <c r="C3708" s="475" t="s">
        <v>5458</v>
      </c>
      <c r="D3708" s="475" t="s">
        <v>5520</v>
      </c>
      <c r="E3708" s="476" t="s">
        <v>34</v>
      </c>
      <c r="F3708" s="475" t="s">
        <v>34</v>
      </c>
      <c r="G3708" s="364">
        <v>89833</v>
      </c>
      <c r="H3708" s="475" t="s">
        <v>3189</v>
      </c>
      <c r="I3708" s="475" t="s">
        <v>171</v>
      </c>
      <c r="J3708" s="475" t="s">
        <v>337</v>
      </c>
      <c r="K3708" s="365">
        <v>21.36</v>
      </c>
      <c r="L3708" s="475" t="s">
        <v>141</v>
      </c>
      <c r="M3708" s="473"/>
    </row>
    <row r="3709" spans="1:13" ht="13.5">
      <c r="A3709" s="475" t="s">
        <v>5516</v>
      </c>
      <c r="B3709" s="475" t="s">
        <v>5517</v>
      </c>
      <c r="C3709" s="475" t="s">
        <v>5458</v>
      </c>
      <c r="D3709" s="475" t="s">
        <v>5520</v>
      </c>
      <c r="E3709" s="476" t="s">
        <v>34</v>
      </c>
      <c r="F3709" s="475" t="s">
        <v>34</v>
      </c>
      <c r="G3709" s="364">
        <v>89834</v>
      </c>
      <c r="H3709" s="475" t="s">
        <v>3190</v>
      </c>
      <c r="I3709" s="475" t="s">
        <v>171</v>
      </c>
      <c r="J3709" s="475" t="s">
        <v>337</v>
      </c>
      <c r="K3709" s="365">
        <v>24.67</v>
      </c>
      <c r="L3709" s="475" t="s">
        <v>141</v>
      </c>
      <c r="M3709" s="473"/>
    </row>
    <row r="3710" spans="1:13" ht="13.5">
      <c r="A3710" s="475" t="s">
        <v>5516</v>
      </c>
      <c r="B3710" s="475" t="s">
        <v>5517</v>
      </c>
      <c r="C3710" s="475" t="s">
        <v>5458</v>
      </c>
      <c r="D3710" s="475" t="s">
        <v>5520</v>
      </c>
      <c r="E3710" s="476" t="s">
        <v>34</v>
      </c>
      <c r="F3710" s="475" t="s">
        <v>34</v>
      </c>
      <c r="G3710" s="364">
        <v>89835</v>
      </c>
      <c r="H3710" s="475" t="s">
        <v>3191</v>
      </c>
      <c r="I3710" s="475" t="s">
        <v>171</v>
      </c>
      <c r="J3710" s="475" t="s">
        <v>337</v>
      </c>
      <c r="K3710" s="365">
        <v>20.260000000000002</v>
      </c>
      <c r="L3710" s="475" t="s">
        <v>141</v>
      </c>
      <c r="M3710" s="473"/>
    </row>
    <row r="3711" spans="1:13" ht="13.5">
      <c r="A3711" s="475" t="s">
        <v>5516</v>
      </c>
      <c r="B3711" s="475" t="s">
        <v>5517</v>
      </c>
      <c r="C3711" s="475" t="s">
        <v>5458</v>
      </c>
      <c r="D3711" s="475" t="s">
        <v>5520</v>
      </c>
      <c r="E3711" s="476" t="s">
        <v>34</v>
      </c>
      <c r="F3711" s="475" t="s">
        <v>34</v>
      </c>
      <c r="G3711" s="364">
        <v>89836</v>
      </c>
      <c r="H3711" s="475" t="s">
        <v>3192</v>
      </c>
      <c r="I3711" s="475" t="s">
        <v>171</v>
      </c>
      <c r="J3711" s="475" t="s">
        <v>337</v>
      </c>
      <c r="K3711" s="365">
        <v>125.57</v>
      </c>
      <c r="L3711" s="475" t="s">
        <v>141</v>
      </c>
      <c r="M3711" s="473"/>
    </row>
    <row r="3712" spans="1:13" ht="13.5">
      <c r="A3712" s="475" t="s">
        <v>5516</v>
      </c>
      <c r="B3712" s="475" t="s">
        <v>5517</v>
      </c>
      <c r="C3712" s="475" t="s">
        <v>5458</v>
      </c>
      <c r="D3712" s="475" t="s">
        <v>5520</v>
      </c>
      <c r="E3712" s="476" t="s">
        <v>34</v>
      </c>
      <c r="F3712" s="475" t="s">
        <v>34</v>
      </c>
      <c r="G3712" s="364">
        <v>89837</v>
      </c>
      <c r="H3712" s="475" t="s">
        <v>3193</v>
      </c>
      <c r="I3712" s="475" t="s">
        <v>171</v>
      </c>
      <c r="J3712" s="475" t="s">
        <v>337</v>
      </c>
      <c r="K3712" s="365">
        <v>63.47</v>
      </c>
      <c r="L3712" s="475" t="s">
        <v>141</v>
      </c>
      <c r="M3712" s="473"/>
    </row>
    <row r="3713" spans="1:13" ht="13.5">
      <c r="A3713" s="475" t="s">
        <v>5516</v>
      </c>
      <c r="B3713" s="475" t="s">
        <v>5517</v>
      </c>
      <c r="C3713" s="475" t="s">
        <v>5458</v>
      </c>
      <c r="D3713" s="475" t="s">
        <v>5520</v>
      </c>
      <c r="E3713" s="476" t="s">
        <v>34</v>
      </c>
      <c r="F3713" s="475" t="s">
        <v>34</v>
      </c>
      <c r="G3713" s="364">
        <v>89838</v>
      </c>
      <c r="H3713" s="475" t="s">
        <v>3194</v>
      </c>
      <c r="I3713" s="475" t="s">
        <v>171</v>
      </c>
      <c r="J3713" s="475" t="s">
        <v>337</v>
      </c>
      <c r="K3713" s="365">
        <v>69.66</v>
      </c>
      <c r="L3713" s="475" t="s">
        <v>141</v>
      </c>
      <c r="M3713" s="473"/>
    </row>
    <row r="3714" spans="1:13" ht="13.5">
      <c r="A3714" s="475" t="s">
        <v>5516</v>
      </c>
      <c r="B3714" s="475" t="s">
        <v>5517</v>
      </c>
      <c r="C3714" s="475" t="s">
        <v>5458</v>
      </c>
      <c r="D3714" s="475" t="s">
        <v>5520</v>
      </c>
      <c r="E3714" s="476" t="s">
        <v>34</v>
      </c>
      <c r="F3714" s="475" t="s">
        <v>34</v>
      </c>
      <c r="G3714" s="364">
        <v>89839</v>
      </c>
      <c r="H3714" s="475" t="s">
        <v>3195</v>
      </c>
      <c r="I3714" s="475" t="s">
        <v>171</v>
      </c>
      <c r="J3714" s="475" t="s">
        <v>337</v>
      </c>
      <c r="K3714" s="365">
        <v>91.84</v>
      </c>
      <c r="L3714" s="475" t="s">
        <v>141</v>
      </c>
      <c r="M3714" s="473"/>
    </row>
    <row r="3715" spans="1:13" ht="13.5">
      <c r="A3715" s="475" t="s">
        <v>5516</v>
      </c>
      <c r="B3715" s="475" t="s">
        <v>5517</v>
      </c>
      <c r="C3715" s="475" t="s">
        <v>5458</v>
      </c>
      <c r="D3715" s="475" t="s">
        <v>5520</v>
      </c>
      <c r="E3715" s="476" t="s">
        <v>34</v>
      </c>
      <c r="F3715" s="475" t="s">
        <v>34</v>
      </c>
      <c r="G3715" s="364">
        <v>89840</v>
      </c>
      <c r="H3715" s="475" t="s">
        <v>3196</v>
      </c>
      <c r="I3715" s="475" t="s">
        <v>171</v>
      </c>
      <c r="J3715" s="475" t="s">
        <v>337</v>
      </c>
      <c r="K3715" s="365">
        <v>81.02</v>
      </c>
      <c r="L3715" s="475" t="s">
        <v>141</v>
      </c>
      <c r="M3715" s="473"/>
    </row>
    <row r="3716" spans="1:13" ht="13.5">
      <c r="A3716" s="475" t="s">
        <v>5516</v>
      </c>
      <c r="B3716" s="475" t="s">
        <v>5517</v>
      </c>
      <c r="C3716" s="475" t="s">
        <v>5458</v>
      </c>
      <c r="D3716" s="475" t="s">
        <v>5520</v>
      </c>
      <c r="E3716" s="476" t="s">
        <v>34</v>
      </c>
      <c r="F3716" s="475" t="s">
        <v>34</v>
      </c>
      <c r="G3716" s="364">
        <v>89841</v>
      </c>
      <c r="H3716" s="475" t="s">
        <v>3197</v>
      </c>
      <c r="I3716" s="475" t="s">
        <v>171</v>
      </c>
      <c r="J3716" s="475" t="s">
        <v>337</v>
      </c>
      <c r="K3716" s="365">
        <v>134.41</v>
      </c>
      <c r="L3716" s="475" t="s">
        <v>141</v>
      </c>
      <c r="M3716" s="473"/>
    </row>
    <row r="3717" spans="1:13" ht="13.5">
      <c r="A3717" s="475" t="s">
        <v>5516</v>
      </c>
      <c r="B3717" s="475" t="s">
        <v>5517</v>
      </c>
      <c r="C3717" s="475" t="s">
        <v>5458</v>
      </c>
      <c r="D3717" s="475" t="s">
        <v>5520</v>
      </c>
      <c r="E3717" s="476" t="s">
        <v>34</v>
      </c>
      <c r="F3717" s="475" t="s">
        <v>34</v>
      </c>
      <c r="G3717" s="364">
        <v>89842</v>
      </c>
      <c r="H3717" s="475" t="s">
        <v>3198</v>
      </c>
      <c r="I3717" s="475" t="s">
        <v>171</v>
      </c>
      <c r="J3717" s="475" t="s">
        <v>337</v>
      </c>
      <c r="K3717" s="365">
        <v>23.29</v>
      </c>
      <c r="L3717" s="475" t="s">
        <v>141</v>
      </c>
      <c r="M3717" s="473"/>
    </row>
    <row r="3718" spans="1:13" ht="13.5">
      <c r="A3718" s="475" t="s">
        <v>5516</v>
      </c>
      <c r="B3718" s="475" t="s">
        <v>5517</v>
      </c>
      <c r="C3718" s="475" t="s">
        <v>5458</v>
      </c>
      <c r="D3718" s="475" t="s">
        <v>5520</v>
      </c>
      <c r="E3718" s="476" t="s">
        <v>34</v>
      </c>
      <c r="F3718" s="475" t="s">
        <v>34</v>
      </c>
      <c r="G3718" s="364">
        <v>89844</v>
      </c>
      <c r="H3718" s="475" t="s">
        <v>3199</v>
      </c>
      <c r="I3718" s="475" t="s">
        <v>171</v>
      </c>
      <c r="J3718" s="475" t="s">
        <v>337</v>
      </c>
      <c r="K3718" s="365">
        <v>29.47</v>
      </c>
      <c r="L3718" s="475" t="s">
        <v>141</v>
      </c>
      <c r="M3718" s="473"/>
    </row>
    <row r="3719" spans="1:13" ht="13.5">
      <c r="A3719" s="475" t="s">
        <v>5516</v>
      </c>
      <c r="B3719" s="475" t="s">
        <v>5517</v>
      </c>
      <c r="C3719" s="475" t="s">
        <v>5458</v>
      </c>
      <c r="D3719" s="475" t="s">
        <v>5520</v>
      </c>
      <c r="E3719" s="476" t="s">
        <v>34</v>
      </c>
      <c r="F3719" s="475" t="s">
        <v>34</v>
      </c>
      <c r="G3719" s="364">
        <v>89845</v>
      </c>
      <c r="H3719" s="475" t="s">
        <v>3200</v>
      </c>
      <c r="I3719" s="475" t="s">
        <v>171</v>
      </c>
      <c r="J3719" s="475" t="s">
        <v>337</v>
      </c>
      <c r="K3719" s="365">
        <v>44.98</v>
      </c>
      <c r="L3719" s="475" t="s">
        <v>141</v>
      </c>
      <c r="M3719" s="473"/>
    </row>
    <row r="3720" spans="1:13" ht="13.5">
      <c r="A3720" s="475" t="s">
        <v>5516</v>
      </c>
      <c r="B3720" s="475" t="s">
        <v>5517</v>
      </c>
      <c r="C3720" s="475" t="s">
        <v>5458</v>
      </c>
      <c r="D3720" s="475" t="s">
        <v>5520</v>
      </c>
      <c r="E3720" s="476" t="s">
        <v>34</v>
      </c>
      <c r="F3720" s="475" t="s">
        <v>34</v>
      </c>
      <c r="G3720" s="364">
        <v>89846</v>
      </c>
      <c r="H3720" s="475" t="s">
        <v>3201</v>
      </c>
      <c r="I3720" s="475" t="s">
        <v>171</v>
      </c>
      <c r="J3720" s="475" t="s">
        <v>337</v>
      </c>
      <c r="K3720" s="365">
        <v>98.45</v>
      </c>
      <c r="L3720" s="475" t="s">
        <v>141</v>
      </c>
      <c r="M3720" s="473"/>
    </row>
    <row r="3721" spans="1:13" ht="13.5">
      <c r="A3721" s="475" t="s">
        <v>5516</v>
      </c>
      <c r="B3721" s="475" t="s">
        <v>5517</v>
      </c>
      <c r="C3721" s="475" t="s">
        <v>5458</v>
      </c>
      <c r="D3721" s="475" t="s">
        <v>5520</v>
      </c>
      <c r="E3721" s="476" t="s">
        <v>34</v>
      </c>
      <c r="F3721" s="475" t="s">
        <v>34</v>
      </c>
      <c r="G3721" s="364">
        <v>89847</v>
      </c>
      <c r="H3721" s="475" t="s">
        <v>3202</v>
      </c>
      <c r="I3721" s="475" t="s">
        <v>171</v>
      </c>
      <c r="J3721" s="475" t="s">
        <v>337</v>
      </c>
      <c r="K3721" s="365">
        <v>121.32</v>
      </c>
      <c r="L3721" s="475" t="s">
        <v>141</v>
      </c>
      <c r="M3721" s="473"/>
    </row>
    <row r="3722" spans="1:13" ht="13.5">
      <c r="A3722" s="475" t="s">
        <v>5516</v>
      </c>
      <c r="B3722" s="475" t="s">
        <v>5517</v>
      </c>
      <c r="C3722" s="475" t="s">
        <v>5458</v>
      </c>
      <c r="D3722" s="475" t="s">
        <v>5520</v>
      </c>
      <c r="E3722" s="476" t="s">
        <v>34</v>
      </c>
      <c r="F3722" s="475" t="s">
        <v>34</v>
      </c>
      <c r="G3722" s="364">
        <v>89850</v>
      </c>
      <c r="H3722" s="475" t="s">
        <v>3203</v>
      </c>
      <c r="I3722" s="475" t="s">
        <v>171</v>
      </c>
      <c r="J3722" s="475" t="s">
        <v>337</v>
      </c>
      <c r="K3722" s="365">
        <v>16.260000000000002</v>
      </c>
      <c r="L3722" s="475" t="s">
        <v>141</v>
      </c>
      <c r="M3722" s="473"/>
    </row>
    <row r="3723" spans="1:13" ht="13.5">
      <c r="A3723" s="475" t="s">
        <v>5516</v>
      </c>
      <c r="B3723" s="475" t="s">
        <v>5517</v>
      </c>
      <c r="C3723" s="475" t="s">
        <v>5458</v>
      </c>
      <c r="D3723" s="475" t="s">
        <v>5520</v>
      </c>
      <c r="E3723" s="476" t="s">
        <v>34</v>
      </c>
      <c r="F3723" s="475" t="s">
        <v>34</v>
      </c>
      <c r="G3723" s="364">
        <v>89851</v>
      </c>
      <c r="H3723" s="475" t="s">
        <v>3204</v>
      </c>
      <c r="I3723" s="475" t="s">
        <v>171</v>
      </c>
      <c r="J3723" s="475" t="s">
        <v>337</v>
      </c>
      <c r="K3723" s="365">
        <v>16.23</v>
      </c>
      <c r="L3723" s="475" t="s">
        <v>141</v>
      </c>
      <c r="M3723" s="473"/>
    </row>
    <row r="3724" spans="1:13" ht="13.5">
      <c r="A3724" s="475" t="s">
        <v>5516</v>
      </c>
      <c r="B3724" s="475" t="s">
        <v>5517</v>
      </c>
      <c r="C3724" s="475" t="s">
        <v>5458</v>
      </c>
      <c r="D3724" s="475" t="s">
        <v>5520</v>
      </c>
      <c r="E3724" s="476" t="s">
        <v>34</v>
      </c>
      <c r="F3724" s="475" t="s">
        <v>34</v>
      </c>
      <c r="G3724" s="364">
        <v>89852</v>
      </c>
      <c r="H3724" s="475" t="s">
        <v>3205</v>
      </c>
      <c r="I3724" s="475" t="s">
        <v>171</v>
      </c>
      <c r="J3724" s="475" t="s">
        <v>337</v>
      </c>
      <c r="K3724" s="365">
        <v>24.26</v>
      </c>
      <c r="L3724" s="475" t="s">
        <v>141</v>
      </c>
      <c r="M3724" s="473"/>
    </row>
    <row r="3725" spans="1:13" ht="13.5">
      <c r="A3725" s="475" t="s">
        <v>5516</v>
      </c>
      <c r="B3725" s="475" t="s">
        <v>5517</v>
      </c>
      <c r="C3725" s="475" t="s">
        <v>5458</v>
      </c>
      <c r="D3725" s="475" t="s">
        <v>5520</v>
      </c>
      <c r="E3725" s="476" t="s">
        <v>34</v>
      </c>
      <c r="F3725" s="475" t="s">
        <v>34</v>
      </c>
      <c r="G3725" s="364">
        <v>89853</v>
      </c>
      <c r="H3725" s="475" t="s">
        <v>3206</v>
      </c>
      <c r="I3725" s="475" t="s">
        <v>171</v>
      </c>
      <c r="J3725" s="475" t="s">
        <v>337</v>
      </c>
      <c r="K3725" s="365">
        <v>38.450000000000003</v>
      </c>
      <c r="L3725" s="475" t="s">
        <v>141</v>
      </c>
      <c r="M3725" s="473"/>
    </row>
    <row r="3726" spans="1:13" ht="13.5">
      <c r="A3726" s="475" t="s">
        <v>5516</v>
      </c>
      <c r="B3726" s="475" t="s">
        <v>5517</v>
      </c>
      <c r="C3726" s="475" t="s">
        <v>5458</v>
      </c>
      <c r="D3726" s="475" t="s">
        <v>5520</v>
      </c>
      <c r="E3726" s="476" t="s">
        <v>34</v>
      </c>
      <c r="F3726" s="475" t="s">
        <v>34</v>
      </c>
      <c r="G3726" s="364">
        <v>89854</v>
      </c>
      <c r="H3726" s="475" t="s">
        <v>3207</v>
      </c>
      <c r="I3726" s="475" t="s">
        <v>171</v>
      </c>
      <c r="J3726" s="475" t="s">
        <v>337</v>
      </c>
      <c r="K3726" s="365">
        <v>50.95</v>
      </c>
      <c r="L3726" s="475" t="s">
        <v>141</v>
      </c>
      <c r="M3726" s="473"/>
    </row>
    <row r="3727" spans="1:13" ht="13.5">
      <c r="A3727" s="475" t="s">
        <v>5516</v>
      </c>
      <c r="B3727" s="475" t="s">
        <v>5517</v>
      </c>
      <c r="C3727" s="475" t="s">
        <v>5458</v>
      </c>
      <c r="D3727" s="475" t="s">
        <v>5520</v>
      </c>
      <c r="E3727" s="476" t="s">
        <v>34</v>
      </c>
      <c r="F3727" s="475" t="s">
        <v>34</v>
      </c>
      <c r="G3727" s="364">
        <v>89855</v>
      </c>
      <c r="H3727" s="475" t="s">
        <v>3208</v>
      </c>
      <c r="I3727" s="475" t="s">
        <v>171</v>
      </c>
      <c r="J3727" s="475" t="s">
        <v>337</v>
      </c>
      <c r="K3727" s="365">
        <v>53.81</v>
      </c>
      <c r="L3727" s="475" t="s">
        <v>141</v>
      </c>
      <c r="M3727" s="473"/>
    </row>
    <row r="3728" spans="1:13" ht="13.5">
      <c r="A3728" s="475" t="s">
        <v>5516</v>
      </c>
      <c r="B3728" s="475" t="s">
        <v>5517</v>
      </c>
      <c r="C3728" s="475" t="s">
        <v>5458</v>
      </c>
      <c r="D3728" s="475" t="s">
        <v>5520</v>
      </c>
      <c r="E3728" s="476" t="s">
        <v>34</v>
      </c>
      <c r="F3728" s="475" t="s">
        <v>34</v>
      </c>
      <c r="G3728" s="364">
        <v>89856</v>
      </c>
      <c r="H3728" s="475" t="s">
        <v>3209</v>
      </c>
      <c r="I3728" s="475" t="s">
        <v>171</v>
      </c>
      <c r="J3728" s="475" t="s">
        <v>337</v>
      </c>
      <c r="K3728" s="365">
        <v>12.41</v>
      </c>
      <c r="L3728" s="475" t="s">
        <v>141</v>
      </c>
      <c r="M3728" s="473"/>
    </row>
    <row r="3729" spans="1:13" ht="13.5">
      <c r="A3729" s="475" t="s">
        <v>5516</v>
      </c>
      <c r="B3729" s="475" t="s">
        <v>5517</v>
      </c>
      <c r="C3729" s="475" t="s">
        <v>5458</v>
      </c>
      <c r="D3729" s="475" t="s">
        <v>5520</v>
      </c>
      <c r="E3729" s="476" t="s">
        <v>34</v>
      </c>
      <c r="F3729" s="475" t="s">
        <v>34</v>
      </c>
      <c r="G3729" s="364">
        <v>89857</v>
      </c>
      <c r="H3729" s="475" t="s">
        <v>3210</v>
      </c>
      <c r="I3729" s="475" t="s">
        <v>171</v>
      </c>
      <c r="J3729" s="475" t="s">
        <v>337</v>
      </c>
      <c r="K3729" s="365">
        <v>18.579999999999998</v>
      </c>
      <c r="L3729" s="475" t="s">
        <v>141</v>
      </c>
      <c r="M3729" s="473"/>
    </row>
    <row r="3730" spans="1:13" ht="13.5">
      <c r="A3730" s="475" t="s">
        <v>5516</v>
      </c>
      <c r="B3730" s="475" t="s">
        <v>5517</v>
      </c>
      <c r="C3730" s="475" t="s">
        <v>5458</v>
      </c>
      <c r="D3730" s="475" t="s">
        <v>5520</v>
      </c>
      <c r="E3730" s="476" t="s">
        <v>34</v>
      </c>
      <c r="F3730" s="475" t="s">
        <v>34</v>
      </c>
      <c r="G3730" s="364">
        <v>89859</v>
      </c>
      <c r="H3730" s="475" t="s">
        <v>3211</v>
      </c>
      <c r="I3730" s="475" t="s">
        <v>171</v>
      </c>
      <c r="J3730" s="475" t="s">
        <v>140</v>
      </c>
      <c r="K3730" s="365">
        <v>61.2</v>
      </c>
      <c r="L3730" s="475" t="s">
        <v>141</v>
      </c>
      <c r="M3730" s="473"/>
    </row>
    <row r="3731" spans="1:13" ht="13.5">
      <c r="A3731" s="475" t="s">
        <v>5516</v>
      </c>
      <c r="B3731" s="475" t="s">
        <v>5517</v>
      </c>
      <c r="C3731" s="475" t="s">
        <v>5458</v>
      </c>
      <c r="D3731" s="475" t="s">
        <v>5520</v>
      </c>
      <c r="E3731" s="476" t="s">
        <v>34</v>
      </c>
      <c r="F3731" s="475" t="s">
        <v>34</v>
      </c>
      <c r="G3731" s="364">
        <v>89860</v>
      </c>
      <c r="H3731" s="475" t="s">
        <v>3212</v>
      </c>
      <c r="I3731" s="475" t="s">
        <v>171</v>
      </c>
      <c r="J3731" s="475" t="s">
        <v>337</v>
      </c>
      <c r="K3731" s="365">
        <v>26.76</v>
      </c>
      <c r="L3731" s="475" t="s">
        <v>141</v>
      </c>
      <c r="M3731" s="473"/>
    </row>
    <row r="3732" spans="1:13" ht="13.5">
      <c r="A3732" s="475" t="s">
        <v>5516</v>
      </c>
      <c r="B3732" s="475" t="s">
        <v>5517</v>
      </c>
      <c r="C3732" s="475" t="s">
        <v>5458</v>
      </c>
      <c r="D3732" s="475" t="s">
        <v>5520</v>
      </c>
      <c r="E3732" s="476" t="s">
        <v>34</v>
      </c>
      <c r="F3732" s="475" t="s">
        <v>34</v>
      </c>
      <c r="G3732" s="364">
        <v>89861</v>
      </c>
      <c r="H3732" s="475" t="s">
        <v>3213</v>
      </c>
      <c r="I3732" s="475" t="s">
        <v>171</v>
      </c>
      <c r="J3732" s="475" t="s">
        <v>337</v>
      </c>
      <c r="K3732" s="365">
        <v>30.07</v>
      </c>
      <c r="L3732" s="475" t="s">
        <v>141</v>
      </c>
      <c r="M3732" s="473"/>
    </row>
    <row r="3733" spans="1:13" ht="13.5">
      <c r="A3733" s="475" t="s">
        <v>5516</v>
      </c>
      <c r="B3733" s="475" t="s">
        <v>5517</v>
      </c>
      <c r="C3733" s="475" t="s">
        <v>5458</v>
      </c>
      <c r="D3733" s="475" t="s">
        <v>5520</v>
      </c>
      <c r="E3733" s="476" t="s">
        <v>34</v>
      </c>
      <c r="F3733" s="475" t="s">
        <v>34</v>
      </c>
      <c r="G3733" s="364">
        <v>89862</v>
      </c>
      <c r="H3733" s="475" t="s">
        <v>3214</v>
      </c>
      <c r="I3733" s="475" t="s">
        <v>171</v>
      </c>
      <c r="J3733" s="475" t="s">
        <v>337</v>
      </c>
      <c r="K3733" s="365">
        <v>57.38</v>
      </c>
      <c r="L3733" s="475" t="s">
        <v>141</v>
      </c>
      <c r="M3733" s="473"/>
    </row>
    <row r="3734" spans="1:13" ht="13.5">
      <c r="A3734" s="475" t="s">
        <v>5516</v>
      </c>
      <c r="B3734" s="475" t="s">
        <v>5517</v>
      </c>
      <c r="C3734" s="475" t="s">
        <v>5458</v>
      </c>
      <c r="D3734" s="475" t="s">
        <v>5520</v>
      </c>
      <c r="E3734" s="476" t="s">
        <v>34</v>
      </c>
      <c r="F3734" s="475" t="s">
        <v>34</v>
      </c>
      <c r="G3734" s="364">
        <v>89863</v>
      </c>
      <c r="H3734" s="475" t="s">
        <v>3215</v>
      </c>
      <c r="I3734" s="475" t="s">
        <v>171</v>
      </c>
      <c r="J3734" s="475" t="s">
        <v>337</v>
      </c>
      <c r="K3734" s="365">
        <v>112.62</v>
      </c>
      <c r="L3734" s="475" t="s">
        <v>141</v>
      </c>
      <c r="M3734" s="473"/>
    </row>
    <row r="3735" spans="1:13" ht="13.5">
      <c r="A3735" s="475" t="s">
        <v>5516</v>
      </c>
      <c r="B3735" s="475" t="s">
        <v>5517</v>
      </c>
      <c r="C3735" s="475" t="s">
        <v>5458</v>
      </c>
      <c r="D3735" s="475" t="s">
        <v>5520</v>
      </c>
      <c r="E3735" s="476" t="s">
        <v>34</v>
      </c>
      <c r="F3735" s="475" t="s">
        <v>34</v>
      </c>
      <c r="G3735" s="364">
        <v>89866</v>
      </c>
      <c r="H3735" s="475" t="s">
        <v>3216</v>
      </c>
      <c r="I3735" s="475" t="s">
        <v>171</v>
      </c>
      <c r="J3735" s="475" t="s">
        <v>337</v>
      </c>
      <c r="K3735" s="365">
        <v>3.66</v>
      </c>
      <c r="L3735" s="475" t="s">
        <v>141</v>
      </c>
      <c r="M3735" s="473"/>
    </row>
    <row r="3736" spans="1:13" ht="13.5">
      <c r="A3736" s="475" t="s">
        <v>5516</v>
      </c>
      <c r="B3736" s="475" t="s">
        <v>5517</v>
      </c>
      <c r="C3736" s="475" t="s">
        <v>5458</v>
      </c>
      <c r="D3736" s="475" t="s">
        <v>5520</v>
      </c>
      <c r="E3736" s="476" t="s">
        <v>34</v>
      </c>
      <c r="F3736" s="475" t="s">
        <v>34</v>
      </c>
      <c r="G3736" s="364">
        <v>89867</v>
      </c>
      <c r="H3736" s="475" t="s">
        <v>3217</v>
      </c>
      <c r="I3736" s="475" t="s">
        <v>171</v>
      </c>
      <c r="J3736" s="475" t="s">
        <v>337</v>
      </c>
      <c r="K3736" s="365">
        <v>4.1900000000000004</v>
      </c>
      <c r="L3736" s="475" t="s">
        <v>141</v>
      </c>
      <c r="M3736" s="473"/>
    </row>
    <row r="3737" spans="1:13" ht="13.5">
      <c r="A3737" s="475" t="s">
        <v>5516</v>
      </c>
      <c r="B3737" s="475" t="s">
        <v>5517</v>
      </c>
      <c r="C3737" s="475" t="s">
        <v>5458</v>
      </c>
      <c r="D3737" s="475" t="s">
        <v>5520</v>
      </c>
      <c r="E3737" s="476" t="s">
        <v>34</v>
      </c>
      <c r="F3737" s="475" t="s">
        <v>34</v>
      </c>
      <c r="G3737" s="364">
        <v>89868</v>
      </c>
      <c r="H3737" s="475" t="s">
        <v>3218</v>
      </c>
      <c r="I3737" s="475" t="s">
        <v>171</v>
      </c>
      <c r="J3737" s="475" t="s">
        <v>337</v>
      </c>
      <c r="K3737" s="365">
        <v>2.68</v>
      </c>
      <c r="L3737" s="475" t="s">
        <v>141</v>
      </c>
      <c r="M3737" s="473"/>
    </row>
    <row r="3738" spans="1:13" ht="13.5">
      <c r="A3738" s="475" t="s">
        <v>5516</v>
      </c>
      <c r="B3738" s="475" t="s">
        <v>5517</v>
      </c>
      <c r="C3738" s="475" t="s">
        <v>5458</v>
      </c>
      <c r="D3738" s="475" t="s">
        <v>5520</v>
      </c>
      <c r="E3738" s="476" t="s">
        <v>34</v>
      </c>
      <c r="F3738" s="475" t="s">
        <v>34</v>
      </c>
      <c r="G3738" s="364">
        <v>89869</v>
      </c>
      <c r="H3738" s="475" t="s">
        <v>3219</v>
      </c>
      <c r="I3738" s="475" t="s">
        <v>171</v>
      </c>
      <c r="J3738" s="475" t="s">
        <v>337</v>
      </c>
      <c r="K3738" s="365">
        <v>5.84</v>
      </c>
      <c r="L3738" s="475" t="s">
        <v>141</v>
      </c>
      <c r="M3738" s="473"/>
    </row>
    <row r="3739" spans="1:13" ht="13.5">
      <c r="A3739" s="475" t="s">
        <v>5516</v>
      </c>
      <c r="B3739" s="475" t="s">
        <v>5517</v>
      </c>
      <c r="C3739" s="475" t="s">
        <v>5458</v>
      </c>
      <c r="D3739" s="475" t="s">
        <v>5520</v>
      </c>
      <c r="E3739" s="476" t="s">
        <v>34</v>
      </c>
      <c r="F3739" s="475" t="s">
        <v>34</v>
      </c>
      <c r="G3739" s="364">
        <v>89979</v>
      </c>
      <c r="H3739" s="475" t="s">
        <v>3220</v>
      </c>
      <c r="I3739" s="475" t="s">
        <v>171</v>
      </c>
      <c r="J3739" s="475" t="s">
        <v>337</v>
      </c>
      <c r="K3739" s="365">
        <v>17.89</v>
      </c>
      <c r="L3739" s="475" t="s">
        <v>141</v>
      </c>
      <c r="M3739" s="473"/>
    </row>
    <row r="3740" spans="1:13" ht="13.5">
      <c r="A3740" s="475" t="s">
        <v>5516</v>
      </c>
      <c r="B3740" s="475" t="s">
        <v>5517</v>
      </c>
      <c r="C3740" s="475" t="s">
        <v>5458</v>
      </c>
      <c r="D3740" s="475" t="s">
        <v>5520</v>
      </c>
      <c r="E3740" s="476" t="s">
        <v>34</v>
      </c>
      <c r="F3740" s="475" t="s">
        <v>34</v>
      </c>
      <c r="G3740" s="364">
        <v>89980</v>
      </c>
      <c r="H3740" s="475" t="s">
        <v>3221</v>
      </c>
      <c r="I3740" s="475" t="s">
        <v>171</v>
      </c>
      <c r="J3740" s="475" t="s">
        <v>337</v>
      </c>
      <c r="K3740" s="365">
        <v>6.82</v>
      </c>
      <c r="L3740" s="475" t="s">
        <v>141</v>
      </c>
      <c r="M3740" s="473"/>
    </row>
    <row r="3741" spans="1:13" ht="13.5">
      <c r="A3741" s="475" t="s">
        <v>5516</v>
      </c>
      <c r="B3741" s="475" t="s">
        <v>5517</v>
      </c>
      <c r="C3741" s="475" t="s">
        <v>5458</v>
      </c>
      <c r="D3741" s="475" t="s">
        <v>5520</v>
      </c>
      <c r="E3741" s="476" t="s">
        <v>34</v>
      </c>
      <c r="F3741" s="475" t="s">
        <v>34</v>
      </c>
      <c r="G3741" s="364">
        <v>89981</v>
      </c>
      <c r="H3741" s="475" t="s">
        <v>3222</v>
      </c>
      <c r="I3741" s="475" t="s">
        <v>171</v>
      </c>
      <c r="J3741" s="475" t="s">
        <v>337</v>
      </c>
      <c r="K3741" s="365">
        <v>15.45</v>
      </c>
      <c r="L3741" s="475" t="s">
        <v>141</v>
      </c>
      <c r="M3741" s="473"/>
    </row>
    <row r="3742" spans="1:13" ht="13.5">
      <c r="A3742" s="475" t="s">
        <v>5516</v>
      </c>
      <c r="B3742" s="475" t="s">
        <v>5517</v>
      </c>
      <c r="C3742" s="475" t="s">
        <v>5458</v>
      </c>
      <c r="D3742" s="475" t="s">
        <v>5520</v>
      </c>
      <c r="E3742" s="476" t="s">
        <v>34</v>
      </c>
      <c r="F3742" s="475" t="s">
        <v>34</v>
      </c>
      <c r="G3742" s="364">
        <v>90373</v>
      </c>
      <c r="H3742" s="475" t="s">
        <v>3223</v>
      </c>
      <c r="I3742" s="475" t="s">
        <v>171</v>
      </c>
      <c r="J3742" s="475" t="s">
        <v>337</v>
      </c>
      <c r="K3742" s="365">
        <v>10.14</v>
      </c>
      <c r="L3742" s="475" t="s">
        <v>141</v>
      </c>
      <c r="M3742" s="473"/>
    </row>
    <row r="3743" spans="1:13" ht="13.5">
      <c r="A3743" s="475" t="s">
        <v>5516</v>
      </c>
      <c r="B3743" s="475" t="s">
        <v>5517</v>
      </c>
      <c r="C3743" s="475" t="s">
        <v>5458</v>
      </c>
      <c r="D3743" s="475" t="s">
        <v>5520</v>
      </c>
      <c r="E3743" s="476" t="s">
        <v>34</v>
      </c>
      <c r="F3743" s="475" t="s">
        <v>34</v>
      </c>
      <c r="G3743" s="364">
        <v>90374</v>
      </c>
      <c r="H3743" s="475" t="s">
        <v>3224</v>
      </c>
      <c r="I3743" s="475" t="s">
        <v>171</v>
      </c>
      <c r="J3743" s="475" t="s">
        <v>337</v>
      </c>
      <c r="K3743" s="365">
        <v>15.69</v>
      </c>
      <c r="L3743" s="475" t="s">
        <v>141</v>
      </c>
      <c r="M3743" s="473"/>
    </row>
    <row r="3744" spans="1:13" ht="13.5">
      <c r="A3744" s="475" t="s">
        <v>5516</v>
      </c>
      <c r="B3744" s="475" t="s">
        <v>5517</v>
      </c>
      <c r="C3744" s="475" t="s">
        <v>5458</v>
      </c>
      <c r="D3744" s="475" t="s">
        <v>5520</v>
      </c>
      <c r="E3744" s="476" t="s">
        <v>34</v>
      </c>
      <c r="F3744" s="475" t="s">
        <v>34</v>
      </c>
      <c r="G3744" s="364">
        <v>90375</v>
      </c>
      <c r="H3744" s="475" t="s">
        <v>3225</v>
      </c>
      <c r="I3744" s="475" t="s">
        <v>171</v>
      </c>
      <c r="J3744" s="475" t="s">
        <v>337</v>
      </c>
      <c r="K3744" s="365">
        <v>6.49</v>
      </c>
      <c r="L3744" s="475" t="s">
        <v>141</v>
      </c>
      <c r="M3744" s="473"/>
    </row>
    <row r="3745" spans="1:13" ht="13.5">
      <c r="A3745" s="475" t="s">
        <v>5516</v>
      </c>
      <c r="B3745" s="475" t="s">
        <v>5517</v>
      </c>
      <c r="C3745" s="475" t="s">
        <v>5458</v>
      </c>
      <c r="D3745" s="475" t="s">
        <v>5520</v>
      </c>
      <c r="E3745" s="476" t="s">
        <v>34</v>
      </c>
      <c r="F3745" s="475" t="s">
        <v>34</v>
      </c>
      <c r="G3745" s="364">
        <v>92287</v>
      </c>
      <c r="H3745" s="475" t="s">
        <v>7608</v>
      </c>
      <c r="I3745" s="475" t="s">
        <v>171</v>
      </c>
      <c r="J3745" s="475" t="s">
        <v>140</v>
      </c>
      <c r="K3745" s="365">
        <v>11.02</v>
      </c>
      <c r="L3745" s="475" t="s">
        <v>141</v>
      </c>
      <c r="M3745" s="473"/>
    </row>
    <row r="3746" spans="1:13" ht="13.5">
      <c r="A3746" s="475" t="s">
        <v>5516</v>
      </c>
      <c r="B3746" s="475" t="s">
        <v>5517</v>
      </c>
      <c r="C3746" s="475" t="s">
        <v>5458</v>
      </c>
      <c r="D3746" s="475" t="s">
        <v>5520</v>
      </c>
      <c r="E3746" s="476" t="s">
        <v>34</v>
      </c>
      <c r="F3746" s="475" t="s">
        <v>34</v>
      </c>
      <c r="G3746" s="364">
        <v>92288</v>
      </c>
      <c r="H3746" s="475" t="s">
        <v>7609</v>
      </c>
      <c r="I3746" s="475" t="s">
        <v>171</v>
      </c>
      <c r="J3746" s="475" t="s">
        <v>140</v>
      </c>
      <c r="K3746" s="365">
        <v>16.8</v>
      </c>
      <c r="L3746" s="475" t="s">
        <v>141</v>
      </c>
      <c r="M3746" s="473"/>
    </row>
    <row r="3747" spans="1:13" ht="13.5">
      <c r="A3747" s="475" t="s">
        <v>5516</v>
      </c>
      <c r="B3747" s="475" t="s">
        <v>5517</v>
      </c>
      <c r="C3747" s="475" t="s">
        <v>5458</v>
      </c>
      <c r="D3747" s="475" t="s">
        <v>5520</v>
      </c>
      <c r="E3747" s="476" t="s">
        <v>34</v>
      </c>
      <c r="F3747" s="475" t="s">
        <v>34</v>
      </c>
      <c r="G3747" s="364">
        <v>92289</v>
      </c>
      <c r="H3747" s="475" t="s">
        <v>7610</v>
      </c>
      <c r="I3747" s="475" t="s">
        <v>171</v>
      </c>
      <c r="J3747" s="475" t="s">
        <v>140</v>
      </c>
      <c r="K3747" s="365">
        <v>29.05</v>
      </c>
      <c r="L3747" s="475" t="s">
        <v>141</v>
      </c>
      <c r="M3747" s="473"/>
    </row>
    <row r="3748" spans="1:13" ht="13.5">
      <c r="A3748" s="475" t="s">
        <v>5516</v>
      </c>
      <c r="B3748" s="475" t="s">
        <v>5517</v>
      </c>
      <c r="C3748" s="475" t="s">
        <v>5458</v>
      </c>
      <c r="D3748" s="475" t="s">
        <v>5520</v>
      </c>
      <c r="E3748" s="476" t="s">
        <v>34</v>
      </c>
      <c r="F3748" s="475" t="s">
        <v>34</v>
      </c>
      <c r="G3748" s="364">
        <v>92290</v>
      </c>
      <c r="H3748" s="475" t="s">
        <v>7611</v>
      </c>
      <c r="I3748" s="475" t="s">
        <v>171</v>
      </c>
      <c r="J3748" s="475" t="s">
        <v>140</v>
      </c>
      <c r="K3748" s="365">
        <v>43.84</v>
      </c>
      <c r="L3748" s="475" t="s">
        <v>141</v>
      </c>
      <c r="M3748" s="473"/>
    </row>
    <row r="3749" spans="1:13" ht="13.5">
      <c r="A3749" s="475" t="s">
        <v>5516</v>
      </c>
      <c r="B3749" s="475" t="s">
        <v>5517</v>
      </c>
      <c r="C3749" s="475" t="s">
        <v>5458</v>
      </c>
      <c r="D3749" s="475" t="s">
        <v>5520</v>
      </c>
      <c r="E3749" s="476" t="s">
        <v>34</v>
      </c>
      <c r="F3749" s="475" t="s">
        <v>34</v>
      </c>
      <c r="G3749" s="364">
        <v>92291</v>
      </c>
      <c r="H3749" s="475" t="s">
        <v>7612</v>
      </c>
      <c r="I3749" s="475" t="s">
        <v>171</v>
      </c>
      <c r="J3749" s="475" t="s">
        <v>140</v>
      </c>
      <c r="K3749" s="365">
        <v>66.87</v>
      </c>
      <c r="L3749" s="475" t="s">
        <v>141</v>
      </c>
      <c r="M3749" s="473"/>
    </row>
    <row r="3750" spans="1:13" ht="13.5">
      <c r="A3750" s="475" t="s">
        <v>5516</v>
      </c>
      <c r="B3750" s="475" t="s">
        <v>5517</v>
      </c>
      <c r="C3750" s="475" t="s">
        <v>5458</v>
      </c>
      <c r="D3750" s="475" t="s">
        <v>5520</v>
      </c>
      <c r="E3750" s="476" t="s">
        <v>34</v>
      </c>
      <c r="F3750" s="475" t="s">
        <v>34</v>
      </c>
      <c r="G3750" s="364">
        <v>92292</v>
      </c>
      <c r="H3750" s="475" t="s">
        <v>7613</v>
      </c>
      <c r="I3750" s="475" t="s">
        <v>171</v>
      </c>
      <c r="J3750" s="475" t="s">
        <v>140</v>
      </c>
      <c r="K3750" s="365">
        <v>206.58</v>
      </c>
      <c r="L3750" s="475" t="s">
        <v>141</v>
      </c>
      <c r="M3750" s="473"/>
    </row>
    <row r="3751" spans="1:13" ht="13.5">
      <c r="A3751" s="475" t="s">
        <v>5516</v>
      </c>
      <c r="B3751" s="475" t="s">
        <v>5517</v>
      </c>
      <c r="C3751" s="475" t="s">
        <v>5458</v>
      </c>
      <c r="D3751" s="475" t="s">
        <v>5520</v>
      </c>
      <c r="E3751" s="476" t="s">
        <v>34</v>
      </c>
      <c r="F3751" s="475" t="s">
        <v>34</v>
      </c>
      <c r="G3751" s="364">
        <v>92293</v>
      </c>
      <c r="H3751" s="475" t="s">
        <v>7614</v>
      </c>
      <c r="I3751" s="475" t="s">
        <v>171</v>
      </c>
      <c r="J3751" s="475" t="s">
        <v>140</v>
      </c>
      <c r="K3751" s="365">
        <v>6.39</v>
      </c>
      <c r="L3751" s="475" t="s">
        <v>141</v>
      </c>
      <c r="M3751" s="473"/>
    </row>
    <row r="3752" spans="1:13" ht="13.5">
      <c r="A3752" s="475" t="s">
        <v>5516</v>
      </c>
      <c r="B3752" s="475" t="s">
        <v>5517</v>
      </c>
      <c r="C3752" s="475" t="s">
        <v>5458</v>
      </c>
      <c r="D3752" s="475" t="s">
        <v>5520</v>
      </c>
      <c r="E3752" s="476" t="s">
        <v>34</v>
      </c>
      <c r="F3752" s="475" t="s">
        <v>34</v>
      </c>
      <c r="G3752" s="364">
        <v>92294</v>
      </c>
      <c r="H3752" s="475" t="s">
        <v>7615</v>
      </c>
      <c r="I3752" s="475" t="s">
        <v>171</v>
      </c>
      <c r="J3752" s="475" t="s">
        <v>140</v>
      </c>
      <c r="K3752" s="365">
        <v>10.34</v>
      </c>
      <c r="L3752" s="475" t="s">
        <v>141</v>
      </c>
      <c r="M3752" s="473"/>
    </row>
    <row r="3753" spans="1:13" ht="13.5">
      <c r="A3753" s="475" t="s">
        <v>5516</v>
      </c>
      <c r="B3753" s="475" t="s">
        <v>5517</v>
      </c>
      <c r="C3753" s="475" t="s">
        <v>5458</v>
      </c>
      <c r="D3753" s="475" t="s">
        <v>5520</v>
      </c>
      <c r="E3753" s="476" t="s">
        <v>34</v>
      </c>
      <c r="F3753" s="475" t="s">
        <v>34</v>
      </c>
      <c r="G3753" s="364">
        <v>92295</v>
      </c>
      <c r="H3753" s="475" t="s">
        <v>7616</v>
      </c>
      <c r="I3753" s="475" t="s">
        <v>171</v>
      </c>
      <c r="J3753" s="475" t="s">
        <v>140</v>
      </c>
      <c r="K3753" s="365">
        <v>18.93</v>
      </c>
      <c r="L3753" s="475" t="s">
        <v>141</v>
      </c>
      <c r="M3753" s="473"/>
    </row>
    <row r="3754" spans="1:13" ht="13.5">
      <c r="A3754" s="475" t="s">
        <v>5516</v>
      </c>
      <c r="B3754" s="475" t="s">
        <v>5517</v>
      </c>
      <c r="C3754" s="475" t="s">
        <v>5458</v>
      </c>
      <c r="D3754" s="475" t="s">
        <v>5520</v>
      </c>
      <c r="E3754" s="476" t="s">
        <v>34</v>
      </c>
      <c r="F3754" s="475" t="s">
        <v>34</v>
      </c>
      <c r="G3754" s="364">
        <v>92296</v>
      </c>
      <c r="H3754" s="475" t="s">
        <v>7617</v>
      </c>
      <c r="I3754" s="475" t="s">
        <v>171</v>
      </c>
      <c r="J3754" s="475" t="s">
        <v>140</v>
      </c>
      <c r="K3754" s="365">
        <v>25.12</v>
      </c>
      <c r="L3754" s="475" t="s">
        <v>141</v>
      </c>
      <c r="M3754" s="473"/>
    </row>
    <row r="3755" spans="1:13" ht="13.5">
      <c r="A3755" s="475" t="s">
        <v>5516</v>
      </c>
      <c r="B3755" s="475" t="s">
        <v>5517</v>
      </c>
      <c r="C3755" s="475" t="s">
        <v>5458</v>
      </c>
      <c r="D3755" s="475" t="s">
        <v>5520</v>
      </c>
      <c r="E3755" s="476" t="s">
        <v>34</v>
      </c>
      <c r="F3755" s="475" t="s">
        <v>34</v>
      </c>
      <c r="G3755" s="364">
        <v>92297</v>
      </c>
      <c r="H3755" s="475" t="s">
        <v>7618</v>
      </c>
      <c r="I3755" s="475" t="s">
        <v>171</v>
      </c>
      <c r="J3755" s="475" t="s">
        <v>140</v>
      </c>
      <c r="K3755" s="365">
        <v>38.619999999999997</v>
      </c>
      <c r="L3755" s="475" t="s">
        <v>141</v>
      </c>
      <c r="M3755" s="473"/>
    </row>
    <row r="3756" spans="1:13" ht="13.5">
      <c r="A3756" s="475" t="s">
        <v>5516</v>
      </c>
      <c r="B3756" s="475" t="s">
        <v>5517</v>
      </c>
      <c r="C3756" s="475" t="s">
        <v>5458</v>
      </c>
      <c r="D3756" s="475" t="s">
        <v>5520</v>
      </c>
      <c r="E3756" s="476" t="s">
        <v>34</v>
      </c>
      <c r="F3756" s="475" t="s">
        <v>34</v>
      </c>
      <c r="G3756" s="364">
        <v>92298</v>
      </c>
      <c r="H3756" s="475" t="s">
        <v>7619</v>
      </c>
      <c r="I3756" s="475" t="s">
        <v>171</v>
      </c>
      <c r="J3756" s="475" t="s">
        <v>140</v>
      </c>
      <c r="K3756" s="365">
        <v>107.13</v>
      </c>
      <c r="L3756" s="475" t="s">
        <v>141</v>
      </c>
      <c r="M3756" s="473"/>
    </row>
    <row r="3757" spans="1:13" ht="13.5">
      <c r="A3757" s="475" t="s">
        <v>5516</v>
      </c>
      <c r="B3757" s="475" t="s">
        <v>5517</v>
      </c>
      <c r="C3757" s="475" t="s">
        <v>5458</v>
      </c>
      <c r="D3757" s="475" t="s">
        <v>5520</v>
      </c>
      <c r="E3757" s="476" t="s">
        <v>34</v>
      </c>
      <c r="F3757" s="475" t="s">
        <v>34</v>
      </c>
      <c r="G3757" s="364">
        <v>92299</v>
      </c>
      <c r="H3757" s="475" t="s">
        <v>7620</v>
      </c>
      <c r="I3757" s="475" t="s">
        <v>171</v>
      </c>
      <c r="J3757" s="475" t="s">
        <v>140</v>
      </c>
      <c r="K3757" s="365">
        <v>14.53</v>
      </c>
      <c r="L3757" s="475" t="s">
        <v>141</v>
      </c>
      <c r="M3757" s="473"/>
    </row>
    <row r="3758" spans="1:13" ht="13.5">
      <c r="A3758" s="475" t="s">
        <v>5516</v>
      </c>
      <c r="B3758" s="475" t="s">
        <v>5517</v>
      </c>
      <c r="C3758" s="475" t="s">
        <v>5458</v>
      </c>
      <c r="D3758" s="475" t="s">
        <v>5520</v>
      </c>
      <c r="E3758" s="476" t="s">
        <v>34</v>
      </c>
      <c r="F3758" s="475" t="s">
        <v>34</v>
      </c>
      <c r="G3758" s="364">
        <v>92300</v>
      </c>
      <c r="H3758" s="475" t="s">
        <v>7621</v>
      </c>
      <c r="I3758" s="475" t="s">
        <v>171</v>
      </c>
      <c r="J3758" s="475" t="s">
        <v>140</v>
      </c>
      <c r="K3758" s="365">
        <v>21.43</v>
      </c>
      <c r="L3758" s="475" t="s">
        <v>141</v>
      </c>
      <c r="M3758" s="473"/>
    </row>
    <row r="3759" spans="1:13" ht="13.5">
      <c r="A3759" s="475" t="s">
        <v>5516</v>
      </c>
      <c r="B3759" s="475" t="s">
        <v>5517</v>
      </c>
      <c r="C3759" s="475" t="s">
        <v>5458</v>
      </c>
      <c r="D3759" s="475" t="s">
        <v>5520</v>
      </c>
      <c r="E3759" s="476" t="s">
        <v>34</v>
      </c>
      <c r="F3759" s="475" t="s">
        <v>34</v>
      </c>
      <c r="G3759" s="364">
        <v>92301</v>
      </c>
      <c r="H3759" s="475" t="s">
        <v>7622</v>
      </c>
      <c r="I3759" s="475" t="s">
        <v>171</v>
      </c>
      <c r="J3759" s="475" t="s">
        <v>140</v>
      </c>
      <c r="K3759" s="365">
        <v>41.28</v>
      </c>
      <c r="L3759" s="475" t="s">
        <v>141</v>
      </c>
      <c r="M3759" s="473"/>
    </row>
    <row r="3760" spans="1:13" ht="13.5">
      <c r="A3760" s="475" t="s">
        <v>5516</v>
      </c>
      <c r="B3760" s="475" t="s">
        <v>5517</v>
      </c>
      <c r="C3760" s="475" t="s">
        <v>5458</v>
      </c>
      <c r="D3760" s="475" t="s">
        <v>5520</v>
      </c>
      <c r="E3760" s="476" t="s">
        <v>34</v>
      </c>
      <c r="F3760" s="475" t="s">
        <v>34</v>
      </c>
      <c r="G3760" s="364">
        <v>92302</v>
      </c>
      <c r="H3760" s="475" t="s">
        <v>7623</v>
      </c>
      <c r="I3760" s="475" t="s">
        <v>171</v>
      </c>
      <c r="J3760" s="475" t="s">
        <v>140</v>
      </c>
      <c r="K3760" s="365">
        <v>54.45</v>
      </c>
      <c r="L3760" s="475" t="s">
        <v>141</v>
      </c>
      <c r="M3760" s="473"/>
    </row>
    <row r="3761" spans="1:13" ht="13.5">
      <c r="A3761" s="475" t="s">
        <v>5516</v>
      </c>
      <c r="B3761" s="475" t="s">
        <v>5517</v>
      </c>
      <c r="C3761" s="475" t="s">
        <v>5458</v>
      </c>
      <c r="D3761" s="475" t="s">
        <v>5520</v>
      </c>
      <c r="E3761" s="476" t="s">
        <v>34</v>
      </c>
      <c r="F3761" s="475" t="s">
        <v>34</v>
      </c>
      <c r="G3761" s="364">
        <v>92303</v>
      </c>
      <c r="H3761" s="475" t="s">
        <v>7624</v>
      </c>
      <c r="I3761" s="475" t="s">
        <v>171</v>
      </c>
      <c r="J3761" s="475" t="s">
        <v>140</v>
      </c>
      <c r="K3761" s="365">
        <v>98.96</v>
      </c>
      <c r="L3761" s="475" t="s">
        <v>141</v>
      </c>
      <c r="M3761" s="473"/>
    </row>
    <row r="3762" spans="1:13" ht="13.5">
      <c r="A3762" s="475" t="s">
        <v>5516</v>
      </c>
      <c r="B3762" s="475" t="s">
        <v>5517</v>
      </c>
      <c r="C3762" s="475" t="s">
        <v>5458</v>
      </c>
      <c r="D3762" s="475" t="s">
        <v>5520</v>
      </c>
      <c r="E3762" s="476" t="s">
        <v>34</v>
      </c>
      <c r="F3762" s="475" t="s">
        <v>34</v>
      </c>
      <c r="G3762" s="364">
        <v>92304</v>
      </c>
      <c r="H3762" s="475" t="s">
        <v>7625</v>
      </c>
      <c r="I3762" s="475" t="s">
        <v>171</v>
      </c>
      <c r="J3762" s="475" t="s">
        <v>140</v>
      </c>
      <c r="K3762" s="365">
        <v>255.09</v>
      </c>
      <c r="L3762" s="475" t="s">
        <v>141</v>
      </c>
      <c r="M3762" s="473"/>
    </row>
    <row r="3763" spans="1:13" ht="13.5">
      <c r="A3763" s="475" t="s">
        <v>5516</v>
      </c>
      <c r="B3763" s="475" t="s">
        <v>5517</v>
      </c>
      <c r="C3763" s="475" t="s">
        <v>5458</v>
      </c>
      <c r="D3763" s="475" t="s">
        <v>5520</v>
      </c>
      <c r="E3763" s="476" t="s">
        <v>34</v>
      </c>
      <c r="F3763" s="475" t="s">
        <v>34</v>
      </c>
      <c r="G3763" s="364">
        <v>92311</v>
      </c>
      <c r="H3763" s="475" t="s">
        <v>7626</v>
      </c>
      <c r="I3763" s="475" t="s">
        <v>171</v>
      </c>
      <c r="J3763" s="475" t="s">
        <v>140</v>
      </c>
      <c r="K3763" s="365">
        <v>8.23</v>
      </c>
      <c r="L3763" s="475" t="s">
        <v>141</v>
      </c>
      <c r="M3763" s="473"/>
    </row>
    <row r="3764" spans="1:13" ht="13.5">
      <c r="A3764" s="475" t="s">
        <v>5516</v>
      </c>
      <c r="B3764" s="475" t="s">
        <v>5517</v>
      </c>
      <c r="C3764" s="475" t="s">
        <v>5458</v>
      </c>
      <c r="D3764" s="475" t="s">
        <v>5520</v>
      </c>
      <c r="E3764" s="476" t="s">
        <v>34</v>
      </c>
      <c r="F3764" s="475" t="s">
        <v>34</v>
      </c>
      <c r="G3764" s="364">
        <v>92312</v>
      </c>
      <c r="H3764" s="475" t="s">
        <v>7627</v>
      </c>
      <c r="I3764" s="475" t="s">
        <v>171</v>
      </c>
      <c r="J3764" s="475" t="s">
        <v>140</v>
      </c>
      <c r="K3764" s="365">
        <v>13.11</v>
      </c>
      <c r="L3764" s="475" t="s">
        <v>141</v>
      </c>
      <c r="M3764" s="473"/>
    </row>
    <row r="3765" spans="1:13" ht="13.5">
      <c r="A3765" s="475" t="s">
        <v>5516</v>
      </c>
      <c r="B3765" s="475" t="s">
        <v>5517</v>
      </c>
      <c r="C3765" s="475" t="s">
        <v>5458</v>
      </c>
      <c r="D3765" s="475" t="s">
        <v>5520</v>
      </c>
      <c r="E3765" s="476" t="s">
        <v>34</v>
      </c>
      <c r="F3765" s="475" t="s">
        <v>34</v>
      </c>
      <c r="G3765" s="364">
        <v>92313</v>
      </c>
      <c r="H3765" s="475" t="s">
        <v>7628</v>
      </c>
      <c r="I3765" s="475" t="s">
        <v>171</v>
      </c>
      <c r="J3765" s="475" t="s">
        <v>140</v>
      </c>
      <c r="K3765" s="365">
        <v>18.89</v>
      </c>
      <c r="L3765" s="475" t="s">
        <v>141</v>
      </c>
      <c r="M3765" s="473"/>
    </row>
    <row r="3766" spans="1:13" ht="13.5">
      <c r="A3766" s="475" t="s">
        <v>5516</v>
      </c>
      <c r="B3766" s="475" t="s">
        <v>5517</v>
      </c>
      <c r="C3766" s="475" t="s">
        <v>5458</v>
      </c>
      <c r="D3766" s="475" t="s">
        <v>5520</v>
      </c>
      <c r="E3766" s="476" t="s">
        <v>34</v>
      </c>
      <c r="F3766" s="475" t="s">
        <v>34</v>
      </c>
      <c r="G3766" s="364">
        <v>92314</v>
      </c>
      <c r="H3766" s="475" t="s">
        <v>7629</v>
      </c>
      <c r="I3766" s="475" t="s">
        <v>171</v>
      </c>
      <c r="J3766" s="475" t="s">
        <v>140</v>
      </c>
      <c r="K3766" s="365">
        <v>5.35</v>
      </c>
      <c r="L3766" s="475" t="s">
        <v>141</v>
      </c>
      <c r="M3766" s="473"/>
    </row>
    <row r="3767" spans="1:13" ht="13.5">
      <c r="A3767" s="475" t="s">
        <v>5516</v>
      </c>
      <c r="B3767" s="475" t="s">
        <v>5517</v>
      </c>
      <c r="C3767" s="475" t="s">
        <v>5458</v>
      </c>
      <c r="D3767" s="475" t="s">
        <v>5520</v>
      </c>
      <c r="E3767" s="476" t="s">
        <v>34</v>
      </c>
      <c r="F3767" s="475" t="s">
        <v>34</v>
      </c>
      <c r="G3767" s="364">
        <v>92315</v>
      </c>
      <c r="H3767" s="475" t="s">
        <v>7630</v>
      </c>
      <c r="I3767" s="475" t="s">
        <v>171</v>
      </c>
      <c r="J3767" s="475" t="s">
        <v>140</v>
      </c>
      <c r="K3767" s="365">
        <v>7.81</v>
      </c>
      <c r="L3767" s="475" t="s">
        <v>141</v>
      </c>
      <c r="M3767" s="473"/>
    </row>
    <row r="3768" spans="1:13" ht="13.5">
      <c r="A3768" s="475" t="s">
        <v>5516</v>
      </c>
      <c r="B3768" s="475" t="s">
        <v>5517</v>
      </c>
      <c r="C3768" s="475" t="s">
        <v>5458</v>
      </c>
      <c r="D3768" s="475" t="s">
        <v>5520</v>
      </c>
      <c r="E3768" s="476" t="s">
        <v>34</v>
      </c>
      <c r="F3768" s="475" t="s">
        <v>34</v>
      </c>
      <c r="G3768" s="364">
        <v>92316</v>
      </c>
      <c r="H3768" s="475" t="s">
        <v>7631</v>
      </c>
      <c r="I3768" s="475" t="s">
        <v>171</v>
      </c>
      <c r="J3768" s="475" t="s">
        <v>140</v>
      </c>
      <c r="K3768" s="365">
        <v>11.77</v>
      </c>
      <c r="L3768" s="475" t="s">
        <v>141</v>
      </c>
      <c r="M3768" s="473"/>
    </row>
    <row r="3769" spans="1:13" ht="13.5">
      <c r="A3769" s="475" t="s">
        <v>5516</v>
      </c>
      <c r="B3769" s="475" t="s">
        <v>5517</v>
      </c>
      <c r="C3769" s="475" t="s">
        <v>5458</v>
      </c>
      <c r="D3769" s="475" t="s">
        <v>5520</v>
      </c>
      <c r="E3769" s="476" t="s">
        <v>34</v>
      </c>
      <c r="F3769" s="475" t="s">
        <v>34</v>
      </c>
      <c r="G3769" s="364">
        <v>92317</v>
      </c>
      <c r="H3769" s="475" t="s">
        <v>7632</v>
      </c>
      <c r="I3769" s="475" t="s">
        <v>171</v>
      </c>
      <c r="J3769" s="475" t="s">
        <v>140</v>
      </c>
      <c r="K3769" s="365">
        <v>11.19</v>
      </c>
      <c r="L3769" s="475" t="s">
        <v>141</v>
      </c>
      <c r="M3769" s="473"/>
    </row>
    <row r="3770" spans="1:13" ht="13.5">
      <c r="A3770" s="475" t="s">
        <v>5516</v>
      </c>
      <c r="B3770" s="475" t="s">
        <v>5517</v>
      </c>
      <c r="C3770" s="475" t="s">
        <v>5458</v>
      </c>
      <c r="D3770" s="475" t="s">
        <v>5520</v>
      </c>
      <c r="E3770" s="476" t="s">
        <v>34</v>
      </c>
      <c r="F3770" s="475" t="s">
        <v>34</v>
      </c>
      <c r="G3770" s="364">
        <v>92318</v>
      </c>
      <c r="H3770" s="475" t="s">
        <v>7633</v>
      </c>
      <c r="I3770" s="475" t="s">
        <v>171</v>
      </c>
      <c r="J3770" s="475" t="s">
        <v>140</v>
      </c>
      <c r="K3770" s="365">
        <v>17.350000000000001</v>
      </c>
      <c r="L3770" s="475" t="s">
        <v>141</v>
      </c>
      <c r="M3770" s="473"/>
    </row>
    <row r="3771" spans="1:13" ht="13.5">
      <c r="A3771" s="475" t="s">
        <v>5516</v>
      </c>
      <c r="B3771" s="475" t="s">
        <v>5517</v>
      </c>
      <c r="C3771" s="475" t="s">
        <v>5458</v>
      </c>
      <c r="D3771" s="475" t="s">
        <v>5520</v>
      </c>
      <c r="E3771" s="476" t="s">
        <v>34</v>
      </c>
      <c r="F3771" s="475" t="s">
        <v>34</v>
      </c>
      <c r="G3771" s="364">
        <v>92319</v>
      </c>
      <c r="H3771" s="475" t="s">
        <v>7634</v>
      </c>
      <c r="I3771" s="475" t="s">
        <v>171</v>
      </c>
      <c r="J3771" s="475" t="s">
        <v>140</v>
      </c>
      <c r="K3771" s="365">
        <v>24.25</v>
      </c>
      <c r="L3771" s="475" t="s">
        <v>141</v>
      </c>
      <c r="M3771" s="473"/>
    </row>
    <row r="3772" spans="1:13" ht="13.5">
      <c r="A3772" s="475" t="s">
        <v>5516</v>
      </c>
      <c r="B3772" s="475" t="s">
        <v>5517</v>
      </c>
      <c r="C3772" s="475" t="s">
        <v>5458</v>
      </c>
      <c r="D3772" s="475" t="s">
        <v>5520</v>
      </c>
      <c r="E3772" s="476" t="s">
        <v>34</v>
      </c>
      <c r="F3772" s="475" t="s">
        <v>34</v>
      </c>
      <c r="G3772" s="364">
        <v>92326</v>
      </c>
      <c r="H3772" s="475" t="s">
        <v>7635</v>
      </c>
      <c r="I3772" s="475" t="s">
        <v>171</v>
      </c>
      <c r="J3772" s="475" t="s">
        <v>140</v>
      </c>
      <c r="K3772" s="365">
        <v>9.16</v>
      </c>
      <c r="L3772" s="475" t="s">
        <v>141</v>
      </c>
      <c r="M3772" s="473"/>
    </row>
    <row r="3773" spans="1:13" ht="13.5">
      <c r="A3773" s="475" t="s">
        <v>5516</v>
      </c>
      <c r="B3773" s="475" t="s">
        <v>5517</v>
      </c>
      <c r="C3773" s="475" t="s">
        <v>5458</v>
      </c>
      <c r="D3773" s="475" t="s">
        <v>5520</v>
      </c>
      <c r="E3773" s="476" t="s">
        <v>34</v>
      </c>
      <c r="F3773" s="475" t="s">
        <v>34</v>
      </c>
      <c r="G3773" s="364">
        <v>92327</v>
      </c>
      <c r="H3773" s="475" t="s">
        <v>7636</v>
      </c>
      <c r="I3773" s="475" t="s">
        <v>171</v>
      </c>
      <c r="J3773" s="475" t="s">
        <v>140</v>
      </c>
      <c r="K3773" s="365">
        <v>15.08</v>
      </c>
      <c r="L3773" s="475" t="s">
        <v>141</v>
      </c>
      <c r="M3773" s="473"/>
    </row>
    <row r="3774" spans="1:13" ht="13.5">
      <c r="A3774" s="475" t="s">
        <v>5516</v>
      </c>
      <c r="B3774" s="475" t="s">
        <v>5517</v>
      </c>
      <c r="C3774" s="475" t="s">
        <v>5458</v>
      </c>
      <c r="D3774" s="475" t="s">
        <v>5520</v>
      </c>
      <c r="E3774" s="476" t="s">
        <v>34</v>
      </c>
      <c r="F3774" s="475" t="s">
        <v>34</v>
      </c>
      <c r="G3774" s="364">
        <v>92328</v>
      </c>
      <c r="H3774" s="475" t="s">
        <v>7637</v>
      </c>
      <c r="I3774" s="475" t="s">
        <v>171</v>
      </c>
      <c r="J3774" s="475" t="s">
        <v>140</v>
      </c>
      <c r="K3774" s="365">
        <v>22.36</v>
      </c>
      <c r="L3774" s="475" t="s">
        <v>141</v>
      </c>
      <c r="M3774" s="473"/>
    </row>
    <row r="3775" spans="1:13" ht="13.5">
      <c r="A3775" s="475" t="s">
        <v>5516</v>
      </c>
      <c r="B3775" s="475" t="s">
        <v>5517</v>
      </c>
      <c r="C3775" s="475" t="s">
        <v>5458</v>
      </c>
      <c r="D3775" s="475" t="s">
        <v>5520</v>
      </c>
      <c r="E3775" s="476" t="s">
        <v>34</v>
      </c>
      <c r="F3775" s="475" t="s">
        <v>34</v>
      </c>
      <c r="G3775" s="364">
        <v>92329</v>
      </c>
      <c r="H3775" s="475" t="s">
        <v>7638</v>
      </c>
      <c r="I3775" s="475" t="s">
        <v>171</v>
      </c>
      <c r="J3775" s="475" t="s">
        <v>140</v>
      </c>
      <c r="K3775" s="365">
        <v>5.5</v>
      </c>
      <c r="L3775" s="475" t="s">
        <v>141</v>
      </c>
      <c r="M3775" s="473"/>
    </row>
    <row r="3776" spans="1:13" ht="13.5">
      <c r="A3776" s="475" t="s">
        <v>5516</v>
      </c>
      <c r="B3776" s="475" t="s">
        <v>5517</v>
      </c>
      <c r="C3776" s="475" t="s">
        <v>5458</v>
      </c>
      <c r="D3776" s="475" t="s">
        <v>5520</v>
      </c>
      <c r="E3776" s="476" t="s">
        <v>34</v>
      </c>
      <c r="F3776" s="475" t="s">
        <v>34</v>
      </c>
      <c r="G3776" s="364">
        <v>92330</v>
      </c>
      <c r="H3776" s="475" t="s">
        <v>7639</v>
      </c>
      <c r="I3776" s="475" t="s">
        <v>171</v>
      </c>
      <c r="J3776" s="475" t="s">
        <v>140</v>
      </c>
      <c r="K3776" s="365">
        <v>9.1</v>
      </c>
      <c r="L3776" s="475" t="s">
        <v>141</v>
      </c>
      <c r="M3776" s="473"/>
    </row>
    <row r="3777" spans="1:13" ht="13.5">
      <c r="A3777" s="475" t="s">
        <v>5516</v>
      </c>
      <c r="B3777" s="475" t="s">
        <v>5517</v>
      </c>
      <c r="C3777" s="475" t="s">
        <v>5458</v>
      </c>
      <c r="D3777" s="475" t="s">
        <v>5520</v>
      </c>
      <c r="E3777" s="476" t="s">
        <v>34</v>
      </c>
      <c r="F3777" s="475" t="s">
        <v>34</v>
      </c>
      <c r="G3777" s="364">
        <v>92331</v>
      </c>
      <c r="H3777" s="475" t="s">
        <v>7640</v>
      </c>
      <c r="I3777" s="475" t="s">
        <v>171</v>
      </c>
      <c r="J3777" s="475" t="s">
        <v>140</v>
      </c>
      <c r="K3777" s="365">
        <v>14.08</v>
      </c>
      <c r="L3777" s="475" t="s">
        <v>141</v>
      </c>
      <c r="M3777" s="473"/>
    </row>
    <row r="3778" spans="1:13" ht="13.5">
      <c r="A3778" s="475" t="s">
        <v>5516</v>
      </c>
      <c r="B3778" s="475" t="s">
        <v>5517</v>
      </c>
      <c r="C3778" s="475" t="s">
        <v>5458</v>
      </c>
      <c r="D3778" s="475" t="s">
        <v>5520</v>
      </c>
      <c r="E3778" s="476" t="s">
        <v>34</v>
      </c>
      <c r="F3778" s="475" t="s">
        <v>34</v>
      </c>
      <c r="G3778" s="364">
        <v>92332</v>
      </c>
      <c r="H3778" s="475" t="s">
        <v>7641</v>
      </c>
      <c r="I3778" s="475" t="s">
        <v>171</v>
      </c>
      <c r="J3778" s="475" t="s">
        <v>140</v>
      </c>
      <c r="K3778" s="365">
        <v>11.4</v>
      </c>
      <c r="L3778" s="475" t="s">
        <v>141</v>
      </c>
      <c r="M3778" s="473"/>
    </row>
    <row r="3779" spans="1:13" ht="13.5">
      <c r="A3779" s="475" t="s">
        <v>5516</v>
      </c>
      <c r="B3779" s="475" t="s">
        <v>5517</v>
      </c>
      <c r="C3779" s="475" t="s">
        <v>5458</v>
      </c>
      <c r="D3779" s="475" t="s">
        <v>5520</v>
      </c>
      <c r="E3779" s="476" t="s">
        <v>34</v>
      </c>
      <c r="F3779" s="475" t="s">
        <v>34</v>
      </c>
      <c r="G3779" s="364">
        <v>92333</v>
      </c>
      <c r="H3779" s="475" t="s">
        <v>7642</v>
      </c>
      <c r="I3779" s="475" t="s">
        <v>171</v>
      </c>
      <c r="J3779" s="475" t="s">
        <v>140</v>
      </c>
      <c r="K3779" s="365">
        <v>19.93</v>
      </c>
      <c r="L3779" s="475" t="s">
        <v>141</v>
      </c>
      <c r="M3779" s="473"/>
    </row>
    <row r="3780" spans="1:13" ht="13.5">
      <c r="A3780" s="475" t="s">
        <v>5516</v>
      </c>
      <c r="B3780" s="475" t="s">
        <v>5517</v>
      </c>
      <c r="C3780" s="475" t="s">
        <v>5458</v>
      </c>
      <c r="D3780" s="475" t="s">
        <v>5520</v>
      </c>
      <c r="E3780" s="476" t="s">
        <v>34</v>
      </c>
      <c r="F3780" s="475" t="s">
        <v>34</v>
      </c>
      <c r="G3780" s="364">
        <v>92334</v>
      </c>
      <c r="H3780" s="475" t="s">
        <v>7643</v>
      </c>
      <c r="I3780" s="475" t="s">
        <v>171</v>
      </c>
      <c r="J3780" s="475" t="s">
        <v>140</v>
      </c>
      <c r="K3780" s="365">
        <v>28.85</v>
      </c>
      <c r="L3780" s="475" t="s">
        <v>141</v>
      </c>
      <c r="M3780" s="473"/>
    </row>
    <row r="3781" spans="1:13" ht="13.5">
      <c r="A3781" s="475" t="s">
        <v>5516</v>
      </c>
      <c r="B3781" s="475" t="s">
        <v>5517</v>
      </c>
      <c r="C3781" s="475" t="s">
        <v>5458</v>
      </c>
      <c r="D3781" s="475" t="s">
        <v>5520</v>
      </c>
      <c r="E3781" s="476" t="s">
        <v>34</v>
      </c>
      <c r="F3781" s="475" t="s">
        <v>34</v>
      </c>
      <c r="G3781" s="364">
        <v>92344</v>
      </c>
      <c r="H3781" s="475" t="s">
        <v>3226</v>
      </c>
      <c r="I3781" s="475" t="s">
        <v>171</v>
      </c>
      <c r="J3781" s="475" t="s">
        <v>337</v>
      </c>
      <c r="K3781" s="365">
        <v>41.81</v>
      </c>
      <c r="L3781" s="475" t="s">
        <v>141</v>
      </c>
      <c r="M3781" s="473"/>
    </row>
    <row r="3782" spans="1:13" ht="13.5">
      <c r="A3782" s="475" t="s">
        <v>5516</v>
      </c>
      <c r="B3782" s="475" t="s">
        <v>5517</v>
      </c>
      <c r="C3782" s="475" t="s">
        <v>5458</v>
      </c>
      <c r="D3782" s="475" t="s">
        <v>5520</v>
      </c>
      <c r="E3782" s="476" t="s">
        <v>34</v>
      </c>
      <c r="F3782" s="475" t="s">
        <v>34</v>
      </c>
      <c r="G3782" s="364">
        <v>92345</v>
      </c>
      <c r="H3782" s="475" t="s">
        <v>3227</v>
      </c>
      <c r="I3782" s="475" t="s">
        <v>171</v>
      </c>
      <c r="J3782" s="475" t="s">
        <v>337</v>
      </c>
      <c r="K3782" s="365">
        <v>41.8</v>
      </c>
      <c r="L3782" s="475" t="s">
        <v>141</v>
      </c>
      <c r="M3782" s="473"/>
    </row>
    <row r="3783" spans="1:13" ht="13.5">
      <c r="A3783" s="475" t="s">
        <v>5516</v>
      </c>
      <c r="B3783" s="475" t="s">
        <v>5517</v>
      </c>
      <c r="C3783" s="475" t="s">
        <v>5458</v>
      </c>
      <c r="D3783" s="475" t="s">
        <v>5520</v>
      </c>
      <c r="E3783" s="476" t="s">
        <v>34</v>
      </c>
      <c r="F3783" s="475" t="s">
        <v>34</v>
      </c>
      <c r="G3783" s="364">
        <v>92346</v>
      </c>
      <c r="H3783" s="475" t="s">
        <v>3228</v>
      </c>
      <c r="I3783" s="475" t="s">
        <v>171</v>
      </c>
      <c r="J3783" s="475" t="s">
        <v>337</v>
      </c>
      <c r="K3783" s="365">
        <v>54.24</v>
      </c>
      <c r="L3783" s="475" t="s">
        <v>141</v>
      </c>
      <c r="M3783" s="473"/>
    </row>
    <row r="3784" spans="1:13" ht="13.5">
      <c r="A3784" s="475" t="s">
        <v>5516</v>
      </c>
      <c r="B3784" s="475" t="s">
        <v>5517</v>
      </c>
      <c r="C3784" s="475" t="s">
        <v>5458</v>
      </c>
      <c r="D3784" s="475" t="s">
        <v>5520</v>
      </c>
      <c r="E3784" s="476" t="s">
        <v>34</v>
      </c>
      <c r="F3784" s="475" t="s">
        <v>34</v>
      </c>
      <c r="G3784" s="364">
        <v>92347</v>
      </c>
      <c r="H3784" s="475" t="s">
        <v>3229</v>
      </c>
      <c r="I3784" s="475" t="s">
        <v>171</v>
      </c>
      <c r="J3784" s="475" t="s">
        <v>337</v>
      </c>
      <c r="K3784" s="365">
        <v>59.97</v>
      </c>
      <c r="L3784" s="475" t="s">
        <v>141</v>
      </c>
      <c r="M3784" s="473"/>
    </row>
    <row r="3785" spans="1:13" ht="13.5">
      <c r="A3785" s="475" t="s">
        <v>5516</v>
      </c>
      <c r="B3785" s="475" t="s">
        <v>5517</v>
      </c>
      <c r="C3785" s="475" t="s">
        <v>5458</v>
      </c>
      <c r="D3785" s="475" t="s">
        <v>5520</v>
      </c>
      <c r="E3785" s="476" t="s">
        <v>34</v>
      </c>
      <c r="F3785" s="475" t="s">
        <v>34</v>
      </c>
      <c r="G3785" s="364">
        <v>92348</v>
      </c>
      <c r="H3785" s="475" t="s">
        <v>3230</v>
      </c>
      <c r="I3785" s="475" t="s">
        <v>171</v>
      </c>
      <c r="J3785" s="475" t="s">
        <v>337</v>
      </c>
      <c r="K3785" s="365">
        <v>75.02</v>
      </c>
      <c r="L3785" s="475" t="s">
        <v>141</v>
      </c>
      <c r="M3785" s="473"/>
    </row>
    <row r="3786" spans="1:13" ht="13.5">
      <c r="A3786" s="475" t="s">
        <v>5516</v>
      </c>
      <c r="B3786" s="475" t="s">
        <v>5517</v>
      </c>
      <c r="C3786" s="475" t="s">
        <v>5458</v>
      </c>
      <c r="D3786" s="475" t="s">
        <v>5520</v>
      </c>
      <c r="E3786" s="476" t="s">
        <v>34</v>
      </c>
      <c r="F3786" s="475" t="s">
        <v>34</v>
      </c>
      <c r="G3786" s="364">
        <v>92349</v>
      </c>
      <c r="H3786" s="475" t="s">
        <v>3231</v>
      </c>
      <c r="I3786" s="475" t="s">
        <v>171</v>
      </c>
      <c r="J3786" s="475" t="s">
        <v>337</v>
      </c>
      <c r="K3786" s="365">
        <v>80.12</v>
      </c>
      <c r="L3786" s="475" t="s">
        <v>141</v>
      </c>
      <c r="M3786" s="473"/>
    </row>
    <row r="3787" spans="1:13" ht="13.5">
      <c r="A3787" s="475" t="s">
        <v>5516</v>
      </c>
      <c r="B3787" s="475" t="s">
        <v>5517</v>
      </c>
      <c r="C3787" s="475" t="s">
        <v>5458</v>
      </c>
      <c r="D3787" s="475" t="s">
        <v>5520</v>
      </c>
      <c r="E3787" s="476" t="s">
        <v>34</v>
      </c>
      <c r="F3787" s="475" t="s">
        <v>34</v>
      </c>
      <c r="G3787" s="364">
        <v>92350</v>
      </c>
      <c r="H3787" s="475" t="s">
        <v>3232</v>
      </c>
      <c r="I3787" s="475" t="s">
        <v>171</v>
      </c>
      <c r="J3787" s="475" t="s">
        <v>337</v>
      </c>
      <c r="K3787" s="365">
        <v>62.16</v>
      </c>
      <c r="L3787" s="475" t="s">
        <v>141</v>
      </c>
      <c r="M3787" s="473"/>
    </row>
    <row r="3788" spans="1:13" ht="13.5">
      <c r="A3788" s="475" t="s">
        <v>5516</v>
      </c>
      <c r="B3788" s="475" t="s">
        <v>5517</v>
      </c>
      <c r="C3788" s="475" t="s">
        <v>5458</v>
      </c>
      <c r="D3788" s="475" t="s">
        <v>5520</v>
      </c>
      <c r="E3788" s="476" t="s">
        <v>34</v>
      </c>
      <c r="F3788" s="475" t="s">
        <v>34</v>
      </c>
      <c r="G3788" s="364">
        <v>92351</v>
      </c>
      <c r="H3788" s="475" t="s">
        <v>3233</v>
      </c>
      <c r="I3788" s="475" t="s">
        <v>171</v>
      </c>
      <c r="J3788" s="475" t="s">
        <v>337</v>
      </c>
      <c r="K3788" s="365">
        <v>60.88</v>
      </c>
      <c r="L3788" s="475" t="s">
        <v>141</v>
      </c>
      <c r="M3788" s="473"/>
    </row>
    <row r="3789" spans="1:13" ht="13.5">
      <c r="A3789" s="475" t="s">
        <v>5516</v>
      </c>
      <c r="B3789" s="475" t="s">
        <v>5517</v>
      </c>
      <c r="C3789" s="475" t="s">
        <v>5458</v>
      </c>
      <c r="D3789" s="475" t="s">
        <v>5520</v>
      </c>
      <c r="E3789" s="476" t="s">
        <v>34</v>
      </c>
      <c r="F3789" s="475" t="s">
        <v>34</v>
      </c>
      <c r="G3789" s="364">
        <v>92352</v>
      </c>
      <c r="H3789" s="475" t="s">
        <v>3234</v>
      </c>
      <c r="I3789" s="475" t="s">
        <v>171</v>
      </c>
      <c r="J3789" s="475" t="s">
        <v>337</v>
      </c>
      <c r="K3789" s="365">
        <v>92.3</v>
      </c>
      <c r="L3789" s="475" t="s">
        <v>141</v>
      </c>
      <c r="M3789" s="473"/>
    </row>
    <row r="3790" spans="1:13" ht="13.5">
      <c r="A3790" s="475" t="s">
        <v>5516</v>
      </c>
      <c r="B3790" s="475" t="s">
        <v>5517</v>
      </c>
      <c r="C3790" s="475" t="s">
        <v>5458</v>
      </c>
      <c r="D3790" s="475" t="s">
        <v>5520</v>
      </c>
      <c r="E3790" s="476" t="s">
        <v>34</v>
      </c>
      <c r="F3790" s="475" t="s">
        <v>34</v>
      </c>
      <c r="G3790" s="364">
        <v>92353</v>
      </c>
      <c r="H3790" s="475" t="s">
        <v>3235</v>
      </c>
      <c r="I3790" s="475" t="s">
        <v>171</v>
      </c>
      <c r="J3790" s="475" t="s">
        <v>337</v>
      </c>
      <c r="K3790" s="365">
        <v>86.69</v>
      </c>
      <c r="L3790" s="475" t="s">
        <v>141</v>
      </c>
      <c r="M3790" s="473"/>
    </row>
    <row r="3791" spans="1:13" ht="13.5">
      <c r="A3791" s="475" t="s">
        <v>5516</v>
      </c>
      <c r="B3791" s="475" t="s">
        <v>5517</v>
      </c>
      <c r="C3791" s="475" t="s">
        <v>5458</v>
      </c>
      <c r="D3791" s="475" t="s">
        <v>5520</v>
      </c>
      <c r="E3791" s="476" t="s">
        <v>34</v>
      </c>
      <c r="F3791" s="475" t="s">
        <v>34</v>
      </c>
      <c r="G3791" s="364">
        <v>92354</v>
      </c>
      <c r="H3791" s="475" t="s">
        <v>3236</v>
      </c>
      <c r="I3791" s="475" t="s">
        <v>171</v>
      </c>
      <c r="J3791" s="475" t="s">
        <v>337</v>
      </c>
      <c r="K3791" s="365">
        <v>121.23</v>
      </c>
      <c r="L3791" s="475" t="s">
        <v>141</v>
      </c>
      <c r="M3791" s="473"/>
    </row>
    <row r="3792" spans="1:13" ht="13.5">
      <c r="A3792" s="475" t="s">
        <v>5516</v>
      </c>
      <c r="B3792" s="475" t="s">
        <v>5517</v>
      </c>
      <c r="C3792" s="475" t="s">
        <v>5458</v>
      </c>
      <c r="D3792" s="475" t="s">
        <v>5520</v>
      </c>
      <c r="E3792" s="476" t="s">
        <v>34</v>
      </c>
      <c r="F3792" s="475" t="s">
        <v>34</v>
      </c>
      <c r="G3792" s="364">
        <v>92355</v>
      </c>
      <c r="H3792" s="475" t="s">
        <v>3237</v>
      </c>
      <c r="I3792" s="475" t="s">
        <v>171</v>
      </c>
      <c r="J3792" s="475" t="s">
        <v>337</v>
      </c>
      <c r="K3792" s="365">
        <v>110.42</v>
      </c>
      <c r="L3792" s="475" t="s">
        <v>141</v>
      </c>
      <c r="M3792" s="473"/>
    </row>
    <row r="3793" spans="1:13" ht="13.5">
      <c r="A3793" s="475" t="s">
        <v>5516</v>
      </c>
      <c r="B3793" s="475" t="s">
        <v>5517</v>
      </c>
      <c r="C3793" s="475" t="s">
        <v>5458</v>
      </c>
      <c r="D3793" s="475" t="s">
        <v>5520</v>
      </c>
      <c r="E3793" s="476" t="s">
        <v>34</v>
      </c>
      <c r="F3793" s="475" t="s">
        <v>34</v>
      </c>
      <c r="G3793" s="364">
        <v>92356</v>
      </c>
      <c r="H3793" s="475" t="s">
        <v>3238</v>
      </c>
      <c r="I3793" s="475" t="s">
        <v>171</v>
      </c>
      <c r="J3793" s="475" t="s">
        <v>337</v>
      </c>
      <c r="K3793" s="365">
        <v>81.180000000000007</v>
      </c>
      <c r="L3793" s="475" t="s">
        <v>141</v>
      </c>
      <c r="M3793" s="473"/>
    </row>
    <row r="3794" spans="1:13" ht="13.5">
      <c r="A3794" s="475" t="s">
        <v>5516</v>
      </c>
      <c r="B3794" s="475" t="s">
        <v>5517</v>
      </c>
      <c r="C3794" s="475" t="s">
        <v>5458</v>
      </c>
      <c r="D3794" s="475" t="s">
        <v>5520</v>
      </c>
      <c r="E3794" s="476" t="s">
        <v>34</v>
      </c>
      <c r="F3794" s="475" t="s">
        <v>34</v>
      </c>
      <c r="G3794" s="364">
        <v>92357</v>
      </c>
      <c r="H3794" s="475" t="s">
        <v>3239</v>
      </c>
      <c r="I3794" s="475" t="s">
        <v>171</v>
      </c>
      <c r="J3794" s="475" t="s">
        <v>337</v>
      </c>
      <c r="K3794" s="365">
        <v>118.42</v>
      </c>
      <c r="L3794" s="475" t="s">
        <v>141</v>
      </c>
      <c r="M3794" s="473"/>
    </row>
    <row r="3795" spans="1:13" ht="13.5">
      <c r="A3795" s="475" t="s">
        <v>5516</v>
      </c>
      <c r="B3795" s="475" t="s">
        <v>5517</v>
      </c>
      <c r="C3795" s="475" t="s">
        <v>5458</v>
      </c>
      <c r="D3795" s="475" t="s">
        <v>5520</v>
      </c>
      <c r="E3795" s="476" t="s">
        <v>34</v>
      </c>
      <c r="F3795" s="475" t="s">
        <v>34</v>
      </c>
      <c r="G3795" s="364">
        <v>92358</v>
      </c>
      <c r="H3795" s="475" t="s">
        <v>3240</v>
      </c>
      <c r="I3795" s="475" t="s">
        <v>171</v>
      </c>
      <c r="J3795" s="475" t="s">
        <v>337</v>
      </c>
      <c r="K3795" s="365">
        <v>146.22999999999999</v>
      </c>
      <c r="L3795" s="475" t="s">
        <v>141</v>
      </c>
      <c r="M3795" s="473"/>
    </row>
    <row r="3796" spans="1:13" ht="13.5">
      <c r="A3796" s="475" t="s">
        <v>5516</v>
      </c>
      <c r="B3796" s="475" t="s">
        <v>5517</v>
      </c>
      <c r="C3796" s="475" t="s">
        <v>5458</v>
      </c>
      <c r="D3796" s="475" t="s">
        <v>5520</v>
      </c>
      <c r="E3796" s="476" t="s">
        <v>34</v>
      </c>
      <c r="F3796" s="475" t="s">
        <v>34</v>
      </c>
      <c r="G3796" s="364">
        <v>92369</v>
      </c>
      <c r="H3796" s="475" t="s">
        <v>3241</v>
      </c>
      <c r="I3796" s="475" t="s">
        <v>171</v>
      </c>
      <c r="J3796" s="475" t="s">
        <v>337</v>
      </c>
      <c r="K3796" s="365">
        <v>23.19</v>
      </c>
      <c r="L3796" s="475" t="s">
        <v>141</v>
      </c>
      <c r="M3796" s="473"/>
    </row>
    <row r="3797" spans="1:13" ht="13.5">
      <c r="A3797" s="475" t="s">
        <v>5516</v>
      </c>
      <c r="B3797" s="475" t="s">
        <v>5517</v>
      </c>
      <c r="C3797" s="475" t="s">
        <v>5458</v>
      </c>
      <c r="D3797" s="475" t="s">
        <v>5520</v>
      </c>
      <c r="E3797" s="476" t="s">
        <v>34</v>
      </c>
      <c r="F3797" s="475" t="s">
        <v>34</v>
      </c>
      <c r="G3797" s="364">
        <v>92370</v>
      </c>
      <c r="H3797" s="475" t="s">
        <v>3242</v>
      </c>
      <c r="I3797" s="475" t="s">
        <v>171</v>
      </c>
      <c r="J3797" s="475" t="s">
        <v>337</v>
      </c>
      <c r="K3797" s="365">
        <v>24.22</v>
      </c>
      <c r="L3797" s="475" t="s">
        <v>141</v>
      </c>
      <c r="M3797" s="473"/>
    </row>
    <row r="3798" spans="1:13" ht="13.5">
      <c r="A3798" s="475" t="s">
        <v>5516</v>
      </c>
      <c r="B3798" s="475" t="s">
        <v>5517</v>
      </c>
      <c r="C3798" s="475" t="s">
        <v>5458</v>
      </c>
      <c r="D3798" s="475" t="s">
        <v>5520</v>
      </c>
      <c r="E3798" s="476" t="s">
        <v>34</v>
      </c>
      <c r="F3798" s="475" t="s">
        <v>34</v>
      </c>
      <c r="G3798" s="364">
        <v>92371</v>
      </c>
      <c r="H3798" s="475" t="s">
        <v>3243</v>
      </c>
      <c r="I3798" s="475" t="s">
        <v>171</v>
      </c>
      <c r="J3798" s="475" t="s">
        <v>337</v>
      </c>
      <c r="K3798" s="365">
        <v>27.78</v>
      </c>
      <c r="L3798" s="475" t="s">
        <v>141</v>
      </c>
      <c r="M3798" s="473"/>
    </row>
    <row r="3799" spans="1:13" ht="13.5">
      <c r="A3799" s="475" t="s">
        <v>5516</v>
      </c>
      <c r="B3799" s="475" t="s">
        <v>5517</v>
      </c>
      <c r="C3799" s="475" t="s">
        <v>5458</v>
      </c>
      <c r="D3799" s="475" t="s">
        <v>5520</v>
      </c>
      <c r="E3799" s="476" t="s">
        <v>34</v>
      </c>
      <c r="F3799" s="475" t="s">
        <v>34</v>
      </c>
      <c r="G3799" s="364">
        <v>92372</v>
      </c>
      <c r="H3799" s="475" t="s">
        <v>3244</v>
      </c>
      <c r="I3799" s="475" t="s">
        <v>171</v>
      </c>
      <c r="J3799" s="475" t="s">
        <v>337</v>
      </c>
      <c r="K3799" s="365">
        <v>28.74</v>
      </c>
      <c r="L3799" s="475" t="s">
        <v>141</v>
      </c>
      <c r="M3799" s="473"/>
    </row>
    <row r="3800" spans="1:13" ht="13.5">
      <c r="A3800" s="475" t="s">
        <v>5516</v>
      </c>
      <c r="B3800" s="475" t="s">
        <v>5517</v>
      </c>
      <c r="C3800" s="475" t="s">
        <v>5458</v>
      </c>
      <c r="D3800" s="475" t="s">
        <v>5520</v>
      </c>
      <c r="E3800" s="476" t="s">
        <v>34</v>
      </c>
      <c r="F3800" s="475" t="s">
        <v>34</v>
      </c>
      <c r="G3800" s="364">
        <v>92373</v>
      </c>
      <c r="H3800" s="475" t="s">
        <v>3245</v>
      </c>
      <c r="I3800" s="475" t="s">
        <v>171</v>
      </c>
      <c r="J3800" s="475" t="s">
        <v>337</v>
      </c>
      <c r="K3800" s="365">
        <v>32.590000000000003</v>
      </c>
      <c r="L3800" s="475" t="s">
        <v>141</v>
      </c>
      <c r="M3800" s="473"/>
    </row>
    <row r="3801" spans="1:13" ht="13.5">
      <c r="A3801" s="475" t="s">
        <v>5516</v>
      </c>
      <c r="B3801" s="475" t="s">
        <v>5517</v>
      </c>
      <c r="C3801" s="475" t="s">
        <v>5458</v>
      </c>
      <c r="D3801" s="475" t="s">
        <v>5520</v>
      </c>
      <c r="E3801" s="476" t="s">
        <v>34</v>
      </c>
      <c r="F3801" s="475" t="s">
        <v>34</v>
      </c>
      <c r="G3801" s="364">
        <v>92374</v>
      </c>
      <c r="H3801" s="475" t="s">
        <v>3246</v>
      </c>
      <c r="I3801" s="475" t="s">
        <v>171</v>
      </c>
      <c r="J3801" s="475" t="s">
        <v>337</v>
      </c>
      <c r="K3801" s="365">
        <v>32.78</v>
      </c>
      <c r="L3801" s="475" t="s">
        <v>141</v>
      </c>
      <c r="M3801" s="473"/>
    </row>
    <row r="3802" spans="1:13" ht="13.5">
      <c r="A3802" s="475" t="s">
        <v>5516</v>
      </c>
      <c r="B3802" s="475" t="s">
        <v>5517</v>
      </c>
      <c r="C3802" s="475" t="s">
        <v>5458</v>
      </c>
      <c r="D3802" s="475" t="s">
        <v>5520</v>
      </c>
      <c r="E3802" s="476" t="s">
        <v>34</v>
      </c>
      <c r="F3802" s="475" t="s">
        <v>34</v>
      </c>
      <c r="G3802" s="364">
        <v>92375</v>
      </c>
      <c r="H3802" s="475" t="s">
        <v>3247</v>
      </c>
      <c r="I3802" s="475" t="s">
        <v>171</v>
      </c>
      <c r="J3802" s="475" t="s">
        <v>337</v>
      </c>
      <c r="K3802" s="365">
        <v>41.78</v>
      </c>
      <c r="L3802" s="475" t="s">
        <v>141</v>
      </c>
      <c r="M3802" s="473"/>
    </row>
    <row r="3803" spans="1:13" ht="13.5">
      <c r="A3803" s="475" t="s">
        <v>5516</v>
      </c>
      <c r="B3803" s="475" t="s">
        <v>5517</v>
      </c>
      <c r="C3803" s="475" t="s">
        <v>5458</v>
      </c>
      <c r="D3803" s="475" t="s">
        <v>5520</v>
      </c>
      <c r="E3803" s="476" t="s">
        <v>34</v>
      </c>
      <c r="F3803" s="475" t="s">
        <v>34</v>
      </c>
      <c r="G3803" s="364">
        <v>92376</v>
      </c>
      <c r="H3803" s="475" t="s">
        <v>3248</v>
      </c>
      <c r="I3803" s="475" t="s">
        <v>171</v>
      </c>
      <c r="J3803" s="475" t="s">
        <v>337</v>
      </c>
      <c r="K3803" s="365">
        <v>41.77</v>
      </c>
      <c r="L3803" s="475" t="s">
        <v>141</v>
      </c>
      <c r="M3803" s="473"/>
    </row>
    <row r="3804" spans="1:13" ht="13.5">
      <c r="A3804" s="475" t="s">
        <v>5516</v>
      </c>
      <c r="B3804" s="475" t="s">
        <v>5517</v>
      </c>
      <c r="C3804" s="475" t="s">
        <v>5458</v>
      </c>
      <c r="D3804" s="475" t="s">
        <v>5520</v>
      </c>
      <c r="E3804" s="476" t="s">
        <v>34</v>
      </c>
      <c r="F3804" s="475" t="s">
        <v>34</v>
      </c>
      <c r="G3804" s="364">
        <v>92377</v>
      </c>
      <c r="H3804" s="475" t="s">
        <v>3249</v>
      </c>
      <c r="I3804" s="475" t="s">
        <v>171</v>
      </c>
      <c r="J3804" s="475" t="s">
        <v>337</v>
      </c>
      <c r="K3804" s="365">
        <v>55.39</v>
      </c>
      <c r="L3804" s="475" t="s">
        <v>141</v>
      </c>
      <c r="M3804" s="473"/>
    </row>
    <row r="3805" spans="1:13" ht="13.5">
      <c r="A3805" s="475" t="s">
        <v>5516</v>
      </c>
      <c r="B3805" s="475" t="s">
        <v>5517</v>
      </c>
      <c r="C3805" s="475" t="s">
        <v>5458</v>
      </c>
      <c r="D3805" s="475" t="s">
        <v>5520</v>
      </c>
      <c r="E3805" s="476" t="s">
        <v>34</v>
      </c>
      <c r="F3805" s="475" t="s">
        <v>34</v>
      </c>
      <c r="G3805" s="364">
        <v>92378</v>
      </c>
      <c r="H3805" s="475" t="s">
        <v>3250</v>
      </c>
      <c r="I3805" s="475" t="s">
        <v>171</v>
      </c>
      <c r="J3805" s="475" t="s">
        <v>337</v>
      </c>
      <c r="K3805" s="365">
        <v>61.12</v>
      </c>
      <c r="L3805" s="475" t="s">
        <v>141</v>
      </c>
      <c r="M3805" s="473"/>
    </row>
    <row r="3806" spans="1:13" ht="13.5">
      <c r="A3806" s="475" t="s">
        <v>5516</v>
      </c>
      <c r="B3806" s="475" t="s">
        <v>5517</v>
      </c>
      <c r="C3806" s="475" t="s">
        <v>5458</v>
      </c>
      <c r="D3806" s="475" t="s">
        <v>5520</v>
      </c>
      <c r="E3806" s="476" t="s">
        <v>34</v>
      </c>
      <c r="F3806" s="475" t="s">
        <v>34</v>
      </c>
      <c r="G3806" s="364">
        <v>92379</v>
      </c>
      <c r="H3806" s="475" t="s">
        <v>3251</v>
      </c>
      <c r="I3806" s="475" t="s">
        <v>171</v>
      </c>
      <c r="J3806" s="475" t="s">
        <v>337</v>
      </c>
      <c r="K3806" s="365">
        <v>77.38</v>
      </c>
      <c r="L3806" s="475" t="s">
        <v>141</v>
      </c>
      <c r="M3806" s="473"/>
    </row>
    <row r="3807" spans="1:13" ht="13.5">
      <c r="A3807" s="475" t="s">
        <v>5516</v>
      </c>
      <c r="B3807" s="475" t="s">
        <v>5517</v>
      </c>
      <c r="C3807" s="475" t="s">
        <v>5458</v>
      </c>
      <c r="D3807" s="475" t="s">
        <v>5520</v>
      </c>
      <c r="E3807" s="476" t="s">
        <v>34</v>
      </c>
      <c r="F3807" s="475" t="s">
        <v>34</v>
      </c>
      <c r="G3807" s="364">
        <v>92380</v>
      </c>
      <c r="H3807" s="475" t="s">
        <v>3252</v>
      </c>
      <c r="I3807" s="475" t="s">
        <v>171</v>
      </c>
      <c r="J3807" s="475" t="s">
        <v>337</v>
      </c>
      <c r="K3807" s="365">
        <v>82.48</v>
      </c>
      <c r="L3807" s="475" t="s">
        <v>141</v>
      </c>
      <c r="M3807" s="473"/>
    </row>
    <row r="3808" spans="1:13" ht="13.5">
      <c r="A3808" s="475" t="s">
        <v>5516</v>
      </c>
      <c r="B3808" s="475" t="s">
        <v>5517</v>
      </c>
      <c r="C3808" s="475" t="s">
        <v>5458</v>
      </c>
      <c r="D3808" s="475" t="s">
        <v>5520</v>
      </c>
      <c r="E3808" s="476" t="s">
        <v>34</v>
      </c>
      <c r="F3808" s="475" t="s">
        <v>34</v>
      </c>
      <c r="G3808" s="364">
        <v>92381</v>
      </c>
      <c r="H3808" s="475" t="s">
        <v>3253</v>
      </c>
      <c r="I3808" s="475" t="s">
        <v>171</v>
      </c>
      <c r="J3808" s="475" t="s">
        <v>337</v>
      </c>
      <c r="K3808" s="365">
        <v>35.06</v>
      </c>
      <c r="L3808" s="475" t="s">
        <v>141</v>
      </c>
      <c r="M3808" s="473"/>
    </row>
    <row r="3809" spans="1:13" ht="13.5">
      <c r="A3809" s="475" t="s">
        <v>5516</v>
      </c>
      <c r="B3809" s="475" t="s">
        <v>5517</v>
      </c>
      <c r="C3809" s="475" t="s">
        <v>5458</v>
      </c>
      <c r="D3809" s="475" t="s">
        <v>5520</v>
      </c>
      <c r="E3809" s="476" t="s">
        <v>34</v>
      </c>
      <c r="F3809" s="475" t="s">
        <v>34</v>
      </c>
      <c r="G3809" s="364">
        <v>92382</v>
      </c>
      <c r="H3809" s="475" t="s">
        <v>3254</v>
      </c>
      <c r="I3809" s="475" t="s">
        <v>171</v>
      </c>
      <c r="J3809" s="475" t="s">
        <v>337</v>
      </c>
      <c r="K3809" s="365">
        <v>33.69</v>
      </c>
      <c r="L3809" s="475" t="s">
        <v>141</v>
      </c>
      <c r="M3809" s="473"/>
    </row>
    <row r="3810" spans="1:13" ht="13.5">
      <c r="A3810" s="475" t="s">
        <v>5516</v>
      </c>
      <c r="B3810" s="475" t="s">
        <v>5517</v>
      </c>
      <c r="C3810" s="475" t="s">
        <v>5458</v>
      </c>
      <c r="D3810" s="475" t="s">
        <v>5520</v>
      </c>
      <c r="E3810" s="476" t="s">
        <v>34</v>
      </c>
      <c r="F3810" s="475" t="s">
        <v>34</v>
      </c>
      <c r="G3810" s="364">
        <v>92383</v>
      </c>
      <c r="H3810" s="475" t="s">
        <v>3255</v>
      </c>
      <c r="I3810" s="475" t="s">
        <v>171</v>
      </c>
      <c r="J3810" s="475" t="s">
        <v>337</v>
      </c>
      <c r="K3810" s="365">
        <v>43.58</v>
      </c>
      <c r="L3810" s="475" t="s">
        <v>141</v>
      </c>
      <c r="M3810" s="473"/>
    </row>
    <row r="3811" spans="1:13" ht="13.5">
      <c r="A3811" s="475" t="s">
        <v>5516</v>
      </c>
      <c r="B3811" s="475" t="s">
        <v>5517</v>
      </c>
      <c r="C3811" s="475" t="s">
        <v>5458</v>
      </c>
      <c r="D3811" s="475" t="s">
        <v>5520</v>
      </c>
      <c r="E3811" s="476" t="s">
        <v>34</v>
      </c>
      <c r="F3811" s="475" t="s">
        <v>34</v>
      </c>
      <c r="G3811" s="364">
        <v>92384</v>
      </c>
      <c r="H3811" s="475" t="s">
        <v>3256</v>
      </c>
      <c r="I3811" s="475" t="s">
        <v>171</v>
      </c>
      <c r="J3811" s="475" t="s">
        <v>337</v>
      </c>
      <c r="K3811" s="365">
        <v>40.86</v>
      </c>
      <c r="L3811" s="475" t="s">
        <v>141</v>
      </c>
      <c r="M3811" s="473"/>
    </row>
    <row r="3812" spans="1:13" ht="13.5">
      <c r="A3812" s="475" t="s">
        <v>5516</v>
      </c>
      <c r="B3812" s="475" t="s">
        <v>5517</v>
      </c>
      <c r="C3812" s="475" t="s">
        <v>5458</v>
      </c>
      <c r="D3812" s="475" t="s">
        <v>5520</v>
      </c>
      <c r="E3812" s="476" t="s">
        <v>34</v>
      </c>
      <c r="F3812" s="475" t="s">
        <v>34</v>
      </c>
      <c r="G3812" s="364">
        <v>92385</v>
      </c>
      <c r="H3812" s="475" t="s">
        <v>3257</v>
      </c>
      <c r="I3812" s="475" t="s">
        <v>171</v>
      </c>
      <c r="J3812" s="475" t="s">
        <v>337</v>
      </c>
      <c r="K3812" s="365">
        <v>49.76</v>
      </c>
      <c r="L3812" s="475" t="s">
        <v>141</v>
      </c>
      <c r="M3812" s="473"/>
    </row>
    <row r="3813" spans="1:13" ht="13.5">
      <c r="A3813" s="475" t="s">
        <v>5516</v>
      </c>
      <c r="B3813" s="475" t="s">
        <v>5517</v>
      </c>
      <c r="C3813" s="475" t="s">
        <v>5458</v>
      </c>
      <c r="D3813" s="475" t="s">
        <v>5520</v>
      </c>
      <c r="E3813" s="476" t="s">
        <v>34</v>
      </c>
      <c r="F3813" s="475" t="s">
        <v>34</v>
      </c>
      <c r="G3813" s="364">
        <v>92386</v>
      </c>
      <c r="H3813" s="475" t="s">
        <v>3258</v>
      </c>
      <c r="I3813" s="475" t="s">
        <v>171</v>
      </c>
      <c r="J3813" s="475" t="s">
        <v>337</v>
      </c>
      <c r="K3813" s="365">
        <v>47.88</v>
      </c>
      <c r="L3813" s="475" t="s">
        <v>141</v>
      </c>
      <c r="M3813" s="473"/>
    </row>
    <row r="3814" spans="1:13" ht="13.5">
      <c r="A3814" s="475" t="s">
        <v>5516</v>
      </c>
      <c r="B3814" s="475" t="s">
        <v>5517</v>
      </c>
      <c r="C3814" s="475" t="s">
        <v>5458</v>
      </c>
      <c r="D3814" s="475" t="s">
        <v>5520</v>
      </c>
      <c r="E3814" s="476" t="s">
        <v>34</v>
      </c>
      <c r="F3814" s="475" t="s">
        <v>34</v>
      </c>
      <c r="G3814" s="364">
        <v>92387</v>
      </c>
      <c r="H3814" s="475" t="s">
        <v>3259</v>
      </c>
      <c r="I3814" s="475" t="s">
        <v>171</v>
      </c>
      <c r="J3814" s="475" t="s">
        <v>337</v>
      </c>
      <c r="K3814" s="365">
        <v>62.1</v>
      </c>
      <c r="L3814" s="475" t="s">
        <v>141</v>
      </c>
      <c r="M3814" s="473"/>
    </row>
    <row r="3815" spans="1:13" ht="13.5">
      <c r="A3815" s="475" t="s">
        <v>5516</v>
      </c>
      <c r="B3815" s="475" t="s">
        <v>5517</v>
      </c>
      <c r="C3815" s="475" t="s">
        <v>5458</v>
      </c>
      <c r="D3815" s="475" t="s">
        <v>5520</v>
      </c>
      <c r="E3815" s="476" t="s">
        <v>34</v>
      </c>
      <c r="F3815" s="475" t="s">
        <v>34</v>
      </c>
      <c r="G3815" s="364">
        <v>92388</v>
      </c>
      <c r="H3815" s="475" t="s">
        <v>3260</v>
      </c>
      <c r="I3815" s="475" t="s">
        <v>171</v>
      </c>
      <c r="J3815" s="475" t="s">
        <v>337</v>
      </c>
      <c r="K3815" s="365">
        <v>60.82</v>
      </c>
      <c r="L3815" s="475" t="s">
        <v>141</v>
      </c>
      <c r="M3815" s="473"/>
    </row>
    <row r="3816" spans="1:13" ht="13.5">
      <c r="A3816" s="475" t="s">
        <v>5516</v>
      </c>
      <c r="B3816" s="475" t="s">
        <v>5517</v>
      </c>
      <c r="C3816" s="475" t="s">
        <v>5458</v>
      </c>
      <c r="D3816" s="475" t="s">
        <v>5520</v>
      </c>
      <c r="E3816" s="476" t="s">
        <v>34</v>
      </c>
      <c r="F3816" s="475" t="s">
        <v>34</v>
      </c>
      <c r="G3816" s="364">
        <v>92389</v>
      </c>
      <c r="H3816" s="475" t="s">
        <v>3261</v>
      </c>
      <c r="I3816" s="475" t="s">
        <v>171</v>
      </c>
      <c r="J3816" s="475" t="s">
        <v>337</v>
      </c>
      <c r="K3816" s="365">
        <v>94.05</v>
      </c>
      <c r="L3816" s="475" t="s">
        <v>141</v>
      </c>
      <c r="M3816" s="473"/>
    </row>
    <row r="3817" spans="1:13" ht="13.5">
      <c r="A3817" s="475" t="s">
        <v>5516</v>
      </c>
      <c r="B3817" s="475" t="s">
        <v>5517</v>
      </c>
      <c r="C3817" s="475" t="s">
        <v>5458</v>
      </c>
      <c r="D3817" s="475" t="s">
        <v>5520</v>
      </c>
      <c r="E3817" s="476" t="s">
        <v>34</v>
      </c>
      <c r="F3817" s="475" t="s">
        <v>34</v>
      </c>
      <c r="G3817" s="364">
        <v>92390</v>
      </c>
      <c r="H3817" s="475" t="s">
        <v>3262</v>
      </c>
      <c r="I3817" s="475" t="s">
        <v>171</v>
      </c>
      <c r="J3817" s="475" t="s">
        <v>337</v>
      </c>
      <c r="K3817" s="365">
        <v>88.44</v>
      </c>
      <c r="L3817" s="475" t="s">
        <v>141</v>
      </c>
      <c r="M3817" s="473"/>
    </row>
    <row r="3818" spans="1:13" ht="13.5">
      <c r="A3818" s="475" t="s">
        <v>5516</v>
      </c>
      <c r="B3818" s="475" t="s">
        <v>5517</v>
      </c>
      <c r="C3818" s="475" t="s">
        <v>5458</v>
      </c>
      <c r="D3818" s="475" t="s">
        <v>5520</v>
      </c>
      <c r="E3818" s="476" t="s">
        <v>34</v>
      </c>
      <c r="F3818" s="475" t="s">
        <v>34</v>
      </c>
      <c r="G3818" s="364">
        <v>92635</v>
      </c>
      <c r="H3818" s="475" t="s">
        <v>3263</v>
      </c>
      <c r="I3818" s="475" t="s">
        <v>171</v>
      </c>
      <c r="J3818" s="475" t="s">
        <v>337</v>
      </c>
      <c r="K3818" s="365">
        <v>124.77</v>
      </c>
      <c r="L3818" s="475" t="s">
        <v>141</v>
      </c>
      <c r="M3818" s="473"/>
    </row>
    <row r="3819" spans="1:13" ht="13.5">
      <c r="A3819" s="475" t="s">
        <v>5516</v>
      </c>
      <c r="B3819" s="475" t="s">
        <v>5517</v>
      </c>
      <c r="C3819" s="475" t="s">
        <v>5458</v>
      </c>
      <c r="D3819" s="475" t="s">
        <v>5520</v>
      </c>
      <c r="E3819" s="476" t="s">
        <v>34</v>
      </c>
      <c r="F3819" s="475" t="s">
        <v>34</v>
      </c>
      <c r="G3819" s="364">
        <v>92636</v>
      </c>
      <c r="H3819" s="475" t="s">
        <v>3264</v>
      </c>
      <c r="I3819" s="475" t="s">
        <v>171</v>
      </c>
      <c r="J3819" s="475" t="s">
        <v>337</v>
      </c>
      <c r="K3819" s="365">
        <v>113.96</v>
      </c>
      <c r="L3819" s="475" t="s">
        <v>141</v>
      </c>
      <c r="M3819" s="473"/>
    </row>
    <row r="3820" spans="1:13" ht="13.5">
      <c r="A3820" s="475" t="s">
        <v>5516</v>
      </c>
      <c r="B3820" s="475" t="s">
        <v>5517</v>
      </c>
      <c r="C3820" s="475" t="s">
        <v>5458</v>
      </c>
      <c r="D3820" s="475" t="s">
        <v>5520</v>
      </c>
      <c r="E3820" s="476" t="s">
        <v>34</v>
      </c>
      <c r="F3820" s="475" t="s">
        <v>34</v>
      </c>
      <c r="G3820" s="364">
        <v>92637</v>
      </c>
      <c r="H3820" s="475" t="s">
        <v>3265</v>
      </c>
      <c r="I3820" s="475" t="s">
        <v>171</v>
      </c>
      <c r="J3820" s="475" t="s">
        <v>337</v>
      </c>
      <c r="K3820" s="365">
        <v>45.46</v>
      </c>
      <c r="L3820" s="475" t="s">
        <v>141</v>
      </c>
      <c r="M3820" s="473"/>
    </row>
    <row r="3821" spans="1:13" ht="13.5">
      <c r="A3821" s="475" t="s">
        <v>5516</v>
      </c>
      <c r="B3821" s="475" t="s">
        <v>5517</v>
      </c>
      <c r="C3821" s="475" t="s">
        <v>5458</v>
      </c>
      <c r="D3821" s="475" t="s">
        <v>5520</v>
      </c>
      <c r="E3821" s="476" t="s">
        <v>34</v>
      </c>
      <c r="F3821" s="475" t="s">
        <v>34</v>
      </c>
      <c r="G3821" s="364">
        <v>92638</v>
      </c>
      <c r="H3821" s="475" t="s">
        <v>3266</v>
      </c>
      <c r="I3821" s="475" t="s">
        <v>171</v>
      </c>
      <c r="J3821" s="475" t="s">
        <v>337</v>
      </c>
      <c r="K3821" s="365">
        <v>54.85</v>
      </c>
      <c r="L3821" s="475" t="s">
        <v>141</v>
      </c>
      <c r="M3821" s="473"/>
    </row>
    <row r="3822" spans="1:13" ht="13.5">
      <c r="A3822" s="475" t="s">
        <v>5516</v>
      </c>
      <c r="B3822" s="475" t="s">
        <v>5517</v>
      </c>
      <c r="C3822" s="475" t="s">
        <v>5458</v>
      </c>
      <c r="D3822" s="475" t="s">
        <v>5520</v>
      </c>
      <c r="E3822" s="476" t="s">
        <v>34</v>
      </c>
      <c r="F3822" s="475" t="s">
        <v>34</v>
      </c>
      <c r="G3822" s="364">
        <v>92639</v>
      </c>
      <c r="H3822" s="475" t="s">
        <v>3267</v>
      </c>
      <c r="I3822" s="475" t="s">
        <v>171</v>
      </c>
      <c r="J3822" s="475" t="s">
        <v>337</v>
      </c>
      <c r="K3822" s="365">
        <v>63.15</v>
      </c>
      <c r="L3822" s="475" t="s">
        <v>141</v>
      </c>
      <c r="M3822" s="473"/>
    </row>
    <row r="3823" spans="1:13" ht="13.5">
      <c r="A3823" s="475" t="s">
        <v>5516</v>
      </c>
      <c r="B3823" s="475" t="s">
        <v>5517</v>
      </c>
      <c r="C3823" s="475" t="s">
        <v>5458</v>
      </c>
      <c r="D3823" s="475" t="s">
        <v>5520</v>
      </c>
      <c r="E3823" s="476" t="s">
        <v>34</v>
      </c>
      <c r="F3823" s="475" t="s">
        <v>34</v>
      </c>
      <c r="G3823" s="364">
        <v>92640</v>
      </c>
      <c r="H3823" s="475" t="s">
        <v>3268</v>
      </c>
      <c r="I3823" s="475" t="s">
        <v>171</v>
      </c>
      <c r="J3823" s="475" t="s">
        <v>337</v>
      </c>
      <c r="K3823" s="365">
        <v>81.09</v>
      </c>
      <c r="L3823" s="475" t="s">
        <v>141</v>
      </c>
      <c r="M3823" s="473"/>
    </row>
    <row r="3824" spans="1:13" ht="13.5">
      <c r="A3824" s="475" t="s">
        <v>5516</v>
      </c>
      <c r="B3824" s="475" t="s">
        <v>5517</v>
      </c>
      <c r="C3824" s="475" t="s">
        <v>5458</v>
      </c>
      <c r="D3824" s="475" t="s">
        <v>5520</v>
      </c>
      <c r="E3824" s="476" t="s">
        <v>34</v>
      </c>
      <c r="F3824" s="475" t="s">
        <v>34</v>
      </c>
      <c r="G3824" s="364">
        <v>92642</v>
      </c>
      <c r="H3824" s="475" t="s">
        <v>3269</v>
      </c>
      <c r="I3824" s="475" t="s">
        <v>171</v>
      </c>
      <c r="J3824" s="475" t="s">
        <v>337</v>
      </c>
      <c r="K3824" s="365">
        <v>120.71</v>
      </c>
      <c r="L3824" s="475" t="s">
        <v>141</v>
      </c>
      <c r="M3824" s="473"/>
    </row>
    <row r="3825" spans="1:13" ht="13.5">
      <c r="A3825" s="475" t="s">
        <v>5516</v>
      </c>
      <c r="B3825" s="475" t="s">
        <v>5517</v>
      </c>
      <c r="C3825" s="475" t="s">
        <v>5458</v>
      </c>
      <c r="D3825" s="475" t="s">
        <v>5520</v>
      </c>
      <c r="E3825" s="476" t="s">
        <v>34</v>
      </c>
      <c r="F3825" s="475" t="s">
        <v>34</v>
      </c>
      <c r="G3825" s="364">
        <v>92644</v>
      </c>
      <c r="H3825" s="475" t="s">
        <v>3270</v>
      </c>
      <c r="I3825" s="475" t="s">
        <v>171</v>
      </c>
      <c r="J3825" s="475" t="s">
        <v>337</v>
      </c>
      <c r="K3825" s="365">
        <v>150.94999999999999</v>
      </c>
      <c r="L3825" s="475" t="s">
        <v>141</v>
      </c>
      <c r="M3825" s="473"/>
    </row>
    <row r="3826" spans="1:13" ht="13.5">
      <c r="A3826" s="475" t="s">
        <v>5516</v>
      </c>
      <c r="B3826" s="475" t="s">
        <v>5517</v>
      </c>
      <c r="C3826" s="475" t="s">
        <v>5458</v>
      </c>
      <c r="D3826" s="475" t="s">
        <v>5520</v>
      </c>
      <c r="E3826" s="476" t="s">
        <v>34</v>
      </c>
      <c r="F3826" s="475" t="s">
        <v>34</v>
      </c>
      <c r="G3826" s="364">
        <v>92657</v>
      </c>
      <c r="H3826" s="475" t="s">
        <v>3271</v>
      </c>
      <c r="I3826" s="475" t="s">
        <v>171</v>
      </c>
      <c r="J3826" s="475" t="s">
        <v>337</v>
      </c>
      <c r="K3826" s="365">
        <v>16.809999999999999</v>
      </c>
      <c r="L3826" s="475" t="s">
        <v>141</v>
      </c>
      <c r="M3826" s="473"/>
    </row>
    <row r="3827" spans="1:13" ht="13.5">
      <c r="A3827" s="475" t="s">
        <v>5516</v>
      </c>
      <c r="B3827" s="475" t="s">
        <v>5517</v>
      </c>
      <c r="C3827" s="475" t="s">
        <v>5458</v>
      </c>
      <c r="D3827" s="475" t="s">
        <v>5520</v>
      </c>
      <c r="E3827" s="476" t="s">
        <v>34</v>
      </c>
      <c r="F3827" s="475" t="s">
        <v>34</v>
      </c>
      <c r="G3827" s="364">
        <v>92658</v>
      </c>
      <c r="H3827" s="475" t="s">
        <v>3272</v>
      </c>
      <c r="I3827" s="475" t="s">
        <v>171</v>
      </c>
      <c r="J3827" s="475" t="s">
        <v>337</v>
      </c>
      <c r="K3827" s="365">
        <v>17.84</v>
      </c>
      <c r="L3827" s="475" t="s">
        <v>141</v>
      </c>
      <c r="M3827" s="473"/>
    </row>
    <row r="3828" spans="1:13" ht="13.5">
      <c r="A3828" s="475" t="s">
        <v>5516</v>
      </c>
      <c r="B3828" s="475" t="s">
        <v>5517</v>
      </c>
      <c r="C3828" s="475" t="s">
        <v>5458</v>
      </c>
      <c r="D3828" s="475" t="s">
        <v>5520</v>
      </c>
      <c r="E3828" s="476" t="s">
        <v>34</v>
      </c>
      <c r="F3828" s="475" t="s">
        <v>34</v>
      </c>
      <c r="G3828" s="364">
        <v>92659</v>
      </c>
      <c r="H3828" s="475" t="s">
        <v>3273</v>
      </c>
      <c r="I3828" s="475" t="s">
        <v>171</v>
      </c>
      <c r="J3828" s="475" t="s">
        <v>337</v>
      </c>
      <c r="K3828" s="365">
        <v>20.53</v>
      </c>
      <c r="L3828" s="475" t="s">
        <v>141</v>
      </c>
      <c r="M3828" s="473"/>
    </row>
    <row r="3829" spans="1:13" ht="13.5">
      <c r="A3829" s="475" t="s">
        <v>5516</v>
      </c>
      <c r="B3829" s="475" t="s">
        <v>5517</v>
      </c>
      <c r="C3829" s="475" t="s">
        <v>5458</v>
      </c>
      <c r="D3829" s="475" t="s">
        <v>5520</v>
      </c>
      <c r="E3829" s="476" t="s">
        <v>34</v>
      </c>
      <c r="F3829" s="475" t="s">
        <v>34</v>
      </c>
      <c r="G3829" s="364">
        <v>92660</v>
      </c>
      <c r="H3829" s="475" t="s">
        <v>3274</v>
      </c>
      <c r="I3829" s="475" t="s">
        <v>171</v>
      </c>
      <c r="J3829" s="475" t="s">
        <v>337</v>
      </c>
      <c r="K3829" s="365">
        <v>21.49</v>
      </c>
      <c r="L3829" s="475" t="s">
        <v>141</v>
      </c>
      <c r="M3829" s="473"/>
    </row>
    <row r="3830" spans="1:13" ht="13.5">
      <c r="A3830" s="475" t="s">
        <v>5516</v>
      </c>
      <c r="B3830" s="475" t="s">
        <v>5517</v>
      </c>
      <c r="C3830" s="475" t="s">
        <v>5458</v>
      </c>
      <c r="D3830" s="475" t="s">
        <v>5520</v>
      </c>
      <c r="E3830" s="476" t="s">
        <v>34</v>
      </c>
      <c r="F3830" s="475" t="s">
        <v>34</v>
      </c>
      <c r="G3830" s="364">
        <v>92661</v>
      </c>
      <c r="H3830" s="475" t="s">
        <v>3275</v>
      </c>
      <c r="I3830" s="475" t="s">
        <v>171</v>
      </c>
      <c r="J3830" s="475" t="s">
        <v>337</v>
      </c>
      <c r="K3830" s="365">
        <v>24.33</v>
      </c>
      <c r="L3830" s="475" t="s">
        <v>141</v>
      </c>
      <c r="M3830" s="473"/>
    </row>
    <row r="3831" spans="1:13" ht="13.5">
      <c r="A3831" s="475" t="s">
        <v>5516</v>
      </c>
      <c r="B3831" s="475" t="s">
        <v>5517</v>
      </c>
      <c r="C3831" s="475" t="s">
        <v>5458</v>
      </c>
      <c r="D3831" s="475" t="s">
        <v>5520</v>
      </c>
      <c r="E3831" s="476" t="s">
        <v>34</v>
      </c>
      <c r="F3831" s="475" t="s">
        <v>34</v>
      </c>
      <c r="G3831" s="364">
        <v>92662</v>
      </c>
      <c r="H3831" s="475" t="s">
        <v>3276</v>
      </c>
      <c r="I3831" s="475" t="s">
        <v>171</v>
      </c>
      <c r="J3831" s="475" t="s">
        <v>337</v>
      </c>
      <c r="K3831" s="365">
        <v>24.52</v>
      </c>
      <c r="L3831" s="475" t="s">
        <v>141</v>
      </c>
      <c r="M3831" s="473"/>
    </row>
    <row r="3832" spans="1:13" ht="13.5">
      <c r="A3832" s="475" t="s">
        <v>5516</v>
      </c>
      <c r="B3832" s="475" t="s">
        <v>5517</v>
      </c>
      <c r="C3832" s="475" t="s">
        <v>5458</v>
      </c>
      <c r="D3832" s="475" t="s">
        <v>5520</v>
      </c>
      <c r="E3832" s="476" t="s">
        <v>34</v>
      </c>
      <c r="F3832" s="475" t="s">
        <v>34</v>
      </c>
      <c r="G3832" s="364">
        <v>92663</v>
      </c>
      <c r="H3832" s="475" t="s">
        <v>3277</v>
      </c>
      <c r="I3832" s="475" t="s">
        <v>171</v>
      </c>
      <c r="J3832" s="475" t="s">
        <v>337</v>
      </c>
      <c r="K3832" s="365">
        <v>32.270000000000003</v>
      </c>
      <c r="L3832" s="475" t="s">
        <v>141</v>
      </c>
      <c r="M3832" s="473"/>
    </row>
    <row r="3833" spans="1:13" ht="13.5">
      <c r="A3833" s="475" t="s">
        <v>5516</v>
      </c>
      <c r="B3833" s="475" t="s">
        <v>5517</v>
      </c>
      <c r="C3833" s="475" t="s">
        <v>5458</v>
      </c>
      <c r="D3833" s="475" t="s">
        <v>5520</v>
      </c>
      <c r="E3833" s="476" t="s">
        <v>34</v>
      </c>
      <c r="F3833" s="475" t="s">
        <v>34</v>
      </c>
      <c r="G3833" s="364">
        <v>92664</v>
      </c>
      <c r="H3833" s="475" t="s">
        <v>3278</v>
      </c>
      <c r="I3833" s="475" t="s">
        <v>171</v>
      </c>
      <c r="J3833" s="475" t="s">
        <v>337</v>
      </c>
      <c r="K3833" s="365">
        <v>32.26</v>
      </c>
      <c r="L3833" s="475" t="s">
        <v>141</v>
      </c>
      <c r="M3833" s="473"/>
    </row>
    <row r="3834" spans="1:13" ht="13.5">
      <c r="A3834" s="475" t="s">
        <v>5516</v>
      </c>
      <c r="B3834" s="475" t="s">
        <v>5517</v>
      </c>
      <c r="C3834" s="475" t="s">
        <v>5458</v>
      </c>
      <c r="D3834" s="475" t="s">
        <v>5520</v>
      </c>
      <c r="E3834" s="476" t="s">
        <v>34</v>
      </c>
      <c r="F3834" s="475" t="s">
        <v>34</v>
      </c>
      <c r="G3834" s="364">
        <v>92665</v>
      </c>
      <c r="H3834" s="475" t="s">
        <v>3279</v>
      </c>
      <c r="I3834" s="475" t="s">
        <v>171</v>
      </c>
      <c r="J3834" s="475" t="s">
        <v>337</v>
      </c>
      <c r="K3834" s="365">
        <v>44</v>
      </c>
      <c r="L3834" s="475" t="s">
        <v>141</v>
      </c>
      <c r="M3834" s="473"/>
    </row>
    <row r="3835" spans="1:13" ht="13.5">
      <c r="A3835" s="475" t="s">
        <v>5516</v>
      </c>
      <c r="B3835" s="475" t="s">
        <v>5517</v>
      </c>
      <c r="C3835" s="475" t="s">
        <v>5458</v>
      </c>
      <c r="D3835" s="475" t="s">
        <v>5520</v>
      </c>
      <c r="E3835" s="476" t="s">
        <v>34</v>
      </c>
      <c r="F3835" s="475" t="s">
        <v>34</v>
      </c>
      <c r="G3835" s="364">
        <v>92666</v>
      </c>
      <c r="H3835" s="475" t="s">
        <v>3280</v>
      </c>
      <c r="I3835" s="475" t="s">
        <v>171</v>
      </c>
      <c r="J3835" s="475" t="s">
        <v>337</v>
      </c>
      <c r="K3835" s="365">
        <v>49.73</v>
      </c>
      <c r="L3835" s="475" t="s">
        <v>141</v>
      </c>
      <c r="M3835" s="473"/>
    </row>
    <row r="3836" spans="1:13" ht="13.5">
      <c r="A3836" s="475" t="s">
        <v>5516</v>
      </c>
      <c r="B3836" s="475" t="s">
        <v>5517</v>
      </c>
      <c r="C3836" s="475" t="s">
        <v>5458</v>
      </c>
      <c r="D3836" s="475" t="s">
        <v>5520</v>
      </c>
      <c r="E3836" s="476" t="s">
        <v>34</v>
      </c>
      <c r="F3836" s="475" t="s">
        <v>34</v>
      </c>
      <c r="G3836" s="364">
        <v>92667</v>
      </c>
      <c r="H3836" s="475" t="s">
        <v>3281</v>
      </c>
      <c r="I3836" s="475" t="s">
        <v>171</v>
      </c>
      <c r="J3836" s="475" t="s">
        <v>337</v>
      </c>
      <c r="K3836" s="365">
        <v>64.13</v>
      </c>
      <c r="L3836" s="475" t="s">
        <v>141</v>
      </c>
      <c r="M3836" s="473"/>
    </row>
    <row r="3837" spans="1:13" ht="13.5">
      <c r="A3837" s="475" t="s">
        <v>5516</v>
      </c>
      <c r="B3837" s="475" t="s">
        <v>5517</v>
      </c>
      <c r="C3837" s="475" t="s">
        <v>5458</v>
      </c>
      <c r="D3837" s="475" t="s">
        <v>5520</v>
      </c>
      <c r="E3837" s="476" t="s">
        <v>34</v>
      </c>
      <c r="F3837" s="475" t="s">
        <v>34</v>
      </c>
      <c r="G3837" s="364">
        <v>92668</v>
      </c>
      <c r="H3837" s="475" t="s">
        <v>3282</v>
      </c>
      <c r="I3837" s="475" t="s">
        <v>171</v>
      </c>
      <c r="J3837" s="475" t="s">
        <v>337</v>
      </c>
      <c r="K3837" s="365">
        <v>69.23</v>
      </c>
      <c r="L3837" s="475" t="s">
        <v>141</v>
      </c>
      <c r="M3837" s="473"/>
    </row>
    <row r="3838" spans="1:13" ht="13.5">
      <c r="A3838" s="475" t="s">
        <v>5516</v>
      </c>
      <c r="B3838" s="475" t="s">
        <v>5517</v>
      </c>
      <c r="C3838" s="475" t="s">
        <v>5458</v>
      </c>
      <c r="D3838" s="475" t="s">
        <v>5520</v>
      </c>
      <c r="E3838" s="476" t="s">
        <v>34</v>
      </c>
      <c r="F3838" s="475" t="s">
        <v>34</v>
      </c>
      <c r="G3838" s="364">
        <v>92669</v>
      </c>
      <c r="H3838" s="475" t="s">
        <v>3283</v>
      </c>
      <c r="I3838" s="475" t="s">
        <v>171</v>
      </c>
      <c r="J3838" s="475" t="s">
        <v>337</v>
      </c>
      <c r="K3838" s="365">
        <v>25.48</v>
      </c>
      <c r="L3838" s="475" t="s">
        <v>141</v>
      </c>
      <c r="M3838" s="473"/>
    </row>
    <row r="3839" spans="1:13" ht="13.5">
      <c r="A3839" s="475" t="s">
        <v>5516</v>
      </c>
      <c r="B3839" s="475" t="s">
        <v>5517</v>
      </c>
      <c r="C3839" s="475" t="s">
        <v>5458</v>
      </c>
      <c r="D3839" s="475" t="s">
        <v>5520</v>
      </c>
      <c r="E3839" s="476" t="s">
        <v>34</v>
      </c>
      <c r="F3839" s="475" t="s">
        <v>34</v>
      </c>
      <c r="G3839" s="364">
        <v>92670</v>
      </c>
      <c r="H3839" s="475" t="s">
        <v>3284</v>
      </c>
      <c r="I3839" s="475" t="s">
        <v>171</v>
      </c>
      <c r="J3839" s="475" t="s">
        <v>337</v>
      </c>
      <c r="K3839" s="365">
        <v>24.11</v>
      </c>
      <c r="L3839" s="475" t="s">
        <v>141</v>
      </c>
      <c r="M3839" s="473"/>
    </row>
    <row r="3840" spans="1:13" ht="13.5">
      <c r="A3840" s="475" t="s">
        <v>5516</v>
      </c>
      <c r="B3840" s="475" t="s">
        <v>5517</v>
      </c>
      <c r="C3840" s="475" t="s">
        <v>5458</v>
      </c>
      <c r="D3840" s="475" t="s">
        <v>5520</v>
      </c>
      <c r="E3840" s="476" t="s">
        <v>34</v>
      </c>
      <c r="F3840" s="475" t="s">
        <v>34</v>
      </c>
      <c r="G3840" s="364">
        <v>92671</v>
      </c>
      <c r="H3840" s="475" t="s">
        <v>3285</v>
      </c>
      <c r="I3840" s="475" t="s">
        <v>171</v>
      </c>
      <c r="J3840" s="475" t="s">
        <v>337</v>
      </c>
      <c r="K3840" s="365">
        <v>32.729999999999997</v>
      </c>
      <c r="L3840" s="475" t="s">
        <v>141</v>
      </c>
      <c r="M3840" s="473"/>
    </row>
    <row r="3841" spans="1:13" ht="13.5">
      <c r="A3841" s="475" t="s">
        <v>5516</v>
      </c>
      <c r="B3841" s="475" t="s">
        <v>5517</v>
      </c>
      <c r="C3841" s="475" t="s">
        <v>5458</v>
      </c>
      <c r="D3841" s="475" t="s">
        <v>5520</v>
      </c>
      <c r="E3841" s="476" t="s">
        <v>34</v>
      </c>
      <c r="F3841" s="475" t="s">
        <v>34</v>
      </c>
      <c r="G3841" s="364">
        <v>92672</v>
      </c>
      <c r="H3841" s="475" t="s">
        <v>3286</v>
      </c>
      <c r="I3841" s="475" t="s">
        <v>171</v>
      </c>
      <c r="J3841" s="475" t="s">
        <v>337</v>
      </c>
      <c r="K3841" s="365">
        <v>30.01</v>
      </c>
      <c r="L3841" s="475" t="s">
        <v>141</v>
      </c>
      <c r="M3841" s="473"/>
    </row>
    <row r="3842" spans="1:13" ht="13.5">
      <c r="A3842" s="475" t="s">
        <v>5516</v>
      </c>
      <c r="B3842" s="475" t="s">
        <v>5517</v>
      </c>
      <c r="C3842" s="475" t="s">
        <v>5458</v>
      </c>
      <c r="D3842" s="475" t="s">
        <v>5520</v>
      </c>
      <c r="E3842" s="476" t="s">
        <v>34</v>
      </c>
      <c r="F3842" s="475" t="s">
        <v>34</v>
      </c>
      <c r="G3842" s="364">
        <v>92673</v>
      </c>
      <c r="H3842" s="475" t="s">
        <v>3287</v>
      </c>
      <c r="I3842" s="475" t="s">
        <v>171</v>
      </c>
      <c r="J3842" s="475" t="s">
        <v>337</v>
      </c>
      <c r="K3842" s="365">
        <v>37.39</v>
      </c>
      <c r="L3842" s="475" t="s">
        <v>141</v>
      </c>
      <c r="M3842" s="473"/>
    </row>
    <row r="3843" spans="1:13" ht="13.5">
      <c r="A3843" s="475" t="s">
        <v>5516</v>
      </c>
      <c r="B3843" s="475" t="s">
        <v>5517</v>
      </c>
      <c r="C3843" s="475" t="s">
        <v>5458</v>
      </c>
      <c r="D3843" s="475" t="s">
        <v>5520</v>
      </c>
      <c r="E3843" s="476" t="s">
        <v>34</v>
      </c>
      <c r="F3843" s="475" t="s">
        <v>34</v>
      </c>
      <c r="G3843" s="364">
        <v>92674</v>
      </c>
      <c r="H3843" s="475" t="s">
        <v>3288</v>
      </c>
      <c r="I3843" s="475" t="s">
        <v>171</v>
      </c>
      <c r="J3843" s="475" t="s">
        <v>337</v>
      </c>
      <c r="K3843" s="365">
        <v>35.51</v>
      </c>
      <c r="L3843" s="475" t="s">
        <v>141</v>
      </c>
      <c r="M3843" s="473"/>
    </row>
    <row r="3844" spans="1:13" ht="13.5">
      <c r="A3844" s="475" t="s">
        <v>5516</v>
      </c>
      <c r="B3844" s="475" t="s">
        <v>5517</v>
      </c>
      <c r="C3844" s="475" t="s">
        <v>5458</v>
      </c>
      <c r="D3844" s="475" t="s">
        <v>5520</v>
      </c>
      <c r="E3844" s="476" t="s">
        <v>34</v>
      </c>
      <c r="F3844" s="475" t="s">
        <v>34</v>
      </c>
      <c r="G3844" s="364">
        <v>92675</v>
      </c>
      <c r="H3844" s="475" t="s">
        <v>3289</v>
      </c>
      <c r="I3844" s="475" t="s">
        <v>171</v>
      </c>
      <c r="J3844" s="475" t="s">
        <v>337</v>
      </c>
      <c r="K3844" s="365">
        <v>47.88</v>
      </c>
      <c r="L3844" s="475" t="s">
        <v>141</v>
      </c>
      <c r="M3844" s="473"/>
    </row>
    <row r="3845" spans="1:13" ht="13.5">
      <c r="A3845" s="475" t="s">
        <v>5516</v>
      </c>
      <c r="B3845" s="475" t="s">
        <v>5517</v>
      </c>
      <c r="C3845" s="475" t="s">
        <v>5458</v>
      </c>
      <c r="D3845" s="475" t="s">
        <v>5520</v>
      </c>
      <c r="E3845" s="476" t="s">
        <v>34</v>
      </c>
      <c r="F3845" s="475" t="s">
        <v>34</v>
      </c>
      <c r="G3845" s="364">
        <v>92676</v>
      </c>
      <c r="H3845" s="475" t="s">
        <v>3290</v>
      </c>
      <c r="I3845" s="475" t="s">
        <v>171</v>
      </c>
      <c r="J3845" s="475" t="s">
        <v>337</v>
      </c>
      <c r="K3845" s="365">
        <v>46.6</v>
      </c>
      <c r="L3845" s="475" t="s">
        <v>141</v>
      </c>
      <c r="M3845" s="473"/>
    </row>
    <row r="3846" spans="1:13" ht="13.5">
      <c r="A3846" s="475" t="s">
        <v>5516</v>
      </c>
      <c r="B3846" s="475" t="s">
        <v>5517</v>
      </c>
      <c r="C3846" s="475" t="s">
        <v>5458</v>
      </c>
      <c r="D3846" s="475" t="s">
        <v>5520</v>
      </c>
      <c r="E3846" s="476" t="s">
        <v>34</v>
      </c>
      <c r="F3846" s="475" t="s">
        <v>34</v>
      </c>
      <c r="G3846" s="364">
        <v>92677</v>
      </c>
      <c r="H3846" s="475" t="s">
        <v>3291</v>
      </c>
      <c r="I3846" s="475" t="s">
        <v>171</v>
      </c>
      <c r="J3846" s="475" t="s">
        <v>337</v>
      </c>
      <c r="K3846" s="365">
        <v>76.989999999999995</v>
      </c>
      <c r="L3846" s="475" t="s">
        <v>141</v>
      </c>
      <c r="M3846" s="473"/>
    </row>
    <row r="3847" spans="1:13" ht="13.5">
      <c r="A3847" s="475" t="s">
        <v>5516</v>
      </c>
      <c r="B3847" s="475" t="s">
        <v>5517</v>
      </c>
      <c r="C3847" s="475" t="s">
        <v>5458</v>
      </c>
      <c r="D3847" s="475" t="s">
        <v>5520</v>
      </c>
      <c r="E3847" s="476" t="s">
        <v>34</v>
      </c>
      <c r="F3847" s="475" t="s">
        <v>34</v>
      </c>
      <c r="G3847" s="364">
        <v>92678</v>
      </c>
      <c r="H3847" s="475" t="s">
        <v>3292</v>
      </c>
      <c r="I3847" s="475" t="s">
        <v>171</v>
      </c>
      <c r="J3847" s="475" t="s">
        <v>337</v>
      </c>
      <c r="K3847" s="365">
        <v>71.38</v>
      </c>
      <c r="L3847" s="475" t="s">
        <v>141</v>
      </c>
      <c r="M3847" s="473"/>
    </row>
    <row r="3848" spans="1:13" ht="13.5">
      <c r="A3848" s="475" t="s">
        <v>5516</v>
      </c>
      <c r="B3848" s="475" t="s">
        <v>5517</v>
      </c>
      <c r="C3848" s="475" t="s">
        <v>5458</v>
      </c>
      <c r="D3848" s="475" t="s">
        <v>5520</v>
      </c>
      <c r="E3848" s="476" t="s">
        <v>34</v>
      </c>
      <c r="F3848" s="475" t="s">
        <v>34</v>
      </c>
      <c r="G3848" s="364">
        <v>92679</v>
      </c>
      <c r="H3848" s="475" t="s">
        <v>3293</v>
      </c>
      <c r="I3848" s="475" t="s">
        <v>171</v>
      </c>
      <c r="J3848" s="475" t="s">
        <v>337</v>
      </c>
      <c r="K3848" s="365">
        <v>104.91</v>
      </c>
      <c r="L3848" s="475" t="s">
        <v>141</v>
      </c>
      <c r="M3848" s="473"/>
    </row>
    <row r="3849" spans="1:13" ht="13.5">
      <c r="A3849" s="475" t="s">
        <v>5516</v>
      </c>
      <c r="B3849" s="475" t="s">
        <v>5517</v>
      </c>
      <c r="C3849" s="475" t="s">
        <v>5458</v>
      </c>
      <c r="D3849" s="475" t="s">
        <v>5520</v>
      </c>
      <c r="E3849" s="476" t="s">
        <v>34</v>
      </c>
      <c r="F3849" s="475" t="s">
        <v>34</v>
      </c>
      <c r="G3849" s="364">
        <v>92680</v>
      </c>
      <c r="H3849" s="475" t="s">
        <v>3294</v>
      </c>
      <c r="I3849" s="475" t="s">
        <v>171</v>
      </c>
      <c r="J3849" s="475" t="s">
        <v>337</v>
      </c>
      <c r="K3849" s="365">
        <v>94.1</v>
      </c>
      <c r="L3849" s="475" t="s">
        <v>141</v>
      </c>
      <c r="M3849" s="473"/>
    </row>
    <row r="3850" spans="1:13" ht="13.5">
      <c r="A3850" s="475" t="s">
        <v>5516</v>
      </c>
      <c r="B3850" s="475" t="s">
        <v>5517</v>
      </c>
      <c r="C3850" s="475" t="s">
        <v>5458</v>
      </c>
      <c r="D3850" s="475" t="s">
        <v>5520</v>
      </c>
      <c r="E3850" s="476" t="s">
        <v>34</v>
      </c>
      <c r="F3850" s="475" t="s">
        <v>34</v>
      </c>
      <c r="G3850" s="364">
        <v>92681</v>
      </c>
      <c r="H3850" s="475" t="s">
        <v>3295</v>
      </c>
      <c r="I3850" s="475" t="s">
        <v>171</v>
      </c>
      <c r="J3850" s="475" t="s">
        <v>337</v>
      </c>
      <c r="K3850" s="365">
        <v>32.68</v>
      </c>
      <c r="L3850" s="475" t="s">
        <v>141</v>
      </c>
      <c r="M3850" s="473"/>
    </row>
    <row r="3851" spans="1:13" ht="13.5">
      <c r="A3851" s="475" t="s">
        <v>5516</v>
      </c>
      <c r="B3851" s="475" t="s">
        <v>5517</v>
      </c>
      <c r="C3851" s="475" t="s">
        <v>5458</v>
      </c>
      <c r="D3851" s="475" t="s">
        <v>5520</v>
      </c>
      <c r="E3851" s="476" t="s">
        <v>34</v>
      </c>
      <c r="F3851" s="475" t="s">
        <v>34</v>
      </c>
      <c r="G3851" s="364">
        <v>92682</v>
      </c>
      <c r="H3851" s="475" t="s">
        <v>3296</v>
      </c>
      <c r="I3851" s="475" t="s">
        <v>171</v>
      </c>
      <c r="J3851" s="475" t="s">
        <v>337</v>
      </c>
      <c r="K3851" s="365">
        <v>40.31</v>
      </c>
      <c r="L3851" s="475" t="s">
        <v>141</v>
      </c>
      <c r="M3851" s="473"/>
    </row>
    <row r="3852" spans="1:13" ht="13.5">
      <c r="A3852" s="475" t="s">
        <v>5516</v>
      </c>
      <c r="B3852" s="475" t="s">
        <v>5517</v>
      </c>
      <c r="C3852" s="475" t="s">
        <v>5458</v>
      </c>
      <c r="D3852" s="475" t="s">
        <v>5520</v>
      </c>
      <c r="E3852" s="476" t="s">
        <v>34</v>
      </c>
      <c r="F3852" s="475" t="s">
        <v>34</v>
      </c>
      <c r="G3852" s="364">
        <v>92683</v>
      </c>
      <c r="H3852" s="475" t="s">
        <v>3297</v>
      </c>
      <c r="I3852" s="475" t="s">
        <v>171</v>
      </c>
      <c r="J3852" s="475" t="s">
        <v>337</v>
      </c>
      <c r="K3852" s="365">
        <v>46.67</v>
      </c>
      <c r="L3852" s="475" t="s">
        <v>141</v>
      </c>
      <c r="M3852" s="473"/>
    </row>
    <row r="3853" spans="1:13" ht="13.5">
      <c r="A3853" s="475" t="s">
        <v>5516</v>
      </c>
      <c r="B3853" s="475" t="s">
        <v>5517</v>
      </c>
      <c r="C3853" s="475" t="s">
        <v>5458</v>
      </c>
      <c r="D3853" s="475" t="s">
        <v>5520</v>
      </c>
      <c r="E3853" s="476" t="s">
        <v>34</v>
      </c>
      <c r="F3853" s="475" t="s">
        <v>34</v>
      </c>
      <c r="G3853" s="364">
        <v>92684</v>
      </c>
      <c r="H3853" s="475" t="s">
        <v>3298</v>
      </c>
      <c r="I3853" s="475" t="s">
        <v>171</v>
      </c>
      <c r="J3853" s="475" t="s">
        <v>337</v>
      </c>
      <c r="K3853" s="365">
        <v>62.11</v>
      </c>
      <c r="L3853" s="475" t="s">
        <v>141</v>
      </c>
      <c r="M3853" s="473"/>
    </row>
    <row r="3854" spans="1:13" ht="13.5">
      <c r="A3854" s="475" t="s">
        <v>5516</v>
      </c>
      <c r="B3854" s="475" t="s">
        <v>5517</v>
      </c>
      <c r="C3854" s="475" t="s">
        <v>5458</v>
      </c>
      <c r="D3854" s="475" t="s">
        <v>5520</v>
      </c>
      <c r="E3854" s="476" t="s">
        <v>34</v>
      </c>
      <c r="F3854" s="475" t="s">
        <v>34</v>
      </c>
      <c r="G3854" s="364">
        <v>92685</v>
      </c>
      <c r="H3854" s="475" t="s">
        <v>3299</v>
      </c>
      <c r="I3854" s="475" t="s">
        <v>171</v>
      </c>
      <c r="J3854" s="475" t="s">
        <v>337</v>
      </c>
      <c r="K3854" s="365">
        <v>97.99</v>
      </c>
      <c r="L3854" s="475" t="s">
        <v>141</v>
      </c>
      <c r="M3854" s="473"/>
    </row>
    <row r="3855" spans="1:13" ht="13.5">
      <c r="A3855" s="475" t="s">
        <v>5516</v>
      </c>
      <c r="B3855" s="475" t="s">
        <v>5517</v>
      </c>
      <c r="C3855" s="475" t="s">
        <v>5458</v>
      </c>
      <c r="D3855" s="475" t="s">
        <v>5520</v>
      </c>
      <c r="E3855" s="476" t="s">
        <v>34</v>
      </c>
      <c r="F3855" s="475" t="s">
        <v>34</v>
      </c>
      <c r="G3855" s="364">
        <v>92686</v>
      </c>
      <c r="H3855" s="475" t="s">
        <v>3300</v>
      </c>
      <c r="I3855" s="475" t="s">
        <v>171</v>
      </c>
      <c r="J3855" s="475" t="s">
        <v>337</v>
      </c>
      <c r="K3855" s="365">
        <v>124.44</v>
      </c>
      <c r="L3855" s="475" t="s">
        <v>141</v>
      </c>
      <c r="M3855" s="473"/>
    </row>
    <row r="3856" spans="1:13" ht="13.5">
      <c r="A3856" s="475" t="s">
        <v>5516</v>
      </c>
      <c r="B3856" s="475" t="s">
        <v>5517</v>
      </c>
      <c r="C3856" s="475" t="s">
        <v>5458</v>
      </c>
      <c r="D3856" s="475" t="s">
        <v>5520</v>
      </c>
      <c r="E3856" s="476" t="s">
        <v>34</v>
      </c>
      <c r="F3856" s="475" t="s">
        <v>34</v>
      </c>
      <c r="G3856" s="364">
        <v>92692</v>
      </c>
      <c r="H3856" s="475" t="s">
        <v>3301</v>
      </c>
      <c r="I3856" s="475" t="s">
        <v>171</v>
      </c>
      <c r="J3856" s="475" t="s">
        <v>337</v>
      </c>
      <c r="K3856" s="365">
        <v>9.1300000000000008</v>
      </c>
      <c r="L3856" s="475" t="s">
        <v>141</v>
      </c>
      <c r="M3856" s="473"/>
    </row>
    <row r="3857" spans="1:13" ht="13.5">
      <c r="A3857" s="475" t="s">
        <v>5516</v>
      </c>
      <c r="B3857" s="475" t="s">
        <v>5517</v>
      </c>
      <c r="C3857" s="475" t="s">
        <v>5458</v>
      </c>
      <c r="D3857" s="475" t="s">
        <v>5520</v>
      </c>
      <c r="E3857" s="476" t="s">
        <v>34</v>
      </c>
      <c r="F3857" s="475" t="s">
        <v>34</v>
      </c>
      <c r="G3857" s="364">
        <v>92693</v>
      </c>
      <c r="H3857" s="475" t="s">
        <v>3302</v>
      </c>
      <c r="I3857" s="475" t="s">
        <v>171</v>
      </c>
      <c r="J3857" s="475" t="s">
        <v>337</v>
      </c>
      <c r="K3857" s="365">
        <v>9.36</v>
      </c>
      <c r="L3857" s="475" t="s">
        <v>141</v>
      </c>
      <c r="M3857" s="473"/>
    </row>
    <row r="3858" spans="1:13" ht="13.5">
      <c r="A3858" s="475" t="s">
        <v>5516</v>
      </c>
      <c r="B3858" s="475" t="s">
        <v>5517</v>
      </c>
      <c r="C3858" s="475" t="s">
        <v>5458</v>
      </c>
      <c r="D3858" s="475" t="s">
        <v>5520</v>
      </c>
      <c r="E3858" s="476" t="s">
        <v>34</v>
      </c>
      <c r="F3858" s="475" t="s">
        <v>34</v>
      </c>
      <c r="G3858" s="364">
        <v>92694</v>
      </c>
      <c r="H3858" s="475" t="s">
        <v>3303</v>
      </c>
      <c r="I3858" s="475" t="s">
        <v>171</v>
      </c>
      <c r="J3858" s="475" t="s">
        <v>337</v>
      </c>
      <c r="K3858" s="365">
        <v>14.59</v>
      </c>
      <c r="L3858" s="475" t="s">
        <v>141</v>
      </c>
      <c r="M3858" s="473"/>
    </row>
    <row r="3859" spans="1:13" ht="13.5">
      <c r="A3859" s="475" t="s">
        <v>5516</v>
      </c>
      <c r="B3859" s="475" t="s">
        <v>5517</v>
      </c>
      <c r="C3859" s="475" t="s">
        <v>5458</v>
      </c>
      <c r="D3859" s="475" t="s">
        <v>5520</v>
      </c>
      <c r="E3859" s="476" t="s">
        <v>34</v>
      </c>
      <c r="F3859" s="475" t="s">
        <v>34</v>
      </c>
      <c r="G3859" s="364">
        <v>92695</v>
      </c>
      <c r="H3859" s="475" t="s">
        <v>3304</v>
      </c>
      <c r="I3859" s="475" t="s">
        <v>171</v>
      </c>
      <c r="J3859" s="475" t="s">
        <v>337</v>
      </c>
      <c r="K3859" s="365">
        <v>14.82</v>
      </c>
      <c r="L3859" s="475" t="s">
        <v>141</v>
      </c>
      <c r="M3859" s="473"/>
    </row>
    <row r="3860" spans="1:13" ht="13.5">
      <c r="A3860" s="475" t="s">
        <v>5516</v>
      </c>
      <c r="B3860" s="475" t="s">
        <v>5517</v>
      </c>
      <c r="C3860" s="475" t="s">
        <v>5458</v>
      </c>
      <c r="D3860" s="475" t="s">
        <v>5520</v>
      </c>
      <c r="E3860" s="476" t="s">
        <v>34</v>
      </c>
      <c r="F3860" s="475" t="s">
        <v>34</v>
      </c>
      <c r="G3860" s="364">
        <v>92696</v>
      </c>
      <c r="H3860" s="475" t="s">
        <v>3305</v>
      </c>
      <c r="I3860" s="475" t="s">
        <v>171</v>
      </c>
      <c r="J3860" s="475" t="s">
        <v>337</v>
      </c>
      <c r="K3860" s="365">
        <v>22.92</v>
      </c>
      <c r="L3860" s="475" t="s">
        <v>141</v>
      </c>
      <c r="M3860" s="473"/>
    </row>
    <row r="3861" spans="1:13" ht="13.5">
      <c r="A3861" s="475" t="s">
        <v>5516</v>
      </c>
      <c r="B3861" s="475" t="s">
        <v>5517</v>
      </c>
      <c r="C3861" s="475" t="s">
        <v>5458</v>
      </c>
      <c r="D3861" s="475" t="s">
        <v>5520</v>
      </c>
      <c r="E3861" s="476" t="s">
        <v>34</v>
      </c>
      <c r="F3861" s="475" t="s">
        <v>34</v>
      </c>
      <c r="G3861" s="364">
        <v>92697</v>
      </c>
      <c r="H3861" s="475" t="s">
        <v>3306</v>
      </c>
      <c r="I3861" s="475" t="s">
        <v>171</v>
      </c>
      <c r="J3861" s="475" t="s">
        <v>337</v>
      </c>
      <c r="K3861" s="365">
        <v>23.95</v>
      </c>
      <c r="L3861" s="475" t="s">
        <v>141</v>
      </c>
      <c r="M3861" s="473"/>
    </row>
    <row r="3862" spans="1:13" ht="13.5">
      <c r="A3862" s="475" t="s">
        <v>5516</v>
      </c>
      <c r="B3862" s="475" t="s">
        <v>5517</v>
      </c>
      <c r="C3862" s="475" t="s">
        <v>5458</v>
      </c>
      <c r="D3862" s="475" t="s">
        <v>5520</v>
      </c>
      <c r="E3862" s="476" t="s">
        <v>34</v>
      </c>
      <c r="F3862" s="475" t="s">
        <v>34</v>
      </c>
      <c r="G3862" s="364">
        <v>92698</v>
      </c>
      <c r="H3862" s="475" t="s">
        <v>3307</v>
      </c>
      <c r="I3862" s="475" t="s">
        <v>171</v>
      </c>
      <c r="J3862" s="475" t="s">
        <v>337</v>
      </c>
      <c r="K3862" s="365">
        <v>13.49</v>
      </c>
      <c r="L3862" s="475" t="s">
        <v>141</v>
      </c>
      <c r="M3862" s="473"/>
    </row>
    <row r="3863" spans="1:13" ht="13.5">
      <c r="A3863" s="475" t="s">
        <v>5516</v>
      </c>
      <c r="B3863" s="475" t="s">
        <v>5517</v>
      </c>
      <c r="C3863" s="475" t="s">
        <v>5458</v>
      </c>
      <c r="D3863" s="475" t="s">
        <v>5520</v>
      </c>
      <c r="E3863" s="476" t="s">
        <v>34</v>
      </c>
      <c r="F3863" s="475" t="s">
        <v>34</v>
      </c>
      <c r="G3863" s="364">
        <v>92699</v>
      </c>
      <c r="H3863" s="475" t="s">
        <v>3308</v>
      </c>
      <c r="I3863" s="475" t="s">
        <v>171</v>
      </c>
      <c r="J3863" s="475" t="s">
        <v>337</v>
      </c>
      <c r="K3863" s="365">
        <v>12.74</v>
      </c>
      <c r="L3863" s="475" t="s">
        <v>141</v>
      </c>
      <c r="M3863" s="473"/>
    </row>
    <row r="3864" spans="1:13" ht="13.5">
      <c r="A3864" s="475" t="s">
        <v>5516</v>
      </c>
      <c r="B3864" s="475" t="s">
        <v>5517</v>
      </c>
      <c r="C3864" s="475" t="s">
        <v>5458</v>
      </c>
      <c r="D3864" s="475" t="s">
        <v>5520</v>
      </c>
      <c r="E3864" s="476" t="s">
        <v>34</v>
      </c>
      <c r="F3864" s="475" t="s">
        <v>34</v>
      </c>
      <c r="G3864" s="364">
        <v>92700</v>
      </c>
      <c r="H3864" s="475" t="s">
        <v>3309</v>
      </c>
      <c r="I3864" s="475" t="s">
        <v>171</v>
      </c>
      <c r="J3864" s="475" t="s">
        <v>337</v>
      </c>
      <c r="K3864" s="365">
        <v>22.1</v>
      </c>
      <c r="L3864" s="475" t="s">
        <v>141</v>
      </c>
      <c r="M3864" s="473"/>
    </row>
    <row r="3865" spans="1:13" ht="13.5">
      <c r="A3865" s="475" t="s">
        <v>5516</v>
      </c>
      <c r="B3865" s="475" t="s">
        <v>5517</v>
      </c>
      <c r="C3865" s="475" t="s">
        <v>5458</v>
      </c>
      <c r="D3865" s="475" t="s">
        <v>5520</v>
      </c>
      <c r="E3865" s="476" t="s">
        <v>34</v>
      </c>
      <c r="F3865" s="475" t="s">
        <v>34</v>
      </c>
      <c r="G3865" s="364">
        <v>92701</v>
      </c>
      <c r="H3865" s="475" t="s">
        <v>3310</v>
      </c>
      <c r="I3865" s="475" t="s">
        <v>171</v>
      </c>
      <c r="J3865" s="475" t="s">
        <v>337</v>
      </c>
      <c r="K3865" s="365">
        <v>20.99</v>
      </c>
      <c r="L3865" s="475" t="s">
        <v>141</v>
      </c>
      <c r="M3865" s="473"/>
    </row>
    <row r="3866" spans="1:13" ht="13.5">
      <c r="A3866" s="475" t="s">
        <v>5516</v>
      </c>
      <c r="B3866" s="475" t="s">
        <v>5517</v>
      </c>
      <c r="C3866" s="475" t="s">
        <v>5458</v>
      </c>
      <c r="D3866" s="475" t="s">
        <v>5520</v>
      </c>
      <c r="E3866" s="476" t="s">
        <v>34</v>
      </c>
      <c r="F3866" s="475" t="s">
        <v>34</v>
      </c>
      <c r="G3866" s="364">
        <v>92702</v>
      </c>
      <c r="H3866" s="475" t="s">
        <v>3311</v>
      </c>
      <c r="I3866" s="475" t="s">
        <v>171</v>
      </c>
      <c r="J3866" s="475" t="s">
        <v>337</v>
      </c>
      <c r="K3866" s="365">
        <v>34.69</v>
      </c>
      <c r="L3866" s="475" t="s">
        <v>141</v>
      </c>
      <c r="M3866" s="473"/>
    </row>
    <row r="3867" spans="1:13" ht="13.5">
      <c r="A3867" s="475" t="s">
        <v>5516</v>
      </c>
      <c r="B3867" s="475" t="s">
        <v>5517</v>
      </c>
      <c r="C3867" s="475" t="s">
        <v>5458</v>
      </c>
      <c r="D3867" s="475" t="s">
        <v>5520</v>
      </c>
      <c r="E3867" s="476" t="s">
        <v>34</v>
      </c>
      <c r="F3867" s="475" t="s">
        <v>34</v>
      </c>
      <c r="G3867" s="364">
        <v>92703</v>
      </c>
      <c r="H3867" s="475" t="s">
        <v>3312</v>
      </c>
      <c r="I3867" s="475" t="s">
        <v>171</v>
      </c>
      <c r="J3867" s="475" t="s">
        <v>337</v>
      </c>
      <c r="K3867" s="365">
        <v>33.32</v>
      </c>
      <c r="L3867" s="475" t="s">
        <v>141</v>
      </c>
      <c r="M3867" s="473"/>
    </row>
    <row r="3868" spans="1:13" ht="13.5">
      <c r="A3868" s="475" t="s">
        <v>5516</v>
      </c>
      <c r="B3868" s="475" t="s">
        <v>5517</v>
      </c>
      <c r="C3868" s="475" t="s">
        <v>5458</v>
      </c>
      <c r="D3868" s="475" t="s">
        <v>5520</v>
      </c>
      <c r="E3868" s="476" t="s">
        <v>34</v>
      </c>
      <c r="F3868" s="475" t="s">
        <v>34</v>
      </c>
      <c r="G3868" s="364">
        <v>92704</v>
      </c>
      <c r="H3868" s="475" t="s">
        <v>3313</v>
      </c>
      <c r="I3868" s="475" t="s">
        <v>171</v>
      </c>
      <c r="J3868" s="475" t="s">
        <v>337</v>
      </c>
      <c r="K3868" s="365">
        <v>17.14</v>
      </c>
      <c r="L3868" s="475" t="s">
        <v>141</v>
      </c>
      <c r="M3868" s="473"/>
    </row>
    <row r="3869" spans="1:13" ht="13.5">
      <c r="A3869" s="475" t="s">
        <v>5516</v>
      </c>
      <c r="B3869" s="475" t="s">
        <v>5517</v>
      </c>
      <c r="C3869" s="475" t="s">
        <v>5458</v>
      </c>
      <c r="D3869" s="475" t="s">
        <v>5520</v>
      </c>
      <c r="E3869" s="476" t="s">
        <v>34</v>
      </c>
      <c r="F3869" s="475" t="s">
        <v>34</v>
      </c>
      <c r="G3869" s="364">
        <v>92705</v>
      </c>
      <c r="H3869" s="475" t="s">
        <v>3314</v>
      </c>
      <c r="I3869" s="475" t="s">
        <v>171</v>
      </c>
      <c r="J3869" s="475" t="s">
        <v>337</v>
      </c>
      <c r="K3869" s="365">
        <v>27.78</v>
      </c>
      <c r="L3869" s="475" t="s">
        <v>141</v>
      </c>
      <c r="M3869" s="473"/>
    </row>
    <row r="3870" spans="1:13" ht="13.5">
      <c r="A3870" s="475" t="s">
        <v>5516</v>
      </c>
      <c r="B3870" s="475" t="s">
        <v>5517</v>
      </c>
      <c r="C3870" s="475" t="s">
        <v>5458</v>
      </c>
      <c r="D3870" s="475" t="s">
        <v>5520</v>
      </c>
      <c r="E3870" s="476" t="s">
        <v>34</v>
      </c>
      <c r="F3870" s="475" t="s">
        <v>34</v>
      </c>
      <c r="G3870" s="364">
        <v>92706</v>
      </c>
      <c r="H3870" s="475" t="s">
        <v>3315</v>
      </c>
      <c r="I3870" s="475" t="s">
        <v>171</v>
      </c>
      <c r="J3870" s="475" t="s">
        <v>337</v>
      </c>
      <c r="K3870" s="365">
        <v>44.95</v>
      </c>
      <c r="L3870" s="475" t="s">
        <v>141</v>
      </c>
      <c r="M3870" s="473"/>
    </row>
    <row r="3871" spans="1:13" ht="13.5">
      <c r="A3871" s="475" t="s">
        <v>5516</v>
      </c>
      <c r="B3871" s="475" t="s">
        <v>5517</v>
      </c>
      <c r="C3871" s="475" t="s">
        <v>5458</v>
      </c>
      <c r="D3871" s="475" t="s">
        <v>5520</v>
      </c>
      <c r="E3871" s="476" t="s">
        <v>34</v>
      </c>
      <c r="F3871" s="475" t="s">
        <v>34</v>
      </c>
      <c r="G3871" s="364">
        <v>92889</v>
      </c>
      <c r="H3871" s="475" t="s">
        <v>3316</v>
      </c>
      <c r="I3871" s="475" t="s">
        <v>171</v>
      </c>
      <c r="J3871" s="475" t="s">
        <v>337</v>
      </c>
      <c r="K3871" s="365">
        <v>79.010000000000005</v>
      </c>
      <c r="L3871" s="475" t="s">
        <v>141</v>
      </c>
      <c r="M3871" s="473"/>
    </row>
    <row r="3872" spans="1:13" ht="13.5">
      <c r="A3872" s="475" t="s">
        <v>5516</v>
      </c>
      <c r="B3872" s="475" t="s">
        <v>5517</v>
      </c>
      <c r="C3872" s="475" t="s">
        <v>5458</v>
      </c>
      <c r="D3872" s="475" t="s">
        <v>5520</v>
      </c>
      <c r="E3872" s="476" t="s">
        <v>34</v>
      </c>
      <c r="F3872" s="475" t="s">
        <v>34</v>
      </c>
      <c r="G3872" s="364">
        <v>92890</v>
      </c>
      <c r="H3872" s="475" t="s">
        <v>3317</v>
      </c>
      <c r="I3872" s="475" t="s">
        <v>171</v>
      </c>
      <c r="J3872" s="475" t="s">
        <v>337</v>
      </c>
      <c r="K3872" s="365">
        <v>118.21</v>
      </c>
      <c r="L3872" s="475" t="s">
        <v>141</v>
      </c>
      <c r="M3872" s="473"/>
    </row>
    <row r="3873" spans="1:13" ht="13.5">
      <c r="A3873" s="475" t="s">
        <v>5516</v>
      </c>
      <c r="B3873" s="475" t="s">
        <v>5517</v>
      </c>
      <c r="C3873" s="475" t="s">
        <v>5458</v>
      </c>
      <c r="D3873" s="475" t="s">
        <v>5520</v>
      </c>
      <c r="E3873" s="476" t="s">
        <v>34</v>
      </c>
      <c r="F3873" s="475" t="s">
        <v>34</v>
      </c>
      <c r="G3873" s="364">
        <v>92891</v>
      </c>
      <c r="H3873" s="475" t="s">
        <v>3318</v>
      </c>
      <c r="I3873" s="475" t="s">
        <v>171</v>
      </c>
      <c r="J3873" s="475" t="s">
        <v>337</v>
      </c>
      <c r="K3873" s="365">
        <v>171.81</v>
      </c>
      <c r="L3873" s="475" t="s">
        <v>141</v>
      </c>
      <c r="M3873" s="473"/>
    </row>
    <row r="3874" spans="1:13" ht="13.5">
      <c r="A3874" s="475" t="s">
        <v>5516</v>
      </c>
      <c r="B3874" s="475" t="s">
        <v>5517</v>
      </c>
      <c r="C3874" s="475" t="s">
        <v>5458</v>
      </c>
      <c r="D3874" s="475" t="s">
        <v>5520</v>
      </c>
      <c r="E3874" s="476" t="s">
        <v>34</v>
      </c>
      <c r="F3874" s="475" t="s">
        <v>34</v>
      </c>
      <c r="G3874" s="364">
        <v>92892</v>
      </c>
      <c r="H3874" s="475" t="s">
        <v>3319</v>
      </c>
      <c r="I3874" s="475" t="s">
        <v>171</v>
      </c>
      <c r="J3874" s="475" t="s">
        <v>337</v>
      </c>
      <c r="K3874" s="365">
        <v>35.299999999999997</v>
      </c>
      <c r="L3874" s="475" t="s">
        <v>141</v>
      </c>
      <c r="M3874" s="473"/>
    </row>
    <row r="3875" spans="1:13" ht="13.5">
      <c r="A3875" s="475" t="s">
        <v>5516</v>
      </c>
      <c r="B3875" s="475" t="s">
        <v>5517</v>
      </c>
      <c r="C3875" s="475" t="s">
        <v>5458</v>
      </c>
      <c r="D3875" s="475" t="s">
        <v>5520</v>
      </c>
      <c r="E3875" s="476" t="s">
        <v>34</v>
      </c>
      <c r="F3875" s="475" t="s">
        <v>34</v>
      </c>
      <c r="G3875" s="364">
        <v>92893</v>
      </c>
      <c r="H3875" s="475" t="s">
        <v>3320</v>
      </c>
      <c r="I3875" s="475" t="s">
        <v>171</v>
      </c>
      <c r="J3875" s="475" t="s">
        <v>337</v>
      </c>
      <c r="K3875" s="365">
        <v>49.32</v>
      </c>
      <c r="L3875" s="475" t="s">
        <v>141</v>
      </c>
      <c r="M3875" s="473"/>
    </row>
    <row r="3876" spans="1:13" ht="13.5">
      <c r="A3876" s="475" t="s">
        <v>5516</v>
      </c>
      <c r="B3876" s="475" t="s">
        <v>5517</v>
      </c>
      <c r="C3876" s="475" t="s">
        <v>5458</v>
      </c>
      <c r="D3876" s="475" t="s">
        <v>5520</v>
      </c>
      <c r="E3876" s="476" t="s">
        <v>34</v>
      </c>
      <c r="F3876" s="475" t="s">
        <v>34</v>
      </c>
      <c r="G3876" s="364">
        <v>92894</v>
      </c>
      <c r="H3876" s="475" t="s">
        <v>3321</v>
      </c>
      <c r="I3876" s="475" t="s">
        <v>171</v>
      </c>
      <c r="J3876" s="475" t="s">
        <v>337</v>
      </c>
      <c r="K3876" s="365">
        <v>58.62</v>
      </c>
      <c r="L3876" s="475" t="s">
        <v>141</v>
      </c>
      <c r="M3876" s="473"/>
    </row>
    <row r="3877" spans="1:13" ht="13.5">
      <c r="A3877" s="475" t="s">
        <v>5516</v>
      </c>
      <c r="B3877" s="475" t="s">
        <v>5517</v>
      </c>
      <c r="C3877" s="475" t="s">
        <v>5458</v>
      </c>
      <c r="D3877" s="475" t="s">
        <v>5520</v>
      </c>
      <c r="E3877" s="476" t="s">
        <v>34</v>
      </c>
      <c r="F3877" s="475" t="s">
        <v>34</v>
      </c>
      <c r="G3877" s="364">
        <v>92895</v>
      </c>
      <c r="H3877" s="475" t="s">
        <v>3322</v>
      </c>
      <c r="I3877" s="475" t="s">
        <v>171</v>
      </c>
      <c r="J3877" s="475" t="s">
        <v>337</v>
      </c>
      <c r="K3877" s="365">
        <v>78.98</v>
      </c>
      <c r="L3877" s="475" t="s">
        <v>141</v>
      </c>
      <c r="M3877" s="473"/>
    </row>
    <row r="3878" spans="1:13" ht="13.5">
      <c r="A3878" s="475" t="s">
        <v>5516</v>
      </c>
      <c r="B3878" s="475" t="s">
        <v>5517</v>
      </c>
      <c r="C3878" s="475" t="s">
        <v>5458</v>
      </c>
      <c r="D3878" s="475" t="s">
        <v>5520</v>
      </c>
      <c r="E3878" s="476" t="s">
        <v>34</v>
      </c>
      <c r="F3878" s="475" t="s">
        <v>34</v>
      </c>
      <c r="G3878" s="364">
        <v>92896</v>
      </c>
      <c r="H3878" s="475" t="s">
        <v>3323</v>
      </c>
      <c r="I3878" s="475" t="s">
        <v>171</v>
      </c>
      <c r="J3878" s="475" t="s">
        <v>337</v>
      </c>
      <c r="K3878" s="365">
        <v>119.36</v>
      </c>
      <c r="L3878" s="475" t="s">
        <v>141</v>
      </c>
      <c r="M3878" s="473"/>
    </row>
    <row r="3879" spans="1:13" ht="13.5">
      <c r="A3879" s="475" t="s">
        <v>5516</v>
      </c>
      <c r="B3879" s="475" t="s">
        <v>5517</v>
      </c>
      <c r="C3879" s="475" t="s">
        <v>5458</v>
      </c>
      <c r="D3879" s="475" t="s">
        <v>5520</v>
      </c>
      <c r="E3879" s="476" t="s">
        <v>34</v>
      </c>
      <c r="F3879" s="475" t="s">
        <v>34</v>
      </c>
      <c r="G3879" s="364">
        <v>92897</v>
      </c>
      <c r="H3879" s="475" t="s">
        <v>3324</v>
      </c>
      <c r="I3879" s="475" t="s">
        <v>171</v>
      </c>
      <c r="J3879" s="475" t="s">
        <v>337</v>
      </c>
      <c r="K3879" s="365">
        <v>174.17</v>
      </c>
      <c r="L3879" s="475" t="s">
        <v>141</v>
      </c>
      <c r="M3879" s="473"/>
    </row>
    <row r="3880" spans="1:13" ht="13.5">
      <c r="A3880" s="475" t="s">
        <v>5516</v>
      </c>
      <c r="B3880" s="475" t="s">
        <v>5517</v>
      </c>
      <c r="C3880" s="475" t="s">
        <v>5458</v>
      </c>
      <c r="D3880" s="475" t="s">
        <v>5520</v>
      </c>
      <c r="E3880" s="476" t="s">
        <v>34</v>
      </c>
      <c r="F3880" s="475" t="s">
        <v>34</v>
      </c>
      <c r="G3880" s="364">
        <v>92898</v>
      </c>
      <c r="H3880" s="475" t="s">
        <v>3325</v>
      </c>
      <c r="I3880" s="475" t="s">
        <v>171</v>
      </c>
      <c r="J3880" s="475" t="s">
        <v>337</v>
      </c>
      <c r="K3880" s="365">
        <v>28.92</v>
      </c>
      <c r="L3880" s="475" t="s">
        <v>141</v>
      </c>
      <c r="M3880" s="473"/>
    </row>
    <row r="3881" spans="1:13" ht="13.5">
      <c r="A3881" s="475" t="s">
        <v>5516</v>
      </c>
      <c r="B3881" s="475" t="s">
        <v>5517</v>
      </c>
      <c r="C3881" s="475" t="s">
        <v>5458</v>
      </c>
      <c r="D3881" s="475" t="s">
        <v>5520</v>
      </c>
      <c r="E3881" s="476" t="s">
        <v>34</v>
      </c>
      <c r="F3881" s="475" t="s">
        <v>34</v>
      </c>
      <c r="G3881" s="364">
        <v>92899</v>
      </c>
      <c r="H3881" s="475" t="s">
        <v>3326</v>
      </c>
      <c r="I3881" s="475" t="s">
        <v>171</v>
      </c>
      <c r="J3881" s="475" t="s">
        <v>337</v>
      </c>
      <c r="K3881" s="365">
        <v>42.07</v>
      </c>
      <c r="L3881" s="475" t="s">
        <v>141</v>
      </c>
      <c r="M3881" s="473"/>
    </row>
    <row r="3882" spans="1:13" ht="13.5">
      <c r="A3882" s="475" t="s">
        <v>5516</v>
      </c>
      <c r="B3882" s="475" t="s">
        <v>5517</v>
      </c>
      <c r="C3882" s="475" t="s">
        <v>5458</v>
      </c>
      <c r="D3882" s="475" t="s">
        <v>5520</v>
      </c>
      <c r="E3882" s="476" t="s">
        <v>34</v>
      </c>
      <c r="F3882" s="475" t="s">
        <v>34</v>
      </c>
      <c r="G3882" s="364">
        <v>92900</v>
      </c>
      <c r="H3882" s="475" t="s">
        <v>3327</v>
      </c>
      <c r="I3882" s="475" t="s">
        <v>171</v>
      </c>
      <c r="J3882" s="475" t="s">
        <v>337</v>
      </c>
      <c r="K3882" s="365">
        <v>50.36</v>
      </c>
      <c r="L3882" s="475" t="s">
        <v>141</v>
      </c>
      <c r="M3882" s="473"/>
    </row>
    <row r="3883" spans="1:13" ht="13.5">
      <c r="A3883" s="475" t="s">
        <v>5516</v>
      </c>
      <c r="B3883" s="475" t="s">
        <v>5517</v>
      </c>
      <c r="C3883" s="475" t="s">
        <v>5458</v>
      </c>
      <c r="D3883" s="475" t="s">
        <v>5520</v>
      </c>
      <c r="E3883" s="476" t="s">
        <v>34</v>
      </c>
      <c r="F3883" s="475" t="s">
        <v>34</v>
      </c>
      <c r="G3883" s="364">
        <v>92901</v>
      </c>
      <c r="H3883" s="475" t="s">
        <v>3328</v>
      </c>
      <c r="I3883" s="475" t="s">
        <v>171</v>
      </c>
      <c r="J3883" s="475" t="s">
        <v>337</v>
      </c>
      <c r="K3883" s="365">
        <v>69.47</v>
      </c>
      <c r="L3883" s="475" t="s">
        <v>141</v>
      </c>
      <c r="M3883" s="473"/>
    </row>
    <row r="3884" spans="1:13" ht="13.5">
      <c r="A3884" s="475" t="s">
        <v>5516</v>
      </c>
      <c r="B3884" s="475" t="s">
        <v>5517</v>
      </c>
      <c r="C3884" s="475" t="s">
        <v>5458</v>
      </c>
      <c r="D3884" s="475" t="s">
        <v>5520</v>
      </c>
      <c r="E3884" s="476" t="s">
        <v>34</v>
      </c>
      <c r="F3884" s="475" t="s">
        <v>34</v>
      </c>
      <c r="G3884" s="364">
        <v>92902</v>
      </c>
      <c r="H3884" s="475" t="s">
        <v>3329</v>
      </c>
      <c r="I3884" s="475" t="s">
        <v>171</v>
      </c>
      <c r="J3884" s="475" t="s">
        <v>337</v>
      </c>
      <c r="K3884" s="365">
        <v>107.97</v>
      </c>
      <c r="L3884" s="475" t="s">
        <v>141</v>
      </c>
      <c r="M3884" s="473"/>
    </row>
    <row r="3885" spans="1:13" ht="13.5">
      <c r="A3885" s="475" t="s">
        <v>5516</v>
      </c>
      <c r="B3885" s="475" t="s">
        <v>5517</v>
      </c>
      <c r="C3885" s="475" t="s">
        <v>5458</v>
      </c>
      <c r="D3885" s="475" t="s">
        <v>5520</v>
      </c>
      <c r="E3885" s="476" t="s">
        <v>34</v>
      </c>
      <c r="F3885" s="475" t="s">
        <v>34</v>
      </c>
      <c r="G3885" s="364">
        <v>92903</v>
      </c>
      <c r="H3885" s="475" t="s">
        <v>3330</v>
      </c>
      <c r="I3885" s="475" t="s">
        <v>171</v>
      </c>
      <c r="J3885" s="475" t="s">
        <v>337</v>
      </c>
      <c r="K3885" s="365">
        <v>160.91999999999999</v>
      </c>
      <c r="L3885" s="475" t="s">
        <v>141</v>
      </c>
      <c r="M3885" s="473"/>
    </row>
    <row r="3886" spans="1:13" ht="13.5">
      <c r="A3886" s="475" t="s">
        <v>5516</v>
      </c>
      <c r="B3886" s="475" t="s">
        <v>5517</v>
      </c>
      <c r="C3886" s="475" t="s">
        <v>5458</v>
      </c>
      <c r="D3886" s="475" t="s">
        <v>5520</v>
      </c>
      <c r="E3886" s="476" t="s">
        <v>34</v>
      </c>
      <c r="F3886" s="475" t="s">
        <v>34</v>
      </c>
      <c r="G3886" s="364">
        <v>92904</v>
      </c>
      <c r="H3886" s="475" t="s">
        <v>3331</v>
      </c>
      <c r="I3886" s="475" t="s">
        <v>171</v>
      </c>
      <c r="J3886" s="475" t="s">
        <v>337</v>
      </c>
      <c r="K3886" s="365">
        <v>19.52</v>
      </c>
      <c r="L3886" s="475" t="s">
        <v>141</v>
      </c>
      <c r="M3886" s="473"/>
    </row>
    <row r="3887" spans="1:13" ht="13.5">
      <c r="A3887" s="475" t="s">
        <v>5516</v>
      </c>
      <c r="B3887" s="475" t="s">
        <v>5517</v>
      </c>
      <c r="C3887" s="475" t="s">
        <v>5458</v>
      </c>
      <c r="D3887" s="475" t="s">
        <v>5520</v>
      </c>
      <c r="E3887" s="476" t="s">
        <v>34</v>
      </c>
      <c r="F3887" s="475" t="s">
        <v>34</v>
      </c>
      <c r="G3887" s="364">
        <v>92905</v>
      </c>
      <c r="H3887" s="475" t="s">
        <v>3332</v>
      </c>
      <c r="I3887" s="475" t="s">
        <v>171</v>
      </c>
      <c r="J3887" s="475" t="s">
        <v>337</v>
      </c>
      <c r="K3887" s="365">
        <v>28.16</v>
      </c>
      <c r="L3887" s="475" t="s">
        <v>141</v>
      </c>
      <c r="M3887" s="473"/>
    </row>
    <row r="3888" spans="1:13" ht="13.5">
      <c r="A3888" s="475" t="s">
        <v>5516</v>
      </c>
      <c r="B3888" s="475" t="s">
        <v>5517</v>
      </c>
      <c r="C3888" s="475" t="s">
        <v>5458</v>
      </c>
      <c r="D3888" s="475" t="s">
        <v>5520</v>
      </c>
      <c r="E3888" s="476" t="s">
        <v>34</v>
      </c>
      <c r="F3888" s="475" t="s">
        <v>34</v>
      </c>
      <c r="G3888" s="364">
        <v>92906</v>
      </c>
      <c r="H3888" s="475" t="s">
        <v>3333</v>
      </c>
      <c r="I3888" s="475" t="s">
        <v>171</v>
      </c>
      <c r="J3888" s="475" t="s">
        <v>337</v>
      </c>
      <c r="K3888" s="365">
        <v>35.03</v>
      </c>
      <c r="L3888" s="475" t="s">
        <v>141</v>
      </c>
      <c r="M3888" s="473"/>
    </row>
    <row r="3889" spans="1:13" ht="13.5">
      <c r="A3889" s="475" t="s">
        <v>5516</v>
      </c>
      <c r="B3889" s="475" t="s">
        <v>5517</v>
      </c>
      <c r="C3889" s="475" t="s">
        <v>5458</v>
      </c>
      <c r="D3889" s="475" t="s">
        <v>5520</v>
      </c>
      <c r="E3889" s="476" t="s">
        <v>34</v>
      </c>
      <c r="F3889" s="475" t="s">
        <v>34</v>
      </c>
      <c r="G3889" s="364">
        <v>92907</v>
      </c>
      <c r="H3889" s="475" t="s">
        <v>6527</v>
      </c>
      <c r="I3889" s="475" t="s">
        <v>171</v>
      </c>
      <c r="J3889" s="475" t="s">
        <v>337</v>
      </c>
      <c r="K3889" s="365">
        <v>43.96</v>
      </c>
      <c r="L3889" s="475" t="s">
        <v>141</v>
      </c>
      <c r="M3889" s="473"/>
    </row>
    <row r="3890" spans="1:13" ht="13.5">
      <c r="A3890" s="475" t="s">
        <v>5516</v>
      </c>
      <c r="B3890" s="475" t="s">
        <v>5517</v>
      </c>
      <c r="C3890" s="475" t="s">
        <v>5458</v>
      </c>
      <c r="D3890" s="475" t="s">
        <v>5520</v>
      </c>
      <c r="E3890" s="476" t="s">
        <v>34</v>
      </c>
      <c r="F3890" s="475" t="s">
        <v>34</v>
      </c>
      <c r="G3890" s="364">
        <v>92908</v>
      </c>
      <c r="H3890" s="475" t="s">
        <v>6528</v>
      </c>
      <c r="I3890" s="475" t="s">
        <v>171</v>
      </c>
      <c r="J3890" s="475" t="s">
        <v>337</v>
      </c>
      <c r="K3890" s="365">
        <v>43.96</v>
      </c>
      <c r="L3890" s="475" t="s">
        <v>141</v>
      </c>
      <c r="M3890" s="473"/>
    </row>
    <row r="3891" spans="1:13" ht="13.5">
      <c r="A3891" s="475" t="s">
        <v>5516</v>
      </c>
      <c r="B3891" s="475" t="s">
        <v>5517</v>
      </c>
      <c r="C3891" s="475" t="s">
        <v>5458</v>
      </c>
      <c r="D3891" s="475" t="s">
        <v>5520</v>
      </c>
      <c r="E3891" s="476" t="s">
        <v>34</v>
      </c>
      <c r="F3891" s="475" t="s">
        <v>34</v>
      </c>
      <c r="G3891" s="364">
        <v>92909</v>
      </c>
      <c r="H3891" s="475" t="s">
        <v>3334</v>
      </c>
      <c r="I3891" s="475" t="s">
        <v>171</v>
      </c>
      <c r="J3891" s="475" t="s">
        <v>337</v>
      </c>
      <c r="K3891" s="365">
        <v>43.96</v>
      </c>
      <c r="L3891" s="475" t="s">
        <v>141</v>
      </c>
      <c r="M3891" s="473"/>
    </row>
    <row r="3892" spans="1:13" ht="13.5">
      <c r="A3892" s="475" t="s">
        <v>5516</v>
      </c>
      <c r="B3892" s="475" t="s">
        <v>5517</v>
      </c>
      <c r="C3892" s="475" t="s">
        <v>5458</v>
      </c>
      <c r="D3892" s="475" t="s">
        <v>5520</v>
      </c>
      <c r="E3892" s="476" t="s">
        <v>34</v>
      </c>
      <c r="F3892" s="475" t="s">
        <v>34</v>
      </c>
      <c r="G3892" s="364">
        <v>92910</v>
      </c>
      <c r="H3892" s="475" t="s">
        <v>6529</v>
      </c>
      <c r="I3892" s="475" t="s">
        <v>171</v>
      </c>
      <c r="J3892" s="475" t="s">
        <v>337</v>
      </c>
      <c r="K3892" s="365">
        <v>62.39</v>
      </c>
      <c r="L3892" s="475" t="s">
        <v>141</v>
      </c>
      <c r="M3892" s="473"/>
    </row>
    <row r="3893" spans="1:13" ht="13.5">
      <c r="A3893" s="475" t="s">
        <v>5516</v>
      </c>
      <c r="B3893" s="475" t="s">
        <v>5517</v>
      </c>
      <c r="C3893" s="475" t="s">
        <v>5458</v>
      </c>
      <c r="D3893" s="475" t="s">
        <v>5520</v>
      </c>
      <c r="E3893" s="476" t="s">
        <v>34</v>
      </c>
      <c r="F3893" s="475" t="s">
        <v>34</v>
      </c>
      <c r="G3893" s="364">
        <v>92911</v>
      </c>
      <c r="H3893" s="475" t="s">
        <v>6530</v>
      </c>
      <c r="I3893" s="475" t="s">
        <v>171</v>
      </c>
      <c r="J3893" s="475" t="s">
        <v>337</v>
      </c>
      <c r="K3893" s="365">
        <v>62.39</v>
      </c>
      <c r="L3893" s="475" t="s">
        <v>141</v>
      </c>
      <c r="M3893" s="473"/>
    </row>
    <row r="3894" spans="1:13" ht="13.5">
      <c r="A3894" s="475" t="s">
        <v>5516</v>
      </c>
      <c r="B3894" s="475" t="s">
        <v>5517</v>
      </c>
      <c r="C3894" s="475" t="s">
        <v>5458</v>
      </c>
      <c r="D3894" s="475" t="s">
        <v>5520</v>
      </c>
      <c r="E3894" s="476" t="s">
        <v>34</v>
      </c>
      <c r="F3894" s="475" t="s">
        <v>34</v>
      </c>
      <c r="G3894" s="364">
        <v>92912</v>
      </c>
      <c r="H3894" s="475" t="s">
        <v>6531</v>
      </c>
      <c r="I3894" s="475" t="s">
        <v>171</v>
      </c>
      <c r="J3894" s="475" t="s">
        <v>337</v>
      </c>
      <c r="K3894" s="365">
        <v>82.37</v>
      </c>
      <c r="L3894" s="475" t="s">
        <v>141</v>
      </c>
      <c r="M3894" s="473"/>
    </row>
    <row r="3895" spans="1:13" ht="13.5">
      <c r="A3895" s="475" t="s">
        <v>5516</v>
      </c>
      <c r="B3895" s="475" t="s">
        <v>5517</v>
      </c>
      <c r="C3895" s="475" t="s">
        <v>5458</v>
      </c>
      <c r="D3895" s="475" t="s">
        <v>5520</v>
      </c>
      <c r="E3895" s="476" t="s">
        <v>34</v>
      </c>
      <c r="F3895" s="475" t="s">
        <v>34</v>
      </c>
      <c r="G3895" s="364">
        <v>92913</v>
      </c>
      <c r="H3895" s="475" t="s">
        <v>6532</v>
      </c>
      <c r="I3895" s="475" t="s">
        <v>171</v>
      </c>
      <c r="J3895" s="475" t="s">
        <v>337</v>
      </c>
      <c r="K3895" s="365">
        <v>84.35</v>
      </c>
      <c r="L3895" s="475" t="s">
        <v>141</v>
      </c>
      <c r="M3895" s="473"/>
    </row>
    <row r="3896" spans="1:13" ht="13.5">
      <c r="A3896" s="475" t="s">
        <v>5516</v>
      </c>
      <c r="B3896" s="475" t="s">
        <v>5517</v>
      </c>
      <c r="C3896" s="475" t="s">
        <v>5458</v>
      </c>
      <c r="D3896" s="475" t="s">
        <v>5520</v>
      </c>
      <c r="E3896" s="476" t="s">
        <v>34</v>
      </c>
      <c r="F3896" s="475" t="s">
        <v>34</v>
      </c>
      <c r="G3896" s="364">
        <v>92914</v>
      </c>
      <c r="H3896" s="475" t="s">
        <v>3335</v>
      </c>
      <c r="I3896" s="475" t="s">
        <v>171</v>
      </c>
      <c r="J3896" s="475" t="s">
        <v>337</v>
      </c>
      <c r="K3896" s="365">
        <v>84.35</v>
      </c>
      <c r="L3896" s="475" t="s">
        <v>141</v>
      </c>
      <c r="M3896" s="473"/>
    </row>
    <row r="3897" spans="1:13" ht="13.5">
      <c r="A3897" s="475" t="s">
        <v>5516</v>
      </c>
      <c r="B3897" s="475" t="s">
        <v>5517</v>
      </c>
      <c r="C3897" s="475" t="s">
        <v>5458</v>
      </c>
      <c r="D3897" s="475" t="s">
        <v>5520</v>
      </c>
      <c r="E3897" s="476" t="s">
        <v>34</v>
      </c>
      <c r="F3897" s="475" t="s">
        <v>34</v>
      </c>
      <c r="G3897" s="364">
        <v>92918</v>
      </c>
      <c r="H3897" s="475" t="s">
        <v>3336</v>
      </c>
      <c r="I3897" s="475" t="s">
        <v>171</v>
      </c>
      <c r="J3897" s="475" t="s">
        <v>337</v>
      </c>
      <c r="K3897" s="365">
        <v>24.14</v>
      </c>
      <c r="L3897" s="475" t="s">
        <v>141</v>
      </c>
      <c r="M3897" s="473"/>
    </row>
    <row r="3898" spans="1:13" ht="13.5">
      <c r="A3898" s="475" t="s">
        <v>5516</v>
      </c>
      <c r="B3898" s="475" t="s">
        <v>5517</v>
      </c>
      <c r="C3898" s="475" t="s">
        <v>5458</v>
      </c>
      <c r="D3898" s="475" t="s">
        <v>5520</v>
      </c>
      <c r="E3898" s="476" t="s">
        <v>34</v>
      </c>
      <c r="F3898" s="475" t="s">
        <v>34</v>
      </c>
      <c r="G3898" s="364">
        <v>92920</v>
      </c>
      <c r="H3898" s="475" t="s">
        <v>3337</v>
      </c>
      <c r="I3898" s="475" t="s">
        <v>171</v>
      </c>
      <c r="J3898" s="475" t="s">
        <v>337</v>
      </c>
      <c r="K3898" s="365">
        <v>24.28</v>
      </c>
      <c r="L3898" s="475" t="s">
        <v>141</v>
      </c>
      <c r="M3898" s="473"/>
    </row>
    <row r="3899" spans="1:13" ht="13.5">
      <c r="A3899" s="475" t="s">
        <v>5516</v>
      </c>
      <c r="B3899" s="475" t="s">
        <v>5517</v>
      </c>
      <c r="C3899" s="475" t="s">
        <v>5458</v>
      </c>
      <c r="D3899" s="475" t="s">
        <v>5520</v>
      </c>
      <c r="E3899" s="476" t="s">
        <v>34</v>
      </c>
      <c r="F3899" s="475" t="s">
        <v>34</v>
      </c>
      <c r="G3899" s="364">
        <v>92925</v>
      </c>
      <c r="H3899" s="475" t="s">
        <v>3338</v>
      </c>
      <c r="I3899" s="475" t="s">
        <v>171</v>
      </c>
      <c r="J3899" s="475" t="s">
        <v>337</v>
      </c>
      <c r="K3899" s="365">
        <v>29.5</v>
      </c>
      <c r="L3899" s="475" t="s">
        <v>141</v>
      </c>
      <c r="M3899" s="473"/>
    </row>
    <row r="3900" spans="1:13" ht="13.5">
      <c r="A3900" s="475" t="s">
        <v>5516</v>
      </c>
      <c r="B3900" s="475" t="s">
        <v>5517</v>
      </c>
      <c r="C3900" s="475" t="s">
        <v>5458</v>
      </c>
      <c r="D3900" s="475" t="s">
        <v>5520</v>
      </c>
      <c r="E3900" s="476" t="s">
        <v>34</v>
      </c>
      <c r="F3900" s="475" t="s">
        <v>34</v>
      </c>
      <c r="G3900" s="364">
        <v>92926</v>
      </c>
      <c r="H3900" s="475" t="s">
        <v>3339</v>
      </c>
      <c r="I3900" s="475" t="s">
        <v>171</v>
      </c>
      <c r="J3900" s="475" t="s">
        <v>337</v>
      </c>
      <c r="K3900" s="365">
        <v>29.5</v>
      </c>
      <c r="L3900" s="475" t="s">
        <v>141</v>
      </c>
      <c r="M3900" s="473"/>
    </row>
    <row r="3901" spans="1:13" ht="13.5">
      <c r="A3901" s="475" t="s">
        <v>5516</v>
      </c>
      <c r="B3901" s="475" t="s">
        <v>5517</v>
      </c>
      <c r="C3901" s="475" t="s">
        <v>5458</v>
      </c>
      <c r="D3901" s="475" t="s">
        <v>5520</v>
      </c>
      <c r="E3901" s="476" t="s">
        <v>34</v>
      </c>
      <c r="F3901" s="475" t="s">
        <v>34</v>
      </c>
      <c r="G3901" s="364">
        <v>92927</v>
      </c>
      <c r="H3901" s="475" t="s">
        <v>7644</v>
      </c>
      <c r="I3901" s="475" t="s">
        <v>171</v>
      </c>
      <c r="J3901" s="475" t="s">
        <v>337</v>
      </c>
      <c r="K3901" s="365">
        <v>29.5</v>
      </c>
      <c r="L3901" s="475" t="s">
        <v>141</v>
      </c>
      <c r="M3901" s="473"/>
    </row>
    <row r="3902" spans="1:13" ht="13.5">
      <c r="A3902" s="475" t="s">
        <v>5516</v>
      </c>
      <c r="B3902" s="475" t="s">
        <v>5517</v>
      </c>
      <c r="C3902" s="475" t="s">
        <v>5458</v>
      </c>
      <c r="D3902" s="475" t="s">
        <v>5520</v>
      </c>
      <c r="E3902" s="476" t="s">
        <v>34</v>
      </c>
      <c r="F3902" s="475" t="s">
        <v>34</v>
      </c>
      <c r="G3902" s="364">
        <v>92928</v>
      </c>
      <c r="H3902" s="475" t="s">
        <v>6533</v>
      </c>
      <c r="I3902" s="475" t="s">
        <v>171</v>
      </c>
      <c r="J3902" s="475" t="s">
        <v>337</v>
      </c>
      <c r="K3902" s="365">
        <v>33.57</v>
      </c>
      <c r="L3902" s="475" t="s">
        <v>141</v>
      </c>
      <c r="M3902" s="473"/>
    </row>
    <row r="3903" spans="1:13" ht="13.5">
      <c r="A3903" s="475" t="s">
        <v>5516</v>
      </c>
      <c r="B3903" s="475" t="s">
        <v>5517</v>
      </c>
      <c r="C3903" s="475" t="s">
        <v>5458</v>
      </c>
      <c r="D3903" s="475" t="s">
        <v>5520</v>
      </c>
      <c r="E3903" s="476" t="s">
        <v>34</v>
      </c>
      <c r="F3903" s="475" t="s">
        <v>34</v>
      </c>
      <c r="G3903" s="364">
        <v>92929</v>
      </c>
      <c r="H3903" s="475" t="s">
        <v>6534</v>
      </c>
      <c r="I3903" s="475" t="s">
        <v>171</v>
      </c>
      <c r="J3903" s="475" t="s">
        <v>337</v>
      </c>
      <c r="K3903" s="365">
        <v>33.57</v>
      </c>
      <c r="L3903" s="475" t="s">
        <v>141</v>
      </c>
      <c r="M3903" s="473"/>
    </row>
    <row r="3904" spans="1:13" ht="13.5">
      <c r="A3904" s="475" t="s">
        <v>5516</v>
      </c>
      <c r="B3904" s="475" t="s">
        <v>5517</v>
      </c>
      <c r="C3904" s="475" t="s">
        <v>5458</v>
      </c>
      <c r="D3904" s="475" t="s">
        <v>5520</v>
      </c>
      <c r="E3904" s="476" t="s">
        <v>34</v>
      </c>
      <c r="F3904" s="475" t="s">
        <v>34</v>
      </c>
      <c r="G3904" s="364">
        <v>92930</v>
      </c>
      <c r="H3904" s="475" t="s">
        <v>6535</v>
      </c>
      <c r="I3904" s="475" t="s">
        <v>171</v>
      </c>
      <c r="J3904" s="475" t="s">
        <v>337</v>
      </c>
      <c r="K3904" s="365">
        <v>33.57</v>
      </c>
      <c r="L3904" s="475" t="s">
        <v>141</v>
      </c>
      <c r="M3904" s="473"/>
    </row>
    <row r="3905" spans="1:13" ht="13.5">
      <c r="A3905" s="475" t="s">
        <v>5516</v>
      </c>
      <c r="B3905" s="475" t="s">
        <v>5517</v>
      </c>
      <c r="C3905" s="475" t="s">
        <v>5458</v>
      </c>
      <c r="D3905" s="475" t="s">
        <v>5520</v>
      </c>
      <c r="E3905" s="476" t="s">
        <v>34</v>
      </c>
      <c r="F3905" s="475" t="s">
        <v>34</v>
      </c>
      <c r="G3905" s="364">
        <v>92931</v>
      </c>
      <c r="H3905" s="475" t="s">
        <v>6536</v>
      </c>
      <c r="I3905" s="475" t="s">
        <v>171</v>
      </c>
      <c r="J3905" s="475" t="s">
        <v>337</v>
      </c>
      <c r="K3905" s="365">
        <v>43.93</v>
      </c>
      <c r="L3905" s="475" t="s">
        <v>141</v>
      </c>
      <c r="M3905" s="473"/>
    </row>
    <row r="3906" spans="1:13" ht="13.5">
      <c r="A3906" s="475" t="s">
        <v>5516</v>
      </c>
      <c r="B3906" s="475" t="s">
        <v>5517</v>
      </c>
      <c r="C3906" s="475" t="s">
        <v>5458</v>
      </c>
      <c r="D3906" s="475" t="s">
        <v>5520</v>
      </c>
      <c r="E3906" s="476" t="s">
        <v>34</v>
      </c>
      <c r="F3906" s="475" t="s">
        <v>34</v>
      </c>
      <c r="G3906" s="364">
        <v>92932</v>
      </c>
      <c r="H3906" s="475" t="s">
        <v>6537</v>
      </c>
      <c r="I3906" s="475" t="s">
        <v>171</v>
      </c>
      <c r="J3906" s="475" t="s">
        <v>337</v>
      </c>
      <c r="K3906" s="365">
        <v>43.93</v>
      </c>
      <c r="L3906" s="475" t="s">
        <v>141</v>
      </c>
      <c r="M3906" s="473"/>
    </row>
    <row r="3907" spans="1:13" ht="13.5">
      <c r="A3907" s="475" t="s">
        <v>5516</v>
      </c>
      <c r="B3907" s="475" t="s">
        <v>5517</v>
      </c>
      <c r="C3907" s="475" t="s">
        <v>5458</v>
      </c>
      <c r="D3907" s="475" t="s">
        <v>5520</v>
      </c>
      <c r="E3907" s="476" t="s">
        <v>34</v>
      </c>
      <c r="F3907" s="475" t="s">
        <v>34</v>
      </c>
      <c r="G3907" s="364">
        <v>92933</v>
      </c>
      <c r="H3907" s="475" t="s">
        <v>3340</v>
      </c>
      <c r="I3907" s="475" t="s">
        <v>171</v>
      </c>
      <c r="J3907" s="475" t="s">
        <v>337</v>
      </c>
      <c r="K3907" s="365">
        <v>43.93</v>
      </c>
      <c r="L3907" s="475" t="s">
        <v>141</v>
      </c>
      <c r="M3907" s="473"/>
    </row>
    <row r="3908" spans="1:13" ht="13.5">
      <c r="A3908" s="475" t="s">
        <v>5516</v>
      </c>
      <c r="B3908" s="475" t="s">
        <v>5517</v>
      </c>
      <c r="C3908" s="475" t="s">
        <v>5458</v>
      </c>
      <c r="D3908" s="475" t="s">
        <v>5520</v>
      </c>
      <c r="E3908" s="476" t="s">
        <v>34</v>
      </c>
      <c r="F3908" s="475" t="s">
        <v>34</v>
      </c>
      <c r="G3908" s="364">
        <v>92934</v>
      </c>
      <c r="H3908" s="475" t="s">
        <v>6538</v>
      </c>
      <c r="I3908" s="475" t="s">
        <v>171</v>
      </c>
      <c r="J3908" s="475" t="s">
        <v>337</v>
      </c>
      <c r="K3908" s="365">
        <v>63.54</v>
      </c>
      <c r="L3908" s="475" t="s">
        <v>141</v>
      </c>
      <c r="M3908" s="473"/>
    </row>
    <row r="3909" spans="1:13" ht="13.5">
      <c r="A3909" s="475" t="s">
        <v>5516</v>
      </c>
      <c r="B3909" s="475" t="s">
        <v>5517</v>
      </c>
      <c r="C3909" s="475" t="s">
        <v>5458</v>
      </c>
      <c r="D3909" s="475" t="s">
        <v>5520</v>
      </c>
      <c r="E3909" s="476" t="s">
        <v>34</v>
      </c>
      <c r="F3909" s="475" t="s">
        <v>34</v>
      </c>
      <c r="G3909" s="364">
        <v>92935</v>
      </c>
      <c r="H3909" s="475" t="s">
        <v>6539</v>
      </c>
      <c r="I3909" s="475" t="s">
        <v>171</v>
      </c>
      <c r="J3909" s="475" t="s">
        <v>337</v>
      </c>
      <c r="K3909" s="365">
        <v>63.54</v>
      </c>
      <c r="L3909" s="475" t="s">
        <v>141</v>
      </c>
      <c r="M3909" s="473"/>
    </row>
    <row r="3910" spans="1:13" ht="13.5">
      <c r="A3910" s="475" t="s">
        <v>5516</v>
      </c>
      <c r="B3910" s="475" t="s">
        <v>5517</v>
      </c>
      <c r="C3910" s="475" t="s">
        <v>5458</v>
      </c>
      <c r="D3910" s="475" t="s">
        <v>5520</v>
      </c>
      <c r="E3910" s="476" t="s">
        <v>34</v>
      </c>
      <c r="F3910" s="475" t="s">
        <v>34</v>
      </c>
      <c r="G3910" s="364">
        <v>92936</v>
      </c>
      <c r="H3910" s="475" t="s">
        <v>6540</v>
      </c>
      <c r="I3910" s="475" t="s">
        <v>171</v>
      </c>
      <c r="J3910" s="475" t="s">
        <v>337</v>
      </c>
      <c r="K3910" s="365">
        <v>86.71</v>
      </c>
      <c r="L3910" s="475" t="s">
        <v>141</v>
      </c>
      <c r="M3910" s="473"/>
    </row>
    <row r="3911" spans="1:13" ht="13.5">
      <c r="A3911" s="475" t="s">
        <v>5516</v>
      </c>
      <c r="B3911" s="475" t="s">
        <v>5517</v>
      </c>
      <c r="C3911" s="475" t="s">
        <v>5458</v>
      </c>
      <c r="D3911" s="475" t="s">
        <v>5520</v>
      </c>
      <c r="E3911" s="476" t="s">
        <v>34</v>
      </c>
      <c r="F3911" s="475" t="s">
        <v>34</v>
      </c>
      <c r="G3911" s="364">
        <v>92937</v>
      </c>
      <c r="H3911" s="475" t="s">
        <v>3341</v>
      </c>
      <c r="I3911" s="475" t="s">
        <v>171</v>
      </c>
      <c r="J3911" s="475" t="s">
        <v>337</v>
      </c>
      <c r="K3911" s="365">
        <v>86.71</v>
      </c>
      <c r="L3911" s="475" t="s">
        <v>141</v>
      </c>
      <c r="M3911" s="473"/>
    </row>
    <row r="3912" spans="1:13" ht="13.5">
      <c r="A3912" s="475" t="s">
        <v>5516</v>
      </c>
      <c r="B3912" s="475" t="s">
        <v>5517</v>
      </c>
      <c r="C3912" s="475" t="s">
        <v>5458</v>
      </c>
      <c r="D3912" s="475" t="s">
        <v>5520</v>
      </c>
      <c r="E3912" s="476" t="s">
        <v>34</v>
      </c>
      <c r="F3912" s="475" t="s">
        <v>34</v>
      </c>
      <c r="G3912" s="364">
        <v>92938</v>
      </c>
      <c r="H3912" s="475" t="s">
        <v>3342</v>
      </c>
      <c r="I3912" s="475" t="s">
        <v>171</v>
      </c>
      <c r="J3912" s="475" t="s">
        <v>337</v>
      </c>
      <c r="K3912" s="365">
        <v>17.760000000000002</v>
      </c>
      <c r="L3912" s="475" t="s">
        <v>141</v>
      </c>
      <c r="M3912" s="473"/>
    </row>
    <row r="3913" spans="1:13" ht="13.5">
      <c r="A3913" s="475" t="s">
        <v>5516</v>
      </c>
      <c r="B3913" s="475" t="s">
        <v>5517</v>
      </c>
      <c r="C3913" s="475" t="s">
        <v>5458</v>
      </c>
      <c r="D3913" s="475" t="s">
        <v>5520</v>
      </c>
      <c r="E3913" s="476" t="s">
        <v>34</v>
      </c>
      <c r="F3913" s="475" t="s">
        <v>34</v>
      </c>
      <c r="G3913" s="364">
        <v>92939</v>
      </c>
      <c r="H3913" s="475" t="s">
        <v>3343</v>
      </c>
      <c r="I3913" s="475" t="s">
        <v>171</v>
      </c>
      <c r="J3913" s="475" t="s">
        <v>337</v>
      </c>
      <c r="K3913" s="365">
        <v>17.899999999999999</v>
      </c>
      <c r="L3913" s="475" t="s">
        <v>141</v>
      </c>
      <c r="M3913" s="473"/>
    </row>
    <row r="3914" spans="1:13" ht="13.5">
      <c r="A3914" s="475" t="s">
        <v>5516</v>
      </c>
      <c r="B3914" s="475" t="s">
        <v>5517</v>
      </c>
      <c r="C3914" s="475" t="s">
        <v>5458</v>
      </c>
      <c r="D3914" s="475" t="s">
        <v>5520</v>
      </c>
      <c r="E3914" s="476" t="s">
        <v>34</v>
      </c>
      <c r="F3914" s="475" t="s">
        <v>34</v>
      </c>
      <c r="G3914" s="364">
        <v>92940</v>
      </c>
      <c r="H3914" s="475" t="s">
        <v>6541</v>
      </c>
      <c r="I3914" s="475" t="s">
        <v>171</v>
      </c>
      <c r="J3914" s="475" t="s">
        <v>337</v>
      </c>
      <c r="K3914" s="365">
        <v>22.25</v>
      </c>
      <c r="L3914" s="475" t="s">
        <v>141</v>
      </c>
      <c r="M3914" s="473"/>
    </row>
    <row r="3915" spans="1:13" ht="13.5">
      <c r="A3915" s="475" t="s">
        <v>5516</v>
      </c>
      <c r="B3915" s="475" t="s">
        <v>5517</v>
      </c>
      <c r="C3915" s="475" t="s">
        <v>5458</v>
      </c>
      <c r="D3915" s="475" t="s">
        <v>5520</v>
      </c>
      <c r="E3915" s="476" t="s">
        <v>34</v>
      </c>
      <c r="F3915" s="475" t="s">
        <v>34</v>
      </c>
      <c r="G3915" s="364">
        <v>92941</v>
      </c>
      <c r="H3915" s="475" t="s">
        <v>6542</v>
      </c>
      <c r="I3915" s="475" t="s">
        <v>171</v>
      </c>
      <c r="J3915" s="475" t="s">
        <v>337</v>
      </c>
      <c r="K3915" s="365">
        <v>22.25</v>
      </c>
      <c r="L3915" s="475" t="s">
        <v>141</v>
      </c>
      <c r="M3915" s="473"/>
    </row>
    <row r="3916" spans="1:13" ht="13.5">
      <c r="A3916" s="475" t="s">
        <v>5516</v>
      </c>
      <c r="B3916" s="475" t="s">
        <v>5517</v>
      </c>
      <c r="C3916" s="475" t="s">
        <v>5458</v>
      </c>
      <c r="D3916" s="475" t="s">
        <v>5520</v>
      </c>
      <c r="E3916" s="476" t="s">
        <v>34</v>
      </c>
      <c r="F3916" s="475" t="s">
        <v>34</v>
      </c>
      <c r="G3916" s="364">
        <v>92942</v>
      </c>
      <c r="H3916" s="475" t="s">
        <v>6543</v>
      </c>
      <c r="I3916" s="475" t="s">
        <v>171</v>
      </c>
      <c r="J3916" s="475" t="s">
        <v>337</v>
      </c>
      <c r="K3916" s="365">
        <v>22.25</v>
      </c>
      <c r="L3916" s="475" t="s">
        <v>141</v>
      </c>
      <c r="M3916" s="473"/>
    </row>
    <row r="3917" spans="1:13" ht="13.5">
      <c r="A3917" s="475" t="s">
        <v>5516</v>
      </c>
      <c r="B3917" s="475" t="s">
        <v>5517</v>
      </c>
      <c r="C3917" s="475" t="s">
        <v>5458</v>
      </c>
      <c r="D3917" s="475" t="s">
        <v>5520</v>
      </c>
      <c r="E3917" s="476" t="s">
        <v>34</v>
      </c>
      <c r="F3917" s="475" t="s">
        <v>34</v>
      </c>
      <c r="G3917" s="364">
        <v>92943</v>
      </c>
      <c r="H3917" s="475" t="s">
        <v>6544</v>
      </c>
      <c r="I3917" s="475" t="s">
        <v>171</v>
      </c>
      <c r="J3917" s="475" t="s">
        <v>337</v>
      </c>
      <c r="K3917" s="365">
        <v>25.31</v>
      </c>
      <c r="L3917" s="475" t="s">
        <v>141</v>
      </c>
      <c r="M3917" s="473"/>
    </row>
    <row r="3918" spans="1:13" ht="13.5">
      <c r="A3918" s="475" t="s">
        <v>5516</v>
      </c>
      <c r="B3918" s="475" t="s">
        <v>5517</v>
      </c>
      <c r="C3918" s="475" t="s">
        <v>5458</v>
      </c>
      <c r="D3918" s="475" t="s">
        <v>5520</v>
      </c>
      <c r="E3918" s="476" t="s">
        <v>34</v>
      </c>
      <c r="F3918" s="475" t="s">
        <v>34</v>
      </c>
      <c r="G3918" s="364">
        <v>92944</v>
      </c>
      <c r="H3918" s="475" t="s">
        <v>6545</v>
      </c>
      <c r="I3918" s="475" t="s">
        <v>171</v>
      </c>
      <c r="J3918" s="475" t="s">
        <v>337</v>
      </c>
      <c r="K3918" s="365">
        <v>25.31</v>
      </c>
      <c r="L3918" s="475" t="s">
        <v>141</v>
      </c>
      <c r="M3918" s="473"/>
    </row>
    <row r="3919" spans="1:13" ht="13.5">
      <c r="A3919" s="475" t="s">
        <v>5516</v>
      </c>
      <c r="B3919" s="475" t="s">
        <v>5517</v>
      </c>
      <c r="C3919" s="475" t="s">
        <v>5458</v>
      </c>
      <c r="D3919" s="475" t="s">
        <v>5520</v>
      </c>
      <c r="E3919" s="476" t="s">
        <v>34</v>
      </c>
      <c r="F3919" s="475" t="s">
        <v>34</v>
      </c>
      <c r="G3919" s="364">
        <v>92945</v>
      </c>
      <c r="H3919" s="475" t="s">
        <v>6546</v>
      </c>
      <c r="I3919" s="475" t="s">
        <v>171</v>
      </c>
      <c r="J3919" s="475" t="s">
        <v>337</v>
      </c>
      <c r="K3919" s="365">
        <v>25.31</v>
      </c>
      <c r="L3919" s="475" t="s">
        <v>141</v>
      </c>
      <c r="M3919" s="473"/>
    </row>
    <row r="3920" spans="1:13" ht="13.5">
      <c r="A3920" s="475" t="s">
        <v>5516</v>
      </c>
      <c r="B3920" s="475" t="s">
        <v>5517</v>
      </c>
      <c r="C3920" s="475" t="s">
        <v>5458</v>
      </c>
      <c r="D3920" s="475" t="s">
        <v>5520</v>
      </c>
      <c r="E3920" s="476" t="s">
        <v>34</v>
      </c>
      <c r="F3920" s="475" t="s">
        <v>34</v>
      </c>
      <c r="G3920" s="364">
        <v>92946</v>
      </c>
      <c r="H3920" s="475" t="s">
        <v>6547</v>
      </c>
      <c r="I3920" s="475" t="s">
        <v>171</v>
      </c>
      <c r="J3920" s="475" t="s">
        <v>337</v>
      </c>
      <c r="K3920" s="365">
        <v>34.42</v>
      </c>
      <c r="L3920" s="475" t="s">
        <v>141</v>
      </c>
      <c r="M3920" s="473"/>
    </row>
    <row r="3921" spans="1:13" ht="13.5">
      <c r="A3921" s="475" t="s">
        <v>5516</v>
      </c>
      <c r="B3921" s="475" t="s">
        <v>5517</v>
      </c>
      <c r="C3921" s="475" t="s">
        <v>5458</v>
      </c>
      <c r="D3921" s="475" t="s">
        <v>5520</v>
      </c>
      <c r="E3921" s="476" t="s">
        <v>34</v>
      </c>
      <c r="F3921" s="475" t="s">
        <v>34</v>
      </c>
      <c r="G3921" s="364">
        <v>92947</v>
      </c>
      <c r="H3921" s="475" t="s">
        <v>6548</v>
      </c>
      <c r="I3921" s="475" t="s">
        <v>171</v>
      </c>
      <c r="J3921" s="475" t="s">
        <v>337</v>
      </c>
      <c r="K3921" s="365">
        <v>34.42</v>
      </c>
      <c r="L3921" s="475" t="s">
        <v>141</v>
      </c>
      <c r="M3921" s="473"/>
    </row>
    <row r="3922" spans="1:13" ht="13.5">
      <c r="A3922" s="475" t="s">
        <v>5516</v>
      </c>
      <c r="B3922" s="475" t="s">
        <v>5517</v>
      </c>
      <c r="C3922" s="475" t="s">
        <v>5458</v>
      </c>
      <c r="D3922" s="475" t="s">
        <v>5520</v>
      </c>
      <c r="E3922" s="476" t="s">
        <v>34</v>
      </c>
      <c r="F3922" s="475" t="s">
        <v>34</v>
      </c>
      <c r="G3922" s="364">
        <v>92948</v>
      </c>
      <c r="H3922" s="475" t="s">
        <v>3344</v>
      </c>
      <c r="I3922" s="475" t="s">
        <v>171</v>
      </c>
      <c r="J3922" s="475" t="s">
        <v>337</v>
      </c>
      <c r="K3922" s="365">
        <v>34.42</v>
      </c>
      <c r="L3922" s="475" t="s">
        <v>141</v>
      </c>
      <c r="M3922" s="473"/>
    </row>
    <row r="3923" spans="1:13" ht="13.5">
      <c r="A3923" s="475" t="s">
        <v>5516</v>
      </c>
      <c r="B3923" s="475" t="s">
        <v>5517</v>
      </c>
      <c r="C3923" s="475" t="s">
        <v>5458</v>
      </c>
      <c r="D3923" s="475" t="s">
        <v>5520</v>
      </c>
      <c r="E3923" s="476" t="s">
        <v>34</v>
      </c>
      <c r="F3923" s="475" t="s">
        <v>34</v>
      </c>
      <c r="G3923" s="364">
        <v>92949</v>
      </c>
      <c r="H3923" s="475" t="s">
        <v>6549</v>
      </c>
      <c r="I3923" s="475" t="s">
        <v>171</v>
      </c>
      <c r="J3923" s="475" t="s">
        <v>337</v>
      </c>
      <c r="K3923" s="365">
        <v>52.15</v>
      </c>
      <c r="L3923" s="475" t="s">
        <v>141</v>
      </c>
      <c r="M3923" s="473"/>
    </row>
    <row r="3924" spans="1:13" ht="13.5">
      <c r="A3924" s="475" t="s">
        <v>5516</v>
      </c>
      <c r="B3924" s="475" t="s">
        <v>5517</v>
      </c>
      <c r="C3924" s="475" t="s">
        <v>5458</v>
      </c>
      <c r="D3924" s="475" t="s">
        <v>5520</v>
      </c>
      <c r="E3924" s="476" t="s">
        <v>34</v>
      </c>
      <c r="F3924" s="475" t="s">
        <v>34</v>
      </c>
      <c r="G3924" s="364">
        <v>92950</v>
      </c>
      <c r="H3924" s="475" t="s">
        <v>3345</v>
      </c>
      <c r="I3924" s="475" t="s">
        <v>171</v>
      </c>
      <c r="J3924" s="475" t="s">
        <v>337</v>
      </c>
      <c r="K3924" s="365">
        <v>52.15</v>
      </c>
      <c r="L3924" s="475" t="s">
        <v>141</v>
      </c>
      <c r="M3924" s="473"/>
    </row>
    <row r="3925" spans="1:13" ht="13.5">
      <c r="A3925" s="475" t="s">
        <v>5516</v>
      </c>
      <c r="B3925" s="475" t="s">
        <v>5517</v>
      </c>
      <c r="C3925" s="475" t="s">
        <v>5458</v>
      </c>
      <c r="D3925" s="475" t="s">
        <v>5520</v>
      </c>
      <c r="E3925" s="476" t="s">
        <v>34</v>
      </c>
      <c r="F3925" s="475" t="s">
        <v>34</v>
      </c>
      <c r="G3925" s="364">
        <v>92951</v>
      </c>
      <c r="H3925" s="475" t="s">
        <v>6550</v>
      </c>
      <c r="I3925" s="475" t="s">
        <v>171</v>
      </c>
      <c r="J3925" s="475" t="s">
        <v>337</v>
      </c>
      <c r="K3925" s="365">
        <v>73.459999999999994</v>
      </c>
      <c r="L3925" s="475" t="s">
        <v>141</v>
      </c>
      <c r="M3925" s="473"/>
    </row>
    <row r="3926" spans="1:13" ht="13.5">
      <c r="A3926" s="475" t="s">
        <v>5516</v>
      </c>
      <c r="B3926" s="475" t="s">
        <v>5517</v>
      </c>
      <c r="C3926" s="475" t="s">
        <v>5458</v>
      </c>
      <c r="D3926" s="475" t="s">
        <v>5520</v>
      </c>
      <c r="E3926" s="476" t="s">
        <v>34</v>
      </c>
      <c r="F3926" s="475" t="s">
        <v>34</v>
      </c>
      <c r="G3926" s="364">
        <v>92952</v>
      </c>
      <c r="H3926" s="475" t="s">
        <v>3346</v>
      </c>
      <c r="I3926" s="475" t="s">
        <v>171</v>
      </c>
      <c r="J3926" s="475" t="s">
        <v>337</v>
      </c>
      <c r="K3926" s="365">
        <v>73.459999999999994</v>
      </c>
      <c r="L3926" s="475" t="s">
        <v>141</v>
      </c>
      <c r="M3926" s="473"/>
    </row>
    <row r="3927" spans="1:13" ht="13.5">
      <c r="A3927" s="475" t="s">
        <v>5516</v>
      </c>
      <c r="B3927" s="475" t="s">
        <v>5517</v>
      </c>
      <c r="C3927" s="475" t="s">
        <v>5458</v>
      </c>
      <c r="D3927" s="475" t="s">
        <v>5520</v>
      </c>
      <c r="E3927" s="476" t="s">
        <v>34</v>
      </c>
      <c r="F3927" s="475" t="s">
        <v>34</v>
      </c>
      <c r="G3927" s="364">
        <v>92953</v>
      </c>
      <c r="H3927" s="475" t="s">
        <v>3347</v>
      </c>
      <c r="I3927" s="475" t="s">
        <v>171</v>
      </c>
      <c r="J3927" s="475" t="s">
        <v>337</v>
      </c>
      <c r="K3927" s="365">
        <v>15.57</v>
      </c>
      <c r="L3927" s="475" t="s">
        <v>141</v>
      </c>
      <c r="M3927" s="473"/>
    </row>
    <row r="3928" spans="1:13" ht="13.5">
      <c r="A3928" s="475" t="s">
        <v>5516</v>
      </c>
      <c r="B3928" s="475" t="s">
        <v>5517</v>
      </c>
      <c r="C3928" s="475" t="s">
        <v>5458</v>
      </c>
      <c r="D3928" s="475" t="s">
        <v>5520</v>
      </c>
      <c r="E3928" s="476" t="s">
        <v>34</v>
      </c>
      <c r="F3928" s="475" t="s">
        <v>34</v>
      </c>
      <c r="G3928" s="364">
        <v>93050</v>
      </c>
      <c r="H3928" s="475" t="s">
        <v>7645</v>
      </c>
      <c r="I3928" s="475" t="s">
        <v>171</v>
      </c>
      <c r="J3928" s="475" t="s">
        <v>140</v>
      </c>
      <c r="K3928" s="365">
        <v>7.16</v>
      </c>
      <c r="L3928" s="475" t="s">
        <v>141</v>
      </c>
      <c r="M3928" s="473"/>
    </row>
    <row r="3929" spans="1:13" ht="13.5">
      <c r="A3929" s="475" t="s">
        <v>5516</v>
      </c>
      <c r="B3929" s="475" t="s">
        <v>5517</v>
      </c>
      <c r="C3929" s="475" t="s">
        <v>5458</v>
      </c>
      <c r="D3929" s="475" t="s">
        <v>5520</v>
      </c>
      <c r="E3929" s="476" t="s">
        <v>34</v>
      </c>
      <c r="F3929" s="475" t="s">
        <v>34</v>
      </c>
      <c r="G3929" s="364">
        <v>93051</v>
      </c>
      <c r="H3929" s="475" t="s">
        <v>7646</v>
      </c>
      <c r="I3929" s="475" t="s">
        <v>171</v>
      </c>
      <c r="J3929" s="475" t="s">
        <v>140</v>
      </c>
      <c r="K3929" s="365">
        <v>6.64</v>
      </c>
      <c r="L3929" s="475" t="s">
        <v>141</v>
      </c>
      <c r="M3929" s="473"/>
    </row>
    <row r="3930" spans="1:13" ht="13.5">
      <c r="A3930" s="475" t="s">
        <v>5516</v>
      </c>
      <c r="B3930" s="475" t="s">
        <v>5517</v>
      </c>
      <c r="C3930" s="475" t="s">
        <v>5458</v>
      </c>
      <c r="D3930" s="475" t="s">
        <v>5520</v>
      </c>
      <c r="E3930" s="476" t="s">
        <v>34</v>
      </c>
      <c r="F3930" s="475" t="s">
        <v>34</v>
      </c>
      <c r="G3930" s="364">
        <v>93052</v>
      </c>
      <c r="H3930" s="475" t="s">
        <v>7647</v>
      </c>
      <c r="I3930" s="475" t="s">
        <v>171</v>
      </c>
      <c r="J3930" s="475" t="s">
        <v>140</v>
      </c>
      <c r="K3930" s="365">
        <v>301.39999999999998</v>
      </c>
      <c r="L3930" s="475" t="s">
        <v>141</v>
      </c>
      <c r="M3930" s="473"/>
    </row>
    <row r="3931" spans="1:13" ht="13.5">
      <c r="A3931" s="475" t="s">
        <v>5516</v>
      </c>
      <c r="B3931" s="475" t="s">
        <v>5517</v>
      </c>
      <c r="C3931" s="475" t="s">
        <v>5458</v>
      </c>
      <c r="D3931" s="475" t="s">
        <v>5520</v>
      </c>
      <c r="E3931" s="476" t="s">
        <v>34</v>
      </c>
      <c r="F3931" s="475" t="s">
        <v>34</v>
      </c>
      <c r="G3931" s="364">
        <v>93054</v>
      </c>
      <c r="H3931" s="475" t="s">
        <v>7648</v>
      </c>
      <c r="I3931" s="475" t="s">
        <v>171</v>
      </c>
      <c r="J3931" s="475" t="s">
        <v>140</v>
      </c>
      <c r="K3931" s="365">
        <v>13.29</v>
      </c>
      <c r="L3931" s="475" t="s">
        <v>141</v>
      </c>
      <c r="M3931" s="473"/>
    </row>
    <row r="3932" spans="1:13" ht="13.5">
      <c r="A3932" s="475" t="s">
        <v>5516</v>
      </c>
      <c r="B3932" s="475" t="s">
        <v>5517</v>
      </c>
      <c r="C3932" s="475" t="s">
        <v>5458</v>
      </c>
      <c r="D3932" s="475" t="s">
        <v>5520</v>
      </c>
      <c r="E3932" s="476" t="s">
        <v>34</v>
      </c>
      <c r="F3932" s="475" t="s">
        <v>34</v>
      </c>
      <c r="G3932" s="364">
        <v>93055</v>
      </c>
      <c r="H3932" s="475" t="s">
        <v>7649</v>
      </c>
      <c r="I3932" s="475" t="s">
        <v>171</v>
      </c>
      <c r="J3932" s="475" t="s">
        <v>140</v>
      </c>
      <c r="K3932" s="365">
        <v>26.64</v>
      </c>
      <c r="L3932" s="475" t="s">
        <v>141</v>
      </c>
      <c r="M3932" s="473"/>
    </row>
    <row r="3933" spans="1:13" ht="13.5">
      <c r="A3933" s="475" t="s">
        <v>5516</v>
      </c>
      <c r="B3933" s="475" t="s">
        <v>5517</v>
      </c>
      <c r="C3933" s="475" t="s">
        <v>5458</v>
      </c>
      <c r="D3933" s="475" t="s">
        <v>5520</v>
      </c>
      <c r="E3933" s="476" t="s">
        <v>34</v>
      </c>
      <c r="F3933" s="475" t="s">
        <v>34</v>
      </c>
      <c r="G3933" s="364">
        <v>93056</v>
      </c>
      <c r="H3933" s="475" t="s">
        <v>7650</v>
      </c>
      <c r="I3933" s="475" t="s">
        <v>171</v>
      </c>
      <c r="J3933" s="475" t="s">
        <v>140</v>
      </c>
      <c r="K3933" s="365">
        <v>10.34</v>
      </c>
      <c r="L3933" s="475" t="s">
        <v>141</v>
      </c>
      <c r="M3933" s="473"/>
    </row>
    <row r="3934" spans="1:13" ht="13.5">
      <c r="A3934" s="475" t="s">
        <v>5516</v>
      </c>
      <c r="B3934" s="475" t="s">
        <v>5517</v>
      </c>
      <c r="C3934" s="475" t="s">
        <v>5458</v>
      </c>
      <c r="D3934" s="475" t="s">
        <v>5520</v>
      </c>
      <c r="E3934" s="476" t="s">
        <v>34</v>
      </c>
      <c r="F3934" s="475" t="s">
        <v>34</v>
      </c>
      <c r="G3934" s="364">
        <v>93057</v>
      </c>
      <c r="H3934" s="475" t="s">
        <v>7651</v>
      </c>
      <c r="I3934" s="475" t="s">
        <v>171</v>
      </c>
      <c r="J3934" s="475" t="s">
        <v>140</v>
      </c>
      <c r="K3934" s="365">
        <v>9.09</v>
      </c>
      <c r="L3934" s="475" t="s">
        <v>141</v>
      </c>
      <c r="M3934" s="473"/>
    </row>
    <row r="3935" spans="1:13" ht="13.5">
      <c r="A3935" s="475" t="s">
        <v>5516</v>
      </c>
      <c r="B3935" s="475" t="s">
        <v>5517</v>
      </c>
      <c r="C3935" s="475" t="s">
        <v>5458</v>
      </c>
      <c r="D3935" s="475" t="s">
        <v>5520</v>
      </c>
      <c r="E3935" s="476" t="s">
        <v>34</v>
      </c>
      <c r="F3935" s="475" t="s">
        <v>34</v>
      </c>
      <c r="G3935" s="364">
        <v>93058</v>
      </c>
      <c r="H3935" s="475" t="s">
        <v>7652</v>
      </c>
      <c r="I3935" s="475" t="s">
        <v>171</v>
      </c>
      <c r="J3935" s="475" t="s">
        <v>140</v>
      </c>
      <c r="K3935" s="365">
        <v>331.47</v>
      </c>
      <c r="L3935" s="475" t="s">
        <v>141</v>
      </c>
      <c r="M3935" s="473"/>
    </row>
    <row r="3936" spans="1:13" ht="13.5">
      <c r="A3936" s="475" t="s">
        <v>5516</v>
      </c>
      <c r="B3936" s="475" t="s">
        <v>5517</v>
      </c>
      <c r="C3936" s="475" t="s">
        <v>5458</v>
      </c>
      <c r="D3936" s="475" t="s">
        <v>5520</v>
      </c>
      <c r="E3936" s="476" t="s">
        <v>34</v>
      </c>
      <c r="F3936" s="475" t="s">
        <v>34</v>
      </c>
      <c r="G3936" s="364">
        <v>93059</v>
      </c>
      <c r="H3936" s="475" t="s">
        <v>7653</v>
      </c>
      <c r="I3936" s="475" t="s">
        <v>171</v>
      </c>
      <c r="J3936" s="475" t="s">
        <v>140</v>
      </c>
      <c r="K3936" s="365">
        <v>18.16</v>
      </c>
      <c r="L3936" s="475" t="s">
        <v>141</v>
      </c>
      <c r="M3936" s="473"/>
    </row>
    <row r="3937" spans="1:13" ht="13.5">
      <c r="A3937" s="475" t="s">
        <v>5516</v>
      </c>
      <c r="B3937" s="475" t="s">
        <v>5517</v>
      </c>
      <c r="C3937" s="475" t="s">
        <v>5458</v>
      </c>
      <c r="D3937" s="475" t="s">
        <v>5520</v>
      </c>
      <c r="E3937" s="476" t="s">
        <v>34</v>
      </c>
      <c r="F3937" s="475" t="s">
        <v>34</v>
      </c>
      <c r="G3937" s="364">
        <v>93060</v>
      </c>
      <c r="H3937" s="475" t="s">
        <v>7654</v>
      </c>
      <c r="I3937" s="475" t="s">
        <v>171</v>
      </c>
      <c r="J3937" s="475" t="s">
        <v>140</v>
      </c>
      <c r="K3937" s="365">
        <v>46.17</v>
      </c>
      <c r="L3937" s="475" t="s">
        <v>141</v>
      </c>
      <c r="M3937" s="473"/>
    </row>
    <row r="3938" spans="1:13" ht="13.5">
      <c r="A3938" s="475" t="s">
        <v>5516</v>
      </c>
      <c r="B3938" s="475" t="s">
        <v>5517</v>
      </c>
      <c r="C3938" s="475" t="s">
        <v>5458</v>
      </c>
      <c r="D3938" s="475" t="s">
        <v>5520</v>
      </c>
      <c r="E3938" s="476" t="s">
        <v>34</v>
      </c>
      <c r="F3938" s="475" t="s">
        <v>34</v>
      </c>
      <c r="G3938" s="364">
        <v>93061</v>
      </c>
      <c r="H3938" s="475" t="s">
        <v>7655</v>
      </c>
      <c r="I3938" s="475" t="s">
        <v>171</v>
      </c>
      <c r="J3938" s="475" t="s">
        <v>140</v>
      </c>
      <c r="K3938" s="365">
        <v>19.010000000000002</v>
      </c>
      <c r="L3938" s="475" t="s">
        <v>141</v>
      </c>
      <c r="M3938" s="473"/>
    </row>
    <row r="3939" spans="1:13" ht="13.5">
      <c r="A3939" s="475" t="s">
        <v>5516</v>
      </c>
      <c r="B3939" s="475" t="s">
        <v>5517</v>
      </c>
      <c r="C3939" s="475" t="s">
        <v>5458</v>
      </c>
      <c r="D3939" s="475" t="s">
        <v>5520</v>
      </c>
      <c r="E3939" s="476" t="s">
        <v>34</v>
      </c>
      <c r="F3939" s="475" t="s">
        <v>34</v>
      </c>
      <c r="G3939" s="364">
        <v>93062</v>
      </c>
      <c r="H3939" s="475" t="s">
        <v>7656</v>
      </c>
      <c r="I3939" s="475" t="s">
        <v>171</v>
      </c>
      <c r="J3939" s="475" t="s">
        <v>140</v>
      </c>
      <c r="K3939" s="365">
        <v>16.579999999999998</v>
      </c>
      <c r="L3939" s="475" t="s">
        <v>141</v>
      </c>
      <c r="M3939" s="473"/>
    </row>
    <row r="3940" spans="1:13" ht="13.5">
      <c r="A3940" s="475" t="s">
        <v>5516</v>
      </c>
      <c r="B3940" s="475" t="s">
        <v>5517</v>
      </c>
      <c r="C3940" s="475" t="s">
        <v>5458</v>
      </c>
      <c r="D3940" s="475" t="s">
        <v>5520</v>
      </c>
      <c r="E3940" s="476" t="s">
        <v>34</v>
      </c>
      <c r="F3940" s="475" t="s">
        <v>34</v>
      </c>
      <c r="G3940" s="364">
        <v>93063</v>
      </c>
      <c r="H3940" s="475" t="s">
        <v>7657</v>
      </c>
      <c r="I3940" s="475" t="s">
        <v>171</v>
      </c>
      <c r="J3940" s="475" t="s">
        <v>140</v>
      </c>
      <c r="K3940" s="365">
        <v>379.68</v>
      </c>
      <c r="L3940" s="475" t="s">
        <v>141</v>
      </c>
      <c r="M3940" s="473"/>
    </row>
    <row r="3941" spans="1:13" ht="13.5">
      <c r="A3941" s="475" t="s">
        <v>5516</v>
      </c>
      <c r="B3941" s="475" t="s">
        <v>5517</v>
      </c>
      <c r="C3941" s="475" t="s">
        <v>5458</v>
      </c>
      <c r="D3941" s="475" t="s">
        <v>5520</v>
      </c>
      <c r="E3941" s="476" t="s">
        <v>34</v>
      </c>
      <c r="F3941" s="475" t="s">
        <v>34</v>
      </c>
      <c r="G3941" s="364">
        <v>93064</v>
      </c>
      <c r="H3941" s="475" t="s">
        <v>7658</v>
      </c>
      <c r="I3941" s="475" t="s">
        <v>171</v>
      </c>
      <c r="J3941" s="475" t="s">
        <v>140</v>
      </c>
      <c r="K3941" s="365">
        <v>29.09</v>
      </c>
      <c r="L3941" s="475" t="s">
        <v>141</v>
      </c>
      <c r="M3941" s="473"/>
    </row>
    <row r="3942" spans="1:13" ht="13.5">
      <c r="A3942" s="475" t="s">
        <v>5516</v>
      </c>
      <c r="B3942" s="475" t="s">
        <v>5517</v>
      </c>
      <c r="C3942" s="475" t="s">
        <v>5458</v>
      </c>
      <c r="D3942" s="475" t="s">
        <v>5520</v>
      </c>
      <c r="E3942" s="476" t="s">
        <v>34</v>
      </c>
      <c r="F3942" s="475" t="s">
        <v>34</v>
      </c>
      <c r="G3942" s="364">
        <v>93065</v>
      </c>
      <c r="H3942" s="475" t="s">
        <v>7659</v>
      </c>
      <c r="I3942" s="475" t="s">
        <v>171</v>
      </c>
      <c r="J3942" s="475" t="s">
        <v>140</v>
      </c>
      <c r="K3942" s="365">
        <v>27.3</v>
      </c>
      <c r="L3942" s="475" t="s">
        <v>141</v>
      </c>
      <c r="M3942" s="473"/>
    </row>
    <row r="3943" spans="1:13" ht="13.5">
      <c r="A3943" s="475" t="s">
        <v>5516</v>
      </c>
      <c r="B3943" s="475" t="s">
        <v>5517</v>
      </c>
      <c r="C3943" s="475" t="s">
        <v>5458</v>
      </c>
      <c r="D3943" s="475" t="s">
        <v>5520</v>
      </c>
      <c r="E3943" s="476" t="s">
        <v>34</v>
      </c>
      <c r="F3943" s="475" t="s">
        <v>34</v>
      </c>
      <c r="G3943" s="364">
        <v>93066</v>
      </c>
      <c r="H3943" s="475" t="s">
        <v>7660</v>
      </c>
      <c r="I3943" s="475" t="s">
        <v>171</v>
      </c>
      <c r="J3943" s="475" t="s">
        <v>140</v>
      </c>
      <c r="K3943" s="365">
        <v>476.55</v>
      </c>
      <c r="L3943" s="475" t="s">
        <v>141</v>
      </c>
      <c r="M3943" s="473"/>
    </row>
    <row r="3944" spans="1:13" ht="13.5">
      <c r="A3944" s="475" t="s">
        <v>5516</v>
      </c>
      <c r="B3944" s="475" t="s">
        <v>5517</v>
      </c>
      <c r="C3944" s="475" t="s">
        <v>5458</v>
      </c>
      <c r="D3944" s="475" t="s">
        <v>5520</v>
      </c>
      <c r="E3944" s="476" t="s">
        <v>34</v>
      </c>
      <c r="F3944" s="475" t="s">
        <v>34</v>
      </c>
      <c r="G3944" s="364">
        <v>93067</v>
      </c>
      <c r="H3944" s="475" t="s">
        <v>7661</v>
      </c>
      <c r="I3944" s="475" t="s">
        <v>171</v>
      </c>
      <c r="J3944" s="475" t="s">
        <v>140</v>
      </c>
      <c r="K3944" s="365">
        <v>42.95</v>
      </c>
      <c r="L3944" s="475" t="s">
        <v>141</v>
      </c>
      <c r="M3944" s="473"/>
    </row>
    <row r="3945" spans="1:13" ht="13.5">
      <c r="A3945" s="475" t="s">
        <v>5516</v>
      </c>
      <c r="B3945" s="475" t="s">
        <v>5517</v>
      </c>
      <c r="C3945" s="475" t="s">
        <v>5458</v>
      </c>
      <c r="D3945" s="475" t="s">
        <v>5520</v>
      </c>
      <c r="E3945" s="476" t="s">
        <v>34</v>
      </c>
      <c r="F3945" s="475" t="s">
        <v>34</v>
      </c>
      <c r="G3945" s="364">
        <v>93068</v>
      </c>
      <c r="H3945" s="475" t="s">
        <v>7662</v>
      </c>
      <c r="I3945" s="475" t="s">
        <v>171</v>
      </c>
      <c r="J3945" s="475" t="s">
        <v>140</v>
      </c>
      <c r="K3945" s="365">
        <v>37.700000000000003</v>
      </c>
      <c r="L3945" s="475" t="s">
        <v>141</v>
      </c>
      <c r="M3945" s="473"/>
    </row>
    <row r="3946" spans="1:13" ht="13.5">
      <c r="A3946" s="475" t="s">
        <v>5516</v>
      </c>
      <c r="B3946" s="475" t="s">
        <v>5517</v>
      </c>
      <c r="C3946" s="475" t="s">
        <v>5458</v>
      </c>
      <c r="D3946" s="475" t="s">
        <v>5520</v>
      </c>
      <c r="E3946" s="476" t="s">
        <v>34</v>
      </c>
      <c r="F3946" s="475" t="s">
        <v>34</v>
      </c>
      <c r="G3946" s="364">
        <v>93069</v>
      </c>
      <c r="H3946" s="475" t="s">
        <v>7663</v>
      </c>
      <c r="I3946" s="475" t="s">
        <v>171</v>
      </c>
      <c r="J3946" s="475" t="s">
        <v>140</v>
      </c>
      <c r="K3946" s="365">
        <v>660.33</v>
      </c>
      <c r="L3946" s="475" t="s">
        <v>141</v>
      </c>
      <c r="M3946" s="473"/>
    </row>
    <row r="3947" spans="1:13" ht="13.5">
      <c r="A3947" s="475" t="s">
        <v>5516</v>
      </c>
      <c r="B3947" s="475" t="s">
        <v>5517</v>
      </c>
      <c r="C3947" s="475" t="s">
        <v>5458</v>
      </c>
      <c r="D3947" s="475" t="s">
        <v>5520</v>
      </c>
      <c r="E3947" s="476" t="s">
        <v>34</v>
      </c>
      <c r="F3947" s="475" t="s">
        <v>34</v>
      </c>
      <c r="G3947" s="364">
        <v>93070</v>
      </c>
      <c r="H3947" s="475" t="s">
        <v>7664</v>
      </c>
      <c r="I3947" s="475" t="s">
        <v>171</v>
      </c>
      <c r="J3947" s="475" t="s">
        <v>140</v>
      </c>
      <c r="K3947" s="365">
        <v>107.13</v>
      </c>
      <c r="L3947" s="475" t="s">
        <v>141</v>
      </c>
      <c r="M3947" s="473"/>
    </row>
    <row r="3948" spans="1:13" ht="13.5">
      <c r="A3948" s="475" t="s">
        <v>5516</v>
      </c>
      <c r="B3948" s="475" t="s">
        <v>5517</v>
      </c>
      <c r="C3948" s="475" t="s">
        <v>5458</v>
      </c>
      <c r="D3948" s="475" t="s">
        <v>5520</v>
      </c>
      <c r="E3948" s="476" t="s">
        <v>34</v>
      </c>
      <c r="F3948" s="475" t="s">
        <v>34</v>
      </c>
      <c r="G3948" s="364">
        <v>93071</v>
      </c>
      <c r="H3948" s="475" t="s">
        <v>7665</v>
      </c>
      <c r="I3948" s="475" t="s">
        <v>171</v>
      </c>
      <c r="J3948" s="475" t="s">
        <v>140</v>
      </c>
      <c r="K3948" s="365">
        <v>99.56</v>
      </c>
      <c r="L3948" s="475" t="s">
        <v>141</v>
      </c>
      <c r="M3948" s="473"/>
    </row>
    <row r="3949" spans="1:13" ht="13.5">
      <c r="A3949" s="475" t="s">
        <v>5516</v>
      </c>
      <c r="B3949" s="475" t="s">
        <v>5517</v>
      </c>
      <c r="C3949" s="475" t="s">
        <v>5458</v>
      </c>
      <c r="D3949" s="475" t="s">
        <v>5520</v>
      </c>
      <c r="E3949" s="476" t="s">
        <v>34</v>
      </c>
      <c r="F3949" s="475" t="s">
        <v>34</v>
      </c>
      <c r="G3949" s="364">
        <v>93072</v>
      </c>
      <c r="H3949" s="475" t="s">
        <v>7666</v>
      </c>
      <c r="I3949" s="475" t="s">
        <v>171</v>
      </c>
      <c r="J3949" s="475" t="s">
        <v>140</v>
      </c>
      <c r="K3949" s="365">
        <v>871.1</v>
      </c>
      <c r="L3949" s="475" t="s">
        <v>141</v>
      </c>
      <c r="M3949" s="473"/>
    </row>
    <row r="3950" spans="1:13" ht="13.5">
      <c r="A3950" s="475" t="s">
        <v>5516</v>
      </c>
      <c r="B3950" s="475" t="s">
        <v>5517</v>
      </c>
      <c r="C3950" s="475" t="s">
        <v>5458</v>
      </c>
      <c r="D3950" s="475" t="s">
        <v>5520</v>
      </c>
      <c r="E3950" s="476" t="s">
        <v>34</v>
      </c>
      <c r="F3950" s="475" t="s">
        <v>34</v>
      </c>
      <c r="G3950" s="364">
        <v>93073</v>
      </c>
      <c r="H3950" s="475" t="s">
        <v>7667</v>
      </c>
      <c r="I3950" s="475" t="s">
        <v>171</v>
      </c>
      <c r="J3950" s="475" t="s">
        <v>140</v>
      </c>
      <c r="K3950" s="365">
        <v>48.79</v>
      </c>
      <c r="L3950" s="475" t="s">
        <v>141</v>
      </c>
      <c r="M3950" s="473"/>
    </row>
    <row r="3951" spans="1:13" ht="13.5">
      <c r="A3951" s="475" t="s">
        <v>5516</v>
      </c>
      <c r="B3951" s="475" t="s">
        <v>5517</v>
      </c>
      <c r="C3951" s="475" t="s">
        <v>5458</v>
      </c>
      <c r="D3951" s="475" t="s">
        <v>5520</v>
      </c>
      <c r="E3951" s="476" t="s">
        <v>34</v>
      </c>
      <c r="F3951" s="475" t="s">
        <v>34</v>
      </c>
      <c r="G3951" s="364">
        <v>93074</v>
      </c>
      <c r="H3951" s="475" t="s">
        <v>7668</v>
      </c>
      <c r="I3951" s="475" t="s">
        <v>171</v>
      </c>
      <c r="J3951" s="475" t="s">
        <v>140</v>
      </c>
      <c r="K3951" s="365">
        <v>8.2100000000000009</v>
      </c>
      <c r="L3951" s="475" t="s">
        <v>141</v>
      </c>
      <c r="M3951" s="473"/>
    </row>
    <row r="3952" spans="1:13" ht="13.5">
      <c r="A3952" s="475" t="s">
        <v>5516</v>
      </c>
      <c r="B3952" s="475" t="s">
        <v>5517</v>
      </c>
      <c r="C3952" s="475" t="s">
        <v>5458</v>
      </c>
      <c r="D3952" s="475" t="s">
        <v>5520</v>
      </c>
      <c r="E3952" s="476" t="s">
        <v>34</v>
      </c>
      <c r="F3952" s="475" t="s">
        <v>34</v>
      </c>
      <c r="G3952" s="364">
        <v>93075</v>
      </c>
      <c r="H3952" s="475" t="s">
        <v>7669</v>
      </c>
      <c r="I3952" s="475" t="s">
        <v>171</v>
      </c>
      <c r="J3952" s="475" t="s">
        <v>140</v>
      </c>
      <c r="K3952" s="365">
        <v>13.21</v>
      </c>
      <c r="L3952" s="475" t="s">
        <v>141</v>
      </c>
      <c r="M3952" s="473"/>
    </row>
    <row r="3953" spans="1:13" ht="13.5">
      <c r="A3953" s="475" t="s">
        <v>5516</v>
      </c>
      <c r="B3953" s="475" t="s">
        <v>5517</v>
      </c>
      <c r="C3953" s="475" t="s">
        <v>5458</v>
      </c>
      <c r="D3953" s="475" t="s">
        <v>5520</v>
      </c>
      <c r="E3953" s="476" t="s">
        <v>34</v>
      </c>
      <c r="F3953" s="475" t="s">
        <v>34</v>
      </c>
      <c r="G3953" s="364">
        <v>93076</v>
      </c>
      <c r="H3953" s="475" t="s">
        <v>7670</v>
      </c>
      <c r="I3953" s="475" t="s">
        <v>171</v>
      </c>
      <c r="J3953" s="475" t="s">
        <v>140</v>
      </c>
      <c r="K3953" s="365">
        <v>12.94</v>
      </c>
      <c r="L3953" s="475" t="s">
        <v>141</v>
      </c>
      <c r="M3953" s="473"/>
    </row>
    <row r="3954" spans="1:13" ht="13.5">
      <c r="A3954" s="475" t="s">
        <v>5516</v>
      </c>
      <c r="B3954" s="475" t="s">
        <v>5517</v>
      </c>
      <c r="C3954" s="475" t="s">
        <v>5458</v>
      </c>
      <c r="D3954" s="475" t="s">
        <v>5520</v>
      </c>
      <c r="E3954" s="476" t="s">
        <v>34</v>
      </c>
      <c r="F3954" s="475" t="s">
        <v>34</v>
      </c>
      <c r="G3954" s="364">
        <v>93077</v>
      </c>
      <c r="H3954" s="475" t="s">
        <v>7671</v>
      </c>
      <c r="I3954" s="475" t="s">
        <v>171</v>
      </c>
      <c r="J3954" s="475" t="s">
        <v>140</v>
      </c>
      <c r="K3954" s="365">
        <v>18.55</v>
      </c>
      <c r="L3954" s="475" t="s">
        <v>141</v>
      </c>
      <c r="M3954" s="473"/>
    </row>
    <row r="3955" spans="1:13" ht="13.5">
      <c r="A3955" s="475" t="s">
        <v>5516</v>
      </c>
      <c r="B3955" s="475" t="s">
        <v>5517</v>
      </c>
      <c r="C3955" s="475" t="s">
        <v>5458</v>
      </c>
      <c r="D3955" s="475" t="s">
        <v>5520</v>
      </c>
      <c r="E3955" s="476" t="s">
        <v>34</v>
      </c>
      <c r="F3955" s="475" t="s">
        <v>34</v>
      </c>
      <c r="G3955" s="364">
        <v>93078</v>
      </c>
      <c r="H3955" s="475" t="s">
        <v>7672</v>
      </c>
      <c r="I3955" s="475" t="s">
        <v>171</v>
      </c>
      <c r="J3955" s="475" t="s">
        <v>140</v>
      </c>
      <c r="K3955" s="365">
        <v>20.02</v>
      </c>
      <c r="L3955" s="475" t="s">
        <v>141</v>
      </c>
      <c r="M3955" s="473"/>
    </row>
    <row r="3956" spans="1:13" ht="13.5">
      <c r="A3956" s="475" t="s">
        <v>5516</v>
      </c>
      <c r="B3956" s="475" t="s">
        <v>5517</v>
      </c>
      <c r="C3956" s="475" t="s">
        <v>5458</v>
      </c>
      <c r="D3956" s="475" t="s">
        <v>5520</v>
      </c>
      <c r="E3956" s="476" t="s">
        <v>34</v>
      </c>
      <c r="F3956" s="475" t="s">
        <v>34</v>
      </c>
      <c r="G3956" s="364">
        <v>93079</v>
      </c>
      <c r="H3956" s="475" t="s">
        <v>7673</v>
      </c>
      <c r="I3956" s="475" t="s">
        <v>171</v>
      </c>
      <c r="J3956" s="475" t="s">
        <v>140</v>
      </c>
      <c r="K3956" s="365">
        <v>17.86</v>
      </c>
      <c r="L3956" s="475" t="s">
        <v>141</v>
      </c>
      <c r="M3956" s="473"/>
    </row>
    <row r="3957" spans="1:13" ht="13.5">
      <c r="A3957" s="475" t="s">
        <v>5516</v>
      </c>
      <c r="B3957" s="475" t="s">
        <v>5517</v>
      </c>
      <c r="C3957" s="475" t="s">
        <v>5458</v>
      </c>
      <c r="D3957" s="475" t="s">
        <v>5520</v>
      </c>
      <c r="E3957" s="476" t="s">
        <v>34</v>
      </c>
      <c r="F3957" s="475" t="s">
        <v>34</v>
      </c>
      <c r="G3957" s="364">
        <v>93080</v>
      </c>
      <c r="H3957" s="475" t="s">
        <v>7674</v>
      </c>
      <c r="I3957" s="475" t="s">
        <v>171</v>
      </c>
      <c r="J3957" s="475" t="s">
        <v>140</v>
      </c>
      <c r="K3957" s="365">
        <v>5.37</v>
      </c>
      <c r="L3957" s="475" t="s">
        <v>141</v>
      </c>
      <c r="M3957" s="473"/>
    </row>
    <row r="3958" spans="1:13" ht="13.5">
      <c r="A3958" s="475" t="s">
        <v>5516</v>
      </c>
      <c r="B3958" s="475" t="s">
        <v>5517</v>
      </c>
      <c r="C3958" s="475" t="s">
        <v>5458</v>
      </c>
      <c r="D3958" s="475" t="s">
        <v>5520</v>
      </c>
      <c r="E3958" s="476" t="s">
        <v>34</v>
      </c>
      <c r="F3958" s="475" t="s">
        <v>34</v>
      </c>
      <c r="G3958" s="364">
        <v>93081</v>
      </c>
      <c r="H3958" s="475" t="s">
        <v>7675</v>
      </c>
      <c r="I3958" s="475" t="s">
        <v>171</v>
      </c>
      <c r="J3958" s="475" t="s">
        <v>140</v>
      </c>
      <c r="K3958" s="365">
        <v>11.71</v>
      </c>
      <c r="L3958" s="475" t="s">
        <v>141</v>
      </c>
      <c r="M3958" s="473"/>
    </row>
    <row r="3959" spans="1:13" ht="13.5">
      <c r="A3959" s="475" t="s">
        <v>5516</v>
      </c>
      <c r="B3959" s="475" t="s">
        <v>5517</v>
      </c>
      <c r="C3959" s="475" t="s">
        <v>5458</v>
      </c>
      <c r="D3959" s="475" t="s">
        <v>5520</v>
      </c>
      <c r="E3959" s="476" t="s">
        <v>34</v>
      </c>
      <c r="F3959" s="475" t="s">
        <v>34</v>
      </c>
      <c r="G3959" s="364">
        <v>93082</v>
      </c>
      <c r="H3959" s="475" t="s">
        <v>7676</v>
      </c>
      <c r="I3959" s="475" t="s">
        <v>171</v>
      </c>
      <c r="J3959" s="475" t="s">
        <v>140</v>
      </c>
      <c r="K3959" s="365">
        <v>14.24</v>
      </c>
      <c r="L3959" s="475" t="s">
        <v>141</v>
      </c>
      <c r="M3959" s="473"/>
    </row>
    <row r="3960" spans="1:13" ht="13.5">
      <c r="A3960" s="475" t="s">
        <v>5516</v>
      </c>
      <c r="B3960" s="475" t="s">
        <v>5517</v>
      </c>
      <c r="C3960" s="475" t="s">
        <v>5458</v>
      </c>
      <c r="D3960" s="475" t="s">
        <v>5520</v>
      </c>
      <c r="E3960" s="476" t="s">
        <v>34</v>
      </c>
      <c r="F3960" s="475" t="s">
        <v>34</v>
      </c>
      <c r="G3960" s="364">
        <v>93083</v>
      </c>
      <c r="H3960" s="475" t="s">
        <v>7677</v>
      </c>
      <c r="I3960" s="475" t="s">
        <v>171</v>
      </c>
      <c r="J3960" s="475" t="s">
        <v>140</v>
      </c>
      <c r="K3960" s="365">
        <v>260.77</v>
      </c>
      <c r="L3960" s="475" t="s">
        <v>141</v>
      </c>
      <c r="M3960" s="473"/>
    </row>
    <row r="3961" spans="1:13" ht="13.5">
      <c r="A3961" s="475" t="s">
        <v>5516</v>
      </c>
      <c r="B3961" s="475" t="s">
        <v>5517</v>
      </c>
      <c r="C3961" s="475" t="s">
        <v>5458</v>
      </c>
      <c r="D3961" s="475" t="s">
        <v>5520</v>
      </c>
      <c r="E3961" s="476" t="s">
        <v>34</v>
      </c>
      <c r="F3961" s="475" t="s">
        <v>34</v>
      </c>
      <c r="G3961" s="364">
        <v>93084</v>
      </c>
      <c r="H3961" s="475" t="s">
        <v>7678</v>
      </c>
      <c r="I3961" s="475" t="s">
        <v>171</v>
      </c>
      <c r="J3961" s="475" t="s">
        <v>140</v>
      </c>
      <c r="K3961" s="365">
        <v>8.58</v>
      </c>
      <c r="L3961" s="475" t="s">
        <v>141</v>
      </c>
      <c r="M3961" s="473"/>
    </row>
    <row r="3962" spans="1:13" ht="13.5">
      <c r="A3962" s="475" t="s">
        <v>5516</v>
      </c>
      <c r="B3962" s="475" t="s">
        <v>5517</v>
      </c>
      <c r="C3962" s="475" t="s">
        <v>5458</v>
      </c>
      <c r="D3962" s="475" t="s">
        <v>5520</v>
      </c>
      <c r="E3962" s="476" t="s">
        <v>34</v>
      </c>
      <c r="F3962" s="475" t="s">
        <v>34</v>
      </c>
      <c r="G3962" s="364">
        <v>93085</v>
      </c>
      <c r="H3962" s="475" t="s">
        <v>7679</v>
      </c>
      <c r="I3962" s="475" t="s">
        <v>171</v>
      </c>
      <c r="J3962" s="475" t="s">
        <v>140</v>
      </c>
      <c r="K3962" s="365">
        <v>8.06</v>
      </c>
      <c r="L3962" s="475" t="s">
        <v>141</v>
      </c>
      <c r="M3962" s="473"/>
    </row>
    <row r="3963" spans="1:13" ht="13.5">
      <c r="A3963" s="475" t="s">
        <v>5516</v>
      </c>
      <c r="B3963" s="475" t="s">
        <v>5517</v>
      </c>
      <c r="C3963" s="475" t="s">
        <v>5458</v>
      </c>
      <c r="D3963" s="475" t="s">
        <v>5520</v>
      </c>
      <c r="E3963" s="476" t="s">
        <v>34</v>
      </c>
      <c r="F3963" s="475" t="s">
        <v>34</v>
      </c>
      <c r="G3963" s="364">
        <v>93086</v>
      </c>
      <c r="H3963" s="475" t="s">
        <v>7680</v>
      </c>
      <c r="I3963" s="475" t="s">
        <v>171</v>
      </c>
      <c r="J3963" s="475" t="s">
        <v>140</v>
      </c>
      <c r="K3963" s="365">
        <v>302.82</v>
      </c>
      <c r="L3963" s="475" t="s">
        <v>141</v>
      </c>
      <c r="M3963" s="473"/>
    </row>
    <row r="3964" spans="1:13" ht="13.5">
      <c r="A3964" s="475" t="s">
        <v>5516</v>
      </c>
      <c r="B3964" s="475" t="s">
        <v>5517</v>
      </c>
      <c r="C3964" s="475" t="s">
        <v>5458</v>
      </c>
      <c r="D3964" s="475" t="s">
        <v>5520</v>
      </c>
      <c r="E3964" s="476" t="s">
        <v>34</v>
      </c>
      <c r="F3964" s="475" t="s">
        <v>34</v>
      </c>
      <c r="G3964" s="364">
        <v>93087</v>
      </c>
      <c r="H3964" s="475" t="s">
        <v>7681</v>
      </c>
      <c r="I3964" s="475" t="s">
        <v>171</v>
      </c>
      <c r="J3964" s="475" t="s">
        <v>140</v>
      </c>
      <c r="K3964" s="365">
        <v>12.76</v>
      </c>
      <c r="L3964" s="475" t="s">
        <v>141</v>
      </c>
      <c r="M3964" s="473"/>
    </row>
    <row r="3965" spans="1:13" ht="13.5">
      <c r="A3965" s="475" t="s">
        <v>5516</v>
      </c>
      <c r="B3965" s="475" t="s">
        <v>5517</v>
      </c>
      <c r="C3965" s="475" t="s">
        <v>5458</v>
      </c>
      <c r="D3965" s="475" t="s">
        <v>5520</v>
      </c>
      <c r="E3965" s="476" t="s">
        <v>34</v>
      </c>
      <c r="F3965" s="475" t="s">
        <v>34</v>
      </c>
      <c r="G3965" s="364">
        <v>93088</v>
      </c>
      <c r="H3965" s="475" t="s">
        <v>7682</v>
      </c>
      <c r="I3965" s="475" t="s">
        <v>171</v>
      </c>
      <c r="J3965" s="475" t="s">
        <v>140</v>
      </c>
      <c r="K3965" s="365">
        <v>14.83</v>
      </c>
      <c r="L3965" s="475" t="s">
        <v>141</v>
      </c>
      <c r="M3965" s="473"/>
    </row>
    <row r="3966" spans="1:13" ht="13.5">
      <c r="A3966" s="475" t="s">
        <v>5516</v>
      </c>
      <c r="B3966" s="475" t="s">
        <v>5517</v>
      </c>
      <c r="C3966" s="475" t="s">
        <v>5458</v>
      </c>
      <c r="D3966" s="475" t="s">
        <v>5520</v>
      </c>
      <c r="E3966" s="476" t="s">
        <v>34</v>
      </c>
      <c r="F3966" s="475" t="s">
        <v>34</v>
      </c>
      <c r="G3966" s="364">
        <v>93089</v>
      </c>
      <c r="H3966" s="475" t="s">
        <v>7683</v>
      </c>
      <c r="I3966" s="475" t="s">
        <v>171</v>
      </c>
      <c r="J3966" s="475" t="s">
        <v>140</v>
      </c>
      <c r="K3966" s="365">
        <v>28.06</v>
      </c>
      <c r="L3966" s="475" t="s">
        <v>141</v>
      </c>
      <c r="M3966" s="473"/>
    </row>
    <row r="3967" spans="1:13" ht="13.5">
      <c r="A3967" s="475" t="s">
        <v>5516</v>
      </c>
      <c r="B3967" s="475" t="s">
        <v>5517</v>
      </c>
      <c r="C3967" s="475" t="s">
        <v>5458</v>
      </c>
      <c r="D3967" s="475" t="s">
        <v>5520</v>
      </c>
      <c r="E3967" s="476" t="s">
        <v>34</v>
      </c>
      <c r="F3967" s="475" t="s">
        <v>34</v>
      </c>
      <c r="G3967" s="364">
        <v>93090</v>
      </c>
      <c r="H3967" s="475" t="s">
        <v>7684</v>
      </c>
      <c r="I3967" s="475" t="s">
        <v>171</v>
      </c>
      <c r="J3967" s="475" t="s">
        <v>140</v>
      </c>
      <c r="K3967" s="365">
        <v>11.77</v>
      </c>
      <c r="L3967" s="475" t="s">
        <v>141</v>
      </c>
      <c r="M3967" s="473"/>
    </row>
    <row r="3968" spans="1:13" ht="13.5">
      <c r="A3968" s="475" t="s">
        <v>5516</v>
      </c>
      <c r="B3968" s="475" t="s">
        <v>5517</v>
      </c>
      <c r="C3968" s="475" t="s">
        <v>5458</v>
      </c>
      <c r="D3968" s="475" t="s">
        <v>5520</v>
      </c>
      <c r="E3968" s="476" t="s">
        <v>34</v>
      </c>
      <c r="F3968" s="475" t="s">
        <v>34</v>
      </c>
      <c r="G3968" s="364">
        <v>93091</v>
      </c>
      <c r="H3968" s="475" t="s">
        <v>7685</v>
      </c>
      <c r="I3968" s="475" t="s">
        <v>171</v>
      </c>
      <c r="J3968" s="475" t="s">
        <v>140</v>
      </c>
      <c r="K3968" s="365">
        <v>10.52</v>
      </c>
      <c r="L3968" s="475" t="s">
        <v>141</v>
      </c>
      <c r="M3968" s="473"/>
    </row>
    <row r="3969" spans="1:13" ht="13.5">
      <c r="A3969" s="475" t="s">
        <v>5516</v>
      </c>
      <c r="B3969" s="475" t="s">
        <v>5517</v>
      </c>
      <c r="C3969" s="475" t="s">
        <v>5458</v>
      </c>
      <c r="D3969" s="475" t="s">
        <v>5520</v>
      </c>
      <c r="E3969" s="476" t="s">
        <v>34</v>
      </c>
      <c r="F3969" s="475" t="s">
        <v>34</v>
      </c>
      <c r="G3969" s="364">
        <v>93092</v>
      </c>
      <c r="H3969" s="475" t="s">
        <v>7686</v>
      </c>
      <c r="I3969" s="475" t="s">
        <v>171</v>
      </c>
      <c r="J3969" s="475" t="s">
        <v>140</v>
      </c>
      <c r="K3969" s="365">
        <v>332.9</v>
      </c>
      <c r="L3969" s="475" t="s">
        <v>141</v>
      </c>
      <c r="M3969" s="473"/>
    </row>
    <row r="3970" spans="1:13" ht="13.5">
      <c r="A3970" s="475" t="s">
        <v>5516</v>
      </c>
      <c r="B3970" s="475" t="s">
        <v>5517</v>
      </c>
      <c r="C3970" s="475" t="s">
        <v>5458</v>
      </c>
      <c r="D3970" s="475" t="s">
        <v>5520</v>
      </c>
      <c r="E3970" s="476" t="s">
        <v>34</v>
      </c>
      <c r="F3970" s="475" t="s">
        <v>34</v>
      </c>
      <c r="G3970" s="364">
        <v>93093</v>
      </c>
      <c r="H3970" s="475" t="s">
        <v>7687</v>
      </c>
      <c r="I3970" s="475" t="s">
        <v>171</v>
      </c>
      <c r="J3970" s="475" t="s">
        <v>140</v>
      </c>
      <c r="K3970" s="365">
        <v>19.59</v>
      </c>
      <c r="L3970" s="475" t="s">
        <v>141</v>
      </c>
      <c r="M3970" s="473"/>
    </row>
    <row r="3971" spans="1:13" ht="13.5">
      <c r="A3971" s="475" t="s">
        <v>5516</v>
      </c>
      <c r="B3971" s="475" t="s">
        <v>5517</v>
      </c>
      <c r="C3971" s="475" t="s">
        <v>5458</v>
      </c>
      <c r="D3971" s="475" t="s">
        <v>5520</v>
      </c>
      <c r="E3971" s="476" t="s">
        <v>34</v>
      </c>
      <c r="F3971" s="475" t="s">
        <v>34</v>
      </c>
      <c r="G3971" s="364">
        <v>93094</v>
      </c>
      <c r="H3971" s="475" t="s">
        <v>7688</v>
      </c>
      <c r="I3971" s="475" t="s">
        <v>171</v>
      </c>
      <c r="J3971" s="475" t="s">
        <v>140</v>
      </c>
      <c r="K3971" s="365">
        <v>47.6</v>
      </c>
      <c r="L3971" s="475" t="s">
        <v>141</v>
      </c>
      <c r="M3971" s="473"/>
    </row>
    <row r="3972" spans="1:13" ht="13.5">
      <c r="A3972" s="475" t="s">
        <v>5516</v>
      </c>
      <c r="B3972" s="475" t="s">
        <v>5517</v>
      </c>
      <c r="C3972" s="475" t="s">
        <v>5458</v>
      </c>
      <c r="D3972" s="475" t="s">
        <v>5520</v>
      </c>
      <c r="E3972" s="476" t="s">
        <v>34</v>
      </c>
      <c r="F3972" s="475" t="s">
        <v>34</v>
      </c>
      <c r="G3972" s="364">
        <v>93095</v>
      </c>
      <c r="H3972" s="475" t="s">
        <v>7689</v>
      </c>
      <c r="I3972" s="475" t="s">
        <v>171</v>
      </c>
      <c r="J3972" s="475" t="s">
        <v>140</v>
      </c>
      <c r="K3972" s="365">
        <v>36.409999999999997</v>
      </c>
      <c r="L3972" s="475" t="s">
        <v>141</v>
      </c>
      <c r="M3972" s="473"/>
    </row>
    <row r="3973" spans="1:13" ht="13.5">
      <c r="A3973" s="475" t="s">
        <v>5516</v>
      </c>
      <c r="B3973" s="475" t="s">
        <v>5517</v>
      </c>
      <c r="C3973" s="475" t="s">
        <v>5458</v>
      </c>
      <c r="D3973" s="475" t="s">
        <v>5520</v>
      </c>
      <c r="E3973" s="476" t="s">
        <v>34</v>
      </c>
      <c r="F3973" s="475" t="s">
        <v>34</v>
      </c>
      <c r="G3973" s="364">
        <v>93096</v>
      </c>
      <c r="H3973" s="475" t="s">
        <v>7690</v>
      </c>
      <c r="I3973" s="475" t="s">
        <v>171</v>
      </c>
      <c r="J3973" s="475" t="s">
        <v>140</v>
      </c>
      <c r="K3973" s="365">
        <v>51.61</v>
      </c>
      <c r="L3973" s="475" t="s">
        <v>141</v>
      </c>
      <c r="M3973" s="473"/>
    </row>
    <row r="3974" spans="1:13" ht="13.5">
      <c r="A3974" s="475" t="s">
        <v>5516</v>
      </c>
      <c r="B3974" s="475" t="s">
        <v>5517</v>
      </c>
      <c r="C3974" s="475" t="s">
        <v>5458</v>
      </c>
      <c r="D3974" s="475" t="s">
        <v>5520</v>
      </c>
      <c r="E3974" s="476" t="s">
        <v>34</v>
      </c>
      <c r="F3974" s="475" t="s">
        <v>34</v>
      </c>
      <c r="G3974" s="364">
        <v>93097</v>
      </c>
      <c r="H3974" s="475" t="s">
        <v>7691</v>
      </c>
      <c r="I3974" s="475" t="s">
        <v>171</v>
      </c>
      <c r="J3974" s="475" t="s">
        <v>140</v>
      </c>
      <c r="K3974" s="365">
        <v>8.3800000000000008</v>
      </c>
      <c r="L3974" s="475" t="s">
        <v>141</v>
      </c>
      <c r="M3974" s="473"/>
    </row>
    <row r="3975" spans="1:13" ht="13.5">
      <c r="A3975" s="475" t="s">
        <v>5516</v>
      </c>
      <c r="B3975" s="475" t="s">
        <v>5517</v>
      </c>
      <c r="C3975" s="475" t="s">
        <v>5458</v>
      </c>
      <c r="D3975" s="475" t="s">
        <v>5520</v>
      </c>
      <c r="E3975" s="476" t="s">
        <v>34</v>
      </c>
      <c r="F3975" s="475" t="s">
        <v>34</v>
      </c>
      <c r="G3975" s="364">
        <v>93098</v>
      </c>
      <c r="H3975" s="475" t="s">
        <v>7692</v>
      </c>
      <c r="I3975" s="475" t="s">
        <v>171</v>
      </c>
      <c r="J3975" s="475" t="s">
        <v>140</v>
      </c>
      <c r="K3975" s="365">
        <v>13.38</v>
      </c>
      <c r="L3975" s="475" t="s">
        <v>141</v>
      </c>
      <c r="M3975" s="473"/>
    </row>
    <row r="3976" spans="1:13" ht="13.5">
      <c r="A3976" s="475" t="s">
        <v>5516</v>
      </c>
      <c r="B3976" s="475" t="s">
        <v>5517</v>
      </c>
      <c r="C3976" s="475" t="s">
        <v>5458</v>
      </c>
      <c r="D3976" s="475" t="s">
        <v>5520</v>
      </c>
      <c r="E3976" s="476" t="s">
        <v>34</v>
      </c>
      <c r="F3976" s="475" t="s">
        <v>34</v>
      </c>
      <c r="G3976" s="364">
        <v>93099</v>
      </c>
      <c r="H3976" s="475" t="s">
        <v>7693</v>
      </c>
      <c r="I3976" s="475" t="s">
        <v>171</v>
      </c>
      <c r="J3976" s="475" t="s">
        <v>140</v>
      </c>
      <c r="K3976" s="365">
        <v>14.91</v>
      </c>
      <c r="L3976" s="475" t="s">
        <v>141</v>
      </c>
      <c r="M3976" s="473"/>
    </row>
    <row r="3977" spans="1:13" ht="13.5">
      <c r="A3977" s="475" t="s">
        <v>5516</v>
      </c>
      <c r="B3977" s="475" t="s">
        <v>5517</v>
      </c>
      <c r="C3977" s="475" t="s">
        <v>5458</v>
      </c>
      <c r="D3977" s="475" t="s">
        <v>5520</v>
      </c>
      <c r="E3977" s="476" t="s">
        <v>34</v>
      </c>
      <c r="F3977" s="475" t="s">
        <v>34</v>
      </c>
      <c r="G3977" s="364">
        <v>93100</v>
      </c>
      <c r="H3977" s="475" t="s">
        <v>7694</v>
      </c>
      <c r="I3977" s="475" t="s">
        <v>171</v>
      </c>
      <c r="J3977" s="475" t="s">
        <v>140</v>
      </c>
      <c r="K3977" s="365">
        <v>20.52</v>
      </c>
      <c r="L3977" s="475" t="s">
        <v>141</v>
      </c>
      <c r="M3977" s="473"/>
    </row>
    <row r="3978" spans="1:13" ht="13.5">
      <c r="A3978" s="475" t="s">
        <v>5516</v>
      </c>
      <c r="B3978" s="475" t="s">
        <v>5517</v>
      </c>
      <c r="C3978" s="475" t="s">
        <v>5458</v>
      </c>
      <c r="D3978" s="475" t="s">
        <v>5520</v>
      </c>
      <c r="E3978" s="476" t="s">
        <v>34</v>
      </c>
      <c r="F3978" s="475" t="s">
        <v>34</v>
      </c>
      <c r="G3978" s="364">
        <v>93101</v>
      </c>
      <c r="H3978" s="475" t="s">
        <v>7695</v>
      </c>
      <c r="I3978" s="475" t="s">
        <v>171</v>
      </c>
      <c r="J3978" s="475" t="s">
        <v>140</v>
      </c>
      <c r="K3978" s="365">
        <v>21.99</v>
      </c>
      <c r="L3978" s="475" t="s">
        <v>141</v>
      </c>
      <c r="M3978" s="473"/>
    </row>
    <row r="3979" spans="1:13" ht="13.5">
      <c r="A3979" s="475" t="s">
        <v>5516</v>
      </c>
      <c r="B3979" s="475" t="s">
        <v>5517</v>
      </c>
      <c r="C3979" s="475" t="s">
        <v>5458</v>
      </c>
      <c r="D3979" s="475" t="s">
        <v>5520</v>
      </c>
      <c r="E3979" s="476" t="s">
        <v>34</v>
      </c>
      <c r="F3979" s="475" t="s">
        <v>34</v>
      </c>
      <c r="G3979" s="364">
        <v>93102</v>
      </c>
      <c r="H3979" s="475" t="s">
        <v>7696</v>
      </c>
      <c r="I3979" s="475" t="s">
        <v>171</v>
      </c>
      <c r="J3979" s="475" t="s">
        <v>140</v>
      </c>
      <c r="K3979" s="365">
        <v>19.649999999999999</v>
      </c>
      <c r="L3979" s="475" t="s">
        <v>141</v>
      </c>
      <c r="M3979" s="473"/>
    </row>
    <row r="3980" spans="1:13" ht="13.5">
      <c r="A3980" s="475" t="s">
        <v>5516</v>
      </c>
      <c r="B3980" s="475" t="s">
        <v>5517</v>
      </c>
      <c r="C3980" s="475" t="s">
        <v>5458</v>
      </c>
      <c r="D3980" s="475" t="s">
        <v>5520</v>
      </c>
      <c r="E3980" s="476" t="s">
        <v>34</v>
      </c>
      <c r="F3980" s="475" t="s">
        <v>34</v>
      </c>
      <c r="G3980" s="364">
        <v>93103</v>
      </c>
      <c r="H3980" s="475" t="s">
        <v>7697</v>
      </c>
      <c r="I3980" s="475" t="s">
        <v>171</v>
      </c>
      <c r="J3980" s="475" t="s">
        <v>140</v>
      </c>
      <c r="K3980" s="365">
        <v>5.52</v>
      </c>
      <c r="L3980" s="475" t="s">
        <v>141</v>
      </c>
      <c r="M3980" s="473"/>
    </row>
    <row r="3981" spans="1:13" ht="13.5">
      <c r="A3981" s="475" t="s">
        <v>5516</v>
      </c>
      <c r="B3981" s="475" t="s">
        <v>5517</v>
      </c>
      <c r="C3981" s="475" t="s">
        <v>5458</v>
      </c>
      <c r="D3981" s="475" t="s">
        <v>5520</v>
      </c>
      <c r="E3981" s="476" t="s">
        <v>34</v>
      </c>
      <c r="F3981" s="475" t="s">
        <v>34</v>
      </c>
      <c r="G3981" s="364">
        <v>93104</v>
      </c>
      <c r="H3981" s="475" t="s">
        <v>7698</v>
      </c>
      <c r="I3981" s="475" t="s">
        <v>171</v>
      </c>
      <c r="J3981" s="475" t="s">
        <v>140</v>
      </c>
      <c r="K3981" s="365">
        <v>11.86</v>
      </c>
      <c r="L3981" s="475" t="s">
        <v>141</v>
      </c>
      <c r="M3981" s="473"/>
    </row>
    <row r="3982" spans="1:13" ht="13.5">
      <c r="A3982" s="475" t="s">
        <v>5516</v>
      </c>
      <c r="B3982" s="475" t="s">
        <v>5517</v>
      </c>
      <c r="C3982" s="475" t="s">
        <v>5458</v>
      </c>
      <c r="D3982" s="475" t="s">
        <v>5520</v>
      </c>
      <c r="E3982" s="476" t="s">
        <v>34</v>
      </c>
      <c r="F3982" s="475" t="s">
        <v>34</v>
      </c>
      <c r="G3982" s="364">
        <v>93105</v>
      </c>
      <c r="H3982" s="475" t="s">
        <v>7699</v>
      </c>
      <c r="I3982" s="475" t="s">
        <v>171</v>
      </c>
      <c r="J3982" s="475" t="s">
        <v>140</v>
      </c>
      <c r="K3982" s="365">
        <v>14.39</v>
      </c>
      <c r="L3982" s="475" t="s">
        <v>141</v>
      </c>
      <c r="M3982" s="473"/>
    </row>
    <row r="3983" spans="1:13" ht="13.5">
      <c r="A3983" s="475" t="s">
        <v>5516</v>
      </c>
      <c r="B3983" s="475" t="s">
        <v>5517</v>
      </c>
      <c r="C3983" s="475" t="s">
        <v>5458</v>
      </c>
      <c r="D3983" s="475" t="s">
        <v>5520</v>
      </c>
      <c r="E3983" s="476" t="s">
        <v>34</v>
      </c>
      <c r="F3983" s="475" t="s">
        <v>34</v>
      </c>
      <c r="G3983" s="364">
        <v>93106</v>
      </c>
      <c r="H3983" s="475" t="s">
        <v>7700</v>
      </c>
      <c r="I3983" s="475" t="s">
        <v>171</v>
      </c>
      <c r="J3983" s="475" t="s">
        <v>140</v>
      </c>
      <c r="K3983" s="365">
        <v>260.92</v>
      </c>
      <c r="L3983" s="475" t="s">
        <v>141</v>
      </c>
      <c r="M3983" s="473"/>
    </row>
    <row r="3984" spans="1:13" ht="13.5">
      <c r="A3984" s="475" t="s">
        <v>5516</v>
      </c>
      <c r="B3984" s="475" t="s">
        <v>5517</v>
      </c>
      <c r="C3984" s="475" t="s">
        <v>5458</v>
      </c>
      <c r="D3984" s="475" t="s">
        <v>5520</v>
      </c>
      <c r="E3984" s="476" t="s">
        <v>34</v>
      </c>
      <c r="F3984" s="475" t="s">
        <v>34</v>
      </c>
      <c r="G3984" s="364">
        <v>93107</v>
      </c>
      <c r="H3984" s="475" t="s">
        <v>7701</v>
      </c>
      <c r="I3984" s="475" t="s">
        <v>171</v>
      </c>
      <c r="J3984" s="475" t="s">
        <v>140</v>
      </c>
      <c r="K3984" s="365">
        <v>9.8699999999999992</v>
      </c>
      <c r="L3984" s="475" t="s">
        <v>141</v>
      </c>
      <c r="M3984" s="473"/>
    </row>
    <row r="3985" spans="1:13" ht="13.5">
      <c r="A3985" s="475" t="s">
        <v>5516</v>
      </c>
      <c r="B3985" s="475" t="s">
        <v>5517</v>
      </c>
      <c r="C3985" s="475" t="s">
        <v>5458</v>
      </c>
      <c r="D3985" s="475" t="s">
        <v>5520</v>
      </c>
      <c r="E3985" s="476" t="s">
        <v>34</v>
      </c>
      <c r="F3985" s="475" t="s">
        <v>34</v>
      </c>
      <c r="G3985" s="364">
        <v>93108</v>
      </c>
      <c r="H3985" s="475" t="s">
        <v>7702</v>
      </c>
      <c r="I3985" s="475" t="s">
        <v>171</v>
      </c>
      <c r="J3985" s="475" t="s">
        <v>140</v>
      </c>
      <c r="K3985" s="365">
        <v>9.35</v>
      </c>
      <c r="L3985" s="475" t="s">
        <v>141</v>
      </c>
      <c r="M3985" s="473"/>
    </row>
    <row r="3986" spans="1:13" ht="13.5">
      <c r="A3986" s="475" t="s">
        <v>5516</v>
      </c>
      <c r="B3986" s="475" t="s">
        <v>5517</v>
      </c>
      <c r="C3986" s="475" t="s">
        <v>5458</v>
      </c>
      <c r="D3986" s="475" t="s">
        <v>5520</v>
      </c>
      <c r="E3986" s="476" t="s">
        <v>34</v>
      </c>
      <c r="F3986" s="475" t="s">
        <v>34</v>
      </c>
      <c r="G3986" s="364">
        <v>93109</v>
      </c>
      <c r="H3986" s="475" t="s">
        <v>7703</v>
      </c>
      <c r="I3986" s="475" t="s">
        <v>171</v>
      </c>
      <c r="J3986" s="475" t="s">
        <v>140</v>
      </c>
      <c r="K3986" s="365">
        <v>304.11</v>
      </c>
      <c r="L3986" s="475" t="s">
        <v>141</v>
      </c>
      <c r="M3986" s="473"/>
    </row>
    <row r="3987" spans="1:13" ht="13.5">
      <c r="A3987" s="475" t="s">
        <v>5516</v>
      </c>
      <c r="B3987" s="475" t="s">
        <v>5517</v>
      </c>
      <c r="C3987" s="475" t="s">
        <v>5458</v>
      </c>
      <c r="D3987" s="475" t="s">
        <v>5520</v>
      </c>
      <c r="E3987" s="476" t="s">
        <v>34</v>
      </c>
      <c r="F3987" s="475" t="s">
        <v>34</v>
      </c>
      <c r="G3987" s="364">
        <v>93110</v>
      </c>
      <c r="H3987" s="475" t="s">
        <v>7704</v>
      </c>
      <c r="I3987" s="475" t="s">
        <v>171</v>
      </c>
      <c r="J3987" s="475" t="s">
        <v>140</v>
      </c>
      <c r="K3987" s="365">
        <v>14.05</v>
      </c>
      <c r="L3987" s="475" t="s">
        <v>141</v>
      </c>
      <c r="M3987" s="473"/>
    </row>
    <row r="3988" spans="1:13" ht="13.5">
      <c r="A3988" s="475" t="s">
        <v>5516</v>
      </c>
      <c r="B3988" s="475" t="s">
        <v>5517</v>
      </c>
      <c r="C3988" s="475" t="s">
        <v>5458</v>
      </c>
      <c r="D3988" s="475" t="s">
        <v>5520</v>
      </c>
      <c r="E3988" s="476" t="s">
        <v>34</v>
      </c>
      <c r="F3988" s="475" t="s">
        <v>34</v>
      </c>
      <c r="G3988" s="364">
        <v>93111</v>
      </c>
      <c r="H3988" s="475" t="s">
        <v>7705</v>
      </c>
      <c r="I3988" s="475" t="s">
        <v>171</v>
      </c>
      <c r="J3988" s="475" t="s">
        <v>140</v>
      </c>
      <c r="K3988" s="365">
        <v>16</v>
      </c>
      <c r="L3988" s="475" t="s">
        <v>141</v>
      </c>
      <c r="M3988" s="473"/>
    </row>
    <row r="3989" spans="1:13" ht="13.5">
      <c r="A3989" s="475" t="s">
        <v>5516</v>
      </c>
      <c r="B3989" s="475" t="s">
        <v>5517</v>
      </c>
      <c r="C3989" s="475" t="s">
        <v>5458</v>
      </c>
      <c r="D3989" s="475" t="s">
        <v>5520</v>
      </c>
      <c r="E3989" s="476" t="s">
        <v>34</v>
      </c>
      <c r="F3989" s="475" t="s">
        <v>34</v>
      </c>
      <c r="G3989" s="364">
        <v>93112</v>
      </c>
      <c r="H3989" s="475" t="s">
        <v>7706</v>
      </c>
      <c r="I3989" s="475" t="s">
        <v>171</v>
      </c>
      <c r="J3989" s="475" t="s">
        <v>140</v>
      </c>
      <c r="K3989" s="365">
        <v>29.35</v>
      </c>
      <c r="L3989" s="475" t="s">
        <v>141</v>
      </c>
      <c r="M3989" s="473"/>
    </row>
    <row r="3990" spans="1:13" ht="13.5">
      <c r="A3990" s="475" t="s">
        <v>5516</v>
      </c>
      <c r="B3990" s="475" t="s">
        <v>5517</v>
      </c>
      <c r="C3990" s="475" t="s">
        <v>5458</v>
      </c>
      <c r="D3990" s="475" t="s">
        <v>5520</v>
      </c>
      <c r="E3990" s="476" t="s">
        <v>34</v>
      </c>
      <c r="F3990" s="475" t="s">
        <v>34</v>
      </c>
      <c r="G3990" s="364">
        <v>93113</v>
      </c>
      <c r="H3990" s="475" t="s">
        <v>7707</v>
      </c>
      <c r="I3990" s="475" t="s">
        <v>171</v>
      </c>
      <c r="J3990" s="475" t="s">
        <v>140</v>
      </c>
      <c r="K3990" s="365">
        <v>14.08</v>
      </c>
      <c r="L3990" s="475" t="s">
        <v>141</v>
      </c>
      <c r="M3990" s="473"/>
    </row>
    <row r="3991" spans="1:13" ht="13.5">
      <c r="A3991" s="475" t="s">
        <v>5516</v>
      </c>
      <c r="B3991" s="475" t="s">
        <v>5517</v>
      </c>
      <c r="C3991" s="475" t="s">
        <v>5458</v>
      </c>
      <c r="D3991" s="475" t="s">
        <v>5520</v>
      </c>
      <c r="E3991" s="476" t="s">
        <v>34</v>
      </c>
      <c r="F3991" s="475" t="s">
        <v>34</v>
      </c>
      <c r="G3991" s="364">
        <v>93114</v>
      </c>
      <c r="H3991" s="475" t="s">
        <v>7708</v>
      </c>
      <c r="I3991" s="475" t="s">
        <v>171</v>
      </c>
      <c r="J3991" s="475" t="s">
        <v>140</v>
      </c>
      <c r="K3991" s="365">
        <v>21.9</v>
      </c>
      <c r="L3991" s="475" t="s">
        <v>141</v>
      </c>
      <c r="M3991" s="473"/>
    </row>
    <row r="3992" spans="1:13" ht="13.5">
      <c r="A3992" s="475" t="s">
        <v>5516</v>
      </c>
      <c r="B3992" s="475" t="s">
        <v>5517</v>
      </c>
      <c r="C3992" s="475" t="s">
        <v>5458</v>
      </c>
      <c r="D3992" s="475" t="s">
        <v>5520</v>
      </c>
      <c r="E3992" s="476" t="s">
        <v>34</v>
      </c>
      <c r="F3992" s="475" t="s">
        <v>34</v>
      </c>
      <c r="G3992" s="364">
        <v>93115</v>
      </c>
      <c r="H3992" s="475" t="s">
        <v>7709</v>
      </c>
      <c r="I3992" s="475" t="s">
        <v>171</v>
      </c>
      <c r="J3992" s="475" t="s">
        <v>140</v>
      </c>
      <c r="K3992" s="365">
        <v>49.91</v>
      </c>
      <c r="L3992" s="475" t="s">
        <v>141</v>
      </c>
      <c r="M3992" s="473"/>
    </row>
    <row r="3993" spans="1:13" ht="13.5">
      <c r="A3993" s="475" t="s">
        <v>5516</v>
      </c>
      <c r="B3993" s="475" t="s">
        <v>5517</v>
      </c>
      <c r="C3993" s="475" t="s">
        <v>5458</v>
      </c>
      <c r="D3993" s="475" t="s">
        <v>5520</v>
      </c>
      <c r="E3993" s="476" t="s">
        <v>34</v>
      </c>
      <c r="F3993" s="475" t="s">
        <v>34</v>
      </c>
      <c r="G3993" s="364">
        <v>93116</v>
      </c>
      <c r="H3993" s="475" t="s">
        <v>7710</v>
      </c>
      <c r="I3993" s="475" t="s">
        <v>171</v>
      </c>
      <c r="J3993" s="475" t="s">
        <v>140</v>
      </c>
      <c r="K3993" s="365">
        <v>335.21</v>
      </c>
      <c r="L3993" s="475" t="s">
        <v>141</v>
      </c>
      <c r="M3993" s="473"/>
    </row>
    <row r="3994" spans="1:13" ht="13.5">
      <c r="A3994" s="475" t="s">
        <v>5516</v>
      </c>
      <c r="B3994" s="475" t="s">
        <v>5517</v>
      </c>
      <c r="C3994" s="475" t="s">
        <v>5458</v>
      </c>
      <c r="D3994" s="475" t="s">
        <v>5520</v>
      </c>
      <c r="E3994" s="476" t="s">
        <v>34</v>
      </c>
      <c r="F3994" s="475" t="s">
        <v>34</v>
      </c>
      <c r="G3994" s="364">
        <v>93117</v>
      </c>
      <c r="H3994" s="475" t="s">
        <v>7711</v>
      </c>
      <c r="I3994" s="475" t="s">
        <v>171</v>
      </c>
      <c r="J3994" s="475" t="s">
        <v>140</v>
      </c>
      <c r="K3994" s="365">
        <v>36.619999999999997</v>
      </c>
      <c r="L3994" s="475" t="s">
        <v>141</v>
      </c>
      <c r="M3994" s="473"/>
    </row>
    <row r="3995" spans="1:13" ht="13.5">
      <c r="A3995" s="475" t="s">
        <v>5516</v>
      </c>
      <c r="B3995" s="475" t="s">
        <v>5517</v>
      </c>
      <c r="C3995" s="475" t="s">
        <v>5458</v>
      </c>
      <c r="D3995" s="475" t="s">
        <v>5520</v>
      </c>
      <c r="E3995" s="476" t="s">
        <v>34</v>
      </c>
      <c r="F3995" s="475" t="s">
        <v>34</v>
      </c>
      <c r="G3995" s="364">
        <v>93118</v>
      </c>
      <c r="H3995" s="475" t="s">
        <v>7712</v>
      </c>
      <c r="I3995" s="475" t="s">
        <v>171</v>
      </c>
      <c r="J3995" s="475" t="s">
        <v>140</v>
      </c>
      <c r="K3995" s="365">
        <v>54.19</v>
      </c>
      <c r="L3995" s="475" t="s">
        <v>141</v>
      </c>
      <c r="M3995" s="473"/>
    </row>
    <row r="3996" spans="1:13" ht="13.5">
      <c r="A3996" s="475" t="s">
        <v>5516</v>
      </c>
      <c r="B3996" s="475" t="s">
        <v>5517</v>
      </c>
      <c r="C3996" s="475" t="s">
        <v>5458</v>
      </c>
      <c r="D3996" s="475" t="s">
        <v>5520</v>
      </c>
      <c r="E3996" s="476" t="s">
        <v>34</v>
      </c>
      <c r="F3996" s="475" t="s">
        <v>34</v>
      </c>
      <c r="G3996" s="364">
        <v>93119</v>
      </c>
      <c r="H3996" s="475" t="s">
        <v>7713</v>
      </c>
      <c r="I3996" s="475" t="s">
        <v>171</v>
      </c>
      <c r="J3996" s="475" t="s">
        <v>140</v>
      </c>
      <c r="K3996" s="365">
        <v>10.85</v>
      </c>
      <c r="L3996" s="475" t="s">
        <v>141</v>
      </c>
      <c r="M3996" s="473"/>
    </row>
    <row r="3997" spans="1:13" ht="13.5">
      <c r="A3997" s="475" t="s">
        <v>5516</v>
      </c>
      <c r="B3997" s="475" t="s">
        <v>5517</v>
      </c>
      <c r="C3997" s="475" t="s">
        <v>5458</v>
      </c>
      <c r="D3997" s="475" t="s">
        <v>5520</v>
      </c>
      <c r="E3997" s="476" t="s">
        <v>34</v>
      </c>
      <c r="F3997" s="475" t="s">
        <v>34</v>
      </c>
      <c r="G3997" s="364">
        <v>93120</v>
      </c>
      <c r="H3997" s="475" t="s">
        <v>7714</v>
      </c>
      <c r="I3997" s="475" t="s">
        <v>171</v>
      </c>
      <c r="J3997" s="475" t="s">
        <v>140</v>
      </c>
      <c r="K3997" s="365">
        <v>16.46</v>
      </c>
      <c r="L3997" s="475" t="s">
        <v>141</v>
      </c>
      <c r="M3997" s="473"/>
    </row>
    <row r="3998" spans="1:13" ht="13.5">
      <c r="A3998" s="475" t="s">
        <v>5516</v>
      </c>
      <c r="B3998" s="475" t="s">
        <v>5517</v>
      </c>
      <c r="C3998" s="475" t="s">
        <v>5458</v>
      </c>
      <c r="D3998" s="475" t="s">
        <v>5520</v>
      </c>
      <c r="E3998" s="476" t="s">
        <v>34</v>
      </c>
      <c r="F3998" s="475" t="s">
        <v>34</v>
      </c>
      <c r="G3998" s="364">
        <v>93121</v>
      </c>
      <c r="H3998" s="475" t="s">
        <v>7715</v>
      </c>
      <c r="I3998" s="475" t="s">
        <v>171</v>
      </c>
      <c r="J3998" s="475" t="s">
        <v>140</v>
      </c>
      <c r="K3998" s="365">
        <v>17.93</v>
      </c>
      <c r="L3998" s="475" t="s">
        <v>141</v>
      </c>
      <c r="M3998" s="473"/>
    </row>
    <row r="3999" spans="1:13" ht="13.5">
      <c r="A3999" s="475" t="s">
        <v>5516</v>
      </c>
      <c r="B3999" s="475" t="s">
        <v>5517</v>
      </c>
      <c r="C3999" s="475" t="s">
        <v>5458</v>
      </c>
      <c r="D3999" s="475" t="s">
        <v>5520</v>
      </c>
      <c r="E3999" s="476" t="s">
        <v>34</v>
      </c>
      <c r="F3999" s="475" t="s">
        <v>34</v>
      </c>
      <c r="G3999" s="364">
        <v>93122</v>
      </c>
      <c r="H3999" s="475" t="s">
        <v>7716</v>
      </c>
      <c r="I3999" s="475" t="s">
        <v>171</v>
      </c>
      <c r="J3999" s="475" t="s">
        <v>140</v>
      </c>
      <c r="K3999" s="365">
        <v>15.77</v>
      </c>
      <c r="L3999" s="475" t="s">
        <v>141</v>
      </c>
      <c r="M3999" s="473"/>
    </row>
    <row r="4000" spans="1:13" ht="13.5">
      <c r="A4000" s="475" t="s">
        <v>5516</v>
      </c>
      <c r="B4000" s="475" t="s">
        <v>5517</v>
      </c>
      <c r="C4000" s="475" t="s">
        <v>5458</v>
      </c>
      <c r="D4000" s="475" t="s">
        <v>5520</v>
      </c>
      <c r="E4000" s="476" t="s">
        <v>34</v>
      </c>
      <c r="F4000" s="475" t="s">
        <v>34</v>
      </c>
      <c r="G4000" s="364">
        <v>93123</v>
      </c>
      <c r="H4000" s="475" t="s">
        <v>7717</v>
      </c>
      <c r="I4000" s="475" t="s">
        <v>171</v>
      </c>
      <c r="J4000" s="475" t="s">
        <v>140</v>
      </c>
      <c r="K4000" s="365">
        <v>34.07</v>
      </c>
      <c r="L4000" s="475" t="s">
        <v>141</v>
      </c>
      <c r="M4000" s="473"/>
    </row>
    <row r="4001" spans="1:13" ht="13.5">
      <c r="A4001" s="475" t="s">
        <v>5516</v>
      </c>
      <c r="B4001" s="475" t="s">
        <v>5517</v>
      </c>
      <c r="C4001" s="475" t="s">
        <v>5458</v>
      </c>
      <c r="D4001" s="475" t="s">
        <v>5520</v>
      </c>
      <c r="E4001" s="476" t="s">
        <v>34</v>
      </c>
      <c r="F4001" s="475" t="s">
        <v>34</v>
      </c>
      <c r="G4001" s="364">
        <v>93124</v>
      </c>
      <c r="H4001" s="475" t="s">
        <v>7718</v>
      </c>
      <c r="I4001" s="475" t="s">
        <v>171</v>
      </c>
      <c r="J4001" s="475" t="s">
        <v>140</v>
      </c>
      <c r="K4001" s="365">
        <v>53.28</v>
      </c>
      <c r="L4001" s="475" t="s">
        <v>141</v>
      </c>
      <c r="M4001" s="473"/>
    </row>
    <row r="4002" spans="1:13" ht="13.5">
      <c r="A4002" s="475" t="s">
        <v>5516</v>
      </c>
      <c r="B4002" s="475" t="s">
        <v>5517</v>
      </c>
      <c r="C4002" s="475" t="s">
        <v>5458</v>
      </c>
      <c r="D4002" s="475" t="s">
        <v>5520</v>
      </c>
      <c r="E4002" s="476" t="s">
        <v>34</v>
      </c>
      <c r="F4002" s="475" t="s">
        <v>34</v>
      </c>
      <c r="G4002" s="364">
        <v>93125</v>
      </c>
      <c r="H4002" s="475" t="s">
        <v>7719</v>
      </c>
      <c r="I4002" s="475" t="s">
        <v>171</v>
      </c>
      <c r="J4002" s="475" t="s">
        <v>140</v>
      </c>
      <c r="K4002" s="365">
        <v>77.319999999999993</v>
      </c>
      <c r="L4002" s="475" t="s">
        <v>141</v>
      </c>
      <c r="M4002" s="473"/>
    </row>
    <row r="4003" spans="1:13" ht="13.5">
      <c r="A4003" s="475" t="s">
        <v>5516</v>
      </c>
      <c r="B4003" s="475" t="s">
        <v>5517</v>
      </c>
      <c r="C4003" s="475" t="s">
        <v>5458</v>
      </c>
      <c r="D4003" s="475" t="s">
        <v>5520</v>
      </c>
      <c r="E4003" s="476" t="s">
        <v>34</v>
      </c>
      <c r="F4003" s="475" t="s">
        <v>34</v>
      </c>
      <c r="G4003" s="364">
        <v>93126</v>
      </c>
      <c r="H4003" s="475" t="s">
        <v>7720</v>
      </c>
      <c r="I4003" s="475" t="s">
        <v>171</v>
      </c>
      <c r="J4003" s="475" t="s">
        <v>140</v>
      </c>
      <c r="K4003" s="365">
        <v>170.24</v>
      </c>
      <c r="L4003" s="475" t="s">
        <v>141</v>
      </c>
      <c r="M4003" s="473"/>
    </row>
    <row r="4004" spans="1:13" ht="13.5">
      <c r="A4004" s="475" t="s">
        <v>5516</v>
      </c>
      <c r="B4004" s="475" t="s">
        <v>5517</v>
      </c>
      <c r="C4004" s="475" t="s">
        <v>5458</v>
      </c>
      <c r="D4004" s="475" t="s">
        <v>5520</v>
      </c>
      <c r="E4004" s="476" t="s">
        <v>34</v>
      </c>
      <c r="F4004" s="475" t="s">
        <v>34</v>
      </c>
      <c r="G4004" s="364">
        <v>93133</v>
      </c>
      <c r="H4004" s="475" t="s">
        <v>7721</v>
      </c>
      <c r="I4004" s="475" t="s">
        <v>171</v>
      </c>
      <c r="J4004" s="475" t="s">
        <v>140</v>
      </c>
      <c r="K4004" s="365">
        <v>12.83</v>
      </c>
      <c r="L4004" s="475" t="s">
        <v>141</v>
      </c>
      <c r="M4004" s="473"/>
    </row>
    <row r="4005" spans="1:13" ht="13.5">
      <c r="A4005" s="475" t="s">
        <v>5516</v>
      </c>
      <c r="B4005" s="475" t="s">
        <v>5517</v>
      </c>
      <c r="C4005" s="475" t="s">
        <v>5458</v>
      </c>
      <c r="D4005" s="475" t="s">
        <v>5520</v>
      </c>
      <c r="E4005" s="476" t="s">
        <v>34</v>
      </c>
      <c r="F4005" s="475" t="s">
        <v>34</v>
      </c>
      <c r="G4005" s="364">
        <v>94465</v>
      </c>
      <c r="H4005" s="475" t="s">
        <v>3348</v>
      </c>
      <c r="I4005" s="475" t="s">
        <v>171</v>
      </c>
      <c r="J4005" s="475" t="s">
        <v>337</v>
      </c>
      <c r="K4005" s="365">
        <v>31.75</v>
      </c>
      <c r="L4005" s="475" t="s">
        <v>141</v>
      </c>
      <c r="M4005" s="473"/>
    </row>
    <row r="4006" spans="1:13" ht="13.5">
      <c r="A4006" s="475" t="s">
        <v>5516</v>
      </c>
      <c r="B4006" s="475" t="s">
        <v>5517</v>
      </c>
      <c r="C4006" s="475" t="s">
        <v>5458</v>
      </c>
      <c r="D4006" s="475" t="s">
        <v>5520</v>
      </c>
      <c r="E4006" s="476" t="s">
        <v>34</v>
      </c>
      <c r="F4006" s="475" t="s">
        <v>34</v>
      </c>
      <c r="G4006" s="364">
        <v>94466</v>
      </c>
      <c r="H4006" s="475" t="s">
        <v>3349</v>
      </c>
      <c r="I4006" s="475" t="s">
        <v>171</v>
      </c>
      <c r="J4006" s="475" t="s">
        <v>337</v>
      </c>
      <c r="K4006" s="365">
        <v>31.76</v>
      </c>
      <c r="L4006" s="475" t="s">
        <v>141</v>
      </c>
      <c r="M4006" s="473"/>
    </row>
    <row r="4007" spans="1:13" ht="13.5">
      <c r="A4007" s="475" t="s">
        <v>5516</v>
      </c>
      <c r="B4007" s="475" t="s">
        <v>5517</v>
      </c>
      <c r="C4007" s="475" t="s">
        <v>5458</v>
      </c>
      <c r="D4007" s="475" t="s">
        <v>5520</v>
      </c>
      <c r="E4007" s="476" t="s">
        <v>34</v>
      </c>
      <c r="F4007" s="475" t="s">
        <v>34</v>
      </c>
      <c r="G4007" s="364">
        <v>94467</v>
      </c>
      <c r="H4007" s="475" t="s">
        <v>3350</v>
      </c>
      <c r="I4007" s="475" t="s">
        <v>171</v>
      </c>
      <c r="J4007" s="475" t="s">
        <v>337</v>
      </c>
      <c r="K4007" s="365">
        <v>47.89</v>
      </c>
      <c r="L4007" s="475" t="s">
        <v>141</v>
      </c>
      <c r="M4007" s="473"/>
    </row>
    <row r="4008" spans="1:13" ht="13.5">
      <c r="A4008" s="475" t="s">
        <v>5516</v>
      </c>
      <c r="B4008" s="475" t="s">
        <v>5517</v>
      </c>
      <c r="C4008" s="475" t="s">
        <v>5458</v>
      </c>
      <c r="D4008" s="475" t="s">
        <v>5520</v>
      </c>
      <c r="E4008" s="476" t="s">
        <v>34</v>
      </c>
      <c r="F4008" s="475" t="s">
        <v>34</v>
      </c>
      <c r="G4008" s="364">
        <v>94468</v>
      </c>
      <c r="H4008" s="475" t="s">
        <v>3351</v>
      </c>
      <c r="I4008" s="475" t="s">
        <v>171</v>
      </c>
      <c r="J4008" s="475" t="s">
        <v>337</v>
      </c>
      <c r="K4008" s="365">
        <v>42.16</v>
      </c>
      <c r="L4008" s="475" t="s">
        <v>141</v>
      </c>
      <c r="M4008" s="473"/>
    </row>
    <row r="4009" spans="1:13" ht="13.5">
      <c r="A4009" s="475" t="s">
        <v>5516</v>
      </c>
      <c r="B4009" s="475" t="s">
        <v>5517</v>
      </c>
      <c r="C4009" s="475" t="s">
        <v>5458</v>
      </c>
      <c r="D4009" s="475" t="s">
        <v>5520</v>
      </c>
      <c r="E4009" s="476" t="s">
        <v>34</v>
      </c>
      <c r="F4009" s="475" t="s">
        <v>34</v>
      </c>
      <c r="G4009" s="364">
        <v>94469</v>
      </c>
      <c r="H4009" s="475" t="s">
        <v>3352</v>
      </c>
      <c r="I4009" s="475" t="s">
        <v>171</v>
      </c>
      <c r="J4009" s="475" t="s">
        <v>337</v>
      </c>
      <c r="K4009" s="365">
        <v>69.13</v>
      </c>
      <c r="L4009" s="475" t="s">
        <v>141</v>
      </c>
      <c r="M4009" s="473"/>
    </row>
    <row r="4010" spans="1:13" ht="13.5">
      <c r="A4010" s="475" t="s">
        <v>5516</v>
      </c>
      <c r="B4010" s="475" t="s">
        <v>5517</v>
      </c>
      <c r="C4010" s="475" t="s">
        <v>5458</v>
      </c>
      <c r="D4010" s="475" t="s">
        <v>5520</v>
      </c>
      <c r="E4010" s="476" t="s">
        <v>34</v>
      </c>
      <c r="F4010" s="475" t="s">
        <v>34</v>
      </c>
      <c r="G4010" s="364">
        <v>94470</v>
      </c>
      <c r="H4010" s="475" t="s">
        <v>3353</v>
      </c>
      <c r="I4010" s="475" t="s">
        <v>171</v>
      </c>
      <c r="J4010" s="475" t="s">
        <v>337</v>
      </c>
      <c r="K4010" s="365">
        <v>64.03</v>
      </c>
      <c r="L4010" s="475" t="s">
        <v>141</v>
      </c>
      <c r="M4010" s="473"/>
    </row>
    <row r="4011" spans="1:13" ht="13.5">
      <c r="A4011" s="475" t="s">
        <v>5516</v>
      </c>
      <c r="B4011" s="475" t="s">
        <v>5517</v>
      </c>
      <c r="C4011" s="475" t="s">
        <v>5458</v>
      </c>
      <c r="D4011" s="475" t="s">
        <v>5520</v>
      </c>
      <c r="E4011" s="476" t="s">
        <v>34</v>
      </c>
      <c r="F4011" s="475" t="s">
        <v>34</v>
      </c>
      <c r="G4011" s="364">
        <v>94471</v>
      </c>
      <c r="H4011" s="475" t="s">
        <v>3354</v>
      </c>
      <c r="I4011" s="475" t="s">
        <v>171</v>
      </c>
      <c r="J4011" s="475" t="s">
        <v>337</v>
      </c>
      <c r="K4011" s="365">
        <v>45.85</v>
      </c>
      <c r="L4011" s="475" t="s">
        <v>141</v>
      </c>
      <c r="M4011" s="473"/>
    </row>
    <row r="4012" spans="1:13" ht="13.5">
      <c r="A4012" s="475" t="s">
        <v>5516</v>
      </c>
      <c r="B4012" s="475" t="s">
        <v>5517</v>
      </c>
      <c r="C4012" s="475" t="s">
        <v>5458</v>
      </c>
      <c r="D4012" s="475" t="s">
        <v>5520</v>
      </c>
      <c r="E4012" s="476" t="s">
        <v>34</v>
      </c>
      <c r="F4012" s="475" t="s">
        <v>34</v>
      </c>
      <c r="G4012" s="364">
        <v>94472</v>
      </c>
      <c r="H4012" s="475" t="s">
        <v>3355</v>
      </c>
      <c r="I4012" s="475" t="s">
        <v>171</v>
      </c>
      <c r="J4012" s="475" t="s">
        <v>337</v>
      </c>
      <c r="K4012" s="365">
        <v>47.13</v>
      </c>
      <c r="L4012" s="475" t="s">
        <v>141</v>
      </c>
      <c r="M4012" s="473"/>
    </row>
    <row r="4013" spans="1:13" ht="13.5">
      <c r="A4013" s="475" t="s">
        <v>5516</v>
      </c>
      <c r="B4013" s="475" t="s">
        <v>5517</v>
      </c>
      <c r="C4013" s="475" t="s">
        <v>5458</v>
      </c>
      <c r="D4013" s="475" t="s">
        <v>5520</v>
      </c>
      <c r="E4013" s="476" t="s">
        <v>34</v>
      </c>
      <c r="F4013" s="475" t="s">
        <v>34</v>
      </c>
      <c r="G4013" s="364">
        <v>94473</v>
      </c>
      <c r="H4013" s="475" t="s">
        <v>3356</v>
      </c>
      <c r="I4013" s="475" t="s">
        <v>171</v>
      </c>
      <c r="J4013" s="475" t="s">
        <v>337</v>
      </c>
      <c r="K4013" s="365">
        <v>68.67</v>
      </c>
      <c r="L4013" s="475" t="s">
        <v>141</v>
      </c>
      <c r="M4013" s="473"/>
    </row>
    <row r="4014" spans="1:13" ht="13.5">
      <c r="A4014" s="475" t="s">
        <v>5516</v>
      </c>
      <c r="B4014" s="475" t="s">
        <v>5517</v>
      </c>
      <c r="C4014" s="475" t="s">
        <v>5458</v>
      </c>
      <c r="D4014" s="475" t="s">
        <v>5520</v>
      </c>
      <c r="E4014" s="476" t="s">
        <v>34</v>
      </c>
      <c r="F4014" s="475" t="s">
        <v>34</v>
      </c>
      <c r="G4014" s="364">
        <v>94474</v>
      </c>
      <c r="H4014" s="475" t="s">
        <v>3357</v>
      </c>
      <c r="I4014" s="475" t="s">
        <v>171</v>
      </c>
      <c r="J4014" s="475" t="s">
        <v>337</v>
      </c>
      <c r="K4014" s="365">
        <v>74.28</v>
      </c>
      <c r="L4014" s="475" t="s">
        <v>141</v>
      </c>
      <c r="M4014" s="473"/>
    </row>
    <row r="4015" spans="1:13" ht="13.5">
      <c r="A4015" s="475" t="s">
        <v>5516</v>
      </c>
      <c r="B4015" s="475" t="s">
        <v>5517</v>
      </c>
      <c r="C4015" s="475" t="s">
        <v>5458</v>
      </c>
      <c r="D4015" s="475" t="s">
        <v>5520</v>
      </c>
      <c r="E4015" s="476" t="s">
        <v>34</v>
      </c>
      <c r="F4015" s="475" t="s">
        <v>34</v>
      </c>
      <c r="G4015" s="364">
        <v>94475</v>
      </c>
      <c r="H4015" s="475" t="s">
        <v>3358</v>
      </c>
      <c r="I4015" s="475" t="s">
        <v>171</v>
      </c>
      <c r="J4015" s="475" t="s">
        <v>337</v>
      </c>
      <c r="K4015" s="365">
        <v>93.97</v>
      </c>
      <c r="L4015" s="475" t="s">
        <v>141</v>
      </c>
      <c r="M4015" s="473"/>
    </row>
    <row r="4016" spans="1:13" ht="13.5">
      <c r="A4016" s="475" t="s">
        <v>5516</v>
      </c>
      <c r="B4016" s="475" t="s">
        <v>5517</v>
      </c>
      <c r="C4016" s="475" t="s">
        <v>5458</v>
      </c>
      <c r="D4016" s="475" t="s">
        <v>5520</v>
      </c>
      <c r="E4016" s="476" t="s">
        <v>34</v>
      </c>
      <c r="F4016" s="475" t="s">
        <v>34</v>
      </c>
      <c r="G4016" s="364">
        <v>94476</v>
      </c>
      <c r="H4016" s="475" t="s">
        <v>3359</v>
      </c>
      <c r="I4016" s="475" t="s">
        <v>171</v>
      </c>
      <c r="J4016" s="475" t="s">
        <v>337</v>
      </c>
      <c r="K4016" s="365">
        <v>104.78</v>
      </c>
      <c r="L4016" s="475" t="s">
        <v>141</v>
      </c>
      <c r="M4016" s="473"/>
    </row>
    <row r="4017" spans="1:13" ht="13.5">
      <c r="A4017" s="475" t="s">
        <v>5516</v>
      </c>
      <c r="B4017" s="475" t="s">
        <v>5517</v>
      </c>
      <c r="C4017" s="475" t="s">
        <v>5458</v>
      </c>
      <c r="D4017" s="475" t="s">
        <v>5520</v>
      </c>
      <c r="E4017" s="476" t="s">
        <v>34</v>
      </c>
      <c r="F4017" s="475" t="s">
        <v>34</v>
      </c>
      <c r="G4017" s="364">
        <v>94477</v>
      </c>
      <c r="H4017" s="475" t="s">
        <v>3360</v>
      </c>
      <c r="I4017" s="475" t="s">
        <v>171</v>
      </c>
      <c r="J4017" s="475" t="s">
        <v>337</v>
      </c>
      <c r="K4017" s="365">
        <v>61.04</v>
      </c>
      <c r="L4017" s="475" t="s">
        <v>141</v>
      </c>
      <c r="M4017" s="473"/>
    </row>
    <row r="4018" spans="1:13" ht="13.5">
      <c r="A4018" s="475" t="s">
        <v>5516</v>
      </c>
      <c r="B4018" s="475" t="s">
        <v>5517</v>
      </c>
      <c r="C4018" s="475" t="s">
        <v>5458</v>
      </c>
      <c r="D4018" s="475" t="s">
        <v>5520</v>
      </c>
      <c r="E4018" s="476" t="s">
        <v>34</v>
      </c>
      <c r="F4018" s="475" t="s">
        <v>34</v>
      </c>
      <c r="G4018" s="364">
        <v>94478</v>
      </c>
      <c r="H4018" s="475" t="s">
        <v>3361</v>
      </c>
      <c r="I4018" s="475" t="s">
        <v>171</v>
      </c>
      <c r="J4018" s="475" t="s">
        <v>337</v>
      </c>
      <c r="K4018" s="365">
        <v>94.29</v>
      </c>
      <c r="L4018" s="475" t="s">
        <v>141</v>
      </c>
      <c r="M4018" s="473"/>
    </row>
    <row r="4019" spans="1:13" ht="13.5">
      <c r="A4019" s="475" t="s">
        <v>5516</v>
      </c>
      <c r="B4019" s="475" t="s">
        <v>5517</v>
      </c>
      <c r="C4019" s="475" t="s">
        <v>5458</v>
      </c>
      <c r="D4019" s="475" t="s">
        <v>5520</v>
      </c>
      <c r="E4019" s="476" t="s">
        <v>34</v>
      </c>
      <c r="F4019" s="475" t="s">
        <v>34</v>
      </c>
      <c r="G4019" s="364">
        <v>94479</v>
      </c>
      <c r="H4019" s="475" t="s">
        <v>3362</v>
      </c>
      <c r="I4019" s="475" t="s">
        <v>171</v>
      </c>
      <c r="J4019" s="475" t="s">
        <v>337</v>
      </c>
      <c r="K4019" s="365">
        <v>124.18</v>
      </c>
      <c r="L4019" s="475" t="s">
        <v>141</v>
      </c>
      <c r="M4019" s="473"/>
    </row>
    <row r="4020" spans="1:13" ht="13.5">
      <c r="A4020" s="475" t="s">
        <v>5516</v>
      </c>
      <c r="B4020" s="475" t="s">
        <v>5517</v>
      </c>
      <c r="C4020" s="475" t="s">
        <v>5458</v>
      </c>
      <c r="D4020" s="475" t="s">
        <v>5520</v>
      </c>
      <c r="E4020" s="476" t="s">
        <v>34</v>
      </c>
      <c r="F4020" s="475" t="s">
        <v>34</v>
      </c>
      <c r="G4020" s="364">
        <v>94606</v>
      </c>
      <c r="H4020" s="475" t="s">
        <v>7722</v>
      </c>
      <c r="I4020" s="475" t="s">
        <v>171</v>
      </c>
      <c r="J4020" s="475" t="s">
        <v>140</v>
      </c>
      <c r="K4020" s="365">
        <v>48.61</v>
      </c>
      <c r="L4020" s="475" t="s">
        <v>141</v>
      </c>
      <c r="M4020" s="473"/>
    </row>
    <row r="4021" spans="1:13" ht="13.5">
      <c r="A4021" s="475" t="s">
        <v>5516</v>
      </c>
      <c r="B4021" s="475" t="s">
        <v>5517</v>
      </c>
      <c r="C4021" s="475" t="s">
        <v>5458</v>
      </c>
      <c r="D4021" s="475" t="s">
        <v>5520</v>
      </c>
      <c r="E4021" s="476" t="s">
        <v>34</v>
      </c>
      <c r="F4021" s="475" t="s">
        <v>34</v>
      </c>
      <c r="G4021" s="364">
        <v>94608</v>
      </c>
      <c r="H4021" s="475" t="s">
        <v>7723</v>
      </c>
      <c r="I4021" s="475" t="s">
        <v>171</v>
      </c>
      <c r="J4021" s="475" t="s">
        <v>140</v>
      </c>
      <c r="K4021" s="365">
        <v>115.2</v>
      </c>
      <c r="L4021" s="475" t="s">
        <v>141</v>
      </c>
      <c r="M4021" s="473"/>
    </row>
    <row r="4022" spans="1:13" ht="13.5">
      <c r="A4022" s="475" t="s">
        <v>5516</v>
      </c>
      <c r="B4022" s="475" t="s">
        <v>5517</v>
      </c>
      <c r="C4022" s="475" t="s">
        <v>5458</v>
      </c>
      <c r="D4022" s="475" t="s">
        <v>5520</v>
      </c>
      <c r="E4022" s="476" t="s">
        <v>34</v>
      </c>
      <c r="F4022" s="475" t="s">
        <v>34</v>
      </c>
      <c r="G4022" s="364">
        <v>94610</v>
      </c>
      <c r="H4022" s="475" t="s">
        <v>7724</v>
      </c>
      <c r="I4022" s="475" t="s">
        <v>171</v>
      </c>
      <c r="J4022" s="475" t="s">
        <v>140</v>
      </c>
      <c r="K4022" s="365">
        <v>169.98</v>
      </c>
      <c r="L4022" s="475" t="s">
        <v>141</v>
      </c>
      <c r="M4022" s="473"/>
    </row>
    <row r="4023" spans="1:13" ht="13.5">
      <c r="A4023" s="475" t="s">
        <v>5516</v>
      </c>
      <c r="B4023" s="475" t="s">
        <v>5517</v>
      </c>
      <c r="C4023" s="475" t="s">
        <v>5458</v>
      </c>
      <c r="D4023" s="475" t="s">
        <v>5520</v>
      </c>
      <c r="E4023" s="476" t="s">
        <v>34</v>
      </c>
      <c r="F4023" s="475" t="s">
        <v>34</v>
      </c>
      <c r="G4023" s="364">
        <v>94612</v>
      </c>
      <c r="H4023" s="475" t="s">
        <v>7725</v>
      </c>
      <c r="I4023" s="475" t="s">
        <v>171</v>
      </c>
      <c r="J4023" s="475" t="s">
        <v>140</v>
      </c>
      <c r="K4023" s="365">
        <v>237.2</v>
      </c>
      <c r="L4023" s="475" t="s">
        <v>141</v>
      </c>
      <c r="M4023" s="473"/>
    </row>
    <row r="4024" spans="1:13" ht="13.5">
      <c r="A4024" s="475" t="s">
        <v>5516</v>
      </c>
      <c r="B4024" s="475" t="s">
        <v>5517</v>
      </c>
      <c r="C4024" s="475" t="s">
        <v>5458</v>
      </c>
      <c r="D4024" s="475" t="s">
        <v>5520</v>
      </c>
      <c r="E4024" s="476" t="s">
        <v>34</v>
      </c>
      <c r="F4024" s="475" t="s">
        <v>34</v>
      </c>
      <c r="G4024" s="364">
        <v>94614</v>
      </c>
      <c r="H4024" s="475" t="s">
        <v>7726</v>
      </c>
      <c r="I4024" s="475" t="s">
        <v>171</v>
      </c>
      <c r="J4024" s="475" t="s">
        <v>140</v>
      </c>
      <c r="K4024" s="365">
        <v>81.680000000000007</v>
      </c>
      <c r="L4024" s="475" t="s">
        <v>141</v>
      </c>
      <c r="M4024" s="473"/>
    </row>
    <row r="4025" spans="1:13" ht="13.5">
      <c r="A4025" s="475" t="s">
        <v>5516</v>
      </c>
      <c r="B4025" s="475" t="s">
        <v>5517</v>
      </c>
      <c r="C4025" s="475" t="s">
        <v>5458</v>
      </c>
      <c r="D4025" s="475" t="s">
        <v>5520</v>
      </c>
      <c r="E4025" s="476" t="s">
        <v>34</v>
      </c>
      <c r="F4025" s="475" t="s">
        <v>34</v>
      </c>
      <c r="G4025" s="364">
        <v>94615</v>
      </c>
      <c r="H4025" s="475" t="s">
        <v>7727</v>
      </c>
      <c r="I4025" s="475" t="s">
        <v>171</v>
      </c>
      <c r="J4025" s="475" t="s">
        <v>140</v>
      </c>
      <c r="K4025" s="365">
        <v>92.13</v>
      </c>
      <c r="L4025" s="475" t="s">
        <v>141</v>
      </c>
      <c r="M4025" s="473"/>
    </row>
    <row r="4026" spans="1:13" ht="13.5">
      <c r="A4026" s="475" t="s">
        <v>5516</v>
      </c>
      <c r="B4026" s="475" t="s">
        <v>5517</v>
      </c>
      <c r="C4026" s="475" t="s">
        <v>5458</v>
      </c>
      <c r="D4026" s="475" t="s">
        <v>5520</v>
      </c>
      <c r="E4026" s="476" t="s">
        <v>34</v>
      </c>
      <c r="F4026" s="475" t="s">
        <v>34</v>
      </c>
      <c r="G4026" s="364">
        <v>94616</v>
      </c>
      <c r="H4026" s="475" t="s">
        <v>7728</v>
      </c>
      <c r="I4026" s="475" t="s">
        <v>171</v>
      </c>
      <c r="J4026" s="475" t="s">
        <v>140</v>
      </c>
      <c r="K4026" s="365">
        <v>219.06</v>
      </c>
      <c r="L4026" s="475" t="s">
        <v>141</v>
      </c>
      <c r="M4026" s="473"/>
    </row>
    <row r="4027" spans="1:13" ht="13.5">
      <c r="A4027" s="475" t="s">
        <v>5516</v>
      </c>
      <c r="B4027" s="475" t="s">
        <v>5517</v>
      </c>
      <c r="C4027" s="475" t="s">
        <v>5458</v>
      </c>
      <c r="D4027" s="475" t="s">
        <v>5520</v>
      </c>
      <c r="E4027" s="476" t="s">
        <v>34</v>
      </c>
      <c r="F4027" s="475" t="s">
        <v>34</v>
      </c>
      <c r="G4027" s="364">
        <v>94617</v>
      </c>
      <c r="H4027" s="475" t="s">
        <v>7729</v>
      </c>
      <c r="I4027" s="475" t="s">
        <v>171</v>
      </c>
      <c r="J4027" s="475" t="s">
        <v>140</v>
      </c>
      <c r="K4027" s="365">
        <v>182.72</v>
      </c>
      <c r="L4027" s="475" t="s">
        <v>141</v>
      </c>
      <c r="M4027" s="473"/>
    </row>
    <row r="4028" spans="1:13" ht="13.5">
      <c r="A4028" s="475" t="s">
        <v>5516</v>
      </c>
      <c r="B4028" s="475" t="s">
        <v>5517</v>
      </c>
      <c r="C4028" s="475" t="s">
        <v>5458</v>
      </c>
      <c r="D4028" s="475" t="s">
        <v>5520</v>
      </c>
      <c r="E4028" s="476" t="s">
        <v>34</v>
      </c>
      <c r="F4028" s="475" t="s">
        <v>34</v>
      </c>
      <c r="G4028" s="364">
        <v>94618</v>
      </c>
      <c r="H4028" s="475" t="s">
        <v>7730</v>
      </c>
      <c r="I4028" s="475" t="s">
        <v>171</v>
      </c>
      <c r="J4028" s="475" t="s">
        <v>140</v>
      </c>
      <c r="K4028" s="365">
        <v>215.59</v>
      </c>
      <c r="L4028" s="475" t="s">
        <v>141</v>
      </c>
      <c r="M4028" s="473"/>
    </row>
    <row r="4029" spans="1:13" ht="13.5">
      <c r="A4029" s="475" t="s">
        <v>5516</v>
      </c>
      <c r="B4029" s="475" t="s">
        <v>5517</v>
      </c>
      <c r="C4029" s="475" t="s">
        <v>5458</v>
      </c>
      <c r="D4029" s="475" t="s">
        <v>5520</v>
      </c>
      <c r="E4029" s="476" t="s">
        <v>34</v>
      </c>
      <c r="F4029" s="475" t="s">
        <v>34</v>
      </c>
      <c r="G4029" s="364">
        <v>94620</v>
      </c>
      <c r="H4029" s="475" t="s">
        <v>7731</v>
      </c>
      <c r="I4029" s="475" t="s">
        <v>171</v>
      </c>
      <c r="J4029" s="475" t="s">
        <v>140</v>
      </c>
      <c r="K4029" s="365">
        <v>487.46</v>
      </c>
      <c r="L4029" s="475" t="s">
        <v>141</v>
      </c>
      <c r="M4029" s="473"/>
    </row>
    <row r="4030" spans="1:13" ht="13.5">
      <c r="A4030" s="475" t="s">
        <v>5516</v>
      </c>
      <c r="B4030" s="475" t="s">
        <v>5517</v>
      </c>
      <c r="C4030" s="475" t="s">
        <v>5458</v>
      </c>
      <c r="D4030" s="475" t="s">
        <v>5520</v>
      </c>
      <c r="E4030" s="476" t="s">
        <v>34</v>
      </c>
      <c r="F4030" s="475" t="s">
        <v>34</v>
      </c>
      <c r="G4030" s="364">
        <v>94622</v>
      </c>
      <c r="H4030" s="475" t="s">
        <v>7732</v>
      </c>
      <c r="I4030" s="475" t="s">
        <v>171</v>
      </c>
      <c r="J4030" s="475" t="s">
        <v>140</v>
      </c>
      <c r="K4030" s="365">
        <v>118.92</v>
      </c>
      <c r="L4030" s="475" t="s">
        <v>141</v>
      </c>
      <c r="M4030" s="473"/>
    </row>
    <row r="4031" spans="1:13" ht="13.5">
      <c r="A4031" s="475" t="s">
        <v>5516</v>
      </c>
      <c r="B4031" s="475" t="s">
        <v>5517</v>
      </c>
      <c r="C4031" s="475" t="s">
        <v>5458</v>
      </c>
      <c r="D4031" s="475" t="s">
        <v>5520</v>
      </c>
      <c r="E4031" s="476" t="s">
        <v>34</v>
      </c>
      <c r="F4031" s="475" t="s">
        <v>34</v>
      </c>
      <c r="G4031" s="364">
        <v>94623</v>
      </c>
      <c r="H4031" s="475" t="s">
        <v>7733</v>
      </c>
      <c r="I4031" s="475" t="s">
        <v>171</v>
      </c>
      <c r="J4031" s="475" t="s">
        <v>140</v>
      </c>
      <c r="K4031" s="365">
        <v>271.73</v>
      </c>
      <c r="L4031" s="475" t="s">
        <v>141</v>
      </c>
      <c r="M4031" s="473"/>
    </row>
    <row r="4032" spans="1:13" ht="13.5">
      <c r="A4032" s="475" t="s">
        <v>5516</v>
      </c>
      <c r="B4032" s="475" t="s">
        <v>5517</v>
      </c>
      <c r="C4032" s="475" t="s">
        <v>5458</v>
      </c>
      <c r="D4032" s="475" t="s">
        <v>5520</v>
      </c>
      <c r="E4032" s="476" t="s">
        <v>34</v>
      </c>
      <c r="F4032" s="475" t="s">
        <v>34</v>
      </c>
      <c r="G4032" s="364">
        <v>94624</v>
      </c>
      <c r="H4032" s="475" t="s">
        <v>7734</v>
      </c>
      <c r="I4032" s="475" t="s">
        <v>171</v>
      </c>
      <c r="J4032" s="475" t="s">
        <v>140</v>
      </c>
      <c r="K4032" s="365">
        <v>410.96</v>
      </c>
      <c r="L4032" s="475" t="s">
        <v>141</v>
      </c>
      <c r="M4032" s="473"/>
    </row>
    <row r="4033" spans="1:13" ht="13.5">
      <c r="A4033" s="475" t="s">
        <v>5516</v>
      </c>
      <c r="B4033" s="475" t="s">
        <v>5517</v>
      </c>
      <c r="C4033" s="475" t="s">
        <v>5458</v>
      </c>
      <c r="D4033" s="475" t="s">
        <v>5520</v>
      </c>
      <c r="E4033" s="476" t="s">
        <v>34</v>
      </c>
      <c r="F4033" s="475" t="s">
        <v>34</v>
      </c>
      <c r="G4033" s="364">
        <v>94625</v>
      </c>
      <c r="H4033" s="475" t="s">
        <v>7735</v>
      </c>
      <c r="I4033" s="475" t="s">
        <v>171</v>
      </c>
      <c r="J4033" s="475" t="s">
        <v>140</v>
      </c>
      <c r="K4033" s="365">
        <v>848.23</v>
      </c>
      <c r="L4033" s="475" t="s">
        <v>141</v>
      </c>
      <c r="M4033" s="473"/>
    </row>
    <row r="4034" spans="1:13" ht="13.5">
      <c r="A4034" s="475" t="s">
        <v>5516</v>
      </c>
      <c r="B4034" s="475" t="s">
        <v>5517</v>
      </c>
      <c r="C4034" s="475" t="s">
        <v>5458</v>
      </c>
      <c r="D4034" s="475" t="s">
        <v>5520</v>
      </c>
      <c r="E4034" s="476" t="s">
        <v>34</v>
      </c>
      <c r="F4034" s="475" t="s">
        <v>34</v>
      </c>
      <c r="G4034" s="364">
        <v>94656</v>
      </c>
      <c r="H4034" s="475" t="s">
        <v>3363</v>
      </c>
      <c r="I4034" s="475" t="s">
        <v>171</v>
      </c>
      <c r="J4034" s="475" t="s">
        <v>337</v>
      </c>
      <c r="K4034" s="365">
        <v>4.4800000000000004</v>
      </c>
      <c r="L4034" s="475" t="s">
        <v>141</v>
      </c>
      <c r="M4034" s="473"/>
    </row>
    <row r="4035" spans="1:13" ht="13.5">
      <c r="A4035" s="475" t="s">
        <v>5516</v>
      </c>
      <c r="B4035" s="475" t="s">
        <v>5517</v>
      </c>
      <c r="C4035" s="475" t="s">
        <v>5458</v>
      </c>
      <c r="D4035" s="475" t="s">
        <v>5520</v>
      </c>
      <c r="E4035" s="476" t="s">
        <v>34</v>
      </c>
      <c r="F4035" s="475" t="s">
        <v>34</v>
      </c>
      <c r="G4035" s="364">
        <v>94657</v>
      </c>
      <c r="H4035" s="475" t="s">
        <v>3364</v>
      </c>
      <c r="I4035" s="475" t="s">
        <v>171</v>
      </c>
      <c r="J4035" s="475" t="s">
        <v>337</v>
      </c>
      <c r="K4035" s="365">
        <v>4.41</v>
      </c>
      <c r="L4035" s="475" t="s">
        <v>141</v>
      </c>
      <c r="M4035" s="473"/>
    </row>
    <row r="4036" spans="1:13" ht="13.5">
      <c r="A4036" s="475" t="s">
        <v>5516</v>
      </c>
      <c r="B4036" s="475" t="s">
        <v>5517</v>
      </c>
      <c r="C4036" s="475" t="s">
        <v>5458</v>
      </c>
      <c r="D4036" s="475" t="s">
        <v>5520</v>
      </c>
      <c r="E4036" s="476" t="s">
        <v>34</v>
      </c>
      <c r="F4036" s="475" t="s">
        <v>34</v>
      </c>
      <c r="G4036" s="364">
        <v>94658</v>
      </c>
      <c r="H4036" s="475" t="s">
        <v>3365</v>
      </c>
      <c r="I4036" s="475" t="s">
        <v>171</v>
      </c>
      <c r="J4036" s="475" t="s">
        <v>337</v>
      </c>
      <c r="K4036" s="365">
        <v>5.13</v>
      </c>
      <c r="L4036" s="475" t="s">
        <v>141</v>
      </c>
      <c r="M4036" s="473"/>
    </row>
    <row r="4037" spans="1:13" ht="13.5">
      <c r="A4037" s="475" t="s">
        <v>5516</v>
      </c>
      <c r="B4037" s="475" t="s">
        <v>5517</v>
      </c>
      <c r="C4037" s="475" t="s">
        <v>5458</v>
      </c>
      <c r="D4037" s="475" t="s">
        <v>5520</v>
      </c>
      <c r="E4037" s="476" t="s">
        <v>34</v>
      </c>
      <c r="F4037" s="475" t="s">
        <v>34</v>
      </c>
      <c r="G4037" s="364">
        <v>94659</v>
      </c>
      <c r="H4037" s="475" t="s">
        <v>3366</v>
      </c>
      <c r="I4037" s="475" t="s">
        <v>171</v>
      </c>
      <c r="J4037" s="475" t="s">
        <v>337</v>
      </c>
      <c r="K4037" s="365">
        <v>5.2</v>
      </c>
      <c r="L4037" s="475" t="s">
        <v>141</v>
      </c>
      <c r="M4037" s="473"/>
    </row>
    <row r="4038" spans="1:13" ht="13.5">
      <c r="A4038" s="475" t="s">
        <v>5516</v>
      </c>
      <c r="B4038" s="475" t="s">
        <v>5517</v>
      </c>
      <c r="C4038" s="475" t="s">
        <v>5458</v>
      </c>
      <c r="D4038" s="475" t="s">
        <v>5520</v>
      </c>
      <c r="E4038" s="476" t="s">
        <v>34</v>
      </c>
      <c r="F4038" s="475" t="s">
        <v>34</v>
      </c>
      <c r="G4038" s="364">
        <v>94660</v>
      </c>
      <c r="H4038" s="475" t="s">
        <v>3367</v>
      </c>
      <c r="I4038" s="475" t="s">
        <v>171</v>
      </c>
      <c r="J4038" s="475" t="s">
        <v>337</v>
      </c>
      <c r="K4038" s="365">
        <v>8.3800000000000008</v>
      </c>
      <c r="L4038" s="475" t="s">
        <v>141</v>
      </c>
      <c r="M4038" s="473"/>
    </row>
    <row r="4039" spans="1:13" ht="13.5">
      <c r="A4039" s="475" t="s">
        <v>5516</v>
      </c>
      <c r="B4039" s="475" t="s">
        <v>5517</v>
      </c>
      <c r="C4039" s="475" t="s">
        <v>5458</v>
      </c>
      <c r="D4039" s="475" t="s">
        <v>5520</v>
      </c>
      <c r="E4039" s="476" t="s">
        <v>34</v>
      </c>
      <c r="F4039" s="475" t="s">
        <v>34</v>
      </c>
      <c r="G4039" s="364">
        <v>94661</v>
      </c>
      <c r="H4039" s="475" t="s">
        <v>3368</v>
      </c>
      <c r="I4039" s="475" t="s">
        <v>171</v>
      </c>
      <c r="J4039" s="475" t="s">
        <v>337</v>
      </c>
      <c r="K4039" s="365">
        <v>8.69</v>
      </c>
      <c r="L4039" s="475" t="s">
        <v>141</v>
      </c>
      <c r="M4039" s="473"/>
    </row>
    <row r="4040" spans="1:13" ht="13.5">
      <c r="A4040" s="475" t="s">
        <v>5516</v>
      </c>
      <c r="B4040" s="475" t="s">
        <v>5517</v>
      </c>
      <c r="C4040" s="475" t="s">
        <v>5458</v>
      </c>
      <c r="D4040" s="475" t="s">
        <v>5520</v>
      </c>
      <c r="E4040" s="476" t="s">
        <v>34</v>
      </c>
      <c r="F4040" s="475" t="s">
        <v>34</v>
      </c>
      <c r="G4040" s="364">
        <v>94662</v>
      </c>
      <c r="H4040" s="475" t="s">
        <v>3369</v>
      </c>
      <c r="I4040" s="475" t="s">
        <v>171</v>
      </c>
      <c r="J4040" s="475" t="s">
        <v>337</v>
      </c>
      <c r="K4040" s="365">
        <v>9.0399999999999991</v>
      </c>
      <c r="L4040" s="475" t="s">
        <v>141</v>
      </c>
      <c r="M4040" s="473"/>
    </row>
    <row r="4041" spans="1:13" ht="13.5">
      <c r="A4041" s="475" t="s">
        <v>5516</v>
      </c>
      <c r="B4041" s="475" t="s">
        <v>5517</v>
      </c>
      <c r="C4041" s="475" t="s">
        <v>5458</v>
      </c>
      <c r="D4041" s="475" t="s">
        <v>5520</v>
      </c>
      <c r="E4041" s="476" t="s">
        <v>34</v>
      </c>
      <c r="F4041" s="475" t="s">
        <v>34</v>
      </c>
      <c r="G4041" s="364">
        <v>94663</v>
      </c>
      <c r="H4041" s="475" t="s">
        <v>3370</v>
      </c>
      <c r="I4041" s="475" t="s">
        <v>171</v>
      </c>
      <c r="J4041" s="475" t="s">
        <v>337</v>
      </c>
      <c r="K4041" s="365">
        <v>9.16</v>
      </c>
      <c r="L4041" s="475" t="s">
        <v>141</v>
      </c>
      <c r="M4041" s="473"/>
    </row>
    <row r="4042" spans="1:13" ht="13.5">
      <c r="A4042" s="475" t="s">
        <v>5516</v>
      </c>
      <c r="B4042" s="475" t="s">
        <v>5517</v>
      </c>
      <c r="C4042" s="475" t="s">
        <v>5458</v>
      </c>
      <c r="D4042" s="475" t="s">
        <v>5520</v>
      </c>
      <c r="E4042" s="476" t="s">
        <v>34</v>
      </c>
      <c r="F4042" s="475" t="s">
        <v>34</v>
      </c>
      <c r="G4042" s="364">
        <v>94664</v>
      </c>
      <c r="H4042" s="475" t="s">
        <v>3371</v>
      </c>
      <c r="I4042" s="475" t="s">
        <v>171</v>
      </c>
      <c r="J4042" s="475" t="s">
        <v>337</v>
      </c>
      <c r="K4042" s="365">
        <v>19.260000000000002</v>
      </c>
      <c r="L4042" s="475" t="s">
        <v>141</v>
      </c>
      <c r="M4042" s="473"/>
    </row>
    <row r="4043" spans="1:13" ht="13.5">
      <c r="A4043" s="475" t="s">
        <v>5516</v>
      </c>
      <c r="B4043" s="475" t="s">
        <v>5517</v>
      </c>
      <c r="C4043" s="475" t="s">
        <v>5458</v>
      </c>
      <c r="D4043" s="475" t="s">
        <v>5520</v>
      </c>
      <c r="E4043" s="476" t="s">
        <v>34</v>
      </c>
      <c r="F4043" s="475" t="s">
        <v>34</v>
      </c>
      <c r="G4043" s="364">
        <v>94665</v>
      </c>
      <c r="H4043" s="475" t="s">
        <v>3372</v>
      </c>
      <c r="I4043" s="475" t="s">
        <v>171</v>
      </c>
      <c r="J4043" s="475" t="s">
        <v>337</v>
      </c>
      <c r="K4043" s="365">
        <v>19.25</v>
      </c>
      <c r="L4043" s="475" t="s">
        <v>141</v>
      </c>
      <c r="M4043" s="473"/>
    </row>
    <row r="4044" spans="1:13" ht="13.5">
      <c r="A4044" s="475" t="s">
        <v>5516</v>
      </c>
      <c r="B4044" s="475" t="s">
        <v>5517</v>
      </c>
      <c r="C4044" s="475" t="s">
        <v>5458</v>
      </c>
      <c r="D4044" s="475" t="s">
        <v>5520</v>
      </c>
      <c r="E4044" s="476" t="s">
        <v>34</v>
      </c>
      <c r="F4044" s="475" t="s">
        <v>34</v>
      </c>
      <c r="G4044" s="364">
        <v>94666</v>
      </c>
      <c r="H4044" s="475" t="s">
        <v>3373</v>
      </c>
      <c r="I4044" s="475" t="s">
        <v>171</v>
      </c>
      <c r="J4044" s="475" t="s">
        <v>337</v>
      </c>
      <c r="K4044" s="365">
        <v>23.05</v>
      </c>
      <c r="L4044" s="475" t="s">
        <v>141</v>
      </c>
      <c r="M4044" s="473"/>
    </row>
    <row r="4045" spans="1:13" ht="13.5">
      <c r="A4045" s="475" t="s">
        <v>5516</v>
      </c>
      <c r="B4045" s="475" t="s">
        <v>5517</v>
      </c>
      <c r="C4045" s="475" t="s">
        <v>5458</v>
      </c>
      <c r="D4045" s="475" t="s">
        <v>5520</v>
      </c>
      <c r="E4045" s="476" t="s">
        <v>34</v>
      </c>
      <c r="F4045" s="475" t="s">
        <v>34</v>
      </c>
      <c r="G4045" s="364">
        <v>94667</v>
      </c>
      <c r="H4045" s="475" t="s">
        <v>3374</v>
      </c>
      <c r="I4045" s="475" t="s">
        <v>171</v>
      </c>
      <c r="J4045" s="475" t="s">
        <v>337</v>
      </c>
      <c r="K4045" s="365">
        <v>25.4</v>
      </c>
      <c r="L4045" s="475" t="s">
        <v>141</v>
      </c>
      <c r="M4045" s="473"/>
    </row>
    <row r="4046" spans="1:13" ht="13.5">
      <c r="A4046" s="475" t="s">
        <v>5516</v>
      </c>
      <c r="B4046" s="475" t="s">
        <v>5517</v>
      </c>
      <c r="C4046" s="475" t="s">
        <v>5458</v>
      </c>
      <c r="D4046" s="475" t="s">
        <v>5520</v>
      </c>
      <c r="E4046" s="476" t="s">
        <v>34</v>
      </c>
      <c r="F4046" s="475" t="s">
        <v>34</v>
      </c>
      <c r="G4046" s="364">
        <v>94668</v>
      </c>
      <c r="H4046" s="475" t="s">
        <v>3375</v>
      </c>
      <c r="I4046" s="475" t="s">
        <v>171</v>
      </c>
      <c r="J4046" s="475" t="s">
        <v>337</v>
      </c>
      <c r="K4046" s="365">
        <v>39.619999999999997</v>
      </c>
      <c r="L4046" s="475" t="s">
        <v>141</v>
      </c>
      <c r="M4046" s="473"/>
    </row>
    <row r="4047" spans="1:13" ht="13.5">
      <c r="A4047" s="475" t="s">
        <v>5516</v>
      </c>
      <c r="B4047" s="475" t="s">
        <v>5517</v>
      </c>
      <c r="C4047" s="475" t="s">
        <v>5458</v>
      </c>
      <c r="D4047" s="475" t="s">
        <v>5520</v>
      </c>
      <c r="E4047" s="476" t="s">
        <v>34</v>
      </c>
      <c r="F4047" s="475" t="s">
        <v>34</v>
      </c>
      <c r="G4047" s="364">
        <v>94669</v>
      </c>
      <c r="H4047" s="475" t="s">
        <v>3376</v>
      </c>
      <c r="I4047" s="475" t="s">
        <v>171</v>
      </c>
      <c r="J4047" s="475" t="s">
        <v>337</v>
      </c>
      <c r="K4047" s="365">
        <v>52.86</v>
      </c>
      <c r="L4047" s="475" t="s">
        <v>141</v>
      </c>
      <c r="M4047" s="473"/>
    </row>
    <row r="4048" spans="1:13" ht="13.5">
      <c r="A4048" s="475" t="s">
        <v>5516</v>
      </c>
      <c r="B4048" s="475" t="s">
        <v>5517</v>
      </c>
      <c r="C4048" s="475" t="s">
        <v>5458</v>
      </c>
      <c r="D4048" s="475" t="s">
        <v>5520</v>
      </c>
      <c r="E4048" s="476" t="s">
        <v>34</v>
      </c>
      <c r="F4048" s="475" t="s">
        <v>34</v>
      </c>
      <c r="G4048" s="364">
        <v>94670</v>
      </c>
      <c r="H4048" s="475" t="s">
        <v>3377</v>
      </c>
      <c r="I4048" s="475" t="s">
        <v>171</v>
      </c>
      <c r="J4048" s="475" t="s">
        <v>337</v>
      </c>
      <c r="K4048" s="365">
        <v>51.41</v>
      </c>
      <c r="L4048" s="475" t="s">
        <v>141</v>
      </c>
      <c r="M4048" s="473"/>
    </row>
    <row r="4049" spans="1:13" ht="13.5">
      <c r="A4049" s="475" t="s">
        <v>5516</v>
      </c>
      <c r="B4049" s="475" t="s">
        <v>5517</v>
      </c>
      <c r="C4049" s="475" t="s">
        <v>5458</v>
      </c>
      <c r="D4049" s="475" t="s">
        <v>5520</v>
      </c>
      <c r="E4049" s="476" t="s">
        <v>34</v>
      </c>
      <c r="F4049" s="475" t="s">
        <v>34</v>
      </c>
      <c r="G4049" s="364">
        <v>94671</v>
      </c>
      <c r="H4049" s="475" t="s">
        <v>3378</v>
      </c>
      <c r="I4049" s="475" t="s">
        <v>171</v>
      </c>
      <c r="J4049" s="475" t="s">
        <v>337</v>
      </c>
      <c r="K4049" s="365">
        <v>73.47</v>
      </c>
      <c r="L4049" s="475" t="s">
        <v>141</v>
      </c>
      <c r="M4049" s="473"/>
    </row>
    <row r="4050" spans="1:13" ht="13.5">
      <c r="A4050" s="475" t="s">
        <v>5516</v>
      </c>
      <c r="B4050" s="475" t="s">
        <v>5517</v>
      </c>
      <c r="C4050" s="475" t="s">
        <v>5458</v>
      </c>
      <c r="D4050" s="475" t="s">
        <v>5520</v>
      </c>
      <c r="E4050" s="476" t="s">
        <v>34</v>
      </c>
      <c r="F4050" s="475" t="s">
        <v>34</v>
      </c>
      <c r="G4050" s="364">
        <v>94672</v>
      </c>
      <c r="H4050" s="475" t="s">
        <v>3379</v>
      </c>
      <c r="I4050" s="475" t="s">
        <v>171</v>
      </c>
      <c r="J4050" s="475" t="s">
        <v>337</v>
      </c>
      <c r="K4050" s="365">
        <v>7.55</v>
      </c>
      <c r="L4050" s="475" t="s">
        <v>141</v>
      </c>
      <c r="M4050" s="473"/>
    </row>
    <row r="4051" spans="1:13" ht="13.5">
      <c r="A4051" s="475" t="s">
        <v>5516</v>
      </c>
      <c r="B4051" s="475" t="s">
        <v>5517</v>
      </c>
      <c r="C4051" s="475" t="s">
        <v>5458</v>
      </c>
      <c r="D4051" s="475" t="s">
        <v>5520</v>
      </c>
      <c r="E4051" s="476" t="s">
        <v>34</v>
      </c>
      <c r="F4051" s="475" t="s">
        <v>34</v>
      </c>
      <c r="G4051" s="364">
        <v>94673</v>
      </c>
      <c r="H4051" s="475" t="s">
        <v>3380</v>
      </c>
      <c r="I4051" s="475" t="s">
        <v>171</v>
      </c>
      <c r="J4051" s="475" t="s">
        <v>337</v>
      </c>
      <c r="K4051" s="365">
        <v>7.37</v>
      </c>
      <c r="L4051" s="475" t="s">
        <v>141</v>
      </c>
      <c r="M4051" s="473"/>
    </row>
    <row r="4052" spans="1:13" ht="13.5">
      <c r="A4052" s="475" t="s">
        <v>5516</v>
      </c>
      <c r="B4052" s="475" t="s">
        <v>5517</v>
      </c>
      <c r="C4052" s="475" t="s">
        <v>5458</v>
      </c>
      <c r="D4052" s="475" t="s">
        <v>5520</v>
      </c>
      <c r="E4052" s="476" t="s">
        <v>34</v>
      </c>
      <c r="F4052" s="475" t="s">
        <v>34</v>
      </c>
      <c r="G4052" s="364">
        <v>94674</v>
      </c>
      <c r="H4052" s="475" t="s">
        <v>3381</v>
      </c>
      <c r="I4052" s="475" t="s">
        <v>171</v>
      </c>
      <c r="J4052" s="475" t="s">
        <v>337</v>
      </c>
      <c r="K4052" s="365">
        <v>6.76</v>
      </c>
      <c r="L4052" s="475" t="s">
        <v>141</v>
      </c>
      <c r="M4052" s="473"/>
    </row>
    <row r="4053" spans="1:13" ht="13.5">
      <c r="A4053" s="475" t="s">
        <v>5516</v>
      </c>
      <c r="B4053" s="475" t="s">
        <v>5517</v>
      </c>
      <c r="C4053" s="475" t="s">
        <v>5458</v>
      </c>
      <c r="D4053" s="475" t="s">
        <v>5520</v>
      </c>
      <c r="E4053" s="476" t="s">
        <v>34</v>
      </c>
      <c r="F4053" s="475" t="s">
        <v>34</v>
      </c>
      <c r="G4053" s="364">
        <v>94675</v>
      </c>
      <c r="H4053" s="475" t="s">
        <v>3382</v>
      </c>
      <c r="I4053" s="475" t="s">
        <v>171</v>
      </c>
      <c r="J4053" s="475" t="s">
        <v>337</v>
      </c>
      <c r="K4053" s="365">
        <v>10.09</v>
      </c>
      <c r="L4053" s="475" t="s">
        <v>141</v>
      </c>
      <c r="M4053" s="473"/>
    </row>
    <row r="4054" spans="1:13" ht="13.5">
      <c r="A4054" s="475" t="s">
        <v>5516</v>
      </c>
      <c r="B4054" s="475" t="s">
        <v>5517</v>
      </c>
      <c r="C4054" s="475" t="s">
        <v>5458</v>
      </c>
      <c r="D4054" s="475" t="s">
        <v>5520</v>
      </c>
      <c r="E4054" s="476" t="s">
        <v>34</v>
      </c>
      <c r="F4054" s="475" t="s">
        <v>34</v>
      </c>
      <c r="G4054" s="364">
        <v>94676</v>
      </c>
      <c r="H4054" s="475" t="s">
        <v>3383</v>
      </c>
      <c r="I4054" s="475" t="s">
        <v>171</v>
      </c>
      <c r="J4054" s="475" t="s">
        <v>337</v>
      </c>
      <c r="K4054" s="365">
        <v>11.49</v>
      </c>
      <c r="L4054" s="475" t="s">
        <v>141</v>
      </c>
      <c r="M4054" s="473"/>
    </row>
    <row r="4055" spans="1:13" ht="13.5">
      <c r="A4055" s="475" t="s">
        <v>5516</v>
      </c>
      <c r="B4055" s="475" t="s">
        <v>5517</v>
      </c>
      <c r="C4055" s="475" t="s">
        <v>5458</v>
      </c>
      <c r="D4055" s="475" t="s">
        <v>5520</v>
      </c>
      <c r="E4055" s="476" t="s">
        <v>34</v>
      </c>
      <c r="F4055" s="475" t="s">
        <v>34</v>
      </c>
      <c r="G4055" s="364">
        <v>94677</v>
      </c>
      <c r="H4055" s="475" t="s">
        <v>3384</v>
      </c>
      <c r="I4055" s="475" t="s">
        <v>171</v>
      </c>
      <c r="J4055" s="475" t="s">
        <v>337</v>
      </c>
      <c r="K4055" s="365">
        <v>16.510000000000002</v>
      </c>
      <c r="L4055" s="475" t="s">
        <v>141</v>
      </c>
      <c r="M4055" s="473"/>
    </row>
    <row r="4056" spans="1:13" ht="13.5">
      <c r="A4056" s="475" t="s">
        <v>5516</v>
      </c>
      <c r="B4056" s="475" t="s">
        <v>5517</v>
      </c>
      <c r="C4056" s="475" t="s">
        <v>5458</v>
      </c>
      <c r="D4056" s="475" t="s">
        <v>5520</v>
      </c>
      <c r="E4056" s="476" t="s">
        <v>34</v>
      </c>
      <c r="F4056" s="475" t="s">
        <v>34</v>
      </c>
      <c r="G4056" s="364">
        <v>94678</v>
      </c>
      <c r="H4056" s="475" t="s">
        <v>3385</v>
      </c>
      <c r="I4056" s="475" t="s">
        <v>171</v>
      </c>
      <c r="J4056" s="475" t="s">
        <v>337</v>
      </c>
      <c r="K4056" s="365">
        <v>11.79</v>
      </c>
      <c r="L4056" s="475" t="s">
        <v>141</v>
      </c>
      <c r="M4056" s="473"/>
    </row>
    <row r="4057" spans="1:13" ht="13.5">
      <c r="A4057" s="475" t="s">
        <v>5516</v>
      </c>
      <c r="B4057" s="475" t="s">
        <v>5517</v>
      </c>
      <c r="C4057" s="475" t="s">
        <v>5458</v>
      </c>
      <c r="D4057" s="475" t="s">
        <v>5520</v>
      </c>
      <c r="E4057" s="476" t="s">
        <v>34</v>
      </c>
      <c r="F4057" s="475" t="s">
        <v>34</v>
      </c>
      <c r="G4057" s="364">
        <v>94679</v>
      </c>
      <c r="H4057" s="475" t="s">
        <v>3386</v>
      </c>
      <c r="I4057" s="475" t="s">
        <v>171</v>
      </c>
      <c r="J4057" s="475" t="s">
        <v>337</v>
      </c>
      <c r="K4057" s="365">
        <v>18.399999999999999</v>
      </c>
      <c r="L4057" s="475" t="s">
        <v>141</v>
      </c>
      <c r="M4057" s="473"/>
    </row>
    <row r="4058" spans="1:13" ht="13.5">
      <c r="A4058" s="475" t="s">
        <v>5516</v>
      </c>
      <c r="B4058" s="475" t="s">
        <v>5517</v>
      </c>
      <c r="C4058" s="475" t="s">
        <v>5458</v>
      </c>
      <c r="D4058" s="475" t="s">
        <v>5520</v>
      </c>
      <c r="E4058" s="476" t="s">
        <v>34</v>
      </c>
      <c r="F4058" s="475" t="s">
        <v>34</v>
      </c>
      <c r="G4058" s="364">
        <v>94680</v>
      </c>
      <c r="H4058" s="475" t="s">
        <v>3387</v>
      </c>
      <c r="I4058" s="475" t="s">
        <v>171</v>
      </c>
      <c r="J4058" s="475" t="s">
        <v>337</v>
      </c>
      <c r="K4058" s="365">
        <v>30.95</v>
      </c>
      <c r="L4058" s="475" t="s">
        <v>141</v>
      </c>
      <c r="M4058" s="473"/>
    </row>
    <row r="4059" spans="1:13" ht="13.5">
      <c r="A4059" s="475" t="s">
        <v>5516</v>
      </c>
      <c r="B4059" s="475" t="s">
        <v>5517</v>
      </c>
      <c r="C4059" s="475" t="s">
        <v>5458</v>
      </c>
      <c r="D4059" s="475" t="s">
        <v>5520</v>
      </c>
      <c r="E4059" s="476" t="s">
        <v>34</v>
      </c>
      <c r="F4059" s="475" t="s">
        <v>34</v>
      </c>
      <c r="G4059" s="364">
        <v>94681</v>
      </c>
      <c r="H4059" s="475" t="s">
        <v>3388</v>
      </c>
      <c r="I4059" s="475" t="s">
        <v>171</v>
      </c>
      <c r="J4059" s="475" t="s">
        <v>337</v>
      </c>
      <c r="K4059" s="365">
        <v>40</v>
      </c>
      <c r="L4059" s="475" t="s">
        <v>141</v>
      </c>
      <c r="M4059" s="473"/>
    </row>
    <row r="4060" spans="1:13" ht="13.5">
      <c r="A4060" s="475" t="s">
        <v>5516</v>
      </c>
      <c r="B4060" s="475" t="s">
        <v>5517</v>
      </c>
      <c r="C4060" s="475" t="s">
        <v>5458</v>
      </c>
      <c r="D4060" s="475" t="s">
        <v>5520</v>
      </c>
      <c r="E4060" s="476" t="s">
        <v>34</v>
      </c>
      <c r="F4060" s="475" t="s">
        <v>34</v>
      </c>
      <c r="G4060" s="364">
        <v>94682</v>
      </c>
      <c r="H4060" s="475" t="s">
        <v>3389</v>
      </c>
      <c r="I4060" s="475" t="s">
        <v>171</v>
      </c>
      <c r="J4060" s="475" t="s">
        <v>337</v>
      </c>
      <c r="K4060" s="365">
        <v>77.55</v>
      </c>
      <c r="L4060" s="475" t="s">
        <v>141</v>
      </c>
      <c r="M4060" s="473"/>
    </row>
    <row r="4061" spans="1:13" ht="13.5">
      <c r="A4061" s="475" t="s">
        <v>5516</v>
      </c>
      <c r="B4061" s="475" t="s">
        <v>5517</v>
      </c>
      <c r="C4061" s="475" t="s">
        <v>5458</v>
      </c>
      <c r="D4061" s="475" t="s">
        <v>5520</v>
      </c>
      <c r="E4061" s="476" t="s">
        <v>34</v>
      </c>
      <c r="F4061" s="475" t="s">
        <v>34</v>
      </c>
      <c r="G4061" s="364">
        <v>94683</v>
      </c>
      <c r="H4061" s="475" t="s">
        <v>3390</v>
      </c>
      <c r="I4061" s="475" t="s">
        <v>171</v>
      </c>
      <c r="J4061" s="475" t="s">
        <v>337</v>
      </c>
      <c r="K4061" s="365">
        <v>50.96</v>
      </c>
      <c r="L4061" s="475" t="s">
        <v>141</v>
      </c>
      <c r="M4061" s="473"/>
    </row>
    <row r="4062" spans="1:13" ht="13.5">
      <c r="A4062" s="475" t="s">
        <v>5516</v>
      </c>
      <c r="B4062" s="475" t="s">
        <v>5517</v>
      </c>
      <c r="C4062" s="475" t="s">
        <v>5458</v>
      </c>
      <c r="D4062" s="475" t="s">
        <v>5520</v>
      </c>
      <c r="E4062" s="476" t="s">
        <v>34</v>
      </c>
      <c r="F4062" s="475" t="s">
        <v>34</v>
      </c>
      <c r="G4062" s="364">
        <v>94684</v>
      </c>
      <c r="H4062" s="475" t="s">
        <v>3391</v>
      </c>
      <c r="I4062" s="475" t="s">
        <v>171</v>
      </c>
      <c r="J4062" s="475" t="s">
        <v>337</v>
      </c>
      <c r="K4062" s="365">
        <v>100.42</v>
      </c>
      <c r="L4062" s="475" t="s">
        <v>141</v>
      </c>
      <c r="M4062" s="473"/>
    </row>
    <row r="4063" spans="1:13" ht="13.5">
      <c r="A4063" s="475" t="s">
        <v>5516</v>
      </c>
      <c r="B4063" s="475" t="s">
        <v>5517</v>
      </c>
      <c r="C4063" s="475" t="s">
        <v>5458</v>
      </c>
      <c r="D4063" s="475" t="s">
        <v>5520</v>
      </c>
      <c r="E4063" s="476" t="s">
        <v>34</v>
      </c>
      <c r="F4063" s="475" t="s">
        <v>34</v>
      </c>
      <c r="G4063" s="364">
        <v>94685</v>
      </c>
      <c r="H4063" s="475" t="s">
        <v>3392</v>
      </c>
      <c r="I4063" s="475" t="s">
        <v>171</v>
      </c>
      <c r="J4063" s="475" t="s">
        <v>337</v>
      </c>
      <c r="K4063" s="365">
        <v>78.290000000000006</v>
      </c>
      <c r="L4063" s="475" t="s">
        <v>141</v>
      </c>
      <c r="M4063" s="473"/>
    </row>
    <row r="4064" spans="1:13" ht="13.5">
      <c r="A4064" s="475" t="s">
        <v>5516</v>
      </c>
      <c r="B4064" s="475" t="s">
        <v>5517</v>
      </c>
      <c r="C4064" s="475" t="s">
        <v>5458</v>
      </c>
      <c r="D4064" s="475" t="s">
        <v>5520</v>
      </c>
      <c r="E4064" s="476" t="s">
        <v>34</v>
      </c>
      <c r="F4064" s="475" t="s">
        <v>34</v>
      </c>
      <c r="G4064" s="364">
        <v>94686</v>
      </c>
      <c r="H4064" s="475" t="s">
        <v>3393</v>
      </c>
      <c r="I4064" s="475" t="s">
        <v>171</v>
      </c>
      <c r="J4064" s="475" t="s">
        <v>337</v>
      </c>
      <c r="K4064" s="365">
        <v>183.86</v>
      </c>
      <c r="L4064" s="475" t="s">
        <v>141</v>
      </c>
      <c r="M4064" s="473"/>
    </row>
    <row r="4065" spans="1:13" ht="13.5">
      <c r="A4065" s="475" t="s">
        <v>5516</v>
      </c>
      <c r="B4065" s="475" t="s">
        <v>5517</v>
      </c>
      <c r="C4065" s="475" t="s">
        <v>5458</v>
      </c>
      <c r="D4065" s="475" t="s">
        <v>5520</v>
      </c>
      <c r="E4065" s="476" t="s">
        <v>34</v>
      </c>
      <c r="F4065" s="475" t="s">
        <v>34</v>
      </c>
      <c r="G4065" s="364">
        <v>94687</v>
      </c>
      <c r="H4065" s="475" t="s">
        <v>3394</v>
      </c>
      <c r="I4065" s="475" t="s">
        <v>171</v>
      </c>
      <c r="J4065" s="475" t="s">
        <v>337</v>
      </c>
      <c r="K4065" s="365">
        <v>150.49</v>
      </c>
      <c r="L4065" s="475" t="s">
        <v>141</v>
      </c>
      <c r="M4065" s="473"/>
    </row>
    <row r="4066" spans="1:13" ht="13.5">
      <c r="A4066" s="475" t="s">
        <v>5516</v>
      </c>
      <c r="B4066" s="475" t="s">
        <v>5517</v>
      </c>
      <c r="C4066" s="475" t="s">
        <v>5458</v>
      </c>
      <c r="D4066" s="475" t="s">
        <v>5520</v>
      </c>
      <c r="E4066" s="476" t="s">
        <v>34</v>
      </c>
      <c r="F4066" s="475" t="s">
        <v>34</v>
      </c>
      <c r="G4066" s="364">
        <v>94688</v>
      </c>
      <c r="H4066" s="475" t="s">
        <v>3395</v>
      </c>
      <c r="I4066" s="475" t="s">
        <v>171</v>
      </c>
      <c r="J4066" s="475" t="s">
        <v>337</v>
      </c>
      <c r="K4066" s="365">
        <v>7.98</v>
      </c>
      <c r="L4066" s="475" t="s">
        <v>141</v>
      </c>
      <c r="M4066" s="473"/>
    </row>
    <row r="4067" spans="1:13" ht="13.5">
      <c r="A4067" s="475" t="s">
        <v>5516</v>
      </c>
      <c r="B4067" s="475" t="s">
        <v>5517</v>
      </c>
      <c r="C4067" s="475" t="s">
        <v>5458</v>
      </c>
      <c r="D4067" s="475" t="s">
        <v>5520</v>
      </c>
      <c r="E4067" s="476" t="s">
        <v>34</v>
      </c>
      <c r="F4067" s="475" t="s">
        <v>34</v>
      </c>
      <c r="G4067" s="364">
        <v>94689</v>
      </c>
      <c r="H4067" s="475" t="s">
        <v>3396</v>
      </c>
      <c r="I4067" s="475" t="s">
        <v>171</v>
      </c>
      <c r="J4067" s="475" t="s">
        <v>337</v>
      </c>
      <c r="K4067" s="365">
        <v>10.38</v>
      </c>
      <c r="L4067" s="475" t="s">
        <v>141</v>
      </c>
      <c r="M4067" s="473"/>
    </row>
    <row r="4068" spans="1:13" ht="13.5">
      <c r="A4068" s="475" t="s">
        <v>5516</v>
      </c>
      <c r="B4068" s="475" t="s">
        <v>5517</v>
      </c>
      <c r="C4068" s="475" t="s">
        <v>5458</v>
      </c>
      <c r="D4068" s="475" t="s">
        <v>5520</v>
      </c>
      <c r="E4068" s="476" t="s">
        <v>34</v>
      </c>
      <c r="F4068" s="475" t="s">
        <v>34</v>
      </c>
      <c r="G4068" s="364">
        <v>94690</v>
      </c>
      <c r="H4068" s="475" t="s">
        <v>3397</v>
      </c>
      <c r="I4068" s="475" t="s">
        <v>171</v>
      </c>
      <c r="J4068" s="475" t="s">
        <v>337</v>
      </c>
      <c r="K4068" s="365">
        <v>9.99</v>
      </c>
      <c r="L4068" s="475" t="s">
        <v>141</v>
      </c>
      <c r="M4068" s="473"/>
    </row>
    <row r="4069" spans="1:13" ht="13.5">
      <c r="A4069" s="475" t="s">
        <v>5516</v>
      </c>
      <c r="B4069" s="475" t="s">
        <v>5517</v>
      </c>
      <c r="C4069" s="475" t="s">
        <v>5458</v>
      </c>
      <c r="D4069" s="475" t="s">
        <v>5520</v>
      </c>
      <c r="E4069" s="476" t="s">
        <v>34</v>
      </c>
      <c r="F4069" s="475" t="s">
        <v>34</v>
      </c>
      <c r="G4069" s="364">
        <v>94691</v>
      </c>
      <c r="H4069" s="475" t="s">
        <v>3398</v>
      </c>
      <c r="I4069" s="475" t="s">
        <v>171</v>
      </c>
      <c r="J4069" s="475" t="s">
        <v>337</v>
      </c>
      <c r="K4069" s="365">
        <v>11.38</v>
      </c>
      <c r="L4069" s="475" t="s">
        <v>141</v>
      </c>
      <c r="M4069" s="473"/>
    </row>
    <row r="4070" spans="1:13" ht="13.5">
      <c r="A4070" s="475" t="s">
        <v>5516</v>
      </c>
      <c r="B4070" s="475" t="s">
        <v>5517</v>
      </c>
      <c r="C4070" s="475" t="s">
        <v>5458</v>
      </c>
      <c r="D4070" s="475" t="s">
        <v>5520</v>
      </c>
      <c r="E4070" s="476" t="s">
        <v>34</v>
      </c>
      <c r="F4070" s="475" t="s">
        <v>34</v>
      </c>
      <c r="G4070" s="364">
        <v>94692</v>
      </c>
      <c r="H4070" s="475" t="s">
        <v>3399</v>
      </c>
      <c r="I4070" s="475" t="s">
        <v>171</v>
      </c>
      <c r="J4070" s="475" t="s">
        <v>337</v>
      </c>
      <c r="K4070" s="365">
        <v>17.170000000000002</v>
      </c>
      <c r="L4070" s="475" t="s">
        <v>141</v>
      </c>
      <c r="M4070" s="473"/>
    </row>
    <row r="4071" spans="1:13" ht="13.5">
      <c r="A4071" s="475" t="s">
        <v>5516</v>
      </c>
      <c r="B4071" s="475" t="s">
        <v>5517</v>
      </c>
      <c r="C4071" s="475" t="s">
        <v>5458</v>
      </c>
      <c r="D4071" s="475" t="s">
        <v>5520</v>
      </c>
      <c r="E4071" s="476" t="s">
        <v>34</v>
      </c>
      <c r="F4071" s="475" t="s">
        <v>34</v>
      </c>
      <c r="G4071" s="364">
        <v>94693</v>
      </c>
      <c r="H4071" s="475" t="s">
        <v>3400</v>
      </c>
      <c r="I4071" s="475" t="s">
        <v>171</v>
      </c>
      <c r="J4071" s="475" t="s">
        <v>337</v>
      </c>
      <c r="K4071" s="365">
        <v>17.87</v>
      </c>
      <c r="L4071" s="475" t="s">
        <v>141</v>
      </c>
      <c r="M4071" s="473"/>
    </row>
    <row r="4072" spans="1:13" ht="13.5">
      <c r="A4072" s="475" t="s">
        <v>5516</v>
      </c>
      <c r="B4072" s="475" t="s">
        <v>5517</v>
      </c>
      <c r="C4072" s="475" t="s">
        <v>5458</v>
      </c>
      <c r="D4072" s="475" t="s">
        <v>5520</v>
      </c>
      <c r="E4072" s="476" t="s">
        <v>34</v>
      </c>
      <c r="F4072" s="475" t="s">
        <v>34</v>
      </c>
      <c r="G4072" s="364">
        <v>94694</v>
      </c>
      <c r="H4072" s="475" t="s">
        <v>3401</v>
      </c>
      <c r="I4072" s="475" t="s">
        <v>171</v>
      </c>
      <c r="J4072" s="475" t="s">
        <v>337</v>
      </c>
      <c r="K4072" s="365">
        <v>17.91</v>
      </c>
      <c r="L4072" s="475" t="s">
        <v>141</v>
      </c>
      <c r="M4072" s="473"/>
    </row>
    <row r="4073" spans="1:13" ht="13.5">
      <c r="A4073" s="475" t="s">
        <v>5516</v>
      </c>
      <c r="B4073" s="475" t="s">
        <v>5517</v>
      </c>
      <c r="C4073" s="475" t="s">
        <v>5458</v>
      </c>
      <c r="D4073" s="475" t="s">
        <v>5520</v>
      </c>
      <c r="E4073" s="476" t="s">
        <v>34</v>
      </c>
      <c r="F4073" s="475" t="s">
        <v>34</v>
      </c>
      <c r="G4073" s="364">
        <v>94695</v>
      </c>
      <c r="H4073" s="475" t="s">
        <v>3402</v>
      </c>
      <c r="I4073" s="475" t="s">
        <v>171</v>
      </c>
      <c r="J4073" s="475" t="s">
        <v>337</v>
      </c>
      <c r="K4073" s="365">
        <v>23.31</v>
      </c>
      <c r="L4073" s="475" t="s">
        <v>141</v>
      </c>
      <c r="M4073" s="473"/>
    </row>
    <row r="4074" spans="1:13" ht="13.5">
      <c r="A4074" s="475" t="s">
        <v>5516</v>
      </c>
      <c r="B4074" s="475" t="s">
        <v>5517</v>
      </c>
      <c r="C4074" s="475" t="s">
        <v>5458</v>
      </c>
      <c r="D4074" s="475" t="s">
        <v>5520</v>
      </c>
      <c r="E4074" s="476" t="s">
        <v>34</v>
      </c>
      <c r="F4074" s="475" t="s">
        <v>34</v>
      </c>
      <c r="G4074" s="364">
        <v>94696</v>
      </c>
      <c r="H4074" s="475" t="s">
        <v>3403</v>
      </c>
      <c r="I4074" s="475" t="s">
        <v>171</v>
      </c>
      <c r="J4074" s="475" t="s">
        <v>337</v>
      </c>
      <c r="K4074" s="365">
        <v>40.5</v>
      </c>
      <c r="L4074" s="475" t="s">
        <v>141</v>
      </c>
      <c r="M4074" s="473"/>
    </row>
    <row r="4075" spans="1:13" ht="13.5">
      <c r="A4075" s="475" t="s">
        <v>5516</v>
      </c>
      <c r="B4075" s="475" t="s">
        <v>5517</v>
      </c>
      <c r="C4075" s="475" t="s">
        <v>5458</v>
      </c>
      <c r="D4075" s="475" t="s">
        <v>5520</v>
      </c>
      <c r="E4075" s="476" t="s">
        <v>34</v>
      </c>
      <c r="F4075" s="475" t="s">
        <v>34</v>
      </c>
      <c r="G4075" s="364">
        <v>94697</v>
      </c>
      <c r="H4075" s="475" t="s">
        <v>3404</v>
      </c>
      <c r="I4075" s="475" t="s">
        <v>171</v>
      </c>
      <c r="J4075" s="475" t="s">
        <v>337</v>
      </c>
      <c r="K4075" s="365">
        <v>61.42</v>
      </c>
      <c r="L4075" s="475" t="s">
        <v>141</v>
      </c>
      <c r="M4075" s="473"/>
    </row>
    <row r="4076" spans="1:13" ht="13.5">
      <c r="A4076" s="475" t="s">
        <v>5516</v>
      </c>
      <c r="B4076" s="475" t="s">
        <v>5517</v>
      </c>
      <c r="C4076" s="475" t="s">
        <v>5458</v>
      </c>
      <c r="D4076" s="475" t="s">
        <v>5520</v>
      </c>
      <c r="E4076" s="476" t="s">
        <v>34</v>
      </c>
      <c r="F4076" s="475" t="s">
        <v>34</v>
      </c>
      <c r="G4076" s="364">
        <v>94698</v>
      </c>
      <c r="H4076" s="475" t="s">
        <v>3405</v>
      </c>
      <c r="I4076" s="475" t="s">
        <v>171</v>
      </c>
      <c r="J4076" s="475" t="s">
        <v>337</v>
      </c>
      <c r="K4076" s="365">
        <v>54.07</v>
      </c>
      <c r="L4076" s="475" t="s">
        <v>141</v>
      </c>
      <c r="M4076" s="473"/>
    </row>
    <row r="4077" spans="1:13" ht="13.5">
      <c r="A4077" s="475" t="s">
        <v>5516</v>
      </c>
      <c r="B4077" s="475" t="s">
        <v>5517</v>
      </c>
      <c r="C4077" s="475" t="s">
        <v>5458</v>
      </c>
      <c r="D4077" s="475" t="s">
        <v>5520</v>
      </c>
      <c r="E4077" s="476" t="s">
        <v>34</v>
      </c>
      <c r="F4077" s="475" t="s">
        <v>34</v>
      </c>
      <c r="G4077" s="364">
        <v>94699</v>
      </c>
      <c r="H4077" s="475" t="s">
        <v>3406</v>
      </c>
      <c r="I4077" s="475" t="s">
        <v>171</v>
      </c>
      <c r="J4077" s="475" t="s">
        <v>337</v>
      </c>
      <c r="K4077" s="365">
        <v>103.75</v>
      </c>
      <c r="L4077" s="475" t="s">
        <v>141</v>
      </c>
      <c r="M4077" s="473"/>
    </row>
    <row r="4078" spans="1:13" ht="13.5">
      <c r="A4078" s="475" t="s">
        <v>5516</v>
      </c>
      <c r="B4078" s="475" t="s">
        <v>5517</v>
      </c>
      <c r="C4078" s="475" t="s">
        <v>5458</v>
      </c>
      <c r="D4078" s="475" t="s">
        <v>5520</v>
      </c>
      <c r="E4078" s="476" t="s">
        <v>34</v>
      </c>
      <c r="F4078" s="475" t="s">
        <v>34</v>
      </c>
      <c r="G4078" s="364">
        <v>94700</v>
      </c>
      <c r="H4078" s="475" t="s">
        <v>3407</v>
      </c>
      <c r="I4078" s="475" t="s">
        <v>171</v>
      </c>
      <c r="J4078" s="475" t="s">
        <v>337</v>
      </c>
      <c r="K4078" s="365">
        <v>88.69</v>
      </c>
      <c r="L4078" s="475" t="s">
        <v>141</v>
      </c>
      <c r="M4078" s="473"/>
    </row>
    <row r="4079" spans="1:13" ht="13.5">
      <c r="A4079" s="475" t="s">
        <v>5516</v>
      </c>
      <c r="B4079" s="475" t="s">
        <v>5517</v>
      </c>
      <c r="C4079" s="475" t="s">
        <v>5458</v>
      </c>
      <c r="D4079" s="475" t="s">
        <v>5520</v>
      </c>
      <c r="E4079" s="476" t="s">
        <v>34</v>
      </c>
      <c r="F4079" s="475" t="s">
        <v>34</v>
      </c>
      <c r="G4079" s="364">
        <v>94701</v>
      </c>
      <c r="H4079" s="475" t="s">
        <v>3408</v>
      </c>
      <c r="I4079" s="475" t="s">
        <v>171</v>
      </c>
      <c r="J4079" s="475" t="s">
        <v>337</v>
      </c>
      <c r="K4079" s="365">
        <v>151.51</v>
      </c>
      <c r="L4079" s="475" t="s">
        <v>141</v>
      </c>
      <c r="M4079" s="473"/>
    </row>
    <row r="4080" spans="1:13" ht="13.5">
      <c r="A4080" s="475" t="s">
        <v>5516</v>
      </c>
      <c r="B4080" s="475" t="s">
        <v>5517</v>
      </c>
      <c r="C4080" s="475" t="s">
        <v>5458</v>
      </c>
      <c r="D4080" s="475" t="s">
        <v>5520</v>
      </c>
      <c r="E4080" s="476" t="s">
        <v>34</v>
      </c>
      <c r="F4080" s="475" t="s">
        <v>34</v>
      </c>
      <c r="G4080" s="364">
        <v>94702</v>
      </c>
      <c r="H4080" s="475" t="s">
        <v>3409</v>
      </c>
      <c r="I4080" s="475" t="s">
        <v>171</v>
      </c>
      <c r="J4080" s="475" t="s">
        <v>337</v>
      </c>
      <c r="K4080" s="365">
        <v>143.80000000000001</v>
      </c>
      <c r="L4080" s="475" t="s">
        <v>141</v>
      </c>
      <c r="M4080" s="473"/>
    </row>
    <row r="4081" spans="1:13" ht="13.5">
      <c r="A4081" s="475" t="s">
        <v>5516</v>
      </c>
      <c r="B4081" s="475" t="s">
        <v>5517</v>
      </c>
      <c r="C4081" s="475" t="s">
        <v>5458</v>
      </c>
      <c r="D4081" s="475" t="s">
        <v>5520</v>
      </c>
      <c r="E4081" s="476" t="s">
        <v>34</v>
      </c>
      <c r="F4081" s="475" t="s">
        <v>34</v>
      </c>
      <c r="G4081" s="364">
        <v>94703</v>
      </c>
      <c r="H4081" s="475" t="s">
        <v>3410</v>
      </c>
      <c r="I4081" s="475" t="s">
        <v>171</v>
      </c>
      <c r="J4081" s="475" t="s">
        <v>337</v>
      </c>
      <c r="K4081" s="365">
        <v>13.67</v>
      </c>
      <c r="L4081" s="475" t="s">
        <v>141</v>
      </c>
      <c r="M4081" s="473"/>
    </row>
    <row r="4082" spans="1:13" ht="13.5">
      <c r="A4082" s="475" t="s">
        <v>5516</v>
      </c>
      <c r="B4082" s="475" t="s">
        <v>5517</v>
      </c>
      <c r="C4082" s="475" t="s">
        <v>5458</v>
      </c>
      <c r="D4082" s="475" t="s">
        <v>5520</v>
      </c>
      <c r="E4082" s="476" t="s">
        <v>34</v>
      </c>
      <c r="F4082" s="475" t="s">
        <v>34</v>
      </c>
      <c r="G4082" s="364">
        <v>94704</v>
      </c>
      <c r="H4082" s="475" t="s">
        <v>3411</v>
      </c>
      <c r="I4082" s="475" t="s">
        <v>171</v>
      </c>
      <c r="J4082" s="475" t="s">
        <v>337</v>
      </c>
      <c r="K4082" s="365">
        <v>15.98</v>
      </c>
      <c r="L4082" s="475" t="s">
        <v>141</v>
      </c>
      <c r="M4082" s="473"/>
    </row>
    <row r="4083" spans="1:13" ht="13.5">
      <c r="A4083" s="475" t="s">
        <v>5516</v>
      </c>
      <c r="B4083" s="475" t="s">
        <v>5517</v>
      </c>
      <c r="C4083" s="475" t="s">
        <v>5458</v>
      </c>
      <c r="D4083" s="475" t="s">
        <v>5520</v>
      </c>
      <c r="E4083" s="476" t="s">
        <v>34</v>
      </c>
      <c r="F4083" s="475" t="s">
        <v>34</v>
      </c>
      <c r="G4083" s="364">
        <v>94705</v>
      </c>
      <c r="H4083" s="475" t="s">
        <v>3412</v>
      </c>
      <c r="I4083" s="475" t="s">
        <v>171</v>
      </c>
      <c r="J4083" s="475" t="s">
        <v>337</v>
      </c>
      <c r="K4083" s="365">
        <v>19.48</v>
      </c>
      <c r="L4083" s="475" t="s">
        <v>141</v>
      </c>
      <c r="M4083" s="473"/>
    </row>
    <row r="4084" spans="1:13" ht="13.5">
      <c r="A4084" s="475" t="s">
        <v>5516</v>
      </c>
      <c r="B4084" s="475" t="s">
        <v>5517</v>
      </c>
      <c r="C4084" s="475" t="s">
        <v>5458</v>
      </c>
      <c r="D4084" s="475" t="s">
        <v>5520</v>
      </c>
      <c r="E4084" s="476" t="s">
        <v>34</v>
      </c>
      <c r="F4084" s="475" t="s">
        <v>34</v>
      </c>
      <c r="G4084" s="364">
        <v>94706</v>
      </c>
      <c r="H4084" s="475" t="s">
        <v>3413</v>
      </c>
      <c r="I4084" s="475" t="s">
        <v>171</v>
      </c>
      <c r="J4084" s="475" t="s">
        <v>337</v>
      </c>
      <c r="K4084" s="365">
        <v>28.51</v>
      </c>
      <c r="L4084" s="475" t="s">
        <v>141</v>
      </c>
      <c r="M4084" s="473"/>
    </row>
    <row r="4085" spans="1:13" ht="13.5">
      <c r="A4085" s="475" t="s">
        <v>5516</v>
      </c>
      <c r="B4085" s="475" t="s">
        <v>5517</v>
      </c>
      <c r="C4085" s="475" t="s">
        <v>5458</v>
      </c>
      <c r="D4085" s="475" t="s">
        <v>5520</v>
      </c>
      <c r="E4085" s="476" t="s">
        <v>34</v>
      </c>
      <c r="F4085" s="475" t="s">
        <v>34</v>
      </c>
      <c r="G4085" s="364">
        <v>94707</v>
      </c>
      <c r="H4085" s="475" t="s">
        <v>3414</v>
      </c>
      <c r="I4085" s="475" t="s">
        <v>171</v>
      </c>
      <c r="J4085" s="475" t="s">
        <v>337</v>
      </c>
      <c r="K4085" s="365">
        <v>35</v>
      </c>
      <c r="L4085" s="475" t="s">
        <v>141</v>
      </c>
      <c r="M4085" s="473"/>
    </row>
    <row r="4086" spans="1:13" ht="13.5">
      <c r="A4086" s="475" t="s">
        <v>5516</v>
      </c>
      <c r="B4086" s="475" t="s">
        <v>5517</v>
      </c>
      <c r="C4086" s="475" t="s">
        <v>5458</v>
      </c>
      <c r="D4086" s="475" t="s">
        <v>5520</v>
      </c>
      <c r="E4086" s="476" t="s">
        <v>34</v>
      </c>
      <c r="F4086" s="475" t="s">
        <v>34</v>
      </c>
      <c r="G4086" s="364">
        <v>94708</v>
      </c>
      <c r="H4086" s="475" t="s">
        <v>3415</v>
      </c>
      <c r="I4086" s="475" t="s">
        <v>171</v>
      </c>
      <c r="J4086" s="475" t="s">
        <v>337</v>
      </c>
      <c r="K4086" s="365">
        <v>17.86</v>
      </c>
      <c r="L4086" s="475" t="s">
        <v>141</v>
      </c>
      <c r="M4086" s="473"/>
    </row>
    <row r="4087" spans="1:13" ht="13.5">
      <c r="A4087" s="475" t="s">
        <v>5516</v>
      </c>
      <c r="B4087" s="475" t="s">
        <v>5517</v>
      </c>
      <c r="C4087" s="475" t="s">
        <v>5458</v>
      </c>
      <c r="D4087" s="475" t="s">
        <v>5520</v>
      </c>
      <c r="E4087" s="476" t="s">
        <v>34</v>
      </c>
      <c r="F4087" s="475" t="s">
        <v>34</v>
      </c>
      <c r="G4087" s="364">
        <v>94709</v>
      </c>
      <c r="H4087" s="475" t="s">
        <v>3416</v>
      </c>
      <c r="I4087" s="475" t="s">
        <v>171</v>
      </c>
      <c r="J4087" s="475" t="s">
        <v>337</v>
      </c>
      <c r="K4087" s="365">
        <v>22.47</v>
      </c>
      <c r="L4087" s="475" t="s">
        <v>141</v>
      </c>
      <c r="M4087" s="473"/>
    </row>
    <row r="4088" spans="1:13" ht="13.5">
      <c r="A4088" s="475" t="s">
        <v>5516</v>
      </c>
      <c r="B4088" s="475" t="s">
        <v>5517</v>
      </c>
      <c r="C4088" s="475" t="s">
        <v>5458</v>
      </c>
      <c r="D4088" s="475" t="s">
        <v>5520</v>
      </c>
      <c r="E4088" s="476" t="s">
        <v>34</v>
      </c>
      <c r="F4088" s="475" t="s">
        <v>34</v>
      </c>
      <c r="G4088" s="364">
        <v>94710</v>
      </c>
      <c r="H4088" s="475" t="s">
        <v>3417</v>
      </c>
      <c r="I4088" s="475" t="s">
        <v>171</v>
      </c>
      <c r="J4088" s="475" t="s">
        <v>337</v>
      </c>
      <c r="K4088" s="365">
        <v>33.909999999999997</v>
      </c>
      <c r="L4088" s="475" t="s">
        <v>141</v>
      </c>
      <c r="M4088" s="473"/>
    </row>
    <row r="4089" spans="1:13" ht="13.5">
      <c r="A4089" s="475" t="s">
        <v>5516</v>
      </c>
      <c r="B4089" s="475" t="s">
        <v>5517</v>
      </c>
      <c r="C4089" s="475" t="s">
        <v>5458</v>
      </c>
      <c r="D4089" s="475" t="s">
        <v>5520</v>
      </c>
      <c r="E4089" s="476" t="s">
        <v>34</v>
      </c>
      <c r="F4089" s="475" t="s">
        <v>34</v>
      </c>
      <c r="G4089" s="364">
        <v>94711</v>
      </c>
      <c r="H4089" s="475" t="s">
        <v>3418</v>
      </c>
      <c r="I4089" s="475" t="s">
        <v>171</v>
      </c>
      <c r="J4089" s="475" t="s">
        <v>337</v>
      </c>
      <c r="K4089" s="365">
        <v>41.22</v>
      </c>
      <c r="L4089" s="475" t="s">
        <v>141</v>
      </c>
      <c r="M4089" s="473"/>
    </row>
    <row r="4090" spans="1:13" ht="13.5">
      <c r="A4090" s="475" t="s">
        <v>5516</v>
      </c>
      <c r="B4090" s="475" t="s">
        <v>5517</v>
      </c>
      <c r="C4090" s="475" t="s">
        <v>5458</v>
      </c>
      <c r="D4090" s="475" t="s">
        <v>5520</v>
      </c>
      <c r="E4090" s="476" t="s">
        <v>34</v>
      </c>
      <c r="F4090" s="475" t="s">
        <v>34</v>
      </c>
      <c r="G4090" s="364">
        <v>94712</v>
      </c>
      <c r="H4090" s="475" t="s">
        <v>3419</v>
      </c>
      <c r="I4090" s="475" t="s">
        <v>171</v>
      </c>
      <c r="J4090" s="475" t="s">
        <v>337</v>
      </c>
      <c r="K4090" s="365">
        <v>54.35</v>
      </c>
      <c r="L4090" s="475" t="s">
        <v>141</v>
      </c>
      <c r="M4090" s="473"/>
    </row>
    <row r="4091" spans="1:13" ht="13.5">
      <c r="A4091" s="475" t="s">
        <v>5516</v>
      </c>
      <c r="B4091" s="475" t="s">
        <v>5517</v>
      </c>
      <c r="C4091" s="475" t="s">
        <v>5458</v>
      </c>
      <c r="D4091" s="475" t="s">
        <v>5520</v>
      </c>
      <c r="E4091" s="476" t="s">
        <v>34</v>
      </c>
      <c r="F4091" s="475" t="s">
        <v>34</v>
      </c>
      <c r="G4091" s="364">
        <v>94713</v>
      </c>
      <c r="H4091" s="475" t="s">
        <v>3420</v>
      </c>
      <c r="I4091" s="475" t="s">
        <v>171</v>
      </c>
      <c r="J4091" s="475" t="s">
        <v>337</v>
      </c>
      <c r="K4091" s="365">
        <v>137.66999999999999</v>
      </c>
      <c r="L4091" s="475" t="s">
        <v>141</v>
      </c>
      <c r="M4091" s="473"/>
    </row>
    <row r="4092" spans="1:13" ht="13.5">
      <c r="A4092" s="475" t="s">
        <v>5516</v>
      </c>
      <c r="B4092" s="475" t="s">
        <v>5517</v>
      </c>
      <c r="C4092" s="475" t="s">
        <v>5458</v>
      </c>
      <c r="D4092" s="475" t="s">
        <v>5520</v>
      </c>
      <c r="E4092" s="476" t="s">
        <v>34</v>
      </c>
      <c r="F4092" s="475" t="s">
        <v>34</v>
      </c>
      <c r="G4092" s="364">
        <v>94714</v>
      </c>
      <c r="H4092" s="475" t="s">
        <v>3421</v>
      </c>
      <c r="I4092" s="475" t="s">
        <v>171</v>
      </c>
      <c r="J4092" s="475" t="s">
        <v>337</v>
      </c>
      <c r="K4092" s="365">
        <v>185.72</v>
      </c>
      <c r="L4092" s="475" t="s">
        <v>141</v>
      </c>
      <c r="M4092" s="473"/>
    </row>
    <row r="4093" spans="1:13" ht="13.5">
      <c r="A4093" s="475" t="s">
        <v>5516</v>
      </c>
      <c r="B4093" s="475" t="s">
        <v>5517</v>
      </c>
      <c r="C4093" s="475" t="s">
        <v>5458</v>
      </c>
      <c r="D4093" s="475" t="s">
        <v>5520</v>
      </c>
      <c r="E4093" s="476" t="s">
        <v>34</v>
      </c>
      <c r="F4093" s="475" t="s">
        <v>34</v>
      </c>
      <c r="G4093" s="364">
        <v>94715</v>
      </c>
      <c r="H4093" s="475" t="s">
        <v>3422</v>
      </c>
      <c r="I4093" s="475" t="s">
        <v>171</v>
      </c>
      <c r="J4093" s="475" t="s">
        <v>337</v>
      </c>
      <c r="K4093" s="365">
        <v>255.39</v>
      </c>
      <c r="L4093" s="475" t="s">
        <v>141</v>
      </c>
      <c r="M4093" s="473"/>
    </row>
    <row r="4094" spans="1:13" ht="13.5">
      <c r="A4094" s="475" t="s">
        <v>5516</v>
      </c>
      <c r="B4094" s="475" t="s">
        <v>5517</v>
      </c>
      <c r="C4094" s="475" t="s">
        <v>5458</v>
      </c>
      <c r="D4094" s="475" t="s">
        <v>5520</v>
      </c>
      <c r="E4094" s="476" t="s">
        <v>34</v>
      </c>
      <c r="F4094" s="475" t="s">
        <v>34</v>
      </c>
      <c r="G4094" s="364">
        <v>94724</v>
      </c>
      <c r="H4094" s="475" t="s">
        <v>3423</v>
      </c>
      <c r="I4094" s="475" t="s">
        <v>171</v>
      </c>
      <c r="J4094" s="475" t="s">
        <v>337</v>
      </c>
      <c r="K4094" s="365">
        <v>13.96</v>
      </c>
      <c r="L4094" s="475" t="s">
        <v>141</v>
      </c>
      <c r="M4094" s="473"/>
    </row>
    <row r="4095" spans="1:13" ht="13.5">
      <c r="A4095" s="475" t="s">
        <v>5516</v>
      </c>
      <c r="B4095" s="475" t="s">
        <v>5517</v>
      </c>
      <c r="C4095" s="475" t="s">
        <v>5458</v>
      </c>
      <c r="D4095" s="475" t="s">
        <v>5520</v>
      </c>
      <c r="E4095" s="476" t="s">
        <v>34</v>
      </c>
      <c r="F4095" s="475" t="s">
        <v>34</v>
      </c>
      <c r="G4095" s="364">
        <v>94725</v>
      </c>
      <c r="H4095" s="475" t="s">
        <v>3424</v>
      </c>
      <c r="I4095" s="475" t="s">
        <v>171</v>
      </c>
      <c r="J4095" s="475" t="s">
        <v>337</v>
      </c>
      <c r="K4095" s="365">
        <v>4.21</v>
      </c>
      <c r="L4095" s="475" t="s">
        <v>141</v>
      </c>
      <c r="M4095" s="473"/>
    </row>
    <row r="4096" spans="1:13" ht="13.5">
      <c r="A4096" s="475" t="s">
        <v>5516</v>
      </c>
      <c r="B4096" s="475" t="s">
        <v>5517</v>
      </c>
      <c r="C4096" s="475" t="s">
        <v>5458</v>
      </c>
      <c r="D4096" s="475" t="s">
        <v>5520</v>
      </c>
      <c r="E4096" s="476" t="s">
        <v>34</v>
      </c>
      <c r="F4096" s="475" t="s">
        <v>34</v>
      </c>
      <c r="G4096" s="364">
        <v>94726</v>
      </c>
      <c r="H4096" s="475" t="s">
        <v>3425</v>
      </c>
      <c r="I4096" s="475" t="s">
        <v>171</v>
      </c>
      <c r="J4096" s="475" t="s">
        <v>337</v>
      </c>
      <c r="K4096" s="365">
        <v>20.93</v>
      </c>
      <c r="L4096" s="475" t="s">
        <v>141</v>
      </c>
      <c r="M4096" s="473"/>
    </row>
    <row r="4097" spans="1:13" ht="13.5">
      <c r="A4097" s="475" t="s">
        <v>5516</v>
      </c>
      <c r="B4097" s="475" t="s">
        <v>5517</v>
      </c>
      <c r="C4097" s="475" t="s">
        <v>5458</v>
      </c>
      <c r="D4097" s="475" t="s">
        <v>5520</v>
      </c>
      <c r="E4097" s="476" t="s">
        <v>34</v>
      </c>
      <c r="F4097" s="475" t="s">
        <v>34</v>
      </c>
      <c r="G4097" s="364">
        <v>94727</v>
      </c>
      <c r="H4097" s="475" t="s">
        <v>3426</v>
      </c>
      <c r="I4097" s="475" t="s">
        <v>171</v>
      </c>
      <c r="J4097" s="475" t="s">
        <v>337</v>
      </c>
      <c r="K4097" s="365">
        <v>5.5</v>
      </c>
      <c r="L4097" s="475" t="s">
        <v>141</v>
      </c>
      <c r="M4097" s="473"/>
    </row>
    <row r="4098" spans="1:13" ht="13.5">
      <c r="A4098" s="475" t="s">
        <v>5516</v>
      </c>
      <c r="B4098" s="475" t="s">
        <v>5517</v>
      </c>
      <c r="C4098" s="475" t="s">
        <v>5458</v>
      </c>
      <c r="D4098" s="475" t="s">
        <v>5520</v>
      </c>
      <c r="E4098" s="476" t="s">
        <v>34</v>
      </c>
      <c r="F4098" s="475" t="s">
        <v>34</v>
      </c>
      <c r="G4098" s="364">
        <v>94728</v>
      </c>
      <c r="H4098" s="475" t="s">
        <v>3427</v>
      </c>
      <c r="I4098" s="475" t="s">
        <v>171</v>
      </c>
      <c r="J4098" s="475" t="s">
        <v>337</v>
      </c>
      <c r="K4098" s="365">
        <v>76.430000000000007</v>
      </c>
      <c r="L4098" s="475" t="s">
        <v>141</v>
      </c>
      <c r="M4098" s="473"/>
    </row>
    <row r="4099" spans="1:13" ht="13.5">
      <c r="A4099" s="475" t="s">
        <v>5516</v>
      </c>
      <c r="B4099" s="475" t="s">
        <v>5517</v>
      </c>
      <c r="C4099" s="475" t="s">
        <v>5458</v>
      </c>
      <c r="D4099" s="475" t="s">
        <v>5520</v>
      </c>
      <c r="E4099" s="476" t="s">
        <v>34</v>
      </c>
      <c r="F4099" s="475" t="s">
        <v>34</v>
      </c>
      <c r="G4099" s="364">
        <v>94729</v>
      </c>
      <c r="H4099" s="475" t="s">
        <v>3428</v>
      </c>
      <c r="I4099" s="475" t="s">
        <v>171</v>
      </c>
      <c r="J4099" s="475" t="s">
        <v>337</v>
      </c>
      <c r="K4099" s="365">
        <v>9.26</v>
      </c>
      <c r="L4099" s="475" t="s">
        <v>141</v>
      </c>
      <c r="M4099" s="473"/>
    </row>
    <row r="4100" spans="1:13" ht="13.5">
      <c r="A4100" s="475" t="s">
        <v>5516</v>
      </c>
      <c r="B4100" s="475" t="s">
        <v>5517</v>
      </c>
      <c r="C4100" s="475" t="s">
        <v>5458</v>
      </c>
      <c r="D4100" s="475" t="s">
        <v>5520</v>
      </c>
      <c r="E4100" s="476" t="s">
        <v>34</v>
      </c>
      <c r="F4100" s="475" t="s">
        <v>34</v>
      </c>
      <c r="G4100" s="364">
        <v>94730</v>
      </c>
      <c r="H4100" s="475" t="s">
        <v>3429</v>
      </c>
      <c r="I4100" s="475" t="s">
        <v>171</v>
      </c>
      <c r="J4100" s="475" t="s">
        <v>337</v>
      </c>
      <c r="K4100" s="365">
        <v>92.51</v>
      </c>
      <c r="L4100" s="475" t="s">
        <v>141</v>
      </c>
      <c r="M4100" s="473"/>
    </row>
    <row r="4101" spans="1:13" ht="13.5">
      <c r="A4101" s="475" t="s">
        <v>5516</v>
      </c>
      <c r="B4101" s="475" t="s">
        <v>5517</v>
      </c>
      <c r="C4101" s="475" t="s">
        <v>5458</v>
      </c>
      <c r="D4101" s="475" t="s">
        <v>5520</v>
      </c>
      <c r="E4101" s="476" t="s">
        <v>34</v>
      </c>
      <c r="F4101" s="475" t="s">
        <v>34</v>
      </c>
      <c r="G4101" s="364">
        <v>94731</v>
      </c>
      <c r="H4101" s="475" t="s">
        <v>3430</v>
      </c>
      <c r="I4101" s="475" t="s">
        <v>171</v>
      </c>
      <c r="J4101" s="475" t="s">
        <v>337</v>
      </c>
      <c r="K4101" s="365">
        <v>11.22</v>
      </c>
      <c r="L4101" s="475" t="s">
        <v>141</v>
      </c>
      <c r="M4101" s="473"/>
    </row>
    <row r="4102" spans="1:13" ht="13.5">
      <c r="A4102" s="475" t="s">
        <v>5516</v>
      </c>
      <c r="B4102" s="475" t="s">
        <v>5517</v>
      </c>
      <c r="C4102" s="475" t="s">
        <v>5458</v>
      </c>
      <c r="D4102" s="475" t="s">
        <v>5520</v>
      </c>
      <c r="E4102" s="476" t="s">
        <v>34</v>
      </c>
      <c r="F4102" s="475" t="s">
        <v>34</v>
      </c>
      <c r="G4102" s="364">
        <v>94733</v>
      </c>
      <c r="H4102" s="475" t="s">
        <v>3431</v>
      </c>
      <c r="I4102" s="475" t="s">
        <v>171</v>
      </c>
      <c r="J4102" s="475" t="s">
        <v>337</v>
      </c>
      <c r="K4102" s="365">
        <v>21.35</v>
      </c>
      <c r="L4102" s="475" t="s">
        <v>141</v>
      </c>
      <c r="M4102" s="473"/>
    </row>
    <row r="4103" spans="1:13" ht="13.5">
      <c r="A4103" s="475" t="s">
        <v>5516</v>
      </c>
      <c r="B4103" s="475" t="s">
        <v>5517</v>
      </c>
      <c r="C4103" s="475" t="s">
        <v>5458</v>
      </c>
      <c r="D4103" s="475" t="s">
        <v>5520</v>
      </c>
      <c r="E4103" s="476" t="s">
        <v>34</v>
      </c>
      <c r="F4103" s="475" t="s">
        <v>34</v>
      </c>
      <c r="G4103" s="364">
        <v>94737</v>
      </c>
      <c r="H4103" s="475" t="s">
        <v>3432</v>
      </c>
      <c r="I4103" s="475" t="s">
        <v>171</v>
      </c>
      <c r="J4103" s="475" t="s">
        <v>337</v>
      </c>
      <c r="K4103" s="365">
        <v>83.28</v>
      </c>
      <c r="L4103" s="475" t="s">
        <v>141</v>
      </c>
      <c r="M4103" s="473"/>
    </row>
    <row r="4104" spans="1:13" ht="13.5">
      <c r="A4104" s="475" t="s">
        <v>5516</v>
      </c>
      <c r="B4104" s="475" t="s">
        <v>5517</v>
      </c>
      <c r="C4104" s="475" t="s">
        <v>5458</v>
      </c>
      <c r="D4104" s="475" t="s">
        <v>5520</v>
      </c>
      <c r="E4104" s="476" t="s">
        <v>34</v>
      </c>
      <c r="F4104" s="475" t="s">
        <v>34</v>
      </c>
      <c r="G4104" s="364">
        <v>94740</v>
      </c>
      <c r="H4104" s="475" t="s">
        <v>3433</v>
      </c>
      <c r="I4104" s="475" t="s">
        <v>171</v>
      </c>
      <c r="J4104" s="475" t="s">
        <v>337</v>
      </c>
      <c r="K4104" s="365">
        <v>6.46</v>
      </c>
      <c r="L4104" s="475" t="s">
        <v>141</v>
      </c>
      <c r="M4104" s="473"/>
    </row>
    <row r="4105" spans="1:13" ht="13.5">
      <c r="A4105" s="475" t="s">
        <v>5516</v>
      </c>
      <c r="B4105" s="475" t="s">
        <v>5517</v>
      </c>
      <c r="C4105" s="475" t="s">
        <v>5458</v>
      </c>
      <c r="D4105" s="475" t="s">
        <v>5520</v>
      </c>
      <c r="E4105" s="476" t="s">
        <v>34</v>
      </c>
      <c r="F4105" s="475" t="s">
        <v>34</v>
      </c>
      <c r="G4105" s="364">
        <v>94741</v>
      </c>
      <c r="H4105" s="475" t="s">
        <v>3434</v>
      </c>
      <c r="I4105" s="475" t="s">
        <v>171</v>
      </c>
      <c r="J4105" s="475" t="s">
        <v>337</v>
      </c>
      <c r="K4105" s="365">
        <v>7.63</v>
      </c>
      <c r="L4105" s="475" t="s">
        <v>141</v>
      </c>
      <c r="M4105" s="473"/>
    </row>
    <row r="4106" spans="1:13" ht="13.5">
      <c r="A4106" s="475" t="s">
        <v>5516</v>
      </c>
      <c r="B4106" s="475" t="s">
        <v>5517</v>
      </c>
      <c r="C4106" s="475" t="s">
        <v>5458</v>
      </c>
      <c r="D4106" s="475" t="s">
        <v>5520</v>
      </c>
      <c r="E4106" s="476" t="s">
        <v>34</v>
      </c>
      <c r="F4106" s="475" t="s">
        <v>34</v>
      </c>
      <c r="G4106" s="364">
        <v>94742</v>
      </c>
      <c r="H4106" s="475" t="s">
        <v>3435</v>
      </c>
      <c r="I4106" s="475" t="s">
        <v>171</v>
      </c>
      <c r="J4106" s="475" t="s">
        <v>337</v>
      </c>
      <c r="K4106" s="365">
        <v>8.9499999999999993</v>
      </c>
      <c r="L4106" s="475" t="s">
        <v>141</v>
      </c>
      <c r="M4106" s="473"/>
    </row>
    <row r="4107" spans="1:13" ht="13.5">
      <c r="A4107" s="475" t="s">
        <v>5516</v>
      </c>
      <c r="B4107" s="475" t="s">
        <v>5517</v>
      </c>
      <c r="C4107" s="475" t="s">
        <v>5458</v>
      </c>
      <c r="D4107" s="475" t="s">
        <v>5520</v>
      </c>
      <c r="E4107" s="476" t="s">
        <v>34</v>
      </c>
      <c r="F4107" s="475" t="s">
        <v>34</v>
      </c>
      <c r="G4107" s="364">
        <v>94743</v>
      </c>
      <c r="H4107" s="475" t="s">
        <v>3436</v>
      </c>
      <c r="I4107" s="475" t="s">
        <v>171</v>
      </c>
      <c r="J4107" s="475" t="s">
        <v>337</v>
      </c>
      <c r="K4107" s="365">
        <v>9.69</v>
      </c>
      <c r="L4107" s="475" t="s">
        <v>141</v>
      </c>
      <c r="M4107" s="473"/>
    </row>
    <row r="4108" spans="1:13" ht="13.5">
      <c r="A4108" s="475" t="s">
        <v>5516</v>
      </c>
      <c r="B4108" s="475" t="s">
        <v>5517</v>
      </c>
      <c r="C4108" s="475" t="s">
        <v>5458</v>
      </c>
      <c r="D4108" s="475" t="s">
        <v>5520</v>
      </c>
      <c r="E4108" s="476" t="s">
        <v>34</v>
      </c>
      <c r="F4108" s="475" t="s">
        <v>34</v>
      </c>
      <c r="G4108" s="364">
        <v>94744</v>
      </c>
      <c r="H4108" s="475" t="s">
        <v>3437</v>
      </c>
      <c r="I4108" s="475" t="s">
        <v>171</v>
      </c>
      <c r="J4108" s="475" t="s">
        <v>337</v>
      </c>
      <c r="K4108" s="365">
        <v>13.89</v>
      </c>
      <c r="L4108" s="475" t="s">
        <v>141</v>
      </c>
      <c r="M4108" s="473"/>
    </row>
    <row r="4109" spans="1:13" ht="13.5">
      <c r="A4109" s="475" t="s">
        <v>5516</v>
      </c>
      <c r="B4109" s="475" t="s">
        <v>5517</v>
      </c>
      <c r="C4109" s="475" t="s">
        <v>5458</v>
      </c>
      <c r="D4109" s="475" t="s">
        <v>5520</v>
      </c>
      <c r="E4109" s="476" t="s">
        <v>34</v>
      </c>
      <c r="F4109" s="475" t="s">
        <v>34</v>
      </c>
      <c r="G4109" s="364">
        <v>94746</v>
      </c>
      <c r="H4109" s="475" t="s">
        <v>3438</v>
      </c>
      <c r="I4109" s="475" t="s">
        <v>171</v>
      </c>
      <c r="J4109" s="475" t="s">
        <v>337</v>
      </c>
      <c r="K4109" s="365">
        <v>18.850000000000001</v>
      </c>
      <c r="L4109" s="475" t="s">
        <v>141</v>
      </c>
      <c r="M4109" s="473"/>
    </row>
    <row r="4110" spans="1:13" ht="13.5">
      <c r="A4110" s="475" t="s">
        <v>5516</v>
      </c>
      <c r="B4110" s="475" t="s">
        <v>5517</v>
      </c>
      <c r="C4110" s="475" t="s">
        <v>5458</v>
      </c>
      <c r="D4110" s="475" t="s">
        <v>5520</v>
      </c>
      <c r="E4110" s="476" t="s">
        <v>34</v>
      </c>
      <c r="F4110" s="475" t="s">
        <v>34</v>
      </c>
      <c r="G4110" s="364">
        <v>94748</v>
      </c>
      <c r="H4110" s="475" t="s">
        <v>3439</v>
      </c>
      <c r="I4110" s="475" t="s">
        <v>171</v>
      </c>
      <c r="J4110" s="475" t="s">
        <v>337</v>
      </c>
      <c r="K4110" s="365">
        <v>38.08</v>
      </c>
      <c r="L4110" s="475" t="s">
        <v>141</v>
      </c>
      <c r="M4110" s="473"/>
    </row>
    <row r="4111" spans="1:13" ht="13.5">
      <c r="A4111" s="475" t="s">
        <v>5516</v>
      </c>
      <c r="B4111" s="475" t="s">
        <v>5517</v>
      </c>
      <c r="C4111" s="475" t="s">
        <v>5458</v>
      </c>
      <c r="D4111" s="475" t="s">
        <v>5520</v>
      </c>
      <c r="E4111" s="476" t="s">
        <v>34</v>
      </c>
      <c r="F4111" s="475" t="s">
        <v>34</v>
      </c>
      <c r="G4111" s="364">
        <v>94750</v>
      </c>
      <c r="H4111" s="475" t="s">
        <v>3440</v>
      </c>
      <c r="I4111" s="475" t="s">
        <v>171</v>
      </c>
      <c r="J4111" s="475" t="s">
        <v>337</v>
      </c>
      <c r="K4111" s="365">
        <v>85.02</v>
      </c>
      <c r="L4111" s="475" t="s">
        <v>141</v>
      </c>
      <c r="M4111" s="473"/>
    </row>
    <row r="4112" spans="1:13" ht="13.5">
      <c r="A4112" s="475" t="s">
        <v>5516</v>
      </c>
      <c r="B4112" s="475" t="s">
        <v>5517</v>
      </c>
      <c r="C4112" s="475" t="s">
        <v>5458</v>
      </c>
      <c r="D4112" s="475" t="s">
        <v>5520</v>
      </c>
      <c r="E4112" s="476" t="s">
        <v>34</v>
      </c>
      <c r="F4112" s="475" t="s">
        <v>34</v>
      </c>
      <c r="G4112" s="364">
        <v>94752</v>
      </c>
      <c r="H4112" s="475" t="s">
        <v>3441</v>
      </c>
      <c r="I4112" s="475" t="s">
        <v>171</v>
      </c>
      <c r="J4112" s="475" t="s">
        <v>337</v>
      </c>
      <c r="K4112" s="365">
        <v>106.45</v>
      </c>
      <c r="L4112" s="475" t="s">
        <v>141</v>
      </c>
      <c r="M4112" s="473"/>
    </row>
    <row r="4113" spans="1:13" ht="13.5">
      <c r="A4113" s="475" t="s">
        <v>5516</v>
      </c>
      <c r="B4113" s="475" t="s">
        <v>5517</v>
      </c>
      <c r="C4113" s="475" t="s">
        <v>5458</v>
      </c>
      <c r="D4113" s="475" t="s">
        <v>5520</v>
      </c>
      <c r="E4113" s="476" t="s">
        <v>34</v>
      </c>
      <c r="F4113" s="475" t="s">
        <v>34</v>
      </c>
      <c r="G4113" s="364">
        <v>94756</v>
      </c>
      <c r="H4113" s="475" t="s">
        <v>3442</v>
      </c>
      <c r="I4113" s="475" t="s">
        <v>171</v>
      </c>
      <c r="J4113" s="475" t="s">
        <v>337</v>
      </c>
      <c r="K4113" s="365">
        <v>8.31</v>
      </c>
      <c r="L4113" s="475" t="s">
        <v>141</v>
      </c>
      <c r="M4113" s="473"/>
    </row>
    <row r="4114" spans="1:13" ht="13.5">
      <c r="A4114" s="475" t="s">
        <v>5516</v>
      </c>
      <c r="B4114" s="475" t="s">
        <v>5517</v>
      </c>
      <c r="C4114" s="475" t="s">
        <v>5458</v>
      </c>
      <c r="D4114" s="475" t="s">
        <v>5520</v>
      </c>
      <c r="E4114" s="476" t="s">
        <v>34</v>
      </c>
      <c r="F4114" s="475" t="s">
        <v>34</v>
      </c>
      <c r="G4114" s="364">
        <v>94757</v>
      </c>
      <c r="H4114" s="475" t="s">
        <v>3443</v>
      </c>
      <c r="I4114" s="475" t="s">
        <v>171</v>
      </c>
      <c r="J4114" s="475" t="s">
        <v>337</v>
      </c>
      <c r="K4114" s="365">
        <v>10.54</v>
      </c>
      <c r="L4114" s="475" t="s">
        <v>141</v>
      </c>
      <c r="M4114" s="473"/>
    </row>
    <row r="4115" spans="1:13" ht="13.5">
      <c r="A4115" s="475" t="s">
        <v>5516</v>
      </c>
      <c r="B4115" s="475" t="s">
        <v>5517</v>
      </c>
      <c r="C4115" s="475" t="s">
        <v>5458</v>
      </c>
      <c r="D4115" s="475" t="s">
        <v>5520</v>
      </c>
      <c r="E4115" s="476" t="s">
        <v>34</v>
      </c>
      <c r="F4115" s="475" t="s">
        <v>34</v>
      </c>
      <c r="G4115" s="364">
        <v>94758</v>
      </c>
      <c r="H4115" s="475" t="s">
        <v>3444</v>
      </c>
      <c r="I4115" s="475" t="s">
        <v>171</v>
      </c>
      <c r="J4115" s="475" t="s">
        <v>337</v>
      </c>
      <c r="K4115" s="365">
        <v>24.26</v>
      </c>
      <c r="L4115" s="475" t="s">
        <v>141</v>
      </c>
      <c r="M4115" s="473"/>
    </row>
    <row r="4116" spans="1:13" ht="13.5">
      <c r="A4116" s="475" t="s">
        <v>5516</v>
      </c>
      <c r="B4116" s="475" t="s">
        <v>5517</v>
      </c>
      <c r="C4116" s="475" t="s">
        <v>5458</v>
      </c>
      <c r="D4116" s="475" t="s">
        <v>5520</v>
      </c>
      <c r="E4116" s="476" t="s">
        <v>34</v>
      </c>
      <c r="F4116" s="475" t="s">
        <v>34</v>
      </c>
      <c r="G4116" s="364">
        <v>94759</v>
      </c>
      <c r="H4116" s="475" t="s">
        <v>3445</v>
      </c>
      <c r="I4116" s="475" t="s">
        <v>171</v>
      </c>
      <c r="J4116" s="475" t="s">
        <v>337</v>
      </c>
      <c r="K4116" s="365">
        <v>29.21</v>
      </c>
      <c r="L4116" s="475" t="s">
        <v>141</v>
      </c>
      <c r="M4116" s="473"/>
    </row>
    <row r="4117" spans="1:13" ht="13.5">
      <c r="A4117" s="475" t="s">
        <v>5516</v>
      </c>
      <c r="B4117" s="475" t="s">
        <v>5517</v>
      </c>
      <c r="C4117" s="475" t="s">
        <v>5458</v>
      </c>
      <c r="D4117" s="475" t="s">
        <v>5520</v>
      </c>
      <c r="E4117" s="476" t="s">
        <v>34</v>
      </c>
      <c r="F4117" s="475" t="s">
        <v>34</v>
      </c>
      <c r="G4117" s="364">
        <v>94760</v>
      </c>
      <c r="H4117" s="475" t="s">
        <v>3446</v>
      </c>
      <c r="I4117" s="475" t="s">
        <v>171</v>
      </c>
      <c r="J4117" s="475" t="s">
        <v>337</v>
      </c>
      <c r="K4117" s="365">
        <v>48.17</v>
      </c>
      <c r="L4117" s="475" t="s">
        <v>141</v>
      </c>
      <c r="M4117" s="473"/>
    </row>
    <row r="4118" spans="1:13" ht="13.5">
      <c r="A4118" s="475" t="s">
        <v>5516</v>
      </c>
      <c r="B4118" s="475" t="s">
        <v>5517</v>
      </c>
      <c r="C4118" s="475" t="s">
        <v>5458</v>
      </c>
      <c r="D4118" s="475" t="s">
        <v>5520</v>
      </c>
      <c r="E4118" s="476" t="s">
        <v>34</v>
      </c>
      <c r="F4118" s="475" t="s">
        <v>34</v>
      </c>
      <c r="G4118" s="364">
        <v>94761</v>
      </c>
      <c r="H4118" s="475" t="s">
        <v>3447</v>
      </c>
      <c r="I4118" s="475" t="s">
        <v>171</v>
      </c>
      <c r="J4118" s="475" t="s">
        <v>337</v>
      </c>
      <c r="K4118" s="365">
        <v>97.8</v>
      </c>
      <c r="L4118" s="475" t="s">
        <v>141</v>
      </c>
      <c r="M4118" s="473"/>
    </row>
    <row r="4119" spans="1:13" ht="13.5">
      <c r="A4119" s="475" t="s">
        <v>5516</v>
      </c>
      <c r="B4119" s="475" t="s">
        <v>5517</v>
      </c>
      <c r="C4119" s="475" t="s">
        <v>5458</v>
      </c>
      <c r="D4119" s="475" t="s">
        <v>5520</v>
      </c>
      <c r="E4119" s="476" t="s">
        <v>34</v>
      </c>
      <c r="F4119" s="475" t="s">
        <v>34</v>
      </c>
      <c r="G4119" s="364">
        <v>94762</v>
      </c>
      <c r="H4119" s="475" t="s">
        <v>3448</v>
      </c>
      <c r="I4119" s="475" t="s">
        <v>171</v>
      </c>
      <c r="J4119" s="475" t="s">
        <v>337</v>
      </c>
      <c r="K4119" s="365">
        <v>128.53</v>
      </c>
      <c r="L4119" s="475" t="s">
        <v>141</v>
      </c>
      <c r="M4119" s="473"/>
    </row>
    <row r="4120" spans="1:13" ht="13.5">
      <c r="A4120" s="475" t="s">
        <v>5516</v>
      </c>
      <c r="B4120" s="475" t="s">
        <v>5517</v>
      </c>
      <c r="C4120" s="475" t="s">
        <v>5458</v>
      </c>
      <c r="D4120" s="475" t="s">
        <v>5520</v>
      </c>
      <c r="E4120" s="476" t="s">
        <v>34</v>
      </c>
      <c r="F4120" s="475" t="s">
        <v>34</v>
      </c>
      <c r="G4120" s="364">
        <v>94783</v>
      </c>
      <c r="H4120" s="475" t="s">
        <v>3449</v>
      </c>
      <c r="I4120" s="475" t="s">
        <v>171</v>
      </c>
      <c r="J4120" s="475" t="s">
        <v>337</v>
      </c>
      <c r="K4120" s="365">
        <v>12.66</v>
      </c>
      <c r="L4120" s="475" t="s">
        <v>141</v>
      </c>
      <c r="M4120" s="473"/>
    </row>
    <row r="4121" spans="1:13" ht="13.5">
      <c r="A4121" s="475" t="s">
        <v>5516</v>
      </c>
      <c r="B4121" s="475" t="s">
        <v>5517</v>
      </c>
      <c r="C4121" s="475" t="s">
        <v>5458</v>
      </c>
      <c r="D4121" s="475" t="s">
        <v>5520</v>
      </c>
      <c r="E4121" s="476" t="s">
        <v>34</v>
      </c>
      <c r="F4121" s="475" t="s">
        <v>34</v>
      </c>
      <c r="G4121" s="364">
        <v>94785</v>
      </c>
      <c r="H4121" s="475" t="s">
        <v>3450</v>
      </c>
      <c r="I4121" s="475" t="s">
        <v>171</v>
      </c>
      <c r="J4121" s="475" t="s">
        <v>337</v>
      </c>
      <c r="K4121" s="365">
        <v>22.79</v>
      </c>
      <c r="L4121" s="475" t="s">
        <v>141</v>
      </c>
      <c r="M4121" s="473"/>
    </row>
    <row r="4122" spans="1:13" ht="13.5">
      <c r="A4122" s="475" t="s">
        <v>5516</v>
      </c>
      <c r="B4122" s="475" t="s">
        <v>5517</v>
      </c>
      <c r="C4122" s="475" t="s">
        <v>5458</v>
      </c>
      <c r="D4122" s="475" t="s">
        <v>5520</v>
      </c>
      <c r="E4122" s="476" t="s">
        <v>34</v>
      </c>
      <c r="F4122" s="475" t="s">
        <v>34</v>
      </c>
      <c r="G4122" s="364">
        <v>94786</v>
      </c>
      <c r="H4122" s="475" t="s">
        <v>3451</v>
      </c>
      <c r="I4122" s="475" t="s">
        <v>171</v>
      </c>
      <c r="J4122" s="475" t="s">
        <v>337</v>
      </c>
      <c r="K4122" s="365">
        <v>29.33</v>
      </c>
      <c r="L4122" s="475" t="s">
        <v>141</v>
      </c>
      <c r="M4122" s="473"/>
    </row>
    <row r="4123" spans="1:13" ht="13.5">
      <c r="A4123" s="475" t="s">
        <v>5516</v>
      </c>
      <c r="B4123" s="475" t="s">
        <v>5517</v>
      </c>
      <c r="C4123" s="475" t="s">
        <v>5458</v>
      </c>
      <c r="D4123" s="475" t="s">
        <v>5520</v>
      </c>
      <c r="E4123" s="476" t="s">
        <v>34</v>
      </c>
      <c r="F4123" s="475" t="s">
        <v>34</v>
      </c>
      <c r="G4123" s="364">
        <v>94787</v>
      </c>
      <c r="H4123" s="475" t="s">
        <v>3452</v>
      </c>
      <c r="I4123" s="475" t="s">
        <v>171</v>
      </c>
      <c r="J4123" s="475" t="s">
        <v>337</v>
      </c>
      <c r="K4123" s="365">
        <v>39.49</v>
      </c>
      <c r="L4123" s="475" t="s">
        <v>141</v>
      </c>
      <c r="M4123" s="473"/>
    </row>
    <row r="4124" spans="1:13" ht="13.5">
      <c r="A4124" s="475" t="s">
        <v>5516</v>
      </c>
      <c r="B4124" s="475" t="s">
        <v>5517</v>
      </c>
      <c r="C4124" s="475" t="s">
        <v>5458</v>
      </c>
      <c r="D4124" s="475" t="s">
        <v>5520</v>
      </c>
      <c r="E4124" s="476" t="s">
        <v>34</v>
      </c>
      <c r="F4124" s="475" t="s">
        <v>34</v>
      </c>
      <c r="G4124" s="364">
        <v>94788</v>
      </c>
      <c r="H4124" s="475" t="s">
        <v>3453</v>
      </c>
      <c r="I4124" s="475" t="s">
        <v>171</v>
      </c>
      <c r="J4124" s="475" t="s">
        <v>337</v>
      </c>
      <c r="K4124" s="365">
        <v>55.91</v>
      </c>
      <c r="L4124" s="475" t="s">
        <v>141</v>
      </c>
      <c r="M4124" s="473"/>
    </row>
    <row r="4125" spans="1:13" ht="13.5">
      <c r="A4125" s="475" t="s">
        <v>5516</v>
      </c>
      <c r="B4125" s="475" t="s">
        <v>5517</v>
      </c>
      <c r="C4125" s="475" t="s">
        <v>5458</v>
      </c>
      <c r="D4125" s="475" t="s">
        <v>5520</v>
      </c>
      <c r="E4125" s="476" t="s">
        <v>34</v>
      </c>
      <c r="F4125" s="475" t="s">
        <v>34</v>
      </c>
      <c r="G4125" s="364">
        <v>94789</v>
      </c>
      <c r="H4125" s="475" t="s">
        <v>3454</v>
      </c>
      <c r="I4125" s="475" t="s">
        <v>171</v>
      </c>
      <c r="J4125" s="475" t="s">
        <v>337</v>
      </c>
      <c r="K4125" s="365">
        <v>169.88</v>
      </c>
      <c r="L4125" s="475" t="s">
        <v>141</v>
      </c>
      <c r="M4125" s="473"/>
    </row>
    <row r="4126" spans="1:13" ht="13.5">
      <c r="A4126" s="475" t="s">
        <v>5516</v>
      </c>
      <c r="B4126" s="475" t="s">
        <v>5517</v>
      </c>
      <c r="C4126" s="475" t="s">
        <v>5458</v>
      </c>
      <c r="D4126" s="475" t="s">
        <v>5520</v>
      </c>
      <c r="E4126" s="476" t="s">
        <v>34</v>
      </c>
      <c r="F4126" s="475" t="s">
        <v>34</v>
      </c>
      <c r="G4126" s="364">
        <v>94790</v>
      </c>
      <c r="H4126" s="475" t="s">
        <v>3455</v>
      </c>
      <c r="I4126" s="475" t="s">
        <v>171</v>
      </c>
      <c r="J4126" s="475" t="s">
        <v>337</v>
      </c>
      <c r="K4126" s="365">
        <v>196.09</v>
      </c>
      <c r="L4126" s="475" t="s">
        <v>141</v>
      </c>
      <c r="M4126" s="473"/>
    </row>
    <row r="4127" spans="1:13" ht="13.5">
      <c r="A4127" s="475" t="s">
        <v>5516</v>
      </c>
      <c r="B4127" s="475" t="s">
        <v>5517</v>
      </c>
      <c r="C4127" s="475" t="s">
        <v>5458</v>
      </c>
      <c r="D4127" s="475" t="s">
        <v>5520</v>
      </c>
      <c r="E4127" s="476" t="s">
        <v>34</v>
      </c>
      <c r="F4127" s="475" t="s">
        <v>34</v>
      </c>
      <c r="G4127" s="364">
        <v>94791</v>
      </c>
      <c r="H4127" s="475" t="s">
        <v>3456</v>
      </c>
      <c r="I4127" s="475" t="s">
        <v>171</v>
      </c>
      <c r="J4127" s="475" t="s">
        <v>337</v>
      </c>
      <c r="K4127" s="365">
        <v>273.64</v>
      </c>
      <c r="L4127" s="475" t="s">
        <v>141</v>
      </c>
      <c r="M4127" s="473"/>
    </row>
    <row r="4128" spans="1:13" ht="13.5">
      <c r="A4128" s="475" t="s">
        <v>5516</v>
      </c>
      <c r="B4128" s="475" t="s">
        <v>5517</v>
      </c>
      <c r="C4128" s="475" t="s">
        <v>5458</v>
      </c>
      <c r="D4128" s="475" t="s">
        <v>5520</v>
      </c>
      <c r="E4128" s="476" t="s">
        <v>34</v>
      </c>
      <c r="F4128" s="475" t="s">
        <v>34</v>
      </c>
      <c r="G4128" s="364">
        <v>94863</v>
      </c>
      <c r="H4128" s="475" t="s">
        <v>3457</v>
      </c>
      <c r="I4128" s="475" t="s">
        <v>171</v>
      </c>
      <c r="J4128" s="475" t="s">
        <v>337</v>
      </c>
      <c r="K4128" s="365">
        <v>69.290000000000006</v>
      </c>
      <c r="L4128" s="475" t="s">
        <v>141</v>
      </c>
      <c r="M4128" s="473"/>
    </row>
    <row r="4129" spans="1:13" ht="13.5">
      <c r="A4129" s="475" t="s">
        <v>5516</v>
      </c>
      <c r="B4129" s="475" t="s">
        <v>5517</v>
      </c>
      <c r="C4129" s="475" t="s">
        <v>5458</v>
      </c>
      <c r="D4129" s="475" t="s">
        <v>5520</v>
      </c>
      <c r="E4129" s="476" t="s">
        <v>34</v>
      </c>
      <c r="F4129" s="475" t="s">
        <v>34</v>
      </c>
      <c r="G4129" s="364">
        <v>95141</v>
      </c>
      <c r="H4129" s="475" t="s">
        <v>3458</v>
      </c>
      <c r="I4129" s="475" t="s">
        <v>171</v>
      </c>
      <c r="J4129" s="475" t="s">
        <v>337</v>
      </c>
      <c r="K4129" s="365">
        <v>21.38</v>
      </c>
      <c r="L4129" s="475" t="s">
        <v>141</v>
      </c>
      <c r="M4129" s="473"/>
    </row>
    <row r="4130" spans="1:13" ht="13.5">
      <c r="A4130" s="475" t="s">
        <v>5516</v>
      </c>
      <c r="B4130" s="475" t="s">
        <v>5517</v>
      </c>
      <c r="C4130" s="475" t="s">
        <v>5458</v>
      </c>
      <c r="D4130" s="475" t="s">
        <v>5520</v>
      </c>
      <c r="E4130" s="476" t="s">
        <v>34</v>
      </c>
      <c r="F4130" s="475" t="s">
        <v>34</v>
      </c>
      <c r="G4130" s="364">
        <v>95237</v>
      </c>
      <c r="H4130" s="475" t="s">
        <v>3459</v>
      </c>
      <c r="I4130" s="475" t="s">
        <v>171</v>
      </c>
      <c r="J4130" s="475" t="s">
        <v>337</v>
      </c>
      <c r="K4130" s="365">
        <v>16.23</v>
      </c>
      <c r="L4130" s="475" t="s">
        <v>141</v>
      </c>
      <c r="M4130" s="473"/>
    </row>
    <row r="4131" spans="1:13" ht="13.5">
      <c r="A4131" s="475" t="s">
        <v>5516</v>
      </c>
      <c r="B4131" s="475" t="s">
        <v>5517</v>
      </c>
      <c r="C4131" s="475" t="s">
        <v>5458</v>
      </c>
      <c r="D4131" s="475" t="s">
        <v>5520</v>
      </c>
      <c r="E4131" s="476" t="s">
        <v>34</v>
      </c>
      <c r="F4131" s="475" t="s">
        <v>34</v>
      </c>
      <c r="G4131" s="364">
        <v>95693</v>
      </c>
      <c r="H4131" s="475" t="s">
        <v>3460</v>
      </c>
      <c r="I4131" s="475" t="s">
        <v>171</v>
      </c>
      <c r="J4131" s="475" t="s">
        <v>337</v>
      </c>
      <c r="K4131" s="365">
        <v>33.94</v>
      </c>
      <c r="L4131" s="475" t="s">
        <v>141</v>
      </c>
      <c r="M4131" s="473"/>
    </row>
    <row r="4132" spans="1:13" ht="13.5">
      <c r="A4132" s="475" t="s">
        <v>5516</v>
      </c>
      <c r="B4132" s="475" t="s">
        <v>5517</v>
      </c>
      <c r="C4132" s="475" t="s">
        <v>5458</v>
      </c>
      <c r="D4132" s="475" t="s">
        <v>5520</v>
      </c>
      <c r="E4132" s="476" t="s">
        <v>34</v>
      </c>
      <c r="F4132" s="475" t="s">
        <v>34</v>
      </c>
      <c r="G4132" s="364">
        <v>95694</v>
      </c>
      <c r="H4132" s="475" t="s">
        <v>3461</v>
      </c>
      <c r="I4132" s="475" t="s">
        <v>171</v>
      </c>
      <c r="J4132" s="475" t="s">
        <v>337</v>
      </c>
      <c r="K4132" s="365">
        <v>41.56</v>
      </c>
      <c r="L4132" s="475" t="s">
        <v>141</v>
      </c>
      <c r="M4132" s="473"/>
    </row>
    <row r="4133" spans="1:13" ht="13.5">
      <c r="A4133" s="475" t="s">
        <v>5516</v>
      </c>
      <c r="B4133" s="475" t="s">
        <v>5517</v>
      </c>
      <c r="C4133" s="475" t="s">
        <v>5458</v>
      </c>
      <c r="D4133" s="475" t="s">
        <v>5520</v>
      </c>
      <c r="E4133" s="476" t="s">
        <v>34</v>
      </c>
      <c r="F4133" s="475" t="s">
        <v>34</v>
      </c>
      <c r="G4133" s="364">
        <v>95695</v>
      </c>
      <c r="H4133" s="475" t="s">
        <v>3462</v>
      </c>
      <c r="I4133" s="475" t="s">
        <v>171</v>
      </c>
      <c r="J4133" s="475" t="s">
        <v>337</v>
      </c>
      <c r="K4133" s="365">
        <v>40.21</v>
      </c>
      <c r="L4133" s="475" t="s">
        <v>141</v>
      </c>
      <c r="M4133" s="473"/>
    </row>
    <row r="4134" spans="1:13" ht="13.5">
      <c r="A4134" s="475" t="s">
        <v>5516</v>
      </c>
      <c r="B4134" s="475" t="s">
        <v>5517</v>
      </c>
      <c r="C4134" s="475" t="s">
        <v>5458</v>
      </c>
      <c r="D4134" s="475" t="s">
        <v>5520</v>
      </c>
      <c r="E4134" s="476" t="s">
        <v>34</v>
      </c>
      <c r="F4134" s="475" t="s">
        <v>34</v>
      </c>
      <c r="G4134" s="364">
        <v>95696</v>
      </c>
      <c r="H4134" s="475" t="s">
        <v>6551</v>
      </c>
      <c r="I4134" s="475" t="s">
        <v>171</v>
      </c>
      <c r="J4134" s="475" t="s">
        <v>337</v>
      </c>
      <c r="K4134" s="365">
        <v>31.48</v>
      </c>
      <c r="L4134" s="475" t="s">
        <v>141</v>
      </c>
      <c r="M4134" s="473"/>
    </row>
    <row r="4135" spans="1:13" ht="13.5">
      <c r="A4135" s="475" t="s">
        <v>5516</v>
      </c>
      <c r="B4135" s="475" t="s">
        <v>5517</v>
      </c>
      <c r="C4135" s="475" t="s">
        <v>5458</v>
      </c>
      <c r="D4135" s="475" t="s">
        <v>5520</v>
      </c>
      <c r="E4135" s="476" t="s">
        <v>34</v>
      </c>
      <c r="F4135" s="475" t="s">
        <v>34</v>
      </c>
      <c r="G4135" s="364">
        <v>96637</v>
      </c>
      <c r="H4135" s="475" t="s">
        <v>3463</v>
      </c>
      <c r="I4135" s="475" t="s">
        <v>171</v>
      </c>
      <c r="J4135" s="475" t="s">
        <v>140</v>
      </c>
      <c r="K4135" s="365">
        <v>9.82</v>
      </c>
      <c r="L4135" s="475" t="s">
        <v>141</v>
      </c>
      <c r="M4135" s="473"/>
    </row>
    <row r="4136" spans="1:13" ht="13.5">
      <c r="A4136" s="475" t="s">
        <v>5516</v>
      </c>
      <c r="B4136" s="475" t="s">
        <v>5517</v>
      </c>
      <c r="C4136" s="475" t="s">
        <v>5458</v>
      </c>
      <c r="D4136" s="475" t="s">
        <v>5520</v>
      </c>
      <c r="E4136" s="476" t="s">
        <v>34</v>
      </c>
      <c r="F4136" s="475" t="s">
        <v>34</v>
      </c>
      <c r="G4136" s="364">
        <v>96638</v>
      </c>
      <c r="H4136" s="475" t="s">
        <v>3464</v>
      </c>
      <c r="I4136" s="475" t="s">
        <v>171</v>
      </c>
      <c r="J4136" s="475" t="s">
        <v>140</v>
      </c>
      <c r="K4136" s="365">
        <v>9.48</v>
      </c>
      <c r="L4136" s="475" t="s">
        <v>141</v>
      </c>
      <c r="M4136" s="473"/>
    </row>
    <row r="4137" spans="1:13" ht="13.5">
      <c r="A4137" s="475" t="s">
        <v>5516</v>
      </c>
      <c r="B4137" s="475" t="s">
        <v>5517</v>
      </c>
      <c r="C4137" s="475" t="s">
        <v>5458</v>
      </c>
      <c r="D4137" s="475" t="s">
        <v>5520</v>
      </c>
      <c r="E4137" s="476" t="s">
        <v>34</v>
      </c>
      <c r="F4137" s="475" t="s">
        <v>34</v>
      </c>
      <c r="G4137" s="364">
        <v>96639</v>
      </c>
      <c r="H4137" s="475" t="s">
        <v>3465</v>
      </c>
      <c r="I4137" s="475" t="s">
        <v>171</v>
      </c>
      <c r="J4137" s="475" t="s">
        <v>140</v>
      </c>
      <c r="K4137" s="365">
        <v>6.83</v>
      </c>
      <c r="L4137" s="475" t="s">
        <v>141</v>
      </c>
      <c r="M4137" s="473"/>
    </row>
    <row r="4138" spans="1:13" ht="13.5">
      <c r="A4138" s="475" t="s">
        <v>5516</v>
      </c>
      <c r="B4138" s="475" t="s">
        <v>5517</v>
      </c>
      <c r="C4138" s="475" t="s">
        <v>5458</v>
      </c>
      <c r="D4138" s="475" t="s">
        <v>5520</v>
      </c>
      <c r="E4138" s="476" t="s">
        <v>34</v>
      </c>
      <c r="F4138" s="475" t="s">
        <v>34</v>
      </c>
      <c r="G4138" s="364">
        <v>96640</v>
      </c>
      <c r="H4138" s="475" t="s">
        <v>3466</v>
      </c>
      <c r="I4138" s="475" t="s">
        <v>171</v>
      </c>
      <c r="J4138" s="475" t="s">
        <v>140</v>
      </c>
      <c r="K4138" s="365">
        <v>16.45</v>
      </c>
      <c r="L4138" s="475" t="s">
        <v>141</v>
      </c>
      <c r="M4138" s="473"/>
    </row>
    <row r="4139" spans="1:13" ht="13.5">
      <c r="A4139" s="475" t="s">
        <v>5516</v>
      </c>
      <c r="B4139" s="475" t="s">
        <v>5517</v>
      </c>
      <c r="C4139" s="475" t="s">
        <v>5458</v>
      </c>
      <c r="D4139" s="475" t="s">
        <v>5520</v>
      </c>
      <c r="E4139" s="476" t="s">
        <v>34</v>
      </c>
      <c r="F4139" s="475" t="s">
        <v>34</v>
      </c>
      <c r="G4139" s="364">
        <v>96641</v>
      </c>
      <c r="H4139" s="475" t="s">
        <v>3467</v>
      </c>
      <c r="I4139" s="475" t="s">
        <v>171</v>
      </c>
      <c r="J4139" s="475" t="s">
        <v>140</v>
      </c>
      <c r="K4139" s="365">
        <v>13.01</v>
      </c>
      <c r="L4139" s="475" t="s">
        <v>141</v>
      </c>
      <c r="M4139" s="473"/>
    </row>
    <row r="4140" spans="1:13" ht="13.5">
      <c r="A4140" s="475" t="s">
        <v>5516</v>
      </c>
      <c r="B4140" s="475" t="s">
        <v>5517</v>
      </c>
      <c r="C4140" s="475" t="s">
        <v>5458</v>
      </c>
      <c r="D4140" s="475" t="s">
        <v>5520</v>
      </c>
      <c r="E4140" s="476" t="s">
        <v>34</v>
      </c>
      <c r="F4140" s="475" t="s">
        <v>34</v>
      </c>
      <c r="G4140" s="364">
        <v>96642</v>
      </c>
      <c r="H4140" s="475" t="s">
        <v>3468</v>
      </c>
      <c r="I4140" s="475" t="s">
        <v>171</v>
      </c>
      <c r="J4140" s="475" t="s">
        <v>140</v>
      </c>
      <c r="K4140" s="365">
        <v>13.01</v>
      </c>
      <c r="L4140" s="475" t="s">
        <v>141</v>
      </c>
      <c r="M4140" s="473"/>
    </row>
    <row r="4141" spans="1:13" ht="13.5">
      <c r="A4141" s="475" t="s">
        <v>5516</v>
      </c>
      <c r="B4141" s="475" t="s">
        <v>5517</v>
      </c>
      <c r="C4141" s="475" t="s">
        <v>5458</v>
      </c>
      <c r="D4141" s="475" t="s">
        <v>5520</v>
      </c>
      <c r="E4141" s="476" t="s">
        <v>34</v>
      </c>
      <c r="F4141" s="475" t="s">
        <v>34</v>
      </c>
      <c r="G4141" s="364">
        <v>96643</v>
      </c>
      <c r="H4141" s="475" t="s">
        <v>3469</v>
      </c>
      <c r="I4141" s="475" t="s">
        <v>171</v>
      </c>
      <c r="J4141" s="475" t="s">
        <v>140</v>
      </c>
      <c r="K4141" s="365">
        <v>33.15</v>
      </c>
      <c r="L4141" s="475" t="s">
        <v>141</v>
      </c>
      <c r="M4141" s="473"/>
    </row>
    <row r="4142" spans="1:13" ht="13.5">
      <c r="A4142" s="475" t="s">
        <v>5516</v>
      </c>
      <c r="B4142" s="475" t="s">
        <v>5517</v>
      </c>
      <c r="C4142" s="475" t="s">
        <v>5458</v>
      </c>
      <c r="D4142" s="475" t="s">
        <v>5520</v>
      </c>
      <c r="E4142" s="476" t="s">
        <v>34</v>
      </c>
      <c r="F4142" s="475" t="s">
        <v>34</v>
      </c>
      <c r="G4142" s="364">
        <v>96650</v>
      </c>
      <c r="H4142" s="475" t="s">
        <v>3470</v>
      </c>
      <c r="I4142" s="475" t="s">
        <v>171</v>
      </c>
      <c r="J4142" s="475" t="s">
        <v>140</v>
      </c>
      <c r="K4142" s="365">
        <v>7.25</v>
      </c>
      <c r="L4142" s="475" t="s">
        <v>141</v>
      </c>
      <c r="M4142" s="473"/>
    </row>
    <row r="4143" spans="1:13" ht="13.5">
      <c r="A4143" s="475" t="s">
        <v>5516</v>
      </c>
      <c r="B4143" s="475" t="s">
        <v>5517</v>
      </c>
      <c r="C4143" s="475" t="s">
        <v>5458</v>
      </c>
      <c r="D4143" s="475" t="s">
        <v>5520</v>
      </c>
      <c r="E4143" s="476" t="s">
        <v>34</v>
      </c>
      <c r="F4143" s="475" t="s">
        <v>34</v>
      </c>
      <c r="G4143" s="364">
        <v>96651</v>
      </c>
      <c r="H4143" s="475" t="s">
        <v>3471</v>
      </c>
      <c r="I4143" s="475" t="s">
        <v>171</v>
      </c>
      <c r="J4143" s="475" t="s">
        <v>140</v>
      </c>
      <c r="K4143" s="365">
        <v>6.91</v>
      </c>
      <c r="L4143" s="475" t="s">
        <v>141</v>
      </c>
      <c r="M4143" s="473"/>
    </row>
    <row r="4144" spans="1:13" ht="13.5">
      <c r="A4144" s="475" t="s">
        <v>5516</v>
      </c>
      <c r="B4144" s="475" t="s">
        <v>5517</v>
      </c>
      <c r="C4144" s="475" t="s">
        <v>5458</v>
      </c>
      <c r="D4144" s="475" t="s">
        <v>5520</v>
      </c>
      <c r="E4144" s="476" t="s">
        <v>34</v>
      </c>
      <c r="F4144" s="475" t="s">
        <v>34</v>
      </c>
      <c r="G4144" s="364">
        <v>96652</v>
      </c>
      <c r="H4144" s="475" t="s">
        <v>3472</v>
      </c>
      <c r="I4144" s="475" t="s">
        <v>171</v>
      </c>
      <c r="J4144" s="475" t="s">
        <v>140</v>
      </c>
      <c r="K4144" s="365">
        <v>13.92</v>
      </c>
      <c r="L4144" s="475" t="s">
        <v>141</v>
      </c>
      <c r="M4144" s="473"/>
    </row>
    <row r="4145" spans="1:13" ht="13.5">
      <c r="A4145" s="475" t="s">
        <v>5516</v>
      </c>
      <c r="B4145" s="475" t="s">
        <v>5517</v>
      </c>
      <c r="C4145" s="475" t="s">
        <v>5458</v>
      </c>
      <c r="D4145" s="475" t="s">
        <v>5520</v>
      </c>
      <c r="E4145" s="476" t="s">
        <v>34</v>
      </c>
      <c r="F4145" s="475" t="s">
        <v>34</v>
      </c>
      <c r="G4145" s="364">
        <v>96653</v>
      </c>
      <c r="H4145" s="475" t="s">
        <v>3473</v>
      </c>
      <c r="I4145" s="475" t="s">
        <v>171</v>
      </c>
      <c r="J4145" s="475" t="s">
        <v>140</v>
      </c>
      <c r="K4145" s="365">
        <v>13.88</v>
      </c>
      <c r="L4145" s="475" t="s">
        <v>141</v>
      </c>
      <c r="M4145" s="473"/>
    </row>
    <row r="4146" spans="1:13" ht="13.5">
      <c r="A4146" s="475" t="s">
        <v>5516</v>
      </c>
      <c r="B4146" s="475" t="s">
        <v>5517</v>
      </c>
      <c r="C4146" s="475" t="s">
        <v>5458</v>
      </c>
      <c r="D4146" s="475" t="s">
        <v>5520</v>
      </c>
      <c r="E4146" s="476" t="s">
        <v>34</v>
      </c>
      <c r="F4146" s="475" t="s">
        <v>34</v>
      </c>
      <c r="G4146" s="364">
        <v>96654</v>
      </c>
      <c r="H4146" s="475" t="s">
        <v>3474</v>
      </c>
      <c r="I4146" s="475" t="s">
        <v>171</v>
      </c>
      <c r="J4146" s="475" t="s">
        <v>140</v>
      </c>
      <c r="K4146" s="365">
        <v>22.96</v>
      </c>
      <c r="L4146" s="475" t="s">
        <v>141</v>
      </c>
      <c r="M4146" s="473"/>
    </row>
    <row r="4147" spans="1:13" ht="13.5">
      <c r="A4147" s="475" t="s">
        <v>5516</v>
      </c>
      <c r="B4147" s="475" t="s">
        <v>5517</v>
      </c>
      <c r="C4147" s="475" t="s">
        <v>5458</v>
      </c>
      <c r="D4147" s="475" t="s">
        <v>5520</v>
      </c>
      <c r="E4147" s="476" t="s">
        <v>34</v>
      </c>
      <c r="F4147" s="475" t="s">
        <v>34</v>
      </c>
      <c r="G4147" s="364">
        <v>96655</v>
      </c>
      <c r="H4147" s="475" t="s">
        <v>3475</v>
      </c>
      <c r="I4147" s="475" t="s">
        <v>171</v>
      </c>
      <c r="J4147" s="475" t="s">
        <v>140</v>
      </c>
      <c r="K4147" s="365">
        <v>22.59</v>
      </c>
      <c r="L4147" s="475" t="s">
        <v>141</v>
      </c>
      <c r="M4147" s="473"/>
    </row>
    <row r="4148" spans="1:13" ht="13.5">
      <c r="A4148" s="475" t="s">
        <v>5516</v>
      </c>
      <c r="B4148" s="475" t="s">
        <v>5517</v>
      </c>
      <c r="C4148" s="475" t="s">
        <v>5458</v>
      </c>
      <c r="D4148" s="475" t="s">
        <v>5520</v>
      </c>
      <c r="E4148" s="476" t="s">
        <v>34</v>
      </c>
      <c r="F4148" s="475" t="s">
        <v>34</v>
      </c>
      <c r="G4148" s="364">
        <v>96656</v>
      </c>
      <c r="H4148" s="475" t="s">
        <v>3476</v>
      </c>
      <c r="I4148" s="475" t="s">
        <v>171</v>
      </c>
      <c r="J4148" s="475" t="s">
        <v>140</v>
      </c>
      <c r="K4148" s="365">
        <v>5.13</v>
      </c>
      <c r="L4148" s="475" t="s">
        <v>141</v>
      </c>
      <c r="M4148" s="473"/>
    </row>
    <row r="4149" spans="1:13" ht="13.5">
      <c r="A4149" s="475" t="s">
        <v>5516</v>
      </c>
      <c r="B4149" s="475" t="s">
        <v>5517</v>
      </c>
      <c r="C4149" s="475" t="s">
        <v>5458</v>
      </c>
      <c r="D4149" s="475" t="s">
        <v>5520</v>
      </c>
      <c r="E4149" s="476" t="s">
        <v>34</v>
      </c>
      <c r="F4149" s="475" t="s">
        <v>34</v>
      </c>
      <c r="G4149" s="364">
        <v>96657</v>
      </c>
      <c r="H4149" s="475" t="s">
        <v>3477</v>
      </c>
      <c r="I4149" s="475" t="s">
        <v>171</v>
      </c>
      <c r="J4149" s="475" t="s">
        <v>140</v>
      </c>
      <c r="K4149" s="365">
        <v>14.75</v>
      </c>
      <c r="L4149" s="475" t="s">
        <v>141</v>
      </c>
      <c r="M4149" s="473"/>
    </row>
    <row r="4150" spans="1:13" ht="13.5">
      <c r="A4150" s="475" t="s">
        <v>5516</v>
      </c>
      <c r="B4150" s="475" t="s">
        <v>5517</v>
      </c>
      <c r="C4150" s="475" t="s">
        <v>5458</v>
      </c>
      <c r="D4150" s="475" t="s">
        <v>5520</v>
      </c>
      <c r="E4150" s="476" t="s">
        <v>34</v>
      </c>
      <c r="F4150" s="475" t="s">
        <v>34</v>
      </c>
      <c r="G4150" s="364">
        <v>96658</v>
      </c>
      <c r="H4150" s="475" t="s">
        <v>3478</v>
      </c>
      <c r="I4150" s="475" t="s">
        <v>171</v>
      </c>
      <c r="J4150" s="475" t="s">
        <v>140</v>
      </c>
      <c r="K4150" s="365">
        <v>11.31</v>
      </c>
      <c r="L4150" s="475" t="s">
        <v>141</v>
      </c>
      <c r="M4150" s="473"/>
    </row>
    <row r="4151" spans="1:13" ht="13.5">
      <c r="A4151" s="475" t="s">
        <v>5516</v>
      </c>
      <c r="B4151" s="475" t="s">
        <v>5517</v>
      </c>
      <c r="C4151" s="475" t="s">
        <v>5458</v>
      </c>
      <c r="D4151" s="475" t="s">
        <v>5520</v>
      </c>
      <c r="E4151" s="476" t="s">
        <v>34</v>
      </c>
      <c r="F4151" s="475" t="s">
        <v>34</v>
      </c>
      <c r="G4151" s="364">
        <v>96659</v>
      </c>
      <c r="H4151" s="475" t="s">
        <v>3479</v>
      </c>
      <c r="I4151" s="475" t="s">
        <v>171</v>
      </c>
      <c r="J4151" s="475" t="s">
        <v>140</v>
      </c>
      <c r="K4151" s="365">
        <v>9.4</v>
      </c>
      <c r="L4151" s="475" t="s">
        <v>141</v>
      </c>
      <c r="M4151" s="473"/>
    </row>
    <row r="4152" spans="1:13" ht="13.5">
      <c r="A4152" s="475" t="s">
        <v>5516</v>
      </c>
      <c r="B4152" s="475" t="s">
        <v>5517</v>
      </c>
      <c r="C4152" s="475" t="s">
        <v>5458</v>
      </c>
      <c r="D4152" s="475" t="s">
        <v>5520</v>
      </c>
      <c r="E4152" s="476" t="s">
        <v>34</v>
      </c>
      <c r="F4152" s="475" t="s">
        <v>34</v>
      </c>
      <c r="G4152" s="364">
        <v>96660</v>
      </c>
      <c r="H4152" s="475" t="s">
        <v>3480</v>
      </c>
      <c r="I4152" s="475" t="s">
        <v>171</v>
      </c>
      <c r="J4152" s="475" t="s">
        <v>140</v>
      </c>
      <c r="K4152" s="365">
        <v>25.44</v>
      </c>
      <c r="L4152" s="475" t="s">
        <v>141</v>
      </c>
      <c r="M4152" s="473"/>
    </row>
    <row r="4153" spans="1:13" ht="13.5">
      <c r="A4153" s="475" t="s">
        <v>5516</v>
      </c>
      <c r="B4153" s="475" t="s">
        <v>5517</v>
      </c>
      <c r="C4153" s="475" t="s">
        <v>5458</v>
      </c>
      <c r="D4153" s="475" t="s">
        <v>5520</v>
      </c>
      <c r="E4153" s="476" t="s">
        <v>34</v>
      </c>
      <c r="F4153" s="475" t="s">
        <v>34</v>
      </c>
      <c r="G4153" s="364">
        <v>96661</v>
      </c>
      <c r="H4153" s="475" t="s">
        <v>3481</v>
      </c>
      <c r="I4153" s="475" t="s">
        <v>171</v>
      </c>
      <c r="J4153" s="475" t="s">
        <v>140</v>
      </c>
      <c r="K4153" s="365">
        <v>20.16</v>
      </c>
      <c r="L4153" s="475" t="s">
        <v>141</v>
      </c>
      <c r="M4153" s="473"/>
    </row>
    <row r="4154" spans="1:13" ht="13.5">
      <c r="A4154" s="475" t="s">
        <v>5516</v>
      </c>
      <c r="B4154" s="475" t="s">
        <v>5517</v>
      </c>
      <c r="C4154" s="475" t="s">
        <v>5458</v>
      </c>
      <c r="D4154" s="475" t="s">
        <v>5520</v>
      </c>
      <c r="E4154" s="476" t="s">
        <v>34</v>
      </c>
      <c r="F4154" s="475" t="s">
        <v>34</v>
      </c>
      <c r="G4154" s="364">
        <v>96662</v>
      </c>
      <c r="H4154" s="475" t="s">
        <v>3482</v>
      </c>
      <c r="I4154" s="475" t="s">
        <v>171</v>
      </c>
      <c r="J4154" s="475" t="s">
        <v>140</v>
      </c>
      <c r="K4154" s="365">
        <v>9.58</v>
      </c>
      <c r="L4154" s="475" t="s">
        <v>141</v>
      </c>
      <c r="M4154" s="473"/>
    </row>
    <row r="4155" spans="1:13" ht="13.5">
      <c r="A4155" s="475" t="s">
        <v>5516</v>
      </c>
      <c r="B4155" s="475" t="s">
        <v>5517</v>
      </c>
      <c r="C4155" s="475" t="s">
        <v>5458</v>
      </c>
      <c r="D4155" s="475" t="s">
        <v>5520</v>
      </c>
      <c r="E4155" s="476" t="s">
        <v>34</v>
      </c>
      <c r="F4155" s="475" t="s">
        <v>34</v>
      </c>
      <c r="G4155" s="364">
        <v>96663</v>
      </c>
      <c r="H4155" s="475" t="s">
        <v>3483</v>
      </c>
      <c r="I4155" s="475" t="s">
        <v>171</v>
      </c>
      <c r="J4155" s="475" t="s">
        <v>140</v>
      </c>
      <c r="K4155" s="365">
        <v>16.84</v>
      </c>
      <c r="L4155" s="475" t="s">
        <v>141</v>
      </c>
      <c r="M4155" s="473"/>
    </row>
    <row r="4156" spans="1:13" ht="13.5">
      <c r="A4156" s="475" t="s">
        <v>5516</v>
      </c>
      <c r="B4156" s="475" t="s">
        <v>5517</v>
      </c>
      <c r="C4156" s="475" t="s">
        <v>5458</v>
      </c>
      <c r="D4156" s="475" t="s">
        <v>5520</v>
      </c>
      <c r="E4156" s="476" t="s">
        <v>34</v>
      </c>
      <c r="F4156" s="475" t="s">
        <v>34</v>
      </c>
      <c r="G4156" s="364">
        <v>96664</v>
      </c>
      <c r="H4156" s="475" t="s">
        <v>3484</v>
      </c>
      <c r="I4156" s="475" t="s">
        <v>171</v>
      </c>
      <c r="J4156" s="475" t="s">
        <v>140</v>
      </c>
      <c r="K4156" s="365">
        <v>17.97</v>
      </c>
      <c r="L4156" s="475" t="s">
        <v>141</v>
      </c>
      <c r="M4156" s="473"/>
    </row>
    <row r="4157" spans="1:13" ht="13.5">
      <c r="A4157" s="475" t="s">
        <v>5516</v>
      </c>
      <c r="B4157" s="475" t="s">
        <v>5517</v>
      </c>
      <c r="C4157" s="475" t="s">
        <v>5458</v>
      </c>
      <c r="D4157" s="475" t="s">
        <v>5520</v>
      </c>
      <c r="E4157" s="476" t="s">
        <v>34</v>
      </c>
      <c r="F4157" s="475" t="s">
        <v>34</v>
      </c>
      <c r="G4157" s="364">
        <v>96665</v>
      </c>
      <c r="H4157" s="475" t="s">
        <v>3485</v>
      </c>
      <c r="I4157" s="475" t="s">
        <v>171</v>
      </c>
      <c r="J4157" s="475" t="s">
        <v>140</v>
      </c>
      <c r="K4157" s="365">
        <v>9.57</v>
      </c>
      <c r="L4157" s="475" t="s">
        <v>141</v>
      </c>
      <c r="M4157" s="473"/>
    </row>
    <row r="4158" spans="1:13" ht="13.5">
      <c r="A4158" s="475" t="s">
        <v>5516</v>
      </c>
      <c r="B4158" s="475" t="s">
        <v>5517</v>
      </c>
      <c r="C4158" s="475" t="s">
        <v>5458</v>
      </c>
      <c r="D4158" s="475" t="s">
        <v>5520</v>
      </c>
      <c r="E4158" s="476" t="s">
        <v>34</v>
      </c>
      <c r="F4158" s="475" t="s">
        <v>34</v>
      </c>
      <c r="G4158" s="364">
        <v>96666</v>
      </c>
      <c r="H4158" s="475" t="s">
        <v>3486</v>
      </c>
      <c r="I4158" s="475" t="s">
        <v>171</v>
      </c>
      <c r="J4158" s="475" t="s">
        <v>140</v>
      </c>
      <c r="K4158" s="365">
        <v>18.63</v>
      </c>
      <c r="L4158" s="475" t="s">
        <v>141</v>
      </c>
      <c r="M4158" s="473"/>
    </row>
    <row r="4159" spans="1:13" ht="13.5">
      <c r="A4159" s="475" t="s">
        <v>5516</v>
      </c>
      <c r="B4159" s="475" t="s">
        <v>5517</v>
      </c>
      <c r="C4159" s="475" t="s">
        <v>5458</v>
      </c>
      <c r="D4159" s="475" t="s">
        <v>5520</v>
      </c>
      <c r="E4159" s="476" t="s">
        <v>34</v>
      </c>
      <c r="F4159" s="475" t="s">
        <v>34</v>
      </c>
      <c r="G4159" s="364">
        <v>96667</v>
      </c>
      <c r="H4159" s="475" t="s">
        <v>3487</v>
      </c>
      <c r="I4159" s="475" t="s">
        <v>171</v>
      </c>
      <c r="J4159" s="475" t="s">
        <v>140</v>
      </c>
      <c r="K4159" s="365">
        <v>32.19</v>
      </c>
      <c r="L4159" s="475" t="s">
        <v>141</v>
      </c>
      <c r="M4159" s="473"/>
    </row>
    <row r="4160" spans="1:13" ht="13.5">
      <c r="A4160" s="475" t="s">
        <v>5516</v>
      </c>
      <c r="B4160" s="475" t="s">
        <v>5517</v>
      </c>
      <c r="C4160" s="475" t="s">
        <v>5458</v>
      </c>
      <c r="D4160" s="475" t="s">
        <v>5520</v>
      </c>
      <c r="E4160" s="476" t="s">
        <v>34</v>
      </c>
      <c r="F4160" s="475" t="s">
        <v>34</v>
      </c>
      <c r="G4160" s="364">
        <v>96684</v>
      </c>
      <c r="H4160" s="475" t="s">
        <v>3488</v>
      </c>
      <c r="I4160" s="475" t="s">
        <v>171</v>
      </c>
      <c r="J4160" s="475" t="s">
        <v>140</v>
      </c>
      <c r="K4160" s="365">
        <v>3.41</v>
      </c>
      <c r="L4160" s="475" t="s">
        <v>141</v>
      </c>
      <c r="M4160" s="473"/>
    </row>
    <row r="4161" spans="1:13" ht="13.5">
      <c r="A4161" s="475" t="s">
        <v>5516</v>
      </c>
      <c r="B4161" s="475" t="s">
        <v>5517</v>
      </c>
      <c r="C4161" s="475" t="s">
        <v>5458</v>
      </c>
      <c r="D4161" s="475" t="s">
        <v>5520</v>
      </c>
      <c r="E4161" s="476" t="s">
        <v>34</v>
      </c>
      <c r="F4161" s="475" t="s">
        <v>34</v>
      </c>
      <c r="G4161" s="364">
        <v>96685</v>
      </c>
      <c r="H4161" s="475" t="s">
        <v>3489</v>
      </c>
      <c r="I4161" s="475" t="s">
        <v>171</v>
      </c>
      <c r="J4161" s="475" t="s">
        <v>140</v>
      </c>
      <c r="K4161" s="365">
        <v>3.07</v>
      </c>
      <c r="L4161" s="475" t="s">
        <v>141</v>
      </c>
      <c r="M4161" s="473"/>
    </row>
    <row r="4162" spans="1:13" ht="13.5">
      <c r="A4162" s="475" t="s">
        <v>5516</v>
      </c>
      <c r="B4162" s="475" t="s">
        <v>5517</v>
      </c>
      <c r="C4162" s="475" t="s">
        <v>5458</v>
      </c>
      <c r="D4162" s="475" t="s">
        <v>5520</v>
      </c>
      <c r="E4162" s="476" t="s">
        <v>34</v>
      </c>
      <c r="F4162" s="475" t="s">
        <v>34</v>
      </c>
      <c r="G4162" s="364">
        <v>96686</v>
      </c>
      <c r="H4162" s="475" t="s">
        <v>3490</v>
      </c>
      <c r="I4162" s="475" t="s">
        <v>171</v>
      </c>
      <c r="J4162" s="475" t="s">
        <v>140</v>
      </c>
      <c r="K4162" s="365">
        <v>5.12</v>
      </c>
      <c r="L4162" s="475" t="s">
        <v>141</v>
      </c>
      <c r="M4162" s="473"/>
    </row>
    <row r="4163" spans="1:13" ht="13.5">
      <c r="A4163" s="475" t="s">
        <v>5516</v>
      </c>
      <c r="B4163" s="475" t="s">
        <v>5517</v>
      </c>
      <c r="C4163" s="475" t="s">
        <v>5458</v>
      </c>
      <c r="D4163" s="475" t="s">
        <v>5520</v>
      </c>
      <c r="E4163" s="476" t="s">
        <v>34</v>
      </c>
      <c r="F4163" s="475" t="s">
        <v>34</v>
      </c>
      <c r="G4163" s="364">
        <v>96687</v>
      </c>
      <c r="H4163" s="475" t="s">
        <v>3491</v>
      </c>
      <c r="I4163" s="475" t="s">
        <v>171</v>
      </c>
      <c r="J4163" s="475" t="s">
        <v>140</v>
      </c>
      <c r="K4163" s="365">
        <v>5.08</v>
      </c>
      <c r="L4163" s="475" t="s">
        <v>141</v>
      </c>
      <c r="M4163" s="473"/>
    </row>
    <row r="4164" spans="1:13" ht="13.5">
      <c r="A4164" s="475" t="s">
        <v>5516</v>
      </c>
      <c r="B4164" s="475" t="s">
        <v>5517</v>
      </c>
      <c r="C4164" s="475" t="s">
        <v>5458</v>
      </c>
      <c r="D4164" s="475" t="s">
        <v>5520</v>
      </c>
      <c r="E4164" s="476" t="s">
        <v>34</v>
      </c>
      <c r="F4164" s="475" t="s">
        <v>34</v>
      </c>
      <c r="G4164" s="364">
        <v>96688</v>
      </c>
      <c r="H4164" s="475" t="s">
        <v>3492</v>
      </c>
      <c r="I4164" s="475" t="s">
        <v>171</v>
      </c>
      <c r="J4164" s="475" t="s">
        <v>140</v>
      </c>
      <c r="K4164" s="365">
        <v>8.73</v>
      </c>
      <c r="L4164" s="475" t="s">
        <v>141</v>
      </c>
      <c r="M4164" s="473"/>
    </row>
    <row r="4165" spans="1:13" ht="13.5">
      <c r="A4165" s="475" t="s">
        <v>5516</v>
      </c>
      <c r="B4165" s="475" t="s">
        <v>5517</v>
      </c>
      <c r="C4165" s="475" t="s">
        <v>5458</v>
      </c>
      <c r="D4165" s="475" t="s">
        <v>5520</v>
      </c>
      <c r="E4165" s="476" t="s">
        <v>34</v>
      </c>
      <c r="F4165" s="475" t="s">
        <v>34</v>
      </c>
      <c r="G4165" s="364">
        <v>96689</v>
      </c>
      <c r="H4165" s="475" t="s">
        <v>3493</v>
      </c>
      <c r="I4165" s="475" t="s">
        <v>171</v>
      </c>
      <c r="J4165" s="475" t="s">
        <v>140</v>
      </c>
      <c r="K4165" s="365">
        <v>8.36</v>
      </c>
      <c r="L4165" s="475" t="s">
        <v>141</v>
      </c>
      <c r="M4165" s="473"/>
    </row>
    <row r="4166" spans="1:13" ht="13.5">
      <c r="A4166" s="475" t="s">
        <v>5516</v>
      </c>
      <c r="B4166" s="475" t="s">
        <v>5517</v>
      </c>
      <c r="C4166" s="475" t="s">
        <v>5458</v>
      </c>
      <c r="D4166" s="475" t="s">
        <v>5520</v>
      </c>
      <c r="E4166" s="476" t="s">
        <v>34</v>
      </c>
      <c r="F4166" s="475" t="s">
        <v>34</v>
      </c>
      <c r="G4166" s="364">
        <v>96690</v>
      </c>
      <c r="H4166" s="475" t="s">
        <v>3494</v>
      </c>
      <c r="I4166" s="475" t="s">
        <v>171</v>
      </c>
      <c r="J4166" s="475" t="s">
        <v>140</v>
      </c>
      <c r="K4166" s="365">
        <v>16.14</v>
      </c>
      <c r="L4166" s="475" t="s">
        <v>141</v>
      </c>
      <c r="M4166" s="473"/>
    </row>
    <row r="4167" spans="1:13" ht="13.5">
      <c r="A4167" s="475" t="s">
        <v>5516</v>
      </c>
      <c r="B4167" s="475" t="s">
        <v>5517</v>
      </c>
      <c r="C4167" s="475" t="s">
        <v>5458</v>
      </c>
      <c r="D4167" s="475" t="s">
        <v>5520</v>
      </c>
      <c r="E4167" s="476" t="s">
        <v>34</v>
      </c>
      <c r="F4167" s="475" t="s">
        <v>34</v>
      </c>
      <c r="G4167" s="364">
        <v>96691</v>
      </c>
      <c r="H4167" s="475" t="s">
        <v>3495</v>
      </c>
      <c r="I4167" s="475" t="s">
        <v>171</v>
      </c>
      <c r="J4167" s="475" t="s">
        <v>140</v>
      </c>
      <c r="K4167" s="365">
        <v>16.66</v>
      </c>
      <c r="L4167" s="475" t="s">
        <v>141</v>
      </c>
      <c r="M4167" s="473"/>
    </row>
    <row r="4168" spans="1:13" ht="13.5">
      <c r="A4168" s="475" t="s">
        <v>5516</v>
      </c>
      <c r="B4168" s="475" t="s">
        <v>5517</v>
      </c>
      <c r="C4168" s="475" t="s">
        <v>5458</v>
      </c>
      <c r="D4168" s="475" t="s">
        <v>5520</v>
      </c>
      <c r="E4168" s="476" t="s">
        <v>34</v>
      </c>
      <c r="F4168" s="475" t="s">
        <v>34</v>
      </c>
      <c r="G4168" s="364">
        <v>96692</v>
      </c>
      <c r="H4168" s="475" t="s">
        <v>3496</v>
      </c>
      <c r="I4168" s="475" t="s">
        <v>171</v>
      </c>
      <c r="J4168" s="475" t="s">
        <v>140</v>
      </c>
      <c r="K4168" s="365">
        <v>24.42</v>
      </c>
      <c r="L4168" s="475" t="s">
        <v>141</v>
      </c>
      <c r="M4168" s="473"/>
    </row>
    <row r="4169" spans="1:13" ht="13.5">
      <c r="A4169" s="475" t="s">
        <v>5516</v>
      </c>
      <c r="B4169" s="475" t="s">
        <v>5517</v>
      </c>
      <c r="C4169" s="475" t="s">
        <v>5458</v>
      </c>
      <c r="D4169" s="475" t="s">
        <v>5520</v>
      </c>
      <c r="E4169" s="476" t="s">
        <v>34</v>
      </c>
      <c r="F4169" s="475" t="s">
        <v>34</v>
      </c>
      <c r="G4169" s="364">
        <v>96693</v>
      </c>
      <c r="H4169" s="475" t="s">
        <v>3497</v>
      </c>
      <c r="I4169" s="475" t="s">
        <v>171</v>
      </c>
      <c r="J4169" s="475" t="s">
        <v>140</v>
      </c>
      <c r="K4169" s="365">
        <v>23.16</v>
      </c>
      <c r="L4169" s="475" t="s">
        <v>141</v>
      </c>
      <c r="M4169" s="473"/>
    </row>
    <row r="4170" spans="1:13" ht="13.5">
      <c r="A4170" s="475" t="s">
        <v>5516</v>
      </c>
      <c r="B4170" s="475" t="s">
        <v>5517</v>
      </c>
      <c r="C4170" s="475" t="s">
        <v>5458</v>
      </c>
      <c r="D4170" s="475" t="s">
        <v>5520</v>
      </c>
      <c r="E4170" s="476" t="s">
        <v>34</v>
      </c>
      <c r="F4170" s="475" t="s">
        <v>34</v>
      </c>
      <c r="G4170" s="364">
        <v>96694</v>
      </c>
      <c r="H4170" s="475" t="s">
        <v>3498</v>
      </c>
      <c r="I4170" s="475" t="s">
        <v>171</v>
      </c>
      <c r="J4170" s="475" t="s">
        <v>140</v>
      </c>
      <c r="K4170" s="365">
        <v>53.17</v>
      </c>
      <c r="L4170" s="475" t="s">
        <v>141</v>
      </c>
      <c r="M4170" s="473"/>
    </row>
    <row r="4171" spans="1:13" ht="13.5">
      <c r="A4171" s="475" t="s">
        <v>5516</v>
      </c>
      <c r="B4171" s="475" t="s">
        <v>5517</v>
      </c>
      <c r="C4171" s="475" t="s">
        <v>5458</v>
      </c>
      <c r="D4171" s="475" t="s">
        <v>5520</v>
      </c>
      <c r="E4171" s="476" t="s">
        <v>34</v>
      </c>
      <c r="F4171" s="475" t="s">
        <v>34</v>
      </c>
      <c r="G4171" s="364">
        <v>96695</v>
      </c>
      <c r="H4171" s="475" t="s">
        <v>3499</v>
      </c>
      <c r="I4171" s="475" t="s">
        <v>171</v>
      </c>
      <c r="J4171" s="475" t="s">
        <v>140</v>
      </c>
      <c r="K4171" s="365">
        <v>51.69</v>
      </c>
      <c r="L4171" s="475" t="s">
        <v>141</v>
      </c>
      <c r="M4171" s="473"/>
    </row>
    <row r="4172" spans="1:13" ht="13.5">
      <c r="A4172" s="475" t="s">
        <v>5516</v>
      </c>
      <c r="B4172" s="475" t="s">
        <v>5517</v>
      </c>
      <c r="C4172" s="475" t="s">
        <v>5458</v>
      </c>
      <c r="D4172" s="475" t="s">
        <v>5520</v>
      </c>
      <c r="E4172" s="476" t="s">
        <v>34</v>
      </c>
      <c r="F4172" s="475" t="s">
        <v>34</v>
      </c>
      <c r="G4172" s="364">
        <v>96696</v>
      </c>
      <c r="H4172" s="475" t="s">
        <v>3500</v>
      </c>
      <c r="I4172" s="475" t="s">
        <v>171</v>
      </c>
      <c r="J4172" s="475" t="s">
        <v>140</v>
      </c>
      <c r="K4172" s="365">
        <v>79.989999999999995</v>
      </c>
      <c r="L4172" s="475" t="s">
        <v>141</v>
      </c>
      <c r="M4172" s="473"/>
    </row>
    <row r="4173" spans="1:13" ht="13.5">
      <c r="A4173" s="475" t="s">
        <v>5516</v>
      </c>
      <c r="B4173" s="475" t="s">
        <v>5517</v>
      </c>
      <c r="C4173" s="475" t="s">
        <v>5458</v>
      </c>
      <c r="D4173" s="475" t="s">
        <v>5520</v>
      </c>
      <c r="E4173" s="476" t="s">
        <v>34</v>
      </c>
      <c r="F4173" s="475" t="s">
        <v>34</v>
      </c>
      <c r="G4173" s="364">
        <v>96697</v>
      </c>
      <c r="H4173" s="475" t="s">
        <v>3501</v>
      </c>
      <c r="I4173" s="475" t="s">
        <v>171</v>
      </c>
      <c r="J4173" s="475" t="s">
        <v>140</v>
      </c>
      <c r="K4173" s="365">
        <v>119.66</v>
      </c>
      <c r="L4173" s="475" t="s">
        <v>141</v>
      </c>
      <c r="M4173" s="473"/>
    </row>
    <row r="4174" spans="1:13" ht="13.5">
      <c r="A4174" s="475" t="s">
        <v>5516</v>
      </c>
      <c r="B4174" s="475" t="s">
        <v>5517</v>
      </c>
      <c r="C4174" s="475" t="s">
        <v>5458</v>
      </c>
      <c r="D4174" s="475" t="s">
        <v>5520</v>
      </c>
      <c r="E4174" s="476" t="s">
        <v>34</v>
      </c>
      <c r="F4174" s="475" t="s">
        <v>34</v>
      </c>
      <c r="G4174" s="364">
        <v>96698</v>
      </c>
      <c r="H4174" s="475" t="s">
        <v>3502</v>
      </c>
      <c r="I4174" s="475" t="s">
        <v>171</v>
      </c>
      <c r="J4174" s="475" t="s">
        <v>140</v>
      </c>
      <c r="K4174" s="365">
        <v>2.58</v>
      </c>
      <c r="L4174" s="475" t="s">
        <v>141</v>
      </c>
      <c r="M4174" s="473"/>
    </row>
    <row r="4175" spans="1:13" ht="13.5">
      <c r="A4175" s="475" t="s">
        <v>5516</v>
      </c>
      <c r="B4175" s="475" t="s">
        <v>5517</v>
      </c>
      <c r="C4175" s="475" t="s">
        <v>5458</v>
      </c>
      <c r="D4175" s="475" t="s">
        <v>5520</v>
      </c>
      <c r="E4175" s="476" t="s">
        <v>34</v>
      </c>
      <c r="F4175" s="475" t="s">
        <v>34</v>
      </c>
      <c r="G4175" s="364">
        <v>96699</v>
      </c>
      <c r="H4175" s="475" t="s">
        <v>3503</v>
      </c>
      <c r="I4175" s="475" t="s">
        <v>171</v>
      </c>
      <c r="J4175" s="475" t="s">
        <v>140</v>
      </c>
      <c r="K4175" s="365">
        <v>12.2</v>
      </c>
      <c r="L4175" s="475" t="s">
        <v>141</v>
      </c>
      <c r="M4175" s="473"/>
    </row>
    <row r="4176" spans="1:13" ht="13.5">
      <c r="A4176" s="475" t="s">
        <v>5516</v>
      </c>
      <c r="B4176" s="475" t="s">
        <v>5517</v>
      </c>
      <c r="C4176" s="475" t="s">
        <v>5458</v>
      </c>
      <c r="D4176" s="475" t="s">
        <v>5520</v>
      </c>
      <c r="E4176" s="476" t="s">
        <v>34</v>
      </c>
      <c r="F4176" s="475" t="s">
        <v>34</v>
      </c>
      <c r="G4176" s="364">
        <v>96700</v>
      </c>
      <c r="H4176" s="475" t="s">
        <v>3504</v>
      </c>
      <c r="I4176" s="475" t="s">
        <v>171</v>
      </c>
      <c r="J4176" s="475" t="s">
        <v>140</v>
      </c>
      <c r="K4176" s="365">
        <v>8.76</v>
      </c>
      <c r="L4176" s="475" t="s">
        <v>141</v>
      </c>
      <c r="M4176" s="473"/>
    </row>
    <row r="4177" spans="1:13" ht="13.5">
      <c r="A4177" s="475" t="s">
        <v>5516</v>
      </c>
      <c r="B4177" s="475" t="s">
        <v>5517</v>
      </c>
      <c r="C4177" s="475" t="s">
        <v>5458</v>
      </c>
      <c r="D4177" s="475" t="s">
        <v>5520</v>
      </c>
      <c r="E4177" s="476" t="s">
        <v>34</v>
      </c>
      <c r="F4177" s="475" t="s">
        <v>34</v>
      </c>
      <c r="G4177" s="364">
        <v>96701</v>
      </c>
      <c r="H4177" s="475" t="s">
        <v>3505</v>
      </c>
      <c r="I4177" s="475" t="s">
        <v>171</v>
      </c>
      <c r="J4177" s="475" t="s">
        <v>140</v>
      </c>
      <c r="K4177" s="365">
        <v>3.52</v>
      </c>
      <c r="L4177" s="475" t="s">
        <v>141</v>
      </c>
      <c r="M4177" s="473"/>
    </row>
    <row r="4178" spans="1:13" ht="13.5">
      <c r="A4178" s="475" t="s">
        <v>5516</v>
      </c>
      <c r="B4178" s="475" t="s">
        <v>5517</v>
      </c>
      <c r="C4178" s="475" t="s">
        <v>5458</v>
      </c>
      <c r="D4178" s="475" t="s">
        <v>5520</v>
      </c>
      <c r="E4178" s="476" t="s">
        <v>34</v>
      </c>
      <c r="F4178" s="475" t="s">
        <v>34</v>
      </c>
      <c r="G4178" s="364">
        <v>96702</v>
      </c>
      <c r="H4178" s="475" t="s">
        <v>3506</v>
      </c>
      <c r="I4178" s="475" t="s">
        <v>171</v>
      </c>
      <c r="J4178" s="475" t="s">
        <v>140</v>
      </c>
      <c r="K4178" s="365">
        <v>3.7</v>
      </c>
      <c r="L4178" s="475" t="s">
        <v>141</v>
      </c>
      <c r="M4178" s="473"/>
    </row>
    <row r="4179" spans="1:13" ht="13.5">
      <c r="A4179" s="475" t="s">
        <v>5516</v>
      </c>
      <c r="B4179" s="475" t="s">
        <v>5517</v>
      </c>
      <c r="C4179" s="475" t="s">
        <v>5458</v>
      </c>
      <c r="D4179" s="475" t="s">
        <v>5520</v>
      </c>
      <c r="E4179" s="476" t="s">
        <v>34</v>
      </c>
      <c r="F4179" s="475" t="s">
        <v>34</v>
      </c>
      <c r="G4179" s="364">
        <v>96703</v>
      </c>
      <c r="H4179" s="475" t="s">
        <v>3507</v>
      </c>
      <c r="I4179" s="475" t="s">
        <v>171</v>
      </c>
      <c r="J4179" s="475" t="s">
        <v>140</v>
      </c>
      <c r="K4179" s="365">
        <v>7.33</v>
      </c>
      <c r="L4179" s="475" t="s">
        <v>141</v>
      </c>
      <c r="M4179" s="473"/>
    </row>
    <row r="4180" spans="1:13" ht="13.5">
      <c r="A4180" s="475" t="s">
        <v>5516</v>
      </c>
      <c r="B4180" s="475" t="s">
        <v>5517</v>
      </c>
      <c r="C4180" s="475" t="s">
        <v>5458</v>
      </c>
      <c r="D4180" s="475" t="s">
        <v>5520</v>
      </c>
      <c r="E4180" s="476" t="s">
        <v>34</v>
      </c>
      <c r="F4180" s="475" t="s">
        <v>34</v>
      </c>
      <c r="G4180" s="364">
        <v>96704</v>
      </c>
      <c r="H4180" s="475" t="s">
        <v>3508</v>
      </c>
      <c r="I4180" s="475" t="s">
        <v>171</v>
      </c>
      <c r="J4180" s="475" t="s">
        <v>140</v>
      </c>
      <c r="K4180" s="365">
        <v>8.4600000000000009</v>
      </c>
      <c r="L4180" s="475" t="s">
        <v>141</v>
      </c>
      <c r="M4180" s="473"/>
    </row>
    <row r="4181" spans="1:13" ht="13.5">
      <c r="A4181" s="475" t="s">
        <v>5516</v>
      </c>
      <c r="B4181" s="475" t="s">
        <v>5517</v>
      </c>
      <c r="C4181" s="475" t="s">
        <v>5458</v>
      </c>
      <c r="D4181" s="475" t="s">
        <v>5520</v>
      </c>
      <c r="E4181" s="476" t="s">
        <v>34</v>
      </c>
      <c r="F4181" s="475" t="s">
        <v>34</v>
      </c>
      <c r="G4181" s="364">
        <v>96705</v>
      </c>
      <c r="H4181" s="475" t="s">
        <v>3509</v>
      </c>
      <c r="I4181" s="475" t="s">
        <v>171</v>
      </c>
      <c r="J4181" s="475" t="s">
        <v>140</v>
      </c>
      <c r="K4181" s="365">
        <v>11.05</v>
      </c>
      <c r="L4181" s="475" t="s">
        <v>141</v>
      </c>
      <c r="M4181" s="473"/>
    </row>
    <row r="4182" spans="1:13" ht="13.5">
      <c r="A4182" s="475" t="s">
        <v>5516</v>
      </c>
      <c r="B4182" s="475" t="s">
        <v>5517</v>
      </c>
      <c r="C4182" s="475" t="s">
        <v>5458</v>
      </c>
      <c r="D4182" s="475" t="s">
        <v>5520</v>
      </c>
      <c r="E4182" s="476" t="s">
        <v>34</v>
      </c>
      <c r="F4182" s="475" t="s">
        <v>34</v>
      </c>
      <c r="G4182" s="364">
        <v>96706</v>
      </c>
      <c r="H4182" s="475" t="s">
        <v>3510</v>
      </c>
      <c r="I4182" s="475" t="s">
        <v>171</v>
      </c>
      <c r="J4182" s="475" t="s">
        <v>140</v>
      </c>
      <c r="K4182" s="365">
        <v>16.61</v>
      </c>
      <c r="L4182" s="475" t="s">
        <v>141</v>
      </c>
      <c r="M4182" s="473"/>
    </row>
    <row r="4183" spans="1:13" ht="13.5">
      <c r="A4183" s="475" t="s">
        <v>5516</v>
      </c>
      <c r="B4183" s="475" t="s">
        <v>5517</v>
      </c>
      <c r="C4183" s="475" t="s">
        <v>5458</v>
      </c>
      <c r="D4183" s="475" t="s">
        <v>5520</v>
      </c>
      <c r="E4183" s="476" t="s">
        <v>34</v>
      </c>
      <c r="F4183" s="475" t="s">
        <v>34</v>
      </c>
      <c r="G4183" s="364">
        <v>96707</v>
      </c>
      <c r="H4183" s="475" t="s">
        <v>3511</v>
      </c>
      <c r="I4183" s="475" t="s">
        <v>171</v>
      </c>
      <c r="J4183" s="475" t="s">
        <v>140</v>
      </c>
      <c r="K4183" s="365">
        <v>34.200000000000003</v>
      </c>
      <c r="L4183" s="475" t="s">
        <v>141</v>
      </c>
      <c r="M4183" s="473"/>
    </row>
    <row r="4184" spans="1:13" ht="13.5">
      <c r="A4184" s="475" t="s">
        <v>5516</v>
      </c>
      <c r="B4184" s="475" t="s">
        <v>5517</v>
      </c>
      <c r="C4184" s="475" t="s">
        <v>5458</v>
      </c>
      <c r="D4184" s="475" t="s">
        <v>5520</v>
      </c>
      <c r="E4184" s="476" t="s">
        <v>34</v>
      </c>
      <c r="F4184" s="475" t="s">
        <v>34</v>
      </c>
      <c r="G4184" s="364">
        <v>96708</v>
      </c>
      <c r="H4184" s="475" t="s">
        <v>3512</v>
      </c>
      <c r="I4184" s="475" t="s">
        <v>171</v>
      </c>
      <c r="J4184" s="475" t="s">
        <v>140</v>
      </c>
      <c r="K4184" s="365">
        <v>53.84</v>
      </c>
      <c r="L4184" s="475" t="s">
        <v>141</v>
      </c>
      <c r="M4184" s="473"/>
    </row>
    <row r="4185" spans="1:13" ht="13.5">
      <c r="A4185" s="475" t="s">
        <v>5516</v>
      </c>
      <c r="B4185" s="475" t="s">
        <v>5517</v>
      </c>
      <c r="C4185" s="475" t="s">
        <v>5458</v>
      </c>
      <c r="D4185" s="475" t="s">
        <v>5520</v>
      </c>
      <c r="E4185" s="476" t="s">
        <v>34</v>
      </c>
      <c r="F4185" s="475" t="s">
        <v>34</v>
      </c>
      <c r="G4185" s="364">
        <v>96709</v>
      </c>
      <c r="H4185" s="475" t="s">
        <v>3513</v>
      </c>
      <c r="I4185" s="475" t="s">
        <v>171</v>
      </c>
      <c r="J4185" s="475" t="s">
        <v>140</v>
      </c>
      <c r="K4185" s="365">
        <v>84.96</v>
      </c>
      <c r="L4185" s="475" t="s">
        <v>141</v>
      </c>
      <c r="M4185" s="473"/>
    </row>
    <row r="4186" spans="1:13" ht="13.5">
      <c r="A4186" s="475" t="s">
        <v>5516</v>
      </c>
      <c r="B4186" s="475" t="s">
        <v>5517</v>
      </c>
      <c r="C4186" s="475" t="s">
        <v>5458</v>
      </c>
      <c r="D4186" s="475" t="s">
        <v>5520</v>
      </c>
      <c r="E4186" s="476" t="s">
        <v>34</v>
      </c>
      <c r="F4186" s="475" t="s">
        <v>34</v>
      </c>
      <c r="G4186" s="364">
        <v>96710</v>
      </c>
      <c r="H4186" s="475" t="s">
        <v>3514</v>
      </c>
      <c r="I4186" s="475" t="s">
        <v>171</v>
      </c>
      <c r="J4186" s="475" t="s">
        <v>140</v>
      </c>
      <c r="K4186" s="365">
        <v>4.4800000000000004</v>
      </c>
      <c r="L4186" s="475" t="s">
        <v>141</v>
      </c>
      <c r="M4186" s="473"/>
    </row>
    <row r="4187" spans="1:13" ht="13.5">
      <c r="A4187" s="475" t="s">
        <v>5516</v>
      </c>
      <c r="B4187" s="475" t="s">
        <v>5517</v>
      </c>
      <c r="C4187" s="475" t="s">
        <v>5458</v>
      </c>
      <c r="D4187" s="475" t="s">
        <v>5520</v>
      </c>
      <c r="E4187" s="476" t="s">
        <v>34</v>
      </c>
      <c r="F4187" s="475" t="s">
        <v>34</v>
      </c>
      <c r="G4187" s="364">
        <v>96711</v>
      </c>
      <c r="H4187" s="475" t="s">
        <v>3515</v>
      </c>
      <c r="I4187" s="475" t="s">
        <v>171</v>
      </c>
      <c r="J4187" s="475" t="s">
        <v>140</v>
      </c>
      <c r="K4187" s="365">
        <v>6.93</v>
      </c>
      <c r="L4187" s="475" t="s">
        <v>141</v>
      </c>
      <c r="M4187" s="473"/>
    </row>
    <row r="4188" spans="1:13" ht="13.5">
      <c r="A4188" s="475" t="s">
        <v>5516</v>
      </c>
      <c r="B4188" s="475" t="s">
        <v>5517</v>
      </c>
      <c r="C4188" s="475" t="s">
        <v>5458</v>
      </c>
      <c r="D4188" s="475" t="s">
        <v>5520</v>
      </c>
      <c r="E4188" s="476" t="s">
        <v>34</v>
      </c>
      <c r="F4188" s="475" t="s">
        <v>34</v>
      </c>
      <c r="G4188" s="364">
        <v>96712</v>
      </c>
      <c r="H4188" s="475" t="s">
        <v>3516</v>
      </c>
      <c r="I4188" s="475" t="s">
        <v>171</v>
      </c>
      <c r="J4188" s="475" t="s">
        <v>140</v>
      </c>
      <c r="K4188" s="365">
        <v>13.19</v>
      </c>
      <c r="L4188" s="475" t="s">
        <v>141</v>
      </c>
      <c r="M4188" s="473"/>
    </row>
    <row r="4189" spans="1:13" ht="13.5">
      <c r="A4189" s="475" t="s">
        <v>5516</v>
      </c>
      <c r="B4189" s="475" t="s">
        <v>5517</v>
      </c>
      <c r="C4189" s="475" t="s">
        <v>5458</v>
      </c>
      <c r="D4189" s="475" t="s">
        <v>5520</v>
      </c>
      <c r="E4189" s="476" t="s">
        <v>34</v>
      </c>
      <c r="F4189" s="475" t="s">
        <v>34</v>
      </c>
      <c r="G4189" s="364">
        <v>96713</v>
      </c>
      <c r="H4189" s="475" t="s">
        <v>3517</v>
      </c>
      <c r="I4189" s="475" t="s">
        <v>171</v>
      </c>
      <c r="J4189" s="475" t="s">
        <v>140</v>
      </c>
      <c r="K4189" s="365">
        <v>18.34</v>
      </c>
      <c r="L4189" s="475" t="s">
        <v>141</v>
      </c>
      <c r="M4189" s="473"/>
    </row>
    <row r="4190" spans="1:13" ht="13.5">
      <c r="A4190" s="475" t="s">
        <v>5516</v>
      </c>
      <c r="B4190" s="475" t="s">
        <v>5517</v>
      </c>
      <c r="C4190" s="475" t="s">
        <v>5458</v>
      </c>
      <c r="D4190" s="475" t="s">
        <v>5520</v>
      </c>
      <c r="E4190" s="476" t="s">
        <v>34</v>
      </c>
      <c r="F4190" s="475" t="s">
        <v>34</v>
      </c>
      <c r="G4190" s="364">
        <v>96714</v>
      </c>
      <c r="H4190" s="475" t="s">
        <v>3518</v>
      </c>
      <c r="I4190" s="475" t="s">
        <v>171</v>
      </c>
      <c r="J4190" s="475" t="s">
        <v>140</v>
      </c>
      <c r="K4190" s="365">
        <v>30.85</v>
      </c>
      <c r="L4190" s="475" t="s">
        <v>141</v>
      </c>
      <c r="M4190" s="473"/>
    </row>
    <row r="4191" spans="1:13" ht="13.5">
      <c r="A4191" s="475" t="s">
        <v>5516</v>
      </c>
      <c r="B4191" s="475" t="s">
        <v>5517</v>
      </c>
      <c r="C4191" s="475" t="s">
        <v>5458</v>
      </c>
      <c r="D4191" s="475" t="s">
        <v>5520</v>
      </c>
      <c r="E4191" s="476" t="s">
        <v>34</v>
      </c>
      <c r="F4191" s="475" t="s">
        <v>34</v>
      </c>
      <c r="G4191" s="364">
        <v>96715</v>
      </c>
      <c r="H4191" s="475" t="s">
        <v>3519</v>
      </c>
      <c r="I4191" s="475" t="s">
        <v>171</v>
      </c>
      <c r="J4191" s="475" t="s">
        <v>140</v>
      </c>
      <c r="K4191" s="365">
        <v>57.48</v>
      </c>
      <c r="L4191" s="475" t="s">
        <v>141</v>
      </c>
      <c r="M4191" s="473"/>
    </row>
    <row r="4192" spans="1:13" ht="13.5">
      <c r="A4192" s="475" t="s">
        <v>5516</v>
      </c>
      <c r="B4192" s="475" t="s">
        <v>5517</v>
      </c>
      <c r="C4192" s="475" t="s">
        <v>5458</v>
      </c>
      <c r="D4192" s="475" t="s">
        <v>5520</v>
      </c>
      <c r="E4192" s="476" t="s">
        <v>34</v>
      </c>
      <c r="F4192" s="475" t="s">
        <v>34</v>
      </c>
      <c r="G4192" s="364">
        <v>96716</v>
      </c>
      <c r="H4192" s="475" t="s">
        <v>3520</v>
      </c>
      <c r="I4192" s="475" t="s">
        <v>171</v>
      </c>
      <c r="J4192" s="475" t="s">
        <v>140</v>
      </c>
      <c r="K4192" s="365">
        <v>86.23</v>
      </c>
      <c r="L4192" s="475" t="s">
        <v>141</v>
      </c>
      <c r="M4192" s="473"/>
    </row>
    <row r="4193" spans="1:13" ht="13.5">
      <c r="A4193" s="475" t="s">
        <v>5516</v>
      </c>
      <c r="B4193" s="475" t="s">
        <v>5517</v>
      </c>
      <c r="C4193" s="475" t="s">
        <v>5458</v>
      </c>
      <c r="D4193" s="475" t="s">
        <v>5520</v>
      </c>
      <c r="E4193" s="476" t="s">
        <v>34</v>
      </c>
      <c r="F4193" s="475" t="s">
        <v>34</v>
      </c>
      <c r="G4193" s="364">
        <v>96717</v>
      </c>
      <c r="H4193" s="475" t="s">
        <v>3521</v>
      </c>
      <c r="I4193" s="475" t="s">
        <v>171</v>
      </c>
      <c r="J4193" s="475" t="s">
        <v>140</v>
      </c>
      <c r="K4193" s="365">
        <v>135.59</v>
      </c>
      <c r="L4193" s="475" t="s">
        <v>141</v>
      </c>
      <c r="M4193" s="473"/>
    </row>
    <row r="4194" spans="1:13" ht="13.5">
      <c r="A4194" s="475" t="s">
        <v>5516</v>
      </c>
      <c r="B4194" s="475" t="s">
        <v>5517</v>
      </c>
      <c r="C4194" s="475" t="s">
        <v>5458</v>
      </c>
      <c r="D4194" s="475" t="s">
        <v>5520</v>
      </c>
      <c r="E4194" s="476" t="s">
        <v>34</v>
      </c>
      <c r="F4194" s="475" t="s">
        <v>34</v>
      </c>
      <c r="G4194" s="364">
        <v>96736</v>
      </c>
      <c r="H4194" s="475" t="s">
        <v>3522</v>
      </c>
      <c r="I4194" s="475" t="s">
        <v>171</v>
      </c>
      <c r="J4194" s="475" t="s">
        <v>140</v>
      </c>
      <c r="K4194" s="365">
        <v>3.91</v>
      </c>
      <c r="L4194" s="475" t="s">
        <v>141</v>
      </c>
      <c r="M4194" s="473"/>
    </row>
    <row r="4195" spans="1:13" ht="13.5">
      <c r="A4195" s="475" t="s">
        <v>5516</v>
      </c>
      <c r="B4195" s="475" t="s">
        <v>5517</v>
      </c>
      <c r="C4195" s="475" t="s">
        <v>5458</v>
      </c>
      <c r="D4195" s="475" t="s">
        <v>5520</v>
      </c>
      <c r="E4195" s="476" t="s">
        <v>34</v>
      </c>
      <c r="F4195" s="475" t="s">
        <v>34</v>
      </c>
      <c r="G4195" s="364">
        <v>96737</v>
      </c>
      <c r="H4195" s="475" t="s">
        <v>3523</v>
      </c>
      <c r="I4195" s="475" t="s">
        <v>171</v>
      </c>
      <c r="J4195" s="475" t="s">
        <v>140</v>
      </c>
      <c r="K4195" s="365">
        <v>4.43</v>
      </c>
      <c r="L4195" s="475" t="s">
        <v>141</v>
      </c>
      <c r="M4195" s="473"/>
    </row>
    <row r="4196" spans="1:13" ht="13.5">
      <c r="A4196" s="475" t="s">
        <v>5516</v>
      </c>
      <c r="B4196" s="475" t="s">
        <v>5517</v>
      </c>
      <c r="C4196" s="475" t="s">
        <v>5458</v>
      </c>
      <c r="D4196" s="475" t="s">
        <v>5520</v>
      </c>
      <c r="E4196" s="476" t="s">
        <v>34</v>
      </c>
      <c r="F4196" s="475" t="s">
        <v>34</v>
      </c>
      <c r="G4196" s="364">
        <v>96738</v>
      </c>
      <c r="H4196" s="475" t="s">
        <v>3524</v>
      </c>
      <c r="I4196" s="475" t="s">
        <v>171</v>
      </c>
      <c r="J4196" s="475" t="s">
        <v>140</v>
      </c>
      <c r="K4196" s="365">
        <v>14.05</v>
      </c>
      <c r="L4196" s="475" t="s">
        <v>141</v>
      </c>
      <c r="M4196" s="473"/>
    </row>
    <row r="4197" spans="1:13" ht="13.5">
      <c r="A4197" s="475" t="s">
        <v>5516</v>
      </c>
      <c r="B4197" s="475" t="s">
        <v>5517</v>
      </c>
      <c r="C4197" s="475" t="s">
        <v>5458</v>
      </c>
      <c r="D4197" s="475" t="s">
        <v>5520</v>
      </c>
      <c r="E4197" s="476" t="s">
        <v>34</v>
      </c>
      <c r="F4197" s="475" t="s">
        <v>34</v>
      </c>
      <c r="G4197" s="364">
        <v>96739</v>
      </c>
      <c r="H4197" s="475" t="s">
        <v>3525</v>
      </c>
      <c r="I4197" s="475" t="s">
        <v>171</v>
      </c>
      <c r="J4197" s="475" t="s">
        <v>140</v>
      </c>
      <c r="K4197" s="365">
        <v>5.72</v>
      </c>
      <c r="L4197" s="475" t="s">
        <v>141</v>
      </c>
      <c r="M4197" s="473"/>
    </row>
    <row r="4198" spans="1:13" ht="13.5">
      <c r="A4198" s="475" t="s">
        <v>5516</v>
      </c>
      <c r="B4198" s="475" t="s">
        <v>5517</v>
      </c>
      <c r="C4198" s="475" t="s">
        <v>5458</v>
      </c>
      <c r="D4198" s="475" t="s">
        <v>5520</v>
      </c>
      <c r="E4198" s="476" t="s">
        <v>34</v>
      </c>
      <c r="F4198" s="475" t="s">
        <v>34</v>
      </c>
      <c r="G4198" s="364">
        <v>96740</v>
      </c>
      <c r="H4198" s="475" t="s">
        <v>3526</v>
      </c>
      <c r="I4198" s="475" t="s">
        <v>171</v>
      </c>
      <c r="J4198" s="475" t="s">
        <v>140</v>
      </c>
      <c r="K4198" s="365">
        <v>21.76</v>
      </c>
      <c r="L4198" s="475" t="s">
        <v>141</v>
      </c>
      <c r="M4198" s="473"/>
    </row>
    <row r="4199" spans="1:13" ht="13.5">
      <c r="A4199" s="475" t="s">
        <v>5516</v>
      </c>
      <c r="B4199" s="475" t="s">
        <v>5517</v>
      </c>
      <c r="C4199" s="475" t="s">
        <v>5458</v>
      </c>
      <c r="D4199" s="475" t="s">
        <v>5520</v>
      </c>
      <c r="E4199" s="476" t="s">
        <v>34</v>
      </c>
      <c r="F4199" s="475" t="s">
        <v>34</v>
      </c>
      <c r="G4199" s="364">
        <v>96741</v>
      </c>
      <c r="H4199" s="475" t="s">
        <v>3527</v>
      </c>
      <c r="I4199" s="475" t="s">
        <v>171</v>
      </c>
      <c r="J4199" s="475" t="s">
        <v>140</v>
      </c>
      <c r="K4199" s="365">
        <v>8.85</v>
      </c>
      <c r="L4199" s="475" t="s">
        <v>141</v>
      </c>
      <c r="M4199" s="473"/>
    </row>
    <row r="4200" spans="1:13" ht="13.5">
      <c r="A4200" s="475" t="s">
        <v>5516</v>
      </c>
      <c r="B4200" s="475" t="s">
        <v>5517</v>
      </c>
      <c r="C4200" s="475" t="s">
        <v>5458</v>
      </c>
      <c r="D4200" s="475" t="s">
        <v>5520</v>
      </c>
      <c r="E4200" s="476" t="s">
        <v>34</v>
      </c>
      <c r="F4200" s="475" t="s">
        <v>34</v>
      </c>
      <c r="G4200" s="364">
        <v>96742</v>
      </c>
      <c r="H4200" s="475" t="s">
        <v>3528</v>
      </c>
      <c r="I4200" s="475" t="s">
        <v>171</v>
      </c>
      <c r="J4200" s="475" t="s">
        <v>140</v>
      </c>
      <c r="K4200" s="365">
        <v>13.44</v>
      </c>
      <c r="L4200" s="475" t="s">
        <v>141</v>
      </c>
      <c r="M4200" s="473"/>
    </row>
    <row r="4201" spans="1:13" ht="13.5">
      <c r="A4201" s="475" t="s">
        <v>5516</v>
      </c>
      <c r="B4201" s="475" t="s">
        <v>5517</v>
      </c>
      <c r="C4201" s="475" t="s">
        <v>5458</v>
      </c>
      <c r="D4201" s="475" t="s">
        <v>5520</v>
      </c>
      <c r="E4201" s="476" t="s">
        <v>34</v>
      </c>
      <c r="F4201" s="475" t="s">
        <v>34</v>
      </c>
      <c r="G4201" s="364">
        <v>96743</v>
      </c>
      <c r="H4201" s="475" t="s">
        <v>3529</v>
      </c>
      <c r="I4201" s="475" t="s">
        <v>171</v>
      </c>
      <c r="J4201" s="475" t="s">
        <v>140</v>
      </c>
      <c r="K4201" s="365">
        <v>17.239999999999998</v>
      </c>
      <c r="L4201" s="475" t="s">
        <v>141</v>
      </c>
      <c r="M4201" s="473"/>
    </row>
    <row r="4202" spans="1:13" ht="13.5">
      <c r="A4202" s="475" t="s">
        <v>5516</v>
      </c>
      <c r="B4202" s="475" t="s">
        <v>5517</v>
      </c>
      <c r="C4202" s="475" t="s">
        <v>5458</v>
      </c>
      <c r="D4202" s="475" t="s">
        <v>5520</v>
      </c>
      <c r="E4202" s="476" t="s">
        <v>34</v>
      </c>
      <c r="F4202" s="475" t="s">
        <v>34</v>
      </c>
      <c r="G4202" s="364">
        <v>96744</v>
      </c>
      <c r="H4202" s="475" t="s">
        <v>3530</v>
      </c>
      <c r="I4202" s="475" t="s">
        <v>171</v>
      </c>
      <c r="J4202" s="475" t="s">
        <v>140</v>
      </c>
      <c r="K4202" s="365">
        <v>36.56</v>
      </c>
      <c r="L4202" s="475" t="s">
        <v>141</v>
      </c>
      <c r="M4202" s="473"/>
    </row>
    <row r="4203" spans="1:13" ht="13.5">
      <c r="A4203" s="475" t="s">
        <v>5516</v>
      </c>
      <c r="B4203" s="475" t="s">
        <v>5517</v>
      </c>
      <c r="C4203" s="475" t="s">
        <v>5458</v>
      </c>
      <c r="D4203" s="475" t="s">
        <v>5520</v>
      </c>
      <c r="E4203" s="476" t="s">
        <v>34</v>
      </c>
      <c r="F4203" s="475" t="s">
        <v>34</v>
      </c>
      <c r="G4203" s="364">
        <v>96745</v>
      </c>
      <c r="H4203" s="475" t="s">
        <v>3531</v>
      </c>
      <c r="I4203" s="475" t="s">
        <v>171</v>
      </c>
      <c r="J4203" s="475" t="s">
        <v>140</v>
      </c>
      <c r="K4203" s="365">
        <v>53.27</v>
      </c>
      <c r="L4203" s="475" t="s">
        <v>141</v>
      </c>
      <c r="M4203" s="473"/>
    </row>
    <row r="4204" spans="1:13" ht="13.5">
      <c r="A4204" s="475" t="s">
        <v>5516</v>
      </c>
      <c r="B4204" s="475" t="s">
        <v>5517</v>
      </c>
      <c r="C4204" s="475" t="s">
        <v>5458</v>
      </c>
      <c r="D4204" s="475" t="s">
        <v>5520</v>
      </c>
      <c r="E4204" s="476" t="s">
        <v>34</v>
      </c>
      <c r="F4204" s="475" t="s">
        <v>34</v>
      </c>
      <c r="G4204" s="364">
        <v>96746</v>
      </c>
      <c r="H4204" s="475" t="s">
        <v>3532</v>
      </c>
      <c r="I4204" s="475" t="s">
        <v>171</v>
      </c>
      <c r="J4204" s="475" t="s">
        <v>140</v>
      </c>
      <c r="K4204" s="365">
        <v>84.93</v>
      </c>
      <c r="L4204" s="475" t="s">
        <v>141</v>
      </c>
      <c r="M4204" s="473"/>
    </row>
    <row r="4205" spans="1:13" ht="13.5">
      <c r="A4205" s="475" t="s">
        <v>5516</v>
      </c>
      <c r="B4205" s="475" t="s">
        <v>5517</v>
      </c>
      <c r="C4205" s="475" t="s">
        <v>5458</v>
      </c>
      <c r="D4205" s="475" t="s">
        <v>5520</v>
      </c>
      <c r="E4205" s="476" t="s">
        <v>34</v>
      </c>
      <c r="F4205" s="475" t="s">
        <v>34</v>
      </c>
      <c r="G4205" s="364">
        <v>96747</v>
      </c>
      <c r="H4205" s="475" t="s">
        <v>3533</v>
      </c>
      <c r="I4205" s="475" t="s">
        <v>171</v>
      </c>
      <c r="J4205" s="475" t="s">
        <v>140</v>
      </c>
      <c r="K4205" s="365">
        <v>5.55</v>
      </c>
      <c r="L4205" s="475" t="s">
        <v>141</v>
      </c>
      <c r="M4205" s="473"/>
    </row>
    <row r="4206" spans="1:13" ht="13.5">
      <c r="A4206" s="475" t="s">
        <v>5516</v>
      </c>
      <c r="B4206" s="475" t="s">
        <v>5517</v>
      </c>
      <c r="C4206" s="475" t="s">
        <v>5458</v>
      </c>
      <c r="D4206" s="475" t="s">
        <v>5520</v>
      </c>
      <c r="E4206" s="476" t="s">
        <v>34</v>
      </c>
      <c r="F4206" s="475" t="s">
        <v>34</v>
      </c>
      <c r="G4206" s="364">
        <v>96748</v>
      </c>
      <c r="H4206" s="475" t="s">
        <v>3534</v>
      </c>
      <c r="I4206" s="475" t="s">
        <v>171</v>
      </c>
      <c r="J4206" s="475" t="s">
        <v>140</v>
      </c>
      <c r="K4206" s="365">
        <v>6.21</v>
      </c>
      <c r="L4206" s="475" t="s">
        <v>141</v>
      </c>
      <c r="M4206" s="473"/>
    </row>
    <row r="4207" spans="1:13" ht="13.5">
      <c r="A4207" s="475" t="s">
        <v>5516</v>
      </c>
      <c r="B4207" s="475" t="s">
        <v>5517</v>
      </c>
      <c r="C4207" s="475" t="s">
        <v>5458</v>
      </c>
      <c r="D4207" s="475" t="s">
        <v>5520</v>
      </c>
      <c r="E4207" s="476" t="s">
        <v>34</v>
      </c>
      <c r="F4207" s="475" t="s">
        <v>34</v>
      </c>
      <c r="G4207" s="364">
        <v>96749</v>
      </c>
      <c r="H4207" s="475" t="s">
        <v>3535</v>
      </c>
      <c r="I4207" s="475" t="s">
        <v>171</v>
      </c>
      <c r="J4207" s="475" t="s">
        <v>140</v>
      </c>
      <c r="K4207" s="365">
        <v>8.43</v>
      </c>
      <c r="L4207" s="475" t="s">
        <v>141</v>
      </c>
      <c r="M4207" s="473"/>
    </row>
    <row r="4208" spans="1:13" ht="13.5">
      <c r="A4208" s="475" t="s">
        <v>5516</v>
      </c>
      <c r="B4208" s="475" t="s">
        <v>5517</v>
      </c>
      <c r="C4208" s="475" t="s">
        <v>5458</v>
      </c>
      <c r="D4208" s="475" t="s">
        <v>5520</v>
      </c>
      <c r="E4208" s="476" t="s">
        <v>34</v>
      </c>
      <c r="F4208" s="475" t="s">
        <v>34</v>
      </c>
      <c r="G4208" s="364">
        <v>96750</v>
      </c>
      <c r="H4208" s="475" t="s">
        <v>3536</v>
      </c>
      <c r="I4208" s="475" t="s">
        <v>171</v>
      </c>
      <c r="J4208" s="475" t="s">
        <v>140</v>
      </c>
      <c r="K4208" s="365">
        <v>11</v>
      </c>
      <c r="L4208" s="475" t="s">
        <v>141</v>
      </c>
      <c r="M4208" s="473"/>
    </row>
    <row r="4209" spans="1:13" ht="13.5">
      <c r="A4209" s="475" t="s">
        <v>5516</v>
      </c>
      <c r="B4209" s="475" t="s">
        <v>5517</v>
      </c>
      <c r="C4209" s="475" t="s">
        <v>5458</v>
      </c>
      <c r="D4209" s="475" t="s">
        <v>5520</v>
      </c>
      <c r="E4209" s="476" t="s">
        <v>34</v>
      </c>
      <c r="F4209" s="475" t="s">
        <v>34</v>
      </c>
      <c r="G4209" s="364">
        <v>96751</v>
      </c>
      <c r="H4209" s="475" t="s">
        <v>3537</v>
      </c>
      <c r="I4209" s="475" t="s">
        <v>171</v>
      </c>
      <c r="J4209" s="475" t="s">
        <v>140</v>
      </c>
      <c r="K4209" s="365">
        <v>19.71</v>
      </c>
      <c r="L4209" s="475" t="s">
        <v>141</v>
      </c>
      <c r="M4209" s="473"/>
    </row>
    <row r="4210" spans="1:13" ht="13.5">
      <c r="A4210" s="475" t="s">
        <v>5516</v>
      </c>
      <c r="B4210" s="475" t="s">
        <v>5517</v>
      </c>
      <c r="C4210" s="475" t="s">
        <v>5458</v>
      </c>
      <c r="D4210" s="475" t="s">
        <v>5520</v>
      </c>
      <c r="E4210" s="476" t="s">
        <v>34</v>
      </c>
      <c r="F4210" s="475" t="s">
        <v>34</v>
      </c>
      <c r="G4210" s="364">
        <v>96752</v>
      </c>
      <c r="H4210" s="475" t="s">
        <v>3538</v>
      </c>
      <c r="I4210" s="475" t="s">
        <v>171</v>
      </c>
      <c r="J4210" s="475" t="s">
        <v>140</v>
      </c>
      <c r="K4210" s="365">
        <v>25.36</v>
      </c>
      <c r="L4210" s="475" t="s">
        <v>141</v>
      </c>
      <c r="M4210" s="473"/>
    </row>
    <row r="4211" spans="1:13" ht="13.5">
      <c r="A4211" s="475" t="s">
        <v>5516</v>
      </c>
      <c r="B4211" s="475" t="s">
        <v>5517</v>
      </c>
      <c r="C4211" s="475" t="s">
        <v>5458</v>
      </c>
      <c r="D4211" s="475" t="s">
        <v>5520</v>
      </c>
      <c r="E4211" s="476" t="s">
        <v>34</v>
      </c>
      <c r="F4211" s="475" t="s">
        <v>34</v>
      </c>
      <c r="G4211" s="364">
        <v>96753</v>
      </c>
      <c r="H4211" s="475" t="s">
        <v>3539</v>
      </c>
      <c r="I4211" s="475" t="s">
        <v>171</v>
      </c>
      <c r="J4211" s="475" t="s">
        <v>140</v>
      </c>
      <c r="K4211" s="365">
        <v>56.71</v>
      </c>
      <c r="L4211" s="475" t="s">
        <v>141</v>
      </c>
      <c r="M4211" s="473"/>
    </row>
    <row r="4212" spans="1:13" ht="13.5">
      <c r="A4212" s="475" t="s">
        <v>5516</v>
      </c>
      <c r="B4212" s="475" t="s">
        <v>5517</v>
      </c>
      <c r="C4212" s="475" t="s">
        <v>5458</v>
      </c>
      <c r="D4212" s="475" t="s">
        <v>5520</v>
      </c>
      <c r="E4212" s="476" t="s">
        <v>34</v>
      </c>
      <c r="F4212" s="475" t="s">
        <v>34</v>
      </c>
      <c r="G4212" s="364">
        <v>96754</v>
      </c>
      <c r="H4212" s="475" t="s">
        <v>3540</v>
      </c>
      <c r="I4212" s="475" t="s">
        <v>171</v>
      </c>
      <c r="J4212" s="475" t="s">
        <v>140</v>
      </c>
      <c r="K4212" s="365">
        <v>79.12</v>
      </c>
      <c r="L4212" s="475" t="s">
        <v>141</v>
      </c>
      <c r="M4212" s="473"/>
    </row>
    <row r="4213" spans="1:13" ht="13.5">
      <c r="A4213" s="475" t="s">
        <v>5516</v>
      </c>
      <c r="B4213" s="475" t="s">
        <v>5517</v>
      </c>
      <c r="C4213" s="475" t="s">
        <v>5458</v>
      </c>
      <c r="D4213" s="475" t="s">
        <v>5520</v>
      </c>
      <c r="E4213" s="476" t="s">
        <v>34</v>
      </c>
      <c r="F4213" s="475" t="s">
        <v>34</v>
      </c>
      <c r="G4213" s="364">
        <v>96755</v>
      </c>
      <c r="H4213" s="475" t="s">
        <v>3541</v>
      </c>
      <c r="I4213" s="475" t="s">
        <v>171</v>
      </c>
      <c r="J4213" s="475" t="s">
        <v>140</v>
      </c>
      <c r="K4213" s="365">
        <v>119.62</v>
      </c>
      <c r="L4213" s="475" t="s">
        <v>141</v>
      </c>
      <c r="M4213" s="473"/>
    </row>
    <row r="4214" spans="1:13" ht="13.5">
      <c r="A4214" s="475" t="s">
        <v>5516</v>
      </c>
      <c r="B4214" s="475" t="s">
        <v>5517</v>
      </c>
      <c r="C4214" s="475" t="s">
        <v>5458</v>
      </c>
      <c r="D4214" s="475" t="s">
        <v>5520</v>
      </c>
      <c r="E4214" s="476" t="s">
        <v>34</v>
      </c>
      <c r="F4214" s="475" t="s">
        <v>34</v>
      </c>
      <c r="G4214" s="364">
        <v>96756</v>
      </c>
      <c r="H4214" s="475" t="s">
        <v>3542</v>
      </c>
      <c r="I4214" s="475" t="s">
        <v>171</v>
      </c>
      <c r="J4214" s="475" t="s">
        <v>140</v>
      </c>
      <c r="K4214" s="365">
        <v>9.9</v>
      </c>
      <c r="L4214" s="475" t="s">
        <v>141</v>
      </c>
      <c r="M4214" s="473"/>
    </row>
    <row r="4215" spans="1:13" ht="13.5">
      <c r="A4215" s="475" t="s">
        <v>5516</v>
      </c>
      <c r="B4215" s="475" t="s">
        <v>5517</v>
      </c>
      <c r="C4215" s="475" t="s">
        <v>5458</v>
      </c>
      <c r="D4215" s="475" t="s">
        <v>5520</v>
      </c>
      <c r="E4215" s="476" t="s">
        <v>34</v>
      </c>
      <c r="F4215" s="475" t="s">
        <v>34</v>
      </c>
      <c r="G4215" s="364">
        <v>96757</v>
      </c>
      <c r="H4215" s="475" t="s">
        <v>3543</v>
      </c>
      <c r="I4215" s="475" t="s">
        <v>171</v>
      </c>
      <c r="J4215" s="475" t="s">
        <v>140</v>
      </c>
      <c r="K4215" s="365">
        <v>9.5500000000000007</v>
      </c>
      <c r="L4215" s="475" t="s">
        <v>141</v>
      </c>
      <c r="M4215" s="473"/>
    </row>
    <row r="4216" spans="1:13" ht="13.5">
      <c r="A4216" s="475" t="s">
        <v>5516</v>
      </c>
      <c r="B4216" s="475" t="s">
        <v>5517</v>
      </c>
      <c r="C4216" s="475" t="s">
        <v>5458</v>
      </c>
      <c r="D4216" s="475" t="s">
        <v>5520</v>
      </c>
      <c r="E4216" s="476" t="s">
        <v>34</v>
      </c>
      <c r="F4216" s="475" t="s">
        <v>34</v>
      </c>
      <c r="G4216" s="364">
        <v>96758</v>
      </c>
      <c r="H4216" s="475" t="s">
        <v>3544</v>
      </c>
      <c r="I4216" s="475" t="s">
        <v>171</v>
      </c>
      <c r="J4216" s="475" t="s">
        <v>140</v>
      </c>
      <c r="K4216" s="365">
        <v>11.31</v>
      </c>
      <c r="L4216" s="475" t="s">
        <v>141</v>
      </c>
      <c r="M4216" s="473"/>
    </row>
    <row r="4217" spans="1:13" ht="13.5">
      <c r="A4217" s="475" t="s">
        <v>5516</v>
      </c>
      <c r="B4217" s="475" t="s">
        <v>5517</v>
      </c>
      <c r="C4217" s="475" t="s">
        <v>5458</v>
      </c>
      <c r="D4217" s="475" t="s">
        <v>5520</v>
      </c>
      <c r="E4217" s="476" t="s">
        <v>34</v>
      </c>
      <c r="F4217" s="475" t="s">
        <v>34</v>
      </c>
      <c r="G4217" s="364">
        <v>96759</v>
      </c>
      <c r="H4217" s="475" t="s">
        <v>3545</v>
      </c>
      <c r="I4217" s="475" t="s">
        <v>171</v>
      </c>
      <c r="J4217" s="475" t="s">
        <v>140</v>
      </c>
      <c r="K4217" s="365">
        <v>16.21</v>
      </c>
      <c r="L4217" s="475" t="s">
        <v>141</v>
      </c>
      <c r="M4217" s="473"/>
    </row>
    <row r="4218" spans="1:13" ht="13.5">
      <c r="A4218" s="475" t="s">
        <v>5516</v>
      </c>
      <c r="B4218" s="475" t="s">
        <v>5517</v>
      </c>
      <c r="C4218" s="475" t="s">
        <v>5458</v>
      </c>
      <c r="D4218" s="475" t="s">
        <v>5520</v>
      </c>
      <c r="E4218" s="476" t="s">
        <v>34</v>
      </c>
      <c r="F4218" s="475" t="s">
        <v>34</v>
      </c>
      <c r="G4218" s="364">
        <v>96760</v>
      </c>
      <c r="H4218" s="475" t="s">
        <v>3546</v>
      </c>
      <c r="I4218" s="475" t="s">
        <v>171</v>
      </c>
      <c r="J4218" s="475" t="s">
        <v>140</v>
      </c>
      <c r="K4218" s="365">
        <v>23.09</v>
      </c>
      <c r="L4218" s="475" t="s">
        <v>141</v>
      </c>
      <c r="M4218" s="473"/>
    </row>
    <row r="4219" spans="1:13" ht="13.5">
      <c r="A4219" s="475" t="s">
        <v>5516</v>
      </c>
      <c r="B4219" s="475" t="s">
        <v>5517</v>
      </c>
      <c r="C4219" s="475" t="s">
        <v>5458</v>
      </c>
      <c r="D4219" s="475" t="s">
        <v>5520</v>
      </c>
      <c r="E4219" s="476" t="s">
        <v>34</v>
      </c>
      <c r="F4219" s="475" t="s">
        <v>34</v>
      </c>
      <c r="G4219" s="364">
        <v>96761</v>
      </c>
      <c r="H4219" s="475" t="s">
        <v>3547</v>
      </c>
      <c r="I4219" s="475" t="s">
        <v>171</v>
      </c>
      <c r="J4219" s="475" t="s">
        <v>140</v>
      </c>
      <c r="K4219" s="365">
        <v>32.119999999999997</v>
      </c>
      <c r="L4219" s="475" t="s">
        <v>141</v>
      </c>
      <c r="M4219" s="473"/>
    </row>
    <row r="4220" spans="1:13" ht="13.5">
      <c r="A4220" s="475" t="s">
        <v>5516</v>
      </c>
      <c r="B4220" s="475" t="s">
        <v>5517</v>
      </c>
      <c r="C4220" s="475" t="s">
        <v>5458</v>
      </c>
      <c r="D4220" s="475" t="s">
        <v>5520</v>
      </c>
      <c r="E4220" s="476" t="s">
        <v>34</v>
      </c>
      <c r="F4220" s="475" t="s">
        <v>34</v>
      </c>
      <c r="G4220" s="364">
        <v>96762</v>
      </c>
      <c r="H4220" s="475" t="s">
        <v>3548</v>
      </c>
      <c r="I4220" s="475" t="s">
        <v>171</v>
      </c>
      <c r="J4220" s="475" t="s">
        <v>140</v>
      </c>
      <c r="K4220" s="365">
        <v>62.17</v>
      </c>
      <c r="L4220" s="475" t="s">
        <v>141</v>
      </c>
      <c r="M4220" s="473"/>
    </row>
    <row r="4221" spans="1:13" ht="13.5">
      <c r="A4221" s="475" t="s">
        <v>5516</v>
      </c>
      <c r="B4221" s="475" t="s">
        <v>5517</v>
      </c>
      <c r="C4221" s="475" t="s">
        <v>5458</v>
      </c>
      <c r="D4221" s="475" t="s">
        <v>5520</v>
      </c>
      <c r="E4221" s="476" t="s">
        <v>34</v>
      </c>
      <c r="F4221" s="475" t="s">
        <v>34</v>
      </c>
      <c r="G4221" s="364">
        <v>96763</v>
      </c>
      <c r="H4221" s="475" t="s">
        <v>3549</v>
      </c>
      <c r="I4221" s="475" t="s">
        <v>171</v>
      </c>
      <c r="J4221" s="475" t="s">
        <v>140</v>
      </c>
      <c r="K4221" s="365">
        <v>85.05</v>
      </c>
      <c r="L4221" s="475" t="s">
        <v>141</v>
      </c>
      <c r="M4221" s="473"/>
    </row>
    <row r="4222" spans="1:13" ht="13.5">
      <c r="A4222" s="475" t="s">
        <v>5516</v>
      </c>
      <c r="B4222" s="475" t="s">
        <v>5517</v>
      </c>
      <c r="C4222" s="475" t="s">
        <v>5458</v>
      </c>
      <c r="D4222" s="475" t="s">
        <v>5520</v>
      </c>
      <c r="E4222" s="476" t="s">
        <v>34</v>
      </c>
      <c r="F4222" s="475" t="s">
        <v>34</v>
      </c>
      <c r="G4222" s="364">
        <v>96764</v>
      </c>
      <c r="H4222" s="475" t="s">
        <v>3550</v>
      </c>
      <c r="I4222" s="475" t="s">
        <v>171</v>
      </c>
      <c r="J4222" s="475" t="s">
        <v>140</v>
      </c>
      <c r="K4222" s="365">
        <v>135.53</v>
      </c>
      <c r="L4222" s="475" t="s">
        <v>141</v>
      </c>
      <c r="M4222" s="473"/>
    </row>
    <row r="4223" spans="1:13" ht="13.5">
      <c r="A4223" s="475" t="s">
        <v>5516</v>
      </c>
      <c r="B4223" s="475" t="s">
        <v>5517</v>
      </c>
      <c r="C4223" s="475" t="s">
        <v>5458</v>
      </c>
      <c r="D4223" s="475" t="s">
        <v>5520</v>
      </c>
      <c r="E4223" s="476" t="s">
        <v>34</v>
      </c>
      <c r="F4223" s="475" t="s">
        <v>34</v>
      </c>
      <c r="G4223" s="364">
        <v>96802</v>
      </c>
      <c r="H4223" s="475" t="s">
        <v>3551</v>
      </c>
      <c r="I4223" s="475" t="s">
        <v>171</v>
      </c>
      <c r="J4223" s="475" t="s">
        <v>140</v>
      </c>
      <c r="K4223" s="365">
        <v>215.72</v>
      </c>
      <c r="L4223" s="475" t="s">
        <v>141</v>
      </c>
      <c r="M4223" s="473"/>
    </row>
    <row r="4224" spans="1:13" ht="13.5">
      <c r="A4224" s="475" t="s">
        <v>5516</v>
      </c>
      <c r="B4224" s="475" t="s">
        <v>5517</v>
      </c>
      <c r="C4224" s="475" t="s">
        <v>5458</v>
      </c>
      <c r="D4224" s="475" t="s">
        <v>5520</v>
      </c>
      <c r="E4224" s="476" t="s">
        <v>34</v>
      </c>
      <c r="F4224" s="475" t="s">
        <v>34</v>
      </c>
      <c r="G4224" s="364">
        <v>96803</v>
      </c>
      <c r="H4224" s="475" t="s">
        <v>3552</v>
      </c>
      <c r="I4224" s="475" t="s">
        <v>171</v>
      </c>
      <c r="J4224" s="475" t="s">
        <v>140</v>
      </c>
      <c r="K4224" s="365">
        <v>110.52</v>
      </c>
      <c r="L4224" s="475" t="s">
        <v>141</v>
      </c>
      <c r="M4224" s="473"/>
    </row>
    <row r="4225" spans="1:13" ht="13.5">
      <c r="A4225" s="475" t="s">
        <v>5516</v>
      </c>
      <c r="B4225" s="475" t="s">
        <v>5517</v>
      </c>
      <c r="C4225" s="475" t="s">
        <v>5458</v>
      </c>
      <c r="D4225" s="475" t="s">
        <v>5520</v>
      </c>
      <c r="E4225" s="476" t="s">
        <v>34</v>
      </c>
      <c r="F4225" s="475" t="s">
        <v>34</v>
      </c>
      <c r="G4225" s="364">
        <v>96804</v>
      </c>
      <c r="H4225" s="475" t="s">
        <v>3553</v>
      </c>
      <c r="I4225" s="475" t="s">
        <v>171</v>
      </c>
      <c r="J4225" s="475" t="s">
        <v>140</v>
      </c>
      <c r="K4225" s="365">
        <v>197.15</v>
      </c>
      <c r="L4225" s="475" t="s">
        <v>141</v>
      </c>
      <c r="M4225" s="473"/>
    </row>
    <row r="4226" spans="1:13" ht="13.5">
      <c r="A4226" s="475" t="s">
        <v>5516</v>
      </c>
      <c r="B4226" s="475" t="s">
        <v>5517</v>
      </c>
      <c r="C4226" s="475" t="s">
        <v>5458</v>
      </c>
      <c r="D4226" s="475" t="s">
        <v>5520</v>
      </c>
      <c r="E4226" s="476" t="s">
        <v>34</v>
      </c>
      <c r="F4226" s="475" t="s">
        <v>34</v>
      </c>
      <c r="G4226" s="364">
        <v>96805</v>
      </c>
      <c r="H4226" s="475" t="s">
        <v>3554</v>
      </c>
      <c r="I4226" s="475" t="s">
        <v>171</v>
      </c>
      <c r="J4226" s="475" t="s">
        <v>140</v>
      </c>
      <c r="K4226" s="365">
        <v>222.27</v>
      </c>
      <c r="L4226" s="475" t="s">
        <v>141</v>
      </c>
      <c r="M4226" s="473"/>
    </row>
    <row r="4227" spans="1:13" ht="13.5">
      <c r="A4227" s="475" t="s">
        <v>5516</v>
      </c>
      <c r="B4227" s="475" t="s">
        <v>5517</v>
      </c>
      <c r="C4227" s="475" t="s">
        <v>5458</v>
      </c>
      <c r="D4227" s="475" t="s">
        <v>5520</v>
      </c>
      <c r="E4227" s="476" t="s">
        <v>34</v>
      </c>
      <c r="F4227" s="475" t="s">
        <v>34</v>
      </c>
      <c r="G4227" s="364">
        <v>96806</v>
      </c>
      <c r="H4227" s="475" t="s">
        <v>3555</v>
      </c>
      <c r="I4227" s="475" t="s">
        <v>171</v>
      </c>
      <c r="J4227" s="475" t="s">
        <v>140</v>
      </c>
      <c r="K4227" s="365">
        <v>107.34</v>
      </c>
      <c r="L4227" s="475" t="s">
        <v>141</v>
      </c>
      <c r="M4227" s="473"/>
    </row>
    <row r="4228" spans="1:13" ht="13.5">
      <c r="A4228" s="475" t="s">
        <v>5516</v>
      </c>
      <c r="B4228" s="475" t="s">
        <v>5517</v>
      </c>
      <c r="C4228" s="475" t="s">
        <v>5458</v>
      </c>
      <c r="D4228" s="475" t="s">
        <v>5520</v>
      </c>
      <c r="E4228" s="476" t="s">
        <v>34</v>
      </c>
      <c r="F4228" s="475" t="s">
        <v>34</v>
      </c>
      <c r="G4228" s="364">
        <v>96807</v>
      </c>
      <c r="H4228" s="475" t="s">
        <v>3556</v>
      </c>
      <c r="I4228" s="475" t="s">
        <v>171</v>
      </c>
      <c r="J4228" s="475" t="s">
        <v>140</v>
      </c>
      <c r="K4228" s="365">
        <v>178.56</v>
      </c>
      <c r="L4228" s="475" t="s">
        <v>141</v>
      </c>
      <c r="M4228" s="473"/>
    </row>
    <row r="4229" spans="1:13" ht="13.5">
      <c r="A4229" s="475" t="s">
        <v>5516</v>
      </c>
      <c r="B4229" s="475" t="s">
        <v>5517</v>
      </c>
      <c r="C4229" s="475" t="s">
        <v>5458</v>
      </c>
      <c r="D4229" s="475" t="s">
        <v>5520</v>
      </c>
      <c r="E4229" s="476" t="s">
        <v>34</v>
      </c>
      <c r="F4229" s="475" t="s">
        <v>34</v>
      </c>
      <c r="G4229" s="364">
        <v>96808</v>
      </c>
      <c r="H4229" s="475" t="s">
        <v>3557</v>
      </c>
      <c r="I4229" s="475" t="s">
        <v>171</v>
      </c>
      <c r="J4229" s="475" t="s">
        <v>140</v>
      </c>
      <c r="K4229" s="365">
        <v>9.8800000000000008</v>
      </c>
      <c r="L4229" s="475" t="s">
        <v>141</v>
      </c>
      <c r="M4229" s="473"/>
    </row>
    <row r="4230" spans="1:13" ht="13.5">
      <c r="A4230" s="475" t="s">
        <v>5516</v>
      </c>
      <c r="B4230" s="475" t="s">
        <v>5517</v>
      </c>
      <c r="C4230" s="475" t="s">
        <v>5458</v>
      </c>
      <c r="D4230" s="475" t="s">
        <v>5520</v>
      </c>
      <c r="E4230" s="476" t="s">
        <v>34</v>
      </c>
      <c r="F4230" s="475" t="s">
        <v>34</v>
      </c>
      <c r="G4230" s="364">
        <v>96809</v>
      </c>
      <c r="H4230" s="475" t="s">
        <v>3558</v>
      </c>
      <c r="I4230" s="475" t="s">
        <v>171</v>
      </c>
      <c r="J4230" s="475" t="s">
        <v>140</v>
      </c>
      <c r="K4230" s="365">
        <v>11.35</v>
      </c>
      <c r="L4230" s="475" t="s">
        <v>141</v>
      </c>
      <c r="M4230" s="473"/>
    </row>
    <row r="4231" spans="1:13" ht="13.5">
      <c r="A4231" s="475" t="s">
        <v>5516</v>
      </c>
      <c r="B4231" s="475" t="s">
        <v>5517</v>
      </c>
      <c r="C4231" s="475" t="s">
        <v>5458</v>
      </c>
      <c r="D4231" s="475" t="s">
        <v>5520</v>
      </c>
      <c r="E4231" s="476" t="s">
        <v>34</v>
      </c>
      <c r="F4231" s="475" t="s">
        <v>34</v>
      </c>
      <c r="G4231" s="364">
        <v>96810</v>
      </c>
      <c r="H4231" s="475" t="s">
        <v>3559</v>
      </c>
      <c r="I4231" s="475" t="s">
        <v>171</v>
      </c>
      <c r="J4231" s="475" t="s">
        <v>140</v>
      </c>
      <c r="K4231" s="365">
        <v>12.34</v>
      </c>
      <c r="L4231" s="475" t="s">
        <v>141</v>
      </c>
      <c r="M4231" s="473"/>
    </row>
    <row r="4232" spans="1:13" ht="13.5">
      <c r="A4232" s="475" t="s">
        <v>5516</v>
      </c>
      <c r="B4232" s="475" t="s">
        <v>5517</v>
      </c>
      <c r="C4232" s="475" t="s">
        <v>5458</v>
      </c>
      <c r="D4232" s="475" t="s">
        <v>5520</v>
      </c>
      <c r="E4232" s="476" t="s">
        <v>34</v>
      </c>
      <c r="F4232" s="475" t="s">
        <v>34</v>
      </c>
      <c r="G4232" s="364">
        <v>96811</v>
      </c>
      <c r="H4232" s="475" t="s">
        <v>3560</v>
      </c>
      <c r="I4232" s="475" t="s">
        <v>171</v>
      </c>
      <c r="J4232" s="475" t="s">
        <v>140</v>
      </c>
      <c r="K4232" s="365">
        <v>13.24</v>
      </c>
      <c r="L4232" s="475" t="s">
        <v>141</v>
      </c>
      <c r="M4232" s="473"/>
    </row>
    <row r="4233" spans="1:13" ht="13.5">
      <c r="A4233" s="475" t="s">
        <v>5516</v>
      </c>
      <c r="B4233" s="475" t="s">
        <v>5517</v>
      </c>
      <c r="C4233" s="475" t="s">
        <v>5458</v>
      </c>
      <c r="D4233" s="475" t="s">
        <v>5520</v>
      </c>
      <c r="E4233" s="476" t="s">
        <v>34</v>
      </c>
      <c r="F4233" s="475" t="s">
        <v>34</v>
      </c>
      <c r="G4233" s="364">
        <v>96812</v>
      </c>
      <c r="H4233" s="475" t="s">
        <v>3561</v>
      </c>
      <c r="I4233" s="475" t="s">
        <v>171</v>
      </c>
      <c r="J4233" s="475" t="s">
        <v>140</v>
      </c>
      <c r="K4233" s="365">
        <v>12.72</v>
      </c>
      <c r="L4233" s="475" t="s">
        <v>141</v>
      </c>
      <c r="M4233" s="473"/>
    </row>
    <row r="4234" spans="1:13" ht="13.5">
      <c r="A4234" s="475" t="s">
        <v>5516</v>
      </c>
      <c r="B4234" s="475" t="s">
        <v>5517</v>
      </c>
      <c r="C4234" s="475" t="s">
        <v>5458</v>
      </c>
      <c r="D4234" s="475" t="s">
        <v>5520</v>
      </c>
      <c r="E4234" s="476" t="s">
        <v>34</v>
      </c>
      <c r="F4234" s="475" t="s">
        <v>34</v>
      </c>
      <c r="G4234" s="364">
        <v>96813</v>
      </c>
      <c r="H4234" s="475" t="s">
        <v>3562</v>
      </c>
      <c r="I4234" s="475" t="s">
        <v>171</v>
      </c>
      <c r="J4234" s="475" t="s">
        <v>140</v>
      </c>
      <c r="K4234" s="365">
        <v>14.68</v>
      </c>
      <c r="L4234" s="475" t="s">
        <v>141</v>
      </c>
      <c r="M4234" s="473"/>
    </row>
    <row r="4235" spans="1:13" ht="13.5">
      <c r="A4235" s="475" t="s">
        <v>5516</v>
      </c>
      <c r="B4235" s="475" t="s">
        <v>5517</v>
      </c>
      <c r="C4235" s="475" t="s">
        <v>5458</v>
      </c>
      <c r="D4235" s="475" t="s">
        <v>5520</v>
      </c>
      <c r="E4235" s="476" t="s">
        <v>34</v>
      </c>
      <c r="F4235" s="475" t="s">
        <v>34</v>
      </c>
      <c r="G4235" s="364">
        <v>96814</v>
      </c>
      <c r="H4235" s="475" t="s">
        <v>3563</v>
      </c>
      <c r="I4235" s="475" t="s">
        <v>171</v>
      </c>
      <c r="J4235" s="475" t="s">
        <v>140</v>
      </c>
      <c r="K4235" s="365">
        <v>12.39</v>
      </c>
      <c r="L4235" s="475" t="s">
        <v>141</v>
      </c>
      <c r="M4235" s="473"/>
    </row>
    <row r="4236" spans="1:13" ht="13.5">
      <c r="A4236" s="475" t="s">
        <v>5516</v>
      </c>
      <c r="B4236" s="475" t="s">
        <v>5517</v>
      </c>
      <c r="C4236" s="475" t="s">
        <v>5458</v>
      </c>
      <c r="D4236" s="475" t="s">
        <v>5520</v>
      </c>
      <c r="E4236" s="476" t="s">
        <v>34</v>
      </c>
      <c r="F4236" s="475" t="s">
        <v>34</v>
      </c>
      <c r="G4236" s="364">
        <v>96815</v>
      </c>
      <c r="H4236" s="475" t="s">
        <v>3564</v>
      </c>
      <c r="I4236" s="475" t="s">
        <v>171</v>
      </c>
      <c r="J4236" s="475" t="s">
        <v>140</v>
      </c>
      <c r="K4236" s="365">
        <v>20.97</v>
      </c>
      <c r="L4236" s="475" t="s">
        <v>141</v>
      </c>
      <c r="M4236" s="473"/>
    </row>
    <row r="4237" spans="1:13" ht="13.5">
      <c r="A4237" s="475" t="s">
        <v>5516</v>
      </c>
      <c r="B4237" s="475" t="s">
        <v>5517</v>
      </c>
      <c r="C4237" s="475" t="s">
        <v>5458</v>
      </c>
      <c r="D4237" s="475" t="s">
        <v>5520</v>
      </c>
      <c r="E4237" s="476" t="s">
        <v>34</v>
      </c>
      <c r="F4237" s="475" t="s">
        <v>34</v>
      </c>
      <c r="G4237" s="364">
        <v>96816</v>
      </c>
      <c r="H4237" s="475" t="s">
        <v>3565</v>
      </c>
      <c r="I4237" s="475" t="s">
        <v>171</v>
      </c>
      <c r="J4237" s="475" t="s">
        <v>140</v>
      </c>
      <c r="K4237" s="365">
        <v>17.23</v>
      </c>
      <c r="L4237" s="475" t="s">
        <v>141</v>
      </c>
      <c r="M4237" s="473"/>
    </row>
    <row r="4238" spans="1:13" ht="13.5">
      <c r="A4238" s="475" t="s">
        <v>5516</v>
      </c>
      <c r="B4238" s="475" t="s">
        <v>5517</v>
      </c>
      <c r="C4238" s="475" t="s">
        <v>5458</v>
      </c>
      <c r="D4238" s="475" t="s">
        <v>5520</v>
      </c>
      <c r="E4238" s="476" t="s">
        <v>34</v>
      </c>
      <c r="F4238" s="475" t="s">
        <v>34</v>
      </c>
      <c r="G4238" s="364">
        <v>96817</v>
      </c>
      <c r="H4238" s="475" t="s">
        <v>3566</v>
      </c>
      <c r="I4238" s="475" t="s">
        <v>171</v>
      </c>
      <c r="J4238" s="475" t="s">
        <v>140</v>
      </c>
      <c r="K4238" s="365">
        <v>19.61</v>
      </c>
      <c r="L4238" s="475" t="s">
        <v>141</v>
      </c>
      <c r="M4238" s="473"/>
    </row>
    <row r="4239" spans="1:13" ht="13.5">
      <c r="A4239" s="475" t="s">
        <v>5516</v>
      </c>
      <c r="B4239" s="475" t="s">
        <v>5517</v>
      </c>
      <c r="C4239" s="475" t="s">
        <v>5458</v>
      </c>
      <c r="D4239" s="475" t="s">
        <v>5520</v>
      </c>
      <c r="E4239" s="476" t="s">
        <v>34</v>
      </c>
      <c r="F4239" s="475" t="s">
        <v>34</v>
      </c>
      <c r="G4239" s="364">
        <v>96818</v>
      </c>
      <c r="H4239" s="475" t="s">
        <v>3567</v>
      </c>
      <c r="I4239" s="475" t="s">
        <v>171</v>
      </c>
      <c r="J4239" s="475" t="s">
        <v>140</v>
      </c>
      <c r="K4239" s="365">
        <v>18.25</v>
      </c>
      <c r="L4239" s="475" t="s">
        <v>141</v>
      </c>
      <c r="M4239" s="473"/>
    </row>
    <row r="4240" spans="1:13" ht="13.5">
      <c r="A4240" s="475" t="s">
        <v>5516</v>
      </c>
      <c r="B4240" s="475" t="s">
        <v>5517</v>
      </c>
      <c r="C4240" s="475" t="s">
        <v>5458</v>
      </c>
      <c r="D4240" s="475" t="s">
        <v>5520</v>
      </c>
      <c r="E4240" s="476" t="s">
        <v>34</v>
      </c>
      <c r="F4240" s="475" t="s">
        <v>34</v>
      </c>
      <c r="G4240" s="364">
        <v>96819</v>
      </c>
      <c r="H4240" s="475" t="s">
        <v>3568</v>
      </c>
      <c r="I4240" s="475" t="s">
        <v>171</v>
      </c>
      <c r="J4240" s="475" t="s">
        <v>140</v>
      </c>
      <c r="K4240" s="365">
        <v>18.25</v>
      </c>
      <c r="L4240" s="475" t="s">
        <v>141</v>
      </c>
      <c r="M4240" s="473"/>
    </row>
    <row r="4241" spans="1:13" ht="13.5">
      <c r="A4241" s="475" t="s">
        <v>5516</v>
      </c>
      <c r="B4241" s="475" t="s">
        <v>5517</v>
      </c>
      <c r="C4241" s="475" t="s">
        <v>5458</v>
      </c>
      <c r="D4241" s="475" t="s">
        <v>5520</v>
      </c>
      <c r="E4241" s="476" t="s">
        <v>34</v>
      </c>
      <c r="F4241" s="475" t="s">
        <v>34</v>
      </c>
      <c r="G4241" s="364">
        <v>96820</v>
      </c>
      <c r="H4241" s="475" t="s">
        <v>3569</v>
      </c>
      <c r="I4241" s="475" t="s">
        <v>171</v>
      </c>
      <c r="J4241" s="475" t="s">
        <v>140</v>
      </c>
      <c r="K4241" s="365">
        <v>33.299999999999997</v>
      </c>
      <c r="L4241" s="475" t="s">
        <v>141</v>
      </c>
      <c r="M4241" s="473"/>
    </row>
    <row r="4242" spans="1:13" ht="13.5">
      <c r="A4242" s="475" t="s">
        <v>5516</v>
      </c>
      <c r="B4242" s="475" t="s">
        <v>5517</v>
      </c>
      <c r="C4242" s="475" t="s">
        <v>5458</v>
      </c>
      <c r="D4242" s="475" t="s">
        <v>5520</v>
      </c>
      <c r="E4242" s="476" t="s">
        <v>34</v>
      </c>
      <c r="F4242" s="475" t="s">
        <v>34</v>
      </c>
      <c r="G4242" s="364">
        <v>96821</v>
      </c>
      <c r="H4242" s="475" t="s">
        <v>3570</v>
      </c>
      <c r="I4242" s="475" t="s">
        <v>171</v>
      </c>
      <c r="J4242" s="475" t="s">
        <v>140</v>
      </c>
      <c r="K4242" s="365">
        <v>28.34</v>
      </c>
      <c r="L4242" s="475" t="s">
        <v>141</v>
      </c>
      <c r="M4242" s="473"/>
    </row>
    <row r="4243" spans="1:13" ht="13.5">
      <c r="A4243" s="475" t="s">
        <v>5516</v>
      </c>
      <c r="B4243" s="475" t="s">
        <v>5517</v>
      </c>
      <c r="C4243" s="475" t="s">
        <v>5458</v>
      </c>
      <c r="D4243" s="475" t="s">
        <v>5520</v>
      </c>
      <c r="E4243" s="476" t="s">
        <v>34</v>
      </c>
      <c r="F4243" s="475" t="s">
        <v>34</v>
      </c>
      <c r="G4243" s="364">
        <v>96822</v>
      </c>
      <c r="H4243" s="475" t="s">
        <v>3571</v>
      </c>
      <c r="I4243" s="475" t="s">
        <v>171</v>
      </c>
      <c r="J4243" s="475" t="s">
        <v>140</v>
      </c>
      <c r="K4243" s="365">
        <v>28.72</v>
      </c>
      <c r="L4243" s="475" t="s">
        <v>141</v>
      </c>
      <c r="M4243" s="473"/>
    </row>
    <row r="4244" spans="1:13" ht="13.5">
      <c r="A4244" s="475" t="s">
        <v>5516</v>
      </c>
      <c r="B4244" s="475" t="s">
        <v>5517</v>
      </c>
      <c r="C4244" s="475" t="s">
        <v>5458</v>
      </c>
      <c r="D4244" s="475" t="s">
        <v>5520</v>
      </c>
      <c r="E4244" s="476" t="s">
        <v>34</v>
      </c>
      <c r="F4244" s="475" t="s">
        <v>34</v>
      </c>
      <c r="G4244" s="364">
        <v>96823</v>
      </c>
      <c r="H4244" s="475" t="s">
        <v>3572</v>
      </c>
      <c r="I4244" s="475" t="s">
        <v>171</v>
      </c>
      <c r="J4244" s="475" t="s">
        <v>140</v>
      </c>
      <c r="K4244" s="365">
        <v>11.84</v>
      </c>
      <c r="L4244" s="475" t="s">
        <v>141</v>
      </c>
      <c r="M4244" s="473"/>
    </row>
    <row r="4245" spans="1:13" ht="13.5">
      <c r="A4245" s="475" t="s">
        <v>5516</v>
      </c>
      <c r="B4245" s="475" t="s">
        <v>5517</v>
      </c>
      <c r="C4245" s="475" t="s">
        <v>5458</v>
      </c>
      <c r="D4245" s="475" t="s">
        <v>5520</v>
      </c>
      <c r="E4245" s="476" t="s">
        <v>34</v>
      </c>
      <c r="F4245" s="475" t="s">
        <v>34</v>
      </c>
      <c r="G4245" s="364">
        <v>96824</v>
      </c>
      <c r="H4245" s="475" t="s">
        <v>3573</v>
      </c>
      <c r="I4245" s="475" t="s">
        <v>171</v>
      </c>
      <c r="J4245" s="475" t="s">
        <v>140</v>
      </c>
      <c r="K4245" s="365">
        <v>13.37</v>
      </c>
      <c r="L4245" s="475" t="s">
        <v>141</v>
      </c>
      <c r="M4245" s="473"/>
    </row>
    <row r="4246" spans="1:13" ht="13.5">
      <c r="A4246" s="475" t="s">
        <v>5516</v>
      </c>
      <c r="B4246" s="475" t="s">
        <v>5517</v>
      </c>
      <c r="C4246" s="475" t="s">
        <v>5458</v>
      </c>
      <c r="D4246" s="475" t="s">
        <v>5520</v>
      </c>
      <c r="E4246" s="476" t="s">
        <v>34</v>
      </c>
      <c r="F4246" s="475" t="s">
        <v>34</v>
      </c>
      <c r="G4246" s="364">
        <v>96825</v>
      </c>
      <c r="H4246" s="475" t="s">
        <v>3574</v>
      </c>
      <c r="I4246" s="475" t="s">
        <v>171</v>
      </c>
      <c r="J4246" s="475" t="s">
        <v>140</v>
      </c>
      <c r="K4246" s="365">
        <v>18.14</v>
      </c>
      <c r="L4246" s="475" t="s">
        <v>141</v>
      </c>
      <c r="M4246" s="473"/>
    </row>
    <row r="4247" spans="1:13" ht="13.5">
      <c r="A4247" s="475" t="s">
        <v>5516</v>
      </c>
      <c r="B4247" s="475" t="s">
        <v>5517</v>
      </c>
      <c r="C4247" s="475" t="s">
        <v>5458</v>
      </c>
      <c r="D4247" s="475" t="s">
        <v>5520</v>
      </c>
      <c r="E4247" s="476" t="s">
        <v>34</v>
      </c>
      <c r="F4247" s="475" t="s">
        <v>34</v>
      </c>
      <c r="G4247" s="364">
        <v>96826</v>
      </c>
      <c r="H4247" s="475" t="s">
        <v>3575</v>
      </c>
      <c r="I4247" s="475" t="s">
        <v>171</v>
      </c>
      <c r="J4247" s="475" t="s">
        <v>140</v>
      </c>
      <c r="K4247" s="365">
        <v>16.420000000000002</v>
      </c>
      <c r="L4247" s="475" t="s">
        <v>141</v>
      </c>
      <c r="M4247" s="473"/>
    </row>
    <row r="4248" spans="1:13" ht="13.5">
      <c r="A4248" s="475" t="s">
        <v>5516</v>
      </c>
      <c r="B4248" s="475" t="s">
        <v>5517</v>
      </c>
      <c r="C4248" s="475" t="s">
        <v>5458</v>
      </c>
      <c r="D4248" s="475" t="s">
        <v>5520</v>
      </c>
      <c r="E4248" s="476" t="s">
        <v>34</v>
      </c>
      <c r="F4248" s="475" t="s">
        <v>34</v>
      </c>
      <c r="G4248" s="364">
        <v>96827</v>
      </c>
      <c r="H4248" s="475" t="s">
        <v>3576</v>
      </c>
      <c r="I4248" s="475" t="s">
        <v>171</v>
      </c>
      <c r="J4248" s="475" t="s">
        <v>140</v>
      </c>
      <c r="K4248" s="365">
        <v>17.04</v>
      </c>
      <c r="L4248" s="475" t="s">
        <v>141</v>
      </c>
      <c r="M4248" s="473"/>
    </row>
    <row r="4249" spans="1:13" ht="13.5">
      <c r="A4249" s="475" t="s">
        <v>5516</v>
      </c>
      <c r="B4249" s="475" t="s">
        <v>5517</v>
      </c>
      <c r="C4249" s="475" t="s">
        <v>5458</v>
      </c>
      <c r="D4249" s="475" t="s">
        <v>5520</v>
      </c>
      <c r="E4249" s="476" t="s">
        <v>34</v>
      </c>
      <c r="F4249" s="475" t="s">
        <v>34</v>
      </c>
      <c r="G4249" s="364">
        <v>96828</v>
      </c>
      <c r="H4249" s="475" t="s">
        <v>3577</v>
      </c>
      <c r="I4249" s="475" t="s">
        <v>171</v>
      </c>
      <c r="J4249" s="475" t="s">
        <v>140</v>
      </c>
      <c r="K4249" s="365">
        <v>21.42</v>
      </c>
      <c r="L4249" s="475" t="s">
        <v>141</v>
      </c>
      <c r="M4249" s="473"/>
    </row>
    <row r="4250" spans="1:13" ht="13.5">
      <c r="A4250" s="475" t="s">
        <v>5516</v>
      </c>
      <c r="B4250" s="475" t="s">
        <v>5517</v>
      </c>
      <c r="C4250" s="475" t="s">
        <v>5458</v>
      </c>
      <c r="D4250" s="475" t="s">
        <v>5520</v>
      </c>
      <c r="E4250" s="476" t="s">
        <v>34</v>
      </c>
      <c r="F4250" s="475" t="s">
        <v>34</v>
      </c>
      <c r="G4250" s="364">
        <v>96829</v>
      </c>
      <c r="H4250" s="475" t="s">
        <v>3578</v>
      </c>
      <c r="I4250" s="475" t="s">
        <v>171</v>
      </c>
      <c r="J4250" s="475" t="s">
        <v>140</v>
      </c>
      <c r="K4250" s="365">
        <v>16.399999999999999</v>
      </c>
      <c r="L4250" s="475" t="s">
        <v>141</v>
      </c>
      <c r="M4250" s="473"/>
    </row>
    <row r="4251" spans="1:13" ht="13.5">
      <c r="A4251" s="475" t="s">
        <v>5516</v>
      </c>
      <c r="B4251" s="475" t="s">
        <v>5517</v>
      </c>
      <c r="C4251" s="475" t="s">
        <v>5458</v>
      </c>
      <c r="D4251" s="475" t="s">
        <v>5520</v>
      </c>
      <c r="E4251" s="476" t="s">
        <v>34</v>
      </c>
      <c r="F4251" s="475" t="s">
        <v>34</v>
      </c>
      <c r="G4251" s="364">
        <v>96830</v>
      </c>
      <c r="H4251" s="475" t="s">
        <v>3579</v>
      </c>
      <c r="I4251" s="475" t="s">
        <v>171</v>
      </c>
      <c r="J4251" s="475" t="s">
        <v>140</v>
      </c>
      <c r="K4251" s="365">
        <v>23.86</v>
      </c>
      <c r="L4251" s="475" t="s">
        <v>141</v>
      </c>
      <c r="M4251" s="473"/>
    </row>
    <row r="4252" spans="1:13" ht="13.5">
      <c r="A4252" s="475" t="s">
        <v>5516</v>
      </c>
      <c r="B4252" s="475" t="s">
        <v>5517</v>
      </c>
      <c r="C4252" s="475" t="s">
        <v>5458</v>
      </c>
      <c r="D4252" s="475" t="s">
        <v>5520</v>
      </c>
      <c r="E4252" s="476" t="s">
        <v>34</v>
      </c>
      <c r="F4252" s="475" t="s">
        <v>34</v>
      </c>
      <c r="G4252" s="364">
        <v>96831</v>
      </c>
      <c r="H4252" s="475" t="s">
        <v>3580</v>
      </c>
      <c r="I4252" s="475" t="s">
        <v>171</v>
      </c>
      <c r="J4252" s="475" t="s">
        <v>140</v>
      </c>
      <c r="K4252" s="365">
        <v>19.440000000000001</v>
      </c>
      <c r="L4252" s="475" t="s">
        <v>141</v>
      </c>
      <c r="M4252" s="473"/>
    </row>
    <row r="4253" spans="1:13" ht="13.5">
      <c r="A4253" s="475" t="s">
        <v>5516</v>
      </c>
      <c r="B4253" s="475" t="s">
        <v>5517</v>
      </c>
      <c r="C4253" s="475" t="s">
        <v>5458</v>
      </c>
      <c r="D4253" s="475" t="s">
        <v>5520</v>
      </c>
      <c r="E4253" s="476" t="s">
        <v>34</v>
      </c>
      <c r="F4253" s="475" t="s">
        <v>34</v>
      </c>
      <c r="G4253" s="364">
        <v>96832</v>
      </c>
      <c r="H4253" s="475" t="s">
        <v>3581</v>
      </c>
      <c r="I4253" s="475" t="s">
        <v>171</v>
      </c>
      <c r="J4253" s="475" t="s">
        <v>140</v>
      </c>
      <c r="K4253" s="365">
        <v>22.48</v>
      </c>
      <c r="L4253" s="475" t="s">
        <v>141</v>
      </c>
      <c r="M4253" s="473"/>
    </row>
    <row r="4254" spans="1:13" ht="13.5">
      <c r="A4254" s="475" t="s">
        <v>5516</v>
      </c>
      <c r="B4254" s="475" t="s">
        <v>5517</v>
      </c>
      <c r="C4254" s="475" t="s">
        <v>5458</v>
      </c>
      <c r="D4254" s="475" t="s">
        <v>5520</v>
      </c>
      <c r="E4254" s="476" t="s">
        <v>34</v>
      </c>
      <c r="F4254" s="475" t="s">
        <v>34</v>
      </c>
      <c r="G4254" s="364">
        <v>96833</v>
      </c>
      <c r="H4254" s="475" t="s">
        <v>3582</v>
      </c>
      <c r="I4254" s="475" t="s">
        <v>171</v>
      </c>
      <c r="J4254" s="475" t="s">
        <v>140</v>
      </c>
      <c r="K4254" s="365">
        <v>21.05</v>
      </c>
      <c r="L4254" s="475" t="s">
        <v>141</v>
      </c>
      <c r="M4254" s="473"/>
    </row>
    <row r="4255" spans="1:13" ht="13.5">
      <c r="A4255" s="475" t="s">
        <v>5516</v>
      </c>
      <c r="B4255" s="475" t="s">
        <v>5517</v>
      </c>
      <c r="C4255" s="475" t="s">
        <v>5458</v>
      </c>
      <c r="D4255" s="475" t="s">
        <v>5520</v>
      </c>
      <c r="E4255" s="476" t="s">
        <v>34</v>
      </c>
      <c r="F4255" s="475" t="s">
        <v>34</v>
      </c>
      <c r="G4255" s="364">
        <v>96834</v>
      </c>
      <c r="H4255" s="475" t="s">
        <v>3583</v>
      </c>
      <c r="I4255" s="475" t="s">
        <v>171</v>
      </c>
      <c r="J4255" s="475" t="s">
        <v>140</v>
      </c>
      <c r="K4255" s="365">
        <v>34.81</v>
      </c>
      <c r="L4255" s="475" t="s">
        <v>141</v>
      </c>
      <c r="M4255" s="473"/>
    </row>
    <row r="4256" spans="1:13" ht="13.5">
      <c r="A4256" s="475" t="s">
        <v>5516</v>
      </c>
      <c r="B4256" s="475" t="s">
        <v>5517</v>
      </c>
      <c r="C4256" s="475" t="s">
        <v>5458</v>
      </c>
      <c r="D4256" s="475" t="s">
        <v>5520</v>
      </c>
      <c r="E4256" s="476" t="s">
        <v>34</v>
      </c>
      <c r="F4256" s="475" t="s">
        <v>34</v>
      </c>
      <c r="G4256" s="364">
        <v>96835</v>
      </c>
      <c r="H4256" s="475" t="s">
        <v>3584</v>
      </c>
      <c r="I4256" s="475" t="s">
        <v>171</v>
      </c>
      <c r="J4256" s="475" t="s">
        <v>140</v>
      </c>
      <c r="K4256" s="365">
        <v>30.08</v>
      </c>
      <c r="L4256" s="475" t="s">
        <v>141</v>
      </c>
      <c r="M4256" s="473"/>
    </row>
    <row r="4257" spans="1:13" ht="13.5">
      <c r="A4257" s="475" t="s">
        <v>5516</v>
      </c>
      <c r="B4257" s="475" t="s">
        <v>5517</v>
      </c>
      <c r="C4257" s="475" t="s">
        <v>5458</v>
      </c>
      <c r="D4257" s="475" t="s">
        <v>5520</v>
      </c>
      <c r="E4257" s="476" t="s">
        <v>34</v>
      </c>
      <c r="F4257" s="475" t="s">
        <v>34</v>
      </c>
      <c r="G4257" s="364">
        <v>96836</v>
      </c>
      <c r="H4257" s="475" t="s">
        <v>3585</v>
      </c>
      <c r="I4257" s="475" t="s">
        <v>171</v>
      </c>
      <c r="J4257" s="475" t="s">
        <v>140</v>
      </c>
      <c r="K4257" s="365">
        <v>32.04</v>
      </c>
      <c r="L4257" s="475" t="s">
        <v>141</v>
      </c>
      <c r="M4257" s="473"/>
    </row>
    <row r="4258" spans="1:13" ht="13.5">
      <c r="A4258" s="475" t="s">
        <v>5516</v>
      </c>
      <c r="B4258" s="475" t="s">
        <v>5517</v>
      </c>
      <c r="C4258" s="475" t="s">
        <v>5458</v>
      </c>
      <c r="D4258" s="475" t="s">
        <v>5520</v>
      </c>
      <c r="E4258" s="476" t="s">
        <v>34</v>
      </c>
      <c r="F4258" s="475" t="s">
        <v>34</v>
      </c>
      <c r="G4258" s="364">
        <v>96837</v>
      </c>
      <c r="H4258" s="475" t="s">
        <v>3586</v>
      </c>
      <c r="I4258" s="475" t="s">
        <v>171</v>
      </c>
      <c r="J4258" s="475" t="s">
        <v>140</v>
      </c>
      <c r="K4258" s="365">
        <v>17.309999999999999</v>
      </c>
      <c r="L4258" s="475" t="s">
        <v>141</v>
      </c>
      <c r="M4258" s="473"/>
    </row>
    <row r="4259" spans="1:13" ht="13.5">
      <c r="A4259" s="475" t="s">
        <v>5516</v>
      </c>
      <c r="B4259" s="475" t="s">
        <v>5517</v>
      </c>
      <c r="C4259" s="475" t="s">
        <v>5458</v>
      </c>
      <c r="D4259" s="475" t="s">
        <v>5520</v>
      </c>
      <c r="E4259" s="476" t="s">
        <v>34</v>
      </c>
      <c r="F4259" s="475" t="s">
        <v>34</v>
      </c>
      <c r="G4259" s="364">
        <v>96838</v>
      </c>
      <c r="H4259" s="475" t="s">
        <v>3587</v>
      </c>
      <c r="I4259" s="475" t="s">
        <v>171</v>
      </c>
      <c r="J4259" s="475" t="s">
        <v>140</v>
      </c>
      <c r="K4259" s="365">
        <v>15.89</v>
      </c>
      <c r="L4259" s="475" t="s">
        <v>141</v>
      </c>
      <c r="M4259" s="473"/>
    </row>
    <row r="4260" spans="1:13" ht="13.5">
      <c r="A4260" s="475" t="s">
        <v>5516</v>
      </c>
      <c r="B4260" s="475" t="s">
        <v>5517</v>
      </c>
      <c r="C4260" s="475" t="s">
        <v>5458</v>
      </c>
      <c r="D4260" s="475" t="s">
        <v>5520</v>
      </c>
      <c r="E4260" s="476" t="s">
        <v>34</v>
      </c>
      <c r="F4260" s="475" t="s">
        <v>34</v>
      </c>
      <c r="G4260" s="364">
        <v>96839</v>
      </c>
      <c r="H4260" s="475" t="s">
        <v>3588</v>
      </c>
      <c r="I4260" s="475" t="s">
        <v>171</v>
      </c>
      <c r="J4260" s="475" t="s">
        <v>140</v>
      </c>
      <c r="K4260" s="365">
        <v>15.64</v>
      </c>
      <c r="L4260" s="475" t="s">
        <v>141</v>
      </c>
      <c r="M4260" s="473"/>
    </row>
    <row r="4261" spans="1:13" ht="13.5">
      <c r="A4261" s="475" t="s">
        <v>5516</v>
      </c>
      <c r="B4261" s="475" t="s">
        <v>5517</v>
      </c>
      <c r="C4261" s="475" t="s">
        <v>5458</v>
      </c>
      <c r="D4261" s="475" t="s">
        <v>5520</v>
      </c>
      <c r="E4261" s="476" t="s">
        <v>34</v>
      </c>
      <c r="F4261" s="475" t="s">
        <v>34</v>
      </c>
      <c r="G4261" s="364">
        <v>96840</v>
      </c>
      <c r="H4261" s="475" t="s">
        <v>3589</v>
      </c>
      <c r="I4261" s="475" t="s">
        <v>171</v>
      </c>
      <c r="J4261" s="475" t="s">
        <v>140</v>
      </c>
      <c r="K4261" s="365">
        <v>20.22</v>
      </c>
      <c r="L4261" s="475" t="s">
        <v>141</v>
      </c>
      <c r="M4261" s="473"/>
    </row>
    <row r="4262" spans="1:13" ht="13.5">
      <c r="A4262" s="475" t="s">
        <v>5516</v>
      </c>
      <c r="B4262" s="475" t="s">
        <v>5517</v>
      </c>
      <c r="C4262" s="475" t="s">
        <v>5458</v>
      </c>
      <c r="D4262" s="475" t="s">
        <v>5520</v>
      </c>
      <c r="E4262" s="476" t="s">
        <v>34</v>
      </c>
      <c r="F4262" s="475" t="s">
        <v>34</v>
      </c>
      <c r="G4262" s="364">
        <v>96841</v>
      </c>
      <c r="H4262" s="475" t="s">
        <v>3590</v>
      </c>
      <c r="I4262" s="475" t="s">
        <v>171</v>
      </c>
      <c r="J4262" s="475" t="s">
        <v>140</v>
      </c>
      <c r="K4262" s="365">
        <v>17.68</v>
      </c>
      <c r="L4262" s="475" t="s">
        <v>141</v>
      </c>
      <c r="M4262" s="473"/>
    </row>
    <row r="4263" spans="1:13" ht="13.5">
      <c r="A4263" s="475" t="s">
        <v>5516</v>
      </c>
      <c r="B4263" s="475" t="s">
        <v>5517</v>
      </c>
      <c r="C4263" s="475" t="s">
        <v>5458</v>
      </c>
      <c r="D4263" s="475" t="s">
        <v>5520</v>
      </c>
      <c r="E4263" s="476" t="s">
        <v>34</v>
      </c>
      <c r="F4263" s="475" t="s">
        <v>34</v>
      </c>
      <c r="G4263" s="364">
        <v>96842</v>
      </c>
      <c r="H4263" s="475" t="s">
        <v>3591</v>
      </c>
      <c r="I4263" s="475" t="s">
        <v>171</v>
      </c>
      <c r="J4263" s="475" t="s">
        <v>140</v>
      </c>
      <c r="K4263" s="365">
        <v>22.54</v>
      </c>
      <c r="L4263" s="475" t="s">
        <v>141</v>
      </c>
      <c r="M4263" s="473"/>
    </row>
    <row r="4264" spans="1:13" ht="13.5">
      <c r="A4264" s="475" t="s">
        <v>5516</v>
      </c>
      <c r="B4264" s="475" t="s">
        <v>5517</v>
      </c>
      <c r="C4264" s="475" t="s">
        <v>5458</v>
      </c>
      <c r="D4264" s="475" t="s">
        <v>5520</v>
      </c>
      <c r="E4264" s="476" t="s">
        <v>34</v>
      </c>
      <c r="F4264" s="475" t="s">
        <v>34</v>
      </c>
      <c r="G4264" s="364">
        <v>96843</v>
      </c>
      <c r="H4264" s="475" t="s">
        <v>3592</v>
      </c>
      <c r="I4264" s="475" t="s">
        <v>171</v>
      </c>
      <c r="J4264" s="475" t="s">
        <v>140</v>
      </c>
      <c r="K4264" s="365">
        <v>21.67</v>
      </c>
      <c r="L4264" s="475" t="s">
        <v>141</v>
      </c>
      <c r="M4264" s="473"/>
    </row>
    <row r="4265" spans="1:13" ht="13.5">
      <c r="A4265" s="475" t="s">
        <v>5516</v>
      </c>
      <c r="B4265" s="475" t="s">
        <v>5517</v>
      </c>
      <c r="C4265" s="475" t="s">
        <v>5458</v>
      </c>
      <c r="D4265" s="475" t="s">
        <v>5520</v>
      </c>
      <c r="E4265" s="476" t="s">
        <v>34</v>
      </c>
      <c r="F4265" s="475" t="s">
        <v>34</v>
      </c>
      <c r="G4265" s="364">
        <v>96844</v>
      </c>
      <c r="H4265" s="475" t="s">
        <v>3593</v>
      </c>
      <c r="I4265" s="475" t="s">
        <v>171</v>
      </c>
      <c r="J4265" s="475" t="s">
        <v>140</v>
      </c>
      <c r="K4265" s="365">
        <v>29.61</v>
      </c>
      <c r="L4265" s="475" t="s">
        <v>141</v>
      </c>
      <c r="M4265" s="473"/>
    </row>
    <row r="4266" spans="1:13" ht="13.5">
      <c r="A4266" s="475" t="s">
        <v>5516</v>
      </c>
      <c r="B4266" s="475" t="s">
        <v>5517</v>
      </c>
      <c r="C4266" s="475" t="s">
        <v>5458</v>
      </c>
      <c r="D4266" s="475" t="s">
        <v>5520</v>
      </c>
      <c r="E4266" s="476" t="s">
        <v>34</v>
      </c>
      <c r="F4266" s="475" t="s">
        <v>34</v>
      </c>
      <c r="G4266" s="364">
        <v>96845</v>
      </c>
      <c r="H4266" s="475" t="s">
        <v>3594</v>
      </c>
      <c r="I4266" s="475" t="s">
        <v>171</v>
      </c>
      <c r="J4266" s="475" t="s">
        <v>140</v>
      </c>
      <c r="K4266" s="365">
        <v>31.68</v>
      </c>
      <c r="L4266" s="475" t="s">
        <v>141</v>
      </c>
      <c r="M4266" s="473"/>
    </row>
    <row r="4267" spans="1:13" ht="13.5">
      <c r="A4267" s="475" t="s">
        <v>5516</v>
      </c>
      <c r="B4267" s="475" t="s">
        <v>5517</v>
      </c>
      <c r="C4267" s="475" t="s">
        <v>5458</v>
      </c>
      <c r="D4267" s="475" t="s">
        <v>5520</v>
      </c>
      <c r="E4267" s="476" t="s">
        <v>34</v>
      </c>
      <c r="F4267" s="475" t="s">
        <v>34</v>
      </c>
      <c r="G4267" s="364">
        <v>96846</v>
      </c>
      <c r="H4267" s="475" t="s">
        <v>3595</v>
      </c>
      <c r="I4267" s="475" t="s">
        <v>171</v>
      </c>
      <c r="J4267" s="475" t="s">
        <v>140</v>
      </c>
      <c r="K4267" s="365">
        <v>24.9</v>
      </c>
      <c r="L4267" s="475" t="s">
        <v>141</v>
      </c>
      <c r="M4267" s="473"/>
    </row>
    <row r="4268" spans="1:13" ht="13.5">
      <c r="A4268" s="475" t="s">
        <v>5516</v>
      </c>
      <c r="B4268" s="475" t="s">
        <v>5517</v>
      </c>
      <c r="C4268" s="475" t="s">
        <v>5458</v>
      </c>
      <c r="D4268" s="475" t="s">
        <v>5520</v>
      </c>
      <c r="E4268" s="476" t="s">
        <v>34</v>
      </c>
      <c r="F4268" s="475" t="s">
        <v>34</v>
      </c>
      <c r="G4268" s="364">
        <v>96847</v>
      </c>
      <c r="H4268" s="475" t="s">
        <v>3596</v>
      </c>
      <c r="I4268" s="475" t="s">
        <v>171</v>
      </c>
      <c r="J4268" s="475" t="s">
        <v>140</v>
      </c>
      <c r="K4268" s="365">
        <v>27.39</v>
      </c>
      <c r="L4268" s="475" t="s">
        <v>141</v>
      </c>
      <c r="M4268" s="473"/>
    </row>
    <row r="4269" spans="1:13" ht="13.5">
      <c r="A4269" s="475" t="s">
        <v>5516</v>
      </c>
      <c r="B4269" s="475" t="s">
        <v>5517</v>
      </c>
      <c r="C4269" s="475" t="s">
        <v>5458</v>
      </c>
      <c r="D4269" s="475" t="s">
        <v>5520</v>
      </c>
      <c r="E4269" s="476" t="s">
        <v>34</v>
      </c>
      <c r="F4269" s="475" t="s">
        <v>34</v>
      </c>
      <c r="G4269" s="364">
        <v>96848</v>
      </c>
      <c r="H4269" s="475" t="s">
        <v>3597</v>
      </c>
      <c r="I4269" s="475" t="s">
        <v>171</v>
      </c>
      <c r="J4269" s="475" t="s">
        <v>140</v>
      </c>
      <c r="K4269" s="365">
        <v>41.1</v>
      </c>
      <c r="L4269" s="475" t="s">
        <v>141</v>
      </c>
      <c r="M4269" s="473"/>
    </row>
    <row r="4270" spans="1:13" ht="13.5">
      <c r="A4270" s="475" t="s">
        <v>5516</v>
      </c>
      <c r="B4270" s="475" t="s">
        <v>5517</v>
      </c>
      <c r="C4270" s="475" t="s">
        <v>5458</v>
      </c>
      <c r="D4270" s="475" t="s">
        <v>5520</v>
      </c>
      <c r="E4270" s="476" t="s">
        <v>34</v>
      </c>
      <c r="F4270" s="475" t="s">
        <v>34</v>
      </c>
      <c r="G4270" s="364">
        <v>96849</v>
      </c>
      <c r="H4270" s="475" t="s">
        <v>3598</v>
      </c>
      <c r="I4270" s="475" t="s">
        <v>171</v>
      </c>
      <c r="J4270" s="475" t="s">
        <v>140</v>
      </c>
      <c r="K4270" s="365">
        <v>14.9</v>
      </c>
      <c r="L4270" s="475" t="s">
        <v>141</v>
      </c>
      <c r="M4270" s="473"/>
    </row>
    <row r="4271" spans="1:13" ht="13.5">
      <c r="A4271" s="475" t="s">
        <v>5516</v>
      </c>
      <c r="B4271" s="475" t="s">
        <v>5517</v>
      </c>
      <c r="C4271" s="475" t="s">
        <v>5458</v>
      </c>
      <c r="D4271" s="475" t="s">
        <v>5520</v>
      </c>
      <c r="E4271" s="476" t="s">
        <v>34</v>
      </c>
      <c r="F4271" s="475" t="s">
        <v>34</v>
      </c>
      <c r="G4271" s="364">
        <v>96850</v>
      </c>
      <c r="H4271" s="475" t="s">
        <v>3599</v>
      </c>
      <c r="I4271" s="475" t="s">
        <v>171</v>
      </c>
      <c r="J4271" s="475" t="s">
        <v>140</v>
      </c>
      <c r="K4271" s="365">
        <v>17.440000000000001</v>
      </c>
      <c r="L4271" s="475" t="s">
        <v>141</v>
      </c>
      <c r="M4271" s="473"/>
    </row>
    <row r="4272" spans="1:13" ht="13.5">
      <c r="A4272" s="475" t="s">
        <v>5516</v>
      </c>
      <c r="B4272" s="475" t="s">
        <v>5517</v>
      </c>
      <c r="C4272" s="475" t="s">
        <v>5458</v>
      </c>
      <c r="D4272" s="475" t="s">
        <v>5520</v>
      </c>
      <c r="E4272" s="476" t="s">
        <v>34</v>
      </c>
      <c r="F4272" s="475" t="s">
        <v>34</v>
      </c>
      <c r="G4272" s="364">
        <v>96851</v>
      </c>
      <c r="H4272" s="475" t="s">
        <v>3600</v>
      </c>
      <c r="I4272" s="475" t="s">
        <v>171</v>
      </c>
      <c r="J4272" s="475" t="s">
        <v>140</v>
      </c>
      <c r="K4272" s="365">
        <v>23.12</v>
      </c>
      <c r="L4272" s="475" t="s">
        <v>141</v>
      </c>
      <c r="M4272" s="473"/>
    </row>
    <row r="4273" spans="1:13" ht="13.5">
      <c r="A4273" s="475" t="s">
        <v>5516</v>
      </c>
      <c r="B4273" s="475" t="s">
        <v>5517</v>
      </c>
      <c r="C4273" s="475" t="s">
        <v>5458</v>
      </c>
      <c r="D4273" s="475" t="s">
        <v>5520</v>
      </c>
      <c r="E4273" s="476" t="s">
        <v>34</v>
      </c>
      <c r="F4273" s="475" t="s">
        <v>34</v>
      </c>
      <c r="G4273" s="364">
        <v>96852</v>
      </c>
      <c r="H4273" s="475" t="s">
        <v>3601</v>
      </c>
      <c r="I4273" s="475" t="s">
        <v>171</v>
      </c>
      <c r="J4273" s="475" t="s">
        <v>140</v>
      </c>
      <c r="K4273" s="365">
        <v>19.829999999999998</v>
      </c>
      <c r="L4273" s="475" t="s">
        <v>141</v>
      </c>
      <c r="M4273" s="473"/>
    </row>
    <row r="4274" spans="1:13" ht="13.5">
      <c r="A4274" s="475" t="s">
        <v>5516</v>
      </c>
      <c r="B4274" s="475" t="s">
        <v>5517</v>
      </c>
      <c r="C4274" s="475" t="s">
        <v>5458</v>
      </c>
      <c r="D4274" s="475" t="s">
        <v>5520</v>
      </c>
      <c r="E4274" s="476" t="s">
        <v>34</v>
      </c>
      <c r="F4274" s="475" t="s">
        <v>34</v>
      </c>
      <c r="G4274" s="364">
        <v>96853</v>
      </c>
      <c r="H4274" s="475" t="s">
        <v>3602</v>
      </c>
      <c r="I4274" s="475" t="s">
        <v>171</v>
      </c>
      <c r="J4274" s="475" t="s">
        <v>140</v>
      </c>
      <c r="K4274" s="365">
        <v>22.31</v>
      </c>
      <c r="L4274" s="475" t="s">
        <v>141</v>
      </c>
      <c r="M4274" s="473"/>
    </row>
    <row r="4275" spans="1:13" ht="13.5">
      <c r="A4275" s="475" t="s">
        <v>5516</v>
      </c>
      <c r="B4275" s="475" t="s">
        <v>5517</v>
      </c>
      <c r="C4275" s="475" t="s">
        <v>5458</v>
      </c>
      <c r="D4275" s="475" t="s">
        <v>5520</v>
      </c>
      <c r="E4275" s="476" t="s">
        <v>34</v>
      </c>
      <c r="F4275" s="475" t="s">
        <v>34</v>
      </c>
      <c r="G4275" s="364">
        <v>96854</v>
      </c>
      <c r="H4275" s="475" t="s">
        <v>3603</v>
      </c>
      <c r="I4275" s="475" t="s">
        <v>171</v>
      </c>
      <c r="J4275" s="475" t="s">
        <v>140</v>
      </c>
      <c r="K4275" s="365">
        <v>26.7</v>
      </c>
      <c r="L4275" s="475" t="s">
        <v>141</v>
      </c>
      <c r="M4275" s="473"/>
    </row>
    <row r="4276" spans="1:13" ht="13.5">
      <c r="A4276" s="475" t="s">
        <v>5516</v>
      </c>
      <c r="B4276" s="475" t="s">
        <v>5517</v>
      </c>
      <c r="C4276" s="475" t="s">
        <v>5458</v>
      </c>
      <c r="D4276" s="475" t="s">
        <v>5520</v>
      </c>
      <c r="E4276" s="476" t="s">
        <v>34</v>
      </c>
      <c r="F4276" s="475" t="s">
        <v>34</v>
      </c>
      <c r="G4276" s="364">
        <v>96855</v>
      </c>
      <c r="H4276" s="475" t="s">
        <v>3604</v>
      </c>
      <c r="I4276" s="475" t="s">
        <v>171</v>
      </c>
      <c r="J4276" s="475" t="s">
        <v>140</v>
      </c>
      <c r="K4276" s="365">
        <v>24.64</v>
      </c>
      <c r="L4276" s="475" t="s">
        <v>141</v>
      </c>
      <c r="M4276" s="473"/>
    </row>
    <row r="4277" spans="1:13" ht="13.5">
      <c r="A4277" s="475" t="s">
        <v>5516</v>
      </c>
      <c r="B4277" s="475" t="s">
        <v>5517</v>
      </c>
      <c r="C4277" s="475" t="s">
        <v>5458</v>
      </c>
      <c r="D4277" s="475" t="s">
        <v>5520</v>
      </c>
      <c r="E4277" s="476" t="s">
        <v>34</v>
      </c>
      <c r="F4277" s="475" t="s">
        <v>34</v>
      </c>
      <c r="G4277" s="364">
        <v>96856</v>
      </c>
      <c r="H4277" s="475" t="s">
        <v>3605</v>
      </c>
      <c r="I4277" s="475" t="s">
        <v>171</v>
      </c>
      <c r="J4277" s="475" t="s">
        <v>140</v>
      </c>
      <c r="K4277" s="365">
        <v>25</v>
      </c>
      <c r="L4277" s="475" t="s">
        <v>141</v>
      </c>
      <c r="M4277" s="473"/>
    </row>
    <row r="4278" spans="1:13" ht="13.5">
      <c r="A4278" s="475" t="s">
        <v>5516</v>
      </c>
      <c r="B4278" s="475" t="s">
        <v>5517</v>
      </c>
      <c r="C4278" s="475" t="s">
        <v>5458</v>
      </c>
      <c r="D4278" s="475" t="s">
        <v>5520</v>
      </c>
      <c r="E4278" s="476" t="s">
        <v>34</v>
      </c>
      <c r="F4278" s="475" t="s">
        <v>34</v>
      </c>
      <c r="G4278" s="364">
        <v>96857</v>
      </c>
      <c r="H4278" s="475" t="s">
        <v>3606</v>
      </c>
      <c r="I4278" s="475" t="s">
        <v>171</v>
      </c>
      <c r="J4278" s="475" t="s">
        <v>140</v>
      </c>
      <c r="K4278" s="365">
        <v>39.86</v>
      </c>
      <c r="L4278" s="475" t="s">
        <v>141</v>
      </c>
      <c r="M4278" s="473"/>
    </row>
    <row r="4279" spans="1:13" ht="13.5">
      <c r="A4279" s="475" t="s">
        <v>5516</v>
      </c>
      <c r="B4279" s="475" t="s">
        <v>5517</v>
      </c>
      <c r="C4279" s="475" t="s">
        <v>5458</v>
      </c>
      <c r="D4279" s="475" t="s">
        <v>5520</v>
      </c>
      <c r="E4279" s="476" t="s">
        <v>34</v>
      </c>
      <c r="F4279" s="475" t="s">
        <v>34</v>
      </c>
      <c r="G4279" s="364">
        <v>96858</v>
      </c>
      <c r="H4279" s="475" t="s">
        <v>3607</v>
      </c>
      <c r="I4279" s="475" t="s">
        <v>171</v>
      </c>
      <c r="J4279" s="475" t="s">
        <v>140</v>
      </c>
      <c r="K4279" s="365">
        <v>40.28</v>
      </c>
      <c r="L4279" s="475" t="s">
        <v>141</v>
      </c>
      <c r="M4279" s="473"/>
    </row>
    <row r="4280" spans="1:13" ht="13.5">
      <c r="A4280" s="475" t="s">
        <v>5516</v>
      </c>
      <c r="B4280" s="475" t="s">
        <v>5517</v>
      </c>
      <c r="C4280" s="475" t="s">
        <v>5458</v>
      </c>
      <c r="D4280" s="475" t="s">
        <v>5520</v>
      </c>
      <c r="E4280" s="476" t="s">
        <v>34</v>
      </c>
      <c r="F4280" s="475" t="s">
        <v>34</v>
      </c>
      <c r="G4280" s="364">
        <v>96859</v>
      </c>
      <c r="H4280" s="475" t="s">
        <v>3608</v>
      </c>
      <c r="I4280" s="475" t="s">
        <v>171</v>
      </c>
      <c r="J4280" s="475" t="s">
        <v>140</v>
      </c>
      <c r="K4280" s="365">
        <v>49.93</v>
      </c>
      <c r="L4280" s="475" t="s">
        <v>141</v>
      </c>
      <c r="M4280" s="473"/>
    </row>
    <row r="4281" spans="1:13" ht="13.5">
      <c r="A4281" s="475" t="s">
        <v>5516</v>
      </c>
      <c r="B4281" s="475" t="s">
        <v>5517</v>
      </c>
      <c r="C4281" s="475" t="s">
        <v>5458</v>
      </c>
      <c r="D4281" s="475" t="s">
        <v>5520</v>
      </c>
      <c r="E4281" s="476" t="s">
        <v>34</v>
      </c>
      <c r="F4281" s="475" t="s">
        <v>34</v>
      </c>
      <c r="G4281" s="364">
        <v>96860</v>
      </c>
      <c r="H4281" s="475" t="s">
        <v>3609</v>
      </c>
      <c r="I4281" s="475" t="s">
        <v>171</v>
      </c>
      <c r="J4281" s="475" t="s">
        <v>140</v>
      </c>
      <c r="K4281" s="365">
        <v>20.07</v>
      </c>
      <c r="L4281" s="475" t="s">
        <v>141</v>
      </c>
      <c r="M4281" s="473"/>
    </row>
    <row r="4282" spans="1:13" ht="13.5">
      <c r="A4282" s="475" t="s">
        <v>5516</v>
      </c>
      <c r="B4282" s="475" t="s">
        <v>5517</v>
      </c>
      <c r="C4282" s="475" t="s">
        <v>5458</v>
      </c>
      <c r="D4282" s="475" t="s">
        <v>5520</v>
      </c>
      <c r="E4282" s="476" t="s">
        <v>34</v>
      </c>
      <c r="F4282" s="475" t="s">
        <v>34</v>
      </c>
      <c r="G4282" s="364">
        <v>96861</v>
      </c>
      <c r="H4282" s="475" t="s">
        <v>3610</v>
      </c>
      <c r="I4282" s="475" t="s">
        <v>171</v>
      </c>
      <c r="J4282" s="475" t="s">
        <v>140</v>
      </c>
      <c r="K4282" s="365">
        <v>21.67</v>
      </c>
      <c r="L4282" s="475" t="s">
        <v>141</v>
      </c>
      <c r="M4282" s="473"/>
    </row>
    <row r="4283" spans="1:13" ht="13.5">
      <c r="A4283" s="475" t="s">
        <v>5516</v>
      </c>
      <c r="B4283" s="475" t="s">
        <v>5517</v>
      </c>
      <c r="C4283" s="475" t="s">
        <v>5458</v>
      </c>
      <c r="D4283" s="475" t="s">
        <v>5520</v>
      </c>
      <c r="E4283" s="476" t="s">
        <v>34</v>
      </c>
      <c r="F4283" s="475" t="s">
        <v>34</v>
      </c>
      <c r="G4283" s="364">
        <v>96862</v>
      </c>
      <c r="H4283" s="475" t="s">
        <v>3611</v>
      </c>
      <c r="I4283" s="475" t="s">
        <v>171</v>
      </c>
      <c r="J4283" s="475" t="s">
        <v>140</v>
      </c>
      <c r="K4283" s="365">
        <v>24.2</v>
      </c>
      <c r="L4283" s="475" t="s">
        <v>141</v>
      </c>
      <c r="M4283" s="473"/>
    </row>
    <row r="4284" spans="1:13" ht="13.5">
      <c r="A4284" s="475" t="s">
        <v>5516</v>
      </c>
      <c r="B4284" s="475" t="s">
        <v>5517</v>
      </c>
      <c r="C4284" s="475" t="s">
        <v>5458</v>
      </c>
      <c r="D4284" s="475" t="s">
        <v>5520</v>
      </c>
      <c r="E4284" s="476" t="s">
        <v>34</v>
      </c>
      <c r="F4284" s="475" t="s">
        <v>34</v>
      </c>
      <c r="G4284" s="364">
        <v>96863</v>
      </c>
      <c r="H4284" s="475" t="s">
        <v>3612</v>
      </c>
      <c r="I4284" s="475" t="s">
        <v>171</v>
      </c>
      <c r="J4284" s="475" t="s">
        <v>140</v>
      </c>
      <c r="K4284" s="365">
        <v>23.93</v>
      </c>
      <c r="L4284" s="475" t="s">
        <v>141</v>
      </c>
      <c r="M4284" s="473"/>
    </row>
    <row r="4285" spans="1:13" ht="13.5">
      <c r="A4285" s="475" t="s">
        <v>5516</v>
      </c>
      <c r="B4285" s="475" t="s">
        <v>5517</v>
      </c>
      <c r="C4285" s="475" t="s">
        <v>5458</v>
      </c>
      <c r="D4285" s="475" t="s">
        <v>5520</v>
      </c>
      <c r="E4285" s="476" t="s">
        <v>34</v>
      </c>
      <c r="F4285" s="475" t="s">
        <v>34</v>
      </c>
      <c r="G4285" s="364">
        <v>96864</v>
      </c>
      <c r="H4285" s="475" t="s">
        <v>3613</v>
      </c>
      <c r="I4285" s="475" t="s">
        <v>171</v>
      </c>
      <c r="J4285" s="475" t="s">
        <v>140</v>
      </c>
      <c r="K4285" s="365">
        <v>37.93</v>
      </c>
      <c r="L4285" s="475" t="s">
        <v>141</v>
      </c>
      <c r="M4285" s="473"/>
    </row>
    <row r="4286" spans="1:13" ht="13.5">
      <c r="A4286" s="475" t="s">
        <v>5516</v>
      </c>
      <c r="B4286" s="475" t="s">
        <v>5517</v>
      </c>
      <c r="C4286" s="475" t="s">
        <v>5458</v>
      </c>
      <c r="D4286" s="475" t="s">
        <v>5520</v>
      </c>
      <c r="E4286" s="476" t="s">
        <v>34</v>
      </c>
      <c r="F4286" s="475" t="s">
        <v>34</v>
      </c>
      <c r="G4286" s="364">
        <v>96865</v>
      </c>
      <c r="H4286" s="475" t="s">
        <v>3614</v>
      </c>
      <c r="I4286" s="475" t="s">
        <v>171</v>
      </c>
      <c r="J4286" s="475" t="s">
        <v>140</v>
      </c>
      <c r="K4286" s="365">
        <v>37.15</v>
      </c>
      <c r="L4286" s="475" t="s">
        <v>141</v>
      </c>
      <c r="M4286" s="473"/>
    </row>
    <row r="4287" spans="1:13" ht="13.5">
      <c r="A4287" s="475" t="s">
        <v>5516</v>
      </c>
      <c r="B4287" s="475" t="s">
        <v>5517</v>
      </c>
      <c r="C4287" s="475" t="s">
        <v>5458</v>
      </c>
      <c r="D4287" s="475" t="s">
        <v>5520</v>
      </c>
      <c r="E4287" s="476" t="s">
        <v>34</v>
      </c>
      <c r="F4287" s="475" t="s">
        <v>34</v>
      </c>
      <c r="G4287" s="364">
        <v>96866</v>
      </c>
      <c r="H4287" s="475" t="s">
        <v>3615</v>
      </c>
      <c r="I4287" s="475" t="s">
        <v>171</v>
      </c>
      <c r="J4287" s="475" t="s">
        <v>140</v>
      </c>
      <c r="K4287" s="365">
        <v>49.88</v>
      </c>
      <c r="L4287" s="475" t="s">
        <v>141</v>
      </c>
      <c r="M4287" s="473"/>
    </row>
    <row r="4288" spans="1:13" ht="13.5">
      <c r="A4288" s="475" t="s">
        <v>5516</v>
      </c>
      <c r="B4288" s="475" t="s">
        <v>5517</v>
      </c>
      <c r="C4288" s="475" t="s">
        <v>5458</v>
      </c>
      <c r="D4288" s="475" t="s">
        <v>5520</v>
      </c>
      <c r="E4288" s="476" t="s">
        <v>34</v>
      </c>
      <c r="F4288" s="475" t="s">
        <v>34</v>
      </c>
      <c r="G4288" s="364">
        <v>96867</v>
      </c>
      <c r="H4288" s="475" t="s">
        <v>3616</v>
      </c>
      <c r="I4288" s="475" t="s">
        <v>171</v>
      </c>
      <c r="J4288" s="475" t="s">
        <v>140</v>
      </c>
      <c r="K4288" s="365">
        <v>57.98</v>
      </c>
      <c r="L4288" s="475" t="s">
        <v>141</v>
      </c>
      <c r="M4288" s="473"/>
    </row>
    <row r="4289" spans="1:13" ht="13.5">
      <c r="A4289" s="475" t="s">
        <v>5516</v>
      </c>
      <c r="B4289" s="475" t="s">
        <v>5517</v>
      </c>
      <c r="C4289" s="475" t="s">
        <v>5458</v>
      </c>
      <c r="D4289" s="475" t="s">
        <v>5520</v>
      </c>
      <c r="E4289" s="476" t="s">
        <v>34</v>
      </c>
      <c r="F4289" s="475" t="s">
        <v>34</v>
      </c>
      <c r="G4289" s="364">
        <v>96868</v>
      </c>
      <c r="H4289" s="475" t="s">
        <v>3617</v>
      </c>
      <c r="I4289" s="475" t="s">
        <v>171</v>
      </c>
      <c r="J4289" s="475" t="s">
        <v>140</v>
      </c>
      <c r="K4289" s="365">
        <v>23.1</v>
      </c>
      <c r="L4289" s="475" t="s">
        <v>141</v>
      </c>
      <c r="M4289" s="473"/>
    </row>
    <row r="4290" spans="1:13" ht="13.5">
      <c r="A4290" s="475" t="s">
        <v>5516</v>
      </c>
      <c r="B4290" s="475" t="s">
        <v>5517</v>
      </c>
      <c r="C4290" s="475" t="s">
        <v>5458</v>
      </c>
      <c r="D4290" s="475" t="s">
        <v>5520</v>
      </c>
      <c r="E4290" s="476" t="s">
        <v>34</v>
      </c>
      <c r="F4290" s="475" t="s">
        <v>34</v>
      </c>
      <c r="G4290" s="364">
        <v>96869</v>
      </c>
      <c r="H4290" s="475" t="s">
        <v>3618</v>
      </c>
      <c r="I4290" s="475" t="s">
        <v>171</v>
      </c>
      <c r="J4290" s="475" t="s">
        <v>140</v>
      </c>
      <c r="K4290" s="365">
        <v>27.6</v>
      </c>
      <c r="L4290" s="475" t="s">
        <v>141</v>
      </c>
      <c r="M4290" s="473"/>
    </row>
    <row r="4291" spans="1:13" ht="13.5">
      <c r="A4291" s="475" t="s">
        <v>5516</v>
      </c>
      <c r="B4291" s="475" t="s">
        <v>5517</v>
      </c>
      <c r="C4291" s="475" t="s">
        <v>5458</v>
      </c>
      <c r="D4291" s="475" t="s">
        <v>5520</v>
      </c>
      <c r="E4291" s="476" t="s">
        <v>34</v>
      </c>
      <c r="F4291" s="475" t="s">
        <v>34</v>
      </c>
      <c r="G4291" s="364">
        <v>96870</v>
      </c>
      <c r="H4291" s="475" t="s">
        <v>3619</v>
      </c>
      <c r="I4291" s="475" t="s">
        <v>171</v>
      </c>
      <c r="J4291" s="475" t="s">
        <v>140</v>
      </c>
      <c r="K4291" s="365">
        <v>43.63</v>
      </c>
      <c r="L4291" s="475" t="s">
        <v>141</v>
      </c>
      <c r="M4291" s="473"/>
    </row>
    <row r="4292" spans="1:13" ht="13.5">
      <c r="A4292" s="475" t="s">
        <v>5516</v>
      </c>
      <c r="B4292" s="475" t="s">
        <v>5517</v>
      </c>
      <c r="C4292" s="475" t="s">
        <v>5458</v>
      </c>
      <c r="D4292" s="475" t="s">
        <v>5520</v>
      </c>
      <c r="E4292" s="476" t="s">
        <v>34</v>
      </c>
      <c r="F4292" s="475" t="s">
        <v>34</v>
      </c>
      <c r="G4292" s="364">
        <v>96871</v>
      </c>
      <c r="H4292" s="475" t="s">
        <v>3620</v>
      </c>
      <c r="I4292" s="475" t="s">
        <v>171</v>
      </c>
      <c r="J4292" s="475" t="s">
        <v>140</v>
      </c>
      <c r="K4292" s="365">
        <v>63.25</v>
      </c>
      <c r="L4292" s="475" t="s">
        <v>141</v>
      </c>
      <c r="M4292" s="473"/>
    </row>
    <row r="4293" spans="1:13" ht="13.5">
      <c r="A4293" s="475" t="s">
        <v>5516</v>
      </c>
      <c r="B4293" s="475" t="s">
        <v>5517</v>
      </c>
      <c r="C4293" s="475" t="s">
        <v>5458</v>
      </c>
      <c r="D4293" s="475" t="s">
        <v>5520</v>
      </c>
      <c r="E4293" s="476" t="s">
        <v>34</v>
      </c>
      <c r="F4293" s="475" t="s">
        <v>34</v>
      </c>
      <c r="G4293" s="364">
        <v>96872</v>
      </c>
      <c r="H4293" s="475" t="s">
        <v>3621</v>
      </c>
      <c r="I4293" s="475" t="s">
        <v>171</v>
      </c>
      <c r="J4293" s="475" t="s">
        <v>140</v>
      </c>
      <c r="K4293" s="365">
        <v>58.94</v>
      </c>
      <c r="L4293" s="475" t="s">
        <v>141</v>
      </c>
      <c r="M4293" s="473"/>
    </row>
    <row r="4294" spans="1:13" ht="13.5">
      <c r="A4294" s="475" t="s">
        <v>5516</v>
      </c>
      <c r="B4294" s="475" t="s">
        <v>5517</v>
      </c>
      <c r="C4294" s="475" t="s">
        <v>5458</v>
      </c>
      <c r="D4294" s="475" t="s">
        <v>5520</v>
      </c>
      <c r="E4294" s="476" t="s">
        <v>34</v>
      </c>
      <c r="F4294" s="475" t="s">
        <v>34</v>
      </c>
      <c r="G4294" s="364">
        <v>96873</v>
      </c>
      <c r="H4294" s="475" t="s">
        <v>3622</v>
      </c>
      <c r="I4294" s="475" t="s">
        <v>171</v>
      </c>
      <c r="J4294" s="475" t="s">
        <v>140</v>
      </c>
      <c r="K4294" s="365">
        <v>67.88</v>
      </c>
      <c r="L4294" s="475" t="s">
        <v>141</v>
      </c>
      <c r="M4294" s="473"/>
    </row>
    <row r="4295" spans="1:13" ht="13.5">
      <c r="A4295" s="475" t="s">
        <v>5516</v>
      </c>
      <c r="B4295" s="475" t="s">
        <v>5517</v>
      </c>
      <c r="C4295" s="475" t="s">
        <v>5458</v>
      </c>
      <c r="D4295" s="475" t="s">
        <v>5520</v>
      </c>
      <c r="E4295" s="476" t="s">
        <v>34</v>
      </c>
      <c r="F4295" s="475" t="s">
        <v>34</v>
      </c>
      <c r="G4295" s="364">
        <v>96874</v>
      </c>
      <c r="H4295" s="475" t="s">
        <v>3623</v>
      </c>
      <c r="I4295" s="475" t="s">
        <v>171</v>
      </c>
      <c r="J4295" s="475" t="s">
        <v>140</v>
      </c>
      <c r="K4295" s="365">
        <v>71.56</v>
      </c>
      <c r="L4295" s="475" t="s">
        <v>141</v>
      </c>
      <c r="M4295" s="473"/>
    </row>
    <row r="4296" spans="1:13" ht="13.5">
      <c r="A4296" s="475" t="s">
        <v>5516</v>
      </c>
      <c r="B4296" s="475" t="s">
        <v>5517</v>
      </c>
      <c r="C4296" s="475" t="s">
        <v>5458</v>
      </c>
      <c r="D4296" s="475" t="s">
        <v>5520</v>
      </c>
      <c r="E4296" s="476" t="s">
        <v>34</v>
      </c>
      <c r="F4296" s="475" t="s">
        <v>34</v>
      </c>
      <c r="G4296" s="364">
        <v>96875</v>
      </c>
      <c r="H4296" s="475" t="s">
        <v>3624</v>
      </c>
      <c r="I4296" s="475" t="s">
        <v>171</v>
      </c>
      <c r="J4296" s="475" t="s">
        <v>140</v>
      </c>
      <c r="K4296" s="365">
        <v>85.94</v>
      </c>
      <c r="L4296" s="475" t="s">
        <v>141</v>
      </c>
      <c r="M4296" s="473"/>
    </row>
    <row r="4297" spans="1:13" ht="13.5">
      <c r="A4297" s="475" t="s">
        <v>5516</v>
      </c>
      <c r="B4297" s="475" t="s">
        <v>5517</v>
      </c>
      <c r="C4297" s="475" t="s">
        <v>5458</v>
      </c>
      <c r="D4297" s="475" t="s">
        <v>5520</v>
      </c>
      <c r="E4297" s="476" t="s">
        <v>34</v>
      </c>
      <c r="F4297" s="475" t="s">
        <v>34</v>
      </c>
      <c r="G4297" s="364">
        <v>96876</v>
      </c>
      <c r="H4297" s="475" t="s">
        <v>3625</v>
      </c>
      <c r="I4297" s="475" t="s">
        <v>171</v>
      </c>
      <c r="J4297" s="475" t="s">
        <v>140</v>
      </c>
      <c r="K4297" s="365">
        <v>150.88</v>
      </c>
      <c r="L4297" s="475" t="s">
        <v>141</v>
      </c>
      <c r="M4297" s="473"/>
    </row>
    <row r="4298" spans="1:13" ht="13.5">
      <c r="A4298" s="475" t="s">
        <v>5516</v>
      </c>
      <c r="B4298" s="475" t="s">
        <v>5517</v>
      </c>
      <c r="C4298" s="475" t="s">
        <v>5458</v>
      </c>
      <c r="D4298" s="475" t="s">
        <v>5520</v>
      </c>
      <c r="E4298" s="476" t="s">
        <v>34</v>
      </c>
      <c r="F4298" s="475" t="s">
        <v>34</v>
      </c>
      <c r="G4298" s="364">
        <v>96877</v>
      </c>
      <c r="H4298" s="475" t="s">
        <v>3626</v>
      </c>
      <c r="I4298" s="475" t="s">
        <v>171</v>
      </c>
      <c r="J4298" s="475" t="s">
        <v>140</v>
      </c>
      <c r="K4298" s="365">
        <v>161.32</v>
      </c>
      <c r="L4298" s="475" t="s">
        <v>141</v>
      </c>
      <c r="M4298" s="473"/>
    </row>
    <row r="4299" spans="1:13" ht="13.5">
      <c r="A4299" s="475" t="s">
        <v>5516</v>
      </c>
      <c r="B4299" s="475" t="s">
        <v>5517</v>
      </c>
      <c r="C4299" s="475" t="s">
        <v>5458</v>
      </c>
      <c r="D4299" s="475" t="s">
        <v>5520</v>
      </c>
      <c r="E4299" s="476" t="s">
        <v>34</v>
      </c>
      <c r="F4299" s="475" t="s">
        <v>34</v>
      </c>
      <c r="G4299" s="364">
        <v>96878</v>
      </c>
      <c r="H4299" s="475" t="s">
        <v>3627</v>
      </c>
      <c r="I4299" s="475" t="s">
        <v>171</v>
      </c>
      <c r="J4299" s="475" t="s">
        <v>140</v>
      </c>
      <c r="K4299" s="365">
        <v>163.27000000000001</v>
      </c>
      <c r="L4299" s="475" t="s">
        <v>141</v>
      </c>
      <c r="M4299" s="473"/>
    </row>
    <row r="4300" spans="1:13" ht="13.5">
      <c r="A4300" s="475" t="s">
        <v>5516</v>
      </c>
      <c r="B4300" s="475" t="s">
        <v>5517</v>
      </c>
      <c r="C4300" s="475" t="s">
        <v>5458</v>
      </c>
      <c r="D4300" s="475" t="s">
        <v>5520</v>
      </c>
      <c r="E4300" s="476" t="s">
        <v>34</v>
      </c>
      <c r="F4300" s="475" t="s">
        <v>34</v>
      </c>
      <c r="G4300" s="364">
        <v>96879</v>
      </c>
      <c r="H4300" s="475" t="s">
        <v>3628</v>
      </c>
      <c r="I4300" s="475" t="s">
        <v>171</v>
      </c>
      <c r="J4300" s="475" t="s">
        <v>140</v>
      </c>
      <c r="K4300" s="365">
        <v>163.88</v>
      </c>
      <c r="L4300" s="475" t="s">
        <v>141</v>
      </c>
      <c r="M4300" s="473"/>
    </row>
    <row r="4301" spans="1:13" ht="13.5">
      <c r="A4301" s="475" t="s">
        <v>5516</v>
      </c>
      <c r="B4301" s="475" t="s">
        <v>5517</v>
      </c>
      <c r="C4301" s="475" t="s">
        <v>5458</v>
      </c>
      <c r="D4301" s="475" t="s">
        <v>5520</v>
      </c>
      <c r="E4301" s="476" t="s">
        <v>34</v>
      </c>
      <c r="F4301" s="475" t="s">
        <v>34</v>
      </c>
      <c r="G4301" s="364">
        <v>96880</v>
      </c>
      <c r="H4301" s="475" t="s">
        <v>3629</v>
      </c>
      <c r="I4301" s="475" t="s">
        <v>171</v>
      </c>
      <c r="J4301" s="475" t="s">
        <v>140</v>
      </c>
      <c r="K4301" s="365">
        <v>187.25</v>
      </c>
      <c r="L4301" s="475" t="s">
        <v>141</v>
      </c>
      <c r="M4301" s="473"/>
    </row>
    <row r="4302" spans="1:13" ht="13.5">
      <c r="A4302" s="475" t="s">
        <v>5516</v>
      </c>
      <c r="B4302" s="475" t="s">
        <v>5517</v>
      </c>
      <c r="C4302" s="475" t="s">
        <v>5458</v>
      </c>
      <c r="D4302" s="475" t="s">
        <v>5520</v>
      </c>
      <c r="E4302" s="476" t="s">
        <v>34</v>
      </c>
      <c r="F4302" s="475" t="s">
        <v>34</v>
      </c>
      <c r="G4302" s="364">
        <v>96881</v>
      </c>
      <c r="H4302" s="475" t="s">
        <v>3630</v>
      </c>
      <c r="I4302" s="475" t="s">
        <v>171</v>
      </c>
      <c r="J4302" s="475" t="s">
        <v>140</v>
      </c>
      <c r="K4302" s="365">
        <v>197.84</v>
      </c>
      <c r="L4302" s="475" t="s">
        <v>141</v>
      </c>
      <c r="M4302" s="473"/>
    </row>
    <row r="4303" spans="1:13" ht="13.5">
      <c r="A4303" s="475" t="s">
        <v>5516</v>
      </c>
      <c r="B4303" s="475" t="s">
        <v>5517</v>
      </c>
      <c r="C4303" s="475" t="s">
        <v>5458</v>
      </c>
      <c r="D4303" s="475" t="s">
        <v>5520</v>
      </c>
      <c r="E4303" s="476" t="s">
        <v>34</v>
      </c>
      <c r="F4303" s="475" t="s">
        <v>34</v>
      </c>
      <c r="G4303" s="364">
        <v>97425</v>
      </c>
      <c r="H4303" s="475" t="s">
        <v>6552</v>
      </c>
      <c r="I4303" s="475" t="s">
        <v>171</v>
      </c>
      <c r="J4303" s="475" t="s">
        <v>337</v>
      </c>
      <c r="K4303" s="365">
        <v>19.3</v>
      </c>
      <c r="L4303" s="475" t="s">
        <v>141</v>
      </c>
      <c r="M4303" s="473"/>
    </row>
    <row r="4304" spans="1:13" ht="13.5">
      <c r="A4304" s="475" t="s">
        <v>5516</v>
      </c>
      <c r="B4304" s="475" t="s">
        <v>5517</v>
      </c>
      <c r="C4304" s="475" t="s">
        <v>5458</v>
      </c>
      <c r="D4304" s="475" t="s">
        <v>5520</v>
      </c>
      <c r="E4304" s="476" t="s">
        <v>34</v>
      </c>
      <c r="F4304" s="475" t="s">
        <v>34</v>
      </c>
      <c r="G4304" s="364">
        <v>97426</v>
      </c>
      <c r="H4304" s="475" t="s">
        <v>6553</v>
      </c>
      <c r="I4304" s="475" t="s">
        <v>171</v>
      </c>
      <c r="J4304" s="475" t="s">
        <v>337</v>
      </c>
      <c r="K4304" s="365">
        <v>23.06</v>
      </c>
      <c r="L4304" s="475" t="s">
        <v>141</v>
      </c>
      <c r="M4304" s="473"/>
    </row>
    <row r="4305" spans="1:13" ht="13.5">
      <c r="A4305" s="475" t="s">
        <v>5516</v>
      </c>
      <c r="B4305" s="475" t="s">
        <v>5517</v>
      </c>
      <c r="C4305" s="475" t="s">
        <v>5458</v>
      </c>
      <c r="D4305" s="475" t="s">
        <v>5520</v>
      </c>
      <c r="E4305" s="476" t="s">
        <v>34</v>
      </c>
      <c r="F4305" s="475" t="s">
        <v>34</v>
      </c>
      <c r="G4305" s="364">
        <v>97427</v>
      </c>
      <c r="H4305" s="475" t="s">
        <v>6554</v>
      </c>
      <c r="I4305" s="475" t="s">
        <v>171</v>
      </c>
      <c r="J4305" s="475" t="s">
        <v>337</v>
      </c>
      <c r="K4305" s="365">
        <v>25.89</v>
      </c>
      <c r="L4305" s="475" t="s">
        <v>141</v>
      </c>
      <c r="M4305" s="473"/>
    </row>
    <row r="4306" spans="1:13" ht="13.5">
      <c r="A4306" s="475" t="s">
        <v>5516</v>
      </c>
      <c r="B4306" s="475" t="s">
        <v>5517</v>
      </c>
      <c r="C4306" s="475" t="s">
        <v>5458</v>
      </c>
      <c r="D4306" s="475" t="s">
        <v>5520</v>
      </c>
      <c r="E4306" s="476" t="s">
        <v>34</v>
      </c>
      <c r="F4306" s="475" t="s">
        <v>34</v>
      </c>
      <c r="G4306" s="364">
        <v>97428</v>
      </c>
      <c r="H4306" s="475" t="s">
        <v>6555</v>
      </c>
      <c r="I4306" s="475" t="s">
        <v>171</v>
      </c>
      <c r="J4306" s="475" t="s">
        <v>337</v>
      </c>
      <c r="K4306" s="365">
        <v>32.479999999999997</v>
      </c>
      <c r="L4306" s="475" t="s">
        <v>141</v>
      </c>
      <c r="M4306" s="473"/>
    </row>
    <row r="4307" spans="1:13" ht="13.5">
      <c r="A4307" s="475" t="s">
        <v>5516</v>
      </c>
      <c r="B4307" s="475" t="s">
        <v>5517</v>
      </c>
      <c r="C4307" s="475" t="s">
        <v>5458</v>
      </c>
      <c r="D4307" s="475" t="s">
        <v>5520</v>
      </c>
      <c r="E4307" s="476" t="s">
        <v>34</v>
      </c>
      <c r="F4307" s="475" t="s">
        <v>34</v>
      </c>
      <c r="G4307" s="364">
        <v>97429</v>
      </c>
      <c r="H4307" s="475" t="s">
        <v>6556</v>
      </c>
      <c r="I4307" s="475" t="s">
        <v>171</v>
      </c>
      <c r="J4307" s="475" t="s">
        <v>337</v>
      </c>
      <c r="K4307" s="365">
        <v>38.54</v>
      </c>
      <c r="L4307" s="475" t="s">
        <v>141</v>
      </c>
      <c r="M4307" s="473"/>
    </row>
    <row r="4308" spans="1:13" ht="13.5">
      <c r="A4308" s="475" t="s">
        <v>5516</v>
      </c>
      <c r="B4308" s="475" t="s">
        <v>5517</v>
      </c>
      <c r="C4308" s="475" t="s">
        <v>5458</v>
      </c>
      <c r="D4308" s="475" t="s">
        <v>5520</v>
      </c>
      <c r="E4308" s="476" t="s">
        <v>34</v>
      </c>
      <c r="F4308" s="475" t="s">
        <v>34</v>
      </c>
      <c r="G4308" s="364">
        <v>97430</v>
      </c>
      <c r="H4308" s="475" t="s">
        <v>6557</v>
      </c>
      <c r="I4308" s="475" t="s">
        <v>171</v>
      </c>
      <c r="J4308" s="475" t="s">
        <v>140</v>
      </c>
      <c r="K4308" s="365">
        <v>25.77</v>
      </c>
      <c r="L4308" s="475" t="s">
        <v>141</v>
      </c>
      <c r="M4308" s="473"/>
    </row>
    <row r="4309" spans="1:13" ht="13.5">
      <c r="A4309" s="475" t="s">
        <v>5516</v>
      </c>
      <c r="B4309" s="475" t="s">
        <v>5517</v>
      </c>
      <c r="C4309" s="475" t="s">
        <v>5458</v>
      </c>
      <c r="D4309" s="475" t="s">
        <v>5520</v>
      </c>
      <c r="E4309" s="476" t="s">
        <v>34</v>
      </c>
      <c r="F4309" s="475" t="s">
        <v>34</v>
      </c>
      <c r="G4309" s="364">
        <v>97431</v>
      </c>
      <c r="H4309" s="475" t="s">
        <v>6558</v>
      </c>
      <c r="I4309" s="475" t="s">
        <v>171</v>
      </c>
      <c r="J4309" s="475" t="s">
        <v>140</v>
      </c>
      <c r="K4309" s="365">
        <v>28.82</v>
      </c>
      <c r="L4309" s="475" t="s">
        <v>141</v>
      </c>
      <c r="M4309" s="473"/>
    </row>
    <row r="4310" spans="1:13" ht="13.5">
      <c r="A4310" s="475" t="s">
        <v>5516</v>
      </c>
      <c r="B4310" s="475" t="s">
        <v>5517</v>
      </c>
      <c r="C4310" s="475" t="s">
        <v>5458</v>
      </c>
      <c r="D4310" s="475" t="s">
        <v>5520</v>
      </c>
      <c r="E4310" s="476" t="s">
        <v>34</v>
      </c>
      <c r="F4310" s="475" t="s">
        <v>34</v>
      </c>
      <c r="G4310" s="364">
        <v>97432</v>
      </c>
      <c r="H4310" s="475" t="s">
        <v>6559</v>
      </c>
      <c r="I4310" s="475" t="s">
        <v>171</v>
      </c>
      <c r="J4310" s="475" t="s">
        <v>140</v>
      </c>
      <c r="K4310" s="365">
        <v>32.54</v>
      </c>
      <c r="L4310" s="475" t="s">
        <v>141</v>
      </c>
      <c r="M4310" s="473"/>
    </row>
    <row r="4311" spans="1:13" ht="13.5">
      <c r="A4311" s="475" t="s">
        <v>5516</v>
      </c>
      <c r="B4311" s="475" t="s">
        <v>5517</v>
      </c>
      <c r="C4311" s="475" t="s">
        <v>5458</v>
      </c>
      <c r="D4311" s="475" t="s">
        <v>5520</v>
      </c>
      <c r="E4311" s="476" t="s">
        <v>34</v>
      </c>
      <c r="F4311" s="475" t="s">
        <v>34</v>
      </c>
      <c r="G4311" s="364">
        <v>97433</v>
      </c>
      <c r="H4311" s="475" t="s">
        <v>7736</v>
      </c>
      <c r="I4311" s="475" t="s">
        <v>171</v>
      </c>
      <c r="J4311" s="475" t="s">
        <v>140</v>
      </c>
      <c r="K4311" s="365">
        <v>57.41</v>
      </c>
      <c r="L4311" s="475" t="s">
        <v>141</v>
      </c>
      <c r="M4311" s="473"/>
    </row>
    <row r="4312" spans="1:13" ht="13.5">
      <c r="A4312" s="475" t="s">
        <v>5516</v>
      </c>
      <c r="B4312" s="475" t="s">
        <v>5517</v>
      </c>
      <c r="C4312" s="475" t="s">
        <v>5458</v>
      </c>
      <c r="D4312" s="475" t="s">
        <v>5520</v>
      </c>
      <c r="E4312" s="476" t="s">
        <v>34</v>
      </c>
      <c r="F4312" s="475" t="s">
        <v>34</v>
      </c>
      <c r="G4312" s="364">
        <v>97434</v>
      </c>
      <c r="H4312" s="475" t="s">
        <v>6560</v>
      </c>
      <c r="I4312" s="475" t="s">
        <v>171</v>
      </c>
      <c r="J4312" s="475" t="s">
        <v>140</v>
      </c>
      <c r="K4312" s="365">
        <v>58.43</v>
      </c>
      <c r="L4312" s="475" t="s">
        <v>141</v>
      </c>
      <c r="M4312" s="473"/>
    </row>
    <row r="4313" spans="1:13" ht="13.5">
      <c r="A4313" s="475" t="s">
        <v>5516</v>
      </c>
      <c r="B4313" s="475" t="s">
        <v>5517</v>
      </c>
      <c r="C4313" s="475" t="s">
        <v>5458</v>
      </c>
      <c r="D4313" s="475" t="s">
        <v>5520</v>
      </c>
      <c r="E4313" s="476" t="s">
        <v>34</v>
      </c>
      <c r="F4313" s="475" t="s">
        <v>34</v>
      </c>
      <c r="G4313" s="364">
        <v>97435</v>
      </c>
      <c r="H4313" s="475" t="s">
        <v>6561</v>
      </c>
      <c r="I4313" s="475" t="s">
        <v>171</v>
      </c>
      <c r="J4313" s="475" t="s">
        <v>140</v>
      </c>
      <c r="K4313" s="365">
        <v>67.11</v>
      </c>
      <c r="L4313" s="475" t="s">
        <v>141</v>
      </c>
      <c r="M4313" s="473"/>
    </row>
    <row r="4314" spans="1:13" ht="13.5">
      <c r="A4314" s="475" t="s">
        <v>5516</v>
      </c>
      <c r="B4314" s="475" t="s">
        <v>5517</v>
      </c>
      <c r="C4314" s="475" t="s">
        <v>5458</v>
      </c>
      <c r="D4314" s="475" t="s">
        <v>5520</v>
      </c>
      <c r="E4314" s="476" t="s">
        <v>34</v>
      </c>
      <c r="F4314" s="475" t="s">
        <v>34</v>
      </c>
      <c r="G4314" s="364">
        <v>97436</v>
      </c>
      <c r="H4314" s="475" t="s">
        <v>7737</v>
      </c>
      <c r="I4314" s="475" t="s">
        <v>171</v>
      </c>
      <c r="J4314" s="475" t="s">
        <v>140</v>
      </c>
      <c r="K4314" s="365">
        <v>69.08</v>
      </c>
      <c r="L4314" s="475" t="s">
        <v>141</v>
      </c>
      <c r="M4314" s="473"/>
    </row>
    <row r="4315" spans="1:13" ht="13.5">
      <c r="A4315" s="475" t="s">
        <v>5516</v>
      </c>
      <c r="B4315" s="475" t="s">
        <v>5517</v>
      </c>
      <c r="C4315" s="475" t="s">
        <v>5458</v>
      </c>
      <c r="D4315" s="475" t="s">
        <v>5520</v>
      </c>
      <c r="E4315" s="476" t="s">
        <v>34</v>
      </c>
      <c r="F4315" s="475" t="s">
        <v>34</v>
      </c>
      <c r="G4315" s="364">
        <v>97437</v>
      </c>
      <c r="H4315" s="475" t="s">
        <v>6562</v>
      </c>
      <c r="I4315" s="475" t="s">
        <v>171</v>
      </c>
      <c r="J4315" s="475" t="s">
        <v>140</v>
      </c>
      <c r="K4315" s="365">
        <v>76.8</v>
      </c>
      <c r="L4315" s="475" t="s">
        <v>141</v>
      </c>
      <c r="M4315" s="473"/>
    </row>
    <row r="4316" spans="1:13" ht="13.5">
      <c r="A4316" s="475" t="s">
        <v>5516</v>
      </c>
      <c r="B4316" s="475" t="s">
        <v>5517</v>
      </c>
      <c r="C4316" s="475" t="s">
        <v>5458</v>
      </c>
      <c r="D4316" s="475" t="s">
        <v>5520</v>
      </c>
      <c r="E4316" s="476" t="s">
        <v>34</v>
      </c>
      <c r="F4316" s="475" t="s">
        <v>34</v>
      </c>
      <c r="G4316" s="364">
        <v>97438</v>
      </c>
      <c r="H4316" s="475" t="s">
        <v>6563</v>
      </c>
      <c r="I4316" s="475" t="s">
        <v>171</v>
      </c>
      <c r="J4316" s="475" t="s">
        <v>140</v>
      </c>
      <c r="K4316" s="365">
        <v>78.91</v>
      </c>
      <c r="L4316" s="475" t="s">
        <v>141</v>
      </c>
      <c r="M4316" s="473"/>
    </row>
    <row r="4317" spans="1:13" ht="13.5">
      <c r="A4317" s="475" t="s">
        <v>5516</v>
      </c>
      <c r="B4317" s="475" t="s">
        <v>5517</v>
      </c>
      <c r="C4317" s="475" t="s">
        <v>5458</v>
      </c>
      <c r="D4317" s="475" t="s">
        <v>5520</v>
      </c>
      <c r="E4317" s="476" t="s">
        <v>34</v>
      </c>
      <c r="F4317" s="475" t="s">
        <v>34</v>
      </c>
      <c r="G4317" s="364">
        <v>97439</v>
      </c>
      <c r="H4317" s="475" t="s">
        <v>6564</v>
      </c>
      <c r="I4317" s="475" t="s">
        <v>171</v>
      </c>
      <c r="J4317" s="475" t="s">
        <v>140</v>
      </c>
      <c r="K4317" s="365">
        <v>86.38</v>
      </c>
      <c r="L4317" s="475" t="s">
        <v>141</v>
      </c>
      <c r="M4317" s="473"/>
    </row>
    <row r="4318" spans="1:13" ht="13.5">
      <c r="A4318" s="475" t="s">
        <v>5516</v>
      </c>
      <c r="B4318" s="475" t="s">
        <v>5517</v>
      </c>
      <c r="C4318" s="475" t="s">
        <v>5458</v>
      </c>
      <c r="D4318" s="475" t="s">
        <v>5520</v>
      </c>
      <c r="E4318" s="476" t="s">
        <v>34</v>
      </c>
      <c r="F4318" s="475" t="s">
        <v>34</v>
      </c>
      <c r="G4318" s="364">
        <v>97440</v>
      </c>
      <c r="H4318" s="475" t="s">
        <v>6565</v>
      </c>
      <c r="I4318" s="475" t="s">
        <v>171</v>
      </c>
      <c r="J4318" s="475" t="s">
        <v>140</v>
      </c>
      <c r="K4318" s="365">
        <v>103.4</v>
      </c>
      <c r="L4318" s="475" t="s">
        <v>141</v>
      </c>
      <c r="M4318" s="473"/>
    </row>
    <row r="4319" spans="1:13" ht="13.5">
      <c r="A4319" s="475" t="s">
        <v>5516</v>
      </c>
      <c r="B4319" s="475" t="s">
        <v>5517</v>
      </c>
      <c r="C4319" s="475" t="s">
        <v>5458</v>
      </c>
      <c r="D4319" s="475" t="s">
        <v>5520</v>
      </c>
      <c r="E4319" s="476" t="s">
        <v>34</v>
      </c>
      <c r="F4319" s="475" t="s">
        <v>34</v>
      </c>
      <c r="G4319" s="364">
        <v>97442</v>
      </c>
      <c r="H4319" s="475" t="s">
        <v>6566</v>
      </c>
      <c r="I4319" s="475" t="s">
        <v>171</v>
      </c>
      <c r="J4319" s="475" t="s">
        <v>140</v>
      </c>
      <c r="K4319" s="365">
        <v>114.28</v>
      </c>
      <c r="L4319" s="475" t="s">
        <v>141</v>
      </c>
      <c r="M4319" s="473"/>
    </row>
    <row r="4320" spans="1:13" ht="13.5">
      <c r="A4320" s="475" t="s">
        <v>5516</v>
      </c>
      <c r="B4320" s="475" t="s">
        <v>5517</v>
      </c>
      <c r="C4320" s="475" t="s">
        <v>5458</v>
      </c>
      <c r="D4320" s="475" t="s">
        <v>5520</v>
      </c>
      <c r="E4320" s="476" t="s">
        <v>34</v>
      </c>
      <c r="F4320" s="475" t="s">
        <v>34</v>
      </c>
      <c r="G4320" s="364">
        <v>97443</v>
      </c>
      <c r="H4320" s="475" t="s">
        <v>6567</v>
      </c>
      <c r="I4320" s="475" t="s">
        <v>171</v>
      </c>
      <c r="J4320" s="475" t="s">
        <v>140</v>
      </c>
      <c r="K4320" s="365">
        <v>62.71</v>
      </c>
      <c r="L4320" s="475" t="s">
        <v>141</v>
      </c>
      <c r="M4320" s="473"/>
    </row>
    <row r="4321" spans="1:13" ht="13.5">
      <c r="A4321" s="475" t="s">
        <v>5516</v>
      </c>
      <c r="B4321" s="475" t="s">
        <v>5517</v>
      </c>
      <c r="C4321" s="475" t="s">
        <v>5458</v>
      </c>
      <c r="D4321" s="475" t="s">
        <v>5520</v>
      </c>
      <c r="E4321" s="476" t="s">
        <v>34</v>
      </c>
      <c r="F4321" s="475" t="s">
        <v>34</v>
      </c>
      <c r="G4321" s="364">
        <v>97444</v>
      </c>
      <c r="H4321" s="475" t="s">
        <v>7738</v>
      </c>
      <c r="I4321" s="475" t="s">
        <v>171</v>
      </c>
      <c r="J4321" s="475" t="s">
        <v>140</v>
      </c>
      <c r="K4321" s="365">
        <v>72.52</v>
      </c>
      <c r="L4321" s="475" t="s">
        <v>141</v>
      </c>
      <c r="M4321" s="473"/>
    </row>
    <row r="4322" spans="1:13" ht="13.5">
      <c r="A4322" s="475" t="s">
        <v>5516</v>
      </c>
      <c r="B4322" s="475" t="s">
        <v>5517</v>
      </c>
      <c r="C4322" s="475" t="s">
        <v>5458</v>
      </c>
      <c r="D4322" s="475" t="s">
        <v>5520</v>
      </c>
      <c r="E4322" s="476" t="s">
        <v>34</v>
      </c>
      <c r="F4322" s="475" t="s">
        <v>34</v>
      </c>
      <c r="G4322" s="364">
        <v>97446</v>
      </c>
      <c r="H4322" s="475" t="s">
        <v>6568</v>
      </c>
      <c r="I4322" s="475" t="s">
        <v>171</v>
      </c>
      <c r="J4322" s="475" t="s">
        <v>140</v>
      </c>
      <c r="K4322" s="365">
        <v>120.92</v>
      </c>
      <c r="L4322" s="475" t="s">
        <v>141</v>
      </c>
      <c r="M4322" s="473"/>
    </row>
    <row r="4323" spans="1:13" ht="13.5">
      <c r="A4323" s="475" t="s">
        <v>5516</v>
      </c>
      <c r="B4323" s="475" t="s">
        <v>5517</v>
      </c>
      <c r="C4323" s="475" t="s">
        <v>5458</v>
      </c>
      <c r="D4323" s="475" t="s">
        <v>5520</v>
      </c>
      <c r="E4323" s="476" t="s">
        <v>34</v>
      </c>
      <c r="F4323" s="475" t="s">
        <v>34</v>
      </c>
      <c r="G4323" s="364">
        <v>97447</v>
      </c>
      <c r="H4323" s="475" t="s">
        <v>6569</v>
      </c>
      <c r="I4323" s="475" t="s">
        <v>171</v>
      </c>
      <c r="J4323" s="475" t="s">
        <v>140</v>
      </c>
      <c r="K4323" s="365">
        <v>120.92</v>
      </c>
      <c r="L4323" s="475" t="s">
        <v>141</v>
      </c>
      <c r="M4323" s="473"/>
    </row>
    <row r="4324" spans="1:13" ht="13.5">
      <c r="A4324" s="475" t="s">
        <v>5516</v>
      </c>
      <c r="B4324" s="475" t="s">
        <v>5517</v>
      </c>
      <c r="C4324" s="475" t="s">
        <v>5458</v>
      </c>
      <c r="D4324" s="475" t="s">
        <v>5520</v>
      </c>
      <c r="E4324" s="476" t="s">
        <v>34</v>
      </c>
      <c r="F4324" s="475" t="s">
        <v>34</v>
      </c>
      <c r="G4324" s="364">
        <v>97449</v>
      </c>
      <c r="H4324" s="475" t="s">
        <v>7739</v>
      </c>
      <c r="I4324" s="475" t="s">
        <v>171</v>
      </c>
      <c r="J4324" s="475" t="s">
        <v>140</v>
      </c>
      <c r="K4324" s="365">
        <v>129.05000000000001</v>
      </c>
      <c r="L4324" s="475" t="s">
        <v>141</v>
      </c>
      <c r="M4324" s="473"/>
    </row>
    <row r="4325" spans="1:13" ht="13.5">
      <c r="A4325" s="475" t="s">
        <v>5516</v>
      </c>
      <c r="B4325" s="475" t="s">
        <v>5517</v>
      </c>
      <c r="C4325" s="475" t="s">
        <v>5458</v>
      </c>
      <c r="D4325" s="475" t="s">
        <v>5520</v>
      </c>
      <c r="E4325" s="476" t="s">
        <v>34</v>
      </c>
      <c r="F4325" s="475" t="s">
        <v>34</v>
      </c>
      <c r="G4325" s="364">
        <v>97450</v>
      </c>
      <c r="H4325" s="475" t="s">
        <v>6570</v>
      </c>
      <c r="I4325" s="475" t="s">
        <v>171</v>
      </c>
      <c r="J4325" s="475" t="s">
        <v>140</v>
      </c>
      <c r="K4325" s="365">
        <v>155.75</v>
      </c>
      <c r="L4325" s="475" t="s">
        <v>141</v>
      </c>
      <c r="M4325" s="473"/>
    </row>
    <row r="4326" spans="1:13" ht="13.5">
      <c r="A4326" s="475" t="s">
        <v>5516</v>
      </c>
      <c r="B4326" s="475" t="s">
        <v>5517</v>
      </c>
      <c r="C4326" s="475" t="s">
        <v>5458</v>
      </c>
      <c r="D4326" s="475" t="s">
        <v>5520</v>
      </c>
      <c r="E4326" s="476" t="s">
        <v>34</v>
      </c>
      <c r="F4326" s="475" t="s">
        <v>34</v>
      </c>
      <c r="G4326" s="364">
        <v>97452</v>
      </c>
      <c r="H4326" s="475" t="s">
        <v>7740</v>
      </c>
      <c r="I4326" s="475" t="s">
        <v>171</v>
      </c>
      <c r="J4326" s="475" t="s">
        <v>140</v>
      </c>
      <c r="K4326" s="365">
        <v>102.09</v>
      </c>
      <c r="L4326" s="475" t="s">
        <v>141</v>
      </c>
      <c r="M4326" s="473"/>
    </row>
    <row r="4327" spans="1:13" ht="13.5">
      <c r="A4327" s="475" t="s">
        <v>5516</v>
      </c>
      <c r="B4327" s="475" t="s">
        <v>5517</v>
      </c>
      <c r="C4327" s="475" t="s">
        <v>5458</v>
      </c>
      <c r="D4327" s="475" t="s">
        <v>5520</v>
      </c>
      <c r="E4327" s="476" t="s">
        <v>34</v>
      </c>
      <c r="F4327" s="475" t="s">
        <v>34</v>
      </c>
      <c r="G4327" s="364">
        <v>97453</v>
      </c>
      <c r="H4327" s="475" t="s">
        <v>7741</v>
      </c>
      <c r="I4327" s="475" t="s">
        <v>171</v>
      </c>
      <c r="J4327" s="475" t="s">
        <v>140</v>
      </c>
      <c r="K4327" s="365">
        <v>107.69</v>
      </c>
      <c r="L4327" s="475" t="s">
        <v>141</v>
      </c>
      <c r="M4327" s="473"/>
    </row>
    <row r="4328" spans="1:13" ht="13.5">
      <c r="A4328" s="475" t="s">
        <v>5516</v>
      </c>
      <c r="B4328" s="475" t="s">
        <v>5517</v>
      </c>
      <c r="C4328" s="475" t="s">
        <v>5458</v>
      </c>
      <c r="D4328" s="475" t="s">
        <v>5520</v>
      </c>
      <c r="E4328" s="476" t="s">
        <v>34</v>
      </c>
      <c r="F4328" s="475" t="s">
        <v>34</v>
      </c>
      <c r="G4328" s="364">
        <v>97454</v>
      </c>
      <c r="H4328" s="475" t="s">
        <v>7742</v>
      </c>
      <c r="I4328" s="475" t="s">
        <v>171</v>
      </c>
      <c r="J4328" s="475" t="s">
        <v>140</v>
      </c>
      <c r="K4328" s="365">
        <v>167.22</v>
      </c>
      <c r="L4328" s="475" t="s">
        <v>141</v>
      </c>
      <c r="M4328" s="473"/>
    </row>
    <row r="4329" spans="1:13" ht="13.5">
      <c r="A4329" s="475" t="s">
        <v>5516</v>
      </c>
      <c r="B4329" s="475" t="s">
        <v>5517</v>
      </c>
      <c r="C4329" s="475" t="s">
        <v>5458</v>
      </c>
      <c r="D4329" s="475" t="s">
        <v>5520</v>
      </c>
      <c r="E4329" s="476" t="s">
        <v>34</v>
      </c>
      <c r="F4329" s="475" t="s">
        <v>34</v>
      </c>
      <c r="G4329" s="364">
        <v>97455</v>
      </c>
      <c r="H4329" s="475" t="s">
        <v>7743</v>
      </c>
      <c r="I4329" s="475" t="s">
        <v>171</v>
      </c>
      <c r="J4329" s="475" t="s">
        <v>140</v>
      </c>
      <c r="K4329" s="365">
        <v>176.18</v>
      </c>
      <c r="L4329" s="475" t="s">
        <v>141</v>
      </c>
      <c r="M4329" s="473"/>
    </row>
    <row r="4330" spans="1:13" ht="13.5">
      <c r="A4330" s="475" t="s">
        <v>5516</v>
      </c>
      <c r="B4330" s="475" t="s">
        <v>5517</v>
      </c>
      <c r="C4330" s="475" t="s">
        <v>5458</v>
      </c>
      <c r="D4330" s="475" t="s">
        <v>5520</v>
      </c>
      <c r="E4330" s="476" t="s">
        <v>34</v>
      </c>
      <c r="F4330" s="475" t="s">
        <v>34</v>
      </c>
      <c r="G4330" s="364">
        <v>97456</v>
      </c>
      <c r="H4330" s="475" t="s">
        <v>7744</v>
      </c>
      <c r="I4330" s="475" t="s">
        <v>171</v>
      </c>
      <c r="J4330" s="475" t="s">
        <v>140</v>
      </c>
      <c r="K4330" s="365">
        <v>364.4</v>
      </c>
      <c r="L4330" s="475" t="s">
        <v>141</v>
      </c>
      <c r="M4330" s="473"/>
    </row>
    <row r="4331" spans="1:13" ht="13.5">
      <c r="A4331" s="475" t="s">
        <v>5516</v>
      </c>
      <c r="B4331" s="475" t="s">
        <v>5517</v>
      </c>
      <c r="C4331" s="475" t="s">
        <v>5458</v>
      </c>
      <c r="D4331" s="475" t="s">
        <v>5520</v>
      </c>
      <c r="E4331" s="476" t="s">
        <v>34</v>
      </c>
      <c r="F4331" s="475" t="s">
        <v>34</v>
      </c>
      <c r="G4331" s="364">
        <v>97457</v>
      </c>
      <c r="H4331" s="475" t="s">
        <v>7745</v>
      </c>
      <c r="I4331" s="475" t="s">
        <v>171</v>
      </c>
      <c r="J4331" s="475" t="s">
        <v>140</v>
      </c>
      <c r="K4331" s="365">
        <v>324.23</v>
      </c>
      <c r="L4331" s="475" t="s">
        <v>141</v>
      </c>
      <c r="M4331" s="473"/>
    </row>
    <row r="4332" spans="1:13" ht="13.5">
      <c r="A4332" s="475" t="s">
        <v>5516</v>
      </c>
      <c r="B4332" s="475" t="s">
        <v>5517</v>
      </c>
      <c r="C4332" s="475" t="s">
        <v>5458</v>
      </c>
      <c r="D4332" s="475" t="s">
        <v>5520</v>
      </c>
      <c r="E4332" s="476" t="s">
        <v>34</v>
      </c>
      <c r="F4332" s="475" t="s">
        <v>34</v>
      </c>
      <c r="G4332" s="364">
        <v>97458</v>
      </c>
      <c r="H4332" s="475" t="s">
        <v>6571</v>
      </c>
      <c r="I4332" s="475" t="s">
        <v>171</v>
      </c>
      <c r="J4332" s="475" t="s">
        <v>140</v>
      </c>
      <c r="K4332" s="365">
        <v>158.63999999999999</v>
      </c>
      <c r="L4332" s="475" t="s">
        <v>141</v>
      </c>
      <c r="M4332" s="473"/>
    </row>
    <row r="4333" spans="1:13" ht="13.5">
      <c r="A4333" s="475" t="s">
        <v>5516</v>
      </c>
      <c r="B4333" s="475" t="s">
        <v>5517</v>
      </c>
      <c r="C4333" s="475" t="s">
        <v>5458</v>
      </c>
      <c r="D4333" s="475" t="s">
        <v>5520</v>
      </c>
      <c r="E4333" s="476" t="s">
        <v>34</v>
      </c>
      <c r="F4333" s="475" t="s">
        <v>34</v>
      </c>
      <c r="G4333" s="364">
        <v>97459</v>
      </c>
      <c r="H4333" s="475" t="s">
        <v>6572</v>
      </c>
      <c r="I4333" s="475" t="s">
        <v>171</v>
      </c>
      <c r="J4333" s="475" t="s">
        <v>140</v>
      </c>
      <c r="K4333" s="365">
        <v>263.19</v>
      </c>
      <c r="L4333" s="475" t="s">
        <v>141</v>
      </c>
      <c r="M4333" s="473"/>
    </row>
    <row r="4334" spans="1:13" ht="13.5">
      <c r="A4334" s="475" t="s">
        <v>5516</v>
      </c>
      <c r="B4334" s="475" t="s">
        <v>5517</v>
      </c>
      <c r="C4334" s="475" t="s">
        <v>5458</v>
      </c>
      <c r="D4334" s="475" t="s">
        <v>5520</v>
      </c>
      <c r="E4334" s="476" t="s">
        <v>34</v>
      </c>
      <c r="F4334" s="475" t="s">
        <v>34</v>
      </c>
      <c r="G4334" s="364">
        <v>97460</v>
      </c>
      <c r="H4334" s="475" t="s">
        <v>6573</v>
      </c>
      <c r="I4334" s="475" t="s">
        <v>171</v>
      </c>
      <c r="J4334" s="475" t="s">
        <v>140</v>
      </c>
      <c r="K4334" s="365">
        <v>397.29</v>
      </c>
      <c r="L4334" s="475" t="s">
        <v>141</v>
      </c>
      <c r="M4334" s="473"/>
    </row>
    <row r="4335" spans="1:13" ht="13.5">
      <c r="A4335" s="475" t="s">
        <v>5516</v>
      </c>
      <c r="B4335" s="475" t="s">
        <v>5517</v>
      </c>
      <c r="C4335" s="475" t="s">
        <v>5458</v>
      </c>
      <c r="D4335" s="475" t="s">
        <v>5520</v>
      </c>
      <c r="E4335" s="476" t="s">
        <v>34</v>
      </c>
      <c r="F4335" s="475" t="s">
        <v>34</v>
      </c>
      <c r="G4335" s="364">
        <v>97461</v>
      </c>
      <c r="H4335" s="475" t="s">
        <v>7746</v>
      </c>
      <c r="I4335" s="475" t="s">
        <v>171</v>
      </c>
      <c r="J4335" s="475" t="s">
        <v>140</v>
      </c>
      <c r="K4335" s="365">
        <v>19.600000000000001</v>
      </c>
      <c r="L4335" s="475" t="s">
        <v>141</v>
      </c>
      <c r="M4335" s="473"/>
    </row>
    <row r="4336" spans="1:13" ht="13.5">
      <c r="A4336" s="475" t="s">
        <v>5516</v>
      </c>
      <c r="B4336" s="475" t="s">
        <v>5517</v>
      </c>
      <c r="C4336" s="475" t="s">
        <v>5458</v>
      </c>
      <c r="D4336" s="475" t="s">
        <v>5520</v>
      </c>
      <c r="E4336" s="476" t="s">
        <v>34</v>
      </c>
      <c r="F4336" s="475" t="s">
        <v>34</v>
      </c>
      <c r="G4336" s="364">
        <v>97462</v>
      </c>
      <c r="H4336" s="475" t="s">
        <v>7747</v>
      </c>
      <c r="I4336" s="475" t="s">
        <v>171</v>
      </c>
      <c r="J4336" s="475" t="s">
        <v>140</v>
      </c>
      <c r="K4336" s="365">
        <v>16.72</v>
      </c>
      <c r="L4336" s="475" t="s">
        <v>141</v>
      </c>
      <c r="M4336" s="473"/>
    </row>
    <row r="4337" spans="1:13" ht="13.5">
      <c r="A4337" s="475" t="s">
        <v>5516</v>
      </c>
      <c r="B4337" s="475" t="s">
        <v>5517</v>
      </c>
      <c r="C4337" s="475" t="s">
        <v>5458</v>
      </c>
      <c r="D4337" s="475" t="s">
        <v>5520</v>
      </c>
      <c r="E4337" s="476" t="s">
        <v>34</v>
      </c>
      <c r="F4337" s="475" t="s">
        <v>34</v>
      </c>
      <c r="G4337" s="364">
        <v>97464</v>
      </c>
      <c r="H4337" s="475" t="s">
        <v>7748</v>
      </c>
      <c r="I4337" s="475" t="s">
        <v>171</v>
      </c>
      <c r="J4337" s="475" t="s">
        <v>140</v>
      </c>
      <c r="K4337" s="365">
        <v>27.9</v>
      </c>
      <c r="L4337" s="475" t="s">
        <v>141</v>
      </c>
      <c r="M4337" s="473"/>
    </row>
    <row r="4338" spans="1:13" ht="13.5">
      <c r="A4338" s="475" t="s">
        <v>5516</v>
      </c>
      <c r="B4338" s="475" t="s">
        <v>5517</v>
      </c>
      <c r="C4338" s="475" t="s">
        <v>5458</v>
      </c>
      <c r="D4338" s="475" t="s">
        <v>5520</v>
      </c>
      <c r="E4338" s="476" t="s">
        <v>34</v>
      </c>
      <c r="F4338" s="475" t="s">
        <v>34</v>
      </c>
      <c r="G4338" s="364">
        <v>97465</v>
      </c>
      <c r="H4338" s="475" t="s">
        <v>7749</v>
      </c>
      <c r="I4338" s="475" t="s">
        <v>171</v>
      </c>
      <c r="J4338" s="475" t="s">
        <v>140</v>
      </c>
      <c r="K4338" s="365">
        <v>32.75</v>
      </c>
      <c r="L4338" s="475" t="s">
        <v>141</v>
      </c>
      <c r="M4338" s="473"/>
    </row>
    <row r="4339" spans="1:13" ht="13.5">
      <c r="A4339" s="475" t="s">
        <v>5516</v>
      </c>
      <c r="B4339" s="475" t="s">
        <v>5517</v>
      </c>
      <c r="C4339" s="475" t="s">
        <v>5458</v>
      </c>
      <c r="D4339" s="475" t="s">
        <v>5520</v>
      </c>
      <c r="E4339" s="476" t="s">
        <v>34</v>
      </c>
      <c r="F4339" s="475" t="s">
        <v>34</v>
      </c>
      <c r="G4339" s="364">
        <v>97467</v>
      </c>
      <c r="H4339" s="475" t="s">
        <v>7750</v>
      </c>
      <c r="I4339" s="475" t="s">
        <v>171</v>
      </c>
      <c r="J4339" s="475" t="s">
        <v>140</v>
      </c>
      <c r="K4339" s="365">
        <v>35.340000000000003</v>
      </c>
      <c r="L4339" s="475" t="s">
        <v>141</v>
      </c>
      <c r="M4339" s="473"/>
    </row>
    <row r="4340" spans="1:13" ht="13.5">
      <c r="A4340" s="475" t="s">
        <v>5516</v>
      </c>
      <c r="B4340" s="475" t="s">
        <v>5517</v>
      </c>
      <c r="C4340" s="475" t="s">
        <v>5458</v>
      </c>
      <c r="D4340" s="475" t="s">
        <v>5520</v>
      </c>
      <c r="E4340" s="476" t="s">
        <v>34</v>
      </c>
      <c r="F4340" s="475" t="s">
        <v>34</v>
      </c>
      <c r="G4340" s="364">
        <v>97468</v>
      </c>
      <c r="H4340" s="475" t="s">
        <v>7751</v>
      </c>
      <c r="I4340" s="475" t="s">
        <v>171</v>
      </c>
      <c r="J4340" s="475" t="s">
        <v>140</v>
      </c>
      <c r="K4340" s="365">
        <v>41.55</v>
      </c>
      <c r="L4340" s="475" t="s">
        <v>141</v>
      </c>
      <c r="M4340" s="473"/>
    </row>
    <row r="4341" spans="1:13" ht="13.5">
      <c r="A4341" s="475" t="s">
        <v>5516</v>
      </c>
      <c r="B4341" s="475" t="s">
        <v>5517</v>
      </c>
      <c r="C4341" s="475" t="s">
        <v>5458</v>
      </c>
      <c r="D4341" s="475" t="s">
        <v>5520</v>
      </c>
      <c r="E4341" s="476" t="s">
        <v>34</v>
      </c>
      <c r="F4341" s="475" t="s">
        <v>34</v>
      </c>
      <c r="G4341" s="364">
        <v>97470</v>
      </c>
      <c r="H4341" s="475" t="s">
        <v>7752</v>
      </c>
      <c r="I4341" s="475" t="s">
        <v>171</v>
      </c>
      <c r="J4341" s="475" t="s">
        <v>140</v>
      </c>
      <c r="K4341" s="365">
        <v>51.39</v>
      </c>
      <c r="L4341" s="475" t="s">
        <v>141</v>
      </c>
      <c r="M4341" s="473"/>
    </row>
    <row r="4342" spans="1:13" ht="13.5">
      <c r="A4342" s="475" t="s">
        <v>5516</v>
      </c>
      <c r="B4342" s="475" t="s">
        <v>5517</v>
      </c>
      <c r="C4342" s="475" t="s">
        <v>5458</v>
      </c>
      <c r="D4342" s="475" t="s">
        <v>5520</v>
      </c>
      <c r="E4342" s="476" t="s">
        <v>34</v>
      </c>
      <c r="F4342" s="475" t="s">
        <v>34</v>
      </c>
      <c r="G4342" s="364">
        <v>97471</v>
      </c>
      <c r="H4342" s="475" t="s">
        <v>7753</v>
      </c>
      <c r="I4342" s="475" t="s">
        <v>171</v>
      </c>
      <c r="J4342" s="475" t="s">
        <v>140</v>
      </c>
      <c r="K4342" s="365">
        <v>61.2</v>
      </c>
      <c r="L4342" s="475" t="s">
        <v>141</v>
      </c>
      <c r="M4342" s="473"/>
    </row>
    <row r="4343" spans="1:13" ht="13.5">
      <c r="A4343" s="475" t="s">
        <v>5516</v>
      </c>
      <c r="B4343" s="475" t="s">
        <v>5517</v>
      </c>
      <c r="C4343" s="475" t="s">
        <v>5458</v>
      </c>
      <c r="D4343" s="475" t="s">
        <v>5520</v>
      </c>
      <c r="E4343" s="476" t="s">
        <v>34</v>
      </c>
      <c r="F4343" s="475" t="s">
        <v>34</v>
      </c>
      <c r="G4343" s="364">
        <v>97474</v>
      </c>
      <c r="H4343" s="475" t="s">
        <v>7754</v>
      </c>
      <c r="I4343" s="475" t="s">
        <v>171</v>
      </c>
      <c r="J4343" s="475" t="s">
        <v>140</v>
      </c>
      <c r="K4343" s="365">
        <v>91.71</v>
      </c>
      <c r="L4343" s="475" t="s">
        <v>141</v>
      </c>
      <c r="M4343" s="473"/>
    </row>
    <row r="4344" spans="1:13" ht="13.5">
      <c r="A4344" s="475" t="s">
        <v>5516</v>
      </c>
      <c r="B4344" s="475" t="s">
        <v>5517</v>
      </c>
      <c r="C4344" s="475" t="s">
        <v>5458</v>
      </c>
      <c r="D4344" s="475" t="s">
        <v>5520</v>
      </c>
      <c r="E4344" s="476" t="s">
        <v>34</v>
      </c>
      <c r="F4344" s="475" t="s">
        <v>34</v>
      </c>
      <c r="G4344" s="364">
        <v>97475</v>
      </c>
      <c r="H4344" s="475" t="s">
        <v>7755</v>
      </c>
      <c r="I4344" s="475" t="s">
        <v>171</v>
      </c>
      <c r="J4344" s="475" t="s">
        <v>140</v>
      </c>
      <c r="K4344" s="365">
        <v>111.53</v>
      </c>
      <c r="L4344" s="475" t="s">
        <v>141</v>
      </c>
      <c r="M4344" s="473"/>
    </row>
    <row r="4345" spans="1:13" ht="13.5">
      <c r="A4345" s="475" t="s">
        <v>5516</v>
      </c>
      <c r="B4345" s="475" t="s">
        <v>5517</v>
      </c>
      <c r="C4345" s="475" t="s">
        <v>5458</v>
      </c>
      <c r="D4345" s="475" t="s">
        <v>5520</v>
      </c>
      <c r="E4345" s="476" t="s">
        <v>34</v>
      </c>
      <c r="F4345" s="475" t="s">
        <v>34</v>
      </c>
      <c r="G4345" s="364">
        <v>97477</v>
      </c>
      <c r="H4345" s="475" t="s">
        <v>7756</v>
      </c>
      <c r="I4345" s="475" t="s">
        <v>171</v>
      </c>
      <c r="J4345" s="475" t="s">
        <v>140</v>
      </c>
      <c r="K4345" s="365">
        <v>121.6</v>
      </c>
      <c r="L4345" s="475" t="s">
        <v>141</v>
      </c>
      <c r="M4345" s="473"/>
    </row>
    <row r="4346" spans="1:13" ht="13.5">
      <c r="A4346" s="475" t="s">
        <v>5516</v>
      </c>
      <c r="B4346" s="475" t="s">
        <v>5517</v>
      </c>
      <c r="C4346" s="475" t="s">
        <v>5458</v>
      </c>
      <c r="D4346" s="475" t="s">
        <v>5520</v>
      </c>
      <c r="E4346" s="476" t="s">
        <v>34</v>
      </c>
      <c r="F4346" s="475" t="s">
        <v>34</v>
      </c>
      <c r="G4346" s="364">
        <v>97478</v>
      </c>
      <c r="H4346" s="475" t="s">
        <v>7757</v>
      </c>
      <c r="I4346" s="475" t="s">
        <v>171</v>
      </c>
      <c r="J4346" s="475" t="s">
        <v>140</v>
      </c>
      <c r="K4346" s="365">
        <v>148.30000000000001</v>
      </c>
      <c r="L4346" s="475" t="s">
        <v>141</v>
      </c>
      <c r="M4346" s="473"/>
    </row>
    <row r="4347" spans="1:13" ht="13.5">
      <c r="A4347" s="475" t="s">
        <v>5516</v>
      </c>
      <c r="B4347" s="475" t="s">
        <v>5517</v>
      </c>
      <c r="C4347" s="475" t="s">
        <v>5458</v>
      </c>
      <c r="D4347" s="475" t="s">
        <v>5520</v>
      </c>
      <c r="E4347" s="476" t="s">
        <v>34</v>
      </c>
      <c r="F4347" s="475" t="s">
        <v>34</v>
      </c>
      <c r="G4347" s="364">
        <v>97479</v>
      </c>
      <c r="H4347" s="475" t="s">
        <v>7758</v>
      </c>
      <c r="I4347" s="475" t="s">
        <v>171</v>
      </c>
      <c r="J4347" s="475" t="s">
        <v>140</v>
      </c>
      <c r="K4347" s="365">
        <v>31.37</v>
      </c>
      <c r="L4347" s="475" t="s">
        <v>141</v>
      </c>
      <c r="M4347" s="473"/>
    </row>
    <row r="4348" spans="1:13" ht="13.5">
      <c r="A4348" s="475" t="s">
        <v>5516</v>
      </c>
      <c r="B4348" s="475" t="s">
        <v>5517</v>
      </c>
      <c r="C4348" s="475" t="s">
        <v>5458</v>
      </c>
      <c r="D4348" s="475" t="s">
        <v>5520</v>
      </c>
      <c r="E4348" s="476" t="s">
        <v>34</v>
      </c>
      <c r="F4348" s="475" t="s">
        <v>34</v>
      </c>
      <c r="G4348" s="364">
        <v>97480</v>
      </c>
      <c r="H4348" s="475" t="s">
        <v>7759</v>
      </c>
      <c r="I4348" s="475" t="s">
        <v>171</v>
      </c>
      <c r="J4348" s="475" t="s">
        <v>140</v>
      </c>
      <c r="K4348" s="365">
        <v>31.37</v>
      </c>
      <c r="L4348" s="475" t="s">
        <v>141</v>
      </c>
      <c r="M4348" s="473"/>
    </row>
    <row r="4349" spans="1:13" ht="13.5">
      <c r="A4349" s="475" t="s">
        <v>5516</v>
      </c>
      <c r="B4349" s="475" t="s">
        <v>5517</v>
      </c>
      <c r="C4349" s="475" t="s">
        <v>5458</v>
      </c>
      <c r="D4349" s="475" t="s">
        <v>5520</v>
      </c>
      <c r="E4349" s="476" t="s">
        <v>34</v>
      </c>
      <c r="F4349" s="475" t="s">
        <v>34</v>
      </c>
      <c r="G4349" s="364">
        <v>97481</v>
      </c>
      <c r="H4349" s="475" t="s">
        <v>7760</v>
      </c>
      <c r="I4349" s="475" t="s">
        <v>171</v>
      </c>
      <c r="J4349" s="475" t="s">
        <v>140</v>
      </c>
      <c r="K4349" s="365">
        <v>44.9</v>
      </c>
      <c r="L4349" s="475" t="s">
        <v>141</v>
      </c>
      <c r="M4349" s="473"/>
    </row>
    <row r="4350" spans="1:13" ht="13.5">
      <c r="A4350" s="475" t="s">
        <v>5516</v>
      </c>
      <c r="B4350" s="475" t="s">
        <v>5517</v>
      </c>
      <c r="C4350" s="475" t="s">
        <v>5458</v>
      </c>
      <c r="D4350" s="475" t="s">
        <v>5520</v>
      </c>
      <c r="E4350" s="476" t="s">
        <v>34</v>
      </c>
      <c r="F4350" s="475" t="s">
        <v>34</v>
      </c>
      <c r="G4350" s="364">
        <v>97482</v>
      </c>
      <c r="H4350" s="475" t="s">
        <v>7761</v>
      </c>
      <c r="I4350" s="475" t="s">
        <v>171</v>
      </c>
      <c r="J4350" s="475" t="s">
        <v>140</v>
      </c>
      <c r="K4350" s="365">
        <v>44.9</v>
      </c>
      <c r="L4350" s="475" t="s">
        <v>141</v>
      </c>
      <c r="M4350" s="473"/>
    </row>
    <row r="4351" spans="1:13" ht="13.5">
      <c r="A4351" s="475" t="s">
        <v>5516</v>
      </c>
      <c r="B4351" s="475" t="s">
        <v>5517</v>
      </c>
      <c r="C4351" s="475" t="s">
        <v>5458</v>
      </c>
      <c r="D4351" s="475" t="s">
        <v>5520</v>
      </c>
      <c r="E4351" s="476" t="s">
        <v>34</v>
      </c>
      <c r="F4351" s="475" t="s">
        <v>34</v>
      </c>
      <c r="G4351" s="364">
        <v>97483</v>
      </c>
      <c r="H4351" s="475" t="s">
        <v>6574</v>
      </c>
      <c r="I4351" s="475" t="s">
        <v>171</v>
      </c>
      <c r="J4351" s="475" t="s">
        <v>140</v>
      </c>
      <c r="K4351" s="365">
        <v>62.23</v>
      </c>
      <c r="L4351" s="475" t="s">
        <v>141</v>
      </c>
      <c r="M4351" s="473"/>
    </row>
    <row r="4352" spans="1:13" ht="13.5">
      <c r="A4352" s="475" t="s">
        <v>5516</v>
      </c>
      <c r="B4352" s="475" t="s">
        <v>5517</v>
      </c>
      <c r="C4352" s="475" t="s">
        <v>5458</v>
      </c>
      <c r="D4352" s="475" t="s">
        <v>5520</v>
      </c>
      <c r="E4352" s="476" t="s">
        <v>34</v>
      </c>
      <c r="F4352" s="475" t="s">
        <v>34</v>
      </c>
      <c r="G4352" s="364">
        <v>97484</v>
      </c>
      <c r="H4352" s="475" t="s">
        <v>6575</v>
      </c>
      <c r="I4352" s="475" t="s">
        <v>171</v>
      </c>
      <c r="J4352" s="475" t="s">
        <v>140</v>
      </c>
      <c r="K4352" s="365">
        <v>62.23</v>
      </c>
      <c r="L4352" s="475" t="s">
        <v>141</v>
      </c>
      <c r="M4352" s="473"/>
    </row>
    <row r="4353" spans="1:13" ht="13.5">
      <c r="A4353" s="475" t="s">
        <v>5516</v>
      </c>
      <c r="B4353" s="475" t="s">
        <v>5517</v>
      </c>
      <c r="C4353" s="475" t="s">
        <v>5458</v>
      </c>
      <c r="D4353" s="475" t="s">
        <v>5520</v>
      </c>
      <c r="E4353" s="476" t="s">
        <v>34</v>
      </c>
      <c r="F4353" s="475" t="s">
        <v>34</v>
      </c>
      <c r="G4353" s="364">
        <v>97485</v>
      </c>
      <c r="H4353" s="475" t="s">
        <v>6576</v>
      </c>
      <c r="I4353" s="475" t="s">
        <v>171</v>
      </c>
      <c r="J4353" s="475" t="s">
        <v>140</v>
      </c>
      <c r="K4353" s="365">
        <v>85.14</v>
      </c>
      <c r="L4353" s="475" t="s">
        <v>141</v>
      </c>
      <c r="M4353" s="473"/>
    </row>
    <row r="4354" spans="1:13" ht="13.5">
      <c r="A4354" s="475" t="s">
        <v>5516</v>
      </c>
      <c r="B4354" s="475" t="s">
        <v>5517</v>
      </c>
      <c r="C4354" s="475" t="s">
        <v>5458</v>
      </c>
      <c r="D4354" s="475" t="s">
        <v>5520</v>
      </c>
      <c r="E4354" s="476" t="s">
        <v>34</v>
      </c>
      <c r="F4354" s="475" t="s">
        <v>34</v>
      </c>
      <c r="G4354" s="364">
        <v>97486</v>
      </c>
      <c r="H4354" s="475" t="s">
        <v>6577</v>
      </c>
      <c r="I4354" s="475" t="s">
        <v>171</v>
      </c>
      <c r="J4354" s="475" t="s">
        <v>140</v>
      </c>
      <c r="K4354" s="365">
        <v>90.74</v>
      </c>
      <c r="L4354" s="475" t="s">
        <v>141</v>
      </c>
      <c r="M4354" s="473"/>
    </row>
    <row r="4355" spans="1:13" ht="13.5">
      <c r="A4355" s="475" t="s">
        <v>5516</v>
      </c>
      <c r="B4355" s="475" t="s">
        <v>5517</v>
      </c>
      <c r="C4355" s="475" t="s">
        <v>5458</v>
      </c>
      <c r="D4355" s="475" t="s">
        <v>5520</v>
      </c>
      <c r="E4355" s="476" t="s">
        <v>34</v>
      </c>
      <c r="F4355" s="475" t="s">
        <v>34</v>
      </c>
      <c r="G4355" s="364">
        <v>97487</v>
      </c>
      <c r="H4355" s="475" t="s">
        <v>6578</v>
      </c>
      <c r="I4355" s="475" t="s">
        <v>171</v>
      </c>
      <c r="J4355" s="475" t="s">
        <v>140</v>
      </c>
      <c r="K4355" s="365">
        <v>153.16</v>
      </c>
      <c r="L4355" s="475" t="s">
        <v>141</v>
      </c>
      <c r="M4355" s="473"/>
    </row>
    <row r="4356" spans="1:13" ht="13.5">
      <c r="A4356" s="475" t="s">
        <v>5516</v>
      </c>
      <c r="B4356" s="475" t="s">
        <v>5517</v>
      </c>
      <c r="C4356" s="475" t="s">
        <v>5458</v>
      </c>
      <c r="D4356" s="475" t="s">
        <v>5520</v>
      </c>
      <c r="E4356" s="476" t="s">
        <v>34</v>
      </c>
      <c r="F4356" s="475" t="s">
        <v>34</v>
      </c>
      <c r="G4356" s="364">
        <v>97488</v>
      </c>
      <c r="H4356" s="475" t="s">
        <v>6579</v>
      </c>
      <c r="I4356" s="475" t="s">
        <v>171</v>
      </c>
      <c r="J4356" s="475" t="s">
        <v>140</v>
      </c>
      <c r="K4356" s="365">
        <v>162.12</v>
      </c>
      <c r="L4356" s="475" t="s">
        <v>141</v>
      </c>
      <c r="M4356" s="473"/>
    </row>
    <row r="4357" spans="1:13" ht="13.5">
      <c r="A4357" s="475" t="s">
        <v>5516</v>
      </c>
      <c r="B4357" s="475" t="s">
        <v>5517</v>
      </c>
      <c r="C4357" s="475" t="s">
        <v>5458</v>
      </c>
      <c r="D4357" s="475" t="s">
        <v>5520</v>
      </c>
      <c r="E4357" s="476" t="s">
        <v>34</v>
      </c>
      <c r="F4357" s="475" t="s">
        <v>34</v>
      </c>
      <c r="G4357" s="364">
        <v>97489</v>
      </c>
      <c r="H4357" s="475" t="s">
        <v>6580</v>
      </c>
      <c r="I4357" s="475" t="s">
        <v>171</v>
      </c>
      <c r="J4357" s="475" t="s">
        <v>140</v>
      </c>
      <c r="K4357" s="365">
        <v>353.18</v>
      </c>
      <c r="L4357" s="475" t="s">
        <v>141</v>
      </c>
      <c r="M4357" s="473"/>
    </row>
    <row r="4358" spans="1:13" ht="13.5">
      <c r="A4358" s="475" t="s">
        <v>5516</v>
      </c>
      <c r="B4358" s="475" t="s">
        <v>5517</v>
      </c>
      <c r="C4358" s="475" t="s">
        <v>5458</v>
      </c>
      <c r="D4358" s="475" t="s">
        <v>5520</v>
      </c>
      <c r="E4358" s="476" t="s">
        <v>34</v>
      </c>
      <c r="F4358" s="475" t="s">
        <v>34</v>
      </c>
      <c r="G4358" s="364">
        <v>97490</v>
      </c>
      <c r="H4358" s="475" t="s">
        <v>6581</v>
      </c>
      <c r="I4358" s="475" t="s">
        <v>171</v>
      </c>
      <c r="J4358" s="475" t="s">
        <v>140</v>
      </c>
      <c r="K4358" s="365">
        <v>313.01</v>
      </c>
      <c r="L4358" s="475" t="s">
        <v>141</v>
      </c>
      <c r="M4358" s="473"/>
    </row>
    <row r="4359" spans="1:13" ht="13.5">
      <c r="A4359" s="475" t="s">
        <v>5516</v>
      </c>
      <c r="B4359" s="475" t="s">
        <v>5517</v>
      </c>
      <c r="C4359" s="475" t="s">
        <v>5458</v>
      </c>
      <c r="D4359" s="475" t="s">
        <v>5520</v>
      </c>
      <c r="E4359" s="476" t="s">
        <v>34</v>
      </c>
      <c r="F4359" s="475" t="s">
        <v>34</v>
      </c>
      <c r="G4359" s="364">
        <v>97491</v>
      </c>
      <c r="H4359" s="475" t="s">
        <v>6582</v>
      </c>
      <c r="I4359" s="475" t="s">
        <v>171</v>
      </c>
      <c r="J4359" s="475" t="s">
        <v>140</v>
      </c>
      <c r="K4359" s="365">
        <v>47.75</v>
      </c>
      <c r="L4359" s="475" t="s">
        <v>141</v>
      </c>
      <c r="M4359" s="473"/>
    </row>
    <row r="4360" spans="1:13" ht="13.5">
      <c r="A4360" s="475" t="s">
        <v>5516</v>
      </c>
      <c r="B4360" s="475" t="s">
        <v>5517</v>
      </c>
      <c r="C4360" s="475" t="s">
        <v>5458</v>
      </c>
      <c r="D4360" s="475" t="s">
        <v>5520</v>
      </c>
      <c r="E4360" s="476" t="s">
        <v>34</v>
      </c>
      <c r="F4360" s="475" t="s">
        <v>34</v>
      </c>
      <c r="G4360" s="364">
        <v>97492</v>
      </c>
      <c r="H4360" s="475" t="s">
        <v>6583</v>
      </c>
      <c r="I4360" s="475" t="s">
        <v>171</v>
      </c>
      <c r="J4360" s="475" t="s">
        <v>140</v>
      </c>
      <c r="K4360" s="365">
        <v>69.25</v>
      </c>
      <c r="L4360" s="475" t="s">
        <v>141</v>
      </c>
      <c r="M4360" s="473"/>
    </row>
    <row r="4361" spans="1:13" ht="13.5">
      <c r="A4361" s="475" t="s">
        <v>5516</v>
      </c>
      <c r="B4361" s="475" t="s">
        <v>5517</v>
      </c>
      <c r="C4361" s="475" t="s">
        <v>5458</v>
      </c>
      <c r="D4361" s="475" t="s">
        <v>5520</v>
      </c>
      <c r="E4361" s="476" t="s">
        <v>34</v>
      </c>
      <c r="F4361" s="475" t="s">
        <v>34</v>
      </c>
      <c r="G4361" s="364">
        <v>97493</v>
      </c>
      <c r="H4361" s="475" t="s">
        <v>6584</v>
      </c>
      <c r="I4361" s="475" t="s">
        <v>171</v>
      </c>
      <c r="J4361" s="475" t="s">
        <v>140</v>
      </c>
      <c r="K4361" s="365">
        <v>89.07</v>
      </c>
      <c r="L4361" s="475" t="s">
        <v>141</v>
      </c>
      <c r="M4361" s="473"/>
    </row>
    <row r="4362" spans="1:13" ht="13.5">
      <c r="A4362" s="475" t="s">
        <v>5516</v>
      </c>
      <c r="B4362" s="475" t="s">
        <v>5517</v>
      </c>
      <c r="C4362" s="475" t="s">
        <v>5458</v>
      </c>
      <c r="D4362" s="475" t="s">
        <v>5520</v>
      </c>
      <c r="E4362" s="476" t="s">
        <v>34</v>
      </c>
      <c r="F4362" s="475" t="s">
        <v>34</v>
      </c>
      <c r="G4362" s="364">
        <v>97494</v>
      </c>
      <c r="H4362" s="475" t="s">
        <v>6585</v>
      </c>
      <c r="I4362" s="475" t="s">
        <v>171</v>
      </c>
      <c r="J4362" s="475" t="s">
        <v>140</v>
      </c>
      <c r="K4362" s="365">
        <v>136.01</v>
      </c>
      <c r="L4362" s="475" t="s">
        <v>141</v>
      </c>
      <c r="M4362" s="473"/>
    </row>
    <row r="4363" spans="1:13" ht="13.5">
      <c r="A4363" s="475" t="s">
        <v>5516</v>
      </c>
      <c r="B4363" s="475" t="s">
        <v>5517</v>
      </c>
      <c r="C4363" s="475" t="s">
        <v>5458</v>
      </c>
      <c r="D4363" s="475" t="s">
        <v>5520</v>
      </c>
      <c r="E4363" s="476" t="s">
        <v>34</v>
      </c>
      <c r="F4363" s="475" t="s">
        <v>34</v>
      </c>
      <c r="G4363" s="364">
        <v>97495</v>
      </c>
      <c r="H4363" s="475" t="s">
        <v>6586</v>
      </c>
      <c r="I4363" s="475" t="s">
        <v>171</v>
      </c>
      <c r="J4363" s="475" t="s">
        <v>140</v>
      </c>
      <c r="K4363" s="365">
        <v>244.4</v>
      </c>
      <c r="L4363" s="475" t="s">
        <v>141</v>
      </c>
      <c r="M4363" s="473"/>
    </row>
    <row r="4364" spans="1:13" ht="13.5">
      <c r="A4364" s="475" t="s">
        <v>5516</v>
      </c>
      <c r="B4364" s="475" t="s">
        <v>5517</v>
      </c>
      <c r="C4364" s="475" t="s">
        <v>5458</v>
      </c>
      <c r="D4364" s="475" t="s">
        <v>5520</v>
      </c>
      <c r="E4364" s="476" t="s">
        <v>34</v>
      </c>
      <c r="F4364" s="475" t="s">
        <v>34</v>
      </c>
      <c r="G4364" s="364">
        <v>97496</v>
      </c>
      <c r="H4364" s="475" t="s">
        <v>6587</v>
      </c>
      <c r="I4364" s="475" t="s">
        <v>171</v>
      </c>
      <c r="J4364" s="475" t="s">
        <v>140</v>
      </c>
      <c r="K4364" s="365">
        <v>382.38</v>
      </c>
      <c r="L4364" s="475" t="s">
        <v>141</v>
      </c>
      <c r="M4364" s="473"/>
    </row>
    <row r="4365" spans="1:13" ht="13.5">
      <c r="A4365" s="475" t="s">
        <v>5516</v>
      </c>
      <c r="B4365" s="475" t="s">
        <v>5517</v>
      </c>
      <c r="C4365" s="475" t="s">
        <v>5458</v>
      </c>
      <c r="D4365" s="475" t="s">
        <v>5520</v>
      </c>
      <c r="E4365" s="476" t="s">
        <v>34</v>
      </c>
      <c r="F4365" s="475" t="s">
        <v>34</v>
      </c>
      <c r="G4365" s="364">
        <v>97499</v>
      </c>
      <c r="H4365" s="475" t="s">
        <v>6588</v>
      </c>
      <c r="I4365" s="475" t="s">
        <v>171</v>
      </c>
      <c r="J4365" s="475" t="s">
        <v>140</v>
      </c>
      <c r="K4365" s="365">
        <v>17.79</v>
      </c>
      <c r="L4365" s="475" t="s">
        <v>141</v>
      </c>
      <c r="M4365" s="473"/>
    </row>
    <row r="4366" spans="1:13" ht="13.5">
      <c r="A4366" s="475" t="s">
        <v>5516</v>
      </c>
      <c r="B4366" s="475" t="s">
        <v>5517</v>
      </c>
      <c r="C4366" s="475" t="s">
        <v>5458</v>
      </c>
      <c r="D4366" s="475" t="s">
        <v>5520</v>
      </c>
      <c r="E4366" s="476" t="s">
        <v>34</v>
      </c>
      <c r="F4366" s="475" t="s">
        <v>34</v>
      </c>
      <c r="G4366" s="364">
        <v>97500</v>
      </c>
      <c r="H4366" s="475" t="s">
        <v>6589</v>
      </c>
      <c r="I4366" s="475" t="s">
        <v>171</v>
      </c>
      <c r="J4366" s="475" t="s">
        <v>140</v>
      </c>
      <c r="K4366" s="365">
        <v>14.91</v>
      </c>
      <c r="L4366" s="475" t="s">
        <v>141</v>
      </c>
      <c r="M4366" s="473"/>
    </row>
    <row r="4367" spans="1:13" ht="13.5">
      <c r="A4367" s="475" t="s">
        <v>5516</v>
      </c>
      <c r="B4367" s="475" t="s">
        <v>5517</v>
      </c>
      <c r="C4367" s="475" t="s">
        <v>5458</v>
      </c>
      <c r="D4367" s="475" t="s">
        <v>5520</v>
      </c>
      <c r="E4367" s="476" t="s">
        <v>34</v>
      </c>
      <c r="F4367" s="475" t="s">
        <v>34</v>
      </c>
      <c r="G4367" s="364">
        <v>97502</v>
      </c>
      <c r="H4367" s="475" t="s">
        <v>6590</v>
      </c>
      <c r="I4367" s="475" t="s">
        <v>171</v>
      </c>
      <c r="J4367" s="475" t="s">
        <v>140</v>
      </c>
      <c r="K4367" s="365">
        <v>24.51</v>
      </c>
      <c r="L4367" s="475" t="s">
        <v>141</v>
      </c>
      <c r="M4367" s="473"/>
    </row>
    <row r="4368" spans="1:13" ht="13.5">
      <c r="A4368" s="475" t="s">
        <v>5516</v>
      </c>
      <c r="B4368" s="475" t="s">
        <v>5517</v>
      </c>
      <c r="C4368" s="475" t="s">
        <v>5458</v>
      </c>
      <c r="D4368" s="475" t="s">
        <v>5520</v>
      </c>
      <c r="E4368" s="476" t="s">
        <v>34</v>
      </c>
      <c r="F4368" s="475" t="s">
        <v>34</v>
      </c>
      <c r="G4368" s="364">
        <v>97503</v>
      </c>
      <c r="H4368" s="475" t="s">
        <v>6591</v>
      </c>
      <c r="I4368" s="475" t="s">
        <v>171</v>
      </c>
      <c r="J4368" s="475" t="s">
        <v>140</v>
      </c>
      <c r="K4368" s="365">
        <v>29.53</v>
      </c>
      <c r="L4368" s="475" t="s">
        <v>141</v>
      </c>
      <c r="M4368" s="473"/>
    </row>
    <row r="4369" spans="1:13" ht="13.5">
      <c r="A4369" s="475" t="s">
        <v>5516</v>
      </c>
      <c r="B4369" s="475" t="s">
        <v>5517</v>
      </c>
      <c r="C4369" s="475" t="s">
        <v>5458</v>
      </c>
      <c r="D4369" s="475" t="s">
        <v>5520</v>
      </c>
      <c r="E4369" s="476" t="s">
        <v>34</v>
      </c>
      <c r="F4369" s="475" t="s">
        <v>34</v>
      </c>
      <c r="G4369" s="364">
        <v>97505</v>
      </c>
      <c r="H4369" s="475" t="s">
        <v>6592</v>
      </c>
      <c r="I4369" s="475" t="s">
        <v>171</v>
      </c>
      <c r="J4369" s="475" t="s">
        <v>140</v>
      </c>
      <c r="K4369" s="365">
        <v>30.56</v>
      </c>
      <c r="L4369" s="475" t="s">
        <v>141</v>
      </c>
      <c r="M4369" s="473"/>
    </row>
    <row r="4370" spans="1:13" ht="13.5">
      <c r="A4370" s="475" t="s">
        <v>5516</v>
      </c>
      <c r="B4370" s="475" t="s">
        <v>5517</v>
      </c>
      <c r="C4370" s="475" t="s">
        <v>5458</v>
      </c>
      <c r="D4370" s="475" t="s">
        <v>5520</v>
      </c>
      <c r="E4370" s="476" t="s">
        <v>34</v>
      </c>
      <c r="F4370" s="475" t="s">
        <v>34</v>
      </c>
      <c r="G4370" s="364">
        <v>97506</v>
      </c>
      <c r="H4370" s="475" t="s">
        <v>6593</v>
      </c>
      <c r="I4370" s="475" t="s">
        <v>171</v>
      </c>
      <c r="J4370" s="475" t="s">
        <v>140</v>
      </c>
      <c r="K4370" s="365">
        <v>36.770000000000003</v>
      </c>
      <c r="L4370" s="475" t="s">
        <v>141</v>
      </c>
      <c r="M4370" s="473"/>
    </row>
    <row r="4371" spans="1:13" ht="13.5">
      <c r="A4371" s="475" t="s">
        <v>5516</v>
      </c>
      <c r="B4371" s="475" t="s">
        <v>5517</v>
      </c>
      <c r="C4371" s="475" t="s">
        <v>5458</v>
      </c>
      <c r="D4371" s="475" t="s">
        <v>5520</v>
      </c>
      <c r="E4371" s="476" t="s">
        <v>34</v>
      </c>
      <c r="F4371" s="475" t="s">
        <v>34</v>
      </c>
      <c r="G4371" s="364">
        <v>97508</v>
      </c>
      <c r="H4371" s="475" t="s">
        <v>6594</v>
      </c>
      <c r="I4371" s="475" t="s">
        <v>171</v>
      </c>
      <c r="J4371" s="475" t="s">
        <v>140</v>
      </c>
      <c r="K4371" s="365">
        <v>44.64</v>
      </c>
      <c r="L4371" s="475" t="s">
        <v>141</v>
      </c>
      <c r="M4371" s="473"/>
    </row>
    <row r="4372" spans="1:13" ht="13.5">
      <c r="A4372" s="475" t="s">
        <v>5516</v>
      </c>
      <c r="B4372" s="475" t="s">
        <v>5517</v>
      </c>
      <c r="C4372" s="475" t="s">
        <v>5458</v>
      </c>
      <c r="D4372" s="475" t="s">
        <v>5520</v>
      </c>
      <c r="E4372" s="476" t="s">
        <v>34</v>
      </c>
      <c r="F4372" s="475" t="s">
        <v>34</v>
      </c>
      <c r="G4372" s="364">
        <v>97509</v>
      </c>
      <c r="H4372" s="475" t="s">
        <v>6595</v>
      </c>
      <c r="I4372" s="475" t="s">
        <v>171</v>
      </c>
      <c r="J4372" s="475" t="s">
        <v>140</v>
      </c>
      <c r="K4372" s="365">
        <v>54.45</v>
      </c>
      <c r="L4372" s="475" t="s">
        <v>141</v>
      </c>
      <c r="M4372" s="473"/>
    </row>
    <row r="4373" spans="1:13" ht="13.5">
      <c r="A4373" s="475" t="s">
        <v>5516</v>
      </c>
      <c r="B4373" s="475" t="s">
        <v>5517</v>
      </c>
      <c r="C4373" s="475" t="s">
        <v>5458</v>
      </c>
      <c r="D4373" s="475" t="s">
        <v>5520</v>
      </c>
      <c r="E4373" s="476" t="s">
        <v>34</v>
      </c>
      <c r="F4373" s="475" t="s">
        <v>34</v>
      </c>
      <c r="G4373" s="364">
        <v>97511</v>
      </c>
      <c r="H4373" s="475" t="s">
        <v>6596</v>
      </c>
      <c r="I4373" s="475" t="s">
        <v>171</v>
      </c>
      <c r="J4373" s="475" t="s">
        <v>140</v>
      </c>
      <c r="K4373" s="365">
        <v>82</v>
      </c>
      <c r="L4373" s="475" t="s">
        <v>141</v>
      </c>
      <c r="M4373" s="473"/>
    </row>
    <row r="4374" spans="1:13" ht="13.5">
      <c r="A4374" s="475" t="s">
        <v>5516</v>
      </c>
      <c r="B4374" s="475" t="s">
        <v>5517</v>
      </c>
      <c r="C4374" s="475" t="s">
        <v>5458</v>
      </c>
      <c r="D4374" s="475" t="s">
        <v>5520</v>
      </c>
      <c r="E4374" s="476" t="s">
        <v>34</v>
      </c>
      <c r="F4374" s="475" t="s">
        <v>34</v>
      </c>
      <c r="G4374" s="364">
        <v>97512</v>
      </c>
      <c r="H4374" s="475" t="s">
        <v>6597</v>
      </c>
      <c r="I4374" s="475" t="s">
        <v>171</v>
      </c>
      <c r="J4374" s="475" t="s">
        <v>140</v>
      </c>
      <c r="K4374" s="365">
        <v>101.82</v>
      </c>
      <c r="L4374" s="475" t="s">
        <v>141</v>
      </c>
      <c r="M4374" s="473"/>
    </row>
    <row r="4375" spans="1:13" ht="13.5">
      <c r="A4375" s="475" t="s">
        <v>5516</v>
      </c>
      <c r="B4375" s="475" t="s">
        <v>5517</v>
      </c>
      <c r="C4375" s="475" t="s">
        <v>5458</v>
      </c>
      <c r="D4375" s="475" t="s">
        <v>5520</v>
      </c>
      <c r="E4375" s="476" t="s">
        <v>34</v>
      </c>
      <c r="F4375" s="475" t="s">
        <v>34</v>
      </c>
      <c r="G4375" s="364">
        <v>97514</v>
      </c>
      <c r="H4375" s="475" t="s">
        <v>6598</v>
      </c>
      <c r="I4375" s="475" t="s">
        <v>171</v>
      </c>
      <c r="J4375" s="475" t="s">
        <v>140</v>
      </c>
      <c r="K4375" s="365">
        <v>108.83</v>
      </c>
      <c r="L4375" s="475" t="s">
        <v>141</v>
      </c>
      <c r="M4375" s="473"/>
    </row>
    <row r="4376" spans="1:13" ht="13.5">
      <c r="A4376" s="475" t="s">
        <v>5516</v>
      </c>
      <c r="B4376" s="475" t="s">
        <v>5517</v>
      </c>
      <c r="C4376" s="475" t="s">
        <v>5458</v>
      </c>
      <c r="D4376" s="475" t="s">
        <v>5520</v>
      </c>
      <c r="E4376" s="476" t="s">
        <v>34</v>
      </c>
      <c r="F4376" s="475" t="s">
        <v>34</v>
      </c>
      <c r="G4376" s="364">
        <v>97515</v>
      </c>
      <c r="H4376" s="475" t="s">
        <v>6599</v>
      </c>
      <c r="I4376" s="475" t="s">
        <v>171</v>
      </c>
      <c r="J4376" s="475" t="s">
        <v>140</v>
      </c>
      <c r="K4376" s="365">
        <v>135.53</v>
      </c>
      <c r="L4376" s="475" t="s">
        <v>141</v>
      </c>
      <c r="M4376" s="473"/>
    </row>
    <row r="4377" spans="1:13" ht="13.5">
      <c r="A4377" s="475" t="s">
        <v>5516</v>
      </c>
      <c r="B4377" s="475" t="s">
        <v>5517</v>
      </c>
      <c r="C4377" s="475" t="s">
        <v>5458</v>
      </c>
      <c r="D4377" s="475" t="s">
        <v>5520</v>
      </c>
      <c r="E4377" s="476" t="s">
        <v>34</v>
      </c>
      <c r="F4377" s="475" t="s">
        <v>34</v>
      </c>
      <c r="G4377" s="364">
        <v>97517</v>
      </c>
      <c r="H4377" s="475" t="s">
        <v>6600</v>
      </c>
      <c r="I4377" s="475" t="s">
        <v>171</v>
      </c>
      <c r="J4377" s="475" t="s">
        <v>140</v>
      </c>
      <c r="K4377" s="365">
        <v>28.63</v>
      </c>
      <c r="L4377" s="475" t="s">
        <v>141</v>
      </c>
      <c r="M4377" s="473"/>
    </row>
    <row r="4378" spans="1:13" ht="13.5">
      <c r="A4378" s="475" t="s">
        <v>5516</v>
      </c>
      <c r="B4378" s="475" t="s">
        <v>5517</v>
      </c>
      <c r="C4378" s="475" t="s">
        <v>5458</v>
      </c>
      <c r="D4378" s="475" t="s">
        <v>5520</v>
      </c>
      <c r="E4378" s="476" t="s">
        <v>34</v>
      </c>
      <c r="F4378" s="475" t="s">
        <v>34</v>
      </c>
      <c r="G4378" s="364">
        <v>97518</v>
      </c>
      <c r="H4378" s="475" t="s">
        <v>6601</v>
      </c>
      <c r="I4378" s="475" t="s">
        <v>171</v>
      </c>
      <c r="J4378" s="475" t="s">
        <v>140</v>
      </c>
      <c r="K4378" s="365">
        <v>28.63</v>
      </c>
      <c r="L4378" s="475" t="s">
        <v>141</v>
      </c>
      <c r="M4378" s="473"/>
    </row>
    <row r="4379" spans="1:13" ht="13.5">
      <c r="A4379" s="475" t="s">
        <v>5516</v>
      </c>
      <c r="B4379" s="475" t="s">
        <v>5517</v>
      </c>
      <c r="C4379" s="475" t="s">
        <v>5458</v>
      </c>
      <c r="D4379" s="475" t="s">
        <v>5520</v>
      </c>
      <c r="E4379" s="476" t="s">
        <v>34</v>
      </c>
      <c r="F4379" s="475" t="s">
        <v>34</v>
      </c>
      <c r="G4379" s="364">
        <v>97519</v>
      </c>
      <c r="H4379" s="475" t="s">
        <v>6602</v>
      </c>
      <c r="I4379" s="475" t="s">
        <v>171</v>
      </c>
      <c r="J4379" s="475" t="s">
        <v>140</v>
      </c>
      <c r="K4379" s="365">
        <v>40.08</v>
      </c>
      <c r="L4379" s="475" t="s">
        <v>141</v>
      </c>
      <c r="M4379" s="473"/>
    </row>
    <row r="4380" spans="1:13" ht="13.5">
      <c r="A4380" s="475" t="s">
        <v>5516</v>
      </c>
      <c r="B4380" s="475" t="s">
        <v>5517</v>
      </c>
      <c r="C4380" s="475" t="s">
        <v>5458</v>
      </c>
      <c r="D4380" s="475" t="s">
        <v>5520</v>
      </c>
      <c r="E4380" s="476" t="s">
        <v>34</v>
      </c>
      <c r="F4380" s="475" t="s">
        <v>34</v>
      </c>
      <c r="G4380" s="364">
        <v>97520</v>
      </c>
      <c r="H4380" s="475" t="s">
        <v>6603</v>
      </c>
      <c r="I4380" s="475" t="s">
        <v>171</v>
      </c>
      <c r="J4380" s="475" t="s">
        <v>140</v>
      </c>
      <c r="K4380" s="365">
        <v>40.08</v>
      </c>
      <c r="L4380" s="475" t="s">
        <v>141</v>
      </c>
      <c r="M4380" s="473"/>
    </row>
    <row r="4381" spans="1:13" ht="13.5">
      <c r="A4381" s="475" t="s">
        <v>5516</v>
      </c>
      <c r="B4381" s="475" t="s">
        <v>5517</v>
      </c>
      <c r="C4381" s="475" t="s">
        <v>5458</v>
      </c>
      <c r="D4381" s="475" t="s">
        <v>5520</v>
      </c>
      <c r="E4381" s="476" t="s">
        <v>34</v>
      </c>
      <c r="F4381" s="475" t="s">
        <v>34</v>
      </c>
      <c r="G4381" s="364">
        <v>97521</v>
      </c>
      <c r="H4381" s="475" t="s">
        <v>6604</v>
      </c>
      <c r="I4381" s="475" t="s">
        <v>171</v>
      </c>
      <c r="J4381" s="475" t="s">
        <v>140</v>
      </c>
      <c r="K4381" s="365">
        <v>55.05</v>
      </c>
      <c r="L4381" s="475" t="s">
        <v>141</v>
      </c>
      <c r="M4381" s="473"/>
    </row>
    <row r="4382" spans="1:13" ht="13.5">
      <c r="A4382" s="475" t="s">
        <v>5516</v>
      </c>
      <c r="B4382" s="475" t="s">
        <v>5517</v>
      </c>
      <c r="C4382" s="475" t="s">
        <v>5458</v>
      </c>
      <c r="D4382" s="475" t="s">
        <v>5520</v>
      </c>
      <c r="E4382" s="476" t="s">
        <v>34</v>
      </c>
      <c r="F4382" s="475" t="s">
        <v>34</v>
      </c>
      <c r="G4382" s="364">
        <v>97522</v>
      </c>
      <c r="H4382" s="475" t="s">
        <v>6605</v>
      </c>
      <c r="I4382" s="475" t="s">
        <v>171</v>
      </c>
      <c r="J4382" s="475" t="s">
        <v>140</v>
      </c>
      <c r="K4382" s="365">
        <v>55.05</v>
      </c>
      <c r="L4382" s="475" t="s">
        <v>141</v>
      </c>
      <c r="M4382" s="473"/>
    </row>
    <row r="4383" spans="1:13" ht="13.5">
      <c r="A4383" s="475" t="s">
        <v>5516</v>
      </c>
      <c r="B4383" s="475" t="s">
        <v>5517</v>
      </c>
      <c r="C4383" s="475" t="s">
        <v>5458</v>
      </c>
      <c r="D4383" s="475" t="s">
        <v>5520</v>
      </c>
      <c r="E4383" s="476" t="s">
        <v>34</v>
      </c>
      <c r="F4383" s="475" t="s">
        <v>34</v>
      </c>
      <c r="G4383" s="364">
        <v>97523</v>
      </c>
      <c r="H4383" s="475" t="s">
        <v>6606</v>
      </c>
      <c r="I4383" s="475" t="s">
        <v>171</v>
      </c>
      <c r="J4383" s="475" t="s">
        <v>140</v>
      </c>
      <c r="K4383" s="365">
        <v>75.010000000000005</v>
      </c>
      <c r="L4383" s="475" t="s">
        <v>141</v>
      </c>
      <c r="M4383" s="473"/>
    </row>
    <row r="4384" spans="1:13" ht="13.5">
      <c r="A4384" s="475" t="s">
        <v>5516</v>
      </c>
      <c r="B4384" s="475" t="s">
        <v>5517</v>
      </c>
      <c r="C4384" s="475" t="s">
        <v>5458</v>
      </c>
      <c r="D4384" s="475" t="s">
        <v>5520</v>
      </c>
      <c r="E4384" s="476" t="s">
        <v>34</v>
      </c>
      <c r="F4384" s="475" t="s">
        <v>34</v>
      </c>
      <c r="G4384" s="364">
        <v>97524</v>
      </c>
      <c r="H4384" s="475" t="s">
        <v>6607</v>
      </c>
      <c r="I4384" s="475" t="s">
        <v>171</v>
      </c>
      <c r="J4384" s="475" t="s">
        <v>140</v>
      </c>
      <c r="K4384" s="365">
        <v>80.61</v>
      </c>
      <c r="L4384" s="475" t="s">
        <v>141</v>
      </c>
      <c r="M4384" s="473"/>
    </row>
    <row r="4385" spans="1:13" ht="13.5">
      <c r="A4385" s="475" t="s">
        <v>5516</v>
      </c>
      <c r="B4385" s="475" t="s">
        <v>5517</v>
      </c>
      <c r="C4385" s="475" t="s">
        <v>5458</v>
      </c>
      <c r="D4385" s="475" t="s">
        <v>5520</v>
      </c>
      <c r="E4385" s="476" t="s">
        <v>34</v>
      </c>
      <c r="F4385" s="475" t="s">
        <v>34</v>
      </c>
      <c r="G4385" s="364">
        <v>97525</v>
      </c>
      <c r="H4385" s="475" t="s">
        <v>6608</v>
      </c>
      <c r="I4385" s="475" t="s">
        <v>171</v>
      </c>
      <c r="J4385" s="475" t="s">
        <v>140</v>
      </c>
      <c r="K4385" s="365">
        <v>138.51</v>
      </c>
      <c r="L4385" s="475" t="s">
        <v>141</v>
      </c>
      <c r="M4385" s="473"/>
    </row>
    <row r="4386" spans="1:13" ht="13.5">
      <c r="A4386" s="475" t="s">
        <v>5516</v>
      </c>
      <c r="B4386" s="475" t="s">
        <v>5517</v>
      </c>
      <c r="C4386" s="475" t="s">
        <v>5458</v>
      </c>
      <c r="D4386" s="475" t="s">
        <v>5520</v>
      </c>
      <c r="E4386" s="476" t="s">
        <v>34</v>
      </c>
      <c r="F4386" s="475" t="s">
        <v>34</v>
      </c>
      <c r="G4386" s="364">
        <v>97526</v>
      </c>
      <c r="H4386" s="475" t="s">
        <v>6609</v>
      </c>
      <c r="I4386" s="475" t="s">
        <v>171</v>
      </c>
      <c r="J4386" s="475" t="s">
        <v>140</v>
      </c>
      <c r="K4386" s="365">
        <v>147.47</v>
      </c>
      <c r="L4386" s="475" t="s">
        <v>141</v>
      </c>
      <c r="M4386" s="473"/>
    </row>
    <row r="4387" spans="1:13" ht="13.5">
      <c r="A4387" s="475" t="s">
        <v>5516</v>
      </c>
      <c r="B4387" s="475" t="s">
        <v>5517</v>
      </c>
      <c r="C4387" s="475" t="s">
        <v>5458</v>
      </c>
      <c r="D4387" s="475" t="s">
        <v>5520</v>
      </c>
      <c r="E4387" s="476" t="s">
        <v>34</v>
      </c>
      <c r="F4387" s="475" t="s">
        <v>34</v>
      </c>
      <c r="G4387" s="364">
        <v>97527</v>
      </c>
      <c r="H4387" s="475" t="s">
        <v>6610</v>
      </c>
      <c r="I4387" s="475" t="s">
        <v>171</v>
      </c>
      <c r="J4387" s="475" t="s">
        <v>140</v>
      </c>
      <c r="K4387" s="365">
        <v>334.1</v>
      </c>
      <c r="L4387" s="475" t="s">
        <v>141</v>
      </c>
      <c r="M4387" s="473"/>
    </row>
    <row r="4388" spans="1:13" ht="13.5">
      <c r="A4388" s="475" t="s">
        <v>5516</v>
      </c>
      <c r="B4388" s="475" t="s">
        <v>5517</v>
      </c>
      <c r="C4388" s="475" t="s">
        <v>5458</v>
      </c>
      <c r="D4388" s="475" t="s">
        <v>5520</v>
      </c>
      <c r="E4388" s="476" t="s">
        <v>34</v>
      </c>
      <c r="F4388" s="475" t="s">
        <v>34</v>
      </c>
      <c r="G4388" s="364">
        <v>97528</v>
      </c>
      <c r="H4388" s="475" t="s">
        <v>6611</v>
      </c>
      <c r="I4388" s="475" t="s">
        <v>171</v>
      </c>
      <c r="J4388" s="475" t="s">
        <v>140</v>
      </c>
      <c r="K4388" s="365">
        <v>293.93</v>
      </c>
      <c r="L4388" s="475" t="s">
        <v>141</v>
      </c>
      <c r="M4388" s="473"/>
    </row>
    <row r="4389" spans="1:13" ht="13.5">
      <c r="A4389" s="475" t="s">
        <v>5516</v>
      </c>
      <c r="B4389" s="475" t="s">
        <v>5517</v>
      </c>
      <c r="C4389" s="475" t="s">
        <v>5458</v>
      </c>
      <c r="D4389" s="475" t="s">
        <v>5520</v>
      </c>
      <c r="E4389" s="476" t="s">
        <v>34</v>
      </c>
      <c r="F4389" s="475" t="s">
        <v>34</v>
      </c>
      <c r="G4389" s="364">
        <v>97529</v>
      </c>
      <c r="H4389" s="475" t="s">
        <v>6612</v>
      </c>
      <c r="I4389" s="475" t="s">
        <v>171</v>
      </c>
      <c r="J4389" s="475" t="s">
        <v>140</v>
      </c>
      <c r="K4389" s="365">
        <v>44.16</v>
      </c>
      <c r="L4389" s="475" t="s">
        <v>141</v>
      </c>
      <c r="M4389" s="473"/>
    </row>
    <row r="4390" spans="1:13" ht="13.5">
      <c r="A4390" s="475" t="s">
        <v>5516</v>
      </c>
      <c r="B4390" s="475" t="s">
        <v>5517</v>
      </c>
      <c r="C4390" s="475" t="s">
        <v>5458</v>
      </c>
      <c r="D4390" s="475" t="s">
        <v>5520</v>
      </c>
      <c r="E4390" s="476" t="s">
        <v>34</v>
      </c>
      <c r="F4390" s="475" t="s">
        <v>34</v>
      </c>
      <c r="G4390" s="364">
        <v>97530</v>
      </c>
      <c r="H4390" s="475" t="s">
        <v>6613</v>
      </c>
      <c r="I4390" s="475" t="s">
        <v>171</v>
      </c>
      <c r="J4390" s="475" t="s">
        <v>140</v>
      </c>
      <c r="K4390" s="365">
        <v>62.81</v>
      </c>
      <c r="L4390" s="475" t="s">
        <v>141</v>
      </c>
      <c r="M4390" s="473"/>
    </row>
    <row r="4391" spans="1:13" ht="13.5">
      <c r="A4391" s="475" t="s">
        <v>5516</v>
      </c>
      <c r="B4391" s="475" t="s">
        <v>5517</v>
      </c>
      <c r="C4391" s="475" t="s">
        <v>5458</v>
      </c>
      <c r="D4391" s="475" t="s">
        <v>5520</v>
      </c>
      <c r="E4391" s="476" t="s">
        <v>34</v>
      </c>
      <c r="F4391" s="475" t="s">
        <v>34</v>
      </c>
      <c r="G4391" s="364">
        <v>97531</v>
      </c>
      <c r="H4391" s="475" t="s">
        <v>6614</v>
      </c>
      <c r="I4391" s="475" t="s">
        <v>171</v>
      </c>
      <c r="J4391" s="475" t="s">
        <v>140</v>
      </c>
      <c r="K4391" s="365">
        <v>79.459999999999994</v>
      </c>
      <c r="L4391" s="475" t="s">
        <v>141</v>
      </c>
      <c r="M4391" s="473"/>
    </row>
    <row r="4392" spans="1:13" ht="13.5">
      <c r="A4392" s="475" t="s">
        <v>5516</v>
      </c>
      <c r="B4392" s="475" t="s">
        <v>5517</v>
      </c>
      <c r="C4392" s="475" t="s">
        <v>5458</v>
      </c>
      <c r="D4392" s="475" t="s">
        <v>5520</v>
      </c>
      <c r="E4392" s="476" t="s">
        <v>34</v>
      </c>
      <c r="F4392" s="475" t="s">
        <v>34</v>
      </c>
      <c r="G4392" s="364">
        <v>97532</v>
      </c>
      <c r="H4392" s="475" t="s">
        <v>6615</v>
      </c>
      <c r="I4392" s="475" t="s">
        <v>171</v>
      </c>
      <c r="J4392" s="475" t="s">
        <v>140</v>
      </c>
      <c r="K4392" s="365">
        <v>122.49</v>
      </c>
      <c r="L4392" s="475" t="s">
        <v>141</v>
      </c>
      <c r="M4392" s="473"/>
    </row>
    <row r="4393" spans="1:13" ht="13.5">
      <c r="A4393" s="475" t="s">
        <v>5516</v>
      </c>
      <c r="B4393" s="475" t="s">
        <v>5517</v>
      </c>
      <c r="C4393" s="475" t="s">
        <v>5458</v>
      </c>
      <c r="D4393" s="475" t="s">
        <v>5520</v>
      </c>
      <c r="E4393" s="476" t="s">
        <v>34</v>
      </c>
      <c r="F4393" s="475" t="s">
        <v>34</v>
      </c>
      <c r="G4393" s="364">
        <v>97533</v>
      </c>
      <c r="H4393" s="475" t="s">
        <v>6616</v>
      </c>
      <c r="I4393" s="475" t="s">
        <v>171</v>
      </c>
      <c r="J4393" s="475" t="s">
        <v>140</v>
      </c>
      <c r="K4393" s="365">
        <v>227.78</v>
      </c>
      <c r="L4393" s="475" t="s">
        <v>141</v>
      </c>
      <c r="M4393" s="473"/>
    </row>
    <row r="4394" spans="1:13" ht="13.5">
      <c r="A4394" s="475" t="s">
        <v>5516</v>
      </c>
      <c r="B4394" s="475" t="s">
        <v>5517</v>
      </c>
      <c r="C4394" s="475" t="s">
        <v>5458</v>
      </c>
      <c r="D4394" s="475" t="s">
        <v>5520</v>
      </c>
      <c r="E4394" s="476" t="s">
        <v>34</v>
      </c>
      <c r="F4394" s="475" t="s">
        <v>34</v>
      </c>
      <c r="G4394" s="364">
        <v>97534</v>
      </c>
      <c r="H4394" s="475" t="s">
        <v>6617</v>
      </c>
      <c r="I4394" s="475" t="s">
        <v>171</v>
      </c>
      <c r="J4394" s="475" t="s">
        <v>140</v>
      </c>
      <c r="K4394" s="365">
        <v>356.9</v>
      </c>
      <c r="L4394" s="475" t="s">
        <v>141</v>
      </c>
      <c r="M4394" s="473"/>
    </row>
    <row r="4395" spans="1:13" ht="13.5">
      <c r="A4395" s="475" t="s">
        <v>5516</v>
      </c>
      <c r="B4395" s="475" t="s">
        <v>5517</v>
      </c>
      <c r="C4395" s="475" t="s">
        <v>5458</v>
      </c>
      <c r="D4395" s="475" t="s">
        <v>5520</v>
      </c>
      <c r="E4395" s="476" t="s">
        <v>34</v>
      </c>
      <c r="F4395" s="475" t="s">
        <v>34</v>
      </c>
      <c r="G4395" s="364">
        <v>97537</v>
      </c>
      <c r="H4395" s="475" t="s">
        <v>6618</v>
      </c>
      <c r="I4395" s="475" t="s">
        <v>171</v>
      </c>
      <c r="J4395" s="475" t="s">
        <v>140</v>
      </c>
      <c r="K4395" s="365">
        <v>13.75</v>
      </c>
      <c r="L4395" s="475" t="s">
        <v>141</v>
      </c>
      <c r="M4395" s="473"/>
    </row>
    <row r="4396" spans="1:13" ht="13.5">
      <c r="A4396" s="475" t="s">
        <v>5516</v>
      </c>
      <c r="B4396" s="475" t="s">
        <v>5517</v>
      </c>
      <c r="C4396" s="475" t="s">
        <v>5458</v>
      </c>
      <c r="D4396" s="475" t="s">
        <v>5520</v>
      </c>
      <c r="E4396" s="476" t="s">
        <v>34</v>
      </c>
      <c r="F4396" s="475" t="s">
        <v>34</v>
      </c>
      <c r="G4396" s="364">
        <v>97540</v>
      </c>
      <c r="H4396" s="475" t="s">
        <v>6619</v>
      </c>
      <c r="I4396" s="475" t="s">
        <v>171</v>
      </c>
      <c r="J4396" s="475" t="s">
        <v>140</v>
      </c>
      <c r="K4396" s="365">
        <v>19.100000000000001</v>
      </c>
      <c r="L4396" s="475" t="s">
        <v>141</v>
      </c>
      <c r="M4396" s="473"/>
    </row>
    <row r="4397" spans="1:13" ht="13.5">
      <c r="A4397" s="475" t="s">
        <v>5516</v>
      </c>
      <c r="B4397" s="475" t="s">
        <v>5517</v>
      </c>
      <c r="C4397" s="475" t="s">
        <v>5458</v>
      </c>
      <c r="D4397" s="475" t="s">
        <v>5520</v>
      </c>
      <c r="E4397" s="476" t="s">
        <v>34</v>
      </c>
      <c r="F4397" s="475" t="s">
        <v>34</v>
      </c>
      <c r="G4397" s="364">
        <v>97541</v>
      </c>
      <c r="H4397" s="475" t="s">
        <v>6620</v>
      </c>
      <c r="I4397" s="475" t="s">
        <v>171</v>
      </c>
      <c r="J4397" s="475" t="s">
        <v>140</v>
      </c>
      <c r="K4397" s="365">
        <v>16.72</v>
      </c>
      <c r="L4397" s="475" t="s">
        <v>141</v>
      </c>
      <c r="M4397" s="473"/>
    </row>
    <row r="4398" spans="1:13" ht="13.5">
      <c r="A4398" s="475" t="s">
        <v>5516</v>
      </c>
      <c r="B4398" s="475" t="s">
        <v>5517</v>
      </c>
      <c r="C4398" s="475" t="s">
        <v>5458</v>
      </c>
      <c r="D4398" s="475" t="s">
        <v>5520</v>
      </c>
      <c r="E4398" s="476" t="s">
        <v>34</v>
      </c>
      <c r="F4398" s="475" t="s">
        <v>34</v>
      </c>
      <c r="G4398" s="364">
        <v>97543</v>
      </c>
      <c r="H4398" s="475" t="s">
        <v>6621</v>
      </c>
      <c r="I4398" s="475" t="s">
        <v>171</v>
      </c>
      <c r="J4398" s="475" t="s">
        <v>140</v>
      </c>
      <c r="K4398" s="365">
        <v>32</v>
      </c>
      <c r="L4398" s="475" t="s">
        <v>141</v>
      </c>
      <c r="M4398" s="473"/>
    </row>
    <row r="4399" spans="1:13" ht="13.5">
      <c r="A4399" s="475" t="s">
        <v>5516</v>
      </c>
      <c r="B4399" s="475" t="s">
        <v>5517</v>
      </c>
      <c r="C4399" s="475" t="s">
        <v>5458</v>
      </c>
      <c r="D4399" s="475" t="s">
        <v>5520</v>
      </c>
      <c r="E4399" s="476" t="s">
        <v>34</v>
      </c>
      <c r="F4399" s="475" t="s">
        <v>34</v>
      </c>
      <c r="G4399" s="364">
        <v>97544</v>
      </c>
      <c r="H4399" s="475" t="s">
        <v>6622</v>
      </c>
      <c r="I4399" s="475" t="s">
        <v>171</v>
      </c>
      <c r="J4399" s="475" t="s">
        <v>140</v>
      </c>
      <c r="K4399" s="365">
        <v>29.12</v>
      </c>
      <c r="L4399" s="475" t="s">
        <v>141</v>
      </c>
      <c r="M4399" s="473"/>
    </row>
    <row r="4400" spans="1:13" ht="13.5">
      <c r="A4400" s="475" t="s">
        <v>5516</v>
      </c>
      <c r="B4400" s="475" t="s">
        <v>5517</v>
      </c>
      <c r="C4400" s="475" t="s">
        <v>5458</v>
      </c>
      <c r="D4400" s="475" t="s">
        <v>5520</v>
      </c>
      <c r="E4400" s="476" t="s">
        <v>34</v>
      </c>
      <c r="F4400" s="475" t="s">
        <v>34</v>
      </c>
      <c r="G4400" s="364">
        <v>97546</v>
      </c>
      <c r="H4400" s="475" t="s">
        <v>6623</v>
      </c>
      <c r="I4400" s="475" t="s">
        <v>171</v>
      </c>
      <c r="J4400" s="475" t="s">
        <v>140</v>
      </c>
      <c r="K4400" s="365">
        <v>19.41</v>
      </c>
      <c r="L4400" s="475" t="s">
        <v>141</v>
      </c>
      <c r="M4400" s="473"/>
    </row>
    <row r="4401" spans="1:13" ht="13.5">
      <c r="A4401" s="475" t="s">
        <v>5516</v>
      </c>
      <c r="B4401" s="475" t="s">
        <v>5517</v>
      </c>
      <c r="C4401" s="475" t="s">
        <v>5458</v>
      </c>
      <c r="D4401" s="475" t="s">
        <v>5520</v>
      </c>
      <c r="E4401" s="476" t="s">
        <v>34</v>
      </c>
      <c r="F4401" s="475" t="s">
        <v>34</v>
      </c>
      <c r="G4401" s="364">
        <v>97547</v>
      </c>
      <c r="H4401" s="475" t="s">
        <v>6624</v>
      </c>
      <c r="I4401" s="475" t="s">
        <v>171</v>
      </c>
      <c r="J4401" s="475" t="s">
        <v>140</v>
      </c>
      <c r="K4401" s="365">
        <v>19.41</v>
      </c>
      <c r="L4401" s="475" t="s">
        <v>141</v>
      </c>
      <c r="M4401" s="473"/>
    </row>
    <row r="4402" spans="1:13" ht="13.5">
      <c r="A4402" s="475" t="s">
        <v>5516</v>
      </c>
      <c r="B4402" s="475" t="s">
        <v>5517</v>
      </c>
      <c r="C4402" s="475" t="s">
        <v>5458</v>
      </c>
      <c r="D4402" s="475" t="s">
        <v>5520</v>
      </c>
      <c r="E4402" s="476" t="s">
        <v>34</v>
      </c>
      <c r="F4402" s="475" t="s">
        <v>34</v>
      </c>
      <c r="G4402" s="364">
        <v>97548</v>
      </c>
      <c r="H4402" s="475" t="s">
        <v>6625</v>
      </c>
      <c r="I4402" s="475" t="s">
        <v>171</v>
      </c>
      <c r="J4402" s="475" t="s">
        <v>140</v>
      </c>
      <c r="K4402" s="365">
        <v>29.35</v>
      </c>
      <c r="L4402" s="475" t="s">
        <v>141</v>
      </c>
      <c r="M4402" s="473"/>
    </row>
    <row r="4403" spans="1:13" ht="13.5">
      <c r="A4403" s="475" t="s">
        <v>5516</v>
      </c>
      <c r="B4403" s="475" t="s">
        <v>5517</v>
      </c>
      <c r="C4403" s="475" t="s">
        <v>5458</v>
      </c>
      <c r="D4403" s="475" t="s">
        <v>5520</v>
      </c>
      <c r="E4403" s="476" t="s">
        <v>34</v>
      </c>
      <c r="F4403" s="475" t="s">
        <v>34</v>
      </c>
      <c r="G4403" s="364">
        <v>97549</v>
      </c>
      <c r="H4403" s="475" t="s">
        <v>6626</v>
      </c>
      <c r="I4403" s="475" t="s">
        <v>171</v>
      </c>
      <c r="J4403" s="475" t="s">
        <v>140</v>
      </c>
      <c r="K4403" s="365">
        <v>29.35</v>
      </c>
      <c r="L4403" s="475" t="s">
        <v>141</v>
      </c>
      <c r="M4403" s="473"/>
    </row>
    <row r="4404" spans="1:13" ht="13.5">
      <c r="A4404" s="475" t="s">
        <v>5516</v>
      </c>
      <c r="B4404" s="475" t="s">
        <v>5517</v>
      </c>
      <c r="C4404" s="475" t="s">
        <v>5458</v>
      </c>
      <c r="D4404" s="475" t="s">
        <v>5520</v>
      </c>
      <c r="E4404" s="476" t="s">
        <v>34</v>
      </c>
      <c r="F4404" s="475" t="s">
        <v>34</v>
      </c>
      <c r="G4404" s="364">
        <v>97550</v>
      </c>
      <c r="H4404" s="475" t="s">
        <v>6627</v>
      </c>
      <c r="I4404" s="475" t="s">
        <v>171</v>
      </c>
      <c r="J4404" s="475" t="s">
        <v>140</v>
      </c>
      <c r="K4404" s="365">
        <v>49.97</v>
      </c>
      <c r="L4404" s="475" t="s">
        <v>141</v>
      </c>
      <c r="M4404" s="473"/>
    </row>
    <row r="4405" spans="1:13" ht="13.5">
      <c r="A4405" s="475" t="s">
        <v>5516</v>
      </c>
      <c r="B4405" s="475" t="s">
        <v>5517</v>
      </c>
      <c r="C4405" s="475" t="s">
        <v>5458</v>
      </c>
      <c r="D4405" s="475" t="s">
        <v>5520</v>
      </c>
      <c r="E4405" s="476" t="s">
        <v>34</v>
      </c>
      <c r="F4405" s="475" t="s">
        <v>34</v>
      </c>
      <c r="G4405" s="364">
        <v>97551</v>
      </c>
      <c r="H4405" s="475" t="s">
        <v>6628</v>
      </c>
      <c r="I4405" s="475" t="s">
        <v>171</v>
      </c>
      <c r="J4405" s="475" t="s">
        <v>140</v>
      </c>
      <c r="K4405" s="365">
        <v>49.97</v>
      </c>
      <c r="L4405" s="475" t="s">
        <v>141</v>
      </c>
      <c r="M4405" s="473"/>
    </row>
    <row r="4406" spans="1:13" ht="13.5">
      <c r="A4406" s="475" t="s">
        <v>5516</v>
      </c>
      <c r="B4406" s="475" t="s">
        <v>5517</v>
      </c>
      <c r="C4406" s="475" t="s">
        <v>5458</v>
      </c>
      <c r="D4406" s="475" t="s">
        <v>5520</v>
      </c>
      <c r="E4406" s="476" t="s">
        <v>34</v>
      </c>
      <c r="F4406" s="475" t="s">
        <v>34</v>
      </c>
      <c r="G4406" s="364">
        <v>97552</v>
      </c>
      <c r="H4406" s="475" t="s">
        <v>6629</v>
      </c>
      <c r="I4406" s="475" t="s">
        <v>171</v>
      </c>
      <c r="J4406" s="475" t="s">
        <v>140</v>
      </c>
      <c r="K4406" s="365">
        <v>27.96</v>
      </c>
      <c r="L4406" s="475" t="s">
        <v>141</v>
      </c>
      <c r="M4406" s="473"/>
    </row>
    <row r="4407" spans="1:13" ht="13.5">
      <c r="A4407" s="475" t="s">
        <v>5516</v>
      </c>
      <c r="B4407" s="475" t="s">
        <v>5517</v>
      </c>
      <c r="C4407" s="475" t="s">
        <v>5458</v>
      </c>
      <c r="D4407" s="475" t="s">
        <v>5520</v>
      </c>
      <c r="E4407" s="476" t="s">
        <v>34</v>
      </c>
      <c r="F4407" s="475" t="s">
        <v>34</v>
      </c>
      <c r="G4407" s="364">
        <v>97553</v>
      </c>
      <c r="H4407" s="475" t="s">
        <v>6630</v>
      </c>
      <c r="I4407" s="475" t="s">
        <v>171</v>
      </c>
      <c r="J4407" s="475" t="s">
        <v>140</v>
      </c>
      <c r="K4407" s="365">
        <v>41.22</v>
      </c>
      <c r="L4407" s="475" t="s">
        <v>141</v>
      </c>
      <c r="M4407" s="473"/>
    </row>
    <row r="4408" spans="1:13" ht="13.5">
      <c r="A4408" s="475" t="s">
        <v>5516</v>
      </c>
      <c r="B4408" s="475" t="s">
        <v>5517</v>
      </c>
      <c r="C4408" s="475" t="s">
        <v>5458</v>
      </c>
      <c r="D4408" s="475" t="s">
        <v>5520</v>
      </c>
      <c r="E4408" s="476" t="s">
        <v>34</v>
      </c>
      <c r="F4408" s="475" t="s">
        <v>34</v>
      </c>
      <c r="G4408" s="364">
        <v>97554</v>
      </c>
      <c r="H4408" s="475" t="s">
        <v>6631</v>
      </c>
      <c r="I4408" s="475" t="s">
        <v>171</v>
      </c>
      <c r="J4408" s="475" t="s">
        <v>140</v>
      </c>
      <c r="K4408" s="365">
        <v>72.650000000000006</v>
      </c>
      <c r="L4408" s="475" t="s">
        <v>141</v>
      </c>
      <c r="M4408" s="473"/>
    </row>
    <row r="4409" spans="1:13" ht="13.5">
      <c r="A4409" s="475" t="s">
        <v>5516</v>
      </c>
      <c r="B4409" s="475" t="s">
        <v>5517</v>
      </c>
      <c r="C4409" s="475" t="s">
        <v>5458</v>
      </c>
      <c r="D4409" s="475" t="s">
        <v>5520</v>
      </c>
      <c r="E4409" s="476" t="s">
        <v>34</v>
      </c>
      <c r="F4409" s="475" t="s">
        <v>34</v>
      </c>
      <c r="G4409" s="364">
        <v>98602</v>
      </c>
      <c r="H4409" s="475" t="s">
        <v>7762</v>
      </c>
      <c r="I4409" s="475" t="s">
        <v>171</v>
      </c>
      <c r="J4409" s="475" t="s">
        <v>140</v>
      </c>
      <c r="K4409" s="365">
        <v>11.34</v>
      </c>
      <c r="L4409" s="475" t="s">
        <v>141</v>
      </c>
      <c r="M4409" s="473"/>
    </row>
    <row r="4410" spans="1:13" ht="13.5">
      <c r="A4410" s="475" t="s">
        <v>5516</v>
      </c>
      <c r="B4410" s="475" t="s">
        <v>5517</v>
      </c>
      <c r="C4410" s="475" t="s">
        <v>5521</v>
      </c>
      <c r="D4410" s="475" t="s">
        <v>5522</v>
      </c>
      <c r="E4410" s="476" t="s">
        <v>34</v>
      </c>
      <c r="F4410" s="475" t="s">
        <v>34</v>
      </c>
      <c r="G4410" s="364">
        <v>6171</v>
      </c>
      <c r="H4410" s="475" t="s">
        <v>3631</v>
      </c>
      <c r="I4410" s="475" t="s">
        <v>171</v>
      </c>
      <c r="J4410" s="475" t="s">
        <v>337</v>
      </c>
      <c r="K4410" s="365">
        <v>22.54</v>
      </c>
      <c r="L4410" s="475" t="s">
        <v>141</v>
      </c>
      <c r="M4410" s="473"/>
    </row>
    <row r="4411" spans="1:13" ht="13.5">
      <c r="A4411" s="475" t="s">
        <v>5516</v>
      </c>
      <c r="B4411" s="475" t="s">
        <v>5517</v>
      </c>
      <c r="C4411" s="475" t="s">
        <v>5521</v>
      </c>
      <c r="D4411" s="475" t="s">
        <v>5522</v>
      </c>
      <c r="E4411" s="476">
        <v>74166</v>
      </c>
      <c r="F4411" s="475" t="s">
        <v>5523</v>
      </c>
      <c r="G4411" s="364" t="s">
        <v>3632</v>
      </c>
      <c r="H4411" s="475" t="s">
        <v>3633</v>
      </c>
      <c r="I4411" s="475" t="s">
        <v>171</v>
      </c>
      <c r="J4411" s="475" t="s">
        <v>337</v>
      </c>
      <c r="K4411" s="365">
        <v>213.81</v>
      </c>
      <c r="L4411" s="475" t="s">
        <v>141</v>
      </c>
      <c r="M4411" s="473"/>
    </row>
    <row r="4412" spans="1:13" ht="13.5">
      <c r="A4412" s="475" t="s">
        <v>5516</v>
      </c>
      <c r="B4412" s="475" t="s">
        <v>5517</v>
      </c>
      <c r="C4412" s="475" t="s">
        <v>5521</v>
      </c>
      <c r="D4412" s="475" t="s">
        <v>5522</v>
      </c>
      <c r="E4412" s="476">
        <v>74166</v>
      </c>
      <c r="F4412" s="475" t="s">
        <v>5523</v>
      </c>
      <c r="G4412" s="364" t="s">
        <v>3634</v>
      </c>
      <c r="H4412" s="475" t="s">
        <v>3635</v>
      </c>
      <c r="I4412" s="475" t="s">
        <v>171</v>
      </c>
      <c r="J4412" s="475" t="s">
        <v>337</v>
      </c>
      <c r="K4412" s="365">
        <v>295.45</v>
      </c>
      <c r="L4412" s="475" t="s">
        <v>141</v>
      </c>
      <c r="M4412" s="473"/>
    </row>
    <row r="4413" spans="1:13" ht="13.5">
      <c r="A4413" s="475" t="s">
        <v>5516</v>
      </c>
      <c r="B4413" s="475" t="s">
        <v>5517</v>
      </c>
      <c r="C4413" s="475" t="s">
        <v>5521</v>
      </c>
      <c r="D4413" s="475" t="s">
        <v>5522</v>
      </c>
      <c r="E4413" s="476" t="s">
        <v>34</v>
      </c>
      <c r="F4413" s="475" t="s">
        <v>34</v>
      </c>
      <c r="G4413" s="364">
        <v>88503</v>
      </c>
      <c r="H4413" s="475" t="s">
        <v>3636</v>
      </c>
      <c r="I4413" s="475" t="s">
        <v>171</v>
      </c>
      <c r="J4413" s="475" t="s">
        <v>337</v>
      </c>
      <c r="K4413" s="365">
        <v>740.77</v>
      </c>
      <c r="L4413" s="475" t="s">
        <v>141</v>
      </c>
      <c r="M4413" s="473"/>
    </row>
    <row r="4414" spans="1:13" ht="13.5">
      <c r="A4414" s="475" t="s">
        <v>5516</v>
      </c>
      <c r="B4414" s="475" t="s">
        <v>5517</v>
      </c>
      <c r="C4414" s="475" t="s">
        <v>5521</v>
      </c>
      <c r="D4414" s="475" t="s">
        <v>5522</v>
      </c>
      <c r="E4414" s="476" t="s">
        <v>34</v>
      </c>
      <c r="F4414" s="475" t="s">
        <v>34</v>
      </c>
      <c r="G4414" s="364">
        <v>88504</v>
      </c>
      <c r="H4414" s="475" t="s">
        <v>3637</v>
      </c>
      <c r="I4414" s="475" t="s">
        <v>171</v>
      </c>
      <c r="J4414" s="475" t="s">
        <v>337</v>
      </c>
      <c r="K4414" s="365">
        <v>598.11</v>
      </c>
      <c r="L4414" s="475" t="s">
        <v>141</v>
      </c>
      <c r="M4414" s="473"/>
    </row>
    <row r="4415" spans="1:13" ht="13.5">
      <c r="A4415" s="475" t="s">
        <v>5516</v>
      </c>
      <c r="B4415" s="475" t="s">
        <v>5517</v>
      </c>
      <c r="C4415" s="475" t="s">
        <v>5521</v>
      </c>
      <c r="D4415" s="475" t="s">
        <v>5522</v>
      </c>
      <c r="E4415" s="476" t="s">
        <v>34</v>
      </c>
      <c r="F4415" s="475" t="s">
        <v>34</v>
      </c>
      <c r="G4415" s="364">
        <v>97900</v>
      </c>
      <c r="H4415" s="475" t="s">
        <v>6632</v>
      </c>
      <c r="I4415" s="475" t="s">
        <v>171</v>
      </c>
      <c r="J4415" s="475" t="s">
        <v>140</v>
      </c>
      <c r="K4415" s="365">
        <v>130.29</v>
      </c>
      <c r="L4415" s="475" t="s">
        <v>141</v>
      </c>
      <c r="M4415" s="473"/>
    </row>
    <row r="4416" spans="1:13" ht="13.5">
      <c r="A4416" s="475" t="s">
        <v>5516</v>
      </c>
      <c r="B4416" s="475" t="s">
        <v>5517</v>
      </c>
      <c r="C4416" s="475" t="s">
        <v>5521</v>
      </c>
      <c r="D4416" s="475" t="s">
        <v>5522</v>
      </c>
      <c r="E4416" s="476" t="s">
        <v>34</v>
      </c>
      <c r="F4416" s="475" t="s">
        <v>34</v>
      </c>
      <c r="G4416" s="364">
        <v>97901</v>
      </c>
      <c r="H4416" s="475" t="s">
        <v>6633</v>
      </c>
      <c r="I4416" s="475" t="s">
        <v>171</v>
      </c>
      <c r="J4416" s="475" t="s">
        <v>140</v>
      </c>
      <c r="K4416" s="365">
        <v>206.65</v>
      </c>
      <c r="L4416" s="475" t="s">
        <v>141</v>
      </c>
      <c r="M4416" s="473"/>
    </row>
    <row r="4417" spans="1:13" ht="13.5">
      <c r="A4417" s="475" t="s">
        <v>5516</v>
      </c>
      <c r="B4417" s="475" t="s">
        <v>5517</v>
      </c>
      <c r="C4417" s="475" t="s">
        <v>5521</v>
      </c>
      <c r="D4417" s="475" t="s">
        <v>5522</v>
      </c>
      <c r="E4417" s="476" t="s">
        <v>34</v>
      </c>
      <c r="F4417" s="475" t="s">
        <v>34</v>
      </c>
      <c r="G4417" s="364">
        <v>97902</v>
      </c>
      <c r="H4417" s="475" t="s">
        <v>6634</v>
      </c>
      <c r="I4417" s="475" t="s">
        <v>171</v>
      </c>
      <c r="J4417" s="475" t="s">
        <v>140</v>
      </c>
      <c r="K4417" s="365">
        <v>406.93</v>
      </c>
      <c r="L4417" s="475" t="s">
        <v>141</v>
      </c>
      <c r="M4417" s="473"/>
    </row>
    <row r="4418" spans="1:13" ht="13.5">
      <c r="A4418" s="475" t="s">
        <v>5516</v>
      </c>
      <c r="B4418" s="475" t="s">
        <v>5517</v>
      </c>
      <c r="C4418" s="475" t="s">
        <v>5521</v>
      </c>
      <c r="D4418" s="475" t="s">
        <v>5522</v>
      </c>
      <c r="E4418" s="476" t="s">
        <v>34</v>
      </c>
      <c r="F4418" s="475" t="s">
        <v>34</v>
      </c>
      <c r="G4418" s="364">
        <v>97903</v>
      </c>
      <c r="H4418" s="475" t="s">
        <v>6635</v>
      </c>
      <c r="I4418" s="475" t="s">
        <v>171</v>
      </c>
      <c r="J4418" s="475" t="s">
        <v>140</v>
      </c>
      <c r="K4418" s="365">
        <v>562.28</v>
      </c>
      <c r="L4418" s="475" t="s">
        <v>141</v>
      </c>
      <c r="M4418" s="473"/>
    </row>
    <row r="4419" spans="1:13" ht="13.5">
      <c r="A4419" s="475" t="s">
        <v>5516</v>
      </c>
      <c r="B4419" s="475" t="s">
        <v>5517</v>
      </c>
      <c r="C4419" s="475" t="s">
        <v>5521</v>
      </c>
      <c r="D4419" s="475" t="s">
        <v>5522</v>
      </c>
      <c r="E4419" s="476" t="s">
        <v>34</v>
      </c>
      <c r="F4419" s="475" t="s">
        <v>34</v>
      </c>
      <c r="G4419" s="364">
        <v>97904</v>
      </c>
      <c r="H4419" s="475" t="s">
        <v>6636</v>
      </c>
      <c r="I4419" s="475" t="s">
        <v>171</v>
      </c>
      <c r="J4419" s="475" t="s">
        <v>140</v>
      </c>
      <c r="K4419" s="365">
        <v>665</v>
      </c>
      <c r="L4419" s="475" t="s">
        <v>141</v>
      </c>
      <c r="M4419" s="473"/>
    </row>
    <row r="4420" spans="1:13" ht="13.5">
      <c r="A4420" s="475" t="s">
        <v>5516</v>
      </c>
      <c r="B4420" s="475" t="s">
        <v>5517</v>
      </c>
      <c r="C4420" s="475" t="s">
        <v>5521</v>
      </c>
      <c r="D4420" s="475" t="s">
        <v>5522</v>
      </c>
      <c r="E4420" s="476" t="s">
        <v>34</v>
      </c>
      <c r="F4420" s="475" t="s">
        <v>34</v>
      </c>
      <c r="G4420" s="364">
        <v>97905</v>
      </c>
      <c r="H4420" s="475" t="s">
        <v>6637</v>
      </c>
      <c r="I4420" s="475" t="s">
        <v>171</v>
      </c>
      <c r="J4420" s="475" t="s">
        <v>140</v>
      </c>
      <c r="K4420" s="365">
        <v>165.38</v>
      </c>
      <c r="L4420" s="475" t="s">
        <v>141</v>
      </c>
      <c r="M4420" s="473"/>
    </row>
    <row r="4421" spans="1:13" ht="13.5">
      <c r="A4421" s="475" t="s">
        <v>5516</v>
      </c>
      <c r="B4421" s="475" t="s">
        <v>5517</v>
      </c>
      <c r="C4421" s="475" t="s">
        <v>5521</v>
      </c>
      <c r="D4421" s="475" t="s">
        <v>5522</v>
      </c>
      <c r="E4421" s="476" t="s">
        <v>34</v>
      </c>
      <c r="F4421" s="475" t="s">
        <v>34</v>
      </c>
      <c r="G4421" s="364">
        <v>97906</v>
      </c>
      <c r="H4421" s="475" t="s">
        <v>6638</v>
      </c>
      <c r="I4421" s="475" t="s">
        <v>171</v>
      </c>
      <c r="J4421" s="475" t="s">
        <v>140</v>
      </c>
      <c r="K4421" s="365">
        <v>308.41000000000003</v>
      </c>
      <c r="L4421" s="475" t="s">
        <v>141</v>
      </c>
      <c r="M4421" s="473"/>
    </row>
    <row r="4422" spans="1:13" ht="13.5">
      <c r="A4422" s="475" t="s">
        <v>5516</v>
      </c>
      <c r="B4422" s="475" t="s">
        <v>5517</v>
      </c>
      <c r="C4422" s="475" t="s">
        <v>5521</v>
      </c>
      <c r="D4422" s="475" t="s">
        <v>5522</v>
      </c>
      <c r="E4422" s="476" t="s">
        <v>34</v>
      </c>
      <c r="F4422" s="475" t="s">
        <v>34</v>
      </c>
      <c r="G4422" s="364">
        <v>97907</v>
      </c>
      <c r="H4422" s="475" t="s">
        <v>6639</v>
      </c>
      <c r="I4422" s="475" t="s">
        <v>171</v>
      </c>
      <c r="J4422" s="475" t="s">
        <v>140</v>
      </c>
      <c r="K4422" s="365">
        <v>436.57</v>
      </c>
      <c r="L4422" s="475" t="s">
        <v>141</v>
      </c>
      <c r="M4422" s="473"/>
    </row>
    <row r="4423" spans="1:13" ht="13.5">
      <c r="A4423" s="475" t="s">
        <v>5516</v>
      </c>
      <c r="B4423" s="475" t="s">
        <v>5517</v>
      </c>
      <c r="C4423" s="475" t="s">
        <v>5521</v>
      </c>
      <c r="D4423" s="475" t="s">
        <v>5522</v>
      </c>
      <c r="E4423" s="476" t="s">
        <v>34</v>
      </c>
      <c r="F4423" s="475" t="s">
        <v>34</v>
      </c>
      <c r="G4423" s="364">
        <v>97908</v>
      </c>
      <c r="H4423" s="475" t="s">
        <v>6640</v>
      </c>
      <c r="I4423" s="475" t="s">
        <v>171</v>
      </c>
      <c r="J4423" s="475" t="s">
        <v>140</v>
      </c>
      <c r="K4423" s="365">
        <v>516.24</v>
      </c>
      <c r="L4423" s="475" t="s">
        <v>141</v>
      </c>
      <c r="M4423" s="473"/>
    </row>
    <row r="4424" spans="1:13" ht="13.5">
      <c r="A4424" s="475" t="s">
        <v>5516</v>
      </c>
      <c r="B4424" s="475" t="s">
        <v>5517</v>
      </c>
      <c r="C4424" s="475" t="s">
        <v>5521</v>
      </c>
      <c r="D4424" s="475" t="s">
        <v>5522</v>
      </c>
      <c r="E4424" s="476" t="s">
        <v>34</v>
      </c>
      <c r="F4424" s="475" t="s">
        <v>34</v>
      </c>
      <c r="G4424" s="364">
        <v>98102</v>
      </c>
      <c r="H4424" s="475" t="s">
        <v>6641</v>
      </c>
      <c r="I4424" s="475" t="s">
        <v>171</v>
      </c>
      <c r="J4424" s="475" t="s">
        <v>140</v>
      </c>
      <c r="K4424" s="365">
        <v>77.66</v>
      </c>
      <c r="L4424" s="475" t="s">
        <v>141</v>
      </c>
      <c r="M4424" s="473"/>
    </row>
    <row r="4425" spans="1:13" ht="13.5">
      <c r="A4425" s="475" t="s">
        <v>5516</v>
      </c>
      <c r="B4425" s="475" t="s">
        <v>5517</v>
      </c>
      <c r="C4425" s="475" t="s">
        <v>5521</v>
      </c>
      <c r="D4425" s="475" t="s">
        <v>5522</v>
      </c>
      <c r="E4425" s="476" t="s">
        <v>34</v>
      </c>
      <c r="F4425" s="475" t="s">
        <v>34</v>
      </c>
      <c r="G4425" s="364">
        <v>98103</v>
      </c>
      <c r="H4425" s="475" t="s">
        <v>6642</v>
      </c>
      <c r="I4425" s="475" t="s">
        <v>171</v>
      </c>
      <c r="J4425" s="475" t="s">
        <v>140</v>
      </c>
      <c r="K4425" s="365">
        <v>163.12</v>
      </c>
      <c r="L4425" s="475" t="s">
        <v>141</v>
      </c>
      <c r="M4425" s="473"/>
    </row>
    <row r="4426" spans="1:13" ht="13.5">
      <c r="A4426" s="475" t="s">
        <v>5516</v>
      </c>
      <c r="B4426" s="475" t="s">
        <v>5517</v>
      </c>
      <c r="C4426" s="475" t="s">
        <v>5521</v>
      </c>
      <c r="D4426" s="475" t="s">
        <v>5522</v>
      </c>
      <c r="E4426" s="476" t="s">
        <v>34</v>
      </c>
      <c r="F4426" s="475" t="s">
        <v>34</v>
      </c>
      <c r="G4426" s="364">
        <v>98104</v>
      </c>
      <c r="H4426" s="475" t="s">
        <v>6643</v>
      </c>
      <c r="I4426" s="475" t="s">
        <v>171</v>
      </c>
      <c r="J4426" s="475" t="s">
        <v>140</v>
      </c>
      <c r="K4426" s="365">
        <v>273.33999999999997</v>
      </c>
      <c r="L4426" s="475" t="s">
        <v>141</v>
      </c>
      <c r="M4426" s="473"/>
    </row>
    <row r="4427" spans="1:13" ht="13.5">
      <c r="A4427" s="475" t="s">
        <v>5516</v>
      </c>
      <c r="B4427" s="475" t="s">
        <v>5517</v>
      </c>
      <c r="C4427" s="475" t="s">
        <v>5521</v>
      </c>
      <c r="D4427" s="475" t="s">
        <v>5522</v>
      </c>
      <c r="E4427" s="476" t="s">
        <v>34</v>
      </c>
      <c r="F4427" s="475" t="s">
        <v>34</v>
      </c>
      <c r="G4427" s="364">
        <v>98105</v>
      </c>
      <c r="H4427" s="475" t="s">
        <v>6644</v>
      </c>
      <c r="I4427" s="475" t="s">
        <v>171</v>
      </c>
      <c r="J4427" s="475" t="s">
        <v>140</v>
      </c>
      <c r="K4427" s="365">
        <v>473.78</v>
      </c>
      <c r="L4427" s="475" t="s">
        <v>141</v>
      </c>
      <c r="M4427" s="473"/>
    </row>
    <row r="4428" spans="1:13" ht="13.5">
      <c r="A4428" s="475" t="s">
        <v>5516</v>
      </c>
      <c r="B4428" s="475" t="s">
        <v>5517</v>
      </c>
      <c r="C4428" s="475" t="s">
        <v>5521</v>
      </c>
      <c r="D4428" s="475" t="s">
        <v>5522</v>
      </c>
      <c r="E4428" s="476" t="s">
        <v>34</v>
      </c>
      <c r="F4428" s="475" t="s">
        <v>34</v>
      </c>
      <c r="G4428" s="364">
        <v>98106</v>
      </c>
      <c r="H4428" s="475" t="s">
        <v>6645</v>
      </c>
      <c r="I4428" s="475" t="s">
        <v>171</v>
      </c>
      <c r="J4428" s="475" t="s">
        <v>140</v>
      </c>
      <c r="K4428" s="365">
        <v>783.27</v>
      </c>
      <c r="L4428" s="475" t="s">
        <v>141</v>
      </c>
      <c r="M4428" s="473"/>
    </row>
    <row r="4429" spans="1:13" ht="13.5">
      <c r="A4429" s="475" t="s">
        <v>5516</v>
      </c>
      <c r="B4429" s="475" t="s">
        <v>5517</v>
      </c>
      <c r="C4429" s="475" t="s">
        <v>5521</v>
      </c>
      <c r="D4429" s="475" t="s">
        <v>5522</v>
      </c>
      <c r="E4429" s="476" t="s">
        <v>34</v>
      </c>
      <c r="F4429" s="475" t="s">
        <v>34</v>
      </c>
      <c r="G4429" s="364">
        <v>98107</v>
      </c>
      <c r="H4429" s="475" t="s">
        <v>6646</v>
      </c>
      <c r="I4429" s="475" t="s">
        <v>171</v>
      </c>
      <c r="J4429" s="475" t="s">
        <v>140</v>
      </c>
      <c r="K4429" s="365">
        <v>196.67</v>
      </c>
      <c r="L4429" s="475" t="s">
        <v>141</v>
      </c>
      <c r="M4429" s="473"/>
    </row>
    <row r="4430" spans="1:13" ht="13.5">
      <c r="A4430" s="475" t="s">
        <v>5516</v>
      </c>
      <c r="B4430" s="475" t="s">
        <v>5517</v>
      </c>
      <c r="C4430" s="475" t="s">
        <v>5521</v>
      </c>
      <c r="D4430" s="475" t="s">
        <v>5522</v>
      </c>
      <c r="E4430" s="476" t="s">
        <v>34</v>
      </c>
      <c r="F4430" s="475" t="s">
        <v>34</v>
      </c>
      <c r="G4430" s="364">
        <v>98108</v>
      </c>
      <c r="H4430" s="475" t="s">
        <v>6647</v>
      </c>
      <c r="I4430" s="475" t="s">
        <v>171</v>
      </c>
      <c r="J4430" s="475" t="s">
        <v>140</v>
      </c>
      <c r="K4430" s="365">
        <v>350.19</v>
      </c>
      <c r="L4430" s="475" t="s">
        <v>141</v>
      </c>
      <c r="M4430" s="473"/>
    </row>
    <row r="4431" spans="1:13" ht="13.5">
      <c r="A4431" s="475" t="s">
        <v>5516</v>
      </c>
      <c r="B4431" s="475" t="s">
        <v>5517</v>
      </c>
      <c r="C4431" s="475" t="s">
        <v>5521</v>
      </c>
      <c r="D4431" s="475" t="s">
        <v>5522</v>
      </c>
      <c r="E4431" s="476" t="s">
        <v>34</v>
      </c>
      <c r="F4431" s="475" t="s">
        <v>34</v>
      </c>
      <c r="G4431" s="364">
        <v>99250</v>
      </c>
      <c r="H4431" s="475" t="s">
        <v>7763</v>
      </c>
      <c r="I4431" s="475" t="s">
        <v>171</v>
      </c>
      <c r="J4431" s="475" t="s">
        <v>140</v>
      </c>
      <c r="K4431" s="365">
        <v>127.63</v>
      </c>
      <c r="L4431" s="475" t="s">
        <v>141</v>
      </c>
      <c r="M4431" s="473"/>
    </row>
    <row r="4432" spans="1:13" ht="13.5">
      <c r="A4432" s="475" t="s">
        <v>5516</v>
      </c>
      <c r="B4432" s="475" t="s">
        <v>5517</v>
      </c>
      <c r="C4432" s="475" t="s">
        <v>5521</v>
      </c>
      <c r="D4432" s="475" t="s">
        <v>5522</v>
      </c>
      <c r="E4432" s="476" t="s">
        <v>34</v>
      </c>
      <c r="F4432" s="475" t="s">
        <v>34</v>
      </c>
      <c r="G4432" s="364">
        <v>99251</v>
      </c>
      <c r="H4432" s="475" t="s">
        <v>7764</v>
      </c>
      <c r="I4432" s="475" t="s">
        <v>171</v>
      </c>
      <c r="J4432" s="475" t="s">
        <v>140</v>
      </c>
      <c r="K4432" s="365">
        <v>202.09</v>
      </c>
      <c r="L4432" s="475" t="s">
        <v>141</v>
      </c>
      <c r="M4432" s="473"/>
    </row>
    <row r="4433" spans="1:13" ht="13.5">
      <c r="A4433" s="475" t="s">
        <v>5516</v>
      </c>
      <c r="B4433" s="475" t="s">
        <v>5517</v>
      </c>
      <c r="C4433" s="475" t="s">
        <v>5521</v>
      </c>
      <c r="D4433" s="475" t="s">
        <v>5522</v>
      </c>
      <c r="E4433" s="476" t="s">
        <v>34</v>
      </c>
      <c r="F4433" s="475" t="s">
        <v>34</v>
      </c>
      <c r="G4433" s="364">
        <v>99253</v>
      </c>
      <c r="H4433" s="475" t="s">
        <v>7765</v>
      </c>
      <c r="I4433" s="475" t="s">
        <v>171</v>
      </c>
      <c r="J4433" s="475" t="s">
        <v>140</v>
      </c>
      <c r="K4433" s="365">
        <v>396.69</v>
      </c>
      <c r="L4433" s="475" t="s">
        <v>141</v>
      </c>
      <c r="M4433" s="473"/>
    </row>
    <row r="4434" spans="1:13" ht="13.5">
      <c r="A4434" s="475" t="s">
        <v>5516</v>
      </c>
      <c r="B4434" s="475" t="s">
        <v>5517</v>
      </c>
      <c r="C4434" s="475" t="s">
        <v>5521</v>
      </c>
      <c r="D4434" s="475" t="s">
        <v>5522</v>
      </c>
      <c r="E4434" s="476" t="s">
        <v>34</v>
      </c>
      <c r="F4434" s="475" t="s">
        <v>34</v>
      </c>
      <c r="G4434" s="364">
        <v>99255</v>
      </c>
      <c r="H4434" s="475" t="s">
        <v>7766</v>
      </c>
      <c r="I4434" s="475" t="s">
        <v>171</v>
      </c>
      <c r="J4434" s="475" t="s">
        <v>140</v>
      </c>
      <c r="K4434" s="365">
        <v>548.24</v>
      </c>
      <c r="L4434" s="475" t="s">
        <v>141</v>
      </c>
      <c r="M4434" s="473"/>
    </row>
    <row r="4435" spans="1:13" ht="13.5">
      <c r="A4435" s="475" t="s">
        <v>5516</v>
      </c>
      <c r="B4435" s="475" t="s">
        <v>5517</v>
      </c>
      <c r="C4435" s="475" t="s">
        <v>5521</v>
      </c>
      <c r="D4435" s="475" t="s">
        <v>5522</v>
      </c>
      <c r="E4435" s="476" t="s">
        <v>34</v>
      </c>
      <c r="F4435" s="475" t="s">
        <v>34</v>
      </c>
      <c r="G4435" s="364">
        <v>99257</v>
      </c>
      <c r="H4435" s="475" t="s">
        <v>7767</v>
      </c>
      <c r="I4435" s="475" t="s">
        <v>171</v>
      </c>
      <c r="J4435" s="475" t="s">
        <v>140</v>
      </c>
      <c r="K4435" s="365">
        <v>646.85</v>
      </c>
      <c r="L4435" s="475" t="s">
        <v>141</v>
      </c>
      <c r="M4435" s="473"/>
    </row>
    <row r="4436" spans="1:13" ht="13.5">
      <c r="A4436" s="475" t="s">
        <v>5516</v>
      </c>
      <c r="B4436" s="475" t="s">
        <v>5517</v>
      </c>
      <c r="C4436" s="475" t="s">
        <v>5521</v>
      </c>
      <c r="D4436" s="475" t="s">
        <v>5522</v>
      </c>
      <c r="E4436" s="476" t="s">
        <v>34</v>
      </c>
      <c r="F4436" s="475" t="s">
        <v>34</v>
      </c>
      <c r="G4436" s="364">
        <v>99258</v>
      </c>
      <c r="H4436" s="475" t="s">
        <v>7768</v>
      </c>
      <c r="I4436" s="475" t="s">
        <v>171</v>
      </c>
      <c r="J4436" s="475" t="s">
        <v>140</v>
      </c>
      <c r="K4436" s="365">
        <v>161.61000000000001</v>
      </c>
      <c r="L4436" s="475" t="s">
        <v>141</v>
      </c>
      <c r="M4436" s="473"/>
    </row>
    <row r="4437" spans="1:13" ht="13.5">
      <c r="A4437" s="475" t="s">
        <v>5516</v>
      </c>
      <c r="B4437" s="475" t="s">
        <v>5517</v>
      </c>
      <c r="C4437" s="475" t="s">
        <v>5521</v>
      </c>
      <c r="D4437" s="475" t="s">
        <v>5522</v>
      </c>
      <c r="E4437" s="476" t="s">
        <v>34</v>
      </c>
      <c r="F4437" s="475" t="s">
        <v>34</v>
      </c>
      <c r="G4437" s="364">
        <v>99260</v>
      </c>
      <c r="H4437" s="475" t="s">
        <v>7769</v>
      </c>
      <c r="I4437" s="475" t="s">
        <v>171</v>
      </c>
      <c r="J4437" s="475" t="s">
        <v>140</v>
      </c>
      <c r="K4437" s="365">
        <v>301.95999999999998</v>
      </c>
      <c r="L4437" s="475" t="s">
        <v>141</v>
      </c>
      <c r="M4437" s="473"/>
    </row>
    <row r="4438" spans="1:13" ht="13.5">
      <c r="A4438" s="475" t="s">
        <v>5516</v>
      </c>
      <c r="B4438" s="475" t="s">
        <v>5517</v>
      </c>
      <c r="C4438" s="475" t="s">
        <v>5521</v>
      </c>
      <c r="D4438" s="475" t="s">
        <v>5522</v>
      </c>
      <c r="E4438" s="476" t="s">
        <v>34</v>
      </c>
      <c r="F4438" s="475" t="s">
        <v>34</v>
      </c>
      <c r="G4438" s="364">
        <v>99262</v>
      </c>
      <c r="H4438" s="475" t="s">
        <v>7770</v>
      </c>
      <c r="I4438" s="475" t="s">
        <v>171</v>
      </c>
      <c r="J4438" s="475" t="s">
        <v>140</v>
      </c>
      <c r="K4438" s="365">
        <v>427.36</v>
      </c>
      <c r="L4438" s="475" t="s">
        <v>141</v>
      </c>
      <c r="M4438" s="473"/>
    </row>
    <row r="4439" spans="1:13" ht="13.5">
      <c r="A4439" s="475" t="s">
        <v>5516</v>
      </c>
      <c r="B4439" s="475" t="s">
        <v>5517</v>
      </c>
      <c r="C4439" s="475" t="s">
        <v>5521</v>
      </c>
      <c r="D4439" s="475" t="s">
        <v>5522</v>
      </c>
      <c r="E4439" s="476" t="s">
        <v>34</v>
      </c>
      <c r="F4439" s="475" t="s">
        <v>34</v>
      </c>
      <c r="G4439" s="364">
        <v>99264</v>
      </c>
      <c r="H4439" s="475" t="s">
        <v>7771</v>
      </c>
      <c r="I4439" s="475" t="s">
        <v>171</v>
      </c>
      <c r="J4439" s="475" t="s">
        <v>140</v>
      </c>
      <c r="K4439" s="365">
        <v>503.8</v>
      </c>
      <c r="L4439" s="475" t="s">
        <v>141</v>
      </c>
      <c r="M4439" s="473"/>
    </row>
    <row r="4440" spans="1:13" ht="13.5">
      <c r="A4440" s="475" t="s">
        <v>5516</v>
      </c>
      <c r="B4440" s="475" t="s">
        <v>5517</v>
      </c>
      <c r="C4440" s="475" t="s">
        <v>5524</v>
      </c>
      <c r="D4440" s="475" t="s">
        <v>5525</v>
      </c>
      <c r="E4440" s="476" t="s">
        <v>34</v>
      </c>
      <c r="F4440" s="475" t="s">
        <v>34</v>
      </c>
      <c r="G4440" s="364">
        <v>89482</v>
      </c>
      <c r="H4440" s="475" t="s">
        <v>3638</v>
      </c>
      <c r="I4440" s="475" t="s">
        <v>171</v>
      </c>
      <c r="J4440" s="475" t="s">
        <v>337</v>
      </c>
      <c r="K4440" s="365">
        <v>19.98</v>
      </c>
      <c r="L4440" s="475" t="s">
        <v>141</v>
      </c>
      <c r="M4440" s="473"/>
    </row>
    <row r="4441" spans="1:13" ht="13.5">
      <c r="A4441" s="475" t="s">
        <v>5516</v>
      </c>
      <c r="B4441" s="475" t="s">
        <v>5517</v>
      </c>
      <c r="C4441" s="475" t="s">
        <v>5524</v>
      </c>
      <c r="D4441" s="475" t="s">
        <v>5525</v>
      </c>
      <c r="E4441" s="476" t="s">
        <v>34</v>
      </c>
      <c r="F4441" s="475" t="s">
        <v>34</v>
      </c>
      <c r="G4441" s="364">
        <v>89491</v>
      </c>
      <c r="H4441" s="475" t="s">
        <v>3639</v>
      </c>
      <c r="I4441" s="475" t="s">
        <v>171</v>
      </c>
      <c r="J4441" s="475" t="s">
        <v>337</v>
      </c>
      <c r="K4441" s="365">
        <v>49.21</v>
      </c>
      <c r="L4441" s="475" t="s">
        <v>141</v>
      </c>
      <c r="M4441" s="473"/>
    </row>
    <row r="4442" spans="1:13" ht="13.5">
      <c r="A4442" s="475" t="s">
        <v>5516</v>
      </c>
      <c r="B4442" s="475" t="s">
        <v>5517</v>
      </c>
      <c r="C4442" s="475" t="s">
        <v>5524</v>
      </c>
      <c r="D4442" s="475" t="s">
        <v>5525</v>
      </c>
      <c r="E4442" s="476" t="s">
        <v>34</v>
      </c>
      <c r="F4442" s="475" t="s">
        <v>34</v>
      </c>
      <c r="G4442" s="364">
        <v>89495</v>
      </c>
      <c r="H4442" s="475" t="s">
        <v>3640</v>
      </c>
      <c r="I4442" s="475" t="s">
        <v>171</v>
      </c>
      <c r="J4442" s="475" t="s">
        <v>337</v>
      </c>
      <c r="K4442" s="365">
        <v>7.94</v>
      </c>
      <c r="L4442" s="475" t="s">
        <v>141</v>
      </c>
      <c r="M4442" s="473"/>
    </row>
    <row r="4443" spans="1:13" ht="13.5">
      <c r="A4443" s="475" t="s">
        <v>5516</v>
      </c>
      <c r="B4443" s="475" t="s">
        <v>5517</v>
      </c>
      <c r="C4443" s="475" t="s">
        <v>5524</v>
      </c>
      <c r="D4443" s="475" t="s">
        <v>5525</v>
      </c>
      <c r="E4443" s="476" t="s">
        <v>34</v>
      </c>
      <c r="F4443" s="475" t="s">
        <v>34</v>
      </c>
      <c r="G4443" s="364">
        <v>89707</v>
      </c>
      <c r="H4443" s="475" t="s">
        <v>3641</v>
      </c>
      <c r="I4443" s="475" t="s">
        <v>171</v>
      </c>
      <c r="J4443" s="475" t="s">
        <v>337</v>
      </c>
      <c r="K4443" s="365">
        <v>24.05</v>
      </c>
      <c r="L4443" s="475" t="s">
        <v>141</v>
      </c>
      <c r="M4443" s="473"/>
    </row>
    <row r="4444" spans="1:13" ht="13.5">
      <c r="A4444" s="475" t="s">
        <v>5516</v>
      </c>
      <c r="B4444" s="475" t="s">
        <v>5517</v>
      </c>
      <c r="C4444" s="475" t="s">
        <v>5524</v>
      </c>
      <c r="D4444" s="475" t="s">
        <v>5525</v>
      </c>
      <c r="E4444" s="476" t="s">
        <v>34</v>
      </c>
      <c r="F4444" s="475" t="s">
        <v>34</v>
      </c>
      <c r="G4444" s="364">
        <v>89708</v>
      </c>
      <c r="H4444" s="475" t="s">
        <v>3642</v>
      </c>
      <c r="I4444" s="475" t="s">
        <v>171</v>
      </c>
      <c r="J4444" s="475" t="s">
        <v>337</v>
      </c>
      <c r="K4444" s="365">
        <v>54.69</v>
      </c>
      <c r="L4444" s="475" t="s">
        <v>141</v>
      </c>
      <c r="M4444" s="473"/>
    </row>
    <row r="4445" spans="1:13" ht="13.5">
      <c r="A4445" s="475" t="s">
        <v>5516</v>
      </c>
      <c r="B4445" s="475" t="s">
        <v>5517</v>
      </c>
      <c r="C4445" s="475" t="s">
        <v>5524</v>
      </c>
      <c r="D4445" s="475" t="s">
        <v>5525</v>
      </c>
      <c r="E4445" s="476" t="s">
        <v>34</v>
      </c>
      <c r="F4445" s="475" t="s">
        <v>34</v>
      </c>
      <c r="G4445" s="364">
        <v>89709</v>
      </c>
      <c r="H4445" s="475" t="s">
        <v>3643</v>
      </c>
      <c r="I4445" s="475" t="s">
        <v>171</v>
      </c>
      <c r="J4445" s="475" t="s">
        <v>337</v>
      </c>
      <c r="K4445" s="365">
        <v>9.1199999999999992</v>
      </c>
      <c r="L4445" s="475" t="s">
        <v>141</v>
      </c>
      <c r="M4445" s="473"/>
    </row>
    <row r="4446" spans="1:13" ht="13.5">
      <c r="A4446" s="475" t="s">
        <v>5516</v>
      </c>
      <c r="B4446" s="475" t="s">
        <v>5517</v>
      </c>
      <c r="C4446" s="475" t="s">
        <v>5524</v>
      </c>
      <c r="D4446" s="475" t="s">
        <v>5525</v>
      </c>
      <c r="E4446" s="476" t="s">
        <v>34</v>
      </c>
      <c r="F4446" s="475" t="s">
        <v>34</v>
      </c>
      <c r="G4446" s="364">
        <v>89710</v>
      </c>
      <c r="H4446" s="475" t="s">
        <v>3644</v>
      </c>
      <c r="I4446" s="475" t="s">
        <v>171</v>
      </c>
      <c r="J4446" s="475" t="s">
        <v>337</v>
      </c>
      <c r="K4446" s="365">
        <v>8.93</v>
      </c>
      <c r="L4446" s="475" t="s">
        <v>141</v>
      </c>
      <c r="M4446" s="473"/>
    </row>
    <row r="4447" spans="1:13" ht="13.5">
      <c r="A4447" s="475" t="s">
        <v>5516</v>
      </c>
      <c r="B4447" s="475" t="s">
        <v>5517</v>
      </c>
      <c r="C4447" s="475" t="s">
        <v>5526</v>
      </c>
      <c r="D4447" s="475" t="s">
        <v>5527</v>
      </c>
      <c r="E4447" s="476" t="s">
        <v>34</v>
      </c>
      <c r="F4447" s="475" t="s">
        <v>34</v>
      </c>
      <c r="G4447" s="364">
        <v>72739</v>
      </c>
      <c r="H4447" s="475" t="s">
        <v>3645</v>
      </c>
      <c r="I4447" s="475" t="s">
        <v>171</v>
      </c>
      <c r="J4447" s="475" t="s">
        <v>337</v>
      </c>
      <c r="K4447" s="365">
        <v>441.16</v>
      </c>
      <c r="L4447" s="475" t="s">
        <v>141</v>
      </c>
      <c r="M4447" s="473"/>
    </row>
    <row r="4448" spans="1:13" ht="13.5">
      <c r="A4448" s="475" t="s">
        <v>5516</v>
      </c>
      <c r="B4448" s="475" t="s">
        <v>5517</v>
      </c>
      <c r="C4448" s="475" t="s">
        <v>5526</v>
      </c>
      <c r="D4448" s="475" t="s">
        <v>5527</v>
      </c>
      <c r="E4448" s="476">
        <v>74234</v>
      </c>
      <c r="F4448" s="475" t="s">
        <v>5528</v>
      </c>
      <c r="G4448" s="364" t="s">
        <v>3646</v>
      </c>
      <c r="H4448" s="475" t="s">
        <v>3647</v>
      </c>
      <c r="I4448" s="475" t="s">
        <v>171</v>
      </c>
      <c r="J4448" s="475" t="s">
        <v>140</v>
      </c>
      <c r="K4448" s="365">
        <v>465.16</v>
      </c>
      <c r="L4448" s="475" t="s">
        <v>141</v>
      </c>
      <c r="M4448" s="473"/>
    </row>
    <row r="4449" spans="1:13" ht="13.5">
      <c r="A4449" s="475" t="s">
        <v>5516</v>
      </c>
      <c r="B4449" s="475" t="s">
        <v>5517</v>
      </c>
      <c r="C4449" s="475" t="s">
        <v>5526</v>
      </c>
      <c r="D4449" s="475" t="s">
        <v>5527</v>
      </c>
      <c r="E4449" s="476" t="s">
        <v>34</v>
      </c>
      <c r="F4449" s="475" t="s">
        <v>34</v>
      </c>
      <c r="G4449" s="364">
        <v>86872</v>
      </c>
      <c r="H4449" s="475" t="s">
        <v>3648</v>
      </c>
      <c r="I4449" s="475" t="s">
        <v>171</v>
      </c>
      <c r="J4449" s="475" t="s">
        <v>337</v>
      </c>
      <c r="K4449" s="365">
        <v>624.59</v>
      </c>
      <c r="L4449" s="475" t="s">
        <v>141</v>
      </c>
      <c r="M4449" s="473"/>
    </row>
    <row r="4450" spans="1:13" ht="13.5">
      <c r="A4450" s="475" t="s">
        <v>5516</v>
      </c>
      <c r="B4450" s="475" t="s">
        <v>5517</v>
      </c>
      <c r="C4450" s="475" t="s">
        <v>5526</v>
      </c>
      <c r="D4450" s="475" t="s">
        <v>5527</v>
      </c>
      <c r="E4450" s="476" t="s">
        <v>34</v>
      </c>
      <c r="F4450" s="475" t="s">
        <v>34</v>
      </c>
      <c r="G4450" s="364">
        <v>86874</v>
      </c>
      <c r="H4450" s="475" t="s">
        <v>3649</v>
      </c>
      <c r="I4450" s="475" t="s">
        <v>171</v>
      </c>
      <c r="J4450" s="475" t="s">
        <v>337</v>
      </c>
      <c r="K4450" s="365">
        <v>383.82</v>
      </c>
      <c r="L4450" s="475" t="s">
        <v>141</v>
      </c>
      <c r="M4450" s="473"/>
    </row>
    <row r="4451" spans="1:13" ht="13.5">
      <c r="A4451" s="475" t="s">
        <v>5516</v>
      </c>
      <c r="B4451" s="475" t="s">
        <v>5517</v>
      </c>
      <c r="C4451" s="475" t="s">
        <v>5526</v>
      </c>
      <c r="D4451" s="475" t="s">
        <v>5527</v>
      </c>
      <c r="E4451" s="476" t="s">
        <v>34</v>
      </c>
      <c r="F4451" s="475" t="s">
        <v>34</v>
      </c>
      <c r="G4451" s="364">
        <v>86875</v>
      </c>
      <c r="H4451" s="475" t="s">
        <v>3650</v>
      </c>
      <c r="I4451" s="475" t="s">
        <v>171</v>
      </c>
      <c r="J4451" s="475" t="s">
        <v>337</v>
      </c>
      <c r="K4451" s="365">
        <v>337.85</v>
      </c>
      <c r="L4451" s="475" t="s">
        <v>141</v>
      </c>
      <c r="M4451" s="473"/>
    </row>
    <row r="4452" spans="1:13" ht="13.5">
      <c r="A4452" s="475" t="s">
        <v>5516</v>
      </c>
      <c r="B4452" s="475" t="s">
        <v>5517</v>
      </c>
      <c r="C4452" s="475" t="s">
        <v>5526</v>
      </c>
      <c r="D4452" s="475" t="s">
        <v>5527</v>
      </c>
      <c r="E4452" s="476" t="s">
        <v>34</v>
      </c>
      <c r="F4452" s="475" t="s">
        <v>34</v>
      </c>
      <c r="G4452" s="364">
        <v>86876</v>
      </c>
      <c r="H4452" s="475" t="s">
        <v>3651</v>
      </c>
      <c r="I4452" s="475" t="s">
        <v>171</v>
      </c>
      <c r="J4452" s="475" t="s">
        <v>337</v>
      </c>
      <c r="K4452" s="365">
        <v>194.3</v>
      </c>
      <c r="L4452" s="475" t="s">
        <v>141</v>
      </c>
      <c r="M4452" s="473"/>
    </row>
    <row r="4453" spans="1:13" ht="13.5">
      <c r="A4453" s="475" t="s">
        <v>5516</v>
      </c>
      <c r="B4453" s="475" t="s">
        <v>5517</v>
      </c>
      <c r="C4453" s="475" t="s">
        <v>5526</v>
      </c>
      <c r="D4453" s="475" t="s">
        <v>5527</v>
      </c>
      <c r="E4453" s="476" t="s">
        <v>34</v>
      </c>
      <c r="F4453" s="475" t="s">
        <v>34</v>
      </c>
      <c r="G4453" s="364">
        <v>86877</v>
      </c>
      <c r="H4453" s="475" t="s">
        <v>3652</v>
      </c>
      <c r="I4453" s="475" t="s">
        <v>171</v>
      </c>
      <c r="J4453" s="475" t="s">
        <v>337</v>
      </c>
      <c r="K4453" s="365">
        <v>23.29</v>
      </c>
      <c r="L4453" s="475" t="s">
        <v>141</v>
      </c>
      <c r="M4453" s="473"/>
    </row>
    <row r="4454" spans="1:13" ht="13.5">
      <c r="A4454" s="475" t="s">
        <v>5516</v>
      </c>
      <c r="B4454" s="475" t="s">
        <v>5517</v>
      </c>
      <c r="C4454" s="475" t="s">
        <v>5526</v>
      </c>
      <c r="D4454" s="475" t="s">
        <v>5527</v>
      </c>
      <c r="E4454" s="476" t="s">
        <v>34</v>
      </c>
      <c r="F4454" s="475" t="s">
        <v>34</v>
      </c>
      <c r="G4454" s="364">
        <v>86878</v>
      </c>
      <c r="H4454" s="475" t="s">
        <v>3653</v>
      </c>
      <c r="I4454" s="475" t="s">
        <v>171</v>
      </c>
      <c r="J4454" s="475" t="s">
        <v>337</v>
      </c>
      <c r="K4454" s="365">
        <v>37.96</v>
      </c>
      <c r="L4454" s="475" t="s">
        <v>141</v>
      </c>
      <c r="M4454" s="473"/>
    </row>
    <row r="4455" spans="1:13" ht="13.5">
      <c r="A4455" s="475" t="s">
        <v>5516</v>
      </c>
      <c r="B4455" s="475" t="s">
        <v>5517</v>
      </c>
      <c r="C4455" s="475" t="s">
        <v>5526</v>
      </c>
      <c r="D4455" s="475" t="s">
        <v>5527</v>
      </c>
      <c r="E4455" s="476" t="s">
        <v>34</v>
      </c>
      <c r="F4455" s="475" t="s">
        <v>34</v>
      </c>
      <c r="G4455" s="364">
        <v>86879</v>
      </c>
      <c r="H4455" s="475" t="s">
        <v>3654</v>
      </c>
      <c r="I4455" s="475" t="s">
        <v>171</v>
      </c>
      <c r="J4455" s="475" t="s">
        <v>337</v>
      </c>
      <c r="K4455" s="365">
        <v>5.45</v>
      </c>
      <c r="L4455" s="475" t="s">
        <v>141</v>
      </c>
      <c r="M4455" s="473"/>
    </row>
    <row r="4456" spans="1:13" ht="13.5">
      <c r="A4456" s="475" t="s">
        <v>5516</v>
      </c>
      <c r="B4456" s="475" t="s">
        <v>5517</v>
      </c>
      <c r="C4456" s="475" t="s">
        <v>5526</v>
      </c>
      <c r="D4456" s="475" t="s">
        <v>5527</v>
      </c>
      <c r="E4456" s="476" t="s">
        <v>34</v>
      </c>
      <c r="F4456" s="475" t="s">
        <v>34</v>
      </c>
      <c r="G4456" s="364">
        <v>86880</v>
      </c>
      <c r="H4456" s="475" t="s">
        <v>3655</v>
      </c>
      <c r="I4456" s="475" t="s">
        <v>171</v>
      </c>
      <c r="J4456" s="475" t="s">
        <v>337</v>
      </c>
      <c r="K4456" s="365">
        <v>15.25</v>
      </c>
      <c r="L4456" s="475" t="s">
        <v>141</v>
      </c>
      <c r="M4456" s="473"/>
    </row>
    <row r="4457" spans="1:13" ht="13.5">
      <c r="A4457" s="475" t="s">
        <v>5516</v>
      </c>
      <c r="B4457" s="475" t="s">
        <v>5517</v>
      </c>
      <c r="C4457" s="475" t="s">
        <v>5526</v>
      </c>
      <c r="D4457" s="475" t="s">
        <v>5527</v>
      </c>
      <c r="E4457" s="476" t="s">
        <v>34</v>
      </c>
      <c r="F4457" s="475" t="s">
        <v>34</v>
      </c>
      <c r="G4457" s="364">
        <v>86881</v>
      </c>
      <c r="H4457" s="475" t="s">
        <v>3656</v>
      </c>
      <c r="I4457" s="475" t="s">
        <v>171</v>
      </c>
      <c r="J4457" s="475" t="s">
        <v>363</v>
      </c>
      <c r="K4457" s="365">
        <v>105.86</v>
      </c>
      <c r="L4457" s="475" t="s">
        <v>141</v>
      </c>
      <c r="M4457" s="473"/>
    </row>
    <row r="4458" spans="1:13" ht="13.5">
      <c r="A4458" s="475" t="s">
        <v>5516</v>
      </c>
      <c r="B4458" s="475" t="s">
        <v>5517</v>
      </c>
      <c r="C4458" s="475" t="s">
        <v>5526</v>
      </c>
      <c r="D4458" s="475" t="s">
        <v>5527</v>
      </c>
      <c r="E4458" s="476" t="s">
        <v>34</v>
      </c>
      <c r="F4458" s="475" t="s">
        <v>34</v>
      </c>
      <c r="G4458" s="364">
        <v>86882</v>
      </c>
      <c r="H4458" s="475" t="s">
        <v>3657</v>
      </c>
      <c r="I4458" s="475" t="s">
        <v>171</v>
      </c>
      <c r="J4458" s="475" t="s">
        <v>337</v>
      </c>
      <c r="K4458" s="365">
        <v>15.79</v>
      </c>
      <c r="L4458" s="475" t="s">
        <v>141</v>
      </c>
      <c r="M4458" s="473"/>
    </row>
    <row r="4459" spans="1:13" ht="13.5">
      <c r="A4459" s="475" t="s">
        <v>5516</v>
      </c>
      <c r="B4459" s="475" t="s">
        <v>5517</v>
      </c>
      <c r="C4459" s="475" t="s">
        <v>5526</v>
      </c>
      <c r="D4459" s="475" t="s">
        <v>5527</v>
      </c>
      <c r="E4459" s="476" t="s">
        <v>34</v>
      </c>
      <c r="F4459" s="475" t="s">
        <v>34</v>
      </c>
      <c r="G4459" s="364">
        <v>86883</v>
      </c>
      <c r="H4459" s="475" t="s">
        <v>3658</v>
      </c>
      <c r="I4459" s="475" t="s">
        <v>171</v>
      </c>
      <c r="J4459" s="475" t="s">
        <v>363</v>
      </c>
      <c r="K4459" s="365">
        <v>9.01</v>
      </c>
      <c r="L4459" s="475" t="s">
        <v>141</v>
      </c>
      <c r="M4459" s="473"/>
    </row>
    <row r="4460" spans="1:13" ht="13.5">
      <c r="A4460" s="475" t="s">
        <v>5516</v>
      </c>
      <c r="B4460" s="475" t="s">
        <v>5517</v>
      </c>
      <c r="C4460" s="475" t="s">
        <v>5526</v>
      </c>
      <c r="D4460" s="475" t="s">
        <v>5527</v>
      </c>
      <c r="E4460" s="476" t="s">
        <v>34</v>
      </c>
      <c r="F4460" s="475" t="s">
        <v>34</v>
      </c>
      <c r="G4460" s="364">
        <v>86884</v>
      </c>
      <c r="H4460" s="475" t="s">
        <v>3659</v>
      </c>
      <c r="I4460" s="475" t="s">
        <v>171</v>
      </c>
      <c r="J4460" s="475" t="s">
        <v>337</v>
      </c>
      <c r="K4460" s="365">
        <v>6.7</v>
      </c>
      <c r="L4460" s="475" t="s">
        <v>141</v>
      </c>
      <c r="M4460" s="473"/>
    </row>
    <row r="4461" spans="1:13" ht="13.5">
      <c r="A4461" s="475" t="s">
        <v>5516</v>
      </c>
      <c r="B4461" s="475" t="s">
        <v>5517</v>
      </c>
      <c r="C4461" s="475" t="s">
        <v>5526</v>
      </c>
      <c r="D4461" s="475" t="s">
        <v>5527</v>
      </c>
      <c r="E4461" s="476" t="s">
        <v>34</v>
      </c>
      <c r="F4461" s="475" t="s">
        <v>34</v>
      </c>
      <c r="G4461" s="364">
        <v>86885</v>
      </c>
      <c r="H4461" s="475" t="s">
        <v>3660</v>
      </c>
      <c r="I4461" s="475" t="s">
        <v>171</v>
      </c>
      <c r="J4461" s="475" t="s">
        <v>337</v>
      </c>
      <c r="K4461" s="365">
        <v>7.54</v>
      </c>
      <c r="L4461" s="475" t="s">
        <v>141</v>
      </c>
      <c r="M4461" s="473"/>
    </row>
    <row r="4462" spans="1:13" ht="13.5">
      <c r="A4462" s="475" t="s">
        <v>5516</v>
      </c>
      <c r="B4462" s="475" t="s">
        <v>5517</v>
      </c>
      <c r="C4462" s="475" t="s">
        <v>5526</v>
      </c>
      <c r="D4462" s="475" t="s">
        <v>5527</v>
      </c>
      <c r="E4462" s="476" t="s">
        <v>34</v>
      </c>
      <c r="F4462" s="475" t="s">
        <v>34</v>
      </c>
      <c r="G4462" s="364">
        <v>86886</v>
      </c>
      <c r="H4462" s="475" t="s">
        <v>3661</v>
      </c>
      <c r="I4462" s="475" t="s">
        <v>171</v>
      </c>
      <c r="J4462" s="475" t="s">
        <v>337</v>
      </c>
      <c r="K4462" s="365">
        <v>26.36</v>
      </c>
      <c r="L4462" s="475" t="s">
        <v>141</v>
      </c>
      <c r="M4462" s="473"/>
    </row>
    <row r="4463" spans="1:13" ht="13.5">
      <c r="A4463" s="475" t="s">
        <v>5516</v>
      </c>
      <c r="B4463" s="475" t="s">
        <v>5517</v>
      </c>
      <c r="C4463" s="475" t="s">
        <v>5526</v>
      </c>
      <c r="D4463" s="475" t="s">
        <v>5527</v>
      </c>
      <c r="E4463" s="476" t="s">
        <v>34</v>
      </c>
      <c r="F4463" s="475" t="s">
        <v>34</v>
      </c>
      <c r="G4463" s="364">
        <v>86887</v>
      </c>
      <c r="H4463" s="475" t="s">
        <v>3662</v>
      </c>
      <c r="I4463" s="475" t="s">
        <v>171</v>
      </c>
      <c r="J4463" s="475" t="s">
        <v>337</v>
      </c>
      <c r="K4463" s="365">
        <v>28.51</v>
      </c>
      <c r="L4463" s="475" t="s">
        <v>141</v>
      </c>
      <c r="M4463" s="473"/>
    </row>
    <row r="4464" spans="1:13" ht="13.5">
      <c r="A4464" s="475" t="s">
        <v>5516</v>
      </c>
      <c r="B4464" s="475" t="s">
        <v>5517</v>
      </c>
      <c r="C4464" s="475" t="s">
        <v>5526</v>
      </c>
      <c r="D4464" s="475" t="s">
        <v>5527</v>
      </c>
      <c r="E4464" s="476" t="s">
        <v>34</v>
      </c>
      <c r="F4464" s="475" t="s">
        <v>34</v>
      </c>
      <c r="G4464" s="364">
        <v>86888</v>
      </c>
      <c r="H4464" s="475" t="s">
        <v>3663</v>
      </c>
      <c r="I4464" s="475" t="s">
        <v>171</v>
      </c>
      <c r="J4464" s="475" t="s">
        <v>337</v>
      </c>
      <c r="K4464" s="365">
        <v>368.57</v>
      </c>
      <c r="L4464" s="475" t="s">
        <v>141</v>
      </c>
      <c r="M4464" s="473"/>
    </row>
    <row r="4465" spans="1:13" ht="13.5">
      <c r="A4465" s="475" t="s">
        <v>5516</v>
      </c>
      <c r="B4465" s="475" t="s">
        <v>5517</v>
      </c>
      <c r="C4465" s="475" t="s">
        <v>5526</v>
      </c>
      <c r="D4465" s="475" t="s">
        <v>5527</v>
      </c>
      <c r="E4465" s="476" t="s">
        <v>34</v>
      </c>
      <c r="F4465" s="475" t="s">
        <v>34</v>
      </c>
      <c r="G4465" s="364">
        <v>86889</v>
      </c>
      <c r="H4465" s="475" t="s">
        <v>3664</v>
      </c>
      <c r="I4465" s="475" t="s">
        <v>171</v>
      </c>
      <c r="J4465" s="475" t="s">
        <v>337</v>
      </c>
      <c r="K4465" s="365">
        <v>626.48</v>
      </c>
      <c r="L4465" s="475" t="s">
        <v>141</v>
      </c>
      <c r="M4465" s="473"/>
    </row>
    <row r="4466" spans="1:13" ht="13.5">
      <c r="A4466" s="475" t="s">
        <v>5516</v>
      </c>
      <c r="B4466" s="475" t="s">
        <v>5517</v>
      </c>
      <c r="C4466" s="475" t="s">
        <v>5526</v>
      </c>
      <c r="D4466" s="475" t="s">
        <v>5527</v>
      </c>
      <c r="E4466" s="476" t="s">
        <v>34</v>
      </c>
      <c r="F4466" s="475" t="s">
        <v>34</v>
      </c>
      <c r="G4466" s="364">
        <v>86893</v>
      </c>
      <c r="H4466" s="475" t="s">
        <v>3665</v>
      </c>
      <c r="I4466" s="475" t="s">
        <v>171</v>
      </c>
      <c r="J4466" s="475" t="s">
        <v>337</v>
      </c>
      <c r="K4466" s="365">
        <v>331.38</v>
      </c>
      <c r="L4466" s="475" t="s">
        <v>141</v>
      </c>
      <c r="M4466" s="473"/>
    </row>
    <row r="4467" spans="1:13" ht="13.5">
      <c r="A4467" s="475" t="s">
        <v>5516</v>
      </c>
      <c r="B4467" s="475" t="s">
        <v>5517</v>
      </c>
      <c r="C4467" s="475" t="s">
        <v>5526</v>
      </c>
      <c r="D4467" s="475" t="s">
        <v>5527</v>
      </c>
      <c r="E4467" s="476" t="s">
        <v>34</v>
      </c>
      <c r="F4467" s="475" t="s">
        <v>34</v>
      </c>
      <c r="G4467" s="364">
        <v>86894</v>
      </c>
      <c r="H4467" s="475" t="s">
        <v>3666</v>
      </c>
      <c r="I4467" s="475" t="s">
        <v>171</v>
      </c>
      <c r="J4467" s="475" t="s">
        <v>337</v>
      </c>
      <c r="K4467" s="365">
        <v>229.96</v>
      </c>
      <c r="L4467" s="475" t="s">
        <v>141</v>
      </c>
      <c r="M4467" s="473"/>
    </row>
    <row r="4468" spans="1:13" ht="13.5">
      <c r="A4468" s="475" t="s">
        <v>5516</v>
      </c>
      <c r="B4468" s="475" t="s">
        <v>5517</v>
      </c>
      <c r="C4468" s="475" t="s">
        <v>5526</v>
      </c>
      <c r="D4468" s="475" t="s">
        <v>5527</v>
      </c>
      <c r="E4468" s="476" t="s">
        <v>34</v>
      </c>
      <c r="F4468" s="475" t="s">
        <v>34</v>
      </c>
      <c r="G4468" s="364">
        <v>86895</v>
      </c>
      <c r="H4468" s="475" t="s">
        <v>3667</v>
      </c>
      <c r="I4468" s="475" t="s">
        <v>171</v>
      </c>
      <c r="J4468" s="475" t="s">
        <v>337</v>
      </c>
      <c r="K4468" s="365">
        <v>297.23</v>
      </c>
      <c r="L4468" s="475" t="s">
        <v>141</v>
      </c>
      <c r="M4468" s="473"/>
    </row>
    <row r="4469" spans="1:13" ht="13.5">
      <c r="A4469" s="475" t="s">
        <v>5516</v>
      </c>
      <c r="B4469" s="475" t="s">
        <v>5517</v>
      </c>
      <c r="C4469" s="475" t="s">
        <v>5526</v>
      </c>
      <c r="D4469" s="475" t="s">
        <v>5527</v>
      </c>
      <c r="E4469" s="476" t="s">
        <v>34</v>
      </c>
      <c r="F4469" s="475" t="s">
        <v>34</v>
      </c>
      <c r="G4469" s="364">
        <v>86899</v>
      </c>
      <c r="H4469" s="475" t="s">
        <v>3668</v>
      </c>
      <c r="I4469" s="475" t="s">
        <v>171</v>
      </c>
      <c r="J4469" s="475" t="s">
        <v>337</v>
      </c>
      <c r="K4469" s="365">
        <v>186.53</v>
      </c>
      <c r="L4469" s="475" t="s">
        <v>141</v>
      </c>
      <c r="M4469" s="473"/>
    </row>
    <row r="4470" spans="1:13" ht="13.5">
      <c r="A4470" s="475" t="s">
        <v>5516</v>
      </c>
      <c r="B4470" s="475" t="s">
        <v>5517</v>
      </c>
      <c r="C4470" s="475" t="s">
        <v>5526</v>
      </c>
      <c r="D4470" s="475" t="s">
        <v>5527</v>
      </c>
      <c r="E4470" s="476" t="s">
        <v>34</v>
      </c>
      <c r="F4470" s="475" t="s">
        <v>34</v>
      </c>
      <c r="G4470" s="364">
        <v>86900</v>
      </c>
      <c r="H4470" s="475" t="s">
        <v>3669</v>
      </c>
      <c r="I4470" s="475" t="s">
        <v>171</v>
      </c>
      <c r="J4470" s="475" t="s">
        <v>337</v>
      </c>
      <c r="K4470" s="365">
        <v>148.65</v>
      </c>
      <c r="L4470" s="475" t="s">
        <v>141</v>
      </c>
      <c r="M4470" s="473"/>
    </row>
    <row r="4471" spans="1:13" ht="13.5">
      <c r="A4471" s="475" t="s">
        <v>5516</v>
      </c>
      <c r="B4471" s="475" t="s">
        <v>5517</v>
      </c>
      <c r="C4471" s="475" t="s">
        <v>5526</v>
      </c>
      <c r="D4471" s="475" t="s">
        <v>5527</v>
      </c>
      <c r="E4471" s="476" t="s">
        <v>34</v>
      </c>
      <c r="F4471" s="475" t="s">
        <v>34</v>
      </c>
      <c r="G4471" s="364">
        <v>86901</v>
      </c>
      <c r="H4471" s="475" t="s">
        <v>3670</v>
      </c>
      <c r="I4471" s="475" t="s">
        <v>171</v>
      </c>
      <c r="J4471" s="475" t="s">
        <v>337</v>
      </c>
      <c r="K4471" s="365">
        <v>107.43</v>
      </c>
      <c r="L4471" s="475" t="s">
        <v>141</v>
      </c>
      <c r="M4471" s="473"/>
    </row>
    <row r="4472" spans="1:13" ht="13.5">
      <c r="A4472" s="475" t="s">
        <v>5516</v>
      </c>
      <c r="B4472" s="475" t="s">
        <v>5517</v>
      </c>
      <c r="C4472" s="475" t="s">
        <v>5526</v>
      </c>
      <c r="D4472" s="475" t="s">
        <v>5527</v>
      </c>
      <c r="E4472" s="476" t="s">
        <v>34</v>
      </c>
      <c r="F4472" s="475" t="s">
        <v>34</v>
      </c>
      <c r="G4472" s="364">
        <v>86902</v>
      </c>
      <c r="H4472" s="475" t="s">
        <v>3671</v>
      </c>
      <c r="I4472" s="475" t="s">
        <v>171</v>
      </c>
      <c r="J4472" s="475" t="s">
        <v>337</v>
      </c>
      <c r="K4472" s="365">
        <v>218.45</v>
      </c>
      <c r="L4472" s="475" t="s">
        <v>141</v>
      </c>
      <c r="M4472" s="473"/>
    </row>
    <row r="4473" spans="1:13" ht="13.5">
      <c r="A4473" s="475" t="s">
        <v>5516</v>
      </c>
      <c r="B4473" s="475" t="s">
        <v>5517</v>
      </c>
      <c r="C4473" s="475" t="s">
        <v>5526</v>
      </c>
      <c r="D4473" s="475" t="s">
        <v>5527</v>
      </c>
      <c r="E4473" s="476" t="s">
        <v>34</v>
      </c>
      <c r="F4473" s="475" t="s">
        <v>34</v>
      </c>
      <c r="G4473" s="364">
        <v>86903</v>
      </c>
      <c r="H4473" s="475" t="s">
        <v>3672</v>
      </c>
      <c r="I4473" s="475" t="s">
        <v>171</v>
      </c>
      <c r="J4473" s="475" t="s">
        <v>337</v>
      </c>
      <c r="K4473" s="365">
        <v>285.45</v>
      </c>
      <c r="L4473" s="475" t="s">
        <v>141</v>
      </c>
      <c r="M4473" s="473"/>
    </row>
    <row r="4474" spans="1:13" ht="13.5">
      <c r="A4474" s="475" t="s">
        <v>5516</v>
      </c>
      <c r="B4474" s="475" t="s">
        <v>5517</v>
      </c>
      <c r="C4474" s="475" t="s">
        <v>5526</v>
      </c>
      <c r="D4474" s="475" t="s">
        <v>5527</v>
      </c>
      <c r="E4474" s="476" t="s">
        <v>34</v>
      </c>
      <c r="F4474" s="475" t="s">
        <v>34</v>
      </c>
      <c r="G4474" s="364">
        <v>86904</v>
      </c>
      <c r="H4474" s="475" t="s">
        <v>3673</v>
      </c>
      <c r="I4474" s="475" t="s">
        <v>171</v>
      </c>
      <c r="J4474" s="475" t="s">
        <v>337</v>
      </c>
      <c r="K4474" s="365">
        <v>111.36</v>
      </c>
      <c r="L4474" s="475" t="s">
        <v>141</v>
      </c>
      <c r="M4474" s="473"/>
    </row>
    <row r="4475" spans="1:13" ht="13.5">
      <c r="A4475" s="475" t="s">
        <v>5516</v>
      </c>
      <c r="B4475" s="475" t="s">
        <v>5517</v>
      </c>
      <c r="C4475" s="475" t="s">
        <v>5526</v>
      </c>
      <c r="D4475" s="475" t="s">
        <v>5527</v>
      </c>
      <c r="E4475" s="476" t="s">
        <v>34</v>
      </c>
      <c r="F4475" s="475" t="s">
        <v>34</v>
      </c>
      <c r="G4475" s="364">
        <v>86905</v>
      </c>
      <c r="H4475" s="475" t="s">
        <v>3674</v>
      </c>
      <c r="I4475" s="475" t="s">
        <v>171</v>
      </c>
      <c r="J4475" s="475" t="s">
        <v>337</v>
      </c>
      <c r="K4475" s="365">
        <v>192.4</v>
      </c>
      <c r="L4475" s="475" t="s">
        <v>141</v>
      </c>
      <c r="M4475" s="473"/>
    </row>
    <row r="4476" spans="1:13" ht="13.5">
      <c r="A4476" s="475" t="s">
        <v>5516</v>
      </c>
      <c r="B4476" s="475" t="s">
        <v>5517</v>
      </c>
      <c r="C4476" s="475" t="s">
        <v>5526</v>
      </c>
      <c r="D4476" s="475" t="s">
        <v>5527</v>
      </c>
      <c r="E4476" s="476" t="s">
        <v>34</v>
      </c>
      <c r="F4476" s="475" t="s">
        <v>34</v>
      </c>
      <c r="G4476" s="364">
        <v>86906</v>
      </c>
      <c r="H4476" s="475" t="s">
        <v>3675</v>
      </c>
      <c r="I4476" s="475" t="s">
        <v>171</v>
      </c>
      <c r="J4476" s="475" t="s">
        <v>363</v>
      </c>
      <c r="K4476" s="365">
        <v>45</v>
      </c>
      <c r="L4476" s="475" t="s">
        <v>141</v>
      </c>
      <c r="M4476" s="473"/>
    </row>
    <row r="4477" spans="1:13" ht="13.5">
      <c r="A4477" s="475" t="s">
        <v>5516</v>
      </c>
      <c r="B4477" s="475" t="s">
        <v>5517</v>
      </c>
      <c r="C4477" s="475" t="s">
        <v>5526</v>
      </c>
      <c r="D4477" s="475" t="s">
        <v>5527</v>
      </c>
      <c r="E4477" s="476" t="s">
        <v>34</v>
      </c>
      <c r="F4477" s="475" t="s">
        <v>34</v>
      </c>
      <c r="G4477" s="364">
        <v>86908</v>
      </c>
      <c r="H4477" s="475" t="s">
        <v>3676</v>
      </c>
      <c r="I4477" s="475" t="s">
        <v>171</v>
      </c>
      <c r="J4477" s="475" t="s">
        <v>337</v>
      </c>
      <c r="K4477" s="365">
        <v>230.51</v>
      </c>
      <c r="L4477" s="475" t="s">
        <v>141</v>
      </c>
      <c r="M4477" s="473"/>
    </row>
    <row r="4478" spans="1:13" ht="13.5">
      <c r="A4478" s="475" t="s">
        <v>5516</v>
      </c>
      <c r="B4478" s="475" t="s">
        <v>5517</v>
      </c>
      <c r="C4478" s="475" t="s">
        <v>5526</v>
      </c>
      <c r="D4478" s="475" t="s">
        <v>5527</v>
      </c>
      <c r="E4478" s="476" t="s">
        <v>34</v>
      </c>
      <c r="F4478" s="475" t="s">
        <v>34</v>
      </c>
      <c r="G4478" s="364">
        <v>86909</v>
      </c>
      <c r="H4478" s="475" t="s">
        <v>3677</v>
      </c>
      <c r="I4478" s="475" t="s">
        <v>171</v>
      </c>
      <c r="J4478" s="475" t="s">
        <v>337</v>
      </c>
      <c r="K4478" s="365">
        <v>89.87</v>
      </c>
      <c r="L4478" s="475" t="s">
        <v>141</v>
      </c>
      <c r="M4478" s="473"/>
    </row>
    <row r="4479" spans="1:13" ht="13.5">
      <c r="A4479" s="475" t="s">
        <v>5516</v>
      </c>
      <c r="B4479" s="475" t="s">
        <v>5517</v>
      </c>
      <c r="C4479" s="475" t="s">
        <v>5526</v>
      </c>
      <c r="D4479" s="475" t="s">
        <v>5527</v>
      </c>
      <c r="E4479" s="476" t="s">
        <v>34</v>
      </c>
      <c r="F4479" s="475" t="s">
        <v>34</v>
      </c>
      <c r="G4479" s="364">
        <v>86910</v>
      </c>
      <c r="H4479" s="475" t="s">
        <v>3678</v>
      </c>
      <c r="I4479" s="475" t="s">
        <v>171</v>
      </c>
      <c r="J4479" s="475" t="s">
        <v>337</v>
      </c>
      <c r="K4479" s="365">
        <v>85.98</v>
      </c>
      <c r="L4479" s="475" t="s">
        <v>141</v>
      </c>
      <c r="M4479" s="473"/>
    </row>
    <row r="4480" spans="1:13" ht="13.5">
      <c r="A4480" s="475" t="s">
        <v>5516</v>
      </c>
      <c r="B4480" s="475" t="s">
        <v>5517</v>
      </c>
      <c r="C4480" s="475" t="s">
        <v>5526</v>
      </c>
      <c r="D4480" s="475" t="s">
        <v>5527</v>
      </c>
      <c r="E4480" s="476" t="s">
        <v>34</v>
      </c>
      <c r="F4480" s="475" t="s">
        <v>34</v>
      </c>
      <c r="G4480" s="364">
        <v>86911</v>
      </c>
      <c r="H4480" s="475" t="s">
        <v>3679</v>
      </c>
      <c r="I4480" s="475" t="s">
        <v>171</v>
      </c>
      <c r="J4480" s="475" t="s">
        <v>337</v>
      </c>
      <c r="K4480" s="365">
        <v>38.200000000000003</v>
      </c>
      <c r="L4480" s="475" t="s">
        <v>141</v>
      </c>
      <c r="M4480" s="473"/>
    </row>
    <row r="4481" spans="1:13" ht="13.5">
      <c r="A4481" s="475" t="s">
        <v>5516</v>
      </c>
      <c r="B4481" s="475" t="s">
        <v>5517</v>
      </c>
      <c r="C4481" s="475" t="s">
        <v>5526</v>
      </c>
      <c r="D4481" s="475" t="s">
        <v>5527</v>
      </c>
      <c r="E4481" s="476" t="s">
        <v>34</v>
      </c>
      <c r="F4481" s="475" t="s">
        <v>34</v>
      </c>
      <c r="G4481" s="364">
        <v>86912</v>
      </c>
      <c r="H4481" s="475" t="s">
        <v>3680</v>
      </c>
      <c r="I4481" s="475" t="s">
        <v>171</v>
      </c>
      <c r="J4481" s="475" t="s">
        <v>337</v>
      </c>
      <c r="K4481" s="365">
        <v>38.200000000000003</v>
      </c>
      <c r="L4481" s="475" t="s">
        <v>141</v>
      </c>
      <c r="M4481" s="473"/>
    </row>
    <row r="4482" spans="1:13" ht="13.5">
      <c r="A4482" s="475" t="s">
        <v>5516</v>
      </c>
      <c r="B4482" s="475" t="s">
        <v>5517</v>
      </c>
      <c r="C4482" s="475" t="s">
        <v>5526</v>
      </c>
      <c r="D4482" s="475" t="s">
        <v>5527</v>
      </c>
      <c r="E4482" s="476" t="s">
        <v>34</v>
      </c>
      <c r="F4482" s="475" t="s">
        <v>34</v>
      </c>
      <c r="G4482" s="364">
        <v>86913</v>
      </c>
      <c r="H4482" s="475" t="s">
        <v>3681</v>
      </c>
      <c r="I4482" s="475" t="s">
        <v>171</v>
      </c>
      <c r="J4482" s="475" t="s">
        <v>337</v>
      </c>
      <c r="K4482" s="365">
        <v>17.11</v>
      </c>
      <c r="L4482" s="475" t="s">
        <v>141</v>
      </c>
      <c r="M4482" s="473"/>
    </row>
    <row r="4483" spans="1:13" ht="13.5">
      <c r="A4483" s="475" t="s">
        <v>5516</v>
      </c>
      <c r="B4483" s="475" t="s">
        <v>5517</v>
      </c>
      <c r="C4483" s="475" t="s">
        <v>5526</v>
      </c>
      <c r="D4483" s="475" t="s">
        <v>5527</v>
      </c>
      <c r="E4483" s="476" t="s">
        <v>34</v>
      </c>
      <c r="F4483" s="475" t="s">
        <v>34</v>
      </c>
      <c r="G4483" s="364">
        <v>86914</v>
      </c>
      <c r="H4483" s="475" t="s">
        <v>3682</v>
      </c>
      <c r="I4483" s="475" t="s">
        <v>171</v>
      </c>
      <c r="J4483" s="475" t="s">
        <v>337</v>
      </c>
      <c r="K4483" s="365">
        <v>34.74</v>
      </c>
      <c r="L4483" s="475" t="s">
        <v>141</v>
      </c>
      <c r="M4483" s="473"/>
    </row>
    <row r="4484" spans="1:13" ht="13.5">
      <c r="A4484" s="475" t="s">
        <v>5516</v>
      </c>
      <c r="B4484" s="475" t="s">
        <v>5517</v>
      </c>
      <c r="C4484" s="475" t="s">
        <v>5526</v>
      </c>
      <c r="D4484" s="475" t="s">
        <v>5527</v>
      </c>
      <c r="E4484" s="476" t="s">
        <v>34</v>
      </c>
      <c r="F4484" s="475" t="s">
        <v>34</v>
      </c>
      <c r="G4484" s="364">
        <v>86915</v>
      </c>
      <c r="H4484" s="475" t="s">
        <v>3683</v>
      </c>
      <c r="I4484" s="475" t="s">
        <v>171</v>
      </c>
      <c r="J4484" s="475" t="s">
        <v>337</v>
      </c>
      <c r="K4484" s="365">
        <v>75.67</v>
      </c>
      <c r="L4484" s="475" t="s">
        <v>141</v>
      </c>
      <c r="M4484" s="473"/>
    </row>
    <row r="4485" spans="1:13" ht="13.5">
      <c r="A4485" s="475" t="s">
        <v>5516</v>
      </c>
      <c r="B4485" s="475" t="s">
        <v>5517</v>
      </c>
      <c r="C4485" s="475" t="s">
        <v>5526</v>
      </c>
      <c r="D4485" s="475" t="s">
        <v>5527</v>
      </c>
      <c r="E4485" s="476" t="s">
        <v>34</v>
      </c>
      <c r="F4485" s="475" t="s">
        <v>34</v>
      </c>
      <c r="G4485" s="364">
        <v>86916</v>
      </c>
      <c r="H4485" s="475" t="s">
        <v>3684</v>
      </c>
      <c r="I4485" s="475" t="s">
        <v>171</v>
      </c>
      <c r="J4485" s="475" t="s">
        <v>337</v>
      </c>
      <c r="K4485" s="365">
        <v>21.16</v>
      </c>
      <c r="L4485" s="475" t="s">
        <v>141</v>
      </c>
      <c r="M4485" s="473"/>
    </row>
    <row r="4486" spans="1:13" ht="13.5">
      <c r="A4486" s="475" t="s">
        <v>5516</v>
      </c>
      <c r="B4486" s="475" t="s">
        <v>5517</v>
      </c>
      <c r="C4486" s="475" t="s">
        <v>5526</v>
      </c>
      <c r="D4486" s="475" t="s">
        <v>5527</v>
      </c>
      <c r="E4486" s="476" t="s">
        <v>34</v>
      </c>
      <c r="F4486" s="475" t="s">
        <v>34</v>
      </c>
      <c r="G4486" s="364">
        <v>86919</v>
      </c>
      <c r="H4486" s="475" t="s">
        <v>3685</v>
      </c>
      <c r="I4486" s="475" t="s">
        <v>171</v>
      </c>
      <c r="J4486" s="475" t="s">
        <v>337</v>
      </c>
      <c r="K4486" s="365">
        <v>691.63</v>
      </c>
      <c r="L4486" s="475" t="s">
        <v>141</v>
      </c>
      <c r="M4486" s="473"/>
    </row>
    <row r="4487" spans="1:13" ht="13.5">
      <c r="A4487" s="475" t="s">
        <v>5516</v>
      </c>
      <c r="B4487" s="475" t="s">
        <v>5517</v>
      </c>
      <c r="C4487" s="475" t="s">
        <v>5526</v>
      </c>
      <c r="D4487" s="475" t="s">
        <v>5527</v>
      </c>
      <c r="E4487" s="476" t="s">
        <v>34</v>
      </c>
      <c r="F4487" s="475" t="s">
        <v>34</v>
      </c>
      <c r="G4487" s="364">
        <v>86920</v>
      </c>
      <c r="H4487" s="475" t="s">
        <v>7772</v>
      </c>
      <c r="I4487" s="475" t="s">
        <v>171</v>
      </c>
      <c r="J4487" s="475" t="s">
        <v>337</v>
      </c>
      <c r="K4487" s="365">
        <v>656.16</v>
      </c>
      <c r="L4487" s="475" t="s">
        <v>141</v>
      </c>
      <c r="M4487" s="473"/>
    </row>
    <row r="4488" spans="1:13" ht="13.5">
      <c r="A4488" s="475" t="s">
        <v>5516</v>
      </c>
      <c r="B4488" s="475" t="s">
        <v>5517</v>
      </c>
      <c r="C4488" s="475" t="s">
        <v>5526</v>
      </c>
      <c r="D4488" s="475" t="s">
        <v>5527</v>
      </c>
      <c r="E4488" s="476" t="s">
        <v>34</v>
      </c>
      <c r="F4488" s="475" t="s">
        <v>34</v>
      </c>
      <c r="G4488" s="364">
        <v>86921</v>
      </c>
      <c r="H4488" s="475" t="s">
        <v>3686</v>
      </c>
      <c r="I4488" s="475" t="s">
        <v>171</v>
      </c>
      <c r="J4488" s="475" t="s">
        <v>337</v>
      </c>
      <c r="K4488" s="365">
        <v>660.21</v>
      </c>
      <c r="L4488" s="475" t="s">
        <v>141</v>
      </c>
      <c r="M4488" s="473"/>
    </row>
    <row r="4489" spans="1:13" ht="13.5">
      <c r="A4489" s="475" t="s">
        <v>5516</v>
      </c>
      <c r="B4489" s="475" t="s">
        <v>5517</v>
      </c>
      <c r="C4489" s="475" t="s">
        <v>5526</v>
      </c>
      <c r="D4489" s="475" t="s">
        <v>5527</v>
      </c>
      <c r="E4489" s="476" t="s">
        <v>34</v>
      </c>
      <c r="F4489" s="475" t="s">
        <v>34</v>
      </c>
      <c r="G4489" s="364">
        <v>86922</v>
      </c>
      <c r="H4489" s="475" t="s">
        <v>3687</v>
      </c>
      <c r="I4489" s="475" t="s">
        <v>171</v>
      </c>
      <c r="J4489" s="475" t="s">
        <v>337</v>
      </c>
      <c r="K4489" s="365">
        <v>547.71</v>
      </c>
      <c r="L4489" s="475" t="s">
        <v>141</v>
      </c>
      <c r="M4489" s="473"/>
    </row>
    <row r="4490" spans="1:13" ht="13.5">
      <c r="A4490" s="475" t="s">
        <v>5516</v>
      </c>
      <c r="B4490" s="475" t="s">
        <v>5517</v>
      </c>
      <c r="C4490" s="475" t="s">
        <v>5526</v>
      </c>
      <c r="D4490" s="475" t="s">
        <v>5527</v>
      </c>
      <c r="E4490" s="476" t="s">
        <v>34</v>
      </c>
      <c r="F4490" s="475" t="s">
        <v>34</v>
      </c>
      <c r="G4490" s="364">
        <v>86923</v>
      </c>
      <c r="H4490" s="475" t="s">
        <v>3688</v>
      </c>
      <c r="I4490" s="475" t="s">
        <v>171</v>
      </c>
      <c r="J4490" s="475" t="s">
        <v>337</v>
      </c>
      <c r="K4490" s="365">
        <v>422.17</v>
      </c>
      <c r="L4490" s="475" t="s">
        <v>141</v>
      </c>
      <c r="M4490" s="473"/>
    </row>
    <row r="4491" spans="1:13" ht="13.5">
      <c r="A4491" s="475" t="s">
        <v>5516</v>
      </c>
      <c r="B4491" s="475" t="s">
        <v>5517</v>
      </c>
      <c r="C4491" s="475" t="s">
        <v>5526</v>
      </c>
      <c r="D4491" s="475" t="s">
        <v>5527</v>
      </c>
      <c r="E4491" s="476" t="s">
        <v>34</v>
      </c>
      <c r="F4491" s="475" t="s">
        <v>34</v>
      </c>
      <c r="G4491" s="364">
        <v>86924</v>
      </c>
      <c r="H4491" s="475" t="s">
        <v>3689</v>
      </c>
      <c r="I4491" s="475" t="s">
        <v>171</v>
      </c>
      <c r="J4491" s="475" t="s">
        <v>337</v>
      </c>
      <c r="K4491" s="365">
        <v>426.22</v>
      </c>
      <c r="L4491" s="475" t="s">
        <v>141</v>
      </c>
      <c r="M4491" s="473"/>
    </row>
    <row r="4492" spans="1:13" ht="13.5">
      <c r="A4492" s="475" t="s">
        <v>5516</v>
      </c>
      <c r="B4492" s="475" t="s">
        <v>5517</v>
      </c>
      <c r="C4492" s="475" t="s">
        <v>5526</v>
      </c>
      <c r="D4492" s="475" t="s">
        <v>5527</v>
      </c>
      <c r="E4492" s="476" t="s">
        <v>34</v>
      </c>
      <c r="F4492" s="475" t="s">
        <v>34</v>
      </c>
      <c r="G4492" s="364">
        <v>86925</v>
      </c>
      <c r="H4492" s="475" t="s">
        <v>3690</v>
      </c>
      <c r="I4492" s="475" t="s">
        <v>171</v>
      </c>
      <c r="J4492" s="475" t="s">
        <v>337</v>
      </c>
      <c r="K4492" s="365">
        <v>369.42</v>
      </c>
      <c r="L4492" s="475" t="s">
        <v>141</v>
      </c>
      <c r="M4492" s="473"/>
    </row>
    <row r="4493" spans="1:13" ht="13.5">
      <c r="A4493" s="475" t="s">
        <v>5516</v>
      </c>
      <c r="B4493" s="475" t="s">
        <v>5517</v>
      </c>
      <c r="C4493" s="475" t="s">
        <v>5526</v>
      </c>
      <c r="D4493" s="475" t="s">
        <v>5527</v>
      </c>
      <c r="E4493" s="476" t="s">
        <v>34</v>
      </c>
      <c r="F4493" s="475" t="s">
        <v>34</v>
      </c>
      <c r="G4493" s="364">
        <v>86926</v>
      </c>
      <c r="H4493" s="475" t="s">
        <v>3691</v>
      </c>
      <c r="I4493" s="475" t="s">
        <v>171</v>
      </c>
      <c r="J4493" s="475" t="s">
        <v>337</v>
      </c>
      <c r="K4493" s="365">
        <v>373.47</v>
      </c>
      <c r="L4493" s="475" t="s">
        <v>141</v>
      </c>
      <c r="M4493" s="473"/>
    </row>
    <row r="4494" spans="1:13" ht="13.5">
      <c r="A4494" s="475" t="s">
        <v>5516</v>
      </c>
      <c r="B4494" s="475" t="s">
        <v>5517</v>
      </c>
      <c r="C4494" s="475" t="s">
        <v>5526</v>
      </c>
      <c r="D4494" s="475" t="s">
        <v>5527</v>
      </c>
      <c r="E4494" s="476" t="s">
        <v>34</v>
      </c>
      <c r="F4494" s="475" t="s">
        <v>34</v>
      </c>
      <c r="G4494" s="364">
        <v>86927</v>
      </c>
      <c r="H4494" s="475" t="s">
        <v>3692</v>
      </c>
      <c r="I4494" s="475" t="s">
        <v>171</v>
      </c>
      <c r="J4494" s="475" t="s">
        <v>337</v>
      </c>
      <c r="K4494" s="365">
        <v>232.65</v>
      </c>
      <c r="L4494" s="475" t="s">
        <v>141</v>
      </c>
      <c r="M4494" s="473"/>
    </row>
    <row r="4495" spans="1:13" ht="13.5">
      <c r="A4495" s="475" t="s">
        <v>5516</v>
      </c>
      <c r="B4495" s="475" t="s">
        <v>5517</v>
      </c>
      <c r="C4495" s="475" t="s">
        <v>5526</v>
      </c>
      <c r="D4495" s="475" t="s">
        <v>5527</v>
      </c>
      <c r="E4495" s="476" t="s">
        <v>34</v>
      </c>
      <c r="F4495" s="475" t="s">
        <v>34</v>
      </c>
      <c r="G4495" s="364">
        <v>86928</v>
      </c>
      <c r="H4495" s="475" t="s">
        <v>3693</v>
      </c>
      <c r="I4495" s="475" t="s">
        <v>171</v>
      </c>
      <c r="J4495" s="475" t="s">
        <v>337</v>
      </c>
      <c r="K4495" s="365">
        <v>236.7</v>
      </c>
      <c r="L4495" s="475" t="s">
        <v>141</v>
      </c>
      <c r="M4495" s="473"/>
    </row>
    <row r="4496" spans="1:13" ht="13.5">
      <c r="A4496" s="475" t="s">
        <v>5516</v>
      </c>
      <c r="B4496" s="475" t="s">
        <v>5517</v>
      </c>
      <c r="C4496" s="475" t="s">
        <v>5526</v>
      </c>
      <c r="D4496" s="475" t="s">
        <v>5527</v>
      </c>
      <c r="E4496" s="476" t="s">
        <v>34</v>
      </c>
      <c r="F4496" s="475" t="s">
        <v>34</v>
      </c>
      <c r="G4496" s="364">
        <v>86929</v>
      </c>
      <c r="H4496" s="475" t="s">
        <v>3694</v>
      </c>
      <c r="I4496" s="475" t="s">
        <v>171</v>
      </c>
      <c r="J4496" s="475" t="s">
        <v>337</v>
      </c>
      <c r="K4496" s="365">
        <v>225.87</v>
      </c>
      <c r="L4496" s="475" t="s">
        <v>141</v>
      </c>
      <c r="M4496" s="473"/>
    </row>
    <row r="4497" spans="1:13" ht="13.5">
      <c r="A4497" s="475" t="s">
        <v>5516</v>
      </c>
      <c r="B4497" s="475" t="s">
        <v>5517</v>
      </c>
      <c r="C4497" s="475" t="s">
        <v>5526</v>
      </c>
      <c r="D4497" s="475" t="s">
        <v>5527</v>
      </c>
      <c r="E4497" s="476" t="s">
        <v>34</v>
      </c>
      <c r="F4497" s="475" t="s">
        <v>34</v>
      </c>
      <c r="G4497" s="364">
        <v>86930</v>
      </c>
      <c r="H4497" s="475" t="s">
        <v>3695</v>
      </c>
      <c r="I4497" s="475" t="s">
        <v>171</v>
      </c>
      <c r="J4497" s="475" t="s">
        <v>337</v>
      </c>
      <c r="K4497" s="365">
        <v>229.92</v>
      </c>
      <c r="L4497" s="475" t="s">
        <v>141</v>
      </c>
      <c r="M4497" s="473"/>
    </row>
    <row r="4498" spans="1:13" ht="13.5">
      <c r="A4498" s="475" t="s">
        <v>5516</v>
      </c>
      <c r="B4498" s="475" t="s">
        <v>5517</v>
      </c>
      <c r="C4498" s="475" t="s">
        <v>5526</v>
      </c>
      <c r="D4498" s="475" t="s">
        <v>5527</v>
      </c>
      <c r="E4498" s="476" t="s">
        <v>34</v>
      </c>
      <c r="F4498" s="475" t="s">
        <v>34</v>
      </c>
      <c r="G4498" s="364">
        <v>86931</v>
      </c>
      <c r="H4498" s="475" t="s">
        <v>3696</v>
      </c>
      <c r="I4498" s="475" t="s">
        <v>171</v>
      </c>
      <c r="J4498" s="475" t="s">
        <v>337</v>
      </c>
      <c r="K4498" s="365">
        <v>376.11</v>
      </c>
      <c r="L4498" s="475" t="s">
        <v>141</v>
      </c>
      <c r="M4498" s="473"/>
    </row>
    <row r="4499" spans="1:13" ht="13.5">
      <c r="A4499" s="475" t="s">
        <v>5516</v>
      </c>
      <c r="B4499" s="475" t="s">
        <v>5517</v>
      </c>
      <c r="C4499" s="475" t="s">
        <v>5526</v>
      </c>
      <c r="D4499" s="475" t="s">
        <v>5527</v>
      </c>
      <c r="E4499" s="476" t="s">
        <v>34</v>
      </c>
      <c r="F4499" s="475" t="s">
        <v>34</v>
      </c>
      <c r="G4499" s="364">
        <v>86932</v>
      </c>
      <c r="H4499" s="475" t="s">
        <v>3697</v>
      </c>
      <c r="I4499" s="475" t="s">
        <v>171</v>
      </c>
      <c r="J4499" s="475" t="s">
        <v>337</v>
      </c>
      <c r="K4499" s="365">
        <v>397.08</v>
      </c>
      <c r="L4499" s="475" t="s">
        <v>141</v>
      </c>
      <c r="M4499" s="473"/>
    </row>
    <row r="4500" spans="1:13" ht="13.5">
      <c r="A4500" s="475" t="s">
        <v>5516</v>
      </c>
      <c r="B4500" s="475" t="s">
        <v>5517</v>
      </c>
      <c r="C4500" s="475" t="s">
        <v>5526</v>
      </c>
      <c r="D4500" s="475" t="s">
        <v>5527</v>
      </c>
      <c r="E4500" s="476" t="s">
        <v>34</v>
      </c>
      <c r="F4500" s="475" t="s">
        <v>34</v>
      </c>
      <c r="G4500" s="364">
        <v>86933</v>
      </c>
      <c r="H4500" s="475" t="s">
        <v>3698</v>
      </c>
      <c r="I4500" s="475" t="s">
        <v>171</v>
      </c>
      <c r="J4500" s="475" t="s">
        <v>337</v>
      </c>
      <c r="K4500" s="365">
        <v>299.2</v>
      </c>
      <c r="L4500" s="475" t="s">
        <v>141</v>
      </c>
      <c r="M4500" s="473"/>
    </row>
    <row r="4501" spans="1:13" ht="13.5">
      <c r="A4501" s="475" t="s">
        <v>5516</v>
      </c>
      <c r="B4501" s="475" t="s">
        <v>5517</v>
      </c>
      <c r="C4501" s="475" t="s">
        <v>5526</v>
      </c>
      <c r="D4501" s="475" t="s">
        <v>5527</v>
      </c>
      <c r="E4501" s="476" t="s">
        <v>34</v>
      </c>
      <c r="F4501" s="475" t="s">
        <v>34</v>
      </c>
      <c r="G4501" s="364">
        <v>86934</v>
      </c>
      <c r="H4501" s="475" t="s">
        <v>3699</v>
      </c>
      <c r="I4501" s="475" t="s">
        <v>171</v>
      </c>
      <c r="J4501" s="475" t="s">
        <v>337</v>
      </c>
      <c r="K4501" s="365">
        <v>292.42</v>
      </c>
      <c r="L4501" s="475" t="s">
        <v>141</v>
      </c>
      <c r="M4501" s="473"/>
    </row>
    <row r="4502" spans="1:13" ht="13.5">
      <c r="A4502" s="475" t="s">
        <v>5516</v>
      </c>
      <c r="B4502" s="475" t="s">
        <v>5517</v>
      </c>
      <c r="C4502" s="475" t="s">
        <v>5526</v>
      </c>
      <c r="D4502" s="475" t="s">
        <v>5527</v>
      </c>
      <c r="E4502" s="476" t="s">
        <v>34</v>
      </c>
      <c r="F4502" s="475" t="s">
        <v>34</v>
      </c>
      <c r="G4502" s="364">
        <v>86935</v>
      </c>
      <c r="H4502" s="475" t="s">
        <v>3700</v>
      </c>
      <c r="I4502" s="475" t="s">
        <v>171</v>
      </c>
      <c r="J4502" s="475" t="s">
        <v>337</v>
      </c>
      <c r="K4502" s="365">
        <v>195.62</v>
      </c>
      <c r="L4502" s="475" t="s">
        <v>141</v>
      </c>
      <c r="M4502" s="473"/>
    </row>
    <row r="4503" spans="1:13" ht="13.5">
      <c r="A4503" s="475" t="s">
        <v>5516</v>
      </c>
      <c r="B4503" s="475" t="s">
        <v>5517</v>
      </c>
      <c r="C4503" s="475" t="s">
        <v>5526</v>
      </c>
      <c r="D4503" s="475" t="s">
        <v>5527</v>
      </c>
      <c r="E4503" s="476" t="s">
        <v>34</v>
      </c>
      <c r="F4503" s="475" t="s">
        <v>34</v>
      </c>
      <c r="G4503" s="364">
        <v>86936</v>
      </c>
      <c r="H4503" s="475" t="s">
        <v>3701</v>
      </c>
      <c r="I4503" s="475" t="s">
        <v>171</v>
      </c>
      <c r="J4503" s="475" t="s">
        <v>337</v>
      </c>
      <c r="K4503" s="365">
        <v>292.47000000000003</v>
      </c>
      <c r="L4503" s="475" t="s">
        <v>141</v>
      </c>
      <c r="M4503" s="473"/>
    </row>
    <row r="4504" spans="1:13" ht="13.5">
      <c r="A4504" s="475" t="s">
        <v>5516</v>
      </c>
      <c r="B4504" s="475" t="s">
        <v>5517</v>
      </c>
      <c r="C4504" s="475" t="s">
        <v>5526</v>
      </c>
      <c r="D4504" s="475" t="s">
        <v>5527</v>
      </c>
      <c r="E4504" s="476" t="s">
        <v>34</v>
      </c>
      <c r="F4504" s="475" t="s">
        <v>34</v>
      </c>
      <c r="G4504" s="364">
        <v>86937</v>
      </c>
      <c r="H4504" s="475" t="s">
        <v>3702</v>
      </c>
      <c r="I4504" s="475" t="s">
        <v>171</v>
      </c>
      <c r="J4504" s="475" t="s">
        <v>337</v>
      </c>
      <c r="K4504" s="365">
        <v>139.72999999999999</v>
      </c>
      <c r="L4504" s="475" t="s">
        <v>141</v>
      </c>
      <c r="M4504" s="473"/>
    </row>
    <row r="4505" spans="1:13" ht="13.5">
      <c r="A4505" s="475" t="s">
        <v>5516</v>
      </c>
      <c r="B4505" s="475" t="s">
        <v>5517</v>
      </c>
      <c r="C4505" s="475" t="s">
        <v>5526</v>
      </c>
      <c r="D4505" s="475" t="s">
        <v>5527</v>
      </c>
      <c r="E4505" s="476" t="s">
        <v>34</v>
      </c>
      <c r="F4505" s="475" t="s">
        <v>34</v>
      </c>
      <c r="G4505" s="364">
        <v>86938</v>
      </c>
      <c r="H4505" s="475" t="s">
        <v>3703</v>
      </c>
      <c r="I4505" s="475" t="s">
        <v>171</v>
      </c>
      <c r="J4505" s="475" t="s">
        <v>337</v>
      </c>
      <c r="K4505" s="365">
        <v>236.58</v>
      </c>
      <c r="L4505" s="475" t="s">
        <v>141</v>
      </c>
      <c r="M4505" s="473"/>
    </row>
    <row r="4506" spans="1:13" ht="13.5">
      <c r="A4506" s="475" t="s">
        <v>5516</v>
      </c>
      <c r="B4506" s="475" t="s">
        <v>5517</v>
      </c>
      <c r="C4506" s="475" t="s">
        <v>5526</v>
      </c>
      <c r="D4506" s="475" t="s">
        <v>5527</v>
      </c>
      <c r="E4506" s="476" t="s">
        <v>34</v>
      </c>
      <c r="F4506" s="475" t="s">
        <v>34</v>
      </c>
      <c r="G4506" s="364">
        <v>86939</v>
      </c>
      <c r="H4506" s="475" t="s">
        <v>3704</v>
      </c>
      <c r="I4506" s="475" t="s">
        <v>171</v>
      </c>
      <c r="J4506" s="475" t="s">
        <v>337</v>
      </c>
      <c r="K4506" s="365">
        <v>284.61</v>
      </c>
      <c r="L4506" s="475" t="s">
        <v>141</v>
      </c>
      <c r="M4506" s="473"/>
    </row>
    <row r="4507" spans="1:13" ht="13.5">
      <c r="A4507" s="475" t="s">
        <v>5516</v>
      </c>
      <c r="B4507" s="475" t="s">
        <v>5517</v>
      </c>
      <c r="C4507" s="475" t="s">
        <v>5526</v>
      </c>
      <c r="D4507" s="475" t="s">
        <v>5527</v>
      </c>
      <c r="E4507" s="476" t="s">
        <v>34</v>
      </c>
      <c r="F4507" s="475" t="s">
        <v>34</v>
      </c>
      <c r="G4507" s="364">
        <v>86940</v>
      </c>
      <c r="H4507" s="475" t="s">
        <v>3705</v>
      </c>
      <c r="I4507" s="475" t="s">
        <v>171</v>
      </c>
      <c r="J4507" s="475" t="s">
        <v>337</v>
      </c>
      <c r="K4507" s="365">
        <v>664.02</v>
      </c>
      <c r="L4507" s="475" t="s">
        <v>141</v>
      </c>
      <c r="M4507" s="473"/>
    </row>
    <row r="4508" spans="1:13" ht="13.5">
      <c r="A4508" s="475" t="s">
        <v>5516</v>
      </c>
      <c r="B4508" s="475" t="s">
        <v>5517</v>
      </c>
      <c r="C4508" s="475" t="s">
        <v>5526</v>
      </c>
      <c r="D4508" s="475" t="s">
        <v>5527</v>
      </c>
      <c r="E4508" s="476" t="s">
        <v>34</v>
      </c>
      <c r="F4508" s="475" t="s">
        <v>34</v>
      </c>
      <c r="G4508" s="364">
        <v>86941</v>
      </c>
      <c r="H4508" s="475" t="s">
        <v>3706</v>
      </c>
      <c r="I4508" s="475" t="s">
        <v>171</v>
      </c>
      <c r="J4508" s="475" t="s">
        <v>337</v>
      </c>
      <c r="K4508" s="365">
        <v>518.78</v>
      </c>
      <c r="L4508" s="475" t="s">
        <v>141</v>
      </c>
      <c r="M4508" s="473"/>
    </row>
    <row r="4509" spans="1:13" ht="13.5">
      <c r="A4509" s="475" t="s">
        <v>5516</v>
      </c>
      <c r="B4509" s="475" t="s">
        <v>5517</v>
      </c>
      <c r="C4509" s="475" t="s">
        <v>5526</v>
      </c>
      <c r="D4509" s="475" t="s">
        <v>5527</v>
      </c>
      <c r="E4509" s="476" t="s">
        <v>34</v>
      </c>
      <c r="F4509" s="475" t="s">
        <v>34</v>
      </c>
      <c r="G4509" s="364">
        <v>86942</v>
      </c>
      <c r="H4509" s="475" t="s">
        <v>3707</v>
      </c>
      <c r="I4509" s="475" t="s">
        <v>171</v>
      </c>
      <c r="J4509" s="475" t="s">
        <v>337</v>
      </c>
      <c r="K4509" s="365">
        <v>184.3</v>
      </c>
      <c r="L4509" s="475" t="s">
        <v>141</v>
      </c>
      <c r="M4509" s="473"/>
    </row>
    <row r="4510" spans="1:13" ht="13.5">
      <c r="A4510" s="475" t="s">
        <v>5516</v>
      </c>
      <c r="B4510" s="475" t="s">
        <v>5517</v>
      </c>
      <c r="C4510" s="475" t="s">
        <v>5526</v>
      </c>
      <c r="D4510" s="475" t="s">
        <v>5527</v>
      </c>
      <c r="E4510" s="476" t="s">
        <v>34</v>
      </c>
      <c r="F4510" s="475" t="s">
        <v>34</v>
      </c>
      <c r="G4510" s="364">
        <v>86943</v>
      </c>
      <c r="H4510" s="475" t="s">
        <v>3708</v>
      </c>
      <c r="I4510" s="475" t="s">
        <v>171</v>
      </c>
      <c r="J4510" s="475" t="s">
        <v>337</v>
      </c>
      <c r="K4510" s="365">
        <v>177.52</v>
      </c>
      <c r="L4510" s="475" t="s">
        <v>141</v>
      </c>
      <c r="M4510" s="473"/>
    </row>
    <row r="4511" spans="1:13" ht="13.5">
      <c r="A4511" s="475" t="s">
        <v>5516</v>
      </c>
      <c r="B4511" s="475" t="s">
        <v>5517</v>
      </c>
      <c r="C4511" s="475" t="s">
        <v>5526</v>
      </c>
      <c r="D4511" s="475" t="s">
        <v>5527</v>
      </c>
      <c r="E4511" s="476" t="s">
        <v>34</v>
      </c>
      <c r="F4511" s="475" t="s">
        <v>34</v>
      </c>
      <c r="G4511" s="364">
        <v>86947</v>
      </c>
      <c r="H4511" s="475" t="s">
        <v>7773</v>
      </c>
      <c r="I4511" s="475" t="s">
        <v>171</v>
      </c>
      <c r="J4511" s="475" t="s">
        <v>337</v>
      </c>
      <c r="K4511" s="365">
        <v>672.53</v>
      </c>
      <c r="L4511" s="475" t="s">
        <v>141</v>
      </c>
      <c r="M4511" s="473"/>
    </row>
    <row r="4512" spans="1:13" ht="13.5">
      <c r="A4512" s="475" t="s">
        <v>5516</v>
      </c>
      <c r="B4512" s="475" t="s">
        <v>5517</v>
      </c>
      <c r="C4512" s="475" t="s">
        <v>5526</v>
      </c>
      <c r="D4512" s="475" t="s">
        <v>5527</v>
      </c>
      <c r="E4512" s="476" t="s">
        <v>34</v>
      </c>
      <c r="F4512" s="475" t="s">
        <v>34</v>
      </c>
      <c r="G4512" s="364">
        <v>88571</v>
      </c>
      <c r="H4512" s="475" t="s">
        <v>3709</v>
      </c>
      <c r="I4512" s="475" t="s">
        <v>171</v>
      </c>
      <c r="J4512" s="475" t="s">
        <v>337</v>
      </c>
      <c r="K4512" s="365">
        <v>40.72</v>
      </c>
      <c r="L4512" s="475" t="s">
        <v>141</v>
      </c>
      <c r="M4512" s="473"/>
    </row>
    <row r="4513" spans="1:13" ht="13.5">
      <c r="A4513" s="475" t="s">
        <v>5516</v>
      </c>
      <c r="B4513" s="475" t="s">
        <v>5517</v>
      </c>
      <c r="C4513" s="475" t="s">
        <v>5526</v>
      </c>
      <c r="D4513" s="475" t="s">
        <v>5527</v>
      </c>
      <c r="E4513" s="476" t="s">
        <v>34</v>
      </c>
      <c r="F4513" s="475" t="s">
        <v>34</v>
      </c>
      <c r="G4513" s="364">
        <v>93396</v>
      </c>
      <c r="H4513" s="475" t="s">
        <v>3710</v>
      </c>
      <c r="I4513" s="475" t="s">
        <v>171</v>
      </c>
      <c r="J4513" s="475" t="s">
        <v>337</v>
      </c>
      <c r="K4513" s="365">
        <v>488.66</v>
      </c>
      <c r="L4513" s="475" t="s">
        <v>141</v>
      </c>
      <c r="M4513" s="473"/>
    </row>
    <row r="4514" spans="1:13" ht="13.5">
      <c r="A4514" s="475" t="s">
        <v>5516</v>
      </c>
      <c r="B4514" s="475" t="s">
        <v>5517</v>
      </c>
      <c r="C4514" s="475" t="s">
        <v>5526</v>
      </c>
      <c r="D4514" s="475" t="s">
        <v>5527</v>
      </c>
      <c r="E4514" s="476" t="s">
        <v>34</v>
      </c>
      <c r="F4514" s="475" t="s">
        <v>34</v>
      </c>
      <c r="G4514" s="364">
        <v>93441</v>
      </c>
      <c r="H4514" s="475" t="s">
        <v>3711</v>
      </c>
      <c r="I4514" s="475" t="s">
        <v>171</v>
      </c>
      <c r="J4514" s="475" t="s">
        <v>337</v>
      </c>
      <c r="K4514" s="365">
        <v>867</v>
      </c>
      <c r="L4514" s="475" t="s">
        <v>141</v>
      </c>
      <c r="M4514" s="473"/>
    </row>
    <row r="4515" spans="1:13" ht="13.5">
      <c r="A4515" s="475" t="s">
        <v>5516</v>
      </c>
      <c r="B4515" s="475" t="s">
        <v>5517</v>
      </c>
      <c r="C4515" s="475" t="s">
        <v>5526</v>
      </c>
      <c r="D4515" s="475" t="s">
        <v>5527</v>
      </c>
      <c r="E4515" s="476" t="s">
        <v>34</v>
      </c>
      <c r="F4515" s="475" t="s">
        <v>34</v>
      </c>
      <c r="G4515" s="364">
        <v>93442</v>
      </c>
      <c r="H4515" s="475" t="s">
        <v>3712</v>
      </c>
      <c r="I4515" s="475" t="s">
        <v>171</v>
      </c>
      <c r="J4515" s="475" t="s">
        <v>337</v>
      </c>
      <c r="K4515" s="365">
        <v>720.42</v>
      </c>
      <c r="L4515" s="475" t="s">
        <v>141</v>
      </c>
      <c r="M4515" s="473"/>
    </row>
    <row r="4516" spans="1:13" ht="13.5">
      <c r="A4516" s="475" t="s">
        <v>5516</v>
      </c>
      <c r="B4516" s="475" t="s">
        <v>5517</v>
      </c>
      <c r="C4516" s="475" t="s">
        <v>5526</v>
      </c>
      <c r="D4516" s="475" t="s">
        <v>5527</v>
      </c>
      <c r="E4516" s="476" t="s">
        <v>34</v>
      </c>
      <c r="F4516" s="475" t="s">
        <v>34</v>
      </c>
      <c r="G4516" s="364">
        <v>95469</v>
      </c>
      <c r="H4516" s="475" t="s">
        <v>3713</v>
      </c>
      <c r="I4516" s="475" t="s">
        <v>171</v>
      </c>
      <c r="J4516" s="475" t="s">
        <v>337</v>
      </c>
      <c r="K4516" s="365">
        <v>176.01</v>
      </c>
      <c r="L4516" s="475" t="s">
        <v>141</v>
      </c>
      <c r="M4516" s="473"/>
    </row>
    <row r="4517" spans="1:13" ht="13.5">
      <c r="A4517" s="475" t="s">
        <v>5516</v>
      </c>
      <c r="B4517" s="475" t="s">
        <v>5517</v>
      </c>
      <c r="C4517" s="475" t="s">
        <v>5526</v>
      </c>
      <c r="D4517" s="475" t="s">
        <v>5527</v>
      </c>
      <c r="E4517" s="476" t="s">
        <v>34</v>
      </c>
      <c r="F4517" s="475" t="s">
        <v>34</v>
      </c>
      <c r="G4517" s="364">
        <v>95470</v>
      </c>
      <c r="H4517" s="475" t="s">
        <v>3714</v>
      </c>
      <c r="I4517" s="475" t="s">
        <v>171</v>
      </c>
      <c r="J4517" s="475" t="s">
        <v>337</v>
      </c>
      <c r="K4517" s="365">
        <v>181.25</v>
      </c>
      <c r="L4517" s="475" t="s">
        <v>141</v>
      </c>
      <c r="M4517" s="473"/>
    </row>
    <row r="4518" spans="1:13" ht="13.5">
      <c r="A4518" s="475" t="s">
        <v>5516</v>
      </c>
      <c r="B4518" s="475" t="s">
        <v>5517</v>
      </c>
      <c r="C4518" s="475" t="s">
        <v>5526</v>
      </c>
      <c r="D4518" s="475" t="s">
        <v>5527</v>
      </c>
      <c r="E4518" s="476" t="s">
        <v>34</v>
      </c>
      <c r="F4518" s="475" t="s">
        <v>34</v>
      </c>
      <c r="G4518" s="364">
        <v>95471</v>
      </c>
      <c r="H4518" s="475" t="s">
        <v>3715</v>
      </c>
      <c r="I4518" s="475" t="s">
        <v>171</v>
      </c>
      <c r="J4518" s="475" t="s">
        <v>337</v>
      </c>
      <c r="K4518" s="365">
        <v>636.17999999999995</v>
      </c>
      <c r="L4518" s="475" t="s">
        <v>141</v>
      </c>
      <c r="M4518" s="473"/>
    </row>
    <row r="4519" spans="1:13" ht="13.5">
      <c r="A4519" s="475" t="s">
        <v>5516</v>
      </c>
      <c r="B4519" s="475" t="s">
        <v>5517</v>
      </c>
      <c r="C4519" s="475" t="s">
        <v>5526</v>
      </c>
      <c r="D4519" s="475" t="s">
        <v>5527</v>
      </c>
      <c r="E4519" s="476" t="s">
        <v>34</v>
      </c>
      <c r="F4519" s="475" t="s">
        <v>34</v>
      </c>
      <c r="G4519" s="364">
        <v>95472</v>
      </c>
      <c r="H4519" s="475" t="s">
        <v>3716</v>
      </c>
      <c r="I4519" s="475" t="s">
        <v>171</v>
      </c>
      <c r="J4519" s="475" t="s">
        <v>337</v>
      </c>
      <c r="K4519" s="365">
        <v>641.41999999999996</v>
      </c>
      <c r="L4519" s="475" t="s">
        <v>141</v>
      </c>
      <c r="M4519" s="473"/>
    </row>
    <row r="4520" spans="1:13" ht="13.5">
      <c r="A4520" s="475" t="s">
        <v>5516</v>
      </c>
      <c r="B4520" s="475" t="s">
        <v>5517</v>
      </c>
      <c r="C4520" s="475" t="s">
        <v>5526</v>
      </c>
      <c r="D4520" s="475" t="s">
        <v>5527</v>
      </c>
      <c r="E4520" s="476" t="s">
        <v>34</v>
      </c>
      <c r="F4520" s="475" t="s">
        <v>34</v>
      </c>
      <c r="G4520" s="364">
        <v>95542</v>
      </c>
      <c r="H4520" s="475" t="s">
        <v>3717</v>
      </c>
      <c r="I4520" s="475" t="s">
        <v>171</v>
      </c>
      <c r="J4520" s="475" t="s">
        <v>337</v>
      </c>
      <c r="K4520" s="365">
        <v>22.08</v>
      </c>
      <c r="L4520" s="475" t="s">
        <v>141</v>
      </c>
      <c r="M4520" s="473"/>
    </row>
    <row r="4521" spans="1:13" ht="13.5">
      <c r="A4521" s="475" t="s">
        <v>5516</v>
      </c>
      <c r="B4521" s="475" t="s">
        <v>5517</v>
      </c>
      <c r="C4521" s="475" t="s">
        <v>5526</v>
      </c>
      <c r="D4521" s="475" t="s">
        <v>5527</v>
      </c>
      <c r="E4521" s="476" t="s">
        <v>34</v>
      </c>
      <c r="F4521" s="475" t="s">
        <v>34</v>
      </c>
      <c r="G4521" s="364">
        <v>95543</v>
      </c>
      <c r="H4521" s="475" t="s">
        <v>3718</v>
      </c>
      <c r="I4521" s="475" t="s">
        <v>171</v>
      </c>
      <c r="J4521" s="475" t="s">
        <v>337</v>
      </c>
      <c r="K4521" s="365">
        <v>35.89</v>
      </c>
      <c r="L4521" s="475" t="s">
        <v>141</v>
      </c>
      <c r="M4521" s="473"/>
    </row>
    <row r="4522" spans="1:13" ht="13.5">
      <c r="A4522" s="475" t="s">
        <v>5516</v>
      </c>
      <c r="B4522" s="475" t="s">
        <v>5517</v>
      </c>
      <c r="C4522" s="475" t="s">
        <v>5526</v>
      </c>
      <c r="D4522" s="475" t="s">
        <v>5527</v>
      </c>
      <c r="E4522" s="476" t="s">
        <v>34</v>
      </c>
      <c r="F4522" s="475" t="s">
        <v>34</v>
      </c>
      <c r="G4522" s="364">
        <v>95544</v>
      </c>
      <c r="H4522" s="475" t="s">
        <v>3719</v>
      </c>
      <c r="I4522" s="475" t="s">
        <v>171</v>
      </c>
      <c r="J4522" s="475" t="s">
        <v>337</v>
      </c>
      <c r="K4522" s="365">
        <v>27.86</v>
      </c>
      <c r="L4522" s="475" t="s">
        <v>141</v>
      </c>
      <c r="M4522" s="473"/>
    </row>
    <row r="4523" spans="1:13" ht="13.5">
      <c r="A4523" s="475" t="s">
        <v>5516</v>
      </c>
      <c r="B4523" s="475" t="s">
        <v>5517</v>
      </c>
      <c r="C4523" s="475" t="s">
        <v>5526</v>
      </c>
      <c r="D4523" s="475" t="s">
        <v>5527</v>
      </c>
      <c r="E4523" s="476" t="s">
        <v>34</v>
      </c>
      <c r="F4523" s="475" t="s">
        <v>34</v>
      </c>
      <c r="G4523" s="364">
        <v>95545</v>
      </c>
      <c r="H4523" s="475" t="s">
        <v>3720</v>
      </c>
      <c r="I4523" s="475" t="s">
        <v>171</v>
      </c>
      <c r="J4523" s="475" t="s">
        <v>337</v>
      </c>
      <c r="K4523" s="365">
        <v>27.25</v>
      </c>
      <c r="L4523" s="475" t="s">
        <v>141</v>
      </c>
      <c r="M4523" s="473"/>
    </row>
    <row r="4524" spans="1:13" ht="13.5">
      <c r="A4524" s="475" t="s">
        <v>5516</v>
      </c>
      <c r="B4524" s="475" t="s">
        <v>5517</v>
      </c>
      <c r="C4524" s="475" t="s">
        <v>5526</v>
      </c>
      <c r="D4524" s="475" t="s">
        <v>5527</v>
      </c>
      <c r="E4524" s="476" t="s">
        <v>34</v>
      </c>
      <c r="F4524" s="475" t="s">
        <v>34</v>
      </c>
      <c r="G4524" s="364">
        <v>95546</v>
      </c>
      <c r="H4524" s="475" t="s">
        <v>3721</v>
      </c>
      <c r="I4524" s="475" t="s">
        <v>171</v>
      </c>
      <c r="J4524" s="475" t="s">
        <v>337</v>
      </c>
      <c r="K4524" s="365">
        <v>83.21</v>
      </c>
      <c r="L4524" s="475" t="s">
        <v>141</v>
      </c>
      <c r="M4524" s="473"/>
    </row>
    <row r="4525" spans="1:13" ht="13.5">
      <c r="A4525" s="475" t="s">
        <v>5516</v>
      </c>
      <c r="B4525" s="475" t="s">
        <v>5517</v>
      </c>
      <c r="C4525" s="475" t="s">
        <v>5526</v>
      </c>
      <c r="D4525" s="475" t="s">
        <v>5527</v>
      </c>
      <c r="E4525" s="476" t="s">
        <v>34</v>
      </c>
      <c r="F4525" s="475" t="s">
        <v>34</v>
      </c>
      <c r="G4525" s="364">
        <v>95547</v>
      </c>
      <c r="H4525" s="475" t="s">
        <v>3722</v>
      </c>
      <c r="I4525" s="475" t="s">
        <v>171</v>
      </c>
      <c r="J4525" s="475" t="s">
        <v>140</v>
      </c>
      <c r="K4525" s="365">
        <v>52.16</v>
      </c>
      <c r="L4525" s="475" t="s">
        <v>141</v>
      </c>
      <c r="M4525" s="473"/>
    </row>
    <row r="4526" spans="1:13" ht="13.5">
      <c r="A4526" s="475" t="s">
        <v>5516</v>
      </c>
      <c r="B4526" s="475" t="s">
        <v>5517</v>
      </c>
      <c r="C4526" s="475" t="s">
        <v>5529</v>
      </c>
      <c r="D4526" s="475" t="s">
        <v>5530</v>
      </c>
      <c r="E4526" s="476" t="s">
        <v>34</v>
      </c>
      <c r="F4526" s="475" t="s">
        <v>34</v>
      </c>
      <c r="G4526" s="364">
        <v>6087</v>
      </c>
      <c r="H4526" s="475" t="s">
        <v>3723</v>
      </c>
      <c r="I4526" s="475" t="s">
        <v>171</v>
      </c>
      <c r="J4526" s="475" t="s">
        <v>337</v>
      </c>
      <c r="K4526" s="365">
        <v>21.92</v>
      </c>
      <c r="L4526" s="475" t="s">
        <v>141</v>
      </c>
      <c r="M4526" s="473"/>
    </row>
    <row r="4527" spans="1:13" ht="13.5">
      <c r="A4527" s="475" t="s">
        <v>5516</v>
      </c>
      <c r="B4527" s="475" t="s">
        <v>5517</v>
      </c>
      <c r="C4527" s="475" t="s">
        <v>5529</v>
      </c>
      <c r="D4527" s="475" t="s">
        <v>5530</v>
      </c>
      <c r="E4527" s="476" t="s">
        <v>34</v>
      </c>
      <c r="F4527" s="475" t="s">
        <v>34</v>
      </c>
      <c r="G4527" s="364">
        <v>98052</v>
      </c>
      <c r="H4527" s="475" t="s">
        <v>6648</v>
      </c>
      <c r="I4527" s="475" t="s">
        <v>171</v>
      </c>
      <c r="J4527" s="475" t="s">
        <v>140</v>
      </c>
      <c r="K4527" s="365">
        <v>1221.76</v>
      </c>
      <c r="L4527" s="475" t="s">
        <v>141</v>
      </c>
      <c r="M4527" s="473"/>
    </row>
    <row r="4528" spans="1:13" ht="13.5">
      <c r="A4528" s="475" t="s">
        <v>5516</v>
      </c>
      <c r="B4528" s="475" t="s">
        <v>5517</v>
      </c>
      <c r="C4528" s="475" t="s">
        <v>5529</v>
      </c>
      <c r="D4528" s="475" t="s">
        <v>5530</v>
      </c>
      <c r="E4528" s="476" t="s">
        <v>34</v>
      </c>
      <c r="F4528" s="475" t="s">
        <v>34</v>
      </c>
      <c r="G4528" s="364">
        <v>98053</v>
      </c>
      <c r="H4528" s="475" t="s">
        <v>6649</v>
      </c>
      <c r="I4528" s="475" t="s">
        <v>171</v>
      </c>
      <c r="J4528" s="475" t="s">
        <v>140</v>
      </c>
      <c r="K4528" s="365">
        <v>1806.84</v>
      </c>
      <c r="L4528" s="475" t="s">
        <v>141</v>
      </c>
      <c r="M4528" s="473"/>
    </row>
    <row r="4529" spans="1:13" ht="13.5">
      <c r="A4529" s="475" t="s">
        <v>5516</v>
      </c>
      <c r="B4529" s="475" t="s">
        <v>5517</v>
      </c>
      <c r="C4529" s="475" t="s">
        <v>5529</v>
      </c>
      <c r="D4529" s="475" t="s">
        <v>5530</v>
      </c>
      <c r="E4529" s="476" t="s">
        <v>34</v>
      </c>
      <c r="F4529" s="475" t="s">
        <v>34</v>
      </c>
      <c r="G4529" s="364">
        <v>98054</v>
      </c>
      <c r="H4529" s="475" t="s">
        <v>6650</v>
      </c>
      <c r="I4529" s="475" t="s">
        <v>171</v>
      </c>
      <c r="J4529" s="475" t="s">
        <v>140</v>
      </c>
      <c r="K4529" s="365">
        <v>2689.05</v>
      </c>
      <c r="L4529" s="475" t="s">
        <v>141</v>
      </c>
      <c r="M4529" s="473"/>
    </row>
    <row r="4530" spans="1:13" ht="13.5">
      <c r="A4530" s="475" t="s">
        <v>5516</v>
      </c>
      <c r="B4530" s="475" t="s">
        <v>5517</v>
      </c>
      <c r="C4530" s="475" t="s">
        <v>5529</v>
      </c>
      <c r="D4530" s="475" t="s">
        <v>5530</v>
      </c>
      <c r="E4530" s="476" t="s">
        <v>34</v>
      </c>
      <c r="F4530" s="475" t="s">
        <v>34</v>
      </c>
      <c r="G4530" s="364">
        <v>98055</v>
      </c>
      <c r="H4530" s="475" t="s">
        <v>6651</v>
      </c>
      <c r="I4530" s="475" t="s">
        <v>171</v>
      </c>
      <c r="J4530" s="475" t="s">
        <v>140</v>
      </c>
      <c r="K4530" s="365">
        <v>3562.58</v>
      </c>
      <c r="L4530" s="475" t="s">
        <v>141</v>
      </c>
      <c r="M4530" s="473"/>
    </row>
    <row r="4531" spans="1:13" ht="13.5">
      <c r="A4531" s="475" t="s">
        <v>5516</v>
      </c>
      <c r="B4531" s="475" t="s">
        <v>5517</v>
      </c>
      <c r="C4531" s="475" t="s">
        <v>5529</v>
      </c>
      <c r="D4531" s="475" t="s">
        <v>5530</v>
      </c>
      <c r="E4531" s="476" t="s">
        <v>34</v>
      </c>
      <c r="F4531" s="475" t="s">
        <v>34</v>
      </c>
      <c r="G4531" s="364">
        <v>98056</v>
      </c>
      <c r="H4531" s="475" t="s">
        <v>6652</v>
      </c>
      <c r="I4531" s="475" t="s">
        <v>171</v>
      </c>
      <c r="J4531" s="475" t="s">
        <v>140</v>
      </c>
      <c r="K4531" s="365">
        <v>4135.3599999999997</v>
      </c>
      <c r="L4531" s="475" t="s">
        <v>141</v>
      </c>
      <c r="M4531" s="473"/>
    </row>
    <row r="4532" spans="1:13" ht="13.5">
      <c r="A4532" s="475" t="s">
        <v>5516</v>
      </c>
      <c r="B4532" s="475" t="s">
        <v>5517</v>
      </c>
      <c r="C4532" s="475" t="s">
        <v>5529</v>
      </c>
      <c r="D4532" s="475" t="s">
        <v>5530</v>
      </c>
      <c r="E4532" s="476" t="s">
        <v>34</v>
      </c>
      <c r="F4532" s="475" t="s">
        <v>34</v>
      </c>
      <c r="G4532" s="364">
        <v>98057</v>
      </c>
      <c r="H4532" s="475" t="s">
        <v>6653</v>
      </c>
      <c r="I4532" s="475" t="s">
        <v>171</v>
      </c>
      <c r="J4532" s="475" t="s">
        <v>140</v>
      </c>
      <c r="K4532" s="365">
        <v>5492.09</v>
      </c>
      <c r="L4532" s="475" t="s">
        <v>141</v>
      </c>
      <c r="M4532" s="473"/>
    </row>
    <row r="4533" spans="1:13" ht="13.5">
      <c r="A4533" s="475" t="s">
        <v>5516</v>
      </c>
      <c r="B4533" s="475" t="s">
        <v>5517</v>
      </c>
      <c r="C4533" s="475" t="s">
        <v>5529</v>
      </c>
      <c r="D4533" s="475" t="s">
        <v>5530</v>
      </c>
      <c r="E4533" s="476" t="s">
        <v>34</v>
      </c>
      <c r="F4533" s="475" t="s">
        <v>34</v>
      </c>
      <c r="G4533" s="364">
        <v>98066</v>
      </c>
      <c r="H4533" s="475" t="s">
        <v>6654</v>
      </c>
      <c r="I4533" s="475" t="s">
        <v>171</v>
      </c>
      <c r="J4533" s="475" t="s">
        <v>140</v>
      </c>
      <c r="K4533" s="365">
        <v>3488.81</v>
      </c>
      <c r="L4533" s="475" t="s">
        <v>141</v>
      </c>
      <c r="M4533" s="473"/>
    </row>
    <row r="4534" spans="1:13" ht="13.5">
      <c r="A4534" s="475" t="s">
        <v>5516</v>
      </c>
      <c r="B4534" s="475" t="s">
        <v>5517</v>
      </c>
      <c r="C4534" s="475" t="s">
        <v>5529</v>
      </c>
      <c r="D4534" s="475" t="s">
        <v>5530</v>
      </c>
      <c r="E4534" s="476" t="s">
        <v>34</v>
      </c>
      <c r="F4534" s="475" t="s">
        <v>34</v>
      </c>
      <c r="G4534" s="364">
        <v>98067</v>
      </c>
      <c r="H4534" s="475" t="s">
        <v>6655</v>
      </c>
      <c r="I4534" s="475" t="s">
        <v>171</v>
      </c>
      <c r="J4534" s="475" t="s">
        <v>140</v>
      </c>
      <c r="K4534" s="365">
        <v>4660.22</v>
      </c>
      <c r="L4534" s="475" t="s">
        <v>141</v>
      </c>
      <c r="M4534" s="473"/>
    </row>
    <row r="4535" spans="1:13" ht="13.5">
      <c r="A4535" s="475" t="s">
        <v>5516</v>
      </c>
      <c r="B4535" s="475" t="s">
        <v>5517</v>
      </c>
      <c r="C4535" s="475" t="s">
        <v>5529</v>
      </c>
      <c r="D4535" s="475" t="s">
        <v>5530</v>
      </c>
      <c r="E4535" s="476" t="s">
        <v>34</v>
      </c>
      <c r="F4535" s="475" t="s">
        <v>34</v>
      </c>
      <c r="G4535" s="364">
        <v>98068</v>
      </c>
      <c r="H4535" s="475" t="s">
        <v>6656</v>
      </c>
      <c r="I4535" s="475" t="s">
        <v>171</v>
      </c>
      <c r="J4535" s="475" t="s">
        <v>140</v>
      </c>
      <c r="K4535" s="365">
        <v>6589.71</v>
      </c>
      <c r="L4535" s="475" t="s">
        <v>141</v>
      </c>
      <c r="M4535" s="473"/>
    </row>
    <row r="4536" spans="1:13" ht="13.5">
      <c r="A4536" s="475" t="s">
        <v>5516</v>
      </c>
      <c r="B4536" s="475" t="s">
        <v>5517</v>
      </c>
      <c r="C4536" s="475" t="s">
        <v>5529</v>
      </c>
      <c r="D4536" s="475" t="s">
        <v>5530</v>
      </c>
      <c r="E4536" s="476" t="s">
        <v>34</v>
      </c>
      <c r="F4536" s="475" t="s">
        <v>34</v>
      </c>
      <c r="G4536" s="364">
        <v>98069</v>
      </c>
      <c r="H4536" s="475" t="s">
        <v>6657</v>
      </c>
      <c r="I4536" s="475" t="s">
        <v>171</v>
      </c>
      <c r="J4536" s="475" t="s">
        <v>140</v>
      </c>
      <c r="K4536" s="365">
        <v>8839.4500000000007</v>
      </c>
      <c r="L4536" s="475" t="s">
        <v>141</v>
      </c>
      <c r="M4536" s="473"/>
    </row>
    <row r="4537" spans="1:13" ht="13.5">
      <c r="A4537" s="475" t="s">
        <v>5516</v>
      </c>
      <c r="B4537" s="475" t="s">
        <v>5517</v>
      </c>
      <c r="C4537" s="475" t="s">
        <v>5529</v>
      </c>
      <c r="D4537" s="475" t="s">
        <v>5530</v>
      </c>
      <c r="E4537" s="476" t="s">
        <v>34</v>
      </c>
      <c r="F4537" s="475" t="s">
        <v>34</v>
      </c>
      <c r="G4537" s="364">
        <v>98070</v>
      </c>
      <c r="H4537" s="475" t="s">
        <v>6658</v>
      </c>
      <c r="I4537" s="475" t="s">
        <v>171</v>
      </c>
      <c r="J4537" s="475" t="s">
        <v>140</v>
      </c>
      <c r="K4537" s="365">
        <v>10125.379999999999</v>
      </c>
      <c r="L4537" s="475" t="s">
        <v>141</v>
      </c>
      <c r="M4537" s="473"/>
    </row>
    <row r="4538" spans="1:13" ht="13.5">
      <c r="A4538" s="475" t="s">
        <v>5516</v>
      </c>
      <c r="B4538" s="475" t="s">
        <v>5517</v>
      </c>
      <c r="C4538" s="475" t="s">
        <v>5529</v>
      </c>
      <c r="D4538" s="475" t="s">
        <v>5530</v>
      </c>
      <c r="E4538" s="476" t="s">
        <v>34</v>
      </c>
      <c r="F4538" s="475" t="s">
        <v>34</v>
      </c>
      <c r="G4538" s="364">
        <v>98071</v>
      </c>
      <c r="H4538" s="475" t="s">
        <v>6659</v>
      </c>
      <c r="I4538" s="475" t="s">
        <v>171</v>
      </c>
      <c r="J4538" s="475" t="s">
        <v>140</v>
      </c>
      <c r="K4538" s="365">
        <v>11102.73</v>
      </c>
      <c r="L4538" s="475" t="s">
        <v>141</v>
      </c>
      <c r="M4538" s="473"/>
    </row>
    <row r="4539" spans="1:13" ht="13.5">
      <c r="A4539" s="475" t="s">
        <v>5516</v>
      </c>
      <c r="B4539" s="475" t="s">
        <v>5517</v>
      </c>
      <c r="C4539" s="475" t="s">
        <v>5529</v>
      </c>
      <c r="D4539" s="475" t="s">
        <v>5530</v>
      </c>
      <c r="E4539" s="476" t="s">
        <v>34</v>
      </c>
      <c r="F4539" s="475" t="s">
        <v>34</v>
      </c>
      <c r="G4539" s="364">
        <v>98072</v>
      </c>
      <c r="H4539" s="475" t="s">
        <v>6660</v>
      </c>
      <c r="I4539" s="475" t="s">
        <v>171</v>
      </c>
      <c r="J4539" s="475" t="s">
        <v>140</v>
      </c>
      <c r="K4539" s="365">
        <v>2923.11</v>
      </c>
      <c r="L4539" s="475" t="s">
        <v>141</v>
      </c>
      <c r="M4539" s="473"/>
    </row>
    <row r="4540" spans="1:13" ht="13.5">
      <c r="A4540" s="475" t="s">
        <v>5516</v>
      </c>
      <c r="B4540" s="475" t="s">
        <v>5517</v>
      </c>
      <c r="C4540" s="475" t="s">
        <v>5529</v>
      </c>
      <c r="D4540" s="475" t="s">
        <v>5530</v>
      </c>
      <c r="E4540" s="476" t="s">
        <v>34</v>
      </c>
      <c r="F4540" s="475" t="s">
        <v>34</v>
      </c>
      <c r="G4540" s="364">
        <v>98073</v>
      </c>
      <c r="H4540" s="475" t="s">
        <v>6661</v>
      </c>
      <c r="I4540" s="475" t="s">
        <v>171</v>
      </c>
      <c r="J4540" s="475" t="s">
        <v>140</v>
      </c>
      <c r="K4540" s="365">
        <v>4577.3500000000004</v>
      </c>
      <c r="L4540" s="475" t="s">
        <v>141</v>
      </c>
      <c r="M4540" s="473"/>
    </row>
    <row r="4541" spans="1:13" ht="13.5">
      <c r="A4541" s="475" t="s">
        <v>5516</v>
      </c>
      <c r="B4541" s="475" t="s">
        <v>5517</v>
      </c>
      <c r="C4541" s="475" t="s">
        <v>5529</v>
      </c>
      <c r="D4541" s="475" t="s">
        <v>5530</v>
      </c>
      <c r="E4541" s="476" t="s">
        <v>34</v>
      </c>
      <c r="F4541" s="475" t="s">
        <v>34</v>
      </c>
      <c r="G4541" s="364">
        <v>98074</v>
      </c>
      <c r="H4541" s="475" t="s">
        <v>6662</v>
      </c>
      <c r="I4541" s="475" t="s">
        <v>171</v>
      </c>
      <c r="J4541" s="475" t="s">
        <v>140</v>
      </c>
      <c r="K4541" s="365">
        <v>7119.43</v>
      </c>
      <c r="L4541" s="475" t="s">
        <v>141</v>
      </c>
      <c r="M4541" s="473"/>
    </row>
    <row r="4542" spans="1:13" ht="13.5">
      <c r="A4542" s="475" t="s">
        <v>5516</v>
      </c>
      <c r="B4542" s="475" t="s">
        <v>5517</v>
      </c>
      <c r="C4542" s="475" t="s">
        <v>5529</v>
      </c>
      <c r="D4542" s="475" t="s">
        <v>5530</v>
      </c>
      <c r="E4542" s="476" t="s">
        <v>34</v>
      </c>
      <c r="F4542" s="475" t="s">
        <v>34</v>
      </c>
      <c r="G4542" s="364">
        <v>98075</v>
      </c>
      <c r="H4542" s="475" t="s">
        <v>6663</v>
      </c>
      <c r="I4542" s="475" t="s">
        <v>171</v>
      </c>
      <c r="J4542" s="475" t="s">
        <v>140</v>
      </c>
      <c r="K4542" s="365">
        <v>9264.65</v>
      </c>
      <c r="L4542" s="475" t="s">
        <v>141</v>
      </c>
      <c r="M4542" s="473"/>
    </row>
    <row r="4543" spans="1:13" ht="13.5">
      <c r="A4543" s="475" t="s">
        <v>5516</v>
      </c>
      <c r="B4543" s="475" t="s">
        <v>5517</v>
      </c>
      <c r="C4543" s="475" t="s">
        <v>5529</v>
      </c>
      <c r="D4543" s="475" t="s">
        <v>5530</v>
      </c>
      <c r="E4543" s="476" t="s">
        <v>34</v>
      </c>
      <c r="F4543" s="475" t="s">
        <v>34</v>
      </c>
      <c r="G4543" s="364">
        <v>98076</v>
      </c>
      <c r="H4543" s="475" t="s">
        <v>6664</v>
      </c>
      <c r="I4543" s="475" t="s">
        <v>171</v>
      </c>
      <c r="J4543" s="475" t="s">
        <v>140</v>
      </c>
      <c r="K4543" s="365">
        <v>10683.35</v>
      </c>
      <c r="L4543" s="475" t="s">
        <v>141</v>
      </c>
      <c r="M4543" s="473"/>
    </row>
    <row r="4544" spans="1:13" ht="13.5">
      <c r="A4544" s="475" t="s">
        <v>5516</v>
      </c>
      <c r="B4544" s="475" t="s">
        <v>5517</v>
      </c>
      <c r="C4544" s="475" t="s">
        <v>5529</v>
      </c>
      <c r="D4544" s="475" t="s">
        <v>5530</v>
      </c>
      <c r="E4544" s="476" t="s">
        <v>34</v>
      </c>
      <c r="F4544" s="475" t="s">
        <v>34</v>
      </c>
      <c r="G4544" s="364">
        <v>98077</v>
      </c>
      <c r="H4544" s="475" t="s">
        <v>6665</v>
      </c>
      <c r="I4544" s="475" t="s">
        <v>171</v>
      </c>
      <c r="J4544" s="475" t="s">
        <v>140</v>
      </c>
      <c r="K4544" s="365">
        <v>12582.52</v>
      </c>
      <c r="L4544" s="475" t="s">
        <v>141</v>
      </c>
      <c r="M4544" s="473"/>
    </row>
    <row r="4545" spans="1:13" ht="13.5">
      <c r="A4545" s="475" t="s">
        <v>5516</v>
      </c>
      <c r="B4545" s="475" t="s">
        <v>5517</v>
      </c>
      <c r="C4545" s="475" t="s">
        <v>5529</v>
      </c>
      <c r="D4545" s="475" t="s">
        <v>5530</v>
      </c>
      <c r="E4545" s="476" t="s">
        <v>34</v>
      </c>
      <c r="F4545" s="475" t="s">
        <v>34</v>
      </c>
      <c r="G4545" s="364">
        <v>98078</v>
      </c>
      <c r="H4545" s="475" t="s">
        <v>6666</v>
      </c>
      <c r="I4545" s="475" t="s">
        <v>171</v>
      </c>
      <c r="J4545" s="475" t="s">
        <v>140</v>
      </c>
      <c r="K4545" s="365">
        <v>2921.32</v>
      </c>
      <c r="L4545" s="475" t="s">
        <v>141</v>
      </c>
      <c r="M4545" s="473"/>
    </row>
    <row r="4546" spans="1:13" ht="13.5">
      <c r="A4546" s="475" t="s">
        <v>5516</v>
      </c>
      <c r="B4546" s="475" t="s">
        <v>5517</v>
      </c>
      <c r="C4546" s="475" t="s">
        <v>5529</v>
      </c>
      <c r="D4546" s="475" t="s">
        <v>5530</v>
      </c>
      <c r="E4546" s="476" t="s">
        <v>34</v>
      </c>
      <c r="F4546" s="475" t="s">
        <v>34</v>
      </c>
      <c r="G4546" s="364">
        <v>98079</v>
      </c>
      <c r="H4546" s="475" t="s">
        <v>6667</v>
      </c>
      <c r="I4546" s="475" t="s">
        <v>171</v>
      </c>
      <c r="J4546" s="475" t="s">
        <v>140</v>
      </c>
      <c r="K4546" s="365">
        <v>5131.67</v>
      </c>
      <c r="L4546" s="475" t="s">
        <v>141</v>
      </c>
      <c r="M4546" s="473"/>
    </row>
    <row r="4547" spans="1:13" ht="13.5">
      <c r="A4547" s="475" t="s">
        <v>5516</v>
      </c>
      <c r="B4547" s="475" t="s">
        <v>5517</v>
      </c>
      <c r="C4547" s="475" t="s">
        <v>5529</v>
      </c>
      <c r="D4547" s="475" t="s">
        <v>5530</v>
      </c>
      <c r="E4547" s="476" t="s">
        <v>34</v>
      </c>
      <c r="F4547" s="475" t="s">
        <v>34</v>
      </c>
      <c r="G4547" s="364">
        <v>98080</v>
      </c>
      <c r="H4547" s="475" t="s">
        <v>6668</v>
      </c>
      <c r="I4547" s="475" t="s">
        <v>171</v>
      </c>
      <c r="J4547" s="475" t="s">
        <v>140</v>
      </c>
      <c r="K4547" s="365">
        <v>6619.66</v>
      </c>
      <c r="L4547" s="475" t="s">
        <v>141</v>
      </c>
      <c r="M4547" s="473"/>
    </row>
    <row r="4548" spans="1:13" ht="13.5">
      <c r="A4548" s="475" t="s">
        <v>5516</v>
      </c>
      <c r="B4548" s="475" t="s">
        <v>5517</v>
      </c>
      <c r="C4548" s="475" t="s">
        <v>5529</v>
      </c>
      <c r="D4548" s="475" t="s">
        <v>5530</v>
      </c>
      <c r="E4548" s="476" t="s">
        <v>34</v>
      </c>
      <c r="F4548" s="475" t="s">
        <v>34</v>
      </c>
      <c r="G4548" s="364">
        <v>98081</v>
      </c>
      <c r="H4548" s="475" t="s">
        <v>6669</v>
      </c>
      <c r="I4548" s="475" t="s">
        <v>171</v>
      </c>
      <c r="J4548" s="475" t="s">
        <v>140</v>
      </c>
      <c r="K4548" s="365">
        <v>9822.7999999999993</v>
      </c>
      <c r="L4548" s="475" t="s">
        <v>141</v>
      </c>
      <c r="M4548" s="473"/>
    </row>
    <row r="4549" spans="1:13" ht="13.5">
      <c r="A4549" s="475" t="s">
        <v>5516</v>
      </c>
      <c r="B4549" s="475" t="s">
        <v>5517</v>
      </c>
      <c r="C4549" s="475" t="s">
        <v>5529</v>
      </c>
      <c r="D4549" s="475" t="s">
        <v>5530</v>
      </c>
      <c r="E4549" s="476" t="s">
        <v>34</v>
      </c>
      <c r="F4549" s="475" t="s">
        <v>34</v>
      </c>
      <c r="G4549" s="364">
        <v>98082</v>
      </c>
      <c r="H4549" s="475" t="s">
        <v>6670</v>
      </c>
      <c r="I4549" s="475" t="s">
        <v>171</v>
      </c>
      <c r="J4549" s="475" t="s">
        <v>140</v>
      </c>
      <c r="K4549" s="365">
        <v>2691.36</v>
      </c>
      <c r="L4549" s="475" t="s">
        <v>141</v>
      </c>
      <c r="M4549" s="473"/>
    </row>
    <row r="4550" spans="1:13" ht="13.5">
      <c r="A4550" s="475" t="s">
        <v>5516</v>
      </c>
      <c r="B4550" s="475" t="s">
        <v>5517</v>
      </c>
      <c r="C4550" s="475" t="s">
        <v>5529</v>
      </c>
      <c r="D4550" s="475" t="s">
        <v>5530</v>
      </c>
      <c r="E4550" s="476" t="s">
        <v>34</v>
      </c>
      <c r="F4550" s="475" t="s">
        <v>34</v>
      </c>
      <c r="G4550" s="364">
        <v>98083</v>
      </c>
      <c r="H4550" s="475" t="s">
        <v>6671</v>
      </c>
      <c r="I4550" s="475" t="s">
        <v>171</v>
      </c>
      <c r="J4550" s="475" t="s">
        <v>140</v>
      </c>
      <c r="K4550" s="365">
        <v>3559.45</v>
      </c>
      <c r="L4550" s="475" t="s">
        <v>141</v>
      </c>
      <c r="M4550" s="473"/>
    </row>
    <row r="4551" spans="1:13" ht="13.5">
      <c r="A4551" s="475" t="s">
        <v>5516</v>
      </c>
      <c r="B4551" s="475" t="s">
        <v>5517</v>
      </c>
      <c r="C4551" s="475" t="s">
        <v>5529</v>
      </c>
      <c r="D4551" s="475" t="s">
        <v>5530</v>
      </c>
      <c r="E4551" s="476" t="s">
        <v>34</v>
      </c>
      <c r="F4551" s="475" t="s">
        <v>34</v>
      </c>
      <c r="G4551" s="364">
        <v>98084</v>
      </c>
      <c r="H4551" s="475" t="s">
        <v>6672</v>
      </c>
      <c r="I4551" s="475" t="s">
        <v>171</v>
      </c>
      <c r="J4551" s="475" t="s">
        <v>140</v>
      </c>
      <c r="K4551" s="365">
        <v>5002.92</v>
      </c>
      <c r="L4551" s="475" t="s">
        <v>141</v>
      </c>
      <c r="M4551" s="473"/>
    </row>
    <row r="4552" spans="1:13" ht="13.5">
      <c r="A4552" s="475" t="s">
        <v>5516</v>
      </c>
      <c r="B4552" s="475" t="s">
        <v>5517</v>
      </c>
      <c r="C4552" s="475" t="s">
        <v>5529</v>
      </c>
      <c r="D4552" s="475" t="s">
        <v>5530</v>
      </c>
      <c r="E4552" s="476" t="s">
        <v>34</v>
      </c>
      <c r="F4552" s="475" t="s">
        <v>34</v>
      </c>
      <c r="G4552" s="364">
        <v>98085</v>
      </c>
      <c r="H4552" s="475" t="s">
        <v>6673</v>
      </c>
      <c r="I4552" s="475" t="s">
        <v>171</v>
      </c>
      <c r="J4552" s="475" t="s">
        <v>140</v>
      </c>
      <c r="K4552" s="365">
        <v>6785.26</v>
      </c>
      <c r="L4552" s="475" t="s">
        <v>141</v>
      </c>
      <c r="M4552" s="473"/>
    </row>
    <row r="4553" spans="1:13" ht="13.5">
      <c r="A4553" s="475" t="s">
        <v>5516</v>
      </c>
      <c r="B4553" s="475" t="s">
        <v>5517</v>
      </c>
      <c r="C4553" s="475" t="s">
        <v>5529</v>
      </c>
      <c r="D4553" s="475" t="s">
        <v>5530</v>
      </c>
      <c r="E4553" s="476" t="s">
        <v>34</v>
      </c>
      <c r="F4553" s="475" t="s">
        <v>34</v>
      </c>
      <c r="G4553" s="364">
        <v>98086</v>
      </c>
      <c r="H4553" s="475" t="s">
        <v>6674</v>
      </c>
      <c r="I4553" s="475" t="s">
        <v>171</v>
      </c>
      <c r="J4553" s="475" t="s">
        <v>140</v>
      </c>
      <c r="K4553" s="365">
        <v>7672.37</v>
      </c>
      <c r="L4553" s="475" t="s">
        <v>141</v>
      </c>
      <c r="M4553" s="473"/>
    </row>
    <row r="4554" spans="1:13" ht="13.5">
      <c r="A4554" s="475" t="s">
        <v>5516</v>
      </c>
      <c r="B4554" s="475" t="s">
        <v>5517</v>
      </c>
      <c r="C4554" s="475" t="s">
        <v>5529</v>
      </c>
      <c r="D4554" s="475" t="s">
        <v>5530</v>
      </c>
      <c r="E4554" s="476" t="s">
        <v>34</v>
      </c>
      <c r="F4554" s="475" t="s">
        <v>34</v>
      </c>
      <c r="G4554" s="364">
        <v>98087</v>
      </c>
      <c r="H4554" s="475" t="s">
        <v>6675</v>
      </c>
      <c r="I4554" s="475" t="s">
        <v>171</v>
      </c>
      <c r="J4554" s="475" t="s">
        <v>140</v>
      </c>
      <c r="K4554" s="365">
        <v>8211.77</v>
      </c>
      <c r="L4554" s="475" t="s">
        <v>141</v>
      </c>
      <c r="M4554" s="473"/>
    </row>
    <row r="4555" spans="1:13" ht="13.5">
      <c r="A4555" s="475" t="s">
        <v>5516</v>
      </c>
      <c r="B4555" s="475" t="s">
        <v>5517</v>
      </c>
      <c r="C4555" s="475" t="s">
        <v>5529</v>
      </c>
      <c r="D4555" s="475" t="s">
        <v>5530</v>
      </c>
      <c r="E4555" s="476" t="s">
        <v>34</v>
      </c>
      <c r="F4555" s="475" t="s">
        <v>34</v>
      </c>
      <c r="G4555" s="364">
        <v>98088</v>
      </c>
      <c r="H4555" s="475" t="s">
        <v>6676</v>
      </c>
      <c r="I4555" s="475" t="s">
        <v>171</v>
      </c>
      <c r="J4555" s="475" t="s">
        <v>140</v>
      </c>
      <c r="K4555" s="365">
        <v>2303.92</v>
      </c>
      <c r="L4555" s="475" t="s">
        <v>141</v>
      </c>
      <c r="M4555" s="473"/>
    </row>
    <row r="4556" spans="1:13" ht="13.5">
      <c r="A4556" s="475" t="s">
        <v>5516</v>
      </c>
      <c r="B4556" s="475" t="s">
        <v>5517</v>
      </c>
      <c r="C4556" s="475" t="s">
        <v>5529</v>
      </c>
      <c r="D4556" s="475" t="s">
        <v>5530</v>
      </c>
      <c r="E4556" s="476" t="s">
        <v>34</v>
      </c>
      <c r="F4556" s="475" t="s">
        <v>34</v>
      </c>
      <c r="G4556" s="364">
        <v>98089</v>
      </c>
      <c r="H4556" s="475" t="s">
        <v>6677</v>
      </c>
      <c r="I4556" s="475" t="s">
        <v>171</v>
      </c>
      <c r="J4556" s="475" t="s">
        <v>140</v>
      </c>
      <c r="K4556" s="365">
        <v>3660.79</v>
      </c>
      <c r="L4556" s="475" t="s">
        <v>141</v>
      </c>
      <c r="M4556" s="473"/>
    </row>
    <row r="4557" spans="1:13" ht="13.5">
      <c r="A4557" s="475" t="s">
        <v>5516</v>
      </c>
      <c r="B4557" s="475" t="s">
        <v>5517</v>
      </c>
      <c r="C4557" s="475" t="s">
        <v>5529</v>
      </c>
      <c r="D4557" s="475" t="s">
        <v>5530</v>
      </c>
      <c r="E4557" s="476" t="s">
        <v>34</v>
      </c>
      <c r="F4557" s="475" t="s">
        <v>34</v>
      </c>
      <c r="G4557" s="364">
        <v>98090</v>
      </c>
      <c r="H4557" s="475" t="s">
        <v>6678</v>
      </c>
      <c r="I4557" s="475" t="s">
        <v>171</v>
      </c>
      <c r="J4557" s="475" t="s">
        <v>140</v>
      </c>
      <c r="K4557" s="365">
        <v>5775.57</v>
      </c>
      <c r="L4557" s="475" t="s">
        <v>141</v>
      </c>
      <c r="M4557" s="473"/>
    </row>
    <row r="4558" spans="1:13" ht="13.5">
      <c r="A4558" s="475" t="s">
        <v>5516</v>
      </c>
      <c r="B4558" s="475" t="s">
        <v>5517</v>
      </c>
      <c r="C4558" s="475" t="s">
        <v>5529</v>
      </c>
      <c r="D4558" s="475" t="s">
        <v>5530</v>
      </c>
      <c r="E4558" s="476" t="s">
        <v>34</v>
      </c>
      <c r="F4558" s="475" t="s">
        <v>34</v>
      </c>
      <c r="G4558" s="364">
        <v>98091</v>
      </c>
      <c r="H4558" s="475" t="s">
        <v>6679</v>
      </c>
      <c r="I4558" s="475" t="s">
        <v>171</v>
      </c>
      <c r="J4558" s="475" t="s">
        <v>140</v>
      </c>
      <c r="K4558" s="365">
        <v>7474.87</v>
      </c>
      <c r="L4558" s="475" t="s">
        <v>141</v>
      </c>
      <c r="M4558" s="473"/>
    </row>
    <row r="4559" spans="1:13" ht="13.5">
      <c r="A4559" s="475" t="s">
        <v>5516</v>
      </c>
      <c r="B4559" s="475" t="s">
        <v>5517</v>
      </c>
      <c r="C4559" s="475" t="s">
        <v>5529</v>
      </c>
      <c r="D4559" s="475" t="s">
        <v>5530</v>
      </c>
      <c r="E4559" s="476" t="s">
        <v>34</v>
      </c>
      <c r="F4559" s="475" t="s">
        <v>34</v>
      </c>
      <c r="G4559" s="364">
        <v>98092</v>
      </c>
      <c r="H4559" s="475" t="s">
        <v>6680</v>
      </c>
      <c r="I4559" s="475" t="s">
        <v>171</v>
      </c>
      <c r="J4559" s="475" t="s">
        <v>140</v>
      </c>
      <c r="K4559" s="365">
        <v>8790.1</v>
      </c>
      <c r="L4559" s="475" t="s">
        <v>141</v>
      </c>
      <c r="M4559" s="473"/>
    </row>
    <row r="4560" spans="1:13" ht="13.5">
      <c r="A4560" s="475" t="s">
        <v>5516</v>
      </c>
      <c r="B4560" s="475" t="s">
        <v>5517</v>
      </c>
      <c r="C4560" s="475" t="s">
        <v>5529</v>
      </c>
      <c r="D4560" s="475" t="s">
        <v>5530</v>
      </c>
      <c r="E4560" s="476" t="s">
        <v>34</v>
      </c>
      <c r="F4560" s="475" t="s">
        <v>34</v>
      </c>
      <c r="G4560" s="364">
        <v>98093</v>
      </c>
      <c r="H4560" s="475" t="s">
        <v>6681</v>
      </c>
      <c r="I4560" s="475" t="s">
        <v>171</v>
      </c>
      <c r="J4560" s="475" t="s">
        <v>140</v>
      </c>
      <c r="K4560" s="365">
        <v>10385.33</v>
      </c>
      <c r="L4560" s="475" t="s">
        <v>141</v>
      </c>
      <c r="M4560" s="473"/>
    </row>
    <row r="4561" spans="1:13" ht="13.5">
      <c r="A4561" s="475" t="s">
        <v>5516</v>
      </c>
      <c r="B4561" s="475" t="s">
        <v>5517</v>
      </c>
      <c r="C4561" s="475" t="s">
        <v>5529</v>
      </c>
      <c r="D4561" s="475" t="s">
        <v>5530</v>
      </c>
      <c r="E4561" s="476" t="s">
        <v>34</v>
      </c>
      <c r="F4561" s="475" t="s">
        <v>34</v>
      </c>
      <c r="G4561" s="364">
        <v>98094</v>
      </c>
      <c r="H4561" s="475" t="s">
        <v>6682</v>
      </c>
      <c r="I4561" s="475" t="s">
        <v>171</v>
      </c>
      <c r="J4561" s="475" t="s">
        <v>140</v>
      </c>
      <c r="K4561" s="365">
        <v>1884.72</v>
      </c>
      <c r="L4561" s="475" t="s">
        <v>141</v>
      </c>
      <c r="M4561" s="473"/>
    </row>
    <row r="4562" spans="1:13" ht="13.5">
      <c r="A4562" s="475" t="s">
        <v>5516</v>
      </c>
      <c r="B4562" s="475" t="s">
        <v>5517</v>
      </c>
      <c r="C4562" s="475" t="s">
        <v>5529</v>
      </c>
      <c r="D4562" s="475" t="s">
        <v>5530</v>
      </c>
      <c r="E4562" s="476" t="s">
        <v>34</v>
      </c>
      <c r="F4562" s="475" t="s">
        <v>34</v>
      </c>
      <c r="G4562" s="364">
        <v>98099</v>
      </c>
      <c r="H4562" s="475" t="s">
        <v>6683</v>
      </c>
      <c r="I4562" s="475" t="s">
        <v>171</v>
      </c>
      <c r="J4562" s="475" t="s">
        <v>140</v>
      </c>
      <c r="K4562" s="365">
        <v>3246.38</v>
      </c>
      <c r="L4562" s="475" t="s">
        <v>141</v>
      </c>
      <c r="M4562" s="473"/>
    </row>
    <row r="4563" spans="1:13" ht="13.5">
      <c r="A4563" s="475" t="s">
        <v>5516</v>
      </c>
      <c r="B4563" s="475" t="s">
        <v>5517</v>
      </c>
      <c r="C4563" s="475" t="s">
        <v>5529</v>
      </c>
      <c r="D4563" s="475" t="s">
        <v>5530</v>
      </c>
      <c r="E4563" s="476" t="s">
        <v>34</v>
      </c>
      <c r="F4563" s="475" t="s">
        <v>34</v>
      </c>
      <c r="G4563" s="364">
        <v>98100</v>
      </c>
      <c r="H4563" s="475" t="s">
        <v>6684</v>
      </c>
      <c r="I4563" s="475" t="s">
        <v>171</v>
      </c>
      <c r="J4563" s="475" t="s">
        <v>140</v>
      </c>
      <c r="K4563" s="365">
        <v>4262.84</v>
      </c>
      <c r="L4563" s="475" t="s">
        <v>141</v>
      </c>
      <c r="M4563" s="473"/>
    </row>
    <row r="4564" spans="1:13" ht="13.5">
      <c r="A4564" s="475" t="s">
        <v>5516</v>
      </c>
      <c r="B4564" s="475" t="s">
        <v>5517</v>
      </c>
      <c r="C4564" s="475" t="s">
        <v>5529</v>
      </c>
      <c r="D4564" s="475" t="s">
        <v>5530</v>
      </c>
      <c r="E4564" s="476" t="s">
        <v>34</v>
      </c>
      <c r="F4564" s="475" t="s">
        <v>34</v>
      </c>
      <c r="G4564" s="364">
        <v>98101</v>
      </c>
      <c r="H4564" s="475" t="s">
        <v>6685</v>
      </c>
      <c r="I4564" s="475" t="s">
        <v>171</v>
      </c>
      <c r="J4564" s="475" t="s">
        <v>140</v>
      </c>
      <c r="K4564" s="365">
        <v>6322.3</v>
      </c>
      <c r="L4564" s="475" t="s">
        <v>141</v>
      </c>
      <c r="M4564" s="473"/>
    </row>
    <row r="4565" spans="1:13" ht="13.5">
      <c r="A4565" s="475" t="s">
        <v>5516</v>
      </c>
      <c r="B4565" s="475" t="s">
        <v>5517</v>
      </c>
      <c r="C4565" s="475" t="s">
        <v>5529</v>
      </c>
      <c r="D4565" s="475" t="s">
        <v>5530</v>
      </c>
      <c r="E4565" s="476" t="s">
        <v>34</v>
      </c>
      <c r="F4565" s="475" t="s">
        <v>34</v>
      </c>
      <c r="G4565" s="364">
        <v>98109</v>
      </c>
      <c r="H4565" s="475" t="s">
        <v>6686</v>
      </c>
      <c r="I4565" s="475" t="s">
        <v>171</v>
      </c>
      <c r="J4565" s="475" t="s">
        <v>140</v>
      </c>
      <c r="K4565" s="365">
        <v>570</v>
      </c>
      <c r="L4565" s="475" t="s">
        <v>141</v>
      </c>
      <c r="M4565" s="473"/>
    </row>
    <row r="4566" spans="1:13" ht="13.5">
      <c r="A4566" s="475" t="s">
        <v>5516</v>
      </c>
      <c r="B4566" s="475" t="s">
        <v>5517</v>
      </c>
      <c r="C4566" s="475" t="s">
        <v>5529</v>
      </c>
      <c r="D4566" s="475" t="s">
        <v>5530</v>
      </c>
      <c r="E4566" s="476" t="s">
        <v>34</v>
      </c>
      <c r="F4566" s="475" t="s">
        <v>34</v>
      </c>
      <c r="G4566" s="364">
        <v>98110</v>
      </c>
      <c r="H4566" s="475" t="s">
        <v>6687</v>
      </c>
      <c r="I4566" s="475" t="s">
        <v>171</v>
      </c>
      <c r="J4566" s="475" t="s">
        <v>337</v>
      </c>
      <c r="K4566" s="365">
        <v>404.62</v>
      </c>
      <c r="L4566" s="475" t="s">
        <v>141</v>
      </c>
      <c r="M4566" s="473"/>
    </row>
    <row r="4567" spans="1:13" ht="13.5">
      <c r="A4567" s="475" t="s">
        <v>5516</v>
      </c>
      <c r="B4567" s="475" t="s">
        <v>5517</v>
      </c>
      <c r="C4567" s="475" t="s">
        <v>5529</v>
      </c>
      <c r="D4567" s="475" t="s">
        <v>5530</v>
      </c>
      <c r="E4567" s="476" t="s">
        <v>34</v>
      </c>
      <c r="F4567" s="475" t="s">
        <v>34</v>
      </c>
      <c r="G4567" s="364">
        <v>98111</v>
      </c>
      <c r="H4567" s="475" t="s">
        <v>6688</v>
      </c>
      <c r="I4567" s="475" t="s">
        <v>171</v>
      </c>
      <c r="J4567" s="475" t="s">
        <v>337</v>
      </c>
      <c r="K4567" s="365">
        <v>20.92</v>
      </c>
      <c r="L4567" s="475" t="s">
        <v>141</v>
      </c>
      <c r="M4567" s="473"/>
    </row>
    <row r="4568" spans="1:13" ht="13.5">
      <c r="A4568" s="475" t="s">
        <v>5516</v>
      </c>
      <c r="B4568" s="475" t="s">
        <v>5517</v>
      </c>
      <c r="C4568" s="475" t="s">
        <v>5529</v>
      </c>
      <c r="D4568" s="475" t="s">
        <v>5530</v>
      </c>
      <c r="E4568" s="476" t="s">
        <v>34</v>
      </c>
      <c r="F4568" s="475" t="s">
        <v>34</v>
      </c>
      <c r="G4568" s="364">
        <v>98114</v>
      </c>
      <c r="H4568" s="475" t="s">
        <v>6689</v>
      </c>
      <c r="I4568" s="475" t="s">
        <v>171</v>
      </c>
      <c r="J4568" s="475" t="s">
        <v>140</v>
      </c>
      <c r="K4568" s="365">
        <v>374.87</v>
      </c>
      <c r="L4568" s="475" t="s">
        <v>141</v>
      </c>
      <c r="M4568" s="473"/>
    </row>
    <row r="4569" spans="1:13" ht="13.5">
      <c r="A4569" s="475" t="s">
        <v>5516</v>
      </c>
      <c r="B4569" s="475" t="s">
        <v>5517</v>
      </c>
      <c r="C4569" s="475" t="s">
        <v>5529</v>
      </c>
      <c r="D4569" s="475" t="s">
        <v>5530</v>
      </c>
      <c r="E4569" s="476" t="s">
        <v>34</v>
      </c>
      <c r="F4569" s="475" t="s">
        <v>34</v>
      </c>
      <c r="G4569" s="364">
        <v>98115</v>
      </c>
      <c r="H4569" s="475" t="s">
        <v>6690</v>
      </c>
      <c r="I4569" s="475" t="s">
        <v>171</v>
      </c>
      <c r="J4569" s="475" t="s">
        <v>140</v>
      </c>
      <c r="K4569" s="365">
        <v>83.07</v>
      </c>
      <c r="L4569" s="475" t="s">
        <v>141</v>
      </c>
      <c r="M4569" s="473"/>
    </row>
    <row r="4570" spans="1:13" ht="13.5">
      <c r="A4570" s="475" t="s">
        <v>5516</v>
      </c>
      <c r="B4570" s="475" t="s">
        <v>5517</v>
      </c>
      <c r="C4570" s="475" t="s">
        <v>5531</v>
      </c>
      <c r="D4570" s="475" t="s">
        <v>5532</v>
      </c>
      <c r="E4570" s="476" t="s">
        <v>34</v>
      </c>
      <c r="F4570" s="475" t="s">
        <v>34</v>
      </c>
      <c r="G4570" s="364">
        <v>89957</v>
      </c>
      <c r="H4570" s="475" t="s">
        <v>3724</v>
      </c>
      <c r="I4570" s="475" t="s">
        <v>171</v>
      </c>
      <c r="J4570" s="475" t="s">
        <v>337</v>
      </c>
      <c r="K4570" s="365">
        <v>99.62</v>
      </c>
      <c r="L4570" s="475" t="s">
        <v>141</v>
      </c>
      <c r="M4570" s="473"/>
    </row>
    <row r="4571" spans="1:13" ht="13.5">
      <c r="A4571" s="475" t="s">
        <v>5516</v>
      </c>
      <c r="B4571" s="475" t="s">
        <v>5517</v>
      </c>
      <c r="C4571" s="475" t="s">
        <v>5531</v>
      </c>
      <c r="D4571" s="475" t="s">
        <v>5532</v>
      </c>
      <c r="E4571" s="476" t="s">
        <v>34</v>
      </c>
      <c r="F4571" s="475" t="s">
        <v>34</v>
      </c>
      <c r="G4571" s="364">
        <v>89959</v>
      </c>
      <c r="H4571" s="475" t="s">
        <v>3725</v>
      </c>
      <c r="I4571" s="475" t="s">
        <v>171</v>
      </c>
      <c r="J4571" s="475" t="s">
        <v>337</v>
      </c>
      <c r="K4571" s="365">
        <v>150.08000000000001</v>
      </c>
      <c r="L4571" s="475" t="s">
        <v>141</v>
      </c>
      <c r="M4571" s="473"/>
    </row>
    <row r="4572" spans="1:13" ht="13.5">
      <c r="A4572" s="475" t="s">
        <v>5516</v>
      </c>
      <c r="B4572" s="475" t="s">
        <v>5517</v>
      </c>
      <c r="C4572" s="475" t="s">
        <v>5533</v>
      </c>
      <c r="D4572" s="475" t="s">
        <v>5534</v>
      </c>
      <c r="E4572" s="476">
        <v>74093</v>
      </c>
      <c r="F4572" s="475" t="s">
        <v>5535</v>
      </c>
      <c r="G4572" s="364" t="s">
        <v>3726</v>
      </c>
      <c r="H4572" s="475" t="s">
        <v>3727</v>
      </c>
      <c r="I4572" s="475" t="s">
        <v>171</v>
      </c>
      <c r="J4572" s="475" t="s">
        <v>140</v>
      </c>
      <c r="K4572" s="365">
        <v>69.790000000000006</v>
      </c>
      <c r="L4572" s="475" t="s">
        <v>141</v>
      </c>
      <c r="M4572" s="473"/>
    </row>
    <row r="4573" spans="1:13" ht="13.5">
      <c r="A4573" s="475" t="s">
        <v>5516</v>
      </c>
      <c r="B4573" s="475" t="s">
        <v>5517</v>
      </c>
      <c r="C4573" s="475" t="s">
        <v>5533</v>
      </c>
      <c r="D4573" s="475" t="s">
        <v>5534</v>
      </c>
      <c r="E4573" s="476">
        <v>74169</v>
      </c>
      <c r="F4573" s="475" t="s">
        <v>5536</v>
      </c>
      <c r="G4573" s="364" t="s">
        <v>3728</v>
      </c>
      <c r="H4573" s="475" t="s">
        <v>3729</v>
      </c>
      <c r="I4573" s="475" t="s">
        <v>171</v>
      </c>
      <c r="J4573" s="475" t="s">
        <v>337</v>
      </c>
      <c r="K4573" s="365">
        <v>183.97</v>
      </c>
      <c r="L4573" s="475" t="s">
        <v>141</v>
      </c>
      <c r="M4573" s="473"/>
    </row>
    <row r="4574" spans="1:13" ht="13.5">
      <c r="A4574" s="475" t="s">
        <v>5516</v>
      </c>
      <c r="B4574" s="475" t="s">
        <v>5517</v>
      </c>
      <c r="C4574" s="475" t="s">
        <v>5533</v>
      </c>
      <c r="D4574" s="475" t="s">
        <v>5534</v>
      </c>
      <c r="E4574" s="476" t="s">
        <v>34</v>
      </c>
      <c r="F4574" s="475" t="s">
        <v>34</v>
      </c>
      <c r="G4574" s="364">
        <v>89349</v>
      </c>
      <c r="H4574" s="475" t="s">
        <v>3730</v>
      </c>
      <c r="I4574" s="475" t="s">
        <v>171</v>
      </c>
      <c r="J4574" s="475" t="s">
        <v>140</v>
      </c>
      <c r="K4574" s="365">
        <v>21.2</v>
      </c>
      <c r="L4574" s="475" t="s">
        <v>141</v>
      </c>
      <c r="M4574" s="473"/>
    </row>
    <row r="4575" spans="1:13" ht="13.5">
      <c r="A4575" s="475" t="s">
        <v>5516</v>
      </c>
      <c r="B4575" s="475" t="s">
        <v>5517</v>
      </c>
      <c r="C4575" s="475" t="s">
        <v>5533</v>
      </c>
      <c r="D4575" s="475" t="s">
        <v>5534</v>
      </c>
      <c r="E4575" s="476" t="s">
        <v>34</v>
      </c>
      <c r="F4575" s="475" t="s">
        <v>34</v>
      </c>
      <c r="G4575" s="364">
        <v>89351</v>
      </c>
      <c r="H4575" s="475" t="s">
        <v>15199</v>
      </c>
      <c r="I4575" s="475" t="s">
        <v>171</v>
      </c>
      <c r="J4575" s="475" t="s">
        <v>140</v>
      </c>
      <c r="K4575" s="365">
        <v>23.97</v>
      </c>
      <c r="L4575" s="475" t="s">
        <v>141</v>
      </c>
      <c r="M4575" s="473"/>
    </row>
    <row r="4576" spans="1:13" ht="13.5">
      <c r="A4576" s="475" t="s">
        <v>5516</v>
      </c>
      <c r="B4576" s="475" t="s">
        <v>5517</v>
      </c>
      <c r="C4576" s="475" t="s">
        <v>5533</v>
      </c>
      <c r="D4576" s="475" t="s">
        <v>5534</v>
      </c>
      <c r="E4576" s="476" t="s">
        <v>34</v>
      </c>
      <c r="F4576" s="475" t="s">
        <v>34</v>
      </c>
      <c r="G4576" s="364">
        <v>89352</v>
      </c>
      <c r="H4576" s="475" t="s">
        <v>3731</v>
      </c>
      <c r="I4576" s="475" t="s">
        <v>171</v>
      </c>
      <c r="J4576" s="475" t="s">
        <v>140</v>
      </c>
      <c r="K4576" s="365">
        <v>27.08</v>
      </c>
      <c r="L4576" s="475" t="s">
        <v>141</v>
      </c>
      <c r="M4576" s="473"/>
    </row>
    <row r="4577" spans="1:13" ht="13.5">
      <c r="A4577" s="475" t="s">
        <v>5516</v>
      </c>
      <c r="B4577" s="475" t="s">
        <v>5517</v>
      </c>
      <c r="C4577" s="475" t="s">
        <v>5533</v>
      </c>
      <c r="D4577" s="475" t="s">
        <v>5534</v>
      </c>
      <c r="E4577" s="476" t="s">
        <v>34</v>
      </c>
      <c r="F4577" s="475" t="s">
        <v>34</v>
      </c>
      <c r="G4577" s="364">
        <v>89353</v>
      </c>
      <c r="H4577" s="475" t="s">
        <v>3732</v>
      </c>
      <c r="I4577" s="475" t="s">
        <v>171</v>
      </c>
      <c r="J4577" s="475" t="s">
        <v>140</v>
      </c>
      <c r="K4577" s="365">
        <v>28.18</v>
      </c>
      <c r="L4577" s="475" t="s">
        <v>141</v>
      </c>
      <c r="M4577" s="473"/>
    </row>
    <row r="4578" spans="1:13" ht="13.5">
      <c r="A4578" s="475" t="s">
        <v>5516</v>
      </c>
      <c r="B4578" s="475" t="s">
        <v>5517</v>
      </c>
      <c r="C4578" s="475" t="s">
        <v>5533</v>
      </c>
      <c r="D4578" s="475" t="s">
        <v>5534</v>
      </c>
      <c r="E4578" s="476" t="s">
        <v>34</v>
      </c>
      <c r="F4578" s="475" t="s">
        <v>34</v>
      </c>
      <c r="G4578" s="364">
        <v>89354</v>
      </c>
      <c r="H4578" s="475" t="s">
        <v>3733</v>
      </c>
      <c r="I4578" s="475" t="s">
        <v>171</v>
      </c>
      <c r="J4578" s="475" t="s">
        <v>337</v>
      </c>
      <c r="K4578" s="365">
        <v>218.36</v>
      </c>
      <c r="L4578" s="475" t="s">
        <v>141</v>
      </c>
      <c r="M4578" s="473"/>
    </row>
    <row r="4579" spans="1:13" ht="13.5">
      <c r="A4579" s="475" t="s">
        <v>5516</v>
      </c>
      <c r="B4579" s="475" t="s">
        <v>5517</v>
      </c>
      <c r="C4579" s="475" t="s">
        <v>5533</v>
      </c>
      <c r="D4579" s="475" t="s">
        <v>5534</v>
      </c>
      <c r="E4579" s="476" t="s">
        <v>34</v>
      </c>
      <c r="F4579" s="475" t="s">
        <v>34</v>
      </c>
      <c r="G4579" s="364">
        <v>89969</v>
      </c>
      <c r="H4579" s="475" t="s">
        <v>3734</v>
      </c>
      <c r="I4579" s="475" t="s">
        <v>171</v>
      </c>
      <c r="J4579" s="475" t="s">
        <v>140</v>
      </c>
      <c r="K4579" s="365">
        <v>31.23</v>
      </c>
      <c r="L4579" s="475" t="s">
        <v>141</v>
      </c>
      <c r="M4579" s="473"/>
    </row>
    <row r="4580" spans="1:13" ht="13.5">
      <c r="A4580" s="475" t="s">
        <v>5516</v>
      </c>
      <c r="B4580" s="475" t="s">
        <v>5517</v>
      </c>
      <c r="C4580" s="475" t="s">
        <v>5533</v>
      </c>
      <c r="D4580" s="475" t="s">
        <v>5534</v>
      </c>
      <c r="E4580" s="476" t="s">
        <v>34</v>
      </c>
      <c r="F4580" s="475" t="s">
        <v>34</v>
      </c>
      <c r="G4580" s="364">
        <v>89970</v>
      </c>
      <c r="H4580" s="475" t="s">
        <v>3735</v>
      </c>
      <c r="I4580" s="475" t="s">
        <v>171</v>
      </c>
      <c r="J4580" s="475" t="s">
        <v>140</v>
      </c>
      <c r="K4580" s="365">
        <v>34.130000000000003</v>
      </c>
      <c r="L4580" s="475" t="s">
        <v>141</v>
      </c>
      <c r="M4580" s="473"/>
    </row>
    <row r="4581" spans="1:13" ht="13.5">
      <c r="A4581" s="475" t="s">
        <v>5516</v>
      </c>
      <c r="B4581" s="475" t="s">
        <v>5517</v>
      </c>
      <c r="C4581" s="475" t="s">
        <v>5533</v>
      </c>
      <c r="D4581" s="475" t="s">
        <v>5534</v>
      </c>
      <c r="E4581" s="476" t="s">
        <v>34</v>
      </c>
      <c r="F4581" s="475" t="s">
        <v>34</v>
      </c>
      <c r="G4581" s="364">
        <v>89971</v>
      </c>
      <c r="H4581" s="475" t="s">
        <v>3736</v>
      </c>
      <c r="I4581" s="475" t="s">
        <v>171</v>
      </c>
      <c r="J4581" s="475" t="s">
        <v>140</v>
      </c>
      <c r="K4581" s="365">
        <v>35.22</v>
      </c>
      <c r="L4581" s="475" t="s">
        <v>141</v>
      </c>
      <c r="M4581" s="473"/>
    </row>
    <row r="4582" spans="1:13" ht="13.5">
      <c r="A4582" s="475" t="s">
        <v>5516</v>
      </c>
      <c r="B4582" s="475" t="s">
        <v>5517</v>
      </c>
      <c r="C4582" s="475" t="s">
        <v>5533</v>
      </c>
      <c r="D4582" s="475" t="s">
        <v>5534</v>
      </c>
      <c r="E4582" s="476" t="s">
        <v>34</v>
      </c>
      <c r="F4582" s="475" t="s">
        <v>34</v>
      </c>
      <c r="G4582" s="364">
        <v>89972</v>
      </c>
      <c r="H4582" s="475" t="s">
        <v>3737</v>
      </c>
      <c r="I4582" s="475" t="s">
        <v>171</v>
      </c>
      <c r="J4582" s="475" t="s">
        <v>140</v>
      </c>
      <c r="K4582" s="365">
        <v>37.82</v>
      </c>
      <c r="L4582" s="475" t="s">
        <v>141</v>
      </c>
      <c r="M4582" s="473"/>
    </row>
    <row r="4583" spans="1:13" ht="13.5">
      <c r="A4583" s="475" t="s">
        <v>5516</v>
      </c>
      <c r="B4583" s="475" t="s">
        <v>5517</v>
      </c>
      <c r="C4583" s="475" t="s">
        <v>5533</v>
      </c>
      <c r="D4583" s="475" t="s">
        <v>5534</v>
      </c>
      <c r="E4583" s="476" t="s">
        <v>34</v>
      </c>
      <c r="F4583" s="475" t="s">
        <v>34</v>
      </c>
      <c r="G4583" s="364">
        <v>89973</v>
      </c>
      <c r="H4583" s="475" t="s">
        <v>3738</v>
      </c>
      <c r="I4583" s="475" t="s">
        <v>171</v>
      </c>
      <c r="J4583" s="475" t="s">
        <v>337</v>
      </c>
      <c r="K4583" s="365">
        <v>337.78</v>
      </c>
      <c r="L4583" s="475" t="s">
        <v>141</v>
      </c>
      <c r="M4583" s="473"/>
    </row>
    <row r="4584" spans="1:13" ht="13.5">
      <c r="A4584" s="475" t="s">
        <v>5516</v>
      </c>
      <c r="B4584" s="475" t="s">
        <v>5517</v>
      </c>
      <c r="C4584" s="475" t="s">
        <v>5533</v>
      </c>
      <c r="D4584" s="475" t="s">
        <v>5534</v>
      </c>
      <c r="E4584" s="476" t="s">
        <v>34</v>
      </c>
      <c r="F4584" s="475" t="s">
        <v>34</v>
      </c>
      <c r="G4584" s="364">
        <v>89974</v>
      </c>
      <c r="H4584" s="475" t="s">
        <v>3739</v>
      </c>
      <c r="I4584" s="475" t="s">
        <v>171</v>
      </c>
      <c r="J4584" s="475" t="s">
        <v>140</v>
      </c>
      <c r="K4584" s="365">
        <v>176.01</v>
      </c>
      <c r="L4584" s="475" t="s">
        <v>141</v>
      </c>
      <c r="M4584" s="473"/>
    </row>
    <row r="4585" spans="1:13" ht="13.5">
      <c r="A4585" s="475" t="s">
        <v>5516</v>
      </c>
      <c r="B4585" s="475" t="s">
        <v>5517</v>
      </c>
      <c r="C4585" s="475" t="s">
        <v>5533</v>
      </c>
      <c r="D4585" s="475" t="s">
        <v>5534</v>
      </c>
      <c r="E4585" s="476" t="s">
        <v>34</v>
      </c>
      <c r="F4585" s="475" t="s">
        <v>34</v>
      </c>
      <c r="G4585" s="364">
        <v>89984</v>
      </c>
      <c r="H4585" s="475" t="s">
        <v>3740</v>
      </c>
      <c r="I4585" s="475" t="s">
        <v>171</v>
      </c>
      <c r="J4585" s="475" t="s">
        <v>140</v>
      </c>
      <c r="K4585" s="365">
        <v>56.58</v>
      </c>
      <c r="L4585" s="475" t="s">
        <v>141</v>
      </c>
      <c r="M4585" s="473"/>
    </row>
    <row r="4586" spans="1:13" ht="13.5">
      <c r="A4586" s="475" t="s">
        <v>5516</v>
      </c>
      <c r="B4586" s="475" t="s">
        <v>5517</v>
      </c>
      <c r="C4586" s="475" t="s">
        <v>5533</v>
      </c>
      <c r="D4586" s="475" t="s">
        <v>5534</v>
      </c>
      <c r="E4586" s="476" t="s">
        <v>34</v>
      </c>
      <c r="F4586" s="475" t="s">
        <v>34</v>
      </c>
      <c r="G4586" s="364">
        <v>89985</v>
      </c>
      <c r="H4586" s="475" t="s">
        <v>3741</v>
      </c>
      <c r="I4586" s="475" t="s">
        <v>171</v>
      </c>
      <c r="J4586" s="475" t="s">
        <v>140</v>
      </c>
      <c r="K4586" s="365">
        <v>58.18</v>
      </c>
      <c r="L4586" s="475" t="s">
        <v>141</v>
      </c>
      <c r="M4586" s="473"/>
    </row>
    <row r="4587" spans="1:13" ht="13.5">
      <c r="A4587" s="475" t="s">
        <v>5516</v>
      </c>
      <c r="B4587" s="475" t="s">
        <v>5517</v>
      </c>
      <c r="C4587" s="475" t="s">
        <v>5533</v>
      </c>
      <c r="D4587" s="475" t="s">
        <v>5534</v>
      </c>
      <c r="E4587" s="476" t="s">
        <v>34</v>
      </c>
      <c r="F4587" s="475" t="s">
        <v>34</v>
      </c>
      <c r="G4587" s="364">
        <v>89986</v>
      </c>
      <c r="H4587" s="475" t="s">
        <v>3742</v>
      </c>
      <c r="I4587" s="475" t="s">
        <v>171</v>
      </c>
      <c r="J4587" s="475" t="s">
        <v>140</v>
      </c>
      <c r="K4587" s="365">
        <v>55.23</v>
      </c>
      <c r="L4587" s="475" t="s">
        <v>141</v>
      </c>
      <c r="M4587" s="473"/>
    </row>
    <row r="4588" spans="1:13" ht="13.5">
      <c r="A4588" s="475" t="s">
        <v>5516</v>
      </c>
      <c r="B4588" s="475" t="s">
        <v>5517</v>
      </c>
      <c r="C4588" s="475" t="s">
        <v>5533</v>
      </c>
      <c r="D4588" s="475" t="s">
        <v>5534</v>
      </c>
      <c r="E4588" s="476" t="s">
        <v>34</v>
      </c>
      <c r="F4588" s="475" t="s">
        <v>34</v>
      </c>
      <c r="G4588" s="364">
        <v>89987</v>
      </c>
      <c r="H4588" s="475" t="s">
        <v>3743</v>
      </c>
      <c r="I4588" s="475" t="s">
        <v>171</v>
      </c>
      <c r="J4588" s="475" t="s">
        <v>140</v>
      </c>
      <c r="K4588" s="365">
        <v>61.13</v>
      </c>
      <c r="L4588" s="475" t="s">
        <v>141</v>
      </c>
      <c r="M4588" s="473"/>
    </row>
    <row r="4589" spans="1:13" ht="13.5">
      <c r="A4589" s="475" t="s">
        <v>5516</v>
      </c>
      <c r="B4589" s="475" t="s">
        <v>5517</v>
      </c>
      <c r="C4589" s="475" t="s">
        <v>5533</v>
      </c>
      <c r="D4589" s="475" t="s">
        <v>5534</v>
      </c>
      <c r="E4589" s="476" t="s">
        <v>34</v>
      </c>
      <c r="F4589" s="475" t="s">
        <v>34</v>
      </c>
      <c r="G4589" s="364">
        <v>90371</v>
      </c>
      <c r="H4589" s="475" t="s">
        <v>3744</v>
      </c>
      <c r="I4589" s="475" t="s">
        <v>171</v>
      </c>
      <c r="J4589" s="475" t="s">
        <v>337</v>
      </c>
      <c r="K4589" s="365">
        <v>34.58</v>
      </c>
      <c r="L4589" s="475" t="s">
        <v>141</v>
      </c>
      <c r="M4589" s="473"/>
    </row>
    <row r="4590" spans="1:13" ht="13.5">
      <c r="A4590" s="475" t="s">
        <v>5516</v>
      </c>
      <c r="B4590" s="475" t="s">
        <v>5517</v>
      </c>
      <c r="C4590" s="475" t="s">
        <v>5533</v>
      </c>
      <c r="D4590" s="475" t="s">
        <v>5534</v>
      </c>
      <c r="E4590" s="476" t="s">
        <v>34</v>
      </c>
      <c r="F4590" s="475" t="s">
        <v>34</v>
      </c>
      <c r="G4590" s="364">
        <v>94489</v>
      </c>
      <c r="H4590" s="475" t="s">
        <v>3745</v>
      </c>
      <c r="I4590" s="475" t="s">
        <v>171</v>
      </c>
      <c r="J4590" s="475" t="s">
        <v>337</v>
      </c>
      <c r="K4590" s="365">
        <v>31.59</v>
      </c>
      <c r="L4590" s="475" t="s">
        <v>141</v>
      </c>
      <c r="M4590" s="473"/>
    </row>
    <row r="4591" spans="1:13" ht="13.5">
      <c r="A4591" s="475" t="s">
        <v>5516</v>
      </c>
      <c r="B4591" s="475" t="s">
        <v>5517</v>
      </c>
      <c r="C4591" s="475" t="s">
        <v>5533</v>
      </c>
      <c r="D4591" s="475" t="s">
        <v>5534</v>
      </c>
      <c r="E4591" s="476" t="s">
        <v>34</v>
      </c>
      <c r="F4591" s="475" t="s">
        <v>34</v>
      </c>
      <c r="G4591" s="364">
        <v>94490</v>
      </c>
      <c r="H4591" s="475" t="s">
        <v>3746</v>
      </c>
      <c r="I4591" s="475" t="s">
        <v>171</v>
      </c>
      <c r="J4591" s="475" t="s">
        <v>337</v>
      </c>
      <c r="K4591" s="365">
        <v>51.67</v>
      </c>
      <c r="L4591" s="475" t="s">
        <v>141</v>
      </c>
      <c r="M4591" s="473"/>
    </row>
    <row r="4592" spans="1:13" ht="13.5">
      <c r="A4592" s="475" t="s">
        <v>5516</v>
      </c>
      <c r="B4592" s="475" t="s">
        <v>5517</v>
      </c>
      <c r="C4592" s="475" t="s">
        <v>5533</v>
      </c>
      <c r="D4592" s="475" t="s">
        <v>5534</v>
      </c>
      <c r="E4592" s="476" t="s">
        <v>34</v>
      </c>
      <c r="F4592" s="475" t="s">
        <v>34</v>
      </c>
      <c r="G4592" s="364">
        <v>94491</v>
      </c>
      <c r="H4592" s="475" t="s">
        <v>3747</v>
      </c>
      <c r="I4592" s="475" t="s">
        <v>171</v>
      </c>
      <c r="J4592" s="475" t="s">
        <v>337</v>
      </c>
      <c r="K4592" s="365">
        <v>70.48</v>
      </c>
      <c r="L4592" s="475" t="s">
        <v>141</v>
      </c>
      <c r="M4592" s="473"/>
    </row>
    <row r="4593" spans="1:13" ht="13.5">
      <c r="A4593" s="475" t="s">
        <v>5516</v>
      </c>
      <c r="B4593" s="475" t="s">
        <v>5517</v>
      </c>
      <c r="C4593" s="475" t="s">
        <v>5533</v>
      </c>
      <c r="D4593" s="475" t="s">
        <v>5534</v>
      </c>
      <c r="E4593" s="476" t="s">
        <v>34</v>
      </c>
      <c r="F4593" s="475" t="s">
        <v>34</v>
      </c>
      <c r="G4593" s="364">
        <v>94492</v>
      </c>
      <c r="H4593" s="475" t="s">
        <v>3748</v>
      </c>
      <c r="I4593" s="475" t="s">
        <v>171</v>
      </c>
      <c r="J4593" s="475" t="s">
        <v>337</v>
      </c>
      <c r="K4593" s="365">
        <v>72.430000000000007</v>
      </c>
      <c r="L4593" s="475" t="s">
        <v>141</v>
      </c>
      <c r="M4593" s="473"/>
    </row>
    <row r="4594" spans="1:13" ht="13.5">
      <c r="A4594" s="475" t="s">
        <v>5516</v>
      </c>
      <c r="B4594" s="475" t="s">
        <v>5517</v>
      </c>
      <c r="C4594" s="475" t="s">
        <v>5533</v>
      </c>
      <c r="D4594" s="475" t="s">
        <v>5534</v>
      </c>
      <c r="E4594" s="476" t="s">
        <v>34</v>
      </c>
      <c r="F4594" s="475" t="s">
        <v>34</v>
      </c>
      <c r="G4594" s="364">
        <v>94493</v>
      </c>
      <c r="H4594" s="475" t="s">
        <v>3749</v>
      </c>
      <c r="I4594" s="475" t="s">
        <v>171</v>
      </c>
      <c r="J4594" s="475" t="s">
        <v>337</v>
      </c>
      <c r="K4594" s="365">
        <v>132.28</v>
      </c>
      <c r="L4594" s="475" t="s">
        <v>141</v>
      </c>
      <c r="M4594" s="473"/>
    </row>
    <row r="4595" spans="1:13" ht="13.5">
      <c r="A4595" s="475" t="s">
        <v>5516</v>
      </c>
      <c r="B4595" s="475" t="s">
        <v>5517</v>
      </c>
      <c r="C4595" s="475" t="s">
        <v>5533</v>
      </c>
      <c r="D4595" s="475" t="s">
        <v>5534</v>
      </c>
      <c r="E4595" s="476" t="s">
        <v>34</v>
      </c>
      <c r="F4595" s="475" t="s">
        <v>34</v>
      </c>
      <c r="G4595" s="364">
        <v>94494</v>
      </c>
      <c r="H4595" s="475" t="s">
        <v>3750</v>
      </c>
      <c r="I4595" s="475" t="s">
        <v>171</v>
      </c>
      <c r="J4595" s="475" t="s">
        <v>140</v>
      </c>
      <c r="K4595" s="365">
        <v>47.5</v>
      </c>
      <c r="L4595" s="475" t="s">
        <v>141</v>
      </c>
      <c r="M4595" s="473"/>
    </row>
    <row r="4596" spans="1:13" ht="13.5">
      <c r="A4596" s="475" t="s">
        <v>5516</v>
      </c>
      <c r="B4596" s="475" t="s">
        <v>5517</v>
      </c>
      <c r="C4596" s="475" t="s">
        <v>5533</v>
      </c>
      <c r="D4596" s="475" t="s">
        <v>5534</v>
      </c>
      <c r="E4596" s="476" t="s">
        <v>34</v>
      </c>
      <c r="F4596" s="475" t="s">
        <v>34</v>
      </c>
      <c r="G4596" s="364">
        <v>94495</v>
      </c>
      <c r="H4596" s="475" t="s">
        <v>3751</v>
      </c>
      <c r="I4596" s="475" t="s">
        <v>171</v>
      </c>
      <c r="J4596" s="475" t="s">
        <v>140</v>
      </c>
      <c r="K4596" s="365">
        <v>59.81</v>
      </c>
      <c r="L4596" s="475" t="s">
        <v>141</v>
      </c>
      <c r="M4596" s="473"/>
    </row>
    <row r="4597" spans="1:13" ht="13.5">
      <c r="A4597" s="475" t="s">
        <v>5516</v>
      </c>
      <c r="B4597" s="475" t="s">
        <v>5517</v>
      </c>
      <c r="C4597" s="475" t="s">
        <v>5533</v>
      </c>
      <c r="D4597" s="475" t="s">
        <v>5534</v>
      </c>
      <c r="E4597" s="476" t="s">
        <v>34</v>
      </c>
      <c r="F4597" s="475" t="s">
        <v>34</v>
      </c>
      <c r="G4597" s="364">
        <v>94496</v>
      </c>
      <c r="H4597" s="475" t="s">
        <v>3752</v>
      </c>
      <c r="I4597" s="475" t="s">
        <v>171</v>
      </c>
      <c r="J4597" s="475" t="s">
        <v>140</v>
      </c>
      <c r="K4597" s="365">
        <v>72.61</v>
      </c>
      <c r="L4597" s="475" t="s">
        <v>141</v>
      </c>
      <c r="M4597" s="473"/>
    </row>
    <row r="4598" spans="1:13" ht="13.5">
      <c r="A4598" s="475" t="s">
        <v>5516</v>
      </c>
      <c r="B4598" s="475" t="s">
        <v>5517</v>
      </c>
      <c r="C4598" s="475" t="s">
        <v>5533</v>
      </c>
      <c r="D4598" s="475" t="s">
        <v>5534</v>
      </c>
      <c r="E4598" s="476" t="s">
        <v>34</v>
      </c>
      <c r="F4598" s="475" t="s">
        <v>34</v>
      </c>
      <c r="G4598" s="364">
        <v>94497</v>
      </c>
      <c r="H4598" s="475" t="s">
        <v>3753</v>
      </c>
      <c r="I4598" s="475" t="s">
        <v>171</v>
      </c>
      <c r="J4598" s="475" t="s">
        <v>140</v>
      </c>
      <c r="K4598" s="365">
        <v>84.63</v>
      </c>
      <c r="L4598" s="475" t="s">
        <v>141</v>
      </c>
      <c r="M4598" s="473"/>
    </row>
    <row r="4599" spans="1:13" ht="13.5">
      <c r="A4599" s="475" t="s">
        <v>5516</v>
      </c>
      <c r="B4599" s="475" t="s">
        <v>5517</v>
      </c>
      <c r="C4599" s="475" t="s">
        <v>5533</v>
      </c>
      <c r="D4599" s="475" t="s">
        <v>5534</v>
      </c>
      <c r="E4599" s="476" t="s">
        <v>34</v>
      </c>
      <c r="F4599" s="475" t="s">
        <v>34</v>
      </c>
      <c r="G4599" s="364">
        <v>94498</v>
      </c>
      <c r="H4599" s="475" t="s">
        <v>3754</v>
      </c>
      <c r="I4599" s="475" t="s">
        <v>171</v>
      </c>
      <c r="J4599" s="475" t="s">
        <v>140</v>
      </c>
      <c r="K4599" s="365">
        <v>108.55</v>
      </c>
      <c r="L4599" s="475" t="s">
        <v>141</v>
      </c>
      <c r="M4599" s="473"/>
    </row>
    <row r="4600" spans="1:13" ht="13.5">
      <c r="A4600" s="475" t="s">
        <v>5516</v>
      </c>
      <c r="B4600" s="475" t="s">
        <v>5517</v>
      </c>
      <c r="C4600" s="475" t="s">
        <v>5533</v>
      </c>
      <c r="D4600" s="475" t="s">
        <v>5534</v>
      </c>
      <c r="E4600" s="476" t="s">
        <v>34</v>
      </c>
      <c r="F4600" s="475" t="s">
        <v>34</v>
      </c>
      <c r="G4600" s="364">
        <v>94499</v>
      </c>
      <c r="H4600" s="475" t="s">
        <v>3755</v>
      </c>
      <c r="I4600" s="475" t="s">
        <v>171</v>
      </c>
      <c r="J4600" s="475" t="s">
        <v>140</v>
      </c>
      <c r="K4600" s="365">
        <v>194.98</v>
      </c>
      <c r="L4600" s="475" t="s">
        <v>141</v>
      </c>
      <c r="M4600" s="473"/>
    </row>
    <row r="4601" spans="1:13" ht="13.5">
      <c r="A4601" s="475" t="s">
        <v>5516</v>
      </c>
      <c r="B4601" s="475" t="s">
        <v>5517</v>
      </c>
      <c r="C4601" s="475" t="s">
        <v>5533</v>
      </c>
      <c r="D4601" s="475" t="s">
        <v>5534</v>
      </c>
      <c r="E4601" s="476" t="s">
        <v>34</v>
      </c>
      <c r="F4601" s="475" t="s">
        <v>34</v>
      </c>
      <c r="G4601" s="364">
        <v>94500</v>
      </c>
      <c r="H4601" s="475" t="s">
        <v>3756</v>
      </c>
      <c r="I4601" s="475" t="s">
        <v>171</v>
      </c>
      <c r="J4601" s="475" t="s">
        <v>140</v>
      </c>
      <c r="K4601" s="365">
        <v>231.38</v>
      </c>
      <c r="L4601" s="475" t="s">
        <v>141</v>
      </c>
      <c r="M4601" s="473"/>
    </row>
    <row r="4602" spans="1:13" ht="13.5">
      <c r="A4602" s="475" t="s">
        <v>5516</v>
      </c>
      <c r="B4602" s="475" t="s">
        <v>5517</v>
      </c>
      <c r="C4602" s="475" t="s">
        <v>5533</v>
      </c>
      <c r="D4602" s="475" t="s">
        <v>5534</v>
      </c>
      <c r="E4602" s="476" t="s">
        <v>34</v>
      </c>
      <c r="F4602" s="475" t="s">
        <v>34</v>
      </c>
      <c r="G4602" s="364">
        <v>94501</v>
      </c>
      <c r="H4602" s="475" t="s">
        <v>3757</v>
      </c>
      <c r="I4602" s="475" t="s">
        <v>171</v>
      </c>
      <c r="J4602" s="475" t="s">
        <v>140</v>
      </c>
      <c r="K4602" s="365">
        <v>450.35</v>
      </c>
      <c r="L4602" s="475" t="s">
        <v>141</v>
      </c>
      <c r="M4602" s="473"/>
    </row>
    <row r="4603" spans="1:13" ht="13.5">
      <c r="A4603" s="475" t="s">
        <v>5516</v>
      </c>
      <c r="B4603" s="475" t="s">
        <v>5517</v>
      </c>
      <c r="C4603" s="475" t="s">
        <v>5533</v>
      </c>
      <c r="D4603" s="475" t="s">
        <v>5534</v>
      </c>
      <c r="E4603" s="476" t="s">
        <v>34</v>
      </c>
      <c r="F4603" s="475" t="s">
        <v>34</v>
      </c>
      <c r="G4603" s="364">
        <v>94792</v>
      </c>
      <c r="H4603" s="475" t="s">
        <v>3758</v>
      </c>
      <c r="I4603" s="475" t="s">
        <v>171</v>
      </c>
      <c r="J4603" s="475" t="s">
        <v>140</v>
      </c>
      <c r="K4603" s="365">
        <v>89.76</v>
      </c>
      <c r="L4603" s="475" t="s">
        <v>141</v>
      </c>
      <c r="M4603" s="473"/>
    </row>
    <row r="4604" spans="1:13" ht="13.5">
      <c r="A4604" s="475" t="s">
        <v>5516</v>
      </c>
      <c r="B4604" s="475" t="s">
        <v>5517</v>
      </c>
      <c r="C4604" s="475" t="s">
        <v>5533</v>
      </c>
      <c r="D4604" s="475" t="s">
        <v>5534</v>
      </c>
      <c r="E4604" s="476" t="s">
        <v>34</v>
      </c>
      <c r="F4604" s="475" t="s">
        <v>34</v>
      </c>
      <c r="G4604" s="364">
        <v>94793</v>
      </c>
      <c r="H4604" s="475" t="s">
        <v>3759</v>
      </c>
      <c r="I4604" s="475" t="s">
        <v>171</v>
      </c>
      <c r="J4604" s="475" t="s">
        <v>140</v>
      </c>
      <c r="K4604" s="365">
        <v>115.18</v>
      </c>
      <c r="L4604" s="475" t="s">
        <v>141</v>
      </c>
      <c r="M4604" s="473"/>
    </row>
    <row r="4605" spans="1:13" ht="13.5">
      <c r="A4605" s="475" t="s">
        <v>5516</v>
      </c>
      <c r="B4605" s="475" t="s">
        <v>5517</v>
      </c>
      <c r="C4605" s="475" t="s">
        <v>5533</v>
      </c>
      <c r="D4605" s="475" t="s">
        <v>5534</v>
      </c>
      <c r="E4605" s="476" t="s">
        <v>34</v>
      </c>
      <c r="F4605" s="475" t="s">
        <v>34</v>
      </c>
      <c r="G4605" s="364">
        <v>94794</v>
      </c>
      <c r="H4605" s="475" t="s">
        <v>3760</v>
      </c>
      <c r="I4605" s="475" t="s">
        <v>171</v>
      </c>
      <c r="J4605" s="475" t="s">
        <v>140</v>
      </c>
      <c r="K4605" s="365">
        <v>119.24</v>
      </c>
      <c r="L4605" s="475" t="s">
        <v>141</v>
      </c>
      <c r="M4605" s="473"/>
    </row>
    <row r="4606" spans="1:13" ht="13.5">
      <c r="A4606" s="475" t="s">
        <v>5516</v>
      </c>
      <c r="B4606" s="475" t="s">
        <v>5517</v>
      </c>
      <c r="C4606" s="475" t="s">
        <v>5533</v>
      </c>
      <c r="D4606" s="475" t="s">
        <v>5534</v>
      </c>
      <c r="E4606" s="476" t="s">
        <v>34</v>
      </c>
      <c r="F4606" s="475" t="s">
        <v>34</v>
      </c>
      <c r="G4606" s="364">
        <v>94795</v>
      </c>
      <c r="H4606" s="475" t="s">
        <v>15200</v>
      </c>
      <c r="I4606" s="475" t="s">
        <v>171</v>
      </c>
      <c r="J4606" s="475" t="s">
        <v>337</v>
      </c>
      <c r="K4606" s="365">
        <v>36.21</v>
      </c>
      <c r="L4606" s="475" t="s">
        <v>141</v>
      </c>
      <c r="M4606" s="473"/>
    </row>
    <row r="4607" spans="1:13" ht="13.5">
      <c r="A4607" s="475" t="s">
        <v>5516</v>
      </c>
      <c r="B4607" s="475" t="s">
        <v>5517</v>
      </c>
      <c r="C4607" s="475" t="s">
        <v>5533</v>
      </c>
      <c r="D4607" s="475" t="s">
        <v>5534</v>
      </c>
      <c r="E4607" s="476" t="s">
        <v>34</v>
      </c>
      <c r="F4607" s="475" t="s">
        <v>34</v>
      </c>
      <c r="G4607" s="364">
        <v>94796</v>
      </c>
      <c r="H4607" s="475" t="s">
        <v>15201</v>
      </c>
      <c r="I4607" s="475" t="s">
        <v>171</v>
      </c>
      <c r="J4607" s="475" t="s">
        <v>337</v>
      </c>
      <c r="K4607" s="365">
        <v>41.04</v>
      </c>
      <c r="L4607" s="475" t="s">
        <v>141</v>
      </c>
      <c r="M4607" s="473"/>
    </row>
    <row r="4608" spans="1:13" ht="13.5">
      <c r="A4608" s="475" t="s">
        <v>5516</v>
      </c>
      <c r="B4608" s="475" t="s">
        <v>5517</v>
      </c>
      <c r="C4608" s="475" t="s">
        <v>5533</v>
      </c>
      <c r="D4608" s="475" t="s">
        <v>5534</v>
      </c>
      <c r="E4608" s="476" t="s">
        <v>34</v>
      </c>
      <c r="F4608" s="475" t="s">
        <v>34</v>
      </c>
      <c r="G4608" s="364">
        <v>94797</v>
      </c>
      <c r="H4608" s="475" t="s">
        <v>15202</v>
      </c>
      <c r="I4608" s="475" t="s">
        <v>171</v>
      </c>
      <c r="J4608" s="475" t="s">
        <v>337</v>
      </c>
      <c r="K4608" s="365">
        <v>63.38</v>
      </c>
      <c r="L4608" s="475" t="s">
        <v>141</v>
      </c>
      <c r="M4608" s="473"/>
    </row>
    <row r="4609" spans="1:13" ht="13.5">
      <c r="A4609" s="475" t="s">
        <v>5516</v>
      </c>
      <c r="B4609" s="475" t="s">
        <v>5517</v>
      </c>
      <c r="C4609" s="475" t="s">
        <v>5533</v>
      </c>
      <c r="D4609" s="475" t="s">
        <v>5534</v>
      </c>
      <c r="E4609" s="476" t="s">
        <v>34</v>
      </c>
      <c r="F4609" s="475" t="s">
        <v>34</v>
      </c>
      <c r="G4609" s="364">
        <v>94798</v>
      </c>
      <c r="H4609" s="475" t="s">
        <v>15203</v>
      </c>
      <c r="I4609" s="475" t="s">
        <v>171</v>
      </c>
      <c r="J4609" s="475" t="s">
        <v>337</v>
      </c>
      <c r="K4609" s="365">
        <v>143.38999999999999</v>
      </c>
      <c r="L4609" s="475" t="s">
        <v>141</v>
      </c>
      <c r="M4609" s="473"/>
    </row>
    <row r="4610" spans="1:13" ht="13.5">
      <c r="A4610" s="475" t="s">
        <v>5516</v>
      </c>
      <c r="B4610" s="475" t="s">
        <v>5517</v>
      </c>
      <c r="C4610" s="475" t="s">
        <v>5533</v>
      </c>
      <c r="D4610" s="475" t="s">
        <v>5534</v>
      </c>
      <c r="E4610" s="476" t="s">
        <v>34</v>
      </c>
      <c r="F4610" s="475" t="s">
        <v>34</v>
      </c>
      <c r="G4610" s="364">
        <v>94799</v>
      </c>
      <c r="H4610" s="475" t="s">
        <v>15204</v>
      </c>
      <c r="I4610" s="475" t="s">
        <v>171</v>
      </c>
      <c r="J4610" s="475" t="s">
        <v>337</v>
      </c>
      <c r="K4610" s="365">
        <v>137.28</v>
      </c>
      <c r="L4610" s="475" t="s">
        <v>141</v>
      </c>
      <c r="M4610" s="473"/>
    </row>
    <row r="4611" spans="1:13" ht="13.5">
      <c r="A4611" s="475" t="s">
        <v>5516</v>
      </c>
      <c r="B4611" s="475" t="s">
        <v>5517</v>
      </c>
      <c r="C4611" s="475" t="s">
        <v>5533</v>
      </c>
      <c r="D4611" s="475" t="s">
        <v>5534</v>
      </c>
      <c r="E4611" s="476" t="s">
        <v>34</v>
      </c>
      <c r="F4611" s="475" t="s">
        <v>34</v>
      </c>
      <c r="G4611" s="364">
        <v>94800</v>
      </c>
      <c r="H4611" s="475" t="s">
        <v>15205</v>
      </c>
      <c r="I4611" s="475" t="s">
        <v>171</v>
      </c>
      <c r="J4611" s="475" t="s">
        <v>337</v>
      </c>
      <c r="K4611" s="365">
        <v>237.33</v>
      </c>
      <c r="L4611" s="475" t="s">
        <v>141</v>
      </c>
      <c r="M4611" s="473"/>
    </row>
    <row r="4612" spans="1:13" ht="13.5">
      <c r="A4612" s="475" t="s">
        <v>5516</v>
      </c>
      <c r="B4612" s="475" t="s">
        <v>5517</v>
      </c>
      <c r="C4612" s="475" t="s">
        <v>5533</v>
      </c>
      <c r="D4612" s="475" t="s">
        <v>5534</v>
      </c>
      <c r="E4612" s="476" t="s">
        <v>34</v>
      </c>
      <c r="F4612" s="475" t="s">
        <v>34</v>
      </c>
      <c r="G4612" s="364">
        <v>95248</v>
      </c>
      <c r="H4612" s="475" t="s">
        <v>3761</v>
      </c>
      <c r="I4612" s="475" t="s">
        <v>171</v>
      </c>
      <c r="J4612" s="475" t="s">
        <v>140</v>
      </c>
      <c r="K4612" s="365">
        <v>56.46</v>
      </c>
      <c r="L4612" s="475" t="s">
        <v>141</v>
      </c>
      <c r="M4612" s="473"/>
    </row>
    <row r="4613" spans="1:13" ht="13.5">
      <c r="A4613" s="475" t="s">
        <v>5516</v>
      </c>
      <c r="B4613" s="475" t="s">
        <v>5517</v>
      </c>
      <c r="C4613" s="475" t="s">
        <v>5533</v>
      </c>
      <c r="D4613" s="475" t="s">
        <v>5534</v>
      </c>
      <c r="E4613" s="476" t="s">
        <v>34</v>
      </c>
      <c r="F4613" s="475" t="s">
        <v>34</v>
      </c>
      <c r="G4613" s="364">
        <v>95249</v>
      </c>
      <c r="H4613" s="475" t="s">
        <v>3762</v>
      </c>
      <c r="I4613" s="475" t="s">
        <v>171</v>
      </c>
      <c r="J4613" s="475" t="s">
        <v>140</v>
      </c>
      <c r="K4613" s="365">
        <v>61.12</v>
      </c>
      <c r="L4613" s="475" t="s">
        <v>141</v>
      </c>
      <c r="M4613" s="473"/>
    </row>
    <row r="4614" spans="1:13" ht="13.5">
      <c r="A4614" s="475" t="s">
        <v>5516</v>
      </c>
      <c r="B4614" s="475" t="s">
        <v>5517</v>
      </c>
      <c r="C4614" s="475" t="s">
        <v>5533</v>
      </c>
      <c r="D4614" s="475" t="s">
        <v>5534</v>
      </c>
      <c r="E4614" s="476" t="s">
        <v>34</v>
      </c>
      <c r="F4614" s="475" t="s">
        <v>34</v>
      </c>
      <c r="G4614" s="364">
        <v>95250</v>
      </c>
      <c r="H4614" s="475" t="s">
        <v>3763</v>
      </c>
      <c r="I4614" s="475" t="s">
        <v>171</v>
      </c>
      <c r="J4614" s="475" t="s">
        <v>140</v>
      </c>
      <c r="K4614" s="365">
        <v>73.34</v>
      </c>
      <c r="L4614" s="475" t="s">
        <v>141</v>
      </c>
      <c r="M4614" s="473"/>
    </row>
    <row r="4615" spans="1:13" ht="13.5">
      <c r="A4615" s="475" t="s">
        <v>5516</v>
      </c>
      <c r="B4615" s="475" t="s">
        <v>5517</v>
      </c>
      <c r="C4615" s="475" t="s">
        <v>5533</v>
      </c>
      <c r="D4615" s="475" t="s">
        <v>5534</v>
      </c>
      <c r="E4615" s="476" t="s">
        <v>34</v>
      </c>
      <c r="F4615" s="475" t="s">
        <v>34</v>
      </c>
      <c r="G4615" s="364">
        <v>95251</v>
      </c>
      <c r="H4615" s="475" t="s">
        <v>3764</v>
      </c>
      <c r="I4615" s="475" t="s">
        <v>171</v>
      </c>
      <c r="J4615" s="475" t="s">
        <v>140</v>
      </c>
      <c r="K4615" s="365">
        <v>97.07</v>
      </c>
      <c r="L4615" s="475" t="s">
        <v>141</v>
      </c>
      <c r="M4615" s="473"/>
    </row>
    <row r="4616" spans="1:13" ht="13.5">
      <c r="A4616" s="475" t="s">
        <v>5516</v>
      </c>
      <c r="B4616" s="475" t="s">
        <v>5517</v>
      </c>
      <c r="C4616" s="475" t="s">
        <v>5533</v>
      </c>
      <c r="D4616" s="475" t="s">
        <v>5534</v>
      </c>
      <c r="E4616" s="476" t="s">
        <v>34</v>
      </c>
      <c r="F4616" s="475" t="s">
        <v>34</v>
      </c>
      <c r="G4616" s="364">
        <v>95252</v>
      </c>
      <c r="H4616" s="475" t="s">
        <v>3765</v>
      </c>
      <c r="I4616" s="475" t="s">
        <v>171</v>
      </c>
      <c r="J4616" s="475" t="s">
        <v>140</v>
      </c>
      <c r="K4616" s="365">
        <v>111.46</v>
      </c>
      <c r="L4616" s="475" t="s">
        <v>141</v>
      </c>
      <c r="M4616" s="473"/>
    </row>
    <row r="4617" spans="1:13" ht="13.5">
      <c r="A4617" s="475" t="s">
        <v>5516</v>
      </c>
      <c r="B4617" s="475" t="s">
        <v>5517</v>
      </c>
      <c r="C4617" s="475" t="s">
        <v>5533</v>
      </c>
      <c r="D4617" s="475" t="s">
        <v>5534</v>
      </c>
      <c r="E4617" s="476" t="s">
        <v>34</v>
      </c>
      <c r="F4617" s="475" t="s">
        <v>34</v>
      </c>
      <c r="G4617" s="364">
        <v>95253</v>
      </c>
      <c r="H4617" s="475" t="s">
        <v>3766</v>
      </c>
      <c r="I4617" s="475" t="s">
        <v>171</v>
      </c>
      <c r="J4617" s="475" t="s">
        <v>140</v>
      </c>
      <c r="K4617" s="365">
        <v>158.56</v>
      </c>
      <c r="L4617" s="475" t="s">
        <v>141</v>
      </c>
      <c r="M4617" s="473"/>
    </row>
    <row r="4618" spans="1:13" ht="13.5">
      <c r="A4618" s="475" t="s">
        <v>5516</v>
      </c>
      <c r="B4618" s="475" t="s">
        <v>5517</v>
      </c>
      <c r="C4618" s="475" t="s">
        <v>5533</v>
      </c>
      <c r="D4618" s="475" t="s">
        <v>5534</v>
      </c>
      <c r="E4618" s="476" t="s">
        <v>34</v>
      </c>
      <c r="F4618" s="475" t="s">
        <v>34</v>
      </c>
      <c r="G4618" s="364">
        <v>99619</v>
      </c>
      <c r="H4618" s="475" t="s">
        <v>15206</v>
      </c>
      <c r="I4618" s="475" t="s">
        <v>171</v>
      </c>
      <c r="J4618" s="475" t="s">
        <v>140</v>
      </c>
      <c r="K4618" s="365">
        <v>51.66</v>
      </c>
      <c r="L4618" s="475" t="s">
        <v>141</v>
      </c>
      <c r="M4618" s="473"/>
    </row>
    <row r="4619" spans="1:13" ht="13.5">
      <c r="A4619" s="475" t="s">
        <v>5516</v>
      </c>
      <c r="B4619" s="475" t="s">
        <v>5517</v>
      </c>
      <c r="C4619" s="475" t="s">
        <v>5533</v>
      </c>
      <c r="D4619" s="475" t="s">
        <v>5534</v>
      </c>
      <c r="E4619" s="476" t="s">
        <v>34</v>
      </c>
      <c r="F4619" s="475" t="s">
        <v>34</v>
      </c>
      <c r="G4619" s="364">
        <v>99620</v>
      </c>
      <c r="H4619" s="475" t="s">
        <v>15207</v>
      </c>
      <c r="I4619" s="475" t="s">
        <v>171</v>
      </c>
      <c r="J4619" s="475" t="s">
        <v>140</v>
      </c>
      <c r="K4619" s="365">
        <v>87.05</v>
      </c>
      <c r="L4619" s="475" t="s">
        <v>141</v>
      </c>
      <c r="M4619" s="473"/>
    </row>
    <row r="4620" spans="1:13" ht="13.5">
      <c r="A4620" s="475" t="s">
        <v>5516</v>
      </c>
      <c r="B4620" s="475" t="s">
        <v>5517</v>
      </c>
      <c r="C4620" s="475" t="s">
        <v>5533</v>
      </c>
      <c r="D4620" s="475" t="s">
        <v>5534</v>
      </c>
      <c r="E4620" s="476" t="s">
        <v>34</v>
      </c>
      <c r="F4620" s="475" t="s">
        <v>34</v>
      </c>
      <c r="G4620" s="364">
        <v>99621</v>
      </c>
      <c r="H4620" s="475" t="s">
        <v>15208</v>
      </c>
      <c r="I4620" s="475" t="s">
        <v>171</v>
      </c>
      <c r="J4620" s="475" t="s">
        <v>140</v>
      </c>
      <c r="K4620" s="365">
        <v>117.91</v>
      </c>
      <c r="L4620" s="475" t="s">
        <v>141</v>
      </c>
      <c r="M4620" s="473"/>
    </row>
    <row r="4621" spans="1:13" ht="13.5">
      <c r="A4621" s="475" t="s">
        <v>5516</v>
      </c>
      <c r="B4621" s="475" t="s">
        <v>5517</v>
      </c>
      <c r="C4621" s="475" t="s">
        <v>5533</v>
      </c>
      <c r="D4621" s="475" t="s">
        <v>5534</v>
      </c>
      <c r="E4621" s="476" t="s">
        <v>34</v>
      </c>
      <c r="F4621" s="475" t="s">
        <v>34</v>
      </c>
      <c r="G4621" s="364">
        <v>99622</v>
      </c>
      <c r="H4621" s="475" t="s">
        <v>15209</v>
      </c>
      <c r="I4621" s="475" t="s">
        <v>171</v>
      </c>
      <c r="J4621" s="475" t="s">
        <v>140</v>
      </c>
      <c r="K4621" s="365">
        <v>128.61000000000001</v>
      </c>
      <c r="L4621" s="475" t="s">
        <v>141</v>
      </c>
      <c r="M4621" s="473"/>
    </row>
    <row r="4622" spans="1:13" ht="13.5">
      <c r="A4622" s="475" t="s">
        <v>5516</v>
      </c>
      <c r="B4622" s="475" t="s">
        <v>5517</v>
      </c>
      <c r="C4622" s="475" t="s">
        <v>5533</v>
      </c>
      <c r="D4622" s="475" t="s">
        <v>5534</v>
      </c>
      <c r="E4622" s="476" t="s">
        <v>34</v>
      </c>
      <c r="F4622" s="475" t="s">
        <v>34</v>
      </c>
      <c r="G4622" s="364">
        <v>99623</v>
      </c>
      <c r="H4622" s="475" t="s">
        <v>15210</v>
      </c>
      <c r="I4622" s="475" t="s">
        <v>171</v>
      </c>
      <c r="J4622" s="475" t="s">
        <v>140</v>
      </c>
      <c r="K4622" s="365">
        <v>170.65</v>
      </c>
      <c r="L4622" s="475" t="s">
        <v>141</v>
      </c>
      <c r="M4622" s="473"/>
    </row>
    <row r="4623" spans="1:13" ht="13.5">
      <c r="A4623" s="475" t="s">
        <v>5516</v>
      </c>
      <c r="B4623" s="475" t="s">
        <v>5517</v>
      </c>
      <c r="C4623" s="475" t="s">
        <v>5533</v>
      </c>
      <c r="D4623" s="475" t="s">
        <v>5534</v>
      </c>
      <c r="E4623" s="476" t="s">
        <v>34</v>
      </c>
      <c r="F4623" s="475" t="s">
        <v>34</v>
      </c>
      <c r="G4623" s="364">
        <v>99624</v>
      </c>
      <c r="H4623" s="475" t="s">
        <v>15211</v>
      </c>
      <c r="I4623" s="475" t="s">
        <v>171</v>
      </c>
      <c r="J4623" s="475" t="s">
        <v>140</v>
      </c>
      <c r="K4623" s="365">
        <v>231.96</v>
      </c>
      <c r="L4623" s="475" t="s">
        <v>141</v>
      </c>
      <c r="M4623" s="473"/>
    </row>
    <row r="4624" spans="1:13" ht="13.5">
      <c r="A4624" s="475" t="s">
        <v>5516</v>
      </c>
      <c r="B4624" s="475" t="s">
        <v>5517</v>
      </c>
      <c r="C4624" s="475" t="s">
        <v>5533</v>
      </c>
      <c r="D4624" s="475" t="s">
        <v>5534</v>
      </c>
      <c r="E4624" s="476" t="s">
        <v>34</v>
      </c>
      <c r="F4624" s="475" t="s">
        <v>34</v>
      </c>
      <c r="G4624" s="364">
        <v>99625</v>
      </c>
      <c r="H4624" s="475" t="s">
        <v>15212</v>
      </c>
      <c r="I4624" s="475" t="s">
        <v>171</v>
      </c>
      <c r="J4624" s="475" t="s">
        <v>140</v>
      </c>
      <c r="K4624" s="365">
        <v>310.92</v>
      </c>
      <c r="L4624" s="475" t="s">
        <v>141</v>
      </c>
      <c r="M4624" s="473"/>
    </row>
    <row r="4625" spans="1:13" ht="13.5">
      <c r="A4625" s="475" t="s">
        <v>5516</v>
      </c>
      <c r="B4625" s="475" t="s">
        <v>5517</v>
      </c>
      <c r="C4625" s="475" t="s">
        <v>5533</v>
      </c>
      <c r="D4625" s="475" t="s">
        <v>5534</v>
      </c>
      <c r="E4625" s="476" t="s">
        <v>34</v>
      </c>
      <c r="F4625" s="475" t="s">
        <v>34</v>
      </c>
      <c r="G4625" s="364">
        <v>99626</v>
      </c>
      <c r="H4625" s="475" t="s">
        <v>15213</v>
      </c>
      <c r="I4625" s="475" t="s">
        <v>171</v>
      </c>
      <c r="J4625" s="475" t="s">
        <v>140</v>
      </c>
      <c r="K4625" s="365">
        <v>466.09</v>
      </c>
      <c r="L4625" s="475" t="s">
        <v>141</v>
      </c>
      <c r="M4625" s="473"/>
    </row>
    <row r="4626" spans="1:13" ht="13.5">
      <c r="A4626" s="475" t="s">
        <v>5516</v>
      </c>
      <c r="B4626" s="475" t="s">
        <v>5517</v>
      </c>
      <c r="C4626" s="475" t="s">
        <v>5533</v>
      </c>
      <c r="D4626" s="475" t="s">
        <v>5534</v>
      </c>
      <c r="E4626" s="476" t="s">
        <v>34</v>
      </c>
      <c r="F4626" s="475" t="s">
        <v>34</v>
      </c>
      <c r="G4626" s="364">
        <v>99627</v>
      </c>
      <c r="H4626" s="475" t="s">
        <v>15214</v>
      </c>
      <c r="I4626" s="475" t="s">
        <v>171</v>
      </c>
      <c r="J4626" s="475" t="s">
        <v>140</v>
      </c>
      <c r="K4626" s="365">
        <v>53.73</v>
      </c>
      <c r="L4626" s="475" t="s">
        <v>141</v>
      </c>
      <c r="M4626" s="473"/>
    </row>
    <row r="4627" spans="1:13" ht="13.5">
      <c r="A4627" s="475" t="s">
        <v>5516</v>
      </c>
      <c r="B4627" s="475" t="s">
        <v>5517</v>
      </c>
      <c r="C4627" s="475" t="s">
        <v>5533</v>
      </c>
      <c r="D4627" s="475" t="s">
        <v>5534</v>
      </c>
      <c r="E4627" s="476" t="s">
        <v>34</v>
      </c>
      <c r="F4627" s="475" t="s">
        <v>34</v>
      </c>
      <c r="G4627" s="364">
        <v>99628</v>
      </c>
      <c r="H4627" s="475" t="s">
        <v>15215</v>
      </c>
      <c r="I4627" s="475" t="s">
        <v>171</v>
      </c>
      <c r="J4627" s="475" t="s">
        <v>140</v>
      </c>
      <c r="K4627" s="365">
        <v>35.6</v>
      </c>
      <c r="L4627" s="475" t="s">
        <v>141</v>
      </c>
      <c r="M4627" s="473"/>
    </row>
    <row r="4628" spans="1:13" ht="13.5">
      <c r="A4628" s="475" t="s">
        <v>5516</v>
      </c>
      <c r="B4628" s="475" t="s">
        <v>5517</v>
      </c>
      <c r="C4628" s="475" t="s">
        <v>5533</v>
      </c>
      <c r="D4628" s="475" t="s">
        <v>5534</v>
      </c>
      <c r="E4628" s="476" t="s">
        <v>34</v>
      </c>
      <c r="F4628" s="475" t="s">
        <v>34</v>
      </c>
      <c r="G4628" s="364">
        <v>99629</v>
      </c>
      <c r="H4628" s="475" t="s">
        <v>15216</v>
      </c>
      <c r="I4628" s="475" t="s">
        <v>171</v>
      </c>
      <c r="J4628" s="475" t="s">
        <v>140</v>
      </c>
      <c r="K4628" s="365">
        <v>57.57</v>
      </c>
      <c r="L4628" s="475" t="s">
        <v>141</v>
      </c>
      <c r="M4628" s="473"/>
    </row>
    <row r="4629" spans="1:13" ht="13.5">
      <c r="A4629" s="475" t="s">
        <v>5516</v>
      </c>
      <c r="B4629" s="475" t="s">
        <v>5517</v>
      </c>
      <c r="C4629" s="475" t="s">
        <v>5533</v>
      </c>
      <c r="D4629" s="475" t="s">
        <v>5534</v>
      </c>
      <c r="E4629" s="476" t="s">
        <v>34</v>
      </c>
      <c r="F4629" s="475" t="s">
        <v>34</v>
      </c>
      <c r="G4629" s="364">
        <v>99630</v>
      </c>
      <c r="H4629" s="475" t="s">
        <v>15217</v>
      </c>
      <c r="I4629" s="475" t="s">
        <v>171</v>
      </c>
      <c r="J4629" s="475" t="s">
        <v>140</v>
      </c>
      <c r="K4629" s="365">
        <v>73.87</v>
      </c>
      <c r="L4629" s="475" t="s">
        <v>141</v>
      </c>
      <c r="M4629" s="473"/>
    </row>
    <row r="4630" spans="1:13" ht="13.5">
      <c r="A4630" s="475" t="s">
        <v>5516</v>
      </c>
      <c r="B4630" s="475" t="s">
        <v>5517</v>
      </c>
      <c r="C4630" s="475" t="s">
        <v>5533</v>
      </c>
      <c r="D4630" s="475" t="s">
        <v>5534</v>
      </c>
      <c r="E4630" s="476" t="s">
        <v>34</v>
      </c>
      <c r="F4630" s="475" t="s">
        <v>34</v>
      </c>
      <c r="G4630" s="364">
        <v>99631</v>
      </c>
      <c r="H4630" s="475" t="s">
        <v>15218</v>
      </c>
      <c r="I4630" s="475" t="s">
        <v>171</v>
      </c>
      <c r="J4630" s="475" t="s">
        <v>140</v>
      </c>
      <c r="K4630" s="365">
        <v>81.02</v>
      </c>
      <c r="L4630" s="475" t="s">
        <v>141</v>
      </c>
      <c r="M4630" s="473"/>
    </row>
    <row r="4631" spans="1:13" ht="13.5">
      <c r="A4631" s="475" t="s">
        <v>5516</v>
      </c>
      <c r="B4631" s="475" t="s">
        <v>5517</v>
      </c>
      <c r="C4631" s="475" t="s">
        <v>5533</v>
      </c>
      <c r="D4631" s="475" t="s">
        <v>5534</v>
      </c>
      <c r="E4631" s="476" t="s">
        <v>34</v>
      </c>
      <c r="F4631" s="475" t="s">
        <v>34</v>
      </c>
      <c r="G4631" s="364">
        <v>99632</v>
      </c>
      <c r="H4631" s="475" t="s">
        <v>15219</v>
      </c>
      <c r="I4631" s="475" t="s">
        <v>171</v>
      </c>
      <c r="J4631" s="475" t="s">
        <v>140</v>
      </c>
      <c r="K4631" s="365">
        <v>107.01</v>
      </c>
      <c r="L4631" s="475" t="s">
        <v>141</v>
      </c>
      <c r="M4631" s="473"/>
    </row>
    <row r="4632" spans="1:13" ht="13.5">
      <c r="A4632" s="475" t="s">
        <v>5516</v>
      </c>
      <c r="B4632" s="475" t="s">
        <v>5517</v>
      </c>
      <c r="C4632" s="475" t="s">
        <v>5533</v>
      </c>
      <c r="D4632" s="475" t="s">
        <v>5534</v>
      </c>
      <c r="E4632" s="476" t="s">
        <v>34</v>
      </c>
      <c r="F4632" s="475" t="s">
        <v>34</v>
      </c>
      <c r="G4632" s="364">
        <v>99633</v>
      </c>
      <c r="H4632" s="475" t="s">
        <v>15220</v>
      </c>
      <c r="I4632" s="475" t="s">
        <v>171</v>
      </c>
      <c r="J4632" s="475" t="s">
        <v>140</v>
      </c>
      <c r="K4632" s="365">
        <v>202.05</v>
      </c>
      <c r="L4632" s="475" t="s">
        <v>141</v>
      </c>
      <c r="M4632" s="473"/>
    </row>
    <row r="4633" spans="1:13" ht="13.5">
      <c r="A4633" s="475" t="s">
        <v>5516</v>
      </c>
      <c r="B4633" s="475" t="s">
        <v>5517</v>
      </c>
      <c r="C4633" s="475" t="s">
        <v>5533</v>
      </c>
      <c r="D4633" s="475" t="s">
        <v>5534</v>
      </c>
      <c r="E4633" s="476" t="s">
        <v>34</v>
      </c>
      <c r="F4633" s="475" t="s">
        <v>34</v>
      </c>
      <c r="G4633" s="364">
        <v>99634</v>
      </c>
      <c r="H4633" s="475" t="s">
        <v>15221</v>
      </c>
      <c r="I4633" s="475" t="s">
        <v>171</v>
      </c>
      <c r="J4633" s="475" t="s">
        <v>140</v>
      </c>
      <c r="K4633" s="365">
        <v>329.1</v>
      </c>
      <c r="L4633" s="475" t="s">
        <v>141</v>
      </c>
      <c r="M4633" s="473"/>
    </row>
    <row r="4634" spans="1:13" ht="13.5">
      <c r="A4634" s="475" t="s">
        <v>5516</v>
      </c>
      <c r="B4634" s="475" t="s">
        <v>5517</v>
      </c>
      <c r="C4634" s="475" t="s">
        <v>5533</v>
      </c>
      <c r="D4634" s="475" t="s">
        <v>5534</v>
      </c>
      <c r="E4634" s="476" t="s">
        <v>34</v>
      </c>
      <c r="F4634" s="475" t="s">
        <v>34</v>
      </c>
      <c r="G4634" s="364">
        <v>99635</v>
      </c>
      <c r="H4634" s="475" t="s">
        <v>15222</v>
      </c>
      <c r="I4634" s="475" t="s">
        <v>171</v>
      </c>
      <c r="J4634" s="475" t="s">
        <v>337</v>
      </c>
      <c r="K4634" s="365">
        <v>196.82</v>
      </c>
      <c r="L4634" s="475" t="s">
        <v>141</v>
      </c>
      <c r="M4634" s="473"/>
    </row>
    <row r="4635" spans="1:13" ht="13.5">
      <c r="A4635" s="475" t="s">
        <v>5516</v>
      </c>
      <c r="B4635" s="475" t="s">
        <v>5517</v>
      </c>
      <c r="C4635" s="475" t="s">
        <v>5537</v>
      </c>
      <c r="D4635" s="475" t="s">
        <v>5538</v>
      </c>
      <c r="E4635" s="476" t="s">
        <v>34</v>
      </c>
      <c r="F4635" s="475" t="s">
        <v>34</v>
      </c>
      <c r="G4635" s="364">
        <v>95634</v>
      </c>
      <c r="H4635" s="475" t="s">
        <v>8973</v>
      </c>
      <c r="I4635" s="475" t="s">
        <v>171</v>
      </c>
      <c r="J4635" s="475" t="s">
        <v>337</v>
      </c>
      <c r="K4635" s="365">
        <v>111.24</v>
      </c>
      <c r="L4635" s="475" t="s">
        <v>141</v>
      </c>
      <c r="M4635" s="473"/>
    </row>
    <row r="4636" spans="1:13" ht="13.5">
      <c r="A4636" s="475" t="s">
        <v>5516</v>
      </c>
      <c r="B4636" s="475" t="s">
        <v>5517</v>
      </c>
      <c r="C4636" s="475" t="s">
        <v>5537</v>
      </c>
      <c r="D4636" s="475" t="s">
        <v>5538</v>
      </c>
      <c r="E4636" s="476" t="s">
        <v>34</v>
      </c>
      <c r="F4636" s="475" t="s">
        <v>34</v>
      </c>
      <c r="G4636" s="364">
        <v>95635</v>
      </c>
      <c r="H4636" s="475" t="s">
        <v>8974</v>
      </c>
      <c r="I4636" s="475" t="s">
        <v>171</v>
      </c>
      <c r="J4636" s="475" t="s">
        <v>337</v>
      </c>
      <c r="K4636" s="365">
        <v>120.81</v>
      </c>
      <c r="L4636" s="475" t="s">
        <v>141</v>
      </c>
      <c r="M4636" s="473"/>
    </row>
    <row r="4637" spans="1:13" ht="13.5">
      <c r="A4637" s="475" t="s">
        <v>5516</v>
      </c>
      <c r="B4637" s="475" t="s">
        <v>5517</v>
      </c>
      <c r="C4637" s="475" t="s">
        <v>5537</v>
      </c>
      <c r="D4637" s="475" t="s">
        <v>5538</v>
      </c>
      <c r="E4637" s="476" t="s">
        <v>34</v>
      </c>
      <c r="F4637" s="475" t="s">
        <v>34</v>
      </c>
      <c r="G4637" s="364">
        <v>95637</v>
      </c>
      <c r="H4637" s="475" t="s">
        <v>3767</v>
      </c>
      <c r="I4637" s="475" t="s">
        <v>171</v>
      </c>
      <c r="J4637" s="475" t="s">
        <v>140</v>
      </c>
      <c r="K4637" s="365">
        <v>362.42</v>
      </c>
      <c r="L4637" s="475" t="s">
        <v>141</v>
      </c>
      <c r="M4637" s="473"/>
    </row>
    <row r="4638" spans="1:13" ht="13.5">
      <c r="A4638" s="475" t="s">
        <v>5516</v>
      </c>
      <c r="B4638" s="475" t="s">
        <v>5517</v>
      </c>
      <c r="C4638" s="475" t="s">
        <v>5537</v>
      </c>
      <c r="D4638" s="475" t="s">
        <v>5538</v>
      </c>
      <c r="E4638" s="476" t="s">
        <v>34</v>
      </c>
      <c r="F4638" s="475" t="s">
        <v>34</v>
      </c>
      <c r="G4638" s="364">
        <v>95638</v>
      </c>
      <c r="H4638" s="475" t="s">
        <v>3768</v>
      </c>
      <c r="I4638" s="475" t="s">
        <v>171</v>
      </c>
      <c r="J4638" s="475" t="s">
        <v>140</v>
      </c>
      <c r="K4638" s="365">
        <v>438.32</v>
      </c>
      <c r="L4638" s="475" t="s">
        <v>141</v>
      </c>
      <c r="M4638" s="473"/>
    </row>
    <row r="4639" spans="1:13" ht="13.5">
      <c r="A4639" s="475" t="s">
        <v>5516</v>
      </c>
      <c r="B4639" s="475" t="s">
        <v>5517</v>
      </c>
      <c r="C4639" s="475" t="s">
        <v>5537</v>
      </c>
      <c r="D4639" s="475" t="s">
        <v>5538</v>
      </c>
      <c r="E4639" s="476" t="s">
        <v>34</v>
      </c>
      <c r="F4639" s="475" t="s">
        <v>34</v>
      </c>
      <c r="G4639" s="364">
        <v>95639</v>
      </c>
      <c r="H4639" s="475" t="s">
        <v>3769</v>
      </c>
      <c r="I4639" s="475" t="s">
        <v>171</v>
      </c>
      <c r="J4639" s="475" t="s">
        <v>140</v>
      </c>
      <c r="K4639" s="365">
        <v>551.37</v>
      </c>
      <c r="L4639" s="475" t="s">
        <v>141</v>
      </c>
      <c r="M4639" s="473"/>
    </row>
    <row r="4640" spans="1:13" ht="13.5">
      <c r="A4640" s="475" t="s">
        <v>5516</v>
      </c>
      <c r="B4640" s="475" t="s">
        <v>5517</v>
      </c>
      <c r="C4640" s="475" t="s">
        <v>5537</v>
      </c>
      <c r="D4640" s="475" t="s">
        <v>5538</v>
      </c>
      <c r="E4640" s="476" t="s">
        <v>34</v>
      </c>
      <c r="F4640" s="475" t="s">
        <v>34</v>
      </c>
      <c r="G4640" s="364">
        <v>95641</v>
      </c>
      <c r="H4640" s="475" t="s">
        <v>3770</v>
      </c>
      <c r="I4640" s="475" t="s">
        <v>171</v>
      </c>
      <c r="J4640" s="475" t="s">
        <v>140</v>
      </c>
      <c r="K4640" s="365">
        <v>204.44</v>
      </c>
      <c r="L4640" s="475" t="s">
        <v>141</v>
      </c>
      <c r="M4640" s="473"/>
    </row>
    <row r="4641" spans="1:13" ht="13.5">
      <c r="A4641" s="475" t="s">
        <v>5516</v>
      </c>
      <c r="B4641" s="475" t="s">
        <v>5517</v>
      </c>
      <c r="C4641" s="475" t="s">
        <v>5537</v>
      </c>
      <c r="D4641" s="475" t="s">
        <v>5538</v>
      </c>
      <c r="E4641" s="476" t="s">
        <v>34</v>
      </c>
      <c r="F4641" s="475" t="s">
        <v>34</v>
      </c>
      <c r="G4641" s="364">
        <v>95642</v>
      </c>
      <c r="H4641" s="475" t="s">
        <v>3771</v>
      </c>
      <c r="I4641" s="475" t="s">
        <v>171</v>
      </c>
      <c r="J4641" s="475" t="s">
        <v>140</v>
      </c>
      <c r="K4641" s="365">
        <v>302.23</v>
      </c>
      <c r="L4641" s="475" t="s">
        <v>141</v>
      </c>
      <c r="M4641" s="473"/>
    </row>
    <row r="4642" spans="1:13" ht="13.5">
      <c r="A4642" s="475" t="s">
        <v>5516</v>
      </c>
      <c r="B4642" s="475" t="s">
        <v>5517</v>
      </c>
      <c r="C4642" s="475" t="s">
        <v>5537</v>
      </c>
      <c r="D4642" s="475" t="s">
        <v>5538</v>
      </c>
      <c r="E4642" s="476" t="s">
        <v>34</v>
      </c>
      <c r="F4642" s="475" t="s">
        <v>34</v>
      </c>
      <c r="G4642" s="364">
        <v>95643</v>
      </c>
      <c r="H4642" s="475" t="s">
        <v>3772</v>
      </c>
      <c r="I4642" s="475" t="s">
        <v>171</v>
      </c>
      <c r="J4642" s="475" t="s">
        <v>140</v>
      </c>
      <c r="K4642" s="365">
        <v>395.62</v>
      </c>
      <c r="L4642" s="475" t="s">
        <v>141</v>
      </c>
      <c r="M4642" s="473"/>
    </row>
    <row r="4643" spans="1:13" ht="13.5">
      <c r="A4643" s="475" t="s">
        <v>5516</v>
      </c>
      <c r="B4643" s="475" t="s">
        <v>5517</v>
      </c>
      <c r="C4643" s="475" t="s">
        <v>5537</v>
      </c>
      <c r="D4643" s="475" t="s">
        <v>5538</v>
      </c>
      <c r="E4643" s="476" t="s">
        <v>34</v>
      </c>
      <c r="F4643" s="475" t="s">
        <v>34</v>
      </c>
      <c r="G4643" s="364">
        <v>95644</v>
      </c>
      <c r="H4643" s="475" t="s">
        <v>3773</v>
      </c>
      <c r="I4643" s="475" t="s">
        <v>171</v>
      </c>
      <c r="J4643" s="475" t="s">
        <v>140</v>
      </c>
      <c r="K4643" s="365">
        <v>147.66</v>
      </c>
      <c r="L4643" s="475" t="s">
        <v>141</v>
      </c>
      <c r="M4643" s="473"/>
    </row>
    <row r="4644" spans="1:13" ht="13.5">
      <c r="A4644" s="475" t="s">
        <v>5516</v>
      </c>
      <c r="B4644" s="475" t="s">
        <v>5517</v>
      </c>
      <c r="C4644" s="475" t="s">
        <v>5537</v>
      </c>
      <c r="D4644" s="475" t="s">
        <v>5538</v>
      </c>
      <c r="E4644" s="476" t="s">
        <v>34</v>
      </c>
      <c r="F4644" s="475" t="s">
        <v>34</v>
      </c>
      <c r="G4644" s="364">
        <v>95645</v>
      </c>
      <c r="H4644" s="475" t="s">
        <v>3774</v>
      </c>
      <c r="I4644" s="475" t="s">
        <v>171</v>
      </c>
      <c r="J4644" s="475" t="s">
        <v>140</v>
      </c>
      <c r="K4644" s="365">
        <v>270.95</v>
      </c>
      <c r="L4644" s="475" t="s">
        <v>141</v>
      </c>
      <c r="M4644" s="473"/>
    </row>
    <row r="4645" spans="1:13" ht="13.5">
      <c r="A4645" s="475" t="s">
        <v>5516</v>
      </c>
      <c r="B4645" s="475" t="s">
        <v>5517</v>
      </c>
      <c r="C4645" s="475" t="s">
        <v>5537</v>
      </c>
      <c r="D4645" s="475" t="s">
        <v>5538</v>
      </c>
      <c r="E4645" s="476" t="s">
        <v>34</v>
      </c>
      <c r="F4645" s="475" t="s">
        <v>34</v>
      </c>
      <c r="G4645" s="364">
        <v>95646</v>
      </c>
      <c r="H4645" s="475" t="s">
        <v>3775</v>
      </c>
      <c r="I4645" s="475" t="s">
        <v>171</v>
      </c>
      <c r="J4645" s="475" t="s">
        <v>140</v>
      </c>
      <c r="K4645" s="365">
        <v>403.65</v>
      </c>
      <c r="L4645" s="475" t="s">
        <v>141</v>
      </c>
      <c r="M4645" s="473"/>
    </row>
    <row r="4646" spans="1:13" ht="13.5">
      <c r="A4646" s="475" t="s">
        <v>5516</v>
      </c>
      <c r="B4646" s="475" t="s">
        <v>5517</v>
      </c>
      <c r="C4646" s="475" t="s">
        <v>5537</v>
      </c>
      <c r="D4646" s="475" t="s">
        <v>5538</v>
      </c>
      <c r="E4646" s="476" t="s">
        <v>34</v>
      </c>
      <c r="F4646" s="475" t="s">
        <v>34</v>
      </c>
      <c r="G4646" s="364">
        <v>95647</v>
      </c>
      <c r="H4646" s="475" t="s">
        <v>3776</v>
      </c>
      <c r="I4646" s="475" t="s">
        <v>171</v>
      </c>
      <c r="J4646" s="475" t="s">
        <v>140</v>
      </c>
      <c r="K4646" s="365">
        <v>529.53</v>
      </c>
      <c r="L4646" s="475" t="s">
        <v>141</v>
      </c>
      <c r="M4646" s="473"/>
    </row>
    <row r="4647" spans="1:13" ht="13.5">
      <c r="A4647" s="475" t="s">
        <v>5516</v>
      </c>
      <c r="B4647" s="475" t="s">
        <v>5517</v>
      </c>
      <c r="C4647" s="475" t="s">
        <v>5537</v>
      </c>
      <c r="D4647" s="475" t="s">
        <v>5538</v>
      </c>
      <c r="E4647" s="476" t="s">
        <v>34</v>
      </c>
      <c r="F4647" s="475" t="s">
        <v>34</v>
      </c>
      <c r="G4647" s="364">
        <v>95673</v>
      </c>
      <c r="H4647" s="475" t="s">
        <v>3777</v>
      </c>
      <c r="I4647" s="475" t="s">
        <v>171</v>
      </c>
      <c r="J4647" s="475" t="s">
        <v>140</v>
      </c>
      <c r="K4647" s="365">
        <v>101.53</v>
      </c>
      <c r="L4647" s="475" t="s">
        <v>141</v>
      </c>
      <c r="M4647" s="473"/>
    </row>
    <row r="4648" spans="1:13" ht="13.5">
      <c r="A4648" s="475" t="s">
        <v>5516</v>
      </c>
      <c r="B4648" s="475" t="s">
        <v>5517</v>
      </c>
      <c r="C4648" s="475" t="s">
        <v>5537</v>
      </c>
      <c r="D4648" s="475" t="s">
        <v>5538</v>
      </c>
      <c r="E4648" s="476" t="s">
        <v>34</v>
      </c>
      <c r="F4648" s="475" t="s">
        <v>34</v>
      </c>
      <c r="G4648" s="364">
        <v>95674</v>
      </c>
      <c r="H4648" s="475" t="s">
        <v>3778</v>
      </c>
      <c r="I4648" s="475" t="s">
        <v>171</v>
      </c>
      <c r="J4648" s="475" t="s">
        <v>140</v>
      </c>
      <c r="K4648" s="365">
        <v>107.85</v>
      </c>
      <c r="L4648" s="475" t="s">
        <v>141</v>
      </c>
      <c r="M4648" s="473"/>
    </row>
    <row r="4649" spans="1:13" ht="13.5">
      <c r="A4649" s="475" t="s">
        <v>5516</v>
      </c>
      <c r="B4649" s="475" t="s">
        <v>5517</v>
      </c>
      <c r="C4649" s="475" t="s">
        <v>5537</v>
      </c>
      <c r="D4649" s="475" t="s">
        <v>5538</v>
      </c>
      <c r="E4649" s="476" t="s">
        <v>34</v>
      </c>
      <c r="F4649" s="475" t="s">
        <v>34</v>
      </c>
      <c r="G4649" s="364">
        <v>95675</v>
      </c>
      <c r="H4649" s="475" t="s">
        <v>3779</v>
      </c>
      <c r="I4649" s="475" t="s">
        <v>171</v>
      </c>
      <c r="J4649" s="475" t="s">
        <v>140</v>
      </c>
      <c r="K4649" s="365">
        <v>131.80000000000001</v>
      </c>
      <c r="L4649" s="475" t="s">
        <v>141</v>
      </c>
      <c r="M4649" s="473"/>
    </row>
    <row r="4650" spans="1:13" ht="13.5">
      <c r="A4650" s="475" t="s">
        <v>5516</v>
      </c>
      <c r="B4650" s="475" t="s">
        <v>5517</v>
      </c>
      <c r="C4650" s="475" t="s">
        <v>5537</v>
      </c>
      <c r="D4650" s="475" t="s">
        <v>5538</v>
      </c>
      <c r="E4650" s="476" t="s">
        <v>34</v>
      </c>
      <c r="F4650" s="475" t="s">
        <v>34</v>
      </c>
      <c r="G4650" s="364">
        <v>95676</v>
      </c>
      <c r="H4650" s="475" t="s">
        <v>3780</v>
      </c>
      <c r="I4650" s="475" t="s">
        <v>171</v>
      </c>
      <c r="J4650" s="475" t="s">
        <v>337</v>
      </c>
      <c r="K4650" s="365">
        <v>85.29</v>
      </c>
      <c r="L4650" s="475" t="s">
        <v>141</v>
      </c>
      <c r="M4650" s="473"/>
    </row>
    <row r="4651" spans="1:13" ht="13.5">
      <c r="A4651" s="475" t="s">
        <v>5516</v>
      </c>
      <c r="B4651" s="475" t="s">
        <v>5517</v>
      </c>
      <c r="C4651" s="475" t="s">
        <v>5537</v>
      </c>
      <c r="D4651" s="475" t="s">
        <v>5538</v>
      </c>
      <c r="E4651" s="476" t="s">
        <v>34</v>
      </c>
      <c r="F4651" s="475" t="s">
        <v>34</v>
      </c>
      <c r="G4651" s="364">
        <v>97741</v>
      </c>
      <c r="H4651" s="475" t="s">
        <v>6021</v>
      </c>
      <c r="I4651" s="475" t="s">
        <v>171</v>
      </c>
      <c r="J4651" s="475" t="s">
        <v>140</v>
      </c>
      <c r="K4651" s="365">
        <v>114.08</v>
      </c>
      <c r="L4651" s="475" t="s">
        <v>141</v>
      </c>
      <c r="M4651" s="473"/>
    </row>
    <row r="4652" spans="1:13" ht="13.5">
      <c r="A4652" s="475" t="s">
        <v>5516</v>
      </c>
      <c r="B4652" s="475" t="s">
        <v>5517</v>
      </c>
      <c r="C4652" s="475" t="s">
        <v>5496</v>
      </c>
      <c r="D4652" s="475" t="s">
        <v>5539</v>
      </c>
      <c r="E4652" s="476" t="s">
        <v>34</v>
      </c>
      <c r="F4652" s="475" t="s">
        <v>34</v>
      </c>
      <c r="G4652" s="364">
        <v>72285</v>
      </c>
      <c r="H4652" s="475" t="s">
        <v>3781</v>
      </c>
      <c r="I4652" s="475" t="s">
        <v>171</v>
      </c>
      <c r="J4652" s="475" t="s">
        <v>337</v>
      </c>
      <c r="K4652" s="365">
        <v>78.98</v>
      </c>
      <c r="L4652" s="475" t="s">
        <v>141</v>
      </c>
      <c r="M4652" s="473"/>
    </row>
    <row r="4653" spans="1:13" ht="13.5">
      <c r="A4653" s="475" t="s">
        <v>5516</v>
      </c>
      <c r="B4653" s="475" t="s">
        <v>5517</v>
      </c>
      <c r="C4653" s="475" t="s">
        <v>5496</v>
      </c>
      <c r="D4653" s="475" t="s">
        <v>5539</v>
      </c>
      <c r="E4653" s="476" t="s">
        <v>34</v>
      </c>
      <c r="F4653" s="475" t="s">
        <v>34</v>
      </c>
      <c r="G4653" s="364">
        <v>90436</v>
      </c>
      <c r="H4653" s="475" t="s">
        <v>3782</v>
      </c>
      <c r="I4653" s="475" t="s">
        <v>171</v>
      </c>
      <c r="J4653" s="475" t="s">
        <v>337</v>
      </c>
      <c r="K4653" s="365">
        <v>10.45</v>
      </c>
      <c r="L4653" s="475" t="s">
        <v>141</v>
      </c>
      <c r="M4653" s="473"/>
    </row>
    <row r="4654" spans="1:13" ht="13.5">
      <c r="A4654" s="475" t="s">
        <v>5516</v>
      </c>
      <c r="B4654" s="475" t="s">
        <v>5517</v>
      </c>
      <c r="C4654" s="475" t="s">
        <v>5496</v>
      </c>
      <c r="D4654" s="475" t="s">
        <v>5539</v>
      </c>
      <c r="E4654" s="476" t="s">
        <v>34</v>
      </c>
      <c r="F4654" s="475" t="s">
        <v>34</v>
      </c>
      <c r="G4654" s="364">
        <v>90437</v>
      </c>
      <c r="H4654" s="475" t="s">
        <v>3783</v>
      </c>
      <c r="I4654" s="475" t="s">
        <v>171</v>
      </c>
      <c r="J4654" s="475" t="s">
        <v>337</v>
      </c>
      <c r="K4654" s="365">
        <v>25.4</v>
      </c>
      <c r="L4654" s="475" t="s">
        <v>141</v>
      </c>
      <c r="M4654" s="473"/>
    </row>
    <row r="4655" spans="1:13" ht="13.5">
      <c r="A4655" s="475" t="s">
        <v>5516</v>
      </c>
      <c r="B4655" s="475" t="s">
        <v>5517</v>
      </c>
      <c r="C4655" s="475" t="s">
        <v>5496</v>
      </c>
      <c r="D4655" s="475" t="s">
        <v>5539</v>
      </c>
      <c r="E4655" s="476" t="s">
        <v>34</v>
      </c>
      <c r="F4655" s="475" t="s">
        <v>34</v>
      </c>
      <c r="G4655" s="364">
        <v>90438</v>
      </c>
      <c r="H4655" s="475" t="s">
        <v>3784</v>
      </c>
      <c r="I4655" s="475" t="s">
        <v>171</v>
      </c>
      <c r="J4655" s="475" t="s">
        <v>337</v>
      </c>
      <c r="K4655" s="365">
        <v>36.409999999999997</v>
      </c>
      <c r="L4655" s="475" t="s">
        <v>141</v>
      </c>
      <c r="M4655" s="473"/>
    </row>
    <row r="4656" spans="1:13" ht="13.5">
      <c r="A4656" s="475" t="s">
        <v>5516</v>
      </c>
      <c r="B4656" s="475" t="s">
        <v>5517</v>
      </c>
      <c r="C4656" s="475" t="s">
        <v>5496</v>
      </c>
      <c r="D4656" s="475" t="s">
        <v>5539</v>
      </c>
      <c r="E4656" s="476" t="s">
        <v>34</v>
      </c>
      <c r="F4656" s="475" t="s">
        <v>34</v>
      </c>
      <c r="G4656" s="364">
        <v>90439</v>
      </c>
      <c r="H4656" s="475" t="s">
        <v>3785</v>
      </c>
      <c r="I4656" s="475" t="s">
        <v>171</v>
      </c>
      <c r="J4656" s="475" t="s">
        <v>140</v>
      </c>
      <c r="K4656" s="365">
        <v>44.4</v>
      </c>
      <c r="L4656" s="475" t="s">
        <v>141</v>
      </c>
      <c r="M4656" s="473"/>
    </row>
    <row r="4657" spans="1:13" ht="13.5">
      <c r="A4657" s="475" t="s">
        <v>5516</v>
      </c>
      <c r="B4657" s="475" t="s">
        <v>5517</v>
      </c>
      <c r="C4657" s="475" t="s">
        <v>5496</v>
      </c>
      <c r="D4657" s="475" t="s">
        <v>5539</v>
      </c>
      <c r="E4657" s="476" t="s">
        <v>34</v>
      </c>
      <c r="F4657" s="475" t="s">
        <v>34</v>
      </c>
      <c r="G4657" s="364">
        <v>90440</v>
      </c>
      <c r="H4657" s="475" t="s">
        <v>3786</v>
      </c>
      <c r="I4657" s="475" t="s">
        <v>171</v>
      </c>
      <c r="J4657" s="475" t="s">
        <v>140</v>
      </c>
      <c r="K4657" s="365">
        <v>71.13</v>
      </c>
      <c r="L4657" s="475" t="s">
        <v>141</v>
      </c>
      <c r="M4657" s="473"/>
    </row>
    <row r="4658" spans="1:13" ht="13.5">
      <c r="A4658" s="475" t="s">
        <v>5516</v>
      </c>
      <c r="B4658" s="475" t="s">
        <v>5517</v>
      </c>
      <c r="C4658" s="475" t="s">
        <v>5496</v>
      </c>
      <c r="D4658" s="475" t="s">
        <v>5539</v>
      </c>
      <c r="E4658" s="476" t="s">
        <v>34</v>
      </c>
      <c r="F4658" s="475" t="s">
        <v>34</v>
      </c>
      <c r="G4658" s="364">
        <v>90441</v>
      </c>
      <c r="H4658" s="475" t="s">
        <v>3787</v>
      </c>
      <c r="I4658" s="475" t="s">
        <v>171</v>
      </c>
      <c r="J4658" s="475" t="s">
        <v>140</v>
      </c>
      <c r="K4658" s="365">
        <v>90.83</v>
      </c>
      <c r="L4658" s="475" t="s">
        <v>141</v>
      </c>
      <c r="M4658" s="473"/>
    </row>
    <row r="4659" spans="1:13" ht="13.5">
      <c r="A4659" s="475" t="s">
        <v>5516</v>
      </c>
      <c r="B4659" s="475" t="s">
        <v>5517</v>
      </c>
      <c r="C4659" s="475" t="s">
        <v>5496</v>
      </c>
      <c r="D4659" s="475" t="s">
        <v>5539</v>
      </c>
      <c r="E4659" s="476" t="s">
        <v>34</v>
      </c>
      <c r="F4659" s="475" t="s">
        <v>34</v>
      </c>
      <c r="G4659" s="364">
        <v>90443</v>
      </c>
      <c r="H4659" s="475" t="s">
        <v>3788</v>
      </c>
      <c r="I4659" s="475" t="s">
        <v>139</v>
      </c>
      <c r="J4659" s="475" t="s">
        <v>337</v>
      </c>
      <c r="K4659" s="365">
        <v>9.49</v>
      </c>
      <c r="L4659" s="475" t="s">
        <v>141</v>
      </c>
      <c r="M4659" s="473"/>
    </row>
    <row r="4660" spans="1:13" ht="13.5">
      <c r="A4660" s="475" t="s">
        <v>5516</v>
      </c>
      <c r="B4660" s="475" t="s">
        <v>5517</v>
      </c>
      <c r="C4660" s="475" t="s">
        <v>5496</v>
      </c>
      <c r="D4660" s="475" t="s">
        <v>5539</v>
      </c>
      <c r="E4660" s="476" t="s">
        <v>34</v>
      </c>
      <c r="F4660" s="475" t="s">
        <v>34</v>
      </c>
      <c r="G4660" s="364">
        <v>90444</v>
      </c>
      <c r="H4660" s="475" t="s">
        <v>3789</v>
      </c>
      <c r="I4660" s="475" t="s">
        <v>139</v>
      </c>
      <c r="J4660" s="475" t="s">
        <v>140</v>
      </c>
      <c r="K4660" s="365">
        <v>19.05</v>
      </c>
      <c r="L4660" s="475" t="s">
        <v>141</v>
      </c>
      <c r="M4660" s="473"/>
    </row>
    <row r="4661" spans="1:13" ht="13.5">
      <c r="A4661" s="475" t="s">
        <v>5516</v>
      </c>
      <c r="B4661" s="475" t="s">
        <v>5517</v>
      </c>
      <c r="C4661" s="475" t="s">
        <v>5496</v>
      </c>
      <c r="D4661" s="475" t="s">
        <v>5539</v>
      </c>
      <c r="E4661" s="476" t="s">
        <v>34</v>
      </c>
      <c r="F4661" s="475" t="s">
        <v>34</v>
      </c>
      <c r="G4661" s="364">
        <v>90445</v>
      </c>
      <c r="H4661" s="475" t="s">
        <v>3790</v>
      </c>
      <c r="I4661" s="475" t="s">
        <v>139</v>
      </c>
      <c r="J4661" s="475" t="s">
        <v>140</v>
      </c>
      <c r="K4661" s="365">
        <v>20.329999999999998</v>
      </c>
      <c r="L4661" s="475" t="s">
        <v>141</v>
      </c>
      <c r="M4661" s="473"/>
    </row>
    <row r="4662" spans="1:13" ht="13.5">
      <c r="A4662" s="475" t="s">
        <v>5516</v>
      </c>
      <c r="B4662" s="475" t="s">
        <v>5517</v>
      </c>
      <c r="C4662" s="475" t="s">
        <v>5496</v>
      </c>
      <c r="D4662" s="475" t="s">
        <v>5539</v>
      </c>
      <c r="E4662" s="476" t="s">
        <v>34</v>
      </c>
      <c r="F4662" s="475" t="s">
        <v>34</v>
      </c>
      <c r="G4662" s="364">
        <v>90446</v>
      </c>
      <c r="H4662" s="475" t="s">
        <v>3791</v>
      </c>
      <c r="I4662" s="475" t="s">
        <v>139</v>
      </c>
      <c r="J4662" s="475" t="s">
        <v>140</v>
      </c>
      <c r="K4662" s="365">
        <v>22.1</v>
      </c>
      <c r="L4662" s="475" t="s">
        <v>141</v>
      </c>
      <c r="M4662" s="473"/>
    </row>
    <row r="4663" spans="1:13" ht="13.5">
      <c r="A4663" s="475" t="s">
        <v>5516</v>
      </c>
      <c r="B4663" s="475" t="s">
        <v>5517</v>
      </c>
      <c r="C4663" s="475" t="s">
        <v>5496</v>
      </c>
      <c r="D4663" s="475" t="s">
        <v>5539</v>
      </c>
      <c r="E4663" s="476" t="s">
        <v>34</v>
      </c>
      <c r="F4663" s="475" t="s">
        <v>34</v>
      </c>
      <c r="G4663" s="364">
        <v>90447</v>
      </c>
      <c r="H4663" s="475" t="s">
        <v>3792</v>
      </c>
      <c r="I4663" s="475" t="s">
        <v>139</v>
      </c>
      <c r="J4663" s="475" t="s">
        <v>337</v>
      </c>
      <c r="K4663" s="365">
        <v>4.72</v>
      </c>
      <c r="L4663" s="475" t="s">
        <v>141</v>
      </c>
      <c r="M4663" s="473"/>
    </row>
    <row r="4664" spans="1:13" ht="13.5">
      <c r="A4664" s="475" t="s">
        <v>5516</v>
      </c>
      <c r="B4664" s="475" t="s">
        <v>5517</v>
      </c>
      <c r="C4664" s="475" t="s">
        <v>5496</v>
      </c>
      <c r="D4664" s="475" t="s">
        <v>5539</v>
      </c>
      <c r="E4664" s="476" t="s">
        <v>34</v>
      </c>
      <c r="F4664" s="475" t="s">
        <v>34</v>
      </c>
      <c r="G4664" s="364">
        <v>90451</v>
      </c>
      <c r="H4664" s="475" t="s">
        <v>3793</v>
      </c>
      <c r="I4664" s="475" t="s">
        <v>171</v>
      </c>
      <c r="J4664" s="475" t="s">
        <v>140</v>
      </c>
      <c r="K4664" s="365">
        <v>3.26</v>
      </c>
      <c r="L4664" s="475" t="s">
        <v>141</v>
      </c>
      <c r="M4664" s="473"/>
    </row>
    <row r="4665" spans="1:13" ht="13.5">
      <c r="A4665" s="475" t="s">
        <v>5516</v>
      </c>
      <c r="B4665" s="475" t="s">
        <v>5517</v>
      </c>
      <c r="C4665" s="475" t="s">
        <v>5496</v>
      </c>
      <c r="D4665" s="475" t="s">
        <v>5539</v>
      </c>
      <c r="E4665" s="476" t="s">
        <v>34</v>
      </c>
      <c r="F4665" s="475" t="s">
        <v>34</v>
      </c>
      <c r="G4665" s="364">
        <v>90452</v>
      </c>
      <c r="H4665" s="475" t="s">
        <v>3794</v>
      </c>
      <c r="I4665" s="475" t="s">
        <v>171</v>
      </c>
      <c r="J4665" s="475" t="s">
        <v>140</v>
      </c>
      <c r="K4665" s="365">
        <v>14.78</v>
      </c>
      <c r="L4665" s="475" t="s">
        <v>141</v>
      </c>
      <c r="M4665" s="473"/>
    </row>
    <row r="4666" spans="1:13" ht="13.5">
      <c r="A4666" s="475" t="s">
        <v>5516</v>
      </c>
      <c r="B4666" s="475" t="s">
        <v>5517</v>
      </c>
      <c r="C4666" s="475" t="s">
        <v>5496</v>
      </c>
      <c r="D4666" s="475" t="s">
        <v>5539</v>
      </c>
      <c r="E4666" s="476" t="s">
        <v>34</v>
      </c>
      <c r="F4666" s="475" t="s">
        <v>34</v>
      </c>
      <c r="G4666" s="364">
        <v>90453</v>
      </c>
      <c r="H4666" s="475" t="s">
        <v>3795</v>
      </c>
      <c r="I4666" s="475" t="s">
        <v>171</v>
      </c>
      <c r="J4666" s="475" t="s">
        <v>337</v>
      </c>
      <c r="K4666" s="365">
        <v>1.89</v>
      </c>
      <c r="L4666" s="475" t="s">
        <v>141</v>
      </c>
      <c r="M4666" s="473"/>
    </row>
    <row r="4667" spans="1:13" ht="13.5">
      <c r="A4667" s="475" t="s">
        <v>5516</v>
      </c>
      <c r="B4667" s="475" t="s">
        <v>5517</v>
      </c>
      <c r="C4667" s="475" t="s">
        <v>5496</v>
      </c>
      <c r="D4667" s="475" t="s">
        <v>5539</v>
      </c>
      <c r="E4667" s="476" t="s">
        <v>34</v>
      </c>
      <c r="F4667" s="475" t="s">
        <v>34</v>
      </c>
      <c r="G4667" s="364">
        <v>90454</v>
      </c>
      <c r="H4667" s="475" t="s">
        <v>3796</v>
      </c>
      <c r="I4667" s="475" t="s">
        <v>171</v>
      </c>
      <c r="J4667" s="475" t="s">
        <v>337</v>
      </c>
      <c r="K4667" s="365">
        <v>3.31</v>
      </c>
      <c r="L4667" s="475" t="s">
        <v>141</v>
      </c>
      <c r="M4667" s="473"/>
    </row>
    <row r="4668" spans="1:13" ht="13.5">
      <c r="A4668" s="475" t="s">
        <v>5516</v>
      </c>
      <c r="B4668" s="475" t="s">
        <v>5517</v>
      </c>
      <c r="C4668" s="475" t="s">
        <v>5496</v>
      </c>
      <c r="D4668" s="475" t="s">
        <v>5539</v>
      </c>
      <c r="E4668" s="476" t="s">
        <v>34</v>
      </c>
      <c r="F4668" s="475" t="s">
        <v>34</v>
      </c>
      <c r="G4668" s="364">
        <v>90455</v>
      </c>
      <c r="H4668" s="475" t="s">
        <v>3797</v>
      </c>
      <c r="I4668" s="475" t="s">
        <v>171</v>
      </c>
      <c r="J4668" s="475" t="s">
        <v>337</v>
      </c>
      <c r="K4668" s="365">
        <v>4.45</v>
      </c>
      <c r="L4668" s="475" t="s">
        <v>141</v>
      </c>
      <c r="M4668" s="473"/>
    </row>
    <row r="4669" spans="1:13" ht="13.5">
      <c r="A4669" s="475" t="s">
        <v>5516</v>
      </c>
      <c r="B4669" s="475" t="s">
        <v>5517</v>
      </c>
      <c r="C4669" s="475" t="s">
        <v>5496</v>
      </c>
      <c r="D4669" s="475" t="s">
        <v>5539</v>
      </c>
      <c r="E4669" s="476" t="s">
        <v>34</v>
      </c>
      <c r="F4669" s="475" t="s">
        <v>34</v>
      </c>
      <c r="G4669" s="364">
        <v>90456</v>
      </c>
      <c r="H4669" s="475" t="s">
        <v>3798</v>
      </c>
      <c r="I4669" s="475" t="s">
        <v>171</v>
      </c>
      <c r="J4669" s="475" t="s">
        <v>337</v>
      </c>
      <c r="K4669" s="365">
        <v>3.05</v>
      </c>
      <c r="L4669" s="475" t="s">
        <v>141</v>
      </c>
      <c r="M4669" s="473"/>
    </row>
    <row r="4670" spans="1:13" ht="13.5">
      <c r="A4670" s="475" t="s">
        <v>5516</v>
      </c>
      <c r="B4670" s="475" t="s">
        <v>5517</v>
      </c>
      <c r="C4670" s="475" t="s">
        <v>5496</v>
      </c>
      <c r="D4670" s="475" t="s">
        <v>5539</v>
      </c>
      <c r="E4670" s="476" t="s">
        <v>34</v>
      </c>
      <c r="F4670" s="475" t="s">
        <v>34</v>
      </c>
      <c r="G4670" s="364">
        <v>90457</v>
      </c>
      <c r="H4670" s="475" t="s">
        <v>3799</v>
      </c>
      <c r="I4670" s="475" t="s">
        <v>171</v>
      </c>
      <c r="J4670" s="475" t="s">
        <v>337</v>
      </c>
      <c r="K4670" s="365">
        <v>6.95</v>
      </c>
      <c r="L4670" s="475" t="s">
        <v>141</v>
      </c>
      <c r="M4670" s="473"/>
    </row>
    <row r="4671" spans="1:13" ht="13.5">
      <c r="A4671" s="475" t="s">
        <v>5516</v>
      </c>
      <c r="B4671" s="475" t="s">
        <v>5517</v>
      </c>
      <c r="C4671" s="475" t="s">
        <v>5496</v>
      </c>
      <c r="D4671" s="475" t="s">
        <v>5539</v>
      </c>
      <c r="E4671" s="476" t="s">
        <v>34</v>
      </c>
      <c r="F4671" s="475" t="s">
        <v>34</v>
      </c>
      <c r="G4671" s="364">
        <v>90458</v>
      </c>
      <c r="H4671" s="475" t="s">
        <v>3800</v>
      </c>
      <c r="I4671" s="475" t="s">
        <v>171</v>
      </c>
      <c r="J4671" s="475" t="s">
        <v>337</v>
      </c>
      <c r="K4671" s="365">
        <v>19.73</v>
      </c>
      <c r="L4671" s="475" t="s">
        <v>141</v>
      </c>
      <c r="M4671" s="473"/>
    </row>
    <row r="4672" spans="1:13" ht="13.5">
      <c r="A4672" s="475" t="s">
        <v>5516</v>
      </c>
      <c r="B4672" s="475" t="s">
        <v>5517</v>
      </c>
      <c r="C4672" s="475" t="s">
        <v>5496</v>
      </c>
      <c r="D4672" s="475" t="s">
        <v>5539</v>
      </c>
      <c r="E4672" s="476" t="s">
        <v>34</v>
      </c>
      <c r="F4672" s="475" t="s">
        <v>34</v>
      </c>
      <c r="G4672" s="364">
        <v>90459</v>
      </c>
      <c r="H4672" s="475" t="s">
        <v>3801</v>
      </c>
      <c r="I4672" s="475" t="s">
        <v>171</v>
      </c>
      <c r="J4672" s="475" t="s">
        <v>337</v>
      </c>
      <c r="K4672" s="365">
        <v>27.84</v>
      </c>
      <c r="L4672" s="475" t="s">
        <v>141</v>
      </c>
      <c r="M4672" s="473"/>
    </row>
    <row r="4673" spans="1:13" ht="13.5">
      <c r="A4673" s="475" t="s">
        <v>5516</v>
      </c>
      <c r="B4673" s="475" t="s">
        <v>5517</v>
      </c>
      <c r="C4673" s="475" t="s">
        <v>5496</v>
      </c>
      <c r="D4673" s="475" t="s">
        <v>5539</v>
      </c>
      <c r="E4673" s="476" t="s">
        <v>34</v>
      </c>
      <c r="F4673" s="475" t="s">
        <v>34</v>
      </c>
      <c r="G4673" s="364">
        <v>90460</v>
      </c>
      <c r="H4673" s="475" t="s">
        <v>3802</v>
      </c>
      <c r="I4673" s="475" t="s">
        <v>139</v>
      </c>
      <c r="J4673" s="475" t="s">
        <v>140</v>
      </c>
      <c r="K4673" s="365">
        <v>26.32</v>
      </c>
      <c r="L4673" s="475" t="s">
        <v>141</v>
      </c>
      <c r="M4673" s="473"/>
    </row>
    <row r="4674" spans="1:13" ht="13.5">
      <c r="A4674" s="475" t="s">
        <v>5516</v>
      </c>
      <c r="B4674" s="475" t="s">
        <v>5517</v>
      </c>
      <c r="C4674" s="475" t="s">
        <v>5496</v>
      </c>
      <c r="D4674" s="475" t="s">
        <v>5539</v>
      </c>
      <c r="E4674" s="476" t="s">
        <v>34</v>
      </c>
      <c r="F4674" s="475" t="s">
        <v>34</v>
      </c>
      <c r="G4674" s="364">
        <v>90461</v>
      </c>
      <c r="H4674" s="475" t="s">
        <v>3803</v>
      </c>
      <c r="I4674" s="475" t="s">
        <v>139</v>
      </c>
      <c r="J4674" s="475" t="s">
        <v>140</v>
      </c>
      <c r="K4674" s="365">
        <v>14.16</v>
      </c>
      <c r="L4674" s="475" t="s">
        <v>141</v>
      </c>
      <c r="M4674" s="473"/>
    </row>
    <row r="4675" spans="1:13" ht="13.5">
      <c r="A4675" s="475" t="s">
        <v>5516</v>
      </c>
      <c r="B4675" s="475" t="s">
        <v>5517</v>
      </c>
      <c r="C4675" s="475" t="s">
        <v>5496</v>
      </c>
      <c r="D4675" s="475" t="s">
        <v>5539</v>
      </c>
      <c r="E4675" s="476" t="s">
        <v>34</v>
      </c>
      <c r="F4675" s="475" t="s">
        <v>34</v>
      </c>
      <c r="G4675" s="364">
        <v>90462</v>
      </c>
      <c r="H4675" s="475" t="s">
        <v>3804</v>
      </c>
      <c r="I4675" s="475" t="s">
        <v>139</v>
      </c>
      <c r="J4675" s="475" t="s">
        <v>140</v>
      </c>
      <c r="K4675" s="365">
        <v>3.13</v>
      </c>
      <c r="L4675" s="475" t="s">
        <v>141</v>
      </c>
      <c r="M4675" s="473"/>
    </row>
    <row r="4676" spans="1:13" ht="13.5">
      <c r="A4676" s="475" t="s">
        <v>5516</v>
      </c>
      <c r="B4676" s="475" t="s">
        <v>5517</v>
      </c>
      <c r="C4676" s="475" t="s">
        <v>5496</v>
      </c>
      <c r="D4676" s="475" t="s">
        <v>5539</v>
      </c>
      <c r="E4676" s="476" t="s">
        <v>34</v>
      </c>
      <c r="F4676" s="475" t="s">
        <v>34</v>
      </c>
      <c r="G4676" s="364">
        <v>90463</v>
      </c>
      <c r="H4676" s="475" t="s">
        <v>3805</v>
      </c>
      <c r="I4676" s="475" t="s">
        <v>139</v>
      </c>
      <c r="J4676" s="475" t="s">
        <v>140</v>
      </c>
      <c r="K4676" s="365">
        <v>2.46</v>
      </c>
      <c r="L4676" s="475" t="s">
        <v>141</v>
      </c>
      <c r="M4676" s="473"/>
    </row>
    <row r="4677" spans="1:13" ht="13.5">
      <c r="A4677" s="475" t="s">
        <v>5516</v>
      </c>
      <c r="B4677" s="475" t="s">
        <v>5517</v>
      </c>
      <c r="C4677" s="475" t="s">
        <v>5496</v>
      </c>
      <c r="D4677" s="475" t="s">
        <v>5539</v>
      </c>
      <c r="E4677" s="476" t="s">
        <v>34</v>
      </c>
      <c r="F4677" s="475" t="s">
        <v>34</v>
      </c>
      <c r="G4677" s="364">
        <v>90466</v>
      </c>
      <c r="H4677" s="475" t="s">
        <v>3806</v>
      </c>
      <c r="I4677" s="475" t="s">
        <v>139</v>
      </c>
      <c r="J4677" s="475" t="s">
        <v>337</v>
      </c>
      <c r="K4677" s="365">
        <v>9.39</v>
      </c>
      <c r="L4677" s="475" t="s">
        <v>141</v>
      </c>
      <c r="M4677" s="473"/>
    </row>
    <row r="4678" spans="1:13" ht="13.5">
      <c r="A4678" s="475" t="s">
        <v>5516</v>
      </c>
      <c r="B4678" s="475" t="s">
        <v>5517</v>
      </c>
      <c r="C4678" s="475" t="s">
        <v>5496</v>
      </c>
      <c r="D4678" s="475" t="s">
        <v>5539</v>
      </c>
      <c r="E4678" s="476" t="s">
        <v>34</v>
      </c>
      <c r="F4678" s="475" t="s">
        <v>34</v>
      </c>
      <c r="G4678" s="364">
        <v>90467</v>
      </c>
      <c r="H4678" s="475" t="s">
        <v>3807</v>
      </c>
      <c r="I4678" s="475" t="s">
        <v>139</v>
      </c>
      <c r="J4678" s="475" t="s">
        <v>337</v>
      </c>
      <c r="K4678" s="365">
        <v>14.85</v>
      </c>
      <c r="L4678" s="475" t="s">
        <v>141</v>
      </c>
      <c r="M4678" s="473"/>
    </row>
    <row r="4679" spans="1:13" ht="13.5">
      <c r="A4679" s="475" t="s">
        <v>5516</v>
      </c>
      <c r="B4679" s="475" t="s">
        <v>5517</v>
      </c>
      <c r="C4679" s="475" t="s">
        <v>5496</v>
      </c>
      <c r="D4679" s="475" t="s">
        <v>5539</v>
      </c>
      <c r="E4679" s="476" t="s">
        <v>34</v>
      </c>
      <c r="F4679" s="475" t="s">
        <v>34</v>
      </c>
      <c r="G4679" s="364">
        <v>90468</v>
      </c>
      <c r="H4679" s="475" t="s">
        <v>3808</v>
      </c>
      <c r="I4679" s="475" t="s">
        <v>139</v>
      </c>
      <c r="J4679" s="475" t="s">
        <v>337</v>
      </c>
      <c r="K4679" s="365">
        <v>4.07</v>
      </c>
      <c r="L4679" s="475" t="s">
        <v>141</v>
      </c>
      <c r="M4679" s="473"/>
    </row>
    <row r="4680" spans="1:13" ht="13.5">
      <c r="A4680" s="475" t="s">
        <v>5516</v>
      </c>
      <c r="B4680" s="475" t="s">
        <v>5517</v>
      </c>
      <c r="C4680" s="475" t="s">
        <v>5496</v>
      </c>
      <c r="D4680" s="475" t="s">
        <v>5539</v>
      </c>
      <c r="E4680" s="476" t="s">
        <v>34</v>
      </c>
      <c r="F4680" s="475" t="s">
        <v>34</v>
      </c>
      <c r="G4680" s="364">
        <v>90469</v>
      </c>
      <c r="H4680" s="475" t="s">
        <v>3809</v>
      </c>
      <c r="I4680" s="475" t="s">
        <v>139</v>
      </c>
      <c r="J4680" s="475" t="s">
        <v>337</v>
      </c>
      <c r="K4680" s="365">
        <v>6.51</v>
      </c>
      <c r="L4680" s="475" t="s">
        <v>141</v>
      </c>
      <c r="M4680" s="473"/>
    </row>
    <row r="4681" spans="1:13" ht="13.5">
      <c r="A4681" s="475" t="s">
        <v>5516</v>
      </c>
      <c r="B4681" s="475" t="s">
        <v>5517</v>
      </c>
      <c r="C4681" s="475" t="s">
        <v>5496</v>
      </c>
      <c r="D4681" s="475" t="s">
        <v>5539</v>
      </c>
      <c r="E4681" s="476" t="s">
        <v>34</v>
      </c>
      <c r="F4681" s="475" t="s">
        <v>34</v>
      </c>
      <c r="G4681" s="364">
        <v>90470</v>
      </c>
      <c r="H4681" s="475" t="s">
        <v>3810</v>
      </c>
      <c r="I4681" s="475" t="s">
        <v>139</v>
      </c>
      <c r="J4681" s="475" t="s">
        <v>337</v>
      </c>
      <c r="K4681" s="365">
        <v>8.92</v>
      </c>
      <c r="L4681" s="475" t="s">
        <v>141</v>
      </c>
      <c r="M4681" s="473"/>
    </row>
    <row r="4682" spans="1:13" ht="13.5">
      <c r="A4682" s="475" t="s">
        <v>5516</v>
      </c>
      <c r="B4682" s="475" t="s">
        <v>5517</v>
      </c>
      <c r="C4682" s="475" t="s">
        <v>5496</v>
      </c>
      <c r="D4682" s="475" t="s">
        <v>5539</v>
      </c>
      <c r="E4682" s="476" t="s">
        <v>34</v>
      </c>
      <c r="F4682" s="475" t="s">
        <v>34</v>
      </c>
      <c r="G4682" s="364">
        <v>91166</v>
      </c>
      <c r="H4682" s="475" t="s">
        <v>3811</v>
      </c>
      <c r="I4682" s="475" t="s">
        <v>139</v>
      </c>
      <c r="J4682" s="475" t="s">
        <v>337</v>
      </c>
      <c r="K4682" s="365">
        <v>3</v>
      </c>
      <c r="L4682" s="475" t="s">
        <v>141</v>
      </c>
      <c r="M4682" s="473"/>
    </row>
    <row r="4683" spans="1:13" ht="13.5">
      <c r="A4683" s="475" t="s">
        <v>5516</v>
      </c>
      <c r="B4683" s="475" t="s">
        <v>5517</v>
      </c>
      <c r="C4683" s="475" t="s">
        <v>5496</v>
      </c>
      <c r="D4683" s="475" t="s">
        <v>5539</v>
      </c>
      <c r="E4683" s="476" t="s">
        <v>34</v>
      </c>
      <c r="F4683" s="475" t="s">
        <v>34</v>
      </c>
      <c r="G4683" s="364">
        <v>91167</v>
      </c>
      <c r="H4683" s="475" t="s">
        <v>3812</v>
      </c>
      <c r="I4683" s="475" t="s">
        <v>139</v>
      </c>
      <c r="J4683" s="475" t="s">
        <v>337</v>
      </c>
      <c r="K4683" s="365">
        <v>8.11</v>
      </c>
      <c r="L4683" s="475" t="s">
        <v>141</v>
      </c>
      <c r="M4683" s="473"/>
    </row>
    <row r="4684" spans="1:13" ht="13.5">
      <c r="A4684" s="475" t="s">
        <v>5516</v>
      </c>
      <c r="B4684" s="475" t="s">
        <v>5517</v>
      </c>
      <c r="C4684" s="475" t="s">
        <v>5496</v>
      </c>
      <c r="D4684" s="475" t="s">
        <v>5539</v>
      </c>
      <c r="E4684" s="476" t="s">
        <v>34</v>
      </c>
      <c r="F4684" s="475" t="s">
        <v>34</v>
      </c>
      <c r="G4684" s="364">
        <v>91168</v>
      </c>
      <c r="H4684" s="475" t="s">
        <v>3813</v>
      </c>
      <c r="I4684" s="475" t="s">
        <v>139</v>
      </c>
      <c r="J4684" s="475" t="s">
        <v>337</v>
      </c>
      <c r="K4684" s="365">
        <v>6.13</v>
      </c>
      <c r="L4684" s="475" t="s">
        <v>141</v>
      </c>
      <c r="M4684" s="473"/>
    </row>
    <row r="4685" spans="1:13" ht="13.5">
      <c r="A4685" s="475" t="s">
        <v>5516</v>
      </c>
      <c r="B4685" s="475" t="s">
        <v>5517</v>
      </c>
      <c r="C4685" s="475" t="s">
        <v>5496</v>
      </c>
      <c r="D4685" s="475" t="s">
        <v>5539</v>
      </c>
      <c r="E4685" s="476" t="s">
        <v>34</v>
      </c>
      <c r="F4685" s="475" t="s">
        <v>34</v>
      </c>
      <c r="G4685" s="364">
        <v>91169</v>
      </c>
      <c r="H4685" s="475" t="s">
        <v>3814</v>
      </c>
      <c r="I4685" s="475" t="s">
        <v>139</v>
      </c>
      <c r="J4685" s="475" t="s">
        <v>337</v>
      </c>
      <c r="K4685" s="365">
        <v>7.29</v>
      </c>
      <c r="L4685" s="475" t="s">
        <v>141</v>
      </c>
      <c r="M4685" s="473"/>
    </row>
    <row r="4686" spans="1:13" ht="13.5">
      <c r="A4686" s="475" t="s">
        <v>5516</v>
      </c>
      <c r="B4686" s="475" t="s">
        <v>5517</v>
      </c>
      <c r="C4686" s="475" t="s">
        <v>5496</v>
      </c>
      <c r="D4686" s="475" t="s">
        <v>5539</v>
      </c>
      <c r="E4686" s="476" t="s">
        <v>34</v>
      </c>
      <c r="F4686" s="475" t="s">
        <v>34</v>
      </c>
      <c r="G4686" s="364">
        <v>91170</v>
      </c>
      <c r="H4686" s="475" t="s">
        <v>3815</v>
      </c>
      <c r="I4686" s="475" t="s">
        <v>139</v>
      </c>
      <c r="J4686" s="475" t="s">
        <v>337</v>
      </c>
      <c r="K4686" s="365">
        <v>2.09</v>
      </c>
      <c r="L4686" s="475" t="s">
        <v>141</v>
      </c>
      <c r="M4686" s="473"/>
    </row>
    <row r="4687" spans="1:13" ht="13.5">
      <c r="A4687" s="475" t="s">
        <v>5516</v>
      </c>
      <c r="B4687" s="475" t="s">
        <v>5517</v>
      </c>
      <c r="C4687" s="475" t="s">
        <v>5496</v>
      </c>
      <c r="D4687" s="475" t="s">
        <v>5539</v>
      </c>
      <c r="E4687" s="476" t="s">
        <v>34</v>
      </c>
      <c r="F4687" s="475" t="s">
        <v>34</v>
      </c>
      <c r="G4687" s="364">
        <v>91171</v>
      </c>
      <c r="H4687" s="475" t="s">
        <v>3816</v>
      </c>
      <c r="I4687" s="475" t="s">
        <v>139</v>
      </c>
      <c r="J4687" s="475" t="s">
        <v>337</v>
      </c>
      <c r="K4687" s="365">
        <v>2.61</v>
      </c>
      <c r="L4687" s="475" t="s">
        <v>141</v>
      </c>
      <c r="M4687" s="473"/>
    </row>
    <row r="4688" spans="1:13" ht="13.5">
      <c r="A4688" s="475" t="s">
        <v>5516</v>
      </c>
      <c r="B4688" s="475" t="s">
        <v>5517</v>
      </c>
      <c r="C4688" s="475" t="s">
        <v>5496</v>
      </c>
      <c r="D4688" s="475" t="s">
        <v>5539</v>
      </c>
      <c r="E4688" s="476" t="s">
        <v>34</v>
      </c>
      <c r="F4688" s="475" t="s">
        <v>34</v>
      </c>
      <c r="G4688" s="364">
        <v>91172</v>
      </c>
      <c r="H4688" s="475" t="s">
        <v>3817</v>
      </c>
      <c r="I4688" s="475" t="s">
        <v>139</v>
      </c>
      <c r="J4688" s="475" t="s">
        <v>337</v>
      </c>
      <c r="K4688" s="365">
        <v>3.84</v>
      </c>
      <c r="L4688" s="475" t="s">
        <v>141</v>
      </c>
      <c r="M4688" s="473"/>
    </row>
    <row r="4689" spans="1:13" ht="13.5">
      <c r="A4689" s="475" t="s">
        <v>5516</v>
      </c>
      <c r="B4689" s="475" t="s">
        <v>5517</v>
      </c>
      <c r="C4689" s="475" t="s">
        <v>5496</v>
      </c>
      <c r="D4689" s="475" t="s">
        <v>5539</v>
      </c>
      <c r="E4689" s="476" t="s">
        <v>34</v>
      </c>
      <c r="F4689" s="475" t="s">
        <v>34</v>
      </c>
      <c r="G4689" s="364">
        <v>91173</v>
      </c>
      <c r="H4689" s="475" t="s">
        <v>3818</v>
      </c>
      <c r="I4689" s="475" t="s">
        <v>139</v>
      </c>
      <c r="J4689" s="475" t="s">
        <v>337</v>
      </c>
      <c r="K4689" s="365">
        <v>1.06</v>
      </c>
      <c r="L4689" s="475" t="s">
        <v>141</v>
      </c>
      <c r="M4689" s="473"/>
    </row>
    <row r="4690" spans="1:13" ht="13.5">
      <c r="A4690" s="475" t="s">
        <v>5516</v>
      </c>
      <c r="B4690" s="475" t="s">
        <v>5517</v>
      </c>
      <c r="C4690" s="475" t="s">
        <v>5496</v>
      </c>
      <c r="D4690" s="475" t="s">
        <v>5539</v>
      </c>
      <c r="E4690" s="476" t="s">
        <v>34</v>
      </c>
      <c r="F4690" s="475" t="s">
        <v>34</v>
      </c>
      <c r="G4690" s="364">
        <v>91174</v>
      </c>
      <c r="H4690" s="475" t="s">
        <v>3819</v>
      </c>
      <c r="I4690" s="475" t="s">
        <v>139</v>
      </c>
      <c r="J4690" s="475" t="s">
        <v>337</v>
      </c>
      <c r="K4690" s="365">
        <v>2.0699999999999998</v>
      </c>
      <c r="L4690" s="475" t="s">
        <v>141</v>
      </c>
      <c r="M4690" s="473"/>
    </row>
    <row r="4691" spans="1:13" ht="13.5">
      <c r="A4691" s="475" t="s">
        <v>5516</v>
      </c>
      <c r="B4691" s="475" t="s">
        <v>5517</v>
      </c>
      <c r="C4691" s="475" t="s">
        <v>5496</v>
      </c>
      <c r="D4691" s="475" t="s">
        <v>5539</v>
      </c>
      <c r="E4691" s="476" t="s">
        <v>34</v>
      </c>
      <c r="F4691" s="475" t="s">
        <v>34</v>
      </c>
      <c r="G4691" s="364">
        <v>91175</v>
      </c>
      <c r="H4691" s="475" t="s">
        <v>3820</v>
      </c>
      <c r="I4691" s="475" t="s">
        <v>139</v>
      </c>
      <c r="J4691" s="475" t="s">
        <v>337</v>
      </c>
      <c r="K4691" s="365">
        <v>3.38</v>
      </c>
      <c r="L4691" s="475" t="s">
        <v>141</v>
      </c>
      <c r="M4691" s="473"/>
    </row>
    <row r="4692" spans="1:13" ht="13.5">
      <c r="A4692" s="475" t="s">
        <v>5516</v>
      </c>
      <c r="B4692" s="475" t="s">
        <v>5517</v>
      </c>
      <c r="C4692" s="475" t="s">
        <v>5496</v>
      </c>
      <c r="D4692" s="475" t="s">
        <v>5539</v>
      </c>
      <c r="E4692" s="476" t="s">
        <v>34</v>
      </c>
      <c r="F4692" s="475" t="s">
        <v>34</v>
      </c>
      <c r="G4692" s="364">
        <v>91176</v>
      </c>
      <c r="H4692" s="475" t="s">
        <v>3821</v>
      </c>
      <c r="I4692" s="475" t="s">
        <v>139</v>
      </c>
      <c r="J4692" s="475" t="s">
        <v>140</v>
      </c>
      <c r="K4692" s="365">
        <v>35.57</v>
      </c>
      <c r="L4692" s="475" t="s">
        <v>141</v>
      </c>
      <c r="M4692" s="473"/>
    </row>
    <row r="4693" spans="1:13" ht="13.5">
      <c r="A4693" s="475" t="s">
        <v>5516</v>
      </c>
      <c r="B4693" s="475" t="s">
        <v>5517</v>
      </c>
      <c r="C4693" s="475" t="s">
        <v>5496</v>
      </c>
      <c r="D4693" s="475" t="s">
        <v>5539</v>
      </c>
      <c r="E4693" s="476" t="s">
        <v>34</v>
      </c>
      <c r="F4693" s="475" t="s">
        <v>34</v>
      </c>
      <c r="G4693" s="364">
        <v>91177</v>
      </c>
      <c r="H4693" s="475" t="s">
        <v>3822</v>
      </c>
      <c r="I4693" s="475" t="s">
        <v>139</v>
      </c>
      <c r="J4693" s="475" t="s">
        <v>140</v>
      </c>
      <c r="K4693" s="365">
        <v>15.72</v>
      </c>
      <c r="L4693" s="475" t="s">
        <v>141</v>
      </c>
      <c r="M4693" s="473"/>
    </row>
    <row r="4694" spans="1:13" ht="13.5">
      <c r="A4694" s="475" t="s">
        <v>5516</v>
      </c>
      <c r="B4694" s="475" t="s">
        <v>5517</v>
      </c>
      <c r="C4694" s="475" t="s">
        <v>5496</v>
      </c>
      <c r="D4694" s="475" t="s">
        <v>5539</v>
      </c>
      <c r="E4694" s="476" t="s">
        <v>34</v>
      </c>
      <c r="F4694" s="475" t="s">
        <v>34</v>
      </c>
      <c r="G4694" s="364">
        <v>91178</v>
      </c>
      <c r="H4694" s="475" t="s">
        <v>3823</v>
      </c>
      <c r="I4694" s="475" t="s">
        <v>139</v>
      </c>
      <c r="J4694" s="475" t="s">
        <v>140</v>
      </c>
      <c r="K4694" s="365">
        <v>15.04</v>
      </c>
      <c r="L4694" s="475" t="s">
        <v>141</v>
      </c>
      <c r="M4694" s="473"/>
    </row>
    <row r="4695" spans="1:13" ht="13.5">
      <c r="A4695" s="475" t="s">
        <v>5516</v>
      </c>
      <c r="B4695" s="475" t="s">
        <v>5517</v>
      </c>
      <c r="C4695" s="475" t="s">
        <v>5496</v>
      </c>
      <c r="D4695" s="475" t="s">
        <v>5539</v>
      </c>
      <c r="E4695" s="476" t="s">
        <v>34</v>
      </c>
      <c r="F4695" s="475" t="s">
        <v>34</v>
      </c>
      <c r="G4695" s="364">
        <v>91179</v>
      </c>
      <c r="H4695" s="475" t="s">
        <v>3824</v>
      </c>
      <c r="I4695" s="475" t="s">
        <v>139</v>
      </c>
      <c r="J4695" s="475" t="s">
        <v>140</v>
      </c>
      <c r="K4695" s="365">
        <v>9.1300000000000008</v>
      </c>
      <c r="L4695" s="475" t="s">
        <v>141</v>
      </c>
      <c r="M4695" s="473"/>
    </row>
    <row r="4696" spans="1:13" ht="13.5">
      <c r="A4696" s="475" t="s">
        <v>5516</v>
      </c>
      <c r="B4696" s="475" t="s">
        <v>5517</v>
      </c>
      <c r="C4696" s="475" t="s">
        <v>5496</v>
      </c>
      <c r="D4696" s="475" t="s">
        <v>5539</v>
      </c>
      <c r="E4696" s="476" t="s">
        <v>34</v>
      </c>
      <c r="F4696" s="475" t="s">
        <v>34</v>
      </c>
      <c r="G4696" s="364">
        <v>91180</v>
      </c>
      <c r="H4696" s="475" t="s">
        <v>3825</v>
      </c>
      <c r="I4696" s="475" t="s">
        <v>139</v>
      </c>
      <c r="J4696" s="475" t="s">
        <v>140</v>
      </c>
      <c r="K4696" s="365">
        <v>7.12</v>
      </c>
      <c r="L4696" s="475" t="s">
        <v>141</v>
      </c>
      <c r="M4696" s="473"/>
    </row>
    <row r="4697" spans="1:13" ht="13.5">
      <c r="A4697" s="475" t="s">
        <v>5516</v>
      </c>
      <c r="B4697" s="475" t="s">
        <v>5517</v>
      </c>
      <c r="C4697" s="475" t="s">
        <v>5496</v>
      </c>
      <c r="D4697" s="475" t="s">
        <v>5539</v>
      </c>
      <c r="E4697" s="476" t="s">
        <v>34</v>
      </c>
      <c r="F4697" s="475" t="s">
        <v>34</v>
      </c>
      <c r="G4697" s="364">
        <v>91181</v>
      </c>
      <c r="H4697" s="475" t="s">
        <v>3826</v>
      </c>
      <c r="I4697" s="475" t="s">
        <v>139</v>
      </c>
      <c r="J4697" s="475" t="s">
        <v>140</v>
      </c>
      <c r="K4697" s="365">
        <v>7.48</v>
      </c>
      <c r="L4697" s="475" t="s">
        <v>141</v>
      </c>
      <c r="M4697" s="473"/>
    </row>
    <row r="4698" spans="1:13" ht="13.5">
      <c r="A4698" s="475" t="s">
        <v>5516</v>
      </c>
      <c r="B4698" s="475" t="s">
        <v>5517</v>
      </c>
      <c r="C4698" s="475" t="s">
        <v>5496</v>
      </c>
      <c r="D4698" s="475" t="s">
        <v>5539</v>
      </c>
      <c r="E4698" s="476" t="s">
        <v>34</v>
      </c>
      <c r="F4698" s="475" t="s">
        <v>34</v>
      </c>
      <c r="G4698" s="364">
        <v>91182</v>
      </c>
      <c r="H4698" s="475" t="s">
        <v>3827</v>
      </c>
      <c r="I4698" s="475" t="s">
        <v>139</v>
      </c>
      <c r="J4698" s="475" t="s">
        <v>140</v>
      </c>
      <c r="K4698" s="365">
        <v>20.170000000000002</v>
      </c>
      <c r="L4698" s="475" t="s">
        <v>141</v>
      </c>
      <c r="M4698" s="473"/>
    </row>
    <row r="4699" spans="1:13" ht="13.5">
      <c r="A4699" s="475" t="s">
        <v>5516</v>
      </c>
      <c r="B4699" s="475" t="s">
        <v>5517</v>
      </c>
      <c r="C4699" s="475" t="s">
        <v>5496</v>
      </c>
      <c r="D4699" s="475" t="s">
        <v>5539</v>
      </c>
      <c r="E4699" s="476" t="s">
        <v>34</v>
      </c>
      <c r="F4699" s="475" t="s">
        <v>34</v>
      </c>
      <c r="G4699" s="364">
        <v>91183</v>
      </c>
      <c r="H4699" s="475" t="s">
        <v>3828</v>
      </c>
      <c r="I4699" s="475" t="s">
        <v>139</v>
      </c>
      <c r="J4699" s="475" t="s">
        <v>140</v>
      </c>
      <c r="K4699" s="365">
        <v>9.91</v>
      </c>
      <c r="L4699" s="475" t="s">
        <v>141</v>
      </c>
      <c r="M4699" s="473"/>
    </row>
    <row r="4700" spans="1:13" ht="13.5">
      <c r="A4700" s="475" t="s">
        <v>5516</v>
      </c>
      <c r="B4700" s="475" t="s">
        <v>5517</v>
      </c>
      <c r="C4700" s="475" t="s">
        <v>5496</v>
      </c>
      <c r="D4700" s="475" t="s">
        <v>5539</v>
      </c>
      <c r="E4700" s="476" t="s">
        <v>34</v>
      </c>
      <c r="F4700" s="475" t="s">
        <v>34</v>
      </c>
      <c r="G4700" s="364">
        <v>91184</v>
      </c>
      <c r="H4700" s="475" t="s">
        <v>3829</v>
      </c>
      <c r="I4700" s="475" t="s">
        <v>139</v>
      </c>
      <c r="J4700" s="475" t="s">
        <v>140</v>
      </c>
      <c r="K4700" s="365">
        <v>9.2100000000000009</v>
      </c>
      <c r="L4700" s="475" t="s">
        <v>141</v>
      </c>
      <c r="M4700" s="473"/>
    </row>
    <row r="4701" spans="1:13" ht="13.5">
      <c r="A4701" s="475" t="s">
        <v>5516</v>
      </c>
      <c r="B4701" s="475" t="s">
        <v>5517</v>
      </c>
      <c r="C4701" s="475" t="s">
        <v>5496</v>
      </c>
      <c r="D4701" s="475" t="s">
        <v>5539</v>
      </c>
      <c r="E4701" s="476" t="s">
        <v>34</v>
      </c>
      <c r="F4701" s="475" t="s">
        <v>34</v>
      </c>
      <c r="G4701" s="364">
        <v>91185</v>
      </c>
      <c r="H4701" s="475" t="s">
        <v>3830</v>
      </c>
      <c r="I4701" s="475" t="s">
        <v>139</v>
      </c>
      <c r="J4701" s="475" t="s">
        <v>140</v>
      </c>
      <c r="K4701" s="365">
        <v>5.17</v>
      </c>
      <c r="L4701" s="475" t="s">
        <v>141</v>
      </c>
      <c r="M4701" s="473"/>
    </row>
    <row r="4702" spans="1:13" ht="13.5">
      <c r="A4702" s="475" t="s">
        <v>5516</v>
      </c>
      <c r="B4702" s="475" t="s">
        <v>5517</v>
      </c>
      <c r="C4702" s="475" t="s">
        <v>5496</v>
      </c>
      <c r="D4702" s="475" t="s">
        <v>5539</v>
      </c>
      <c r="E4702" s="476" t="s">
        <v>34</v>
      </c>
      <c r="F4702" s="475" t="s">
        <v>34</v>
      </c>
      <c r="G4702" s="364">
        <v>91186</v>
      </c>
      <c r="H4702" s="475" t="s">
        <v>3831</v>
      </c>
      <c r="I4702" s="475" t="s">
        <v>139</v>
      </c>
      <c r="J4702" s="475" t="s">
        <v>140</v>
      </c>
      <c r="K4702" s="365">
        <v>4.2300000000000004</v>
      </c>
      <c r="L4702" s="475" t="s">
        <v>141</v>
      </c>
      <c r="M4702" s="473"/>
    </row>
    <row r="4703" spans="1:13" ht="13.5">
      <c r="A4703" s="475" t="s">
        <v>5516</v>
      </c>
      <c r="B4703" s="475" t="s">
        <v>5517</v>
      </c>
      <c r="C4703" s="475" t="s">
        <v>5496</v>
      </c>
      <c r="D4703" s="475" t="s">
        <v>5539</v>
      </c>
      <c r="E4703" s="476" t="s">
        <v>34</v>
      </c>
      <c r="F4703" s="475" t="s">
        <v>34</v>
      </c>
      <c r="G4703" s="364">
        <v>91187</v>
      </c>
      <c r="H4703" s="475" t="s">
        <v>3832</v>
      </c>
      <c r="I4703" s="475" t="s">
        <v>139</v>
      </c>
      <c r="J4703" s="475" t="s">
        <v>140</v>
      </c>
      <c r="K4703" s="365">
        <v>4.87</v>
      </c>
      <c r="L4703" s="475" t="s">
        <v>141</v>
      </c>
      <c r="M4703" s="473"/>
    </row>
    <row r="4704" spans="1:13" ht="13.5">
      <c r="A4704" s="475" t="s">
        <v>5516</v>
      </c>
      <c r="B4704" s="475" t="s">
        <v>5517</v>
      </c>
      <c r="C4704" s="475" t="s">
        <v>5496</v>
      </c>
      <c r="D4704" s="475" t="s">
        <v>5539</v>
      </c>
      <c r="E4704" s="476" t="s">
        <v>34</v>
      </c>
      <c r="F4704" s="475" t="s">
        <v>34</v>
      </c>
      <c r="G4704" s="364">
        <v>91188</v>
      </c>
      <c r="H4704" s="475" t="s">
        <v>3833</v>
      </c>
      <c r="I4704" s="475" t="s">
        <v>171</v>
      </c>
      <c r="J4704" s="475" t="s">
        <v>337</v>
      </c>
      <c r="K4704" s="365">
        <v>4.99</v>
      </c>
      <c r="L4704" s="475" t="s">
        <v>141</v>
      </c>
      <c r="M4704" s="473"/>
    </row>
    <row r="4705" spans="1:13" ht="13.5">
      <c r="A4705" s="475" t="s">
        <v>5516</v>
      </c>
      <c r="B4705" s="475" t="s">
        <v>5517</v>
      </c>
      <c r="C4705" s="475" t="s">
        <v>5496</v>
      </c>
      <c r="D4705" s="475" t="s">
        <v>5539</v>
      </c>
      <c r="E4705" s="476" t="s">
        <v>34</v>
      </c>
      <c r="F4705" s="475" t="s">
        <v>34</v>
      </c>
      <c r="G4705" s="364">
        <v>91189</v>
      </c>
      <c r="H4705" s="475" t="s">
        <v>3834</v>
      </c>
      <c r="I4705" s="475" t="s">
        <v>171</v>
      </c>
      <c r="J4705" s="475" t="s">
        <v>337</v>
      </c>
      <c r="K4705" s="365">
        <v>32.68</v>
      </c>
      <c r="L4705" s="475" t="s">
        <v>141</v>
      </c>
      <c r="M4705" s="473"/>
    </row>
    <row r="4706" spans="1:13" ht="13.5">
      <c r="A4706" s="475" t="s">
        <v>5516</v>
      </c>
      <c r="B4706" s="475" t="s">
        <v>5517</v>
      </c>
      <c r="C4706" s="475" t="s">
        <v>5496</v>
      </c>
      <c r="D4706" s="475" t="s">
        <v>5539</v>
      </c>
      <c r="E4706" s="476" t="s">
        <v>34</v>
      </c>
      <c r="F4706" s="475" t="s">
        <v>34</v>
      </c>
      <c r="G4706" s="364">
        <v>91190</v>
      </c>
      <c r="H4706" s="475" t="s">
        <v>3835</v>
      </c>
      <c r="I4706" s="475" t="s">
        <v>171</v>
      </c>
      <c r="J4706" s="475" t="s">
        <v>337</v>
      </c>
      <c r="K4706" s="365">
        <v>3.64</v>
      </c>
      <c r="L4706" s="475" t="s">
        <v>141</v>
      </c>
      <c r="M4706" s="473"/>
    </row>
    <row r="4707" spans="1:13" ht="13.5">
      <c r="A4707" s="475" t="s">
        <v>5516</v>
      </c>
      <c r="B4707" s="475" t="s">
        <v>5517</v>
      </c>
      <c r="C4707" s="475" t="s">
        <v>5496</v>
      </c>
      <c r="D4707" s="475" t="s">
        <v>5539</v>
      </c>
      <c r="E4707" s="476" t="s">
        <v>34</v>
      </c>
      <c r="F4707" s="475" t="s">
        <v>34</v>
      </c>
      <c r="G4707" s="364">
        <v>91191</v>
      </c>
      <c r="H4707" s="475" t="s">
        <v>3836</v>
      </c>
      <c r="I4707" s="475" t="s">
        <v>171</v>
      </c>
      <c r="J4707" s="475" t="s">
        <v>337</v>
      </c>
      <c r="K4707" s="365">
        <v>3.87</v>
      </c>
      <c r="L4707" s="475" t="s">
        <v>141</v>
      </c>
      <c r="M4707" s="473"/>
    </row>
    <row r="4708" spans="1:13" ht="13.5">
      <c r="A4708" s="475" t="s">
        <v>5516</v>
      </c>
      <c r="B4708" s="475" t="s">
        <v>5517</v>
      </c>
      <c r="C4708" s="475" t="s">
        <v>5496</v>
      </c>
      <c r="D4708" s="475" t="s">
        <v>5539</v>
      </c>
      <c r="E4708" s="476" t="s">
        <v>34</v>
      </c>
      <c r="F4708" s="475" t="s">
        <v>34</v>
      </c>
      <c r="G4708" s="364">
        <v>91192</v>
      </c>
      <c r="H4708" s="475" t="s">
        <v>3837</v>
      </c>
      <c r="I4708" s="475" t="s">
        <v>171</v>
      </c>
      <c r="J4708" s="475" t="s">
        <v>337</v>
      </c>
      <c r="K4708" s="365">
        <v>4.28</v>
      </c>
      <c r="L4708" s="475" t="s">
        <v>141</v>
      </c>
      <c r="M4708" s="473"/>
    </row>
    <row r="4709" spans="1:13" ht="13.5">
      <c r="A4709" s="475" t="s">
        <v>5516</v>
      </c>
      <c r="B4709" s="475" t="s">
        <v>5517</v>
      </c>
      <c r="C4709" s="475" t="s">
        <v>5496</v>
      </c>
      <c r="D4709" s="475" t="s">
        <v>5539</v>
      </c>
      <c r="E4709" s="476" t="s">
        <v>34</v>
      </c>
      <c r="F4709" s="475" t="s">
        <v>34</v>
      </c>
      <c r="G4709" s="364">
        <v>91222</v>
      </c>
      <c r="H4709" s="475" t="s">
        <v>3838</v>
      </c>
      <c r="I4709" s="475" t="s">
        <v>139</v>
      </c>
      <c r="J4709" s="475" t="s">
        <v>337</v>
      </c>
      <c r="K4709" s="365">
        <v>10.220000000000001</v>
      </c>
      <c r="L4709" s="475" t="s">
        <v>141</v>
      </c>
      <c r="M4709" s="473"/>
    </row>
    <row r="4710" spans="1:13" ht="13.5">
      <c r="A4710" s="475" t="s">
        <v>5516</v>
      </c>
      <c r="B4710" s="475" t="s">
        <v>5517</v>
      </c>
      <c r="C4710" s="475" t="s">
        <v>5496</v>
      </c>
      <c r="D4710" s="475" t="s">
        <v>5539</v>
      </c>
      <c r="E4710" s="476" t="s">
        <v>34</v>
      </c>
      <c r="F4710" s="475" t="s">
        <v>34</v>
      </c>
      <c r="G4710" s="364">
        <v>94480</v>
      </c>
      <c r="H4710" s="475" t="s">
        <v>3839</v>
      </c>
      <c r="I4710" s="475" t="s">
        <v>171</v>
      </c>
      <c r="J4710" s="475" t="s">
        <v>140</v>
      </c>
      <c r="K4710" s="365">
        <v>1628.46</v>
      </c>
      <c r="L4710" s="475" t="s">
        <v>141</v>
      </c>
      <c r="M4710" s="473"/>
    </row>
    <row r="4711" spans="1:13" ht="13.5">
      <c r="A4711" s="475" t="s">
        <v>5516</v>
      </c>
      <c r="B4711" s="475" t="s">
        <v>5517</v>
      </c>
      <c r="C4711" s="475" t="s">
        <v>5496</v>
      </c>
      <c r="D4711" s="475" t="s">
        <v>5539</v>
      </c>
      <c r="E4711" s="476" t="s">
        <v>34</v>
      </c>
      <c r="F4711" s="475" t="s">
        <v>34</v>
      </c>
      <c r="G4711" s="364">
        <v>94481</v>
      </c>
      <c r="H4711" s="475" t="s">
        <v>3840</v>
      </c>
      <c r="I4711" s="475" t="s">
        <v>171</v>
      </c>
      <c r="J4711" s="475" t="s">
        <v>140</v>
      </c>
      <c r="K4711" s="365">
        <v>1168.94</v>
      </c>
      <c r="L4711" s="475" t="s">
        <v>141</v>
      </c>
      <c r="M4711" s="473"/>
    </row>
    <row r="4712" spans="1:13" ht="13.5">
      <c r="A4712" s="475" t="s">
        <v>5516</v>
      </c>
      <c r="B4712" s="475" t="s">
        <v>5517</v>
      </c>
      <c r="C4712" s="475" t="s">
        <v>5496</v>
      </c>
      <c r="D4712" s="475" t="s">
        <v>5539</v>
      </c>
      <c r="E4712" s="476" t="s">
        <v>34</v>
      </c>
      <c r="F4712" s="475" t="s">
        <v>34</v>
      </c>
      <c r="G4712" s="364">
        <v>94482</v>
      </c>
      <c r="H4712" s="475" t="s">
        <v>3841</v>
      </c>
      <c r="I4712" s="475" t="s">
        <v>171</v>
      </c>
      <c r="J4712" s="475" t="s">
        <v>140</v>
      </c>
      <c r="K4712" s="365">
        <v>937.76</v>
      </c>
      <c r="L4712" s="475" t="s">
        <v>141</v>
      </c>
      <c r="M4712" s="473"/>
    </row>
    <row r="4713" spans="1:13" ht="13.5">
      <c r="A4713" s="475" t="s">
        <v>5516</v>
      </c>
      <c r="B4713" s="475" t="s">
        <v>5517</v>
      </c>
      <c r="C4713" s="475" t="s">
        <v>5496</v>
      </c>
      <c r="D4713" s="475" t="s">
        <v>5539</v>
      </c>
      <c r="E4713" s="476" t="s">
        <v>34</v>
      </c>
      <c r="F4713" s="475" t="s">
        <v>34</v>
      </c>
      <c r="G4713" s="364">
        <v>94483</v>
      </c>
      <c r="H4713" s="475" t="s">
        <v>3842</v>
      </c>
      <c r="I4713" s="475" t="s">
        <v>171</v>
      </c>
      <c r="J4713" s="475" t="s">
        <v>140</v>
      </c>
      <c r="K4713" s="365">
        <v>796.92</v>
      </c>
      <c r="L4713" s="475" t="s">
        <v>141</v>
      </c>
      <c r="M4713" s="473"/>
    </row>
    <row r="4714" spans="1:13" ht="13.5">
      <c r="A4714" s="475" t="s">
        <v>5516</v>
      </c>
      <c r="B4714" s="475" t="s">
        <v>5517</v>
      </c>
      <c r="C4714" s="475" t="s">
        <v>5496</v>
      </c>
      <c r="D4714" s="475" t="s">
        <v>5539</v>
      </c>
      <c r="E4714" s="476" t="s">
        <v>34</v>
      </c>
      <c r="F4714" s="475" t="s">
        <v>34</v>
      </c>
      <c r="G4714" s="364">
        <v>95541</v>
      </c>
      <c r="H4714" s="475" t="s">
        <v>3843</v>
      </c>
      <c r="I4714" s="475" t="s">
        <v>171</v>
      </c>
      <c r="J4714" s="475" t="s">
        <v>337</v>
      </c>
      <c r="K4714" s="365">
        <v>3.38</v>
      </c>
      <c r="L4714" s="475" t="s">
        <v>141</v>
      </c>
      <c r="M4714" s="473"/>
    </row>
    <row r="4715" spans="1:13" ht="13.5">
      <c r="A4715" s="475" t="s">
        <v>5516</v>
      </c>
      <c r="B4715" s="475" t="s">
        <v>5517</v>
      </c>
      <c r="C4715" s="475" t="s">
        <v>5496</v>
      </c>
      <c r="D4715" s="475" t="s">
        <v>5539</v>
      </c>
      <c r="E4715" s="476" t="s">
        <v>34</v>
      </c>
      <c r="F4715" s="475" t="s">
        <v>34</v>
      </c>
      <c r="G4715" s="364">
        <v>95573</v>
      </c>
      <c r="H4715" s="475" t="s">
        <v>3844</v>
      </c>
      <c r="I4715" s="475" t="s">
        <v>171</v>
      </c>
      <c r="J4715" s="475" t="s">
        <v>337</v>
      </c>
      <c r="K4715" s="365">
        <v>39.08</v>
      </c>
      <c r="L4715" s="475" t="s">
        <v>141</v>
      </c>
      <c r="M4715" s="473"/>
    </row>
    <row r="4716" spans="1:13" ht="13.5">
      <c r="A4716" s="475" t="s">
        <v>5516</v>
      </c>
      <c r="B4716" s="475" t="s">
        <v>5517</v>
      </c>
      <c r="C4716" s="475" t="s">
        <v>5496</v>
      </c>
      <c r="D4716" s="475" t="s">
        <v>5539</v>
      </c>
      <c r="E4716" s="476" t="s">
        <v>34</v>
      </c>
      <c r="F4716" s="475" t="s">
        <v>34</v>
      </c>
      <c r="G4716" s="364">
        <v>95574</v>
      </c>
      <c r="H4716" s="475" t="s">
        <v>3845</v>
      </c>
      <c r="I4716" s="475" t="s">
        <v>171</v>
      </c>
      <c r="J4716" s="475" t="s">
        <v>337</v>
      </c>
      <c r="K4716" s="365">
        <v>29.61</v>
      </c>
      <c r="L4716" s="475" t="s">
        <v>141</v>
      </c>
      <c r="M4716" s="473"/>
    </row>
    <row r="4717" spans="1:13" ht="13.5">
      <c r="A4717" s="475" t="s">
        <v>5516</v>
      </c>
      <c r="B4717" s="475" t="s">
        <v>5517</v>
      </c>
      <c r="C4717" s="475" t="s">
        <v>5496</v>
      </c>
      <c r="D4717" s="475" t="s">
        <v>5539</v>
      </c>
      <c r="E4717" s="476" t="s">
        <v>34</v>
      </c>
      <c r="F4717" s="475" t="s">
        <v>34</v>
      </c>
      <c r="G4717" s="364">
        <v>96559</v>
      </c>
      <c r="H4717" s="475" t="s">
        <v>3846</v>
      </c>
      <c r="I4717" s="475" t="s">
        <v>322</v>
      </c>
      <c r="J4717" s="475" t="s">
        <v>140</v>
      </c>
      <c r="K4717" s="365">
        <v>74.5</v>
      </c>
      <c r="L4717" s="475" t="s">
        <v>141</v>
      </c>
      <c r="M4717" s="473"/>
    </row>
    <row r="4718" spans="1:13" ht="13.5">
      <c r="A4718" s="475" t="s">
        <v>5516</v>
      </c>
      <c r="B4718" s="475" t="s">
        <v>5517</v>
      </c>
      <c r="C4718" s="475" t="s">
        <v>5496</v>
      </c>
      <c r="D4718" s="475" t="s">
        <v>5539</v>
      </c>
      <c r="E4718" s="476" t="s">
        <v>34</v>
      </c>
      <c r="F4718" s="475" t="s">
        <v>34</v>
      </c>
      <c r="G4718" s="364">
        <v>96560</v>
      </c>
      <c r="H4718" s="475" t="s">
        <v>3847</v>
      </c>
      <c r="I4718" s="475" t="s">
        <v>322</v>
      </c>
      <c r="J4718" s="475" t="s">
        <v>140</v>
      </c>
      <c r="K4718" s="365">
        <v>36.93</v>
      </c>
      <c r="L4718" s="475" t="s">
        <v>141</v>
      </c>
      <c r="M4718" s="473"/>
    </row>
    <row r="4719" spans="1:13" ht="13.5">
      <c r="A4719" s="475" t="s">
        <v>5516</v>
      </c>
      <c r="B4719" s="475" t="s">
        <v>5517</v>
      </c>
      <c r="C4719" s="475" t="s">
        <v>5496</v>
      </c>
      <c r="D4719" s="475" t="s">
        <v>5539</v>
      </c>
      <c r="E4719" s="476" t="s">
        <v>34</v>
      </c>
      <c r="F4719" s="475" t="s">
        <v>34</v>
      </c>
      <c r="G4719" s="364">
        <v>96561</v>
      </c>
      <c r="H4719" s="475" t="s">
        <v>3848</v>
      </c>
      <c r="I4719" s="475" t="s">
        <v>322</v>
      </c>
      <c r="J4719" s="475" t="s">
        <v>140</v>
      </c>
      <c r="K4719" s="365">
        <v>22.23</v>
      </c>
      <c r="L4719" s="475" t="s">
        <v>141</v>
      </c>
      <c r="M4719" s="473"/>
    </row>
    <row r="4720" spans="1:13" ht="13.5">
      <c r="A4720" s="475" t="s">
        <v>5516</v>
      </c>
      <c r="B4720" s="475" t="s">
        <v>5517</v>
      </c>
      <c r="C4720" s="475" t="s">
        <v>5496</v>
      </c>
      <c r="D4720" s="475" t="s">
        <v>5539</v>
      </c>
      <c r="E4720" s="476" t="s">
        <v>34</v>
      </c>
      <c r="F4720" s="475" t="s">
        <v>34</v>
      </c>
      <c r="G4720" s="364">
        <v>96562</v>
      </c>
      <c r="H4720" s="475" t="s">
        <v>3849</v>
      </c>
      <c r="I4720" s="475" t="s">
        <v>139</v>
      </c>
      <c r="J4720" s="475" t="s">
        <v>140</v>
      </c>
      <c r="K4720" s="365">
        <v>37.840000000000003</v>
      </c>
      <c r="L4720" s="475" t="s">
        <v>141</v>
      </c>
      <c r="M4720" s="473"/>
    </row>
    <row r="4721" spans="1:13" ht="13.5">
      <c r="A4721" s="475" t="s">
        <v>5516</v>
      </c>
      <c r="B4721" s="475" t="s">
        <v>5517</v>
      </c>
      <c r="C4721" s="475" t="s">
        <v>5496</v>
      </c>
      <c r="D4721" s="475" t="s">
        <v>5539</v>
      </c>
      <c r="E4721" s="476" t="s">
        <v>34</v>
      </c>
      <c r="F4721" s="475" t="s">
        <v>34</v>
      </c>
      <c r="G4721" s="364">
        <v>96563</v>
      </c>
      <c r="H4721" s="475" t="s">
        <v>3850</v>
      </c>
      <c r="I4721" s="475" t="s">
        <v>139</v>
      </c>
      <c r="J4721" s="475" t="s">
        <v>140</v>
      </c>
      <c r="K4721" s="365">
        <v>40.1</v>
      </c>
      <c r="L4721" s="475" t="s">
        <v>141</v>
      </c>
      <c r="M4721" s="473"/>
    </row>
    <row r="4722" spans="1:13" ht="13.5">
      <c r="A4722" s="475" t="s">
        <v>5540</v>
      </c>
      <c r="B4722" s="475" t="s">
        <v>5541</v>
      </c>
      <c r="C4722" s="475" t="s">
        <v>5542</v>
      </c>
      <c r="D4722" s="475" t="s">
        <v>5543</v>
      </c>
      <c r="E4722" s="476">
        <v>73826</v>
      </c>
      <c r="F4722" s="475" t="s">
        <v>5544</v>
      </c>
      <c r="G4722" s="364" t="s">
        <v>3851</v>
      </c>
      <c r="H4722" s="475" t="s">
        <v>3852</v>
      </c>
      <c r="I4722" s="475" t="s">
        <v>171</v>
      </c>
      <c r="J4722" s="475" t="s">
        <v>140</v>
      </c>
      <c r="K4722" s="365">
        <v>370.05</v>
      </c>
      <c r="L4722" s="475" t="s">
        <v>141</v>
      </c>
      <c r="M4722" s="473"/>
    </row>
    <row r="4723" spans="1:13" ht="13.5">
      <c r="A4723" s="475" t="s">
        <v>5540</v>
      </c>
      <c r="B4723" s="475" t="s">
        <v>5541</v>
      </c>
      <c r="C4723" s="475" t="s">
        <v>5542</v>
      </c>
      <c r="D4723" s="475" t="s">
        <v>5543</v>
      </c>
      <c r="E4723" s="476">
        <v>73826</v>
      </c>
      <c r="F4723" s="475" t="s">
        <v>5544</v>
      </c>
      <c r="G4723" s="364" t="s">
        <v>3853</v>
      </c>
      <c r="H4723" s="475" t="s">
        <v>3854</v>
      </c>
      <c r="I4723" s="475" t="s">
        <v>171</v>
      </c>
      <c r="J4723" s="475" t="s">
        <v>140</v>
      </c>
      <c r="K4723" s="365">
        <v>481.06</v>
      </c>
      <c r="L4723" s="475" t="s">
        <v>141</v>
      </c>
      <c r="M4723" s="473"/>
    </row>
    <row r="4724" spans="1:13" ht="13.5">
      <c r="A4724" s="475" t="s">
        <v>5540</v>
      </c>
      <c r="B4724" s="475" t="s">
        <v>5541</v>
      </c>
      <c r="C4724" s="475" t="s">
        <v>5542</v>
      </c>
      <c r="D4724" s="475" t="s">
        <v>5543</v>
      </c>
      <c r="E4724" s="476">
        <v>73834</v>
      </c>
      <c r="F4724" s="475" t="s">
        <v>5545</v>
      </c>
      <c r="G4724" s="364" t="s">
        <v>3855</v>
      </c>
      <c r="H4724" s="475" t="s">
        <v>3856</v>
      </c>
      <c r="I4724" s="475" t="s">
        <v>171</v>
      </c>
      <c r="J4724" s="475" t="s">
        <v>140</v>
      </c>
      <c r="K4724" s="365">
        <v>157.22</v>
      </c>
      <c r="L4724" s="475" t="s">
        <v>141</v>
      </c>
      <c r="M4724" s="473"/>
    </row>
    <row r="4725" spans="1:13" ht="13.5">
      <c r="A4725" s="475" t="s">
        <v>5540</v>
      </c>
      <c r="B4725" s="475" t="s">
        <v>5541</v>
      </c>
      <c r="C4725" s="475" t="s">
        <v>5542</v>
      </c>
      <c r="D4725" s="475" t="s">
        <v>5543</v>
      </c>
      <c r="E4725" s="476">
        <v>73834</v>
      </c>
      <c r="F4725" s="475" t="s">
        <v>5545</v>
      </c>
      <c r="G4725" s="364" t="s">
        <v>3857</v>
      </c>
      <c r="H4725" s="475" t="s">
        <v>3858</v>
      </c>
      <c r="I4725" s="475" t="s">
        <v>171</v>
      </c>
      <c r="J4725" s="475" t="s">
        <v>140</v>
      </c>
      <c r="K4725" s="365">
        <v>251.56</v>
      </c>
      <c r="L4725" s="475" t="s">
        <v>141</v>
      </c>
      <c r="M4725" s="473"/>
    </row>
    <row r="4726" spans="1:13" ht="13.5">
      <c r="A4726" s="475" t="s">
        <v>5540</v>
      </c>
      <c r="B4726" s="475" t="s">
        <v>5541</v>
      </c>
      <c r="C4726" s="475" t="s">
        <v>5542</v>
      </c>
      <c r="D4726" s="475" t="s">
        <v>5543</v>
      </c>
      <c r="E4726" s="476">
        <v>73834</v>
      </c>
      <c r="F4726" s="475" t="s">
        <v>5545</v>
      </c>
      <c r="G4726" s="364" t="s">
        <v>3859</v>
      </c>
      <c r="H4726" s="475" t="s">
        <v>3860</v>
      </c>
      <c r="I4726" s="475" t="s">
        <v>171</v>
      </c>
      <c r="J4726" s="475" t="s">
        <v>140</v>
      </c>
      <c r="K4726" s="365">
        <v>503.12</v>
      </c>
      <c r="L4726" s="475" t="s">
        <v>141</v>
      </c>
      <c r="M4726" s="473"/>
    </row>
    <row r="4727" spans="1:13" ht="13.5">
      <c r="A4727" s="475" t="s">
        <v>5540</v>
      </c>
      <c r="B4727" s="475" t="s">
        <v>5541</v>
      </c>
      <c r="C4727" s="475" t="s">
        <v>5542</v>
      </c>
      <c r="D4727" s="475" t="s">
        <v>5543</v>
      </c>
      <c r="E4727" s="476">
        <v>73834</v>
      </c>
      <c r="F4727" s="475" t="s">
        <v>5545</v>
      </c>
      <c r="G4727" s="364" t="s">
        <v>3861</v>
      </c>
      <c r="H4727" s="475" t="s">
        <v>3862</v>
      </c>
      <c r="I4727" s="475" t="s">
        <v>171</v>
      </c>
      <c r="J4727" s="475" t="s">
        <v>140</v>
      </c>
      <c r="K4727" s="365">
        <v>754.68</v>
      </c>
      <c r="L4727" s="475" t="s">
        <v>141</v>
      </c>
      <c r="M4727" s="473"/>
    </row>
    <row r="4728" spans="1:13" ht="13.5">
      <c r="A4728" s="475" t="s">
        <v>5540</v>
      </c>
      <c r="B4728" s="475" t="s">
        <v>5541</v>
      </c>
      <c r="C4728" s="475" t="s">
        <v>5542</v>
      </c>
      <c r="D4728" s="475" t="s">
        <v>5543</v>
      </c>
      <c r="E4728" s="476">
        <v>73835</v>
      </c>
      <c r="F4728" s="475" t="s">
        <v>5546</v>
      </c>
      <c r="G4728" s="364" t="s">
        <v>3863</v>
      </c>
      <c r="H4728" s="475" t="s">
        <v>3864</v>
      </c>
      <c r="I4728" s="475" t="s">
        <v>171</v>
      </c>
      <c r="J4728" s="475" t="s">
        <v>140</v>
      </c>
      <c r="K4728" s="365">
        <v>976.75</v>
      </c>
      <c r="L4728" s="475" t="s">
        <v>141</v>
      </c>
      <c r="M4728" s="473"/>
    </row>
    <row r="4729" spans="1:13" ht="13.5">
      <c r="A4729" s="475" t="s">
        <v>5540</v>
      </c>
      <c r="B4729" s="475" t="s">
        <v>5541</v>
      </c>
      <c r="C4729" s="475" t="s">
        <v>5542</v>
      </c>
      <c r="D4729" s="475" t="s">
        <v>5543</v>
      </c>
      <c r="E4729" s="476">
        <v>73835</v>
      </c>
      <c r="F4729" s="475" t="s">
        <v>5546</v>
      </c>
      <c r="G4729" s="364" t="s">
        <v>3865</v>
      </c>
      <c r="H4729" s="475" t="s">
        <v>3866</v>
      </c>
      <c r="I4729" s="475" t="s">
        <v>171</v>
      </c>
      <c r="J4729" s="475" t="s">
        <v>140</v>
      </c>
      <c r="K4729" s="365">
        <v>1328.38</v>
      </c>
      <c r="L4729" s="475" t="s">
        <v>141</v>
      </c>
      <c r="M4729" s="473"/>
    </row>
    <row r="4730" spans="1:13" ht="13.5">
      <c r="A4730" s="475" t="s">
        <v>5540</v>
      </c>
      <c r="B4730" s="475" t="s">
        <v>5541</v>
      </c>
      <c r="C4730" s="475" t="s">
        <v>5542</v>
      </c>
      <c r="D4730" s="475" t="s">
        <v>5543</v>
      </c>
      <c r="E4730" s="476">
        <v>73835</v>
      </c>
      <c r="F4730" s="475" t="s">
        <v>5546</v>
      </c>
      <c r="G4730" s="364" t="s">
        <v>3867</v>
      </c>
      <c r="H4730" s="475" t="s">
        <v>3868</v>
      </c>
      <c r="I4730" s="475" t="s">
        <v>171</v>
      </c>
      <c r="J4730" s="475" t="s">
        <v>140</v>
      </c>
      <c r="K4730" s="365">
        <v>1484.66</v>
      </c>
      <c r="L4730" s="475" t="s">
        <v>141</v>
      </c>
      <c r="M4730" s="473"/>
    </row>
    <row r="4731" spans="1:13" ht="13.5">
      <c r="A4731" s="475" t="s">
        <v>5540</v>
      </c>
      <c r="B4731" s="475" t="s">
        <v>5541</v>
      </c>
      <c r="C4731" s="475" t="s">
        <v>5542</v>
      </c>
      <c r="D4731" s="475" t="s">
        <v>5543</v>
      </c>
      <c r="E4731" s="476">
        <v>73836</v>
      </c>
      <c r="F4731" s="475" t="s">
        <v>5547</v>
      </c>
      <c r="G4731" s="364" t="s">
        <v>3869</v>
      </c>
      <c r="H4731" s="475" t="s">
        <v>3870</v>
      </c>
      <c r="I4731" s="475" t="s">
        <v>171</v>
      </c>
      <c r="J4731" s="475" t="s">
        <v>140</v>
      </c>
      <c r="K4731" s="365">
        <v>390.7</v>
      </c>
      <c r="L4731" s="475" t="s">
        <v>141</v>
      </c>
      <c r="M4731" s="473"/>
    </row>
    <row r="4732" spans="1:13" ht="13.5">
      <c r="A4732" s="475" t="s">
        <v>5540</v>
      </c>
      <c r="B4732" s="475" t="s">
        <v>5541</v>
      </c>
      <c r="C4732" s="475" t="s">
        <v>5542</v>
      </c>
      <c r="D4732" s="475" t="s">
        <v>5543</v>
      </c>
      <c r="E4732" s="476">
        <v>73836</v>
      </c>
      <c r="F4732" s="475" t="s">
        <v>5547</v>
      </c>
      <c r="G4732" s="364" t="s">
        <v>3871</v>
      </c>
      <c r="H4732" s="475" t="s">
        <v>3872</v>
      </c>
      <c r="I4732" s="475" t="s">
        <v>171</v>
      </c>
      <c r="J4732" s="475" t="s">
        <v>140</v>
      </c>
      <c r="K4732" s="365">
        <v>507.91</v>
      </c>
      <c r="L4732" s="475" t="s">
        <v>141</v>
      </c>
      <c r="M4732" s="473"/>
    </row>
    <row r="4733" spans="1:13" ht="13.5">
      <c r="A4733" s="475" t="s">
        <v>5540</v>
      </c>
      <c r="B4733" s="475" t="s">
        <v>5541</v>
      </c>
      <c r="C4733" s="475" t="s">
        <v>5542</v>
      </c>
      <c r="D4733" s="475" t="s">
        <v>5543</v>
      </c>
      <c r="E4733" s="476">
        <v>73836</v>
      </c>
      <c r="F4733" s="475" t="s">
        <v>5547</v>
      </c>
      <c r="G4733" s="364" t="s">
        <v>3873</v>
      </c>
      <c r="H4733" s="475" t="s">
        <v>3874</v>
      </c>
      <c r="I4733" s="475" t="s">
        <v>171</v>
      </c>
      <c r="J4733" s="475" t="s">
        <v>140</v>
      </c>
      <c r="K4733" s="365">
        <v>781.4</v>
      </c>
      <c r="L4733" s="475" t="s">
        <v>141</v>
      </c>
      <c r="M4733" s="473"/>
    </row>
    <row r="4734" spans="1:13" ht="13.5">
      <c r="A4734" s="475" t="s">
        <v>5540</v>
      </c>
      <c r="B4734" s="475" t="s">
        <v>5541</v>
      </c>
      <c r="C4734" s="475" t="s">
        <v>5542</v>
      </c>
      <c r="D4734" s="475" t="s">
        <v>5543</v>
      </c>
      <c r="E4734" s="476">
        <v>73836</v>
      </c>
      <c r="F4734" s="475" t="s">
        <v>5547</v>
      </c>
      <c r="G4734" s="364" t="s">
        <v>3875</v>
      </c>
      <c r="H4734" s="475" t="s">
        <v>3876</v>
      </c>
      <c r="I4734" s="475" t="s">
        <v>171</v>
      </c>
      <c r="J4734" s="475" t="s">
        <v>140</v>
      </c>
      <c r="K4734" s="365">
        <v>1250.24</v>
      </c>
      <c r="L4734" s="475" t="s">
        <v>141</v>
      </c>
      <c r="M4734" s="473"/>
    </row>
    <row r="4735" spans="1:13" ht="13.5">
      <c r="A4735" s="475" t="s">
        <v>5540</v>
      </c>
      <c r="B4735" s="475" t="s">
        <v>5541</v>
      </c>
      <c r="C4735" s="475" t="s">
        <v>5542</v>
      </c>
      <c r="D4735" s="475" t="s">
        <v>5543</v>
      </c>
      <c r="E4735" s="476">
        <v>73837</v>
      </c>
      <c r="F4735" s="475" t="s">
        <v>5548</v>
      </c>
      <c r="G4735" s="364" t="s">
        <v>3877</v>
      </c>
      <c r="H4735" s="475" t="s">
        <v>3878</v>
      </c>
      <c r="I4735" s="475" t="s">
        <v>171</v>
      </c>
      <c r="J4735" s="475" t="s">
        <v>140</v>
      </c>
      <c r="K4735" s="365">
        <v>157.22</v>
      </c>
      <c r="L4735" s="475" t="s">
        <v>141</v>
      </c>
      <c r="M4735" s="473"/>
    </row>
    <row r="4736" spans="1:13" ht="13.5">
      <c r="A4736" s="475" t="s">
        <v>5540</v>
      </c>
      <c r="B4736" s="475" t="s">
        <v>5541</v>
      </c>
      <c r="C4736" s="475" t="s">
        <v>5542</v>
      </c>
      <c r="D4736" s="475" t="s">
        <v>5543</v>
      </c>
      <c r="E4736" s="476">
        <v>73837</v>
      </c>
      <c r="F4736" s="475" t="s">
        <v>5548</v>
      </c>
      <c r="G4736" s="364" t="s">
        <v>3879</v>
      </c>
      <c r="H4736" s="475" t="s">
        <v>3880</v>
      </c>
      <c r="I4736" s="475" t="s">
        <v>171</v>
      </c>
      <c r="J4736" s="475" t="s">
        <v>140</v>
      </c>
      <c r="K4736" s="365">
        <v>314.45</v>
      </c>
      <c r="L4736" s="475" t="s">
        <v>141</v>
      </c>
      <c r="M4736" s="473"/>
    </row>
    <row r="4737" spans="1:13" ht="13.5">
      <c r="A4737" s="475" t="s">
        <v>5540</v>
      </c>
      <c r="B4737" s="475" t="s">
        <v>5541</v>
      </c>
      <c r="C4737" s="475" t="s">
        <v>5542</v>
      </c>
      <c r="D4737" s="475" t="s">
        <v>5543</v>
      </c>
      <c r="E4737" s="476">
        <v>73837</v>
      </c>
      <c r="F4737" s="475" t="s">
        <v>5548</v>
      </c>
      <c r="G4737" s="364" t="s">
        <v>3881</v>
      </c>
      <c r="H4737" s="475" t="s">
        <v>3882</v>
      </c>
      <c r="I4737" s="475" t="s">
        <v>171</v>
      </c>
      <c r="J4737" s="475" t="s">
        <v>140</v>
      </c>
      <c r="K4737" s="365">
        <v>628.9</v>
      </c>
      <c r="L4737" s="475" t="s">
        <v>141</v>
      </c>
      <c r="M4737" s="473"/>
    </row>
    <row r="4738" spans="1:13" ht="13.5">
      <c r="A4738" s="475" t="s">
        <v>5540</v>
      </c>
      <c r="B4738" s="475" t="s">
        <v>5541</v>
      </c>
      <c r="C4738" s="475" t="s">
        <v>5549</v>
      </c>
      <c r="D4738" s="475" t="s">
        <v>5550</v>
      </c>
      <c r="E4738" s="476" t="s">
        <v>34</v>
      </c>
      <c r="F4738" s="475" t="s">
        <v>34</v>
      </c>
      <c r="G4738" s="364">
        <v>73612</v>
      </c>
      <c r="H4738" s="475" t="s">
        <v>3883</v>
      </c>
      <c r="I4738" s="475" t="s">
        <v>171</v>
      </c>
      <c r="J4738" s="475" t="s">
        <v>337</v>
      </c>
      <c r="K4738" s="365">
        <v>294.7</v>
      </c>
      <c r="L4738" s="475" t="s">
        <v>141</v>
      </c>
      <c r="M4738" s="473"/>
    </row>
    <row r="4739" spans="1:13" ht="13.5">
      <c r="A4739" s="475" t="s">
        <v>5540</v>
      </c>
      <c r="B4739" s="475" t="s">
        <v>5541</v>
      </c>
      <c r="C4739" s="475" t="s">
        <v>5549</v>
      </c>
      <c r="D4739" s="475" t="s">
        <v>5550</v>
      </c>
      <c r="E4739" s="476" t="s">
        <v>34</v>
      </c>
      <c r="F4739" s="475" t="s">
        <v>34</v>
      </c>
      <c r="G4739" s="364">
        <v>73660</v>
      </c>
      <c r="H4739" s="475" t="s">
        <v>3884</v>
      </c>
      <c r="I4739" s="475" t="s">
        <v>322</v>
      </c>
      <c r="J4739" s="475" t="s">
        <v>337</v>
      </c>
      <c r="K4739" s="365">
        <v>71.16</v>
      </c>
      <c r="L4739" s="475" t="s">
        <v>141</v>
      </c>
      <c r="M4739" s="473"/>
    </row>
    <row r="4740" spans="1:13" ht="13.5">
      <c r="A4740" s="475" t="s">
        <v>5540</v>
      </c>
      <c r="B4740" s="475" t="s">
        <v>5541</v>
      </c>
      <c r="C4740" s="475" t="s">
        <v>5549</v>
      </c>
      <c r="D4740" s="475" t="s">
        <v>5550</v>
      </c>
      <c r="E4740" s="476" t="s">
        <v>34</v>
      </c>
      <c r="F4740" s="475" t="s">
        <v>34</v>
      </c>
      <c r="G4740" s="364">
        <v>73693</v>
      </c>
      <c r="H4740" s="475" t="s">
        <v>3885</v>
      </c>
      <c r="I4740" s="475" t="s">
        <v>322</v>
      </c>
      <c r="J4740" s="475" t="s">
        <v>337</v>
      </c>
      <c r="K4740" s="365">
        <v>19.5</v>
      </c>
      <c r="L4740" s="475" t="s">
        <v>141</v>
      </c>
      <c r="M4740" s="473"/>
    </row>
    <row r="4741" spans="1:13" ht="13.5">
      <c r="A4741" s="475" t="s">
        <v>5540</v>
      </c>
      <c r="B4741" s="475" t="s">
        <v>5541</v>
      </c>
      <c r="C4741" s="475" t="s">
        <v>5549</v>
      </c>
      <c r="D4741" s="475" t="s">
        <v>5550</v>
      </c>
      <c r="E4741" s="476" t="s">
        <v>34</v>
      </c>
      <c r="F4741" s="475" t="s">
        <v>34</v>
      </c>
      <c r="G4741" s="364">
        <v>73694</v>
      </c>
      <c r="H4741" s="475" t="s">
        <v>3886</v>
      </c>
      <c r="I4741" s="475" t="s">
        <v>171</v>
      </c>
      <c r="J4741" s="475" t="s">
        <v>337</v>
      </c>
      <c r="K4741" s="365">
        <v>120.78</v>
      </c>
      <c r="L4741" s="475" t="s">
        <v>141</v>
      </c>
      <c r="M4741" s="473"/>
    </row>
    <row r="4742" spans="1:13" ht="13.5">
      <c r="A4742" s="475" t="s">
        <v>5540</v>
      </c>
      <c r="B4742" s="475" t="s">
        <v>5541</v>
      </c>
      <c r="C4742" s="475" t="s">
        <v>5549</v>
      </c>
      <c r="D4742" s="475" t="s">
        <v>5550</v>
      </c>
      <c r="E4742" s="476" t="s">
        <v>34</v>
      </c>
      <c r="F4742" s="475" t="s">
        <v>34</v>
      </c>
      <c r="G4742" s="364">
        <v>73695</v>
      </c>
      <c r="H4742" s="475" t="s">
        <v>3887</v>
      </c>
      <c r="I4742" s="475" t="s">
        <v>171</v>
      </c>
      <c r="J4742" s="475" t="s">
        <v>337</v>
      </c>
      <c r="K4742" s="365">
        <v>62.11</v>
      </c>
      <c r="L4742" s="475" t="s">
        <v>141</v>
      </c>
      <c r="M4742" s="473"/>
    </row>
    <row r="4743" spans="1:13" ht="13.5">
      <c r="A4743" s="475" t="s">
        <v>5540</v>
      </c>
      <c r="B4743" s="475" t="s">
        <v>5541</v>
      </c>
      <c r="C4743" s="475" t="s">
        <v>5549</v>
      </c>
      <c r="D4743" s="475" t="s">
        <v>5550</v>
      </c>
      <c r="E4743" s="476">
        <v>73824</v>
      </c>
      <c r="F4743" s="475" t="s">
        <v>5551</v>
      </c>
      <c r="G4743" s="364" t="s">
        <v>3888</v>
      </c>
      <c r="H4743" s="475" t="s">
        <v>3889</v>
      </c>
      <c r="I4743" s="475" t="s">
        <v>171</v>
      </c>
      <c r="J4743" s="475" t="s">
        <v>337</v>
      </c>
      <c r="K4743" s="365">
        <v>294.7</v>
      </c>
      <c r="L4743" s="475" t="s">
        <v>141</v>
      </c>
      <c r="M4743" s="473"/>
    </row>
    <row r="4744" spans="1:13" ht="13.5">
      <c r="A4744" s="475" t="s">
        <v>5540</v>
      </c>
      <c r="B4744" s="475" t="s">
        <v>5541</v>
      </c>
      <c r="C4744" s="475" t="s">
        <v>5549</v>
      </c>
      <c r="D4744" s="475" t="s">
        <v>5550</v>
      </c>
      <c r="E4744" s="476">
        <v>73825</v>
      </c>
      <c r="F4744" s="475" t="s">
        <v>5552</v>
      </c>
      <c r="G4744" s="364" t="s">
        <v>3890</v>
      </c>
      <c r="H4744" s="475" t="s">
        <v>3891</v>
      </c>
      <c r="I4744" s="475" t="s">
        <v>322</v>
      </c>
      <c r="J4744" s="475" t="s">
        <v>337</v>
      </c>
      <c r="K4744" s="365">
        <v>911.22</v>
      </c>
      <c r="L4744" s="475" t="s">
        <v>141</v>
      </c>
      <c r="M4744" s="473"/>
    </row>
    <row r="4745" spans="1:13" ht="13.5">
      <c r="A4745" s="475" t="s">
        <v>5540</v>
      </c>
      <c r="B4745" s="475" t="s">
        <v>5541</v>
      </c>
      <c r="C4745" s="475" t="s">
        <v>5549</v>
      </c>
      <c r="D4745" s="475" t="s">
        <v>5550</v>
      </c>
      <c r="E4745" s="476">
        <v>73873</v>
      </c>
      <c r="F4745" s="475" t="s">
        <v>5553</v>
      </c>
      <c r="G4745" s="364" t="s">
        <v>3892</v>
      </c>
      <c r="H4745" s="475" t="s">
        <v>3893</v>
      </c>
      <c r="I4745" s="475" t="s">
        <v>1261</v>
      </c>
      <c r="J4745" s="475" t="s">
        <v>363</v>
      </c>
      <c r="K4745" s="365">
        <v>70.61</v>
      </c>
      <c r="L4745" s="475" t="s">
        <v>141</v>
      </c>
      <c r="M4745" s="473"/>
    </row>
    <row r="4746" spans="1:13" ht="13.5">
      <c r="A4746" s="475" t="s">
        <v>5540</v>
      </c>
      <c r="B4746" s="475" t="s">
        <v>5541</v>
      </c>
      <c r="C4746" s="475" t="s">
        <v>5549</v>
      </c>
      <c r="D4746" s="475" t="s">
        <v>5550</v>
      </c>
      <c r="E4746" s="476">
        <v>73873</v>
      </c>
      <c r="F4746" s="475" t="s">
        <v>5553</v>
      </c>
      <c r="G4746" s="364" t="s">
        <v>3894</v>
      </c>
      <c r="H4746" s="475" t="s">
        <v>3895</v>
      </c>
      <c r="I4746" s="475" t="s">
        <v>1261</v>
      </c>
      <c r="J4746" s="475" t="s">
        <v>337</v>
      </c>
      <c r="K4746" s="365">
        <v>177.62</v>
      </c>
      <c r="L4746" s="475" t="s">
        <v>141</v>
      </c>
      <c r="M4746" s="473"/>
    </row>
    <row r="4747" spans="1:13" ht="13.5">
      <c r="A4747" s="475" t="s">
        <v>5540</v>
      </c>
      <c r="B4747" s="475" t="s">
        <v>5541</v>
      </c>
      <c r="C4747" s="475" t="s">
        <v>5549</v>
      </c>
      <c r="D4747" s="475" t="s">
        <v>5550</v>
      </c>
      <c r="E4747" s="476">
        <v>73873</v>
      </c>
      <c r="F4747" s="475" t="s">
        <v>5553</v>
      </c>
      <c r="G4747" s="364" t="s">
        <v>3896</v>
      </c>
      <c r="H4747" s="475" t="s">
        <v>3897</v>
      </c>
      <c r="I4747" s="475" t="s">
        <v>1261</v>
      </c>
      <c r="J4747" s="475" t="s">
        <v>363</v>
      </c>
      <c r="K4747" s="365">
        <v>70.61</v>
      </c>
      <c r="L4747" s="475" t="s">
        <v>141</v>
      </c>
      <c r="M4747" s="473"/>
    </row>
    <row r="4748" spans="1:13" ht="13.5">
      <c r="A4748" s="475" t="s">
        <v>5540</v>
      </c>
      <c r="B4748" s="475" t="s">
        <v>5541</v>
      </c>
      <c r="C4748" s="475" t="s">
        <v>5549</v>
      </c>
      <c r="D4748" s="475" t="s">
        <v>5550</v>
      </c>
      <c r="E4748" s="476">
        <v>73873</v>
      </c>
      <c r="F4748" s="475" t="s">
        <v>5553</v>
      </c>
      <c r="G4748" s="364" t="s">
        <v>3898</v>
      </c>
      <c r="H4748" s="475" t="s">
        <v>3899</v>
      </c>
      <c r="I4748" s="475" t="s">
        <v>1261</v>
      </c>
      <c r="J4748" s="475" t="s">
        <v>363</v>
      </c>
      <c r="K4748" s="365">
        <v>77.34</v>
      </c>
      <c r="L4748" s="475" t="s">
        <v>141</v>
      </c>
      <c r="M4748" s="473"/>
    </row>
    <row r="4749" spans="1:13" ht="13.5">
      <c r="A4749" s="475" t="s">
        <v>5540</v>
      </c>
      <c r="B4749" s="475" t="s">
        <v>5541</v>
      </c>
      <c r="C4749" s="475" t="s">
        <v>5549</v>
      </c>
      <c r="D4749" s="475" t="s">
        <v>5550</v>
      </c>
      <c r="E4749" s="476">
        <v>73873</v>
      </c>
      <c r="F4749" s="475" t="s">
        <v>5553</v>
      </c>
      <c r="G4749" s="364" t="s">
        <v>3900</v>
      </c>
      <c r="H4749" s="475" t="s">
        <v>3901</v>
      </c>
      <c r="I4749" s="475" t="s">
        <v>1261</v>
      </c>
      <c r="J4749" s="475" t="s">
        <v>363</v>
      </c>
      <c r="K4749" s="365">
        <v>70.61</v>
      </c>
      <c r="L4749" s="475" t="s">
        <v>141</v>
      </c>
      <c r="M4749" s="473"/>
    </row>
    <row r="4750" spans="1:13" ht="13.5">
      <c r="A4750" s="475" t="s">
        <v>5554</v>
      </c>
      <c r="B4750" s="475" t="s">
        <v>5555</v>
      </c>
      <c r="C4750" s="475" t="s">
        <v>5556</v>
      </c>
      <c r="D4750" s="475" t="s">
        <v>5557</v>
      </c>
      <c r="E4750" s="476">
        <v>73827</v>
      </c>
      <c r="F4750" s="475" t="s">
        <v>5558</v>
      </c>
      <c r="G4750" s="364" t="s">
        <v>3902</v>
      </c>
      <c r="H4750" s="475" t="s">
        <v>3903</v>
      </c>
      <c r="I4750" s="475" t="s">
        <v>171</v>
      </c>
      <c r="J4750" s="475" t="s">
        <v>337</v>
      </c>
      <c r="K4750" s="365">
        <v>70.73</v>
      </c>
      <c r="L4750" s="475" t="s">
        <v>141</v>
      </c>
      <c r="M4750" s="473"/>
    </row>
    <row r="4751" spans="1:13" ht="13.5">
      <c r="A4751" s="475" t="s">
        <v>5554</v>
      </c>
      <c r="B4751" s="475" t="s">
        <v>5555</v>
      </c>
      <c r="C4751" s="475" t="s">
        <v>5556</v>
      </c>
      <c r="D4751" s="475" t="s">
        <v>5557</v>
      </c>
      <c r="E4751" s="476">
        <v>74218</v>
      </c>
      <c r="F4751" s="475" t="s">
        <v>5559</v>
      </c>
      <c r="G4751" s="364" t="s">
        <v>3904</v>
      </c>
      <c r="H4751" s="475" t="s">
        <v>3905</v>
      </c>
      <c r="I4751" s="475" t="s">
        <v>171</v>
      </c>
      <c r="J4751" s="475" t="s">
        <v>337</v>
      </c>
      <c r="K4751" s="365">
        <v>68.97</v>
      </c>
      <c r="L4751" s="475" t="s">
        <v>141</v>
      </c>
      <c r="M4751" s="473"/>
    </row>
    <row r="4752" spans="1:13" ht="13.5">
      <c r="A4752" s="475" t="s">
        <v>5554</v>
      </c>
      <c r="B4752" s="475" t="s">
        <v>5555</v>
      </c>
      <c r="C4752" s="475" t="s">
        <v>5556</v>
      </c>
      <c r="D4752" s="475" t="s">
        <v>5557</v>
      </c>
      <c r="E4752" s="476">
        <v>74253</v>
      </c>
      <c r="F4752" s="475" t="s">
        <v>5560</v>
      </c>
      <c r="G4752" s="364" t="s">
        <v>3906</v>
      </c>
      <c r="H4752" s="475" t="s">
        <v>3907</v>
      </c>
      <c r="I4752" s="475" t="s">
        <v>139</v>
      </c>
      <c r="J4752" s="475" t="s">
        <v>140</v>
      </c>
      <c r="K4752" s="365">
        <v>21.02</v>
      </c>
      <c r="L4752" s="475" t="s">
        <v>141</v>
      </c>
      <c r="M4752" s="473"/>
    </row>
    <row r="4753" spans="1:13" ht="13.5">
      <c r="A4753" s="475" t="s">
        <v>5554</v>
      </c>
      <c r="B4753" s="475" t="s">
        <v>5555</v>
      </c>
      <c r="C4753" s="475" t="s">
        <v>5556</v>
      </c>
      <c r="D4753" s="475" t="s">
        <v>5557</v>
      </c>
      <c r="E4753" s="476" t="s">
        <v>34</v>
      </c>
      <c r="F4753" s="475" t="s">
        <v>34</v>
      </c>
      <c r="G4753" s="364">
        <v>83878</v>
      </c>
      <c r="H4753" s="475" t="s">
        <v>3908</v>
      </c>
      <c r="I4753" s="475" t="s">
        <v>171</v>
      </c>
      <c r="J4753" s="475" t="s">
        <v>140</v>
      </c>
      <c r="K4753" s="365">
        <v>49.45</v>
      </c>
      <c r="L4753" s="475" t="s">
        <v>141</v>
      </c>
      <c r="M4753" s="473"/>
    </row>
    <row r="4754" spans="1:13" ht="13.5">
      <c r="A4754" s="475" t="s">
        <v>5554</v>
      </c>
      <c r="B4754" s="475" t="s">
        <v>5555</v>
      </c>
      <c r="C4754" s="475" t="s">
        <v>5556</v>
      </c>
      <c r="D4754" s="475" t="s">
        <v>5557</v>
      </c>
      <c r="E4754" s="476" t="s">
        <v>34</v>
      </c>
      <c r="F4754" s="475" t="s">
        <v>34</v>
      </c>
      <c r="G4754" s="364">
        <v>83879</v>
      </c>
      <c r="H4754" s="475" t="s">
        <v>3909</v>
      </c>
      <c r="I4754" s="475" t="s">
        <v>171</v>
      </c>
      <c r="J4754" s="475" t="s">
        <v>140</v>
      </c>
      <c r="K4754" s="365">
        <v>56.15</v>
      </c>
      <c r="L4754" s="475" t="s">
        <v>141</v>
      </c>
      <c r="M4754" s="473"/>
    </row>
    <row r="4755" spans="1:13" ht="13.5">
      <c r="A4755" s="475" t="s">
        <v>5554</v>
      </c>
      <c r="B4755" s="475" t="s">
        <v>5555</v>
      </c>
      <c r="C4755" s="475" t="s">
        <v>5561</v>
      </c>
      <c r="D4755" s="475" t="s">
        <v>5562</v>
      </c>
      <c r="E4755" s="476" t="s">
        <v>34</v>
      </c>
      <c r="F4755" s="475" t="s">
        <v>34</v>
      </c>
      <c r="G4755" s="364">
        <v>73658</v>
      </c>
      <c r="H4755" s="475" t="s">
        <v>3910</v>
      </c>
      <c r="I4755" s="475" t="s">
        <v>171</v>
      </c>
      <c r="J4755" s="475" t="s">
        <v>337</v>
      </c>
      <c r="K4755" s="365">
        <v>488.11</v>
      </c>
      <c r="L4755" s="475" t="s">
        <v>141</v>
      </c>
      <c r="M4755" s="473"/>
    </row>
    <row r="4756" spans="1:13" ht="13.5">
      <c r="A4756" s="475" t="s">
        <v>5554</v>
      </c>
      <c r="B4756" s="475" t="s">
        <v>5555</v>
      </c>
      <c r="C4756" s="475" t="s">
        <v>5561</v>
      </c>
      <c r="D4756" s="475" t="s">
        <v>5562</v>
      </c>
      <c r="E4756" s="476" t="s">
        <v>34</v>
      </c>
      <c r="F4756" s="475" t="s">
        <v>34</v>
      </c>
      <c r="G4756" s="364">
        <v>93350</v>
      </c>
      <c r="H4756" s="475" t="s">
        <v>3911</v>
      </c>
      <c r="I4756" s="475" t="s">
        <v>171</v>
      </c>
      <c r="J4756" s="475" t="s">
        <v>140</v>
      </c>
      <c r="K4756" s="365">
        <v>754.5</v>
      </c>
      <c r="L4756" s="475" t="s">
        <v>141</v>
      </c>
      <c r="M4756" s="473"/>
    </row>
    <row r="4757" spans="1:13" ht="13.5">
      <c r="A4757" s="475" t="s">
        <v>5554</v>
      </c>
      <c r="B4757" s="475" t="s">
        <v>5555</v>
      </c>
      <c r="C4757" s="475" t="s">
        <v>5561</v>
      </c>
      <c r="D4757" s="475" t="s">
        <v>5562</v>
      </c>
      <c r="E4757" s="476" t="s">
        <v>34</v>
      </c>
      <c r="F4757" s="475" t="s">
        <v>34</v>
      </c>
      <c r="G4757" s="364">
        <v>93351</v>
      </c>
      <c r="H4757" s="475" t="s">
        <v>3912</v>
      </c>
      <c r="I4757" s="475" t="s">
        <v>171</v>
      </c>
      <c r="J4757" s="475" t="s">
        <v>140</v>
      </c>
      <c r="K4757" s="365">
        <v>615.37</v>
      </c>
      <c r="L4757" s="475" t="s">
        <v>141</v>
      </c>
      <c r="M4757" s="473"/>
    </row>
    <row r="4758" spans="1:13" ht="13.5">
      <c r="A4758" s="475" t="s">
        <v>5554</v>
      </c>
      <c r="B4758" s="475" t="s">
        <v>5555</v>
      </c>
      <c r="C4758" s="475" t="s">
        <v>5561</v>
      </c>
      <c r="D4758" s="475" t="s">
        <v>5562</v>
      </c>
      <c r="E4758" s="476" t="s">
        <v>34</v>
      </c>
      <c r="F4758" s="475" t="s">
        <v>34</v>
      </c>
      <c r="G4758" s="364">
        <v>93352</v>
      </c>
      <c r="H4758" s="475" t="s">
        <v>3913</v>
      </c>
      <c r="I4758" s="475" t="s">
        <v>171</v>
      </c>
      <c r="J4758" s="475" t="s">
        <v>140</v>
      </c>
      <c r="K4758" s="365">
        <v>476.96</v>
      </c>
      <c r="L4758" s="475" t="s">
        <v>141</v>
      </c>
      <c r="M4758" s="473"/>
    </row>
    <row r="4759" spans="1:13" ht="13.5">
      <c r="A4759" s="475" t="s">
        <v>5554</v>
      </c>
      <c r="B4759" s="475" t="s">
        <v>5555</v>
      </c>
      <c r="C4759" s="475" t="s">
        <v>5561</v>
      </c>
      <c r="D4759" s="475" t="s">
        <v>5562</v>
      </c>
      <c r="E4759" s="476" t="s">
        <v>34</v>
      </c>
      <c r="F4759" s="475" t="s">
        <v>34</v>
      </c>
      <c r="G4759" s="364">
        <v>93353</v>
      </c>
      <c r="H4759" s="475" t="s">
        <v>3914</v>
      </c>
      <c r="I4759" s="475" t="s">
        <v>171</v>
      </c>
      <c r="J4759" s="475" t="s">
        <v>140</v>
      </c>
      <c r="K4759" s="365">
        <v>341.81</v>
      </c>
      <c r="L4759" s="475" t="s">
        <v>141</v>
      </c>
      <c r="M4759" s="473"/>
    </row>
    <row r="4760" spans="1:13" ht="13.5">
      <c r="A4760" s="475" t="s">
        <v>5554</v>
      </c>
      <c r="B4760" s="475" t="s">
        <v>5555</v>
      </c>
      <c r="C4760" s="475" t="s">
        <v>5561</v>
      </c>
      <c r="D4760" s="475" t="s">
        <v>5562</v>
      </c>
      <c r="E4760" s="476" t="s">
        <v>34</v>
      </c>
      <c r="F4760" s="475" t="s">
        <v>34</v>
      </c>
      <c r="G4760" s="364">
        <v>93354</v>
      </c>
      <c r="H4760" s="475" t="s">
        <v>3915</v>
      </c>
      <c r="I4760" s="475" t="s">
        <v>171</v>
      </c>
      <c r="J4760" s="475" t="s">
        <v>140</v>
      </c>
      <c r="K4760" s="365">
        <v>506.33</v>
      </c>
      <c r="L4760" s="475" t="s">
        <v>141</v>
      </c>
      <c r="M4760" s="473"/>
    </row>
    <row r="4761" spans="1:13" ht="13.5">
      <c r="A4761" s="475" t="s">
        <v>5554</v>
      </c>
      <c r="B4761" s="475" t="s">
        <v>5555</v>
      </c>
      <c r="C4761" s="475" t="s">
        <v>5561</v>
      </c>
      <c r="D4761" s="475" t="s">
        <v>5562</v>
      </c>
      <c r="E4761" s="476" t="s">
        <v>34</v>
      </c>
      <c r="F4761" s="475" t="s">
        <v>34</v>
      </c>
      <c r="G4761" s="364">
        <v>93355</v>
      </c>
      <c r="H4761" s="475" t="s">
        <v>3916</v>
      </c>
      <c r="I4761" s="475" t="s">
        <v>171</v>
      </c>
      <c r="J4761" s="475" t="s">
        <v>140</v>
      </c>
      <c r="K4761" s="365">
        <v>419.74</v>
      </c>
      <c r="L4761" s="475" t="s">
        <v>141</v>
      </c>
      <c r="M4761" s="473"/>
    </row>
    <row r="4762" spans="1:13" ht="13.5">
      <c r="A4762" s="475" t="s">
        <v>5554</v>
      </c>
      <c r="B4762" s="475" t="s">
        <v>5555</v>
      </c>
      <c r="C4762" s="475" t="s">
        <v>5561</v>
      </c>
      <c r="D4762" s="475" t="s">
        <v>5562</v>
      </c>
      <c r="E4762" s="476" t="s">
        <v>34</v>
      </c>
      <c r="F4762" s="475" t="s">
        <v>34</v>
      </c>
      <c r="G4762" s="364">
        <v>93356</v>
      </c>
      <c r="H4762" s="475" t="s">
        <v>3917</v>
      </c>
      <c r="I4762" s="475" t="s">
        <v>171</v>
      </c>
      <c r="J4762" s="475" t="s">
        <v>140</v>
      </c>
      <c r="K4762" s="365">
        <v>332.42</v>
      </c>
      <c r="L4762" s="475" t="s">
        <v>141</v>
      </c>
      <c r="M4762" s="473"/>
    </row>
    <row r="4763" spans="1:13" ht="13.5">
      <c r="A4763" s="475" t="s">
        <v>5554</v>
      </c>
      <c r="B4763" s="475" t="s">
        <v>5555</v>
      </c>
      <c r="C4763" s="475" t="s">
        <v>5561</v>
      </c>
      <c r="D4763" s="475" t="s">
        <v>5562</v>
      </c>
      <c r="E4763" s="476" t="s">
        <v>34</v>
      </c>
      <c r="F4763" s="475" t="s">
        <v>34</v>
      </c>
      <c r="G4763" s="364">
        <v>93357</v>
      </c>
      <c r="H4763" s="475" t="s">
        <v>3918</v>
      </c>
      <c r="I4763" s="475" t="s">
        <v>171</v>
      </c>
      <c r="J4763" s="475" t="s">
        <v>140</v>
      </c>
      <c r="K4763" s="365">
        <v>246.9</v>
      </c>
      <c r="L4763" s="475" t="s">
        <v>141</v>
      </c>
      <c r="M4763" s="473"/>
    </row>
    <row r="4764" spans="1:13" ht="13.5">
      <c r="A4764" s="475" t="s">
        <v>5563</v>
      </c>
      <c r="B4764" s="475" t="s">
        <v>5564</v>
      </c>
      <c r="C4764" s="475" t="s">
        <v>5565</v>
      </c>
      <c r="D4764" s="475" t="s">
        <v>5566</v>
      </c>
      <c r="E4764" s="476" t="s">
        <v>34</v>
      </c>
      <c r="F4764" s="475" t="s">
        <v>34</v>
      </c>
      <c r="G4764" s="364">
        <v>83335</v>
      </c>
      <c r="H4764" s="475" t="s">
        <v>3919</v>
      </c>
      <c r="I4764" s="475" t="s">
        <v>1261</v>
      </c>
      <c r="J4764" s="475" t="s">
        <v>140</v>
      </c>
      <c r="K4764" s="365">
        <v>38.1</v>
      </c>
      <c r="L4764" s="475" t="s">
        <v>141</v>
      </c>
      <c r="M4764" s="473"/>
    </row>
    <row r="4765" spans="1:13" ht="13.5">
      <c r="A4765" s="475" t="s">
        <v>5563</v>
      </c>
      <c r="B4765" s="475" t="s">
        <v>5564</v>
      </c>
      <c r="C4765" s="475" t="s">
        <v>5565</v>
      </c>
      <c r="D4765" s="475" t="s">
        <v>5566</v>
      </c>
      <c r="E4765" s="476" t="s">
        <v>34</v>
      </c>
      <c r="F4765" s="475" t="s">
        <v>34</v>
      </c>
      <c r="G4765" s="364">
        <v>88548</v>
      </c>
      <c r="H4765" s="475" t="s">
        <v>3920</v>
      </c>
      <c r="I4765" s="475" t="s">
        <v>1261</v>
      </c>
      <c r="J4765" s="475" t="s">
        <v>140</v>
      </c>
      <c r="K4765" s="365">
        <v>25.25</v>
      </c>
      <c r="L4765" s="475" t="s">
        <v>141</v>
      </c>
      <c r="M4765" s="473"/>
    </row>
    <row r="4766" spans="1:13" ht="13.5">
      <c r="A4766" s="475" t="s">
        <v>5563</v>
      </c>
      <c r="B4766" s="475" t="s">
        <v>5564</v>
      </c>
      <c r="C4766" s="475" t="s">
        <v>5567</v>
      </c>
      <c r="D4766" s="475" t="s">
        <v>5568</v>
      </c>
      <c r="E4766" s="476">
        <v>73903</v>
      </c>
      <c r="F4766" s="475" t="s">
        <v>5569</v>
      </c>
      <c r="G4766" s="364" t="s">
        <v>3921</v>
      </c>
      <c r="H4766" s="475" t="s">
        <v>3922</v>
      </c>
      <c r="I4766" s="475" t="s">
        <v>322</v>
      </c>
      <c r="J4766" s="475" t="s">
        <v>140</v>
      </c>
      <c r="K4766" s="365">
        <v>0.33</v>
      </c>
      <c r="L4766" s="475" t="s">
        <v>141</v>
      </c>
      <c r="M4766" s="473"/>
    </row>
    <row r="4767" spans="1:13" ht="13.5">
      <c r="A4767" s="475" t="s">
        <v>5563</v>
      </c>
      <c r="B4767" s="475" t="s">
        <v>5564</v>
      </c>
      <c r="C4767" s="475" t="s">
        <v>5567</v>
      </c>
      <c r="D4767" s="475" t="s">
        <v>5568</v>
      </c>
      <c r="E4767" s="476">
        <v>74151</v>
      </c>
      <c r="F4767" s="475" t="s">
        <v>5570</v>
      </c>
      <c r="G4767" s="364" t="s">
        <v>3923</v>
      </c>
      <c r="H4767" s="475" t="s">
        <v>3924</v>
      </c>
      <c r="I4767" s="475" t="s">
        <v>1261</v>
      </c>
      <c r="J4767" s="475" t="s">
        <v>140</v>
      </c>
      <c r="K4767" s="365">
        <v>2.94</v>
      </c>
      <c r="L4767" s="475" t="s">
        <v>141</v>
      </c>
      <c r="M4767" s="473"/>
    </row>
    <row r="4768" spans="1:13" ht="13.5">
      <c r="A4768" s="475" t="s">
        <v>5563</v>
      </c>
      <c r="B4768" s="475" t="s">
        <v>5564</v>
      </c>
      <c r="C4768" s="475" t="s">
        <v>5567</v>
      </c>
      <c r="D4768" s="475" t="s">
        <v>5568</v>
      </c>
      <c r="E4768" s="476">
        <v>74153</v>
      </c>
      <c r="F4768" s="475" t="s">
        <v>5571</v>
      </c>
      <c r="G4768" s="364" t="s">
        <v>3925</v>
      </c>
      <c r="H4768" s="475" t="s">
        <v>3926</v>
      </c>
      <c r="I4768" s="475" t="s">
        <v>322</v>
      </c>
      <c r="J4768" s="475" t="s">
        <v>140</v>
      </c>
      <c r="K4768" s="365">
        <v>0.2</v>
      </c>
      <c r="L4768" s="475" t="s">
        <v>141</v>
      </c>
      <c r="M4768" s="473"/>
    </row>
    <row r="4769" spans="1:13" ht="13.5">
      <c r="A4769" s="475" t="s">
        <v>5563</v>
      </c>
      <c r="B4769" s="475" t="s">
        <v>5564</v>
      </c>
      <c r="C4769" s="475" t="s">
        <v>5567</v>
      </c>
      <c r="D4769" s="475" t="s">
        <v>5568</v>
      </c>
      <c r="E4769" s="476">
        <v>74154</v>
      </c>
      <c r="F4769" s="475" t="s">
        <v>5572</v>
      </c>
      <c r="G4769" s="364" t="s">
        <v>3927</v>
      </c>
      <c r="H4769" s="475" t="s">
        <v>3928</v>
      </c>
      <c r="I4769" s="475" t="s">
        <v>1261</v>
      </c>
      <c r="J4769" s="475" t="s">
        <v>140</v>
      </c>
      <c r="K4769" s="365">
        <v>4.59</v>
      </c>
      <c r="L4769" s="475" t="s">
        <v>141</v>
      </c>
      <c r="M4769" s="473"/>
    </row>
    <row r="4770" spans="1:13" ht="13.5">
      <c r="A4770" s="475" t="s">
        <v>5563</v>
      </c>
      <c r="B4770" s="475" t="s">
        <v>5564</v>
      </c>
      <c r="C4770" s="475" t="s">
        <v>5567</v>
      </c>
      <c r="D4770" s="475" t="s">
        <v>5568</v>
      </c>
      <c r="E4770" s="476">
        <v>74155</v>
      </c>
      <c r="F4770" s="475" t="s">
        <v>5573</v>
      </c>
      <c r="G4770" s="364" t="s">
        <v>3929</v>
      </c>
      <c r="H4770" s="475" t="s">
        <v>3930</v>
      </c>
      <c r="I4770" s="475" t="s">
        <v>1261</v>
      </c>
      <c r="J4770" s="475" t="s">
        <v>140</v>
      </c>
      <c r="K4770" s="365">
        <v>1.47</v>
      </c>
      <c r="L4770" s="475" t="s">
        <v>141</v>
      </c>
      <c r="M4770" s="473"/>
    </row>
    <row r="4771" spans="1:13" ht="13.5">
      <c r="A4771" s="475" t="s">
        <v>5563</v>
      </c>
      <c r="B4771" s="475" t="s">
        <v>5564</v>
      </c>
      <c r="C4771" s="475" t="s">
        <v>5567</v>
      </c>
      <c r="D4771" s="475" t="s">
        <v>5568</v>
      </c>
      <c r="E4771" s="476">
        <v>74155</v>
      </c>
      <c r="F4771" s="475" t="s">
        <v>5573</v>
      </c>
      <c r="G4771" s="364" t="s">
        <v>3931</v>
      </c>
      <c r="H4771" s="475" t="s">
        <v>3932</v>
      </c>
      <c r="I4771" s="475" t="s">
        <v>1261</v>
      </c>
      <c r="J4771" s="475" t="s">
        <v>140</v>
      </c>
      <c r="K4771" s="365">
        <v>2.86</v>
      </c>
      <c r="L4771" s="475" t="s">
        <v>141</v>
      </c>
      <c r="M4771" s="473"/>
    </row>
    <row r="4772" spans="1:13" ht="13.5">
      <c r="A4772" s="475" t="s">
        <v>5563</v>
      </c>
      <c r="B4772" s="475" t="s">
        <v>5564</v>
      </c>
      <c r="C4772" s="475" t="s">
        <v>5567</v>
      </c>
      <c r="D4772" s="475" t="s">
        <v>5568</v>
      </c>
      <c r="E4772" s="476">
        <v>74205</v>
      </c>
      <c r="F4772" s="475" t="s">
        <v>5574</v>
      </c>
      <c r="G4772" s="364" t="s">
        <v>3933</v>
      </c>
      <c r="H4772" s="475" t="s">
        <v>3934</v>
      </c>
      <c r="I4772" s="475" t="s">
        <v>1261</v>
      </c>
      <c r="J4772" s="475" t="s">
        <v>140</v>
      </c>
      <c r="K4772" s="365">
        <v>1.42</v>
      </c>
      <c r="L4772" s="475" t="s">
        <v>141</v>
      </c>
      <c r="M4772" s="473"/>
    </row>
    <row r="4773" spans="1:13" ht="13.5">
      <c r="A4773" s="475" t="s">
        <v>5563</v>
      </c>
      <c r="B4773" s="475" t="s">
        <v>5564</v>
      </c>
      <c r="C4773" s="475" t="s">
        <v>5567</v>
      </c>
      <c r="D4773" s="475" t="s">
        <v>5568</v>
      </c>
      <c r="E4773" s="476" t="s">
        <v>34</v>
      </c>
      <c r="F4773" s="475" t="s">
        <v>34</v>
      </c>
      <c r="G4773" s="364">
        <v>79472</v>
      </c>
      <c r="H4773" s="475" t="s">
        <v>3935</v>
      </c>
      <c r="I4773" s="475" t="s">
        <v>322</v>
      </c>
      <c r="J4773" s="475" t="s">
        <v>140</v>
      </c>
      <c r="K4773" s="365">
        <v>0.43</v>
      </c>
      <c r="L4773" s="475" t="s">
        <v>141</v>
      </c>
      <c r="M4773" s="473"/>
    </row>
    <row r="4774" spans="1:13" ht="13.5">
      <c r="A4774" s="475" t="s">
        <v>5563</v>
      </c>
      <c r="B4774" s="475" t="s">
        <v>5564</v>
      </c>
      <c r="C4774" s="475" t="s">
        <v>5567</v>
      </c>
      <c r="D4774" s="475" t="s">
        <v>5568</v>
      </c>
      <c r="E4774" s="476" t="s">
        <v>34</v>
      </c>
      <c r="F4774" s="475" t="s">
        <v>34</v>
      </c>
      <c r="G4774" s="364">
        <v>79473</v>
      </c>
      <c r="H4774" s="475" t="s">
        <v>3936</v>
      </c>
      <c r="I4774" s="475" t="s">
        <v>1261</v>
      </c>
      <c r="J4774" s="475" t="s">
        <v>140</v>
      </c>
      <c r="K4774" s="365">
        <v>5.12</v>
      </c>
      <c r="L4774" s="475" t="s">
        <v>141</v>
      </c>
      <c r="M4774" s="473"/>
    </row>
    <row r="4775" spans="1:13" ht="13.5">
      <c r="A4775" s="475" t="s">
        <v>5563</v>
      </c>
      <c r="B4775" s="475" t="s">
        <v>5564</v>
      </c>
      <c r="C4775" s="475" t="s">
        <v>5567</v>
      </c>
      <c r="D4775" s="475" t="s">
        <v>5568</v>
      </c>
      <c r="E4775" s="476" t="s">
        <v>34</v>
      </c>
      <c r="F4775" s="475" t="s">
        <v>34</v>
      </c>
      <c r="G4775" s="364">
        <v>79480</v>
      </c>
      <c r="H4775" s="475" t="s">
        <v>3937</v>
      </c>
      <c r="I4775" s="475" t="s">
        <v>1261</v>
      </c>
      <c r="J4775" s="475" t="s">
        <v>140</v>
      </c>
      <c r="K4775" s="365">
        <v>2.08</v>
      </c>
      <c r="L4775" s="475" t="s">
        <v>141</v>
      </c>
      <c r="M4775" s="473"/>
    </row>
    <row r="4776" spans="1:13" ht="13.5">
      <c r="A4776" s="475" t="s">
        <v>5563</v>
      </c>
      <c r="B4776" s="475" t="s">
        <v>5564</v>
      </c>
      <c r="C4776" s="475" t="s">
        <v>5567</v>
      </c>
      <c r="D4776" s="475" t="s">
        <v>5568</v>
      </c>
      <c r="E4776" s="476" t="s">
        <v>34</v>
      </c>
      <c r="F4776" s="475" t="s">
        <v>34</v>
      </c>
      <c r="G4776" s="364">
        <v>83336</v>
      </c>
      <c r="H4776" s="475" t="s">
        <v>3938</v>
      </c>
      <c r="I4776" s="475" t="s">
        <v>1261</v>
      </c>
      <c r="J4776" s="475" t="s">
        <v>140</v>
      </c>
      <c r="K4776" s="365">
        <v>4.04</v>
      </c>
      <c r="L4776" s="475" t="s">
        <v>141</v>
      </c>
      <c r="M4776" s="473"/>
    </row>
    <row r="4777" spans="1:13" ht="13.5">
      <c r="A4777" s="475" t="s">
        <v>5563</v>
      </c>
      <c r="B4777" s="475" t="s">
        <v>5564</v>
      </c>
      <c r="C4777" s="475" t="s">
        <v>5567</v>
      </c>
      <c r="D4777" s="475" t="s">
        <v>5568</v>
      </c>
      <c r="E4777" s="476" t="s">
        <v>34</v>
      </c>
      <c r="F4777" s="475" t="s">
        <v>34</v>
      </c>
      <c r="G4777" s="364">
        <v>83338</v>
      </c>
      <c r="H4777" s="475" t="s">
        <v>3939</v>
      </c>
      <c r="I4777" s="475" t="s">
        <v>1261</v>
      </c>
      <c r="J4777" s="475" t="s">
        <v>140</v>
      </c>
      <c r="K4777" s="365">
        <v>2.23</v>
      </c>
      <c r="L4777" s="475" t="s">
        <v>141</v>
      </c>
      <c r="M4777" s="473"/>
    </row>
    <row r="4778" spans="1:13" ht="13.5">
      <c r="A4778" s="475" t="s">
        <v>5563</v>
      </c>
      <c r="B4778" s="475" t="s">
        <v>5564</v>
      </c>
      <c r="C4778" s="475" t="s">
        <v>5567</v>
      </c>
      <c r="D4778" s="475" t="s">
        <v>5568</v>
      </c>
      <c r="E4778" s="476" t="s">
        <v>34</v>
      </c>
      <c r="F4778" s="475" t="s">
        <v>34</v>
      </c>
      <c r="G4778" s="364">
        <v>89885</v>
      </c>
      <c r="H4778" s="475" t="s">
        <v>3940</v>
      </c>
      <c r="I4778" s="475" t="s">
        <v>1261</v>
      </c>
      <c r="J4778" s="475" t="s">
        <v>140</v>
      </c>
      <c r="K4778" s="365">
        <v>7.46</v>
      </c>
      <c r="L4778" s="475" t="s">
        <v>141</v>
      </c>
      <c r="M4778" s="473"/>
    </row>
    <row r="4779" spans="1:13" ht="13.5">
      <c r="A4779" s="475" t="s">
        <v>5563</v>
      </c>
      <c r="B4779" s="475" t="s">
        <v>5564</v>
      </c>
      <c r="C4779" s="475" t="s">
        <v>5567</v>
      </c>
      <c r="D4779" s="475" t="s">
        <v>5568</v>
      </c>
      <c r="E4779" s="476" t="s">
        <v>34</v>
      </c>
      <c r="F4779" s="475" t="s">
        <v>34</v>
      </c>
      <c r="G4779" s="364">
        <v>89886</v>
      </c>
      <c r="H4779" s="475" t="s">
        <v>3941</v>
      </c>
      <c r="I4779" s="475" t="s">
        <v>1261</v>
      </c>
      <c r="J4779" s="475" t="s">
        <v>140</v>
      </c>
      <c r="K4779" s="365">
        <v>7.49</v>
      </c>
      <c r="L4779" s="475" t="s">
        <v>141</v>
      </c>
      <c r="M4779" s="473"/>
    </row>
    <row r="4780" spans="1:13" ht="13.5">
      <c r="A4780" s="475" t="s">
        <v>5563</v>
      </c>
      <c r="B4780" s="475" t="s">
        <v>5564</v>
      </c>
      <c r="C4780" s="475" t="s">
        <v>5567</v>
      </c>
      <c r="D4780" s="475" t="s">
        <v>5568</v>
      </c>
      <c r="E4780" s="476" t="s">
        <v>34</v>
      </c>
      <c r="F4780" s="475" t="s">
        <v>34</v>
      </c>
      <c r="G4780" s="364">
        <v>89887</v>
      </c>
      <c r="H4780" s="475" t="s">
        <v>3942</v>
      </c>
      <c r="I4780" s="475" t="s">
        <v>1261</v>
      </c>
      <c r="J4780" s="475" t="s">
        <v>140</v>
      </c>
      <c r="K4780" s="365">
        <v>7.76</v>
      </c>
      <c r="L4780" s="475" t="s">
        <v>141</v>
      </c>
      <c r="M4780" s="473"/>
    </row>
    <row r="4781" spans="1:13" ht="13.5">
      <c r="A4781" s="475" t="s">
        <v>5563</v>
      </c>
      <c r="B4781" s="475" t="s">
        <v>5564</v>
      </c>
      <c r="C4781" s="475" t="s">
        <v>5567</v>
      </c>
      <c r="D4781" s="475" t="s">
        <v>5568</v>
      </c>
      <c r="E4781" s="476" t="s">
        <v>34</v>
      </c>
      <c r="F4781" s="475" t="s">
        <v>34</v>
      </c>
      <c r="G4781" s="364">
        <v>89888</v>
      </c>
      <c r="H4781" s="475" t="s">
        <v>3943</v>
      </c>
      <c r="I4781" s="475" t="s">
        <v>1261</v>
      </c>
      <c r="J4781" s="475" t="s">
        <v>140</v>
      </c>
      <c r="K4781" s="365">
        <v>7.68</v>
      </c>
      <c r="L4781" s="475" t="s">
        <v>141</v>
      </c>
      <c r="M4781" s="473"/>
    </row>
    <row r="4782" spans="1:13" ht="13.5">
      <c r="A4782" s="475" t="s">
        <v>5563</v>
      </c>
      <c r="B4782" s="475" t="s">
        <v>5564</v>
      </c>
      <c r="C4782" s="475" t="s">
        <v>5567</v>
      </c>
      <c r="D4782" s="475" t="s">
        <v>5568</v>
      </c>
      <c r="E4782" s="476" t="s">
        <v>34</v>
      </c>
      <c r="F4782" s="475" t="s">
        <v>34</v>
      </c>
      <c r="G4782" s="364">
        <v>89889</v>
      </c>
      <c r="H4782" s="475" t="s">
        <v>3944</v>
      </c>
      <c r="I4782" s="475" t="s">
        <v>1261</v>
      </c>
      <c r="J4782" s="475" t="s">
        <v>140</v>
      </c>
      <c r="K4782" s="365">
        <v>7.97</v>
      </c>
      <c r="L4782" s="475" t="s">
        <v>141</v>
      </c>
      <c r="M4782" s="473"/>
    </row>
    <row r="4783" spans="1:13" ht="13.5">
      <c r="A4783" s="475" t="s">
        <v>5563</v>
      </c>
      <c r="B4783" s="475" t="s">
        <v>5564</v>
      </c>
      <c r="C4783" s="475" t="s">
        <v>5567</v>
      </c>
      <c r="D4783" s="475" t="s">
        <v>5568</v>
      </c>
      <c r="E4783" s="476" t="s">
        <v>34</v>
      </c>
      <c r="F4783" s="475" t="s">
        <v>34</v>
      </c>
      <c r="G4783" s="364">
        <v>89890</v>
      </c>
      <c r="H4783" s="475" t="s">
        <v>3945</v>
      </c>
      <c r="I4783" s="475" t="s">
        <v>1261</v>
      </c>
      <c r="J4783" s="475" t="s">
        <v>140</v>
      </c>
      <c r="K4783" s="365">
        <v>11.14</v>
      </c>
      <c r="L4783" s="475" t="s">
        <v>141</v>
      </c>
      <c r="M4783" s="473"/>
    </row>
    <row r="4784" spans="1:13" ht="13.5">
      <c r="A4784" s="475" t="s">
        <v>5563</v>
      </c>
      <c r="B4784" s="475" t="s">
        <v>5564</v>
      </c>
      <c r="C4784" s="475" t="s">
        <v>5567</v>
      </c>
      <c r="D4784" s="475" t="s">
        <v>5568</v>
      </c>
      <c r="E4784" s="476" t="s">
        <v>34</v>
      </c>
      <c r="F4784" s="475" t="s">
        <v>34</v>
      </c>
      <c r="G4784" s="364">
        <v>89893</v>
      </c>
      <c r="H4784" s="475" t="s">
        <v>3946</v>
      </c>
      <c r="I4784" s="475" t="s">
        <v>1261</v>
      </c>
      <c r="J4784" s="475" t="s">
        <v>140</v>
      </c>
      <c r="K4784" s="365">
        <v>13.72</v>
      </c>
      <c r="L4784" s="475" t="s">
        <v>141</v>
      </c>
      <c r="M4784" s="473"/>
    </row>
    <row r="4785" spans="1:13" ht="13.5">
      <c r="A4785" s="475" t="s">
        <v>5563</v>
      </c>
      <c r="B4785" s="475" t="s">
        <v>5564</v>
      </c>
      <c r="C4785" s="475" t="s">
        <v>5567</v>
      </c>
      <c r="D4785" s="475" t="s">
        <v>5568</v>
      </c>
      <c r="E4785" s="476" t="s">
        <v>34</v>
      </c>
      <c r="F4785" s="475" t="s">
        <v>34</v>
      </c>
      <c r="G4785" s="364">
        <v>89894</v>
      </c>
      <c r="H4785" s="475" t="s">
        <v>3947</v>
      </c>
      <c r="I4785" s="475" t="s">
        <v>1261</v>
      </c>
      <c r="J4785" s="475" t="s">
        <v>140</v>
      </c>
      <c r="K4785" s="365">
        <v>15.26</v>
      </c>
      <c r="L4785" s="475" t="s">
        <v>141</v>
      </c>
      <c r="M4785" s="473"/>
    </row>
    <row r="4786" spans="1:13" ht="13.5">
      <c r="A4786" s="475" t="s">
        <v>5563</v>
      </c>
      <c r="B4786" s="475" t="s">
        <v>5564</v>
      </c>
      <c r="C4786" s="475" t="s">
        <v>5567</v>
      </c>
      <c r="D4786" s="475" t="s">
        <v>5568</v>
      </c>
      <c r="E4786" s="476" t="s">
        <v>34</v>
      </c>
      <c r="F4786" s="475" t="s">
        <v>34</v>
      </c>
      <c r="G4786" s="364">
        <v>89895</v>
      </c>
      <c r="H4786" s="475" t="s">
        <v>3948</v>
      </c>
      <c r="I4786" s="475" t="s">
        <v>1261</v>
      </c>
      <c r="J4786" s="475" t="s">
        <v>140</v>
      </c>
      <c r="K4786" s="365">
        <v>18.579999999999998</v>
      </c>
      <c r="L4786" s="475" t="s">
        <v>141</v>
      </c>
      <c r="M4786" s="473"/>
    </row>
    <row r="4787" spans="1:13" ht="13.5">
      <c r="A4787" s="475" t="s">
        <v>5563</v>
      </c>
      <c r="B4787" s="475" t="s">
        <v>5564</v>
      </c>
      <c r="C4787" s="475" t="s">
        <v>5567</v>
      </c>
      <c r="D4787" s="475" t="s">
        <v>5568</v>
      </c>
      <c r="E4787" s="476" t="s">
        <v>34</v>
      </c>
      <c r="F4787" s="475" t="s">
        <v>34</v>
      </c>
      <c r="G4787" s="364">
        <v>89903</v>
      </c>
      <c r="H4787" s="475" t="s">
        <v>3949</v>
      </c>
      <c r="I4787" s="475" t="s">
        <v>1261</v>
      </c>
      <c r="J4787" s="475" t="s">
        <v>140</v>
      </c>
      <c r="K4787" s="365">
        <v>6.63</v>
      </c>
      <c r="L4787" s="475" t="s">
        <v>141</v>
      </c>
      <c r="M4787" s="473"/>
    </row>
    <row r="4788" spans="1:13" ht="13.5">
      <c r="A4788" s="475" t="s">
        <v>5563</v>
      </c>
      <c r="B4788" s="475" t="s">
        <v>5564</v>
      </c>
      <c r="C4788" s="475" t="s">
        <v>5567</v>
      </c>
      <c r="D4788" s="475" t="s">
        <v>5568</v>
      </c>
      <c r="E4788" s="476" t="s">
        <v>34</v>
      </c>
      <c r="F4788" s="475" t="s">
        <v>34</v>
      </c>
      <c r="G4788" s="364">
        <v>89904</v>
      </c>
      <c r="H4788" s="475" t="s">
        <v>3950</v>
      </c>
      <c r="I4788" s="475" t="s">
        <v>1261</v>
      </c>
      <c r="J4788" s="475" t="s">
        <v>140</v>
      </c>
      <c r="K4788" s="365">
        <v>6.67</v>
      </c>
      <c r="L4788" s="475" t="s">
        <v>141</v>
      </c>
      <c r="M4788" s="473"/>
    </row>
    <row r="4789" spans="1:13" ht="13.5">
      <c r="A4789" s="475" t="s">
        <v>5563</v>
      </c>
      <c r="B4789" s="475" t="s">
        <v>5564</v>
      </c>
      <c r="C4789" s="475" t="s">
        <v>5567</v>
      </c>
      <c r="D4789" s="475" t="s">
        <v>5568</v>
      </c>
      <c r="E4789" s="476" t="s">
        <v>34</v>
      </c>
      <c r="F4789" s="475" t="s">
        <v>34</v>
      </c>
      <c r="G4789" s="364">
        <v>89905</v>
      </c>
      <c r="H4789" s="475" t="s">
        <v>3951</v>
      </c>
      <c r="I4789" s="475" t="s">
        <v>1261</v>
      </c>
      <c r="J4789" s="475" t="s">
        <v>140</v>
      </c>
      <c r="K4789" s="365">
        <v>6.9</v>
      </c>
      <c r="L4789" s="475" t="s">
        <v>141</v>
      </c>
      <c r="M4789" s="473"/>
    </row>
    <row r="4790" spans="1:13" ht="13.5">
      <c r="A4790" s="475" t="s">
        <v>5563</v>
      </c>
      <c r="B4790" s="475" t="s">
        <v>5564</v>
      </c>
      <c r="C4790" s="475" t="s">
        <v>5567</v>
      </c>
      <c r="D4790" s="475" t="s">
        <v>5568</v>
      </c>
      <c r="E4790" s="476" t="s">
        <v>34</v>
      </c>
      <c r="F4790" s="475" t="s">
        <v>34</v>
      </c>
      <c r="G4790" s="364">
        <v>89906</v>
      </c>
      <c r="H4790" s="475" t="s">
        <v>3952</v>
      </c>
      <c r="I4790" s="475" t="s">
        <v>1261</v>
      </c>
      <c r="J4790" s="475" t="s">
        <v>140</v>
      </c>
      <c r="K4790" s="365">
        <v>6.83</v>
      </c>
      <c r="L4790" s="475" t="s">
        <v>141</v>
      </c>
      <c r="M4790" s="473"/>
    </row>
    <row r="4791" spans="1:13" ht="13.5">
      <c r="A4791" s="475" t="s">
        <v>5563</v>
      </c>
      <c r="B4791" s="475" t="s">
        <v>5564</v>
      </c>
      <c r="C4791" s="475" t="s">
        <v>5567</v>
      </c>
      <c r="D4791" s="475" t="s">
        <v>5568</v>
      </c>
      <c r="E4791" s="476" t="s">
        <v>34</v>
      </c>
      <c r="F4791" s="475" t="s">
        <v>34</v>
      </c>
      <c r="G4791" s="364">
        <v>89907</v>
      </c>
      <c r="H4791" s="475" t="s">
        <v>3953</v>
      </c>
      <c r="I4791" s="475" t="s">
        <v>1261</v>
      </c>
      <c r="J4791" s="475" t="s">
        <v>140</v>
      </c>
      <c r="K4791" s="365">
        <v>7.65</v>
      </c>
      <c r="L4791" s="475" t="s">
        <v>141</v>
      </c>
      <c r="M4791" s="473"/>
    </row>
    <row r="4792" spans="1:13" ht="13.5">
      <c r="A4792" s="475" t="s">
        <v>5563</v>
      </c>
      <c r="B4792" s="475" t="s">
        <v>5564</v>
      </c>
      <c r="C4792" s="475" t="s">
        <v>5567</v>
      </c>
      <c r="D4792" s="475" t="s">
        <v>5568</v>
      </c>
      <c r="E4792" s="476" t="s">
        <v>34</v>
      </c>
      <c r="F4792" s="475" t="s">
        <v>34</v>
      </c>
      <c r="G4792" s="364">
        <v>89908</v>
      </c>
      <c r="H4792" s="475" t="s">
        <v>3954</v>
      </c>
      <c r="I4792" s="475" t="s">
        <v>1261</v>
      </c>
      <c r="J4792" s="475" t="s">
        <v>140</v>
      </c>
      <c r="K4792" s="365">
        <v>10.49</v>
      </c>
      <c r="L4792" s="475" t="s">
        <v>141</v>
      </c>
      <c r="M4792" s="473"/>
    </row>
    <row r="4793" spans="1:13" ht="13.5">
      <c r="A4793" s="475" t="s">
        <v>5563</v>
      </c>
      <c r="B4793" s="475" t="s">
        <v>5564</v>
      </c>
      <c r="C4793" s="475" t="s">
        <v>5567</v>
      </c>
      <c r="D4793" s="475" t="s">
        <v>5568</v>
      </c>
      <c r="E4793" s="476" t="s">
        <v>34</v>
      </c>
      <c r="F4793" s="475" t="s">
        <v>34</v>
      </c>
      <c r="G4793" s="364">
        <v>89911</v>
      </c>
      <c r="H4793" s="475" t="s">
        <v>3955</v>
      </c>
      <c r="I4793" s="475" t="s">
        <v>1261</v>
      </c>
      <c r="J4793" s="475" t="s">
        <v>140</v>
      </c>
      <c r="K4793" s="365">
        <v>12.82</v>
      </c>
      <c r="L4793" s="475" t="s">
        <v>141</v>
      </c>
      <c r="M4793" s="473"/>
    </row>
    <row r="4794" spans="1:13" ht="13.5">
      <c r="A4794" s="475" t="s">
        <v>5563</v>
      </c>
      <c r="B4794" s="475" t="s">
        <v>5564</v>
      </c>
      <c r="C4794" s="475" t="s">
        <v>5567</v>
      </c>
      <c r="D4794" s="475" t="s">
        <v>5568</v>
      </c>
      <c r="E4794" s="476" t="s">
        <v>34</v>
      </c>
      <c r="F4794" s="475" t="s">
        <v>34</v>
      </c>
      <c r="G4794" s="364">
        <v>89912</v>
      </c>
      <c r="H4794" s="475" t="s">
        <v>3956</v>
      </c>
      <c r="I4794" s="475" t="s">
        <v>1261</v>
      </c>
      <c r="J4794" s="475" t="s">
        <v>140</v>
      </c>
      <c r="K4794" s="365">
        <v>13.69</v>
      </c>
      <c r="L4794" s="475" t="s">
        <v>141</v>
      </c>
      <c r="M4794" s="473"/>
    </row>
    <row r="4795" spans="1:13" ht="13.5">
      <c r="A4795" s="475" t="s">
        <v>5563</v>
      </c>
      <c r="B4795" s="475" t="s">
        <v>5564</v>
      </c>
      <c r="C4795" s="475" t="s">
        <v>5567</v>
      </c>
      <c r="D4795" s="475" t="s">
        <v>5568</v>
      </c>
      <c r="E4795" s="476" t="s">
        <v>34</v>
      </c>
      <c r="F4795" s="475" t="s">
        <v>34</v>
      </c>
      <c r="G4795" s="364">
        <v>89913</v>
      </c>
      <c r="H4795" s="475" t="s">
        <v>3957</v>
      </c>
      <c r="I4795" s="475" t="s">
        <v>1261</v>
      </c>
      <c r="J4795" s="475" t="s">
        <v>140</v>
      </c>
      <c r="K4795" s="365">
        <v>16.690000000000001</v>
      </c>
      <c r="L4795" s="475" t="s">
        <v>141</v>
      </c>
      <c r="M4795" s="473"/>
    </row>
    <row r="4796" spans="1:13" ht="13.5">
      <c r="A4796" s="475" t="s">
        <v>5563</v>
      </c>
      <c r="B4796" s="475" t="s">
        <v>5564</v>
      </c>
      <c r="C4796" s="475" t="s">
        <v>5567</v>
      </c>
      <c r="D4796" s="475" t="s">
        <v>5568</v>
      </c>
      <c r="E4796" s="476" t="s">
        <v>34</v>
      </c>
      <c r="F4796" s="475" t="s">
        <v>34</v>
      </c>
      <c r="G4796" s="364">
        <v>89921</v>
      </c>
      <c r="H4796" s="475" t="s">
        <v>3958</v>
      </c>
      <c r="I4796" s="475" t="s">
        <v>1261</v>
      </c>
      <c r="J4796" s="475" t="s">
        <v>140</v>
      </c>
      <c r="K4796" s="365">
        <v>6.12</v>
      </c>
      <c r="L4796" s="475" t="s">
        <v>141</v>
      </c>
      <c r="M4796" s="473"/>
    </row>
    <row r="4797" spans="1:13" ht="13.5">
      <c r="A4797" s="475" t="s">
        <v>5563</v>
      </c>
      <c r="B4797" s="475" t="s">
        <v>5564</v>
      </c>
      <c r="C4797" s="475" t="s">
        <v>5567</v>
      </c>
      <c r="D4797" s="475" t="s">
        <v>5568</v>
      </c>
      <c r="E4797" s="476" t="s">
        <v>34</v>
      </c>
      <c r="F4797" s="475" t="s">
        <v>34</v>
      </c>
      <c r="G4797" s="364">
        <v>89922</v>
      </c>
      <c r="H4797" s="475" t="s">
        <v>3959</v>
      </c>
      <c r="I4797" s="475" t="s">
        <v>1261</v>
      </c>
      <c r="J4797" s="475" t="s">
        <v>140</v>
      </c>
      <c r="K4797" s="365">
        <v>6.15</v>
      </c>
      <c r="L4797" s="475" t="s">
        <v>141</v>
      </c>
      <c r="M4797" s="473"/>
    </row>
    <row r="4798" spans="1:13" ht="13.5">
      <c r="A4798" s="475" t="s">
        <v>5563</v>
      </c>
      <c r="B4798" s="475" t="s">
        <v>5564</v>
      </c>
      <c r="C4798" s="475" t="s">
        <v>5567</v>
      </c>
      <c r="D4798" s="475" t="s">
        <v>5568</v>
      </c>
      <c r="E4798" s="476" t="s">
        <v>34</v>
      </c>
      <c r="F4798" s="475" t="s">
        <v>34</v>
      </c>
      <c r="G4798" s="364">
        <v>89923</v>
      </c>
      <c r="H4798" s="475" t="s">
        <v>3960</v>
      </c>
      <c r="I4798" s="475" t="s">
        <v>1261</v>
      </c>
      <c r="J4798" s="475" t="s">
        <v>140</v>
      </c>
      <c r="K4798" s="365">
        <v>6.42</v>
      </c>
      <c r="L4798" s="475" t="s">
        <v>141</v>
      </c>
      <c r="M4798" s="473"/>
    </row>
    <row r="4799" spans="1:13" ht="13.5">
      <c r="A4799" s="475" t="s">
        <v>5563</v>
      </c>
      <c r="B4799" s="475" t="s">
        <v>5564</v>
      </c>
      <c r="C4799" s="475" t="s">
        <v>5567</v>
      </c>
      <c r="D4799" s="475" t="s">
        <v>5568</v>
      </c>
      <c r="E4799" s="476" t="s">
        <v>34</v>
      </c>
      <c r="F4799" s="475" t="s">
        <v>34</v>
      </c>
      <c r="G4799" s="364">
        <v>89924</v>
      </c>
      <c r="H4799" s="475" t="s">
        <v>3961</v>
      </c>
      <c r="I4799" s="475" t="s">
        <v>1261</v>
      </c>
      <c r="J4799" s="475" t="s">
        <v>140</v>
      </c>
      <c r="K4799" s="365">
        <v>6.34</v>
      </c>
      <c r="L4799" s="475" t="s">
        <v>141</v>
      </c>
      <c r="M4799" s="473"/>
    </row>
    <row r="4800" spans="1:13" ht="13.5">
      <c r="A4800" s="475" t="s">
        <v>5563</v>
      </c>
      <c r="B4800" s="475" t="s">
        <v>5564</v>
      </c>
      <c r="C4800" s="475" t="s">
        <v>5567</v>
      </c>
      <c r="D4800" s="475" t="s">
        <v>5568</v>
      </c>
      <c r="E4800" s="476" t="s">
        <v>34</v>
      </c>
      <c r="F4800" s="475" t="s">
        <v>34</v>
      </c>
      <c r="G4800" s="364">
        <v>89925</v>
      </c>
      <c r="H4800" s="475" t="s">
        <v>3962</v>
      </c>
      <c r="I4800" s="475" t="s">
        <v>1261</v>
      </c>
      <c r="J4800" s="475" t="s">
        <v>140</v>
      </c>
      <c r="K4800" s="365">
        <v>6.63</v>
      </c>
      <c r="L4800" s="475" t="s">
        <v>141</v>
      </c>
      <c r="M4800" s="473"/>
    </row>
    <row r="4801" spans="1:13" ht="13.5">
      <c r="A4801" s="475" t="s">
        <v>5563</v>
      </c>
      <c r="B4801" s="475" t="s">
        <v>5564</v>
      </c>
      <c r="C4801" s="475" t="s">
        <v>5567</v>
      </c>
      <c r="D4801" s="475" t="s">
        <v>5568</v>
      </c>
      <c r="E4801" s="476" t="s">
        <v>34</v>
      </c>
      <c r="F4801" s="475" t="s">
        <v>34</v>
      </c>
      <c r="G4801" s="364">
        <v>89926</v>
      </c>
      <c r="H4801" s="475" t="s">
        <v>3963</v>
      </c>
      <c r="I4801" s="475" t="s">
        <v>1261</v>
      </c>
      <c r="J4801" s="475" t="s">
        <v>140</v>
      </c>
      <c r="K4801" s="365">
        <v>10.029999999999999</v>
      </c>
      <c r="L4801" s="475" t="s">
        <v>141</v>
      </c>
      <c r="M4801" s="473"/>
    </row>
    <row r="4802" spans="1:13" ht="13.5">
      <c r="A4802" s="475" t="s">
        <v>5563</v>
      </c>
      <c r="B4802" s="475" t="s">
        <v>5564</v>
      </c>
      <c r="C4802" s="475" t="s">
        <v>5567</v>
      </c>
      <c r="D4802" s="475" t="s">
        <v>5568</v>
      </c>
      <c r="E4802" s="476" t="s">
        <v>34</v>
      </c>
      <c r="F4802" s="475" t="s">
        <v>34</v>
      </c>
      <c r="G4802" s="364">
        <v>89929</v>
      </c>
      <c r="H4802" s="475" t="s">
        <v>3964</v>
      </c>
      <c r="I4802" s="475" t="s">
        <v>1261</v>
      </c>
      <c r="J4802" s="475" t="s">
        <v>140</v>
      </c>
      <c r="K4802" s="365">
        <v>12.89</v>
      </c>
      <c r="L4802" s="475" t="s">
        <v>141</v>
      </c>
      <c r="M4802" s="473"/>
    </row>
    <row r="4803" spans="1:13" ht="13.5">
      <c r="A4803" s="475" t="s">
        <v>5563</v>
      </c>
      <c r="B4803" s="475" t="s">
        <v>5564</v>
      </c>
      <c r="C4803" s="475" t="s">
        <v>5567</v>
      </c>
      <c r="D4803" s="475" t="s">
        <v>5568</v>
      </c>
      <c r="E4803" s="476" t="s">
        <v>34</v>
      </c>
      <c r="F4803" s="475" t="s">
        <v>34</v>
      </c>
      <c r="G4803" s="364">
        <v>89930</v>
      </c>
      <c r="H4803" s="475" t="s">
        <v>3965</v>
      </c>
      <c r="I4803" s="475" t="s">
        <v>1261</v>
      </c>
      <c r="J4803" s="475" t="s">
        <v>140</v>
      </c>
      <c r="K4803" s="365">
        <v>13.84</v>
      </c>
      <c r="L4803" s="475" t="s">
        <v>141</v>
      </c>
      <c r="M4803" s="473"/>
    </row>
    <row r="4804" spans="1:13" ht="13.5">
      <c r="A4804" s="475" t="s">
        <v>5563</v>
      </c>
      <c r="B4804" s="475" t="s">
        <v>5564</v>
      </c>
      <c r="C4804" s="475" t="s">
        <v>5567</v>
      </c>
      <c r="D4804" s="475" t="s">
        <v>5568</v>
      </c>
      <c r="E4804" s="476" t="s">
        <v>34</v>
      </c>
      <c r="F4804" s="475" t="s">
        <v>34</v>
      </c>
      <c r="G4804" s="364">
        <v>89931</v>
      </c>
      <c r="H4804" s="475" t="s">
        <v>3966</v>
      </c>
      <c r="I4804" s="475" t="s">
        <v>1261</v>
      </c>
      <c r="J4804" s="475" t="s">
        <v>140</v>
      </c>
      <c r="K4804" s="365">
        <v>17.420000000000002</v>
      </c>
      <c r="L4804" s="475" t="s">
        <v>141</v>
      </c>
      <c r="M4804" s="473"/>
    </row>
    <row r="4805" spans="1:13" ht="13.5">
      <c r="A4805" s="475" t="s">
        <v>5563</v>
      </c>
      <c r="B4805" s="475" t="s">
        <v>5564</v>
      </c>
      <c r="C4805" s="475" t="s">
        <v>5567</v>
      </c>
      <c r="D4805" s="475" t="s">
        <v>5568</v>
      </c>
      <c r="E4805" s="476" t="s">
        <v>34</v>
      </c>
      <c r="F4805" s="475" t="s">
        <v>34</v>
      </c>
      <c r="G4805" s="364">
        <v>89939</v>
      </c>
      <c r="H4805" s="475" t="s">
        <v>3967</v>
      </c>
      <c r="I4805" s="475" t="s">
        <v>1261</v>
      </c>
      <c r="J4805" s="475" t="s">
        <v>140</v>
      </c>
      <c r="K4805" s="365">
        <v>5.74</v>
      </c>
      <c r="L4805" s="475" t="s">
        <v>141</v>
      </c>
      <c r="M4805" s="473"/>
    </row>
    <row r="4806" spans="1:13" ht="13.5">
      <c r="A4806" s="475" t="s">
        <v>5563</v>
      </c>
      <c r="B4806" s="475" t="s">
        <v>5564</v>
      </c>
      <c r="C4806" s="475" t="s">
        <v>5567</v>
      </c>
      <c r="D4806" s="475" t="s">
        <v>5568</v>
      </c>
      <c r="E4806" s="476" t="s">
        <v>34</v>
      </c>
      <c r="F4806" s="475" t="s">
        <v>34</v>
      </c>
      <c r="G4806" s="364">
        <v>89940</v>
      </c>
      <c r="H4806" s="475" t="s">
        <v>3968</v>
      </c>
      <c r="I4806" s="475" t="s">
        <v>1261</v>
      </c>
      <c r="J4806" s="475" t="s">
        <v>140</v>
      </c>
      <c r="K4806" s="365">
        <v>5.77</v>
      </c>
      <c r="L4806" s="475" t="s">
        <v>141</v>
      </c>
      <c r="M4806" s="473"/>
    </row>
    <row r="4807" spans="1:13" ht="13.5">
      <c r="A4807" s="475" t="s">
        <v>5563</v>
      </c>
      <c r="B4807" s="475" t="s">
        <v>5564</v>
      </c>
      <c r="C4807" s="475" t="s">
        <v>5567</v>
      </c>
      <c r="D4807" s="475" t="s">
        <v>5568</v>
      </c>
      <c r="E4807" s="476" t="s">
        <v>34</v>
      </c>
      <c r="F4807" s="475" t="s">
        <v>34</v>
      </c>
      <c r="G4807" s="364">
        <v>89941</v>
      </c>
      <c r="H4807" s="475" t="s">
        <v>3969</v>
      </c>
      <c r="I4807" s="475" t="s">
        <v>1261</v>
      </c>
      <c r="J4807" s="475" t="s">
        <v>140</v>
      </c>
      <c r="K4807" s="365">
        <v>6.02</v>
      </c>
      <c r="L4807" s="475" t="s">
        <v>141</v>
      </c>
      <c r="M4807" s="473"/>
    </row>
    <row r="4808" spans="1:13" ht="13.5">
      <c r="A4808" s="475" t="s">
        <v>5563</v>
      </c>
      <c r="B4808" s="475" t="s">
        <v>5564</v>
      </c>
      <c r="C4808" s="475" t="s">
        <v>5567</v>
      </c>
      <c r="D4808" s="475" t="s">
        <v>5568</v>
      </c>
      <c r="E4808" s="476" t="s">
        <v>34</v>
      </c>
      <c r="F4808" s="475" t="s">
        <v>34</v>
      </c>
      <c r="G4808" s="364">
        <v>89942</v>
      </c>
      <c r="H4808" s="475" t="s">
        <v>3970</v>
      </c>
      <c r="I4808" s="475" t="s">
        <v>1261</v>
      </c>
      <c r="J4808" s="475" t="s">
        <v>140</v>
      </c>
      <c r="K4808" s="365">
        <v>5.94</v>
      </c>
      <c r="L4808" s="475" t="s">
        <v>141</v>
      </c>
      <c r="M4808" s="473"/>
    </row>
    <row r="4809" spans="1:13" ht="13.5">
      <c r="A4809" s="475" t="s">
        <v>5563</v>
      </c>
      <c r="B4809" s="475" t="s">
        <v>5564</v>
      </c>
      <c r="C4809" s="475" t="s">
        <v>5567</v>
      </c>
      <c r="D4809" s="475" t="s">
        <v>5568</v>
      </c>
      <c r="E4809" s="476" t="s">
        <v>34</v>
      </c>
      <c r="F4809" s="475" t="s">
        <v>34</v>
      </c>
      <c r="G4809" s="364">
        <v>89943</v>
      </c>
      <c r="H4809" s="475" t="s">
        <v>3971</v>
      </c>
      <c r="I4809" s="475" t="s">
        <v>1261</v>
      </c>
      <c r="J4809" s="475" t="s">
        <v>140</v>
      </c>
      <c r="K4809" s="365">
        <v>6.19</v>
      </c>
      <c r="L4809" s="475" t="s">
        <v>141</v>
      </c>
      <c r="M4809" s="473"/>
    </row>
    <row r="4810" spans="1:13" ht="13.5">
      <c r="A4810" s="475" t="s">
        <v>5563</v>
      </c>
      <c r="B4810" s="475" t="s">
        <v>5564</v>
      </c>
      <c r="C4810" s="475" t="s">
        <v>5567</v>
      </c>
      <c r="D4810" s="475" t="s">
        <v>5568</v>
      </c>
      <c r="E4810" s="476" t="s">
        <v>34</v>
      </c>
      <c r="F4810" s="475" t="s">
        <v>34</v>
      </c>
      <c r="G4810" s="364">
        <v>89944</v>
      </c>
      <c r="H4810" s="475" t="s">
        <v>3972</v>
      </c>
      <c r="I4810" s="475" t="s">
        <v>1261</v>
      </c>
      <c r="J4810" s="475" t="s">
        <v>140</v>
      </c>
      <c r="K4810" s="365">
        <v>9.25</v>
      </c>
      <c r="L4810" s="475" t="s">
        <v>141</v>
      </c>
      <c r="M4810" s="473"/>
    </row>
    <row r="4811" spans="1:13" ht="13.5">
      <c r="A4811" s="475" t="s">
        <v>5563</v>
      </c>
      <c r="B4811" s="475" t="s">
        <v>5564</v>
      </c>
      <c r="C4811" s="475" t="s">
        <v>5567</v>
      </c>
      <c r="D4811" s="475" t="s">
        <v>5568</v>
      </c>
      <c r="E4811" s="476" t="s">
        <v>34</v>
      </c>
      <c r="F4811" s="475" t="s">
        <v>34</v>
      </c>
      <c r="G4811" s="364">
        <v>89947</v>
      </c>
      <c r="H4811" s="475" t="s">
        <v>3973</v>
      </c>
      <c r="I4811" s="475" t="s">
        <v>1261</v>
      </c>
      <c r="J4811" s="475" t="s">
        <v>140</v>
      </c>
      <c r="K4811" s="365">
        <v>11.44</v>
      </c>
      <c r="L4811" s="475" t="s">
        <v>141</v>
      </c>
      <c r="M4811" s="473"/>
    </row>
    <row r="4812" spans="1:13" ht="13.5">
      <c r="A4812" s="475" t="s">
        <v>5563</v>
      </c>
      <c r="B4812" s="475" t="s">
        <v>5564</v>
      </c>
      <c r="C4812" s="475" t="s">
        <v>5567</v>
      </c>
      <c r="D4812" s="475" t="s">
        <v>5568</v>
      </c>
      <c r="E4812" s="476" t="s">
        <v>34</v>
      </c>
      <c r="F4812" s="475" t="s">
        <v>34</v>
      </c>
      <c r="G4812" s="364">
        <v>89948</v>
      </c>
      <c r="H4812" s="475" t="s">
        <v>3974</v>
      </c>
      <c r="I4812" s="475" t="s">
        <v>1261</v>
      </c>
      <c r="J4812" s="475" t="s">
        <v>140</v>
      </c>
      <c r="K4812" s="365">
        <v>12.67</v>
      </c>
      <c r="L4812" s="475" t="s">
        <v>141</v>
      </c>
      <c r="M4812" s="473"/>
    </row>
    <row r="4813" spans="1:13" ht="13.5">
      <c r="A4813" s="475" t="s">
        <v>5563</v>
      </c>
      <c r="B4813" s="475" t="s">
        <v>5564</v>
      </c>
      <c r="C4813" s="475" t="s">
        <v>5567</v>
      </c>
      <c r="D4813" s="475" t="s">
        <v>5568</v>
      </c>
      <c r="E4813" s="476" t="s">
        <v>34</v>
      </c>
      <c r="F4813" s="475" t="s">
        <v>34</v>
      </c>
      <c r="G4813" s="364">
        <v>89949</v>
      </c>
      <c r="H4813" s="475" t="s">
        <v>3975</v>
      </c>
      <c r="I4813" s="475" t="s">
        <v>1261</v>
      </c>
      <c r="J4813" s="475" t="s">
        <v>140</v>
      </c>
      <c r="K4813" s="365">
        <v>15.48</v>
      </c>
      <c r="L4813" s="475" t="s">
        <v>141</v>
      </c>
      <c r="M4813" s="473"/>
    </row>
    <row r="4814" spans="1:13" ht="13.5">
      <c r="A4814" s="475" t="s">
        <v>5563</v>
      </c>
      <c r="B4814" s="475" t="s">
        <v>5564</v>
      </c>
      <c r="C4814" s="475" t="s">
        <v>5567</v>
      </c>
      <c r="D4814" s="475" t="s">
        <v>5568</v>
      </c>
      <c r="E4814" s="476" t="s">
        <v>34</v>
      </c>
      <c r="F4814" s="475" t="s">
        <v>34</v>
      </c>
      <c r="G4814" s="364">
        <v>96520</v>
      </c>
      <c r="H4814" s="475" t="s">
        <v>3976</v>
      </c>
      <c r="I4814" s="475" t="s">
        <v>1261</v>
      </c>
      <c r="J4814" s="475" t="s">
        <v>140</v>
      </c>
      <c r="K4814" s="365">
        <v>69.84</v>
      </c>
      <c r="L4814" s="475" t="s">
        <v>141</v>
      </c>
      <c r="M4814" s="473"/>
    </row>
    <row r="4815" spans="1:13" ht="13.5">
      <c r="A4815" s="475" t="s">
        <v>5563</v>
      </c>
      <c r="B4815" s="475" t="s">
        <v>5564</v>
      </c>
      <c r="C4815" s="475" t="s">
        <v>5567</v>
      </c>
      <c r="D4815" s="475" t="s">
        <v>5568</v>
      </c>
      <c r="E4815" s="476" t="s">
        <v>34</v>
      </c>
      <c r="F4815" s="475" t="s">
        <v>34</v>
      </c>
      <c r="G4815" s="364">
        <v>96521</v>
      </c>
      <c r="H4815" s="475" t="s">
        <v>3977</v>
      </c>
      <c r="I4815" s="475" t="s">
        <v>1261</v>
      </c>
      <c r="J4815" s="475" t="s">
        <v>140</v>
      </c>
      <c r="K4815" s="365">
        <v>30.03</v>
      </c>
      <c r="L4815" s="475" t="s">
        <v>141</v>
      </c>
      <c r="M4815" s="473"/>
    </row>
    <row r="4816" spans="1:13" ht="13.5">
      <c r="A4816" s="475" t="s">
        <v>5563</v>
      </c>
      <c r="B4816" s="475" t="s">
        <v>5564</v>
      </c>
      <c r="C4816" s="475" t="s">
        <v>5567</v>
      </c>
      <c r="D4816" s="475" t="s">
        <v>5568</v>
      </c>
      <c r="E4816" s="476" t="s">
        <v>34</v>
      </c>
      <c r="F4816" s="475" t="s">
        <v>34</v>
      </c>
      <c r="G4816" s="364">
        <v>96522</v>
      </c>
      <c r="H4816" s="475" t="s">
        <v>3978</v>
      </c>
      <c r="I4816" s="475" t="s">
        <v>1261</v>
      </c>
      <c r="J4816" s="475" t="s">
        <v>363</v>
      </c>
      <c r="K4816" s="365">
        <v>105.04</v>
      </c>
      <c r="L4816" s="475" t="s">
        <v>141</v>
      </c>
      <c r="M4816" s="473"/>
    </row>
    <row r="4817" spans="1:13" ht="13.5">
      <c r="A4817" s="475" t="s">
        <v>5563</v>
      </c>
      <c r="B4817" s="475" t="s">
        <v>5564</v>
      </c>
      <c r="C4817" s="475" t="s">
        <v>5567</v>
      </c>
      <c r="D4817" s="475" t="s">
        <v>5568</v>
      </c>
      <c r="E4817" s="476" t="s">
        <v>34</v>
      </c>
      <c r="F4817" s="475" t="s">
        <v>34</v>
      </c>
      <c r="G4817" s="364">
        <v>96523</v>
      </c>
      <c r="H4817" s="475" t="s">
        <v>3979</v>
      </c>
      <c r="I4817" s="475" t="s">
        <v>1261</v>
      </c>
      <c r="J4817" s="475" t="s">
        <v>363</v>
      </c>
      <c r="K4817" s="365">
        <v>66.75</v>
      </c>
      <c r="L4817" s="475" t="s">
        <v>141</v>
      </c>
      <c r="M4817" s="473"/>
    </row>
    <row r="4818" spans="1:13" ht="13.5">
      <c r="A4818" s="475" t="s">
        <v>5563</v>
      </c>
      <c r="B4818" s="475" t="s">
        <v>5564</v>
      </c>
      <c r="C4818" s="475" t="s">
        <v>5567</v>
      </c>
      <c r="D4818" s="475" t="s">
        <v>5568</v>
      </c>
      <c r="E4818" s="476" t="s">
        <v>34</v>
      </c>
      <c r="F4818" s="475" t="s">
        <v>34</v>
      </c>
      <c r="G4818" s="364">
        <v>96524</v>
      </c>
      <c r="H4818" s="475" t="s">
        <v>3980</v>
      </c>
      <c r="I4818" s="475" t="s">
        <v>1261</v>
      </c>
      <c r="J4818" s="475" t="s">
        <v>140</v>
      </c>
      <c r="K4818" s="365">
        <v>127.49</v>
      </c>
      <c r="L4818" s="475" t="s">
        <v>141</v>
      </c>
      <c r="M4818" s="473"/>
    </row>
    <row r="4819" spans="1:13" ht="13.5">
      <c r="A4819" s="475" t="s">
        <v>5563</v>
      </c>
      <c r="B4819" s="475" t="s">
        <v>5564</v>
      </c>
      <c r="C4819" s="475" t="s">
        <v>5567</v>
      </c>
      <c r="D4819" s="475" t="s">
        <v>5568</v>
      </c>
      <c r="E4819" s="476" t="s">
        <v>34</v>
      </c>
      <c r="F4819" s="475" t="s">
        <v>34</v>
      </c>
      <c r="G4819" s="364">
        <v>96525</v>
      </c>
      <c r="H4819" s="475" t="s">
        <v>3981</v>
      </c>
      <c r="I4819" s="475" t="s">
        <v>1261</v>
      </c>
      <c r="J4819" s="475" t="s">
        <v>140</v>
      </c>
      <c r="K4819" s="365">
        <v>27.85</v>
      </c>
      <c r="L4819" s="475" t="s">
        <v>141</v>
      </c>
      <c r="M4819" s="473"/>
    </row>
    <row r="4820" spans="1:13" ht="13.5">
      <c r="A4820" s="475" t="s">
        <v>5563</v>
      </c>
      <c r="B4820" s="475" t="s">
        <v>5564</v>
      </c>
      <c r="C4820" s="475" t="s">
        <v>5567</v>
      </c>
      <c r="D4820" s="475" t="s">
        <v>5568</v>
      </c>
      <c r="E4820" s="476" t="s">
        <v>34</v>
      </c>
      <c r="F4820" s="475" t="s">
        <v>34</v>
      </c>
      <c r="G4820" s="364">
        <v>96526</v>
      </c>
      <c r="H4820" s="475" t="s">
        <v>3982</v>
      </c>
      <c r="I4820" s="475" t="s">
        <v>1261</v>
      </c>
      <c r="J4820" s="475" t="s">
        <v>363</v>
      </c>
      <c r="K4820" s="365">
        <v>212.41</v>
      </c>
      <c r="L4820" s="475" t="s">
        <v>141</v>
      </c>
      <c r="M4820" s="473"/>
    </row>
    <row r="4821" spans="1:13" ht="13.5">
      <c r="A4821" s="475" t="s">
        <v>5563</v>
      </c>
      <c r="B4821" s="475" t="s">
        <v>5564</v>
      </c>
      <c r="C4821" s="475" t="s">
        <v>5567</v>
      </c>
      <c r="D4821" s="475" t="s">
        <v>5568</v>
      </c>
      <c r="E4821" s="476" t="s">
        <v>34</v>
      </c>
      <c r="F4821" s="475" t="s">
        <v>34</v>
      </c>
      <c r="G4821" s="364">
        <v>96527</v>
      </c>
      <c r="H4821" s="475" t="s">
        <v>3983</v>
      </c>
      <c r="I4821" s="475" t="s">
        <v>1261</v>
      </c>
      <c r="J4821" s="475" t="s">
        <v>363</v>
      </c>
      <c r="K4821" s="365">
        <v>87.53</v>
      </c>
      <c r="L4821" s="475" t="s">
        <v>141</v>
      </c>
      <c r="M4821" s="473"/>
    </row>
    <row r="4822" spans="1:13" ht="13.5">
      <c r="A4822" s="475" t="s">
        <v>5563</v>
      </c>
      <c r="B4822" s="475" t="s">
        <v>5564</v>
      </c>
      <c r="C4822" s="475" t="s">
        <v>5567</v>
      </c>
      <c r="D4822" s="475" t="s">
        <v>5568</v>
      </c>
      <c r="E4822" s="476" t="s">
        <v>34</v>
      </c>
      <c r="F4822" s="475" t="s">
        <v>34</v>
      </c>
      <c r="G4822" s="364">
        <v>96528</v>
      </c>
      <c r="H4822" s="475" t="s">
        <v>3984</v>
      </c>
      <c r="I4822" s="475" t="s">
        <v>322</v>
      </c>
      <c r="J4822" s="475" t="s">
        <v>337</v>
      </c>
      <c r="K4822" s="365">
        <v>121.03</v>
      </c>
      <c r="L4822" s="475" t="s">
        <v>141</v>
      </c>
      <c r="M4822" s="473"/>
    </row>
    <row r="4823" spans="1:13" ht="13.5">
      <c r="A4823" s="475" t="s">
        <v>5563</v>
      </c>
      <c r="B4823" s="475" t="s">
        <v>5564</v>
      </c>
      <c r="C4823" s="475" t="s">
        <v>5567</v>
      </c>
      <c r="D4823" s="475" t="s">
        <v>5568</v>
      </c>
      <c r="E4823" s="476" t="s">
        <v>34</v>
      </c>
      <c r="F4823" s="475" t="s">
        <v>34</v>
      </c>
      <c r="G4823" s="364">
        <v>98116</v>
      </c>
      <c r="H4823" s="475" t="s">
        <v>6165</v>
      </c>
      <c r="I4823" s="475" t="s">
        <v>1261</v>
      </c>
      <c r="J4823" s="475" t="s">
        <v>140</v>
      </c>
      <c r="K4823" s="365">
        <v>11.65</v>
      </c>
      <c r="L4823" s="475" t="s">
        <v>141</v>
      </c>
      <c r="M4823" s="473"/>
    </row>
    <row r="4824" spans="1:13" ht="13.5">
      <c r="A4824" s="475" t="s">
        <v>5563</v>
      </c>
      <c r="B4824" s="475" t="s">
        <v>5564</v>
      </c>
      <c r="C4824" s="475" t="s">
        <v>5567</v>
      </c>
      <c r="D4824" s="475" t="s">
        <v>5568</v>
      </c>
      <c r="E4824" s="476" t="s">
        <v>34</v>
      </c>
      <c r="F4824" s="475" t="s">
        <v>34</v>
      </c>
      <c r="G4824" s="364">
        <v>98117</v>
      </c>
      <c r="H4824" s="475" t="s">
        <v>6166</v>
      </c>
      <c r="I4824" s="475" t="s">
        <v>1261</v>
      </c>
      <c r="J4824" s="475" t="s">
        <v>140</v>
      </c>
      <c r="K4824" s="365">
        <v>10.94</v>
      </c>
      <c r="L4824" s="475" t="s">
        <v>141</v>
      </c>
      <c r="M4824" s="473"/>
    </row>
    <row r="4825" spans="1:13" ht="13.5">
      <c r="A4825" s="475" t="s">
        <v>5563</v>
      </c>
      <c r="B4825" s="475" t="s">
        <v>5564</v>
      </c>
      <c r="C4825" s="475" t="s">
        <v>5567</v>
      </c>
      <c r="D4825" s="475" t="s">
        <v>5568</v>
      </c>
      <c r="E4825" s="476" t="s">
        <v>34</v>
      </c>
      <c r="F4825" s="475" t="s">
        <v>34</v>
      </c>
      <c r="G4825" s="364">
        <v>98118</v>
      </c>
      <c r="H4825" s="475" t="s">
        <v>6167</v>
      </c>
      <c r="I4825" s="475" t="s">
        <v>1261</v>
      </c>
      <c r="J4825" s="475" t="s">
        <v>140</v>
      </c>
      <c r="K4825" s="365">
        <v>10.94</v>
      </c>
      <c r="L4825" s="475" t="s">
        <v>141</v>
      </c>
      <c r="M4825" s="473"/>
    </row>
    <row r="4826" spans="1:13" ht="13.5">
      <c r="A4826" s="475" t="s">
        <v>5563</v>
      </c>
      <c r="B4826" s="475" t="s">
        <v>5564</v>
      </c>
      <c r="C4826" s="475" t="s">
        <v>5567</v>
      </c>
      <c r="D4826" s="475" t="s">
        <v>5568</v>
      </c>
      <c r="E4826" s="476" t="s">
        <v>34</v>
      </c>
      <c r="F4826" s="475" t="s">
        <v>34</v>
      </c>
      <c r="G4826" s="364">
        <v>98119</v>
      </c>
      <c r="H4826" s="475" t="s">
        <v>6168</v>
      </c>
      <c r="I4826" s="475" t="s">
        <v>1261</v>
      </c>
      <c r="J4826" s="475" t="s">
        <v>140</v>
      </c>
      <c r="K4826" s="365">
        <v>9.6999999999999993</v>
      </c>
      <c r="L4826" s="475" t="s">
        <v>141</v>
      </c>
      <c r="M4826" s="473"/>
    </row>
    <row r="4827" spans="1:13" ht="13.5">
      <c r="A4827" s="475" t="s">
        <v>5563</v>
      </c>
      <c r="B4827" s="475" t="s">
        <v>5564</v>
      </c>
      <c r="C4827" s="475" t="s">
        <v>5575</v>
      </c>
      <c r="D4827" s="475" t="s">
        <v>5576</v>
      </c>
      <c r="E4827" s="476" t="s">
        <v>34</v>
      </c>
      <c r="F4827" s="475" t="s">
        <v>34</v>
      </c>
      <c r="G4827" s="364">
        <v>72915</v>
      </c>
      <c r="H4827" s="475" t="s">
        <v>3985</v>
      </c>
      <c r="I4827" s="475" t="s">
        <v>1261</v>
      </c>
      <c r="J4827" s="475" t="s">
        <v>140</v>
      </c>
      <c r="K4827" s="365">
        <v>9.74</v>
      </c>
      <c r="L4827" s="475" t="s">
        <v>141</v>
      </c>
      <c r="M4827" s="473"/>
    </row>
    <row r="4828" spans="1:13" ht="13.5">
      <c r="A4828" s="475" t="s">
        <v>5563</v>
      </c>
      <c r="B4828" s="475" t="s">
        <v>5564</v>
      </c>
      <c r="C4828" s="475" t="s">
        <v>5575</v>
      </c>
      <c r="D4828" s="475" t="s">
        <v>5576</v>
      </c>
      <c r="E4828" s="476" t="s">
        <v>34</v>
      </c>
      <c r="F4828" s="475" t="s">
        <v>34</v>
      </c>
      <c r="G4828" s="364">
        <v>72917</v>
      </c>
      <c r="H4828" s="475" t="s">
        <v>3986</v>
      </c>
      <c r="I4828" s="475" t="s">
        <v>1261</v>
      </c>
      <c r="J4828" s="475" t="s">
        <v>140</v>
      </c>
      <c r="K4828" s="365">
        <v>11.13</v>
      </c>
      <c r="L4828" s="475" t="s">
        <v>141</v>
      </c>
      <c r="M4828" s="473"/>
    </row>
    <row r="4829" spans="1:13" ht="13.5">
      <c r="A4829" s="475" t="s">
        <v>5563</v>
      </c>
      <c r="B4829" s="475" t="s">
        <v>5564</v>
      </c>
      <c r="C4829" s="475" t="s">
        <v>5575</v>
      </c>
      <c r="D4829" s="475" t="s">
        <v>5576</v>
      </c>
      <c r="E4829" s="476" t="s">
        <v>34</v>
      </c>
      <c r="F4829" s="475" t="s">
        <v>34</v>
      </c>
      <c r="G4829" s="364">
        <v>72918</v>
      </c>
      <c r="H4829" s="475" t="s">
        <v>3987</v>
      </c>
      <c r="I4829" s="475" t="s">
        <v>1261</v>
      </c>
      <c r="J4829" s="475" t="s">
        <v>140</v>
      </c>
      <c r="K4829" s="365">
        <v>12.98</v>
      </c>
      <c r="L4829" s="475" t="s">
        <v>141</v>
      </c>
      <c r="M4829" s="473"/>
    </row>
    <row r="4830" spans="1:13" ht="13.5">
      <c r="A4830" s="475" t="s">
        <v>5563</v>
      </c>
      <c r="B4830" s="475" t="s">
        <v>5564</v>
      </c>
      <c r="C4830" s="475" t="s">
        <v>5575</v>
      </c>
      <c r="D4830" s="475" t="s">
        <v>5576</v>
      </c>
      <c r="E4830" s="476">
        <v>73965</v>
      </c>
      <c r="F4830" s="475" t="s">
        <v>5577</v>
      </c>
      <c r="G4830" s="364" t="s">
        <v>3988</v>
      </c>
      <c r="H4830" s="475" t="s">
        <v>3989</v>
      </c>
      <c r="I4830" s="475" t="s">
        <v>1261</v>
      </c>
      <c r="J4830" s="475" t="s">
        <v>363</v>
      </c>
      <c r="K4830" s="365">
        <v>143.6</v>
      </c>
      <c r="L4830" s="475" t="s">
        <v>141</v>
      </c>
      <c r="M4830" s="473"/>
    </row>
    <row r="4831" spans="1:13" ht="13.5">
      <c r="A4831" s="475" t="s">
        <v>5563</v>
      </c>
      <c r="B4831" s="475" t="s">
        <v>5564</v>
      </c>
      <c r="C4831" s="475" t="s">
        <v>5575</v>
      </c>
      <c r="D4831" s="475" t="s">
        <v>5576</v>
      </c>
      <c r="E4831" s="476">
        <v>79506</v>
      </c>
      <c r="F4831" s="475" t="s">
        <v>5577</v>
      </c>
      <c r="G4831" s="364" t="s">
        <v>3990</v>
      </c>
      <c r="H4831" s="475" t="s">
        <v>3991</v>
      </c>
      <c r="I4831" s="475" t="s">
        <v>1261</v>
      </c>
      <c r="J4831" s="475" t="s">
        <v>363</v>
      </c>
      <c r="K4831" s="365">
        <v>215.4</v>
      </c>
      <c r="L4831" s="475" t="s">
        <v>141</v>
      </c>
      <c r="M4831" s="473"/>
    </row>
    <row r="4832" spans="1:13" ht="13.5">
      <c r="A4832" s="475" t="s">
        <v>5563</v>
      </c>
      <c r="B4832" s="475" t="s">
        <v>5564</v>
      </c>
      <c r="C4832" s="475" t="s">
        <v>5575</v>
      </c>
      <c r="D4832" s="475" t="s">
        <v>5576</v>
      </c>
      <c r="E4832" s="476" t="s">
        <v>34</v>
      </c>
      <c r="F4832" s="475" t="s">
        <v>34</v>
      </c>
      <c r="G4832" s="364">
        <v>83343</v>
      </c>
      <c r="H4832" s="475" t="s">
        <v>3992</v>
      </c>
      <c r="I4832" s="475" t="s">
        <v>1261</v>
      </c>
      <c r="J4832" s="475" t="s">
        <v>140</v>
      </c>
      <c r="K4832" s="365">
        <v>12.5</v>
      </c>
      <c r="L4832" s="475" t="s">
        <v>141</v>
      </c>
      <c r="M4832" s="473"/>
    </row>
    <row r="4833" spans="1:13" ht="13.5">
      <c r="A4833" s="475" t="s">
        <v>5563</v>
      </c>
      <c r="B4833" s="475" t="s">
        <v>5564</v>
      </c>
      <c r="C4833" s="475" t="s">
        <v>5575</v>
      </c>
      <c r="D4833" s="475" t="s">
        <v>5576</v>
      </c>
      <c r="E4833" s="476" t="s">
        <v>34</v>
      </c>
      <c r="F4833" s="475" t="s">
        <v>34</v>
      </c>
      <c r="G4833" s="364">
        <v>90082</v>
      </c>
      <c r="H4833" s="475" t="s">
        <v>7774</v>
      </c>
      <c r="I4833" s="475" t="s">
        <v>1261</v>
      </c>
      <c r="J4833" s="475" t="s">
        <v>140</v>
      </c>
      <c r="K4833" s="365">
        <v>7.5</v>
      </c>
      <c r="L4833" s="475" t="s">
        <v>141</v>
      </c>
      <c r="M4833" s="473"/>
    </row>
    <row r="4834" spans="1:13" ht="13.5">
      <c r="A4834" s="475" t="s">
        <v>5563</v>
      </c>
      <c r="B4834" s="475" t="s">
        <v>5564</v>
      </c>
      <c r="C4834" s="475" t="s">
        <v>5575</v>
      </c>
      <c r="D4834" s="475" t="s">
        <v>5576</v>
      </c>
      <c r="E4834" s="476" t="s">
        <v>34</v>
      </c>
      <c r="F4834" s="475" t="s">
        <v>34</v>
      </c>
      <c r="G4834" s="364">
        <v>90084</v>
      </c>
      <c r="H4834" s="475" t="s">
        <v>3993</v>
      </c>
      <c r="I4834" s="475" t="s">
        <v>1261</v>
      </c>
      <c r="J4834" s="475" t="s">
        <v>140</v>
      </c>
      <c r="K4834" s="365">
        <v>7.29</v>
      </c>
      <c r="L4834" s="475" t="s">
        <v>141</v>
      </c>
      <c r="M4834" s="473"/>
    </row>
    <row r="4835" spans="1:13" ht="13.5">
      <c r="A4835" s="475" t="s">
        <v>5563</v>
      </c>
      <c r="B4835" s="475" t="s">
        <v>5564</v>
      </c>
      <c r="C4835" s="475" t="s">
        <v>5575</v>
      </c>
      <c r="D4835" s="475" t="s">
        <v>5576</v>
      </c>
      <c r="E4835" s="476" t="s">
        <v>34</v>
      </c>
      <c r="F4835" s="475" t="s">
        <v>34</v>
      </c>
      <c r="G4835" s="364">
        <v>90085</v>
      </c>
      <c r="H4835" s="475" t="s">
        <v>3994</v>
      </c>
      <c r="I4835" s="475" t="s">
        <v>1261</v>
      </c>
      <c r="J4835" s="475" t="s">
        <v>140</v>
      </c>
      <c r="K4835" s="365">
        <v>6.85</v>
      </c>
      <c r="L4835" s="475" t="s">
        <v>141</v>
      </c>
      <c r="M4835" s="473"/>
    </row>
    <row r="4836" spans="1:13" ht="13.5">
      <c r="A4836" s="475" t="s">
        <v>5563</v>
      </c>
      <c r="B4836" s="475" t="s">
        <v>5564</v>
      </c>
      <c r="C4836" s="475" t="s">
        <v>5575</v>
      </c>
      <c r="D4836" s="475" t="s">
        <v>5576</v>
      </c>
      <c r="E4836" s="476" t="s">
        <v>34</v>
      </c>
      <c r="F4836" s="475" t="s">
        <v>34</v>
      </c>
      <c r="G4836" s="364">
        <v>90086</v>
      </c>
      <c r="H4836" s="475" t="s">
        <v>3995</v>
      </c>
      <c r="I4836" s="475" t="s">
        <v>1261</v>
      </c>
      <c r="J4836" s="475" t="s">
        <v>140</v>
      </c>
      <c r="K4836" s="365">
        <v>6.93</v>
      </c>
      <c r="L4836" s="475" t="s">
        <v>141</v>
      </c>
      <c r="M4836" s="473"/>
    </row>
    <row r="4837" spans="1:13" ht="13.5">
      <c r="A4837" s="475" t="s">
        <v>5563</v>
      </c>
      <c r="B4837" s="475" t="s">
        <v>5564</v>
      </c>
      <c r="C4837" s="475" t="s">
        <v>5575</v>
      </c>
      <c r="D4837" s="475" t="s">
        <v>5576</v>
      </c>
      <c r="E4837" s="476" t="s">
        <v>34</v>
      </c>
      <c r="F4837" s="475" t="s">
        <v>34</v>
      </c>
      <c r="G4837" s="364">
        <v>90087</v>
      </c>
      <c r="H4837" s="475" t="s">
        <v>3996</v>
      </c>
      <c r="I4837" s="475" t="s">
        <v>1261</v>
      </c>
      <c r="J4837" s="475" t="s">
        <v>140</v>
      </c>
      <c r="K4837" s="365">
        <v>6.08</v>
      </c>
      <c r="L4837" s="475" t="s">
        <v>141</v>
      </c>
      <c r="M4837" s="473"/>
    </row>
    <row r="4838" spans="1:13" ht="13.5">
      <c r="A4838" s="475" t="s">
        <v>5563</v>
      </c>
      <c r="B4838" s="475" t="s">
        <v>5564</v>
      </c>
      <c r="C4838" s="475" t="s">
        <v>5575</v>
      </c>
      <c r="D4838" s="475" t="s">
        <v>5576</v>
      </c>
      <c r="E4838" s="476" t="s">
        <v>34</v>
      </c>
      <c r="F4838" s="475" t="s">
        <v>34</v>
      </c>
      <c r="G4838" s="364">
        <v>90088</v>
      </c>
      <c r="H4838" s="475" t="s">
        <v>3997</v>
      </c>
      <c r="I4838" s="475" t="s">
        <v>1261</v>
      </c>
      <c r="J4838" s="475" t="s">
        <v>140</v>
      </c>
      <c r="K4838" s="365">
        <v>6.2</v>
      </c>
      <c r="L4838" s="475" t="s">
        <v>141</v>
      </c>
      <c r="M4838" s="473"/>
    </row>
    <row r="4839" spans="1:13" ht="13.5">
      <c r="A4839" s="475" t="s">
        <v>5563</v>
      </c>
      <c r="B4839" s="475" t="s">
        <v>5564</v>
      </c>
      <c r="C4839" s="475" t="s">
        <v>5575</v>
      </c>
      <c r="D4839" s="475" t="s">
        <v>5576</v>
      </c>
      <c r="E4839" s="476" t="s">
        <v>34</v>
      </c>
      <c r="F4839" s="475" t="s">
        <v>34</v>
      </c>
      <c r="G4839" s="364">
        <v>90090</v>
      </c>
      <c r="H4839" s="475" t="s">
        <v>3998</v>
      </c>
      <c r="I4839" s="475" t="s">
        <v>1261</v>
      </c>
      <c r="J4839" s="475" t="s">
        <v>140</v>
      </c>
      <c r="K4839" s="365">
        <v>5.96</v>
      </c>
      <c r="L4839" s="475" t="s">
        <v>141</v>
      </c>
      <c r="M4839" s="473"/>
    </row>
    <row r="4840" spans="1:13" ht="13.5">
      <c r="A4840" s="475" t="s">
        <v>5563</v>
      </c>
      <c r="B4840" s="475" t="s">
        <v>5564</v>
      </c>
      <c r="C4840" s="475" t="s">
        <v>5575</v>
      </c>
      <c r="D4840" s="475" t="s">
        <v>5576</v>
      </c>
      <c r="E4840" s="476" t="s">
        <v>34</v>
      </c>
      <c r="F4840" s="475" t="s">
        <v>34</v>
      </c>
      <c r="G4840" s="364">
        <v>90091</v>
      </c>
      <c r="H4840" s="475" t="s">
        <v>7775</v>
      </c>
      <c r="I4840" s="475" t="s">
        <v>1261</v>
      </c>
      <c r="J4840" s="475" t="s">
        <v>140</v>
      </c>
      <c r="K4840" s="365">
        <v>4.4800000000000004</v>
      </c>
      <c r="L4840" s="475" t="s">
        <v>141</v>
      </c>
      <c r="M4840" s="473"/>
    </row>
    <row r="4841" spans="1:13" ht="13.5">
      <c r="A4841" s="475" t="s">
        <v>5563</v>
      </c>
      <c r="B4841" s="475" t="s">
        <v>5564</v>
      </c>
      <c r="C4841" s="475" t="s">
        <v>5575</v>
      </c>
      <c r="D4841" s="475" t="s">
        <v>5576</v>
      </c>
      <c r="E4841" s="476" t="s">
        <v>34</v>
      </c>
      <c r="F4841" s="475" t="s">
        <v>34</v>
      </c>
      <c r="G4841" s="364">
        <v>90092</v>
      </c>
      <c r="H4841" s="475" t="s">
        <v>3999</v>
      </c>
      <c r="I4841" s="475" t="s">
        <v>1261</v>
      </c>
      <c r="J4841" s="475" t="s">
        <v>140</v>
      </c>
      <c r="K4841" s="365">
        <v>4.34</v>
      </c>
      <c r="L4841" s="475" t="s">
        <v>141</v>
      </c>
      <c r="M4841" s="473"/>
    </row>
    <row r="4842" spans="1:13" ht="13.5">
      <c r="A4842" s="475" t="s">
        <v>5563</v>
      </c>
      <c r="B4842" s="475" t="s">
        <v>5564</v>
      </c>
      <c r="C4842" s="475" t="s">
        <v>5575</v>
      </c>
      <c r="D4842" s="475" t="s">
        <v>5576</v>
      </c>
      <c r="E4842" s="476" t="s">
        <v>34</v>
      </c>
      <c r="F4842" s="475" t="s">
        <v>34</v>
      </c>
      <c r="G4842" s="364">
        <v>90093</v>
      </c>
      <c r="H4842" s="475" t="s">
        <v>4000</v>
      </c>
      <c r="I4842" s="475" t="s">
        <v>1261</v>
      </c>
      <c r="J4842" s="475" t="s">
        <v>140</v>
      </c>
      <c r="K4842" s="365">
        <v>4.09</v>
      </c>
      <c r="L4842" s="475" t="s">
        <v>141</v>
      </c>
      <c r="M4842" s="473"/>
    </row>
    <row r="4843" spans="1:13" ht="13.5">
      <c r="A4843" s="475" t="s">
        <v>5563</v>
      </c>
      <c r="B4843" s="475" t="s">
        <v>5564</v>
      </c>
      <c r="C4843" s="475" t="s">
        <v>5575</v>
      </c>
      <c r="D4843" s="475" t="s">
        <v>5576</v>
      </c>
      <c r="E4843" s="476" t="s">
        <v>34</v>
      </c>
      <c r="F4843" s="475" t="s">
        <v>34</v>
      </c>
      <c r="G4843" s="364">
        <v>90094</v>
      </c>
      <c r="H4843" s="475" t="s">
        <v>4001</v>
      </c>
      <c r="I4843" s="475" t="s">
        <v>1261</v>
      </c>
      <c r="J4843" s="475" t="s">
        <v>140</v>
      </c>
      <c r="K4843" s="365">
        <v>4.13</v>
      </c>
      <c r="L4843" s="475" t="s">
        <v>141</v>
      </c>
      <c r="M4843" s="473"/>
    </row>
    <row r="4844" spans="1:13" ht="13.5">
      <c r="A4844" s="475" t="s">
        <v>5563</v>
      </c>
      <c r="B4844" s="475" t="s">
        <v>5564</v>
      </c>
      <c r="C4844" s="475" t="s">
        <v>5575</v>
      </c>
      <c r="D4844" s="475" t="s">
        <v>5576</v>
      </c>
      <c r="E4844" s="476" t="s">
        <v>34</v>
      </c>
      <c r="F4844" s="475" t="s">
        <v>34</v>
      </c>
      <c r="G4844" s="364">
        <v>90095</v>
      </c>
      <c r="H4844" s="475" t="s">
        <v>4002</v>
      </c>
      <c r="I4844" s="475" t="s">
        <v>1261</v>
      </c>
      <c r="J4844" s="475" t="s">
        <v>140</v>
      </c>
      <c r="K4844" s="365">
        <v>3.62</v>
      </c>
      <c r="L4844" s="475" t="s">
        <v>141</v>
      </c>
      <c r="M4844" s="473"/>
    </row>
    <row r="4845" spans="1:13" ht="13.5">
      <c r="A4845" s="475" t="s">
        <v>5563</v>
      </c>
      <c r="B4845" s="475" t="s">
        <v>5564</v>
      </c>
      <c r="C4845" s="475" t="s">
        <v>5575</v>
      </c>
      <c r="D4845" s="475" t="s">
        <v>5576</v>
      </c>
      <c r="E4845" s="476" t="s">
        <v>34</v>
      </c>
      <c r="F4845" s="475" t="s">
        <v>34</v>
      </c>
      <c r="G4845" s="364">
        <v>90096</v>
      </c>
      <c r="H4845" s="475" t="s">
        <v>4003</v>
      </c>
      <c r="I4845" s="475" t="s">
        <v>1261</v>
      </c>
      <c r="J4845" s="475" t="s">
        <v>140</v>
      </c>
      <c r="K4845" s="365">
        <v>3.7</v>
      </c>
      <c r="L4845" s="475" t="s">
        <v>141</v>
      </c>
      <c r="M4845" s="473"/>
    </row>
    <row r="4846" spans="1:13" ht="13.5">
      <c r="A4846" s="475" t="s">
        <v>5563</v>
      </c>
      <c r="B4846" s="475" t="s">
        <v>5564</v>
      </c>
      <c r="C4846" s="475" t="s">
        <v>5575</v>
      </c>
      <c r="D4846" s="475" t="s">
        <v>5576</v>
      </c>
      <c r="E4846" s="476" t="s">
        <v>34</v>
      </c>
      <c r="F4846" s="475" t="s">
        <v>34</v>
      </c>
      <c r="G4846" s="364">
        <v>90098</v>
      </c>
      <c r="H4846" s="475" t="s">
        <v>4004</v>
      </c>
      <c r="I4846" s="475" t="s">
        <v>1261</v>
      </c>
      <c r="J4846" s="475" t="s">
        <v>140</v>
      </c>
      <c r="K4846" s="365">
        <v>3.54</v>
      </c>
      <c r="L4846" s="475" t="s">
        <v>141</v>
      </c>
      <c r="M4846" s="473"/>
    </row>
    <row r="4847" spans="1:13" ht="13.5">
      <c r="A4847" s="475" t="s">
        <v>5563</v>
      </c>
      <c r="B4847" s="475" t="s">
        <v>5564</v>
      </c>
      <c r="C4847" s="475" t="s">
        <v>5575</v>
      </c>
      <c r="D4847" s="475" t="s">
        <v>5576</v>
      </c>
      <c r="E4847" s="476" t="s">
        <v>34</v>
      </c>
      <c r="F4847" s="475" t="s">
        <v>34</v>
      </c>
      <c r="G4847" s="364">
        <v>90099</v>
      </c>
      <c r="H4847" s="475" t="s">
        <v>4005</v>
      </c>
      <c r="I4847" s="475" t="s">
        <v>1261</v>
      </c>
      <c r="J4847" s="475" t="s">
        <v>140</v>
      </c>
      <c r="K4847" s="365">
        <v>10.24</v>
      </c>
      <c r="L4847" s="475" t="s">
        <v>141</v>
      </c>
      <c r="M4847" s="473"/>
    </row>
    <row r="4848" spans="1:13" ht="13.5">
      <c r="A4848" s="475" t="s">
        <v>5563</v>
      </c>
      <c r="B4848" s="475" t="s">
        <v>5564</v>
      </c>
      <c r="C4848" s="475" t="s">
        <v>5575</v>
      </c>
      <c r="D4848" s="475" t="s">
        <v>5576</v>
      </c>
      <c r="E4848" s="476" t="s">
        <v>34</v>
      </c>
      <c r="F4848" s="475" t="s">
        <v>34</v>
      </c>
      <c r="G4848" s="364">
        <v>90100</v>
      </c>
      <c r="H4848" s="475" t="s">
        <v>4006</v>
      </c>
      <c r="I4848" s="475" t="s">
        <v>1261</v>
      </c>
      <c r="J4848" s="475" t="s">
        <v>140</v>
      </c>
      <c r="K4848" s="365">
        <v>8.6999999999999993</v>
      </c>
      <c r="L4848" s="475" t="s">
        <v>141</v>
      </c>
      <c r="M4848" s="473"/>
    </row>
    <row r="4849" spans="1:13" ht="13.5">
      <c r="A4849" s="475" t="s">
        <v>5563</v>
      </c>
      <c r="B4849" s="475" t="s">
        <v>5564</v>
      </c>
      <c r="C4849" s="475" t="s">
        <v>5575</v>
      </c>
      <c r="D4849" s="475" t="s">
        <v>5576</v>
      </c>
      <c r="E4849" s="476" t="s">
        <v>34</v>
      </c>
      <c r="F4849" s="475" t="s">
        <v>34</v>
      </c>
      <c r="G4849" s="364">
        <v>90101</v>
      </c>
      <c r="H4849" s="475" t="s">
        <v>4007</v>
      </c>
      <c r="I4849" s="475" t="s">
        <v>1261</v>
      </c>
      <c r="J4849" s="475" t="s">
        <v>140</v>
      </c>
      <c r="K4849" s="365">
        <v>8.61</v>
      </c>
      <c r="L4849" s="475" t="s">
        <v>141</v>
      </c>
      <c r="M4849" s="473"/>
    </row>
    <row r="4850" spans="1:13" ht="13.5">
      <c r="A4850" s="475" t="s">
        <v>5563</v>
      </c>
      <c r="B4850" s="475" t="s">
        <v>5564</v>
      </c>
      <c r="C4850" s="475" t="s">
        <v>5575</v>
      </c>
      <c r="D4850" s="475" t="s">
        <v>5576</v>
      </c>
      <c r="E4850" s="476" t="s">
        <v>34</v>
      </c>
      <c r="F4850" s="475" t="s">
        <v>34</v>
      </c>
      <c r="G4850" s="364">
        <v>90102</v>
      </c>
      <c r="H4850" s="475" t="s">
        <v>4008</v>
      </c>
      <c r="I4850" s="475" t="s">
        <v>1261</v>
      </c>
      <c r="J4850" s="475" t="s">
        <v>140</v>
      </c>
      <c r="K4850" s="365">
        <v>7.82</v>
      </c>
      <c r="L4850" s="475" t="s">
        <v>141</v>
      </c>
      <c r="M4850" s="473"/>
    </row>
    <row r="4851" spans="1:13" ht="13.5">
      <c r="A4851" s="475" t="s">
        <v>5563</v>
      </c>
      <c r="B4851" s="475" t="s">
        <v>5564</v>
      </c>
      <c r="C4851" s="475" t="s">
        <v>5575</v>
      </c>
      <c r="D4851" s="475" t="s">
        <v>5576</v>
      </c>
      <c r="E4851" s="476" t="s">
        <v>34</v>
      </c>
      <c r="F4851" s="475" t="s">
        <v>34</v>
      </c>
      <c r="G4851" s="364">
        <v>90105</v>
      </c>
      <c r="H4851" s="475" t="s">
        <v>4009</v>
      </c>
      <c r="I4851" s="475" t="s">
        <v>1261</v>
      </c>
      <c r="J4851" s="475" t="s">
        <v>140</v>
      </c>
      <c r="K4851" s="365">
        <v>6.11</v>
      </c>
      <c r="L4851" s="475" t="s">
        <v>141</v>
      </c>
      <c r="M4851" s="473"/>
    </row>
    <row r="4852" spans="1:13" ht="13.5">
      <c r="A4852" s="475" t="s">
        <v>5563</v>
      </c>
      <c r="B4852" s="475" t="s">
        <v>5564</v>
      </c>
      <c r="C4852" s="475" t="s">
        <v>5575</v>
      </c>
      <c r="D4852" s="475" t="s">
        <v>5576</v>
      </c>
      <c r="E4852" s="476" t="s">
        <v>34</v>
      </c>
      <c r="F4852" s="475" t="s">
        <v>34</v>
      </c>
      <c r="G4852" s="364">
        <v>90106</v>
      </c>
      <c r="H4852" s="475" t="s">
        <v>4010</v>
      </c>
      <c r="I4852" s="475" t="s">
        <v>1261</v>
      </c>
      <c r="J4852" s="475" t="s">
        <v>140</v>
      </c>
      <c r="K4852" s="365">
        <v>5.19</v>
      </c>
      <c r="L4852" s="475" t="s">
        <v>141</v>
      </c>
      <c r="M4852" s="473"/>
    </row>
    <row r="4853" spans="1:13" ht="13.5">
      <c r="A4853" s="475" t="s">
        <v>5563</v>
      </c>
      <c r="B4853" s="475" t="s">
        <v>5564</v>
      </c>
      <c r="C4853" s="475" t="s">
        <v>5575</v>
      </c>
      <c r="D4853" s="475" t="s">
        <v>5576</v>
      </c>
      <c r="E4853" s="476" t="s">
        <v>34</v>
      </c>
      <c r="F4853" s="475" t="s">
        <v>34</v>
      </c>
      <c r="G4853" s="364">
        <v>90107</v>
      </c>
      <c r="H4853" s="475" t="s">
        <v>6324</v>
      </c>
      <c r="I4853" s="475" t="s">
        <v>1261</v>
      </c>
      <c r="J4853" s="475" t="s">
        <v>140</v>
      </c>
      <c r="K4853" s="365">
        <v>5.13</v>
      </c>
      <c r="L4853" s="475" t="s">
        <v>141</v>
      </c>
      <c r="M4853" s="473"/>
    </row>
    <row r="4854" spans="1:13" ht="13.5">
      <c r="A4854" s="475" t="s">
        <v>5563</v>
      </c>
      <c r="B4854" s="475" t="s">
        <v>5564</v>
      </c>
      <c r="C4854" s="475" t="s">
        <v>5575</v>
      </c>
      <c r="D4854" s="475" t="s">
        <v>5576</v>
      </c>
      <c r="E4854" s="476" t="s">
        <v>34</v>
      </c>
      <c r="F4854" s="475" t="s">
        <v>34</v>
      </c>
      <c r="G4854" s="364">
        <v>90108</v>
      </c>
      <c r="H4854" s="475" t="s">
        <v>4011</v>
      </c>
      <c r="I4854" s="475" t="s">
        <v>1261</v>
      </c>
      <c r="J4854" s="475" t="s">
        <v>140</v>
      </c>
      <c r="K4854" s="365">
        <v>4.67</v>
      </c>
      <c r="L4854" s="475" t="s">
        <v>141</v>
      </c>
      <c r="M4854" s="473"/>
    </row>
    <row r="4855" spans="1:13" ht="13.5">
      <c r="A4855" s="475" t="s">
        <v>5563</v>
      </c>
      <c r="B4855" s="475" t="s">
        <v>5564</v>
      </c>
      <c r="C4855" s="475" t="s">
        <v>5575</v>
      </c>
      <c r="D4855" s="475" t="s">
        <v>5576</v>
      </c>
      <c r="E4855" s="476" t="s">
        <v>34</v>
      </c>
      <c r="F4855" s="475" t="s">
        <v>34</v>
      </c>
      <c r="G4855" s="364">
        <v>93358</v>
      </c>
      <c r="H4855" s="475" t="s">
        <v>6325</v>
      </c>
      <c r="I4855" s="475" t="s">
        <v>1261</v>
      </c>
      <c r="J4855" s="475" t="s">
        <v>363</v>
      </c>
      <c r="K4855" s="365">
        <v>56.8</v>
      </c>
      <c r="L4855" s="475" t="s">
        <v>141</v>
      </c>
      <c r="M4855" s="473"/>
    </row>
    <row r="4856" spans="1:13" ht="13.5">
      <c r="A4856" s="475" t="s">
        <v>5563</v>
      </c>
      <c r="B4856" s="475" t="s">
        <v>5564</v>
      </c>
      <c r="C4856" s="475" t="s">
        <v>5578</v>
      </c>
      <c r="D4856" s="475" t="s">
        <v>5579</v>
      </c>
      <c r="E4856" s="476" t="s">
        <v>34</v>
      </c>
      <c r="F4856" s="475" t="s">
        <v>34</v>
      </c>
      <c r="G4856" s="364">
        <v>79482</v>
      </c>
      <c r="H4856" s="475" t="s">
        <v>4012</v>
      </c>
      <c r="I4856" s="475" t="s">
        <v>1261</v>
      </c>
      <c r="J4856" s="475" t="s">
        <v>140</v>
      </c>
      <c r="K4856" s="365">
        <v>110.99</v>
      </c>
      <c r="L4856" s="475" t="s">
        <v>141</v>
      </c>
      <c r="M4856" s="473"/>
    </row>
    <row r="4857" spans="1:13" ht="13.5">
      <c r="A4857" s="475" t="s">
        <v>5563</v>
      </c>
      <c r="B4857" s="475" t="s">
        <v>5564</v>
      </c>
      <c r="C4857" s="475" t="s">
        <v>5578</v>
      </c>
      <c r="D4857" s="475" t="s">
        <v>5579</v>
      </c>
      <c r="E4857" s="476" t="s">
        <v>34</v>
      </c>
      <c r="F4857" s="475" t="s">
        <v>34</v>
      </c>
      <c r="G4857" s="364">
        <v>94304</v>
      </c>
      <c r="H4857" s="475" t="s">
        <v>4013</v>
      </c>
      <c r="I4857" s="475" t="s">
        <v>1261</v>
      </c>
      <c r="J4857" s="475" t="s">
        <v>140</v>
      </c>
      <c r="K4857" s="365">
        <v>23.19</v>
      </c>
      <c r="L4857" s="475" t="s">
        <v>141</v>
      </c>
      <c r="M4857" s="473"/>
    </row>
    <row r="4858" spans="1:13" ht="13.5">
      <c r="A4858" s="475" t="s">
        <v>5563</v>
      </c>
      <c r="B4858" s="475" t="s">
        <v>5564</v>
      </c>
      <c r="C4858" s="475" t="s">
        <v>5578</v>
      </c>
      <c r="D4858" s="475" t="s">
        <v>5579</v>
      </c>
      <c r="E4858" s="476" t="s">
        <v>34</v>
      </c>
      <c r="F4858" s="475" t="s">
        <v>34</v>
      </c>
      <c r="G4858" s="364">
        <v>94305</v>
      </c>
      <c r="H4858" s="475" t="s">
        <v>4014</v>
      </c>
      <c r="I4858" s="475" t="s">
        <v>1261</v>
      </c>
      <c r="J4858" s="475" t="s">
        <v>140</v>
      </c>
      <c r="K4858" s="365">
        <v>20.86</v>
      </c>
      <c r="L4858" s="475" t="s">
        <v>141</v>
      </c>
      <c r="M4858" s="473"/>
    </row>
    <row r="4859" spans="1:13" ht="13.5">
      <c r="A4859" s="475" t="s">
        <v>5563</v>
      </c>
      <c r="B4859" s="475" t="s">
        <v>5564</v>
      </c>
      <c r="C4859" s="475" t="s">
        <v>5578</v>
      </c>
      <c r="D4859" s="475" t="s">
        <v>5579</v>
      </c>
      <c r="E4859" s="476" t="s">
        <v>34</v>
      </c>
      <c r="F4859" s="475" t="s">
        <v>34</v>
      </c>
      <c r="G4859" s="364">
        <v>94306</v>
      </c>
      <c r="H4859" s="475" t="s">
        <v>4015</v>
      </c>
      <c r="I4859" s="475" t="s">
        <v>1261</v>
      </c>
      <c r="J4859" s="475" t="s">
        <v>140</v>
      </c>
      <c r="K4859" s="365">
        <v>17.89</v>
      </c>
      <c r="L4859" s="475" t="s">
        <v>141</v>
      </c>
      <c r="M4859" s="473"/>
    </row>
    <row r="4860" spans="1:13" ht="13.5">
      <c r="A4860" s="475" t="s">
        <v>5563</v>
      </c>
      <c r="B4860" s="475" t="s">
        <v>5564</v>
      </c>
      <c r="C4860" s="475" t="s">
        <v>5578</v>
      </c>
      <c r="D4860" s="475" t="s">
        <v>5579</v>
      </c>
      <c r="E4860" s="476" t="s">
        <v>34</v>
      </c>
      <c r="F4860" s="475" t="s">
        <v>34</v>
      </c>
      <c r="G4860" s="364">
        <v>94307</v>
      </c>
      <c r="H4860" s="475" t="s">
        <v>4016</v>
      </c>
      <c r="I4860" s="475" t="s">
        <v>1261</v>
      </c>
      <c r="J4860" s="475" t="s">
        <v>140</v>
      </c>
      <c r="K4860" s="365">
        <v>18.59</v>
      </c>
      <c r="L4860" s="475" t="s">
        <v>141</v>
      </c>
      <c r="M4860" s="473"/>
    </row>
    <row r="4861" spans="1:13" ht="13.5">
      <c r="A4861" s="475" t="s">
        <v>5563</v>
      </c>
      <c r="B4861" s="475" t="s">
        <v>5564</v>
      </c>
      <c r="C4861" s="475" t="s">
        <v>5578</v>
      </c>
      <c r="D4861" s="475" t="s">
        <v>5579</v>
      </c>
      <c r="E4861" s="476" t="s">
        <v>34</v>
      </c>
      <c r="F4861" s="475" t="s">
        <v>34</v>
      </c>
      <c r="G4861" s="364">
        <v>94308</v>
      </c>
      <c r="H4861" s="475" t="s">
        <v>4017</v>
      </c>
      <c r="I4861" s="475" t="s">
        <v>1261</v>
      </c>
      <c r="J4861" s="475" t="s">
        <v>140</v>
      </c>
      <c r="K4861" s="365">
        <v>16.760000000000002</v>
      </c>
      <c r="L4861" s="475" t="s">
        <v>141</v>
      </c>
      <c r="M4861" s="473"/>
    </row>
    <row r="4862" spans="1:13" ht="13.5">
      <c r="A4862" s="475" t="s">
        <v>5563</v>
      </c>
      <c r="B4862" s="475" t="s">
        <v>5564</v>
      </c>
      <c r="C4862" s="475" t="s">
        <v>5578</v>
      </c>
      <c r="D4862" s="475" t="s">
        <v>5579</v>
      </c>
      <c r="E4862" s="476" t="s">
        <v>34</v>
      </c>
      <c r="F4862" s="475" t="s">
        <v>34</v>
      </c>
      <c r="G4862" s="364">
        <v>94309</v>
      </c>
      <c r="H4862" s="475" t="s">
        <v>4018</v>
      </c>
      <c r="I4862" s="475" t="s">
        <v>1261</v>
      </c>
      <c r="J4862" s="475" t="s">
        <v>140</v>
      </c>
      <c r="K4862" s="365">
        <v>17.59</v>
      </c>
      <c r="L4862" s="475" t="s">
        <v>141</v>
      </c>
      <c r="M4862" s="473"/>
    </row>
    <row r="4863" spans="1:13" ht="13.5">
      <c r="A4863" s="475" t="s">
        <v>5563</v>
      </c>
      <c r="B4863" s="475" t="s">
        <v>5564</v>
      </c>
      <c r="C4863" s="475" t="s">
        <v>5578</v>
      </c>
      <c r="D4863" s="475" t="s">
        <v>5579</v>
      </c>
      <c r="E4863" s="476" t="s">
        <v>34</v>
      </c>
      <c r="F4863" s="475" t="s">
        <v>34</v>
      </c>
      <c r="G4863" s="364">
        <v>94310</v>
      </c>
      <c r="H4863" s="475" t="s">
        <v>4019</v>
      </c>
      <c r="I4863" s="475" t="s">
        <v>1261</v>
      </c>
      <c r="J4863" s="475" t="s">
        <v>140</v>
      </c>
      <c r="K4863" s="365">
        <v>16.170000000000002</v>
      </c>
      <c r="L4863" s="475" t="s">
        <v>141</v>
      </c>
      <c r="M4863" s="473"/>
    </row>
    <row r="4864" spans="1:13" ht="13.5">
      <c r="A4864" s="475" t="s">
        <v>5563</v>
      </c>
      <c r="B4864" s="475" t="s">
        <v>5564</v>
      </c>
      <c r="C4864" s="475" t="s">
        <v>5578</v>
      </c>
      <c r="D4864" s="475" t="s">
        <v>5579</v>
      </c>
      <c r="E4864" s="476" t="s">
        <v>34</v>
      </c>
      <c r="F4864" s="475" t="s">
        <v>34</v>
      </c>
      <c r="G4864" s="364">
        <v>94315</v>
      </c>
      <c r="H4864" s="475" t="s">
        <v>4020</v>
      </c>
      <c r="I4864" s="475" t="s">
        <v>1261</v>
      </c>
      <c r="J4864" s="475" t="s">
        <v>140</v>
      </c>
      <c r="K4864" s="365">
        <v>27.83</v>
      </c>
      <c r="L4864" s="475" t="s">
        <v>141</v>
      </c>
      <c r="M4864" s="473"/>
    </row>
    <row r="4865" spans="1:13" ht="13.5">
      <c r="A4865" s="475" t="s">
        <v>5563</v>
      </c>
      <c r="B4865" s="475" t="s">
        <v>5564</v>
      </c>
      <c r="C4865" s="475" t="s">
        <v>5578</v>
      </c>
      <c r="D4865" s="475" t="s">
        <v>5579</v>
      </c>
      <c r="E4865" s="476" t="s">
        <v>34</v>
      </c>
      <c r="F4865" s="475" t="s">
        <v>34</v>
      </c>
      <c r="G4865" s="364">
        <v>94316</v>
      </c>
      <c r="H4865" s="475" t="s">
        <v>4021</v>
      </c>
      <c r="I4865" s="475" t="s">
        <v>1261</v>
      </c>
      <c r="J4865" s="475" t="s">
        <v>140</v>
      </c>
      <c r="K4865" s="365">
        <v>22.44</v>
      </c>
      <c r="L4865" s="475" t="s">
        <v>141</v>
      </c>
      <c r="M4865" s="473"/>
    </row>
    <row r="4866" spans="1:13" ht="13.5">
      <c r="A4866" s="475" t="s">
        <v>5563</v>
      </c>
      <c r="B4866" s="475" t="s">
        <v>5564</v>
      </c>
      <c r="C4866" s="475" t="s">
        <v>5578</v>
      </c>
      <c r="D4866" s="475" t="s">
        <v>5579</v>
      </c>
      <c r="E4866" s="476" t="s">
        <v>34</v>
      </c>
      <c r="F4866" s="475" t="s">
        <v>34</v>
      </c>
      <c r="G4866" s="364">
        <v>94317</v>
      </c>
      <c r="H4866" s="475" t="s">
        <v>4022</v>
      </c>
      <c r="I4866" s="475" t="s">
        <v>1261</v>
      </c>
      <c r="J4866" s="475" t="s">
        <v>140</v>
      </c>
      <c r="K4866" s="365">
        <v>20.04</v>
      </c>
      <c r="L4866" s="475" t="s">
        <v>141</v>
      </c>
      <c r="M4866" s="473"/>
    </row>
    <row r="4867" spans="1:13" ht="13.5">
      <c r="A4867" s="475" t="s">
        <v>5563</v>
      </c>
      <c r="B4867" s="475" t="s">
        <v>5564</v>
      </c>
      <c r="C4867" s="475" t="s">
        <v>5578</v>
      </c>
      <c r="D4867" s="475" t="s">
        <v>5579</v>
      </c>
      <c r="E4867" s="476" t="s">
        <v>34</v>
      </c>
      <c r="F4867" s="475" t="s">
        <v>34</v>
      </c>
      <c r="G4867" s="364">
        <v>94318</v>
      </c>
      <c r="H4867" s="475" t="s">
        <v>4023</v>
      </c>
      <c r="I4867" s="475" t="s">
        <v>1261</v>
      </c>
      <c r="J4867" s="475" t="s">
        <v>140</v>
      </c>
      <c r="K4867" s="365">
        <v>16.97</v>
      </c>
      <c r="L4867" s="475" t="s">
        <v>141</v>
      </c>
      <c r="M4867" s="473"/>
    </row>
    <row r="4868" spans="1:13" ht="13.5">
      <c r="A4868" s="475" t="s">
        <v>5563</v>
      </c>
      <c r="B4868" s="475" t="s">
        <v>5564</v>
      </c>
      <c r="C4868" s="475" t="s">
        <v>5578</v>
      </c>
      <c r="D4868" s="475" t="s">
        <v>5579</v>
      </c>
      <c r="E4868" s="476" t="s">
        <v>34</v>
      </c>
      <c r="F4868" s="475" t="s">
        <v>34</v>
      </c>
      <c r="G4868" s="364">
        <v>94319</v>
      </c>
      <c r="H4868" s="475" t="s">
        <v>4024</v>
      </c>
      <c r="I4868" s="475" t="s">
        <v>1261</v>
      </c>
      <c r="J4868" s="475" t="s">
        <v>140</v>
      </c>
      <c r="K4868" s="365">
        <v>30.63</v>
      </c>
      <c r="L4868" s="475" t="s">
        <v>141</v>
      </c>
      <c r="M4868" s="473"/>
    </row>
    <row r="4869" spans="1:13" ht="13.5">
      <c r="A4869" s="475" t="s">
        <v>5563</v>
      </c>
      <c r="B4869" s="475" t="s">
        <v>5564</v>
      </c>
      <c r="C4869" s="475" t="s">
        <v>5578</v>
      </c>
      <c r="D4869" s="475" t="s">
        <v>5579</v>
      </c>
      <c r="E4869" s="476" t="s">
        <v>34</v>
      </c>
      <c r="F4869" s="475" t="s">
        <v>34</v>
      </c>
      <c r="G4869" s="364">
        <v>94327</v>
      </c>
      <c r="H4869" s="475" t="s">
        <v>4025</v>
      </c>
      <c r="I4869" s="475" t="s">
        <v>1261</v>
      </c>
      <c r="J4869" s="475" t="s">
        <v>140</v>
      </c>
      <c r="K4869" s="365">
        <v>121.55</v>
      </c>
      <c r="L4869" s="475" t="s">
        <v>141</v>
      </c>
      <c r="M4869" s="473"/>
    </row>
    <row r="4870" spans="1:13" ht="13.5">
      <c r="A4870" s="475" t="s">
        <v>5563</v>
      </c>
      <c r="B4870" s="475" t="s">
        <v>5564</v>
      </c>
      <c r="C4870" s="475" t="s">
        <v>5578</v>
      </c>
      <c r="D4870" s="475" t="s">
        <v>5579</v>
      </c>
      <c r="E4870" s="476" t="s">
        <v>34</v>
      </c>
      <c r="F4870" s="475" t="s">
        <v>34</v>
      </c>
      <c r="G4870" s="364">
        <v>94328</v>
      </c>
      <c r="H4870" s="475" t="s">
        <v>4026</v>
      </c>
      <c r="I4870" s="475" t="s">
        <v>1261</v>
      </c>
      <c r="J4870" s="475" t="s">
        <v>140</v>
      </c>
      <c r="K4870" s="365">
        <v>119.22</v>
      </c>
      <c r="L4870" s="475" t="s">
        <v>141</v>
      </c>
      <c r="M4870" s="473"/>
    </row>
    <row r="4871" spans="1:13" ht="13.5">
      <c r="A4871" s="475" t="s">
        <v>5563</v>
      </c>
      <c r="B4871" s="475" t="s">
        <v>5564</v>
      </c>
      <c r="C4871" s="475" t="s">
        <v>5578</v>
      </c>
      <c r="D4871" s="475" t="s">
        <v>5579</v>
      </c>
      <c r="E4871" s="476" t="s">
        <v>34</v>
      </c>
      <c r="F4871" s="475" t="s">
        <v>34</v>
      </c>
      <c r="G4871" s="364">
        <v>94329</v>
      </c>
      <c r="H4871" s="475" t="s">
        <v>4027</v>
      </c>
      <c r="I4871" s="475" t="s">
        <v>1261</v>
      </c>
      <c r="J4871" s="475" t="s">
        <v>140</v>
      </c>
      <c r="K4871" s="365">
        <v>116.25</v>
      </c>
      <c r="L4871" s="475" t="s">
        <v>141</v>
      </c>
      <c r="M4871" s="473"/>
    </row>
    <row r="4872" spans="1:13" ht="13.5">
      <c r="A4872" s="475" t="s">
        <v>5563</v>
      </c>
      <c r="B4872" s="475" t="s">
        <v>5564</v>
      </c>
      <c r="C4872" s="475" t="s">
        <v>5578</v>
      </c>
      <c r="D4872" s="475" t="s">
        <v>5579</v>
      </c>
      <c r="E4872" s="476" t="s">
        <v>34</v>
      </c>
      <c r="F4872" s="475" t="s">
        <v>34</v>
      </c>
      <c r="G4872" s="364">
        <v>94330</v>
      </c>
      <c r="H4872" s="475" t="s">
        <v>4028</v>
      </c>
      <c r="I4872" s="475" t="s">
        <v>1261</v>
      </c>
      <c r="J4872" s="475" t="s">
        <v>140</v>
      </c>
      <c r="K4872" s="365">
        <v>116.95</v>
      </c>
      <c r="L4872" s="475" t="s">
        <v>141</v>
      </c>
      <c r="M4872" s="473"/>
    </row>
    <row r="4873" spans="1:13" ht="13.5">
      <c r="A4873" s="475" t="s">
        <v>5563</v>
      </c>
      <c r="B4873" s="475" t="s">
        <v>5564</v>
      </c>
      <c r="C4873" s="475" t="s">
        <v>5578</v>
      </c>
      <c r="D4873" s="475" t="s">
        <v>5579</v>
      </c>
      <c r="E4873" s="476" t="s">
        <v>34</v>
      </c>
      <c r="F4873" s="475" t="s">
        <v>34</v>
      </c>
      <c r="G4873" s="364">
        <v>94331</v>
      </c>
      <c r="H4873" s="475" t="s">
        <v>4029</v>
      </c>
      <c r="I4873" s="475" t="s">
        <v>1261</v>
      </c>
      <c r="J4873" s="475" t="s">
        <v>140</v>
      </c>
      <c r="K4873" s="365">
        <v>115.12</v>
      </c>
      <c r="L4873" s="475" t="s">
        <v>141</v>
      </c>
      <c r="M4873" s="473"/>
    </row>
    <row r="4874" spans="1:13" ht="13.5">
      <c r="A4874" s="475" t="s">
        <v>5563</v>
      </c>
      <c r="B4874" s="475" t="s">
        <v>5564</v>
      </c>
      <c r="C4874" s="475" t="s">
        <v>5578</v>
      </c>
      <c r="D4874" s="475" t="s">
        <v>5579</v>
      </c>
      <c r="E4874" s="476" t="s">
        <v>34</v>
      </c>
      <c r="F4874" s="475" t="s">
        <v>34</v>
      </c>
      <c r="G4874" s="364">
        <v>94332</v>
      </c>
      <c r="H4874" s="475" t="s">
        <v>4030</v>
      </c>
      <c r="I4874" s="475" t="s">
        <v>1261</v>
      </c>
      <c r="J4874" s="475" t="s">
        <v>140</v>
      </c>
      <c r="K4874" s="365">
        <v>115.95</v>
      </c>
      <c r="L4874" s="475" t="s">
        <v>141</v>
      </c>
      <c r="M4874" s="473"/>
    </row>
    <row r="4875" spans="1:13" ht="13.5">
      <c r="A4875" s="475" t="s">
        <v>5563</v>
      </c>
      <c r="B4875" s="475" t="s">
        <v>5564</v>
      </c>
      <c r="C4875" s="475" t="s">
        <v>5578</v>
      </c>
      <c r="D4875" s="475" t="s">
        <v>5579</v>
      </c>
      <c r="E4875" s="476" t="s">
        <v>34</v>
      </c>
      <c r="F4875" s="475" t="s">
        <v>34</v>
      </c>
      <c r="G4875" s="364">
        <v>94333</v>
      </c>
      <c r="H4875" s="475" t="s">
        <v>4031</v>
      </c>
      <c r="I4875" s="475" t="s">
        <v>1261</v>
      </c>
      <c r="J4875" s="475" t="s">
        <v>140</v>
      </c>
      <c r="K4875" s="365">
        <v>114.53</v>
      </c>
      <c r="L4875" s="475" t="s">
        <v>141</v>
      </c>
      <c r="M4875" s="473"/>
    </row>
    <row r="4876" spans="1:13" ht="13.5">
      <c r="A4876" s="475" t="s">
        <v>5563</v>
      </c>
      <c r="B4876" s="475" t="s">
        <v>5564</v>
      </c>
      <c r="C4876" s="475" t="s">
        <v>5578</v>
      </c>
      <c r="D4876" s="475" t="s">
        <v>5579</v>
      </c>
      <c r="E4876" s="476" t="s">
        <v>34</v>
      </c>
      <c r="F4876" s="475" t="s">
        <v>34</v>
      </c>
      <c r="G4876" s="364">
        <v>94338</v>
      </c>
      <c r="H4876" s="475" t="s">
        <v>4032</v>
      </c>
      <c r="I4876" s="475" t="s">
        <v>1261</v>
      </c>
      <c r="J4876" s="475" t="s">
        <v>140</v>
      </c>
      <c r="K4876" s="365">
        <v>126.19</v>
      </c>
      <c r="L4876" s="475" t="s">
        <v>141</v>
      </c>
      <c r="M4876" s="473"/>
    </row>
    <row r="4877" spans="1:13" ht="13.5">
      <c r="A4877" s="475" t="s">
        <v>5563</v>
      </c>
      <c r="B4877" s="475" t="s">
        <v>5564</v>
      </c>
      <c r="C4877" s="475" t="s">
        <v>5578</v>
      </c>
      <c r="D4877" s="475" t="s">
        <v>5579</v>
      </c>
      <c r="E4877" s="476" t="s">
        <v>34</v>
      </c>
      <c r="F4877" s="475" t="s">
        <v>34</v>
      </c>
      <c r="G4877" s="364">
        <v>94339</v>
      </c>
      <c r="H4877" s="475" t="s">
        <v>4033</v>
      </c>
      <c r="I4877" s="475" t="s">
        <v>1261</v>
      </c>
      <c r="J4877" s="475" t="s">
        <v>140</v>
      </c>
      <c r="K4877" s="365">
        <v>120.8</v>
      </c>
      <c r="L4877" s="475" t="s">
        <v>141</v>
      </c>
      <c r="M4877" s="473"/>
    </row>
    <row r="4878" spans="1:13" ht="13.5">
      <c r="A4878" s="475" t="s">
        <v>5563</v>
      </c>
      <c r="B4878" s="475" t="s">
        <v>5564</v>
      </c>
      <c r="C4878" s="475" t="s">
        <v>5578</v>
      </c>
      <c r="D4878" s="475" t="s">
        <v>5579</v>
      </c>
      <c r="E4878" s="476" t="s">
        <v>34</v>
      </c>
      <c r="F4878" s="475" t="s">
        <v>34</v>
      </c>
      <c r="G4878" s="364">
        <v>94340</v>
      </c>
      <c r="H4878" s="475" t="s">
        <v>4034</v>
      </c>
      <c r="I4878" s="475" t="s">
        <v>1261</v>
      </c>
      <c r="J4878" s="475" t="s">
        <v>140</v>
      </c>
      <c r="K4878" s="365">
        <v>118.4</v>
      </c>
      <c r="L4878" s="475" t="s">
        <v>141</v>
      </c>
      <c r="M4878" s="473"/>
    </row>
    <row r="4879" spans="1:13" ht="13.5">
      <c r="A4879" s="475" t="s">
        <v>5563</v>
      </c>
      <c r="B4879" s="475" t="s">
        <v>5564</v>
      </c>
      <c r="C4879" s="475" t="s">
        <v>5578</v>
      </c>
      <c r="D4879" s="475" t="s">
        <v>5579</v>
      </c>
      <c r="E4879" s="476" t="s">
        <v>34</v>
      </c>
      <c r="F4879" s="475" t="s">
        <v>34</v>
      </c>
      <c r="G4879" s="364">
        <v>94341</v>
      </c>
      <c r="H4879" s="475" t="s">
        <v>4035</v>
      </c>
      <c r="I4879" s="475" t="s">
        <v>1261</v>
      </c>
      <c r="J4879" s="475" t="s">
        <v>140</v>
      </c>
      <c r="K4879" s="365">
        <v>115.33</v>
      </c>
      <c r="L4879" s="475" t="s">
        <v>141</v>
      </c>
      <c r="M4879" s="473"/>
    </row>
    <row r="4880" spans="1:13" ht="13.5">
      <c r="A4880" s="475" t="s">
        <v>5563</v>
      </c>
      <c r="B4880" s="475" t="s">
        <v>5564</v>
      </c>
      <c r="C4880" s="475" t="s">
        <v>5578</v>
      </c>
      <c r="D4880" s="475" t="s">
        <v>5579</v>
      </c>
      <c r="E4880" s="476" t="s">
        <v>34</v>
      </c>
      <c r="F4880" s="475" t="s">
        <v>34</v>
      </c>
      <c r="G4880" s="364">
        <v>94342</v>
      </c>
      <c r="H4880" s="475" t="s">
        <v>4036</v>
      </c>
      <c r="I4880" s="475" t="s">
        <v>1261</v>
      </c>
      <c r="J4880" s="475" t="s">
        <v>140</v>
      </c>
      <c r="K4880" s="365">
        <v>128.99</v>
      </c>
      <c r="L4880" s="475" t="s">
        <v>141</v>
      </c>
      <c r="M4880" s="473"/>
    </row>
    <row r="4881" spans="1:13" ht="13.5">
      <c r="A4881" s="475" t="s">
        <v>5563</v>
      </c>
      <c r="B4881" s="475" t="s">
        <v>5564</v>
      </c>
      <c r="C4881" s="475" t="s">
        <v>5578</v>
      </c>
      <c r="D4881" s="475" t="s">
        <v>5579</v>
      </c>
      <c r="E4881" s="476" t="s">
        <v>34</v>
      </c>
      <c r="F4881" s="475" t="s">
        <v>34</v>
      </c>
      <c r="G4881" s="364">
        <v>96385</v>
      </c>
      <c r="H4881" s="475" t="s">
        <v>4037</v>
      </c>
      <c r="I4881" s="475" t="s">
        <v>1261</v>
      </c>
      <c r="J4881" s="475" t="s">
        <v>140</v>
      </c>
      <c r="K4881" s="365">
        <v>4.97</v>
      </c>
      <c r="L4881" s="475" t="s">
        <v>141</v>
      </c>
      <c r="M4881" s="473"/>
    </row>
    <row r="4882" spans="1:13" ht="13.5">
      <c r="A4882" s="475" t="s">
        <v>5563</v>
      </c>
      <c r="B4882" s="475" t="s">
        <v>5564</v>
      </c>
      <c r="C4882" s="475" t="s">
        <v>5578</v>
      </c>
      <c r="D4882" s="475" t="s">
        <v>5579</v>
      </c>
      <c r="E4882" s="476" t="s">
        <v>34</v>
      </c>
      <c r="F4882" s="475" t="s">
        <v>34</v>
      </c>
      <c r="G4882" s="364">
        <v>96386</v>
      </c>
      <c r="H4882" s="475" t="s">
        <v>4038</v>
      </c>
      <c r="I4882" s="475" t="s">
        <v>1261</v>
      </c>
      <c r="J4882" s="475" t="s">
        <v>140</v>
      </c>
      <c r="K4882" s="365">
        <v>4.78</v>
      </c>
      <c r="L4882" s="475" t="s">
        <v>141</v>
      </c>
      <c r="M4882" s="473"/>
    </row>
    <row r="4883" spans="1:13" ht="13.5">
      <c r="A4883" s="475" t="s">
        <v>5563</v>
      </c>
      <c r="B4883" s="475" t="s">
        <v>5564</v>
      </c>
      <c r="C4883" s="475" t="s">
        <v>5580</v>
      </c>
      <c r="D4883" s="475" t="s">
        <v>5581</v>
      </c>
      <c r="E4883" s="476" t="s">
        <v>34</v>
      </c>
      <c r="F4883" s="475" t="s">
        <v>34</v>
      </c>
      <c r="G4883" s="364">
        <v>83346</v>
      </c>
      <c r="H4883" s="475" t="s">
        <v>4039</v>
      </c>
      <c r="I4883" s="475" t="s">
        <v>1261</v>
      </c>
      <c r="J4883" s="475" t="s">
        <v>140</v>
      </c>
      <c r="K4883" s="365">
        <v>0.9</v>
      </c>
      <c r="L4883" s="475" t="s">
        <v>141</v>
      </c>
      <c r="M4883" s="473"/>
    </row>
    <row r="4884" spans="1:13" ht="13.5">
      <c r="A4884" s="475" t="s">
        <v>5563</v>
      </c>
      <c r="B4884" s="475" t="s">
        <v>5564</v>
      </c>
      <c r="C4884" s="475" t="s">
        <v>5580</v>
      </c>
      <c r="D4884" s="475" t="s">
        <v>5581</v>
      </c>
      <c r="E4884" s="476" t="s">
        <v>34</v>
      </c>
      <c r="F4884" s="475" t="s">
        <v>34</v>
      </c>
      <c r="G4884" s="364">
        <v>93360</v>
      </c>
      <c r="H4884" s="475" t="s">
        <v>7776</v>
      </c>
      <c r="I4884" s="475" t="s">
        <v>1261</v>
      </c>
      <c r="J4884" s="475" t="s">
        <v>140</v>
      </c>
      <c r="K4884" s="365">
        <v>13.34</v>
      </c>
      <c r="L4884" s="475" t="s">
        <v>141</v>
      </c>
      <c r="M4884" s="473"/>
    </row>
    <row r="4885" spans="1:13" ht="13.5">
      <c r="A4885" s="475" t="s">
        <v>5563</v>
      </c>
      <c r="B4885" s="475" t="s">
        <v>5564</v>
      </c>
      <c r="C4885" s="475" t="s">
        <v>5580</v>
      </c>
      <c r="D4885" s="475" t="s">
        <v>5581</v>
      </c>
      <c r="E4885" s="476" t="s">
        <v>34</v>
      </c>
      <c r="F4885" s="475" t="s">
        <v>34</v>
      </c>
      <c r="G4885" s="364">
        <v>93361</v>
      </c>
      <c r="H4885" s="475" t="s">
        <v>7777</v>
      </c>
      <c r="I4885" s="475" t="s">
        <v>1261</v>
      </c>
      <c r="J4885" s="475" t="s">
        <v>140</v>
      </c>
      <c r="K4885" s="365">
        <v>11.1</v>
      </c>
      <c r="L4885" s="475" t="s">
        <v>141</v>
      </c>
      <c r="M4885" s="473"/>
    </row>
    <row r="4886" spans="1:13" ht="13.5">
      <c r="A4886" s="475" t="s">
        <v>5563</v>
      </c>
      <c r="B4886" s="475" t="s">
        <v>5564</v>
      </c>
      <c r="C4886" s="475" t="s">
        <v>5580</v>
      </c>
      <c r="D4886" s="475" t="s">
        <v>5581</v>
      </c>
      <c r="E4886" s="476" t="s">
        <v>34</v>
      </c>
      <c r="F4886" s="475" t="s">
        <v>34</v>
      </c>
      <c r="G4886" s="364">
        <v>93362</v>
      </c>
      <c r="H4886" s="475" t="s">
        <v>7778</v>
      </c>
      <c r="I4886" s="475" t="s">
        <v>1261</v>
      </c>
      <c r="J4886" s="475" t="s">
        <v>140</v>
      </c>
      <c r="K4886" s="365">
        <v>8.07</v>
      </c>
      <c r="L4886" s="475" t="s">
        <v>141</v>
      </c>
      <c r="M4886" s="473"/>
    </row>
    <row r="4887" spans="1:13" ht="13.5">
      <c r="A4887" s="475" t="s">
        <v>5563</v>
      </c>
      <c r="B4887" s="475" t="s">
        <v>5564</v>
      </c>
      <c r="C4887" s="475" t="s">
        <v>5580</v>
      </c>
      <c r="D4887" s="475" t="s">
        <v>5581</v>
      </c>
      <c r="E4887" s="476" t="s">
        <v>34</v>
      </c>
      <c r="F4887" s="475" t="s">
        <v>34</v>
      </c>
      <c r="G4887" s="364">
        <v>93363</v>
      </c>
      <c r="H4887" s="475" t="s">
        <v>7779</v>
      </c>
      <c r="I4887" s="475" t="s">
        <v>1261</v>
      </c>
      <c r="J4887" s="475" t="s">
        <v>140</v>
      </c>
      <c r="K4887" s="365">
        <v>8.75</v>
      </c>
      <c r="L4887" s="475" t="s">
        <v>141</v>
      </c>
      <c r="M4887" s="473"/>
    </row>
    <row r="4888" spans="1:13" ht="13.5">
      <c r="A4888" s="475" t="s">
        <v>5563</v>
      </c>
      <c r="B4888" s="475" t="s">
        <v>5564</v>
      </c>
      <c r="C4888" s="475" t="s">
        <v>5580</v>
      </c>
      <c r="D4888" s="475" t="s">
        <v>5581</v>
      </c>
      <c r="E4888" s="476" t="s">
        <v>34</v>
      </c>
      <c r="F4888" s="475" t="s">
        <v>34</v>
      </c>
      <c r="G4888" s="364">
        <v>93364</v>
      </c>
      <c r="H4888" s="475" t="s">
        <v>4040</v>
      </c>
      <c r="I4888" s="475" t="s">
        <v>1261</v>
      </c>
      <c r="J4888" s="475" t="s">
        <v>140</v>
      </c>
      <c r="K4888" s="365">
        <v>6.91</v>
      </c>
      <c r="L4888" s="475" t="s">
        <v>141</v>
      </c>
      <c r="M4888" s="473"/>
    </row>
    <row r="4889" spans="1:13" ht="13.5">
      <c r="A4889" s="475" t="s">
        <v>5563</v>
      </c>
      <c r="B4889" s="475" t="s">
        <v>5564</v>
      </c>
      <c r="C4889" s="475" t="s">
        <v>5580</v>
      </c>
      <c r="D4889" s="475" t="s">
        <v>5581</v>
      </c>
      <c r="E4889" s="476" t="s">
        <v>34</v>
      </c>
      <c r="F4889" s="475" t="s">
        <v>34</v>
      </c>
      <c r="G4889" s="364">
        <v>93365</v>
      </c>
      <c r="H4889" s="475" t="s">
        <v>7780</v>
      </c>
      <c r="I4889" s="475" t="s">
        <v>1261</v>
      </c>
      <c r="J4889" s="475" t="s">
        <v>140</v>
      </c>
      <c r="K4889" s="365">
        <v>7.69</v>
      </c>
      <c r="L4889" s="475" t="s">
        <v>141</v>
      </c>
      <c r="M4889" s="473"/>
    </row>
    <row r="4890" spans="1:13" ht="13.5">
      <c r="A4890" s="475" t="s">
        <v>5563</v>
      </c>
      <c r="B4890" s="475" t="s">
        <v>5564</v>
      </c>
      <c r="C4890" s="475" t="s">
        <v>5580</v>
      </c>
      <c r="D4890" s="475" t="s">
        <v>5581</v>
      </c>
      <c r="E4890" s="476" t="s">
        <v>34</v>
      </c>
      <c r="F4890" s="475" t="s">
        <v>34</v>
      </c>
      <c r="G4890" s="364">
        <v>93366</v>
      </c>
      <c r="H4890" s="475" t="s">
        <v>7781</v>
      </c>
      <c r="I4890" s="475" t="s">
        <v>1261</v>
      </c>
      <c r="J4890" s="475" t="s">
        <v>140</v>
      </c>
      <c r="K4890" s="365">
        <v>6.34</v>
      </c>
      <c r="L4890" s="475" t="s">
        <v>141</v>
      </c>
      <c r="M4890" s="473"/>
    </row>
    <row r="4891" spans="1:13" ht="13.5">
      <c r="A4891" s="475" t="s">
        <v>5563</v>
      </c>
      <c r="B4891" s="475" t="s">
        <v>5564</v>
      </c>
      <c r="C4891" s="475" t="s">
        <v>5580</v>
      </c>
      <c r="D4891" s="475" t="s">
        <v>5581</v>
      </c>
      <c r="E4891" s="476" t="s">
        <v>34</v>
      </c>
      <c r="F4891" s="475" t="s">
        <v>34</v>
      </c>
      <c r="G4891" s="364">
        <v>93367</v>
      </c>
      <c r="H4891" s="475" t="s">
        <v>7782</v>
      </c>
      <c r="I4891" s="475" t="s">
        <v>1261</v>
      </c>
      <c r="J4891" s="475" t="s">
        <v>140</v>
      </c>
      <c r="K4891" s="365">
        <v>12.46</v>
      </c>
      <c r="L4891" s="475" t="s">
        <v>141</v>
      </c>
      <c r="M4891" s="473"/>
    </row>
    <row r="4892" spans="1:13" ht="13.5">
      <c r="A4892" s="475" t="s">
        <v>5563</v>
      </c>
      <c r="B4892" s="475" t="s">
        <v>5564</v>
      </c>
      <c r="C4892" s="475" t="s">
        <v>5580</v>
      </c>
      <c r="D4892" s="475" t="s">
        <v>5581</v>
      </c>
      <c r="E4892" s="476" t="s">
        <v>34</v>
      </c>
      <c r="F4892" s="475" t="s">
        <v>34</v>
      </c>
      <c r="G4892" s="364">
        <v>93368</v>
      </c>
      <c r="H4892" s="475" t="s">
        <v>7783</v>
      </c>
      <c r="I4892" s="475" t="s">
        <v>1261</v>
      </c>
      <c r="J4892" s="475" t="s">
        <v>140</v>
      </c>
      <c r="K4892" s="365">
        <v>10.14</v>
      </c>
      <c r="L4892" s="475" t="s">
        <v>141</v>
      </c>
      <c r="M4892" s="473"/>
    </row>
    <row r="4893" spans="1:13" ht="13.5">
      <c r="A4893" s="475" t="s">
        <v>5563</v>
      </c>
      <c r="B4893" s="475" t="s">
        <v>5564</v>
      </c>
      <c r="C4893" s="475" t="s">
        <v>5580</v>
      </c>
      <c r="D4893" s="475" t="s">
        <v>5581</v>
      </c>
      <c r="E4893" s="476" t="s">
        <v>34</v>
      </c>
      <c r="F4893" s="475" t="s">
        <v>34</v>
      </c>
      <c r="G4893" s="364">
        <v>93369</v>
      </c>
      <c r="H4893" s="475" t="s">
        <v>4041</v>
      </c>
      <c r="I4893" s="475" t="s">
        <v>1261</v>
      </c>
      <c r="J4893" s="475" t="s">
        <v>140</v>
      </c>
      <c r="K4893" s="365">
        <v>7.18</v>
      </c>
      <c r="L4893" s="475" t="s">
        <v>141</v>
      </c>
      <c r="M4893" s="473"/>
    </row>
    <row r="4894" spans="1:13" ht="13.5">
      <c r="A4894" s="475" t="s">
        <v>5563</v>
      </c>
      <c r="B4894" s="475" t="s">
        <v>5564</v>
      </c>
      <c r="C4894" s="475" t="s">
        <v>5580</v>
      </c>
      <c r="D4894" s="475" t="s">
        <v>5581</v>
      </c>
      <c r="E4894" s="476" t="s">
        <v>34</v>
      </c>
      <c r="F4894" s="475" t="s">
        <v>34</v>
      </c>
      <c r="G4894" s="364">
        <v>93370</v>
      </c>
      <c r="H4894" s="475" t="s">
        <v>7784</v>
      </c>
      <c r="I4894" s="475" t="s">
        <v>1261</v>
      </c>
      <c r="J4894" s="475" t="s">
        <v>140</v>
      </c>
      <c r="K4894" s="365">
        <v>7.87</v>
      </c>
      <c r="L4894" s="475" t="s">
        <v>141</v>
      </c>
      <c r="M4894" s="473"/>
    </row>
    <row r="4895" spans="1:13" ht="13.5">
      <c r="A4895" s="475" t="s">
        <v>5563</v>
      </c>
      <c r="B4895" s="475" t="s">
        <v>5564</v>
      </c>
      <c r="C4895" s="475" t="s">
        <v>5580</v>
      </c>
      <c r="D4895" s="475" t="s">
        <v>5581</v>
      </c>
      <c r="E4895" s="476" t="s">
        <v>34</v>
      </c>
      <c r="F4895" s="475" t="s">
        <v>34</v>
      </c>
      <c r="G4895" s="364">
        <v>93371</v>
      </c>
      <c r="H4895" s="475" t="s">
        <v>4042</v>
      </c>
      <c r="I4895" s="475" t="s">
        <v>1261</v>
      </c>
      <c r="J4895" s="475" t="s">
        <v>140</v>
      </c>
      <c r="K4895" s="365">
        <v>6.04</v>
      </c>
      <c r="L4895" s="475" t="s">
        <v>141</v>
      </c>
      <c r="M4895" s="473"/>
    </row>
    <row r="4896" spans="1:13" ht="13.5">
      <c r="A4896" s="475" t="s">
        <v>5563</v>
      </c>
      <c r="B4896" s="475" t="s">
        <v>5564</v>
      </c>
      <c r="C4896" s="475" t="s">
        <v>5580</v>
      </c>
      <c r="D4896" s="475" t="s">
        <v>5581</v>
      </c>
      <c r="E4896" s="476" t="s">
        <v>34</v>
      </c>
      <c r="F4896" s="475" t="s">
        <v>34</v>
      </c>
      <c r="G4896" s="364">
        <v>93372</v>
      </c>
      <c r="H4896" s="475" t="s">
        <v>7785</v>
      </c>
      <c r="I4896" s="475" t="s">
        <v>1261</v>
      </c>
      <c r="J4896" s="475" t="s">
        <v>140</v>
      </c>
      <c r="K4896" s="365">
        <v>6.87</v>
      </c>
      <c r="L4896" s="475" t="s">
        <v>141</v>
      </c>
      <c r="M4896" s="473"/>
    </row>
    <row r="4897" spans="1:13" ht="13.5">
      <c r="A4897" s="475" t="s">
        <v>5563</v>
      </c>
      <c r="B4897" s="475" t="s">
        <v>5564</v>
      </c>
      <c r="C4897" s="475" t="s">
        <v>5580</v>
      </c>
      <c r="D4897" s="475" t="s">
        <v>5581</v>
      </c>
      <c r="E4897" s="476" t="s">
        <v>34</v>
      </c>
      <c r="F4897" s="475" t="s">
        <v>34</v>
      </c>
      <c r="G4897" s="364">
        <v>93373</v>
      </c>
      <c r="H4897" s="475" t="s">
        <v>4043</v>
      </c>
      <c r="I4897" s="475" t="s">
        <v>1261</v>
      </c>
      <c r="J4897" s="475" t="s">
        <v>140</v>
      </c>
      <c r="K4897" s="365">
        <v>5.46</v>
      </c>
      <c r="L4897" s="475" t="s">
        <v>141</v>
      </c>
      <c r="M4897" s="473"/>
    </row>
    <row r="4898" spans="1:13" ht="13.5">
      <c r="A4898" s="475" t="s">
        <v>5563</v>
      </c>
      <c r="B4898" s="475" t="s">
        <v>5564</v>
      </c>
      <c r="C4898" s="475" t="s">
        <v>5580</v>
      </c>
      <c r="D4898" s="475" t="s">
        <v>5581</v>
      </c>
      <c r="E4898" s="476" t="s">
        <v>34</v>
      </c>
      <c r="F4898" s="475" t="s">
        <v>34</v>
      </c>
      <c r="G4898" s="364">
        <v>93374</v>
      </c>
      <c r="H4898" s="475" t="s">
        <v>4044</v>
      </c>
      <c r="I4898" s="475" t="s">
        <v>1261</v>
      </c>
      <c r="J4898" s="475" t="s">
        <v>140</v>
      </c>
      <c r="K4898" s="365">
        <v>15.84</v>
      </c>
      <c r="L4898" s="475" t="s">
        <v>141</v>
      </c>
      <c r="M4898" s="473"/>
    </row>
    <row r="4899" spans="1:13" ht="13.5">
      <c r="A4899" s="475" t="s">
        <v>5563</v>
      </c>
      <c r="B4899" s="475" t="s">
        <v>5564</v>
      </c>
      <c r="C4899" s="475" t="s">
        <v>5580</v>
      </c>
      <c r="D4899" s="475" t="s">
        <v>5581</v>
      </c>
      <c r="E4899" s="476" t="s">
        <v>34</v>
      </c>
      <c r="F4899" s="475" t="s">
        <v>34</v>
      </c>
      <c r="G4899" s="364">
        <v>93375</v>
      </c>
      <c r="H4899" s="475" t="s">
        <v>7786</v>
      </c>
      <c r="I4899" s="475" t="s">
        <v>1261</v>
      </c>
      <c r="J4899" s="475" t="s">
        <v>140</v>
      </c>
      <c r="K4899" s="365">
        <v>12.17</v>
      </c>
      <c r="L4899" s="475" t="s">
        <v>141</v>
      </c>
      <c r="M4899" s="473"/>
    </row>
    <row r="4900" spans="1:13" ht="13.5">
      <c r="A4900" s="475" t="s">
        <v>5563</v>
      </c>
      <c r="B4900" s="475" t="s">
        <v>5564</v>
      </c>
      <c r="C4900" s="475" t="s">
        <v>5580</v>
      </c>
      <c r="D4900" s="475" t="s">
        <v>5581</v>
      </c>
      <c r="E4900" s="476" t="s">
        <v>34</v>
      </c>
      <c r="F4900" s="475" t="s">
        <v>34</v>
      </c>
      <c r="G4900" s="364">
        <v>93376</v>
      </c>
      <c r="H4900" s="475" t="s">
        <v>7787</v>
      </c>
      <c r="I4900" s="475" t="s">
        <v>1261</v>
      </c>
      <c r="J4900" s="475" t="s">
        <v>140</v>
      </c>
      <c r="K4900" s="365">
        <v>9.94</v>
      </c>
      <c r="L4900" s="475" t="s">
        <v>141</v>
      </c>
      <c r="M4900" s="473"/>
    </row>
    <row r="4901" spans="1:13" ht="13.5">
      <c r="A4901" s="475" t="s">
        <v>5563</v>
      </c>
      <c r="B4901" s="475" t="s">
        <v>5564</v>
      </c>
      <c r="C4901" s="475" t="s">
        <v>5580</v>
      </c>
      <c r="D4901" s="475" t="s">
        <v>5581</v>
      </c>
      <c r="E4901" s="476" t="s">
        <v>34</v>
      </c>
      <c r="F4901" s="475" t="s">
        <v>34</v>
      </c>
      <c r="G4901" s="364">
        <v>93377</v>
      </c>
      <c r="H4901" s="475" t="s">
        <v>4045</v>
      </c>
      <c r="I4901" s="475" t="s">
        <v>1261</v>
      </c>
      <c r="J4901" s="475" t="s">
        <v>140</v>
      </c>
      <c r="K4901" s="365">
        <v>6.7</v>
      </c>
      <c r="L4901" s="475" t="s">
        <v>141</v>
      </c>
      <c r="M4901" s="473"/>
    </row>
    <row r="4902" spans="1:13" ht="13.5">
      <c r="A4902" s="475" t="s">
        <v>5563</v>
      </c>
      <c r="B4902" s="475" t="s">
        <v>5564</v>
      </c>
      <c r="C4902" s="475" t="s">
        <v>5580</v>
      </c>
      <c r="D4902" s="475" t="s">
        <v>5581</v>
      </c>
      <c r="E4902" s="476" t="s">
        <v>34</v>
      </c>
      <c r="F4902" s="475" t="s">
        <v>34</v>
      </c>
      <c r="G4902" s="364">
        <v>93378</v>
      </c>
      <c r="H4902" s="475" t="s">
        <v>7788</v>
      </c>
      <c r="I4902" s="475" t="s">
        <v>1261</v>
      </c>
      <c r="J4902" s="475" t="s">
        <v>140</v>
      </c>
      <c r="K4902" s="365">
        <v>14.75</v>
      </c>
      <c r="L4902" s="475" t="s">
        <v>141</v>
      </c>
      <c r="M4902" s="473"/>
    </row>
    <row r="4903" spans="1:13" ht="13.5">
      <c r="A4903" s="475" t="s">
        <v>5563</v>
      </c>
      <c r="B4903" s="475" t="s">
        <v>5564</v>
      </c>
      <c r="C4903" s="475" t="s">
        <v>5580</v>
      </c>
      <c r="D4903" s="475" t="s">
        <v>5581</v>
      </c>
      <c r="E4903" s="476" t="s">
        <v>34</v>
      </c>
      <c r="F4903" s="475" t="s">
        <v>34</v>
      </c>
      <c r="G4903" s="364">
        <v>93379</v>
      </c>
      <c r="H4903" s="475" t="s">
        <v>7789</v>
      </c>
      <c r="I4903" s="475" t="s">
        <v>1261</v>
      </c>
      <c r="J4903" s="475" t="s">
        <v>140</v>
      </c>
      <c r="K4903" s="365">
        <v>11.35</v>
      </c>
      <c r="L4903" s="475" t="s">
        <v>141</v>
      </c>
      <c r="M4903" s="473"/>
    </row>
    <row r="4904" spans="1:13" ht="13.5">
      <c r="A4904" s="475" t="s">
        <v>5563</v>
      </c>
      <c r="B4904" s="475" t="s">
        <v>5564</v>
      </c>
      <c r="C4904" s="475" t="s">
        <v>5580</v>
      </c>
      <c r="D4904" s="475" t="s">
        <v>5581</v>
      </c>
      <c r="E4904" s="476" t="s">
        <v>34</v>
      </c>
      <c r="F4904" s="475" t="s">
        <v>34</v>
      </c>
      <c r="G4904" s="364">
        <v>93380</v>
      </c>
      <c r="H4904" s="475" t="s">
        <v>7790</v>
      </c>
      <c r="I4904" s="475" t="s">
        <v>1261</v>
      </c>
      <c r="J4904" s="475" t="s">
        <v>140</v>
      </c>
      <c r="K4904" s="365">
        <v>9.31</v>
      </c>
      <c r="L4904" s="475" t="s">
        <v>141</v>
      </c>
      <c r="M4904" s="473"/>
    </row>
    <row r="4905" spans="1:13" ht="13.5">
      <c r="A4905" s="475" t="s">
        <v>5563</v>
      </c>
      <c r="B4905" s="475" t="s">
        <v>5564</v>
      </c>
      <c r="C4905" s="475" t="s">
        <v>5580</v>
      </c>
      <c r="D4905" s="475" t="s">
        <v>5581</v>
      </c>
      <c r="E4905" s="476" t="s">
        <v>34</v>
      </c>
      <c r="F4905" s="475" t="s">
        <v>34</v>
      </c>
      <c r="G4905" s="364">
        <v>93381</v>
      </c>
      <c r="H4905" s="475" t="s">
        <v>4046</v>
      </c>
      <c r="I4905" s="475" t="s">
        <v>1261</v>
      </c>
      <c r="J4905" s="475" t="s">
        <v>140</v>
      </c>
      <c r="K4905" s="365">
        <v>6.25</v>
      </c>
      <c r="L4905" s="475" t="s">
        <v>141</v>
      </c>
      <c r="M4905" s="473"/>
    </row>
    <row r="4906" spans="1:13" ht="13.5">
      <c r="A4906" s="475" t="s">
        <v>5563</v>
      </c>
      <c r="B4906" s="475" t="s">
        <v>5564</v>
      </c>
      <c r="C4906" s="475" t="s">
        <v>5580</v>
      </c>
      <c r="D4906" s="475" t="s">
        <v>5581</v>
      </c>
      <c r="E4906" s="476" t="s">
        <v>34</v>
      </c>
      <c r="F4906" s="475" t="s">
        <v>34</v>
      </c>
      <c r="G4906" s="364">
        <v>93382</v>
      </c>
      <c r="H4906" s="475" t="s">
        <v>4047</v>
      </c>
      <c r="I4906" s="475" t="s">
        <v>1261</v>
      </c>
      <c r="J4906" s="475" t="s">
        <v>140</v>
      </c>
      <c r="K4906" s="365">
        <v>19.91</v>
      </c>
      <c r="L4906" s="475" t="s">
        <v>141</v>
      </c>
      <c r="M4906" s="473"/>
    </row>
    <row r="4907" spans="1:13" ht="13.5">
      <c r="A4907" s="475" t="s">
        <v>5563</v>
      </c>
      <c r="B4907" s="475" t="s">
        <v>5564</v>
      </c>
      <c r="C4907" s="475" t="s">
        <v>5580</v>
      </c>
      <c r="D4907" s="475" t="s">
        <v>5581</v>
      </c>
      <c r="E4907" s="476" t="s">
        <v>34</v>
      </c>
      <c r="F4907" s="475" t="s">
        <v>34</v>
      </c>
      <c r="G4907" s="364">
        <v>96995</v>
      </c>
      <c r="H4907" s="475" t="s">
        <v>5900</v>
      </c>
      <c r="I4907" s="475" t="s">
        <v>1261</v>
      </c>
      <c r="J4907" s="475" t="s">
        <v>363</v>
      </c>
      <c r="K4907" s="365">
        <v>34.44</v>
      </c>
      <c r="L4907" s="475" t="s">
        <v>141</v>
      </c>
      <c r="M4907" s="473"/>
    </row>
    <row r="4908" spans="1:13" ht="13.5">
      <c r="A4908" s="475" t="s">
        <v>5563</v>
      </c>
      <c r="B4908" s="475" t="s">
        <v>5564</v>
      </c>
      <c r="C4908" s="475" t="s">
        <v>5582</v>
      </c>
      <c r="D4908" s="475" t="s">
        <v>5583</v>
      </c>
      <c r="E4908" s="476" t="s">
        <v>34</v>
      </c>
      <c r="F4908" s="475" t="s">
        <v>34</v>
      </c>
      <c r="G4908" s="364">
        <v>72838</v>
      </c>
      <c r="H4908" s="475" t="s">
        <v>4048</v>
      </c>
      <c r="I4908" s="475" t="s">
        <v>4049</v>
      </c>
      <c r="J4908" s="475" t="s">
        <v>140</v>
      </c>
      <c r="K4908" s="365">
        <v>0.89</v>
      </c>
      <c r="L4908" s="475" t="s">
        <v>141</v>
      </c>
      <c r="M4908" s="473"/>
    </row>
    <row r="4909" spans="1:13" ht="13.5">
      <c r="A4909" s="475" t="s">
        <v>5563</v>
      </c>
      <c r="B4909" s="475" t="s">
        <v>5564</v>
      </c>
      <c r="C4909" s="475" t="s">
        <v>5582</v>
      </c>
      <c r="D4909" s="475" t="s">
        <v>5583</v>
      </c>
      <c r="E4909" s="476" t="s">
        <v>34</v>
      </c>
      <c r="F4909" s="475" t="s">
        <v>34</v>
      </c>
      <c r="G4909" s="364">
        <v>72839</v>
      </c>
      <c r="H4909" s="475" t="s">
        <v>4050</v>
      </c>
      <c r="I4909" s="475" t="s">
        <v>4049</v>
      </c>
      <c r="J4909" s="475" t="s">
        <v>140</v>
      </c>
      <c r="K4909" s="365">
        <v>0.71</v>
      </c>
      <c r="L4909" s="475" t="s">
        <v>141</v>
      </c>
      <c r="M4909" s="473"/>
    </row>
    <row r="4910" spans="1:13" ht="13.5">
      <c r="A4910" s="475" t="s">
        <v>5563</v>
      </c>
      <c r="B4910" s="475" t="s">
        <v>5564</v>
      </c>
      <c r="C4910" s="475" t="s">
        <v>5582</v>
      </c>
      <c r="D4910" s="475" t="s">
        <v>5583</v>
      </c>
      <c r="E4910" s="476" t="s">
        <v>34</v>
      </c>
      <c r="F4910" s="475" t="s">
        <v>34</v>
      </c>
      <c r="G4910" s="364">
        <v>72840</v>
      </c>
      <c r="H4910" s="475" t="s">
        <v>4051</v>
      </c>
      <c r="I4910" s="475" t="s">
        <v>4049</v>
      </c>
      <c r="J4910" s="475" t="s">
        <v>140</v>
      </c>
      <c r="K4910" s="365">
        <v>0.59</v>
      </c>
      <c r="L4910" s="475" t="s">
        <v>141</v>
      </c>
      <c r="M4910" s="473"/>
    </row>
    <row r="4911" spans="1:13" ht="13.5">
      <c r="A4911" s="475" t="s">
        <v>5563</v>
      </c>
      <c r="B4911" s="475" t="s">
        <v>5564</v>
      </c>
      <c r="C4911" s="475" t="s">
        <v>5582</v>
      </c>
      <c r="D4911" s="475" t="s">
        <v>5583</v>
      </c>
      <c r="E4911" s="476" t="s">
        <v>34</v>
      </c>
      <c r="F4911" s="475" t="s">
        <v>34</v>
      </c>
      <c r="G4911" s="364">
        <v>72844</v>
      </c>
      <c r="H4911" s="475" t="s">
        <v>4052</v>
      </c>
      <c r="I4911" s="475" t="s">
        <v>4053</v>
      </c>
      <c r="J4911" s="475" t="s">
        <v>140</v>
      </c>
      <c r="K4911" s="365">
        <v>0.78</v>
      </c>
      <c r="L4911" s="475" t="s">
        <v>141</v>
      </c>
      <c r="M4911" s="473"/>
    </row>
    <row r="4912" spans="1:13" ht="13.5">
      <c r="A4912" s="475" t="s">
        <v>5563</v>
      </c>
      <c r="B4912" s="475" t="s">
        <v>5564</v>
      </c>
      <c r="C4912" s="475" t="s">
        <v>5582</v>
      </c>
      <c r="D4912" s="475" t="s">
        <v>5583</v>
      </c>
      <c r="E4912" s="476" t="s">
        <v>34</v>
      </c>
      <c r="F4912" s="475" t="s">
        <v>34</v>
      </c>
      <c r="G4912" s="364">
        <v>72845</v>
      </c>
      <c r="H4912" s="475" t="s">
        <v>4054</v>
      </c>
      <c r="I4912" s="475" t="s">
        <v>4053</v>
      </c>
      <c r="J4912" s="475" t="s">
        <v>140</v>
      </c>
      <c r="K4912" s="365">
        <v>4.6900000000000004</v>
      </c>
      <c r="L4912" s="475" t="s">
        <v>141</v>
      </c>
      <c r="M4912" s="473"/>
    </row>
    <row r="4913" spans="1:13" ht="13.5">
      <c r="A4913" s="475" t="s">
        <v>5563</v>
      </c>
      <c r="B4913" s="475" t="s">
        <v>5564</v>
      </c>
      <c r="C4913" s="475" t="s">
        <v>5582</v>
      </c>
      <c r="D4913" s="475" t="s">
        <v>5583</v>
      </c>
      <c r="E4913" s="476" t="s">
        <v>34</v>
      </c>
      <c r="F4913" s="475" t="s">
        <v>34</v>
      </c>
      <c r="G4913" s="364">
        <v>72846</v>
      </c>
      <c r="H4913" s="475" t="s">
        <v>4055</v>
      </c>
      <c r="I4913" s="475" t="s">
        <v>4053</v>
      </c>
      <c r="J4913" s="475" t="s">
        <v>140</v>
      </c>
      <c r="K4913" s="365">
        <v>3.87</v>
      </c>
      <c r="L4913" s="475" t="s">
        <v>141</v>
      </c>
      <c r="M4913" s="473"/>
    </row>
    <row r="4914" spans="1:13" ht="13.5">
      <c r="A4914" s="475" t="s">
        <v>5563</v>
      </c>
      <c r="B4914" s="475" t="s">
        <v>5564</v>
      </c>
      <c r="C4914" s="475" t="s">
        <v>5582</v>
      </c>
      <c r="D4914" s="475" t="s">
        <v>5583</v>
      </c>
      <c r="E4914" s="476" t="s">
        <v>34</v>
      </c>
      <c r="F4914" s="475" t="s">
        <v>34</v>
      </c>
      <c r="G4914" s="364">
        <v>72847</v>
      </c>
      <c r="H4914" s="475" t="s">
        <v>4056</v>
      </c>
      <c r="I4914" s="475" t="s">
        <v>4053</v>
      </c>
      <c r="J4914" s="475" t="s">
        <v>140</v>
      </c>
      <c r="K4914" s="365">
        <v>8.36</v>
      </c>
      <c r="L4914" s="475" t="s">
        <v>141</v>
      </c>
      <c r="M4914" s="473"/>
    </row>
    <row r="4915" spans="1:13" ht="13.5">
      <c r="A4915" s="475" t="s">
        <v>5563</v>
      </c>
      <c r="B4915" s="475" t="s">
        <v>5564</v>
      </c>
      <c r="C4915" s="475" t="s">
        <v>5582</v>
      </c>
      <c r="D4915" s="475" t="s">
        <v>5583</v>
      </c>
      <c r="E4915" s="476" t="s">
        <v>34</v>
      </c>
      <c r="F4915" s="475" t="s">
        <v>34</v>
      </c>
      <c r="G4915" s="364">
        <v>72848</v>
      </c>
      <c r="H4915" s="475" t="s">
        <v>4057</v>
      </c>
      <c r="I4915" s="475" t="s">
        <v>4053</v>
      </c>
      <c r="J4915" s="475" t="s">
        <v>140</v>
      </c>
      <c r="K4915" s="365">
        <v>2.09</v>
      </c>
      <c r="L4915" s="475" t="s">
        <v>141</v>
      </c>
      <c r="M4915" s="473"/>
    </row>
    <row r="4916" spans="1:13" ht="13.5">
      <c r="A4916" s="475" t="s">
        <v>5563</v>
      </c>
      <c r="B4916" s="475" t="s">
        <v>5564</v>
      </c>
      <c r="C4916" s="475" t="s">
        <v>5582</v>
      </c>
      <c r="D4916" s="475" t="s">
        <v>5583</v>
      </c>
      <c r="E4916" s="476" t="s">
        <v>34</v>
      </c>
      <c r="F4916" s="475" t="s">
        <v>34</v>
      </c>
      <c r="G4916" s="364">
        <v>72849</v>
      </c>
      <c r="H4916" s="475" t="s">
        <v>4058</v>
      </c>
      <c r="I4916" s="475" t="s">
        <v>4053</v>
      </c>
      <c r="J4916" s="475" t="s">
        <v>140</v>
      </c>
      <c r="K4916" s="365">
        <v>2.67</v>
      </c>
      <c r="L4916" s="475" t="s">
        <v>141</v>
      </c>
      <c r="M4916" s="473"/>
    </row>
    <row r="4917" spans="1:13" ht="13.5">
      <c r="A4917" s="475" t="s">
        <v>5563</v>
      </c>
      <c r="B4917" s="475" t="s">
        <v>5564</v>
      </c>
      <c r="C4917" s="475" t="s">
        <v>5582</v>
      </c>
      <c r="D4917" s="475" t="s">
        <v>5583</v>
      </c>
      <c r="E4917" s="476" t="s">
        <v>34</v>
      </c>
      <c r="F4917" s="475" t="s">
        <v>34</v>
      </c>
      <c r="G4917" s="364">
        <v>72850</v>
      </c>
      <c r="H4917" s="475" t="s">
        <v>4059</v>
      </c>
      <c r="I4917" s="475" t="s">
        <v>4053</v>
      </c>
      <c r="J4917" s="475" t="s">
        <v>140</v>
      </c>
      <c r="K4917" s="365">
        <v>11.23</v>
      </c>
      <c r="L4917" s="475" t="s">
        <v>141</v>
      </c>
      <c r="M4917" s="473"/>
    </row>
    <row r="4918" spans="1:13" ht="13.5">
      <c r="A4918" s="475" t="s">
        <v>5563</v>
      </c>
      <c r="B4918" s="475" t="s">
        <v>5564</v>
      </c>
      <c r="C4918" s="475" t="s">
        <v>5582</v>
      </c>
      <c r="D4918" s="475" t="s">
        <v>5583</v>
      </c>
      <c r="E4918" s="476" t="s">
        <v>34</v>
      </c>
      <c r="F4918" s="475" t="s">
        <v>34</v>
      </c>
      <c r="G4918" s="364">
        <v>72882</v>
      </c>
      <c r="H4918" s="475" t="s">
        <v>4048</v>
      </c>
      <c r="I4918" s="475" t="s">
        <v>4060</v>
      </c>
      <c r="J4918" s="475" t="s">
        <v>140</v>
      </c>
      <c r="K4918" s="365">
        <v>1.33</v>
      </c>
      <c r="L4918" s="475" t="s">
        <v>141</v>
      </c>
      <c r="M4918" s="473"/>
    </row>
    <row r="4919" spans="1:13" ht="13.5">
      <c r="A4919" s="475" t="s">
        <v>5563</v>
      </c>
      <c r="B4919" s="475" t="s">
        <v>5564</v>
      </c>
      <c r="C4919" s="475" t="s">
        <v>5582</v>
      </c>
      <c r="D4919" s="475" t="s">
        <v>5583</v>
      </c>
      <c r="E4919" s="476" t="s">
        <v>34</v>
      </c>
      <c r="F4919" s="475" t="s">
        <v>34</v>
      </c>
      <c r="G4919" s="364">
        <v>72883</v>
      </c>
      <c r="H4919" s="475" t="s">
        <v>4050</v>
      </c>
      <c r="I4919" s="475" t="s">
        <v>4060</v>
      </c>
      <c r="J4919" s="475" t="s">
        <v>140</v>
      </c>
      <c r="K4919" s="365">
        <v>1.06</v>
      </c>
      <c r="L4919" s="475" t="s">
        <v>141</v>
      </c>
      <c r="M4919" s="473"/>
    </row>
    <row r="4920" spans="1:13" ht="13.5">
      <c r="A4920" s="475" t="s">
        <v>5563</v>
      </c>
      <c r="B4920" s="475" t="s">
        <v>5564</v>
      </c>
      <c r="C4920" s="475" t="s">
        <v>5582</v>
      </c>
      <c r="D4920" s="475" t="s">
        <v>5583</v>
      </c>
      <c r="E4920" s="476" t="s">
        <v>34</v>
      </c>
      <c r="F4920" s="475" t="s">
        <v>34</v>
      </c>
      <c r="G4920" s="364">
        <v>72884</v>
      </c>
      <c r="H4920" s="475" t="s">
        <v>4051</v>
      </c>
      <c r="I4920" s="475" t="s">
        <v>4060</v>
      </c>
      <c r="J4920" s="475" t="s">
        <v>140</v>
      </c>
      <c r="K4920" s="365">
        <v>0.89</v>
      </c>
      <c r="L4920" s="475" t="s">
        <v>141</v>
      </c>
      <c r="M4920" s="473"/>
    </row>
    <row r="4921" spans="1:13" ht="13.5">
      <c r="A4921" s="475" t="s">
        <v>5563</v>
      </c>
      <c r="B4921" s="475" t="s">
        <v>5564</v>
      </c>
      <c r="C4921" s="475" t="s">
        <v>5582</v>
      </c>
      <c r="D4921" s="475" t="s">
        <v>5583</v>
      </c>
      <c r="E4921" s="476" t="s">
        <v>34</v>
      </c>
      <c r="F4921" s="475" t="s">
        <v>34</v>
      </c>
      <c r="G4921" s="364">
        <v>72888</v>
      </c>
      <c r="H4921" s="475" t="s">
        <v>4052</v>
      </c>
      <c r="I4921" s="475" t="s">
        <v>1261</v>
      </c>
      <c r="J4921" s="475" t="s">
        <v>140</v>
      </c>
      <c r="K4921" s="365">
        <v>1.17</v>
      </c>
      <c r="L4921" s="475" t="s">
        <v>141</v>
      </c>
      <c r="M4921" s="473"/>
    </row>
    <row r="4922" spans="1:13" ht="13.5">
      <c r="A4922" s="475" t="s">
        <v>5563</v>
      </c>
      <c r="B4922" s="475" t="s">
        <v>5564</v>
      </c>
      <c r="C4922" s="475" t="s">
        <v>5582</v>
      </c>
      <c r="D4922" s="475" t="s">
        <v>5583</v>
      </c>
      <c r="E4922" s="476" t="s">
        <v>34</v>
      </c>
      <c r="F4922" s="475" t="s">
        <v>34</v>
      </c>
      <c r="G4922" s="364">
        <v>72890</v>
      </c>
      <c r="H4922" s="475" t="s">
        <v>4061</v>
      </c>
      <c r="I4922" s="475" t="s">
        <v>1261</v>
      </c>
      <c r="J4922" s="475" t="s">
        <v>140</v>
      </c>
      <c r="K4922" s="365">
        <v>7.05</v>
      </c>
      <c r="L4922" s="475" t="s">
        <v>141</v>
      </c>
      <c r="M4922" s="473"/>
    </row>
    <row r="4923" spans="1:13" ht="13.5">
      <c r="A4923" s="475" t="s">
        <v>5563</v>
      </c>
      <c r="B4923" s="475" t="s">
        <v>5564</v>
      </c>
      <c r="C4923" s="475" t="s">
        <v>5582</v>
      </c>
      <c r="D4923" s="475" t="s">
        <v>5583</v>
      </c>
      <c r="E4923" s="476" t="s">
        <v>34</v>
      </c>
      <c r="F4923" s="475" t="s">
        <v>34</v>
      </c>
      <c r="G4923" s="364">
        <v>72891</v>
      </c>
      <c r="H4923" s="475" t="s">
        <v>4062</v>
      </c>
      <c r="I4923" s="475" t="s">
        <v>1261</v>
      </c>
      <c r="J4923" s="475" t="s">
        <v>140</v>
      </c>
      <c r="K4923" s="365">
        <v>5.81</v>
      </c>
      <c r="L4923" s="475" t="s">
        <v>141</v>
      </c>
      <c r="M4923" s="473"/>
    </row>
    <row r="4924" spans="1:13" ht="13.5">
      <c r="A4924" s="475" t="s">
        <v>5563</v>
      </c>
      <c r="B4924" s="475" t="s">
        <v>5564</v>
      </c>
      <c r="C4924" s="475" t="s">
        <v>5582</v>
      </c>
      <c r="D4924" s="475" t="s">
        <v>5583</v>
      </c>
      <c r="E4924" s="476" t="s">
        <v>34</v>
      </c>
      <c r="F4924" s="475" t="s">
        <v>34</v>
      </c>
      <c r="G4924" s="364">
        <v>72892</v>
      </c>
      <c r="H4924" s="475" t="s">
        <v>4063</v>
      </c>
      <c r="I4924" s="475" t="s">
        <v>1261</v>
      </c>
      <c r="J4924" s="475" t="s">
        <v>140</v>
      </c>
      <c r="K4924" s="365">
        <v>12.54</v>
      </c>
      <c r="L4924" s="475" t="s">
        <v>141</v>
      </c>
      <c r="M4924" s="473"/>
    </row>
    <row r="4925" spans="1:13" ht="13.5">
      <c r="A4925" s="475" t="s">
        <v>5563</v>
      </c>
      <c r="B4925" s="475" t="s">
        <v>5564</v>
      </c>
      <c r="C4925" s="475" t="s">
        <v>5582</v>
      </c>
      <c r="D4925" s="475" t="s">
        <v>5583</v>
      </c>
      <c r="E4925" s="476" t="s">
        <v>34</v>
      </c>
      <c r="F4925" s="475" t="s">
        <v>34</v>
      </c>
      <c r="G4925" s="364">
        <v>72893</v>
      </c>
      <c r="H4925" s="475" t="s">
        <v>4064</v>
      </c>
      <c r="I4925" s="475" t="s">
        <v>1261</v>
      </c>
      <c r="J4925" s="475" t="s">
        <v>140</v>
      </c>
      <c r="K4925" s="365">
        <v>3.12</v>
      </c>
      <c r="L4925" s="475" t="s">
        <v>141</v>
      </c>
      <c r="M4925" s="473"/>
    </row>
    <row r="4926" spans="1:13" ht="13.5">
      <c r="A4926" s="475" t="s">
        <v>5563</v>
      </c>
      <c r="B4926" s="475" t="s">
        <v>5564</v>
      </c>
      <c r="C4926" s="475" t="s">
        <v>5582</v>
      </c>
      <c r="D4926" s="475" t="s">
        <v>5583</v>
      </c>
      <c r="E4926" s="476" t="s">
        <v>34</v>
      </c>
      <c r="F4926" s="475" t="s">
        <v>34</v>
      </c>
      <c r="G4926" s="364">
        <v>72894</v>
      </c>
      <c r="H4926" s="475" t="s">
        <v>4065</v>
      </c>
      <c r="I4926" s="475" t="s">
        <v>1261</v>
      </c>
      <c r="J4926" s="475" t="s">
        <v>140</v>
      </c>
      <c r="K4926" s="365">
        <v>4.01</v>
      </c>
      <c r="L4926" s="475" t="s">
        <v>141</v>
      </c>
      <c r="M4926" s="473"/>
    </row>
    <row r="4927" spans="1:13" ht="13.5">
      <c r="A4927" s="475" t="s">
        <v>5563</v>
      </c>
      <c r="B4927" s="475" t="s">
        <v>5564</v>
      </c>
      <c r="C4927" s="475" t="s">
        <v>5582</v>
      </c>
      <c r="D4927" s="475" t="s">
        <v>5583</v>
      </c>
      <c r="E4927" s="476" t="s">
        <v>34</v>
      </c>
      <c r="F4927" s="475" t="s">
        <v>34</v>
      </c>
      <c r="G4927" s="364">
        <v>72895</v>
      </c>
      <c r="H4927" s="475" t="s">
        <v>4066</v>
      </c>
      <c r="I4927" s="475" t="s">
        <v>1261</v>
      </c>
      <c r="J4927" s="475" t="s">
        <v>140</v>
      </c>
      <c r="K4927" s="365">
        <v>21.15</v>
      </c>
      <c r="L4927" s="475" t="s">
        <v>141</v>
      </c>
      <c r="M4927" s="473"/>
    </row>
    <row r="4928" spans="1:13" ht="13.5">
      <c r="A4928" s="475" t="s">
        <v>5563</v>
      </c>
      <c r="B4928" s="475" t="s">
        <v>5564</v>
      </c>
      <c r="C4928" s="475" t="s">
        <v>5582</v>
      </c>
      <c r="D4928" s="475" t="s">
        <v>5583</v>
      </c>
      <c r="E4928" s="476" t="s">
        <v>34</v>
      </c>
      <c r="F4928" s="475" t="s">
        <v>34</v>
      </c>
      <c r="G4928" s="364">
        <v>72897</v>
      </c>
      <c r="H4928" s="475" t="s">
        <v>4067</v>
      </c>
      <c r="I4928" s="475" t="s">
        <v>1261</v>
      </c>
      <c r="J4928" s="475" t="s">
        <v>140</v>
      </c>
      <c r="K4928" s="365">
        <v>18.149999999999999</v>
      </c>
      <c r="L4928" s="475" t="s">
        <v>141</v>
      </c>
      <c r="M4928" s="473"/>
    </row>
    <row r="4929" spans="1:13" ht="13.5">
      <c r="A4929" s="475" t="s">
        <v>5563</v>
      </c>
      <c r="B4929" s="475" t="s">
        <v>5564</v>
      </c>
      <c r="C4929" s="475" t="s">
        <v>5582</v>
      </c>
      <c r="D4929" s="475" t="s">
        <v>5583</v>
      </c>
      <c r="E4929" s="476" t="s">
        <v>34</v>
      </c>
      <c r="F4929" s="475" t="s">
        <v>34</v>
      </c>
      <c r="G4929" s="364">
        <v>72898</v>
      </c>
      <c r="H4929" s="475" t="s">
        <v>4068</v>
      </c>
      <c r="I4929" s="475" t="s">
        <v>1261</v>
      </c>
      <c r="J4929" s="475" t="s">
        <v>140</v>
      </c>
      <c r="K4929" s="365">
        <v>3.78</v>
      </c>
      <c r="L4929" s="475" t="s">
        <v>141</v>
      </c>
      <c r="M4929" s="473"/>
    </row>
    <row r="4930" spans="1:13" ht="13.5">
      <c r="A4930" s="475" t="s">
        <v>5563</v>
      </c>
      <c r="B4930" s="475" t="s">
        <v>5564</v>
      </c>
      <c r="C4930" s="475" t="s">
        <v>5582</v>
      </c>
      <c r="D4930" s="475" t="s">
        <v>5583</v>
      </c>
      <c r="E4930" s="476" t="s">
        <v>34</v>
      </c>
      <c r="F4930" s="475" t="s">
        <v>34</v>
      </c>
      <c r="G4930" s="364">
        <v>72899</v>
      </c>
      <c r="H4930" s="475" t="s">
        <v>4069</v>
      </c>
      <c r="I4930" s="475" t="s">
        <v>1261</v>
      </c>
      <c r="J4930" s="475" t="s">
        <v>140</v>
      </c>
      <c r="K4930" s="365">
        <v>5.46</v>
      </c>
      <c r="L4930" s="475" t="s">
        <v>141</v>
      </c>
      <c r="M4930" s="473"/>
    </row>
    <row r="4931" spans="1:13" ht="13.5">
      <c r="A4931" s="475" t="s">
        <v>5563</v>
      </c>
      <c r="B4931" s="475" t="s">
        <v>5564</v>
      </c>
      <c r="C4931" s="475" t="s">
        <v>5582</v>
      </c>
      <c r="D4931" s="475" t="s">
        <v>5583</v>
      </c>
      <c r="E4931" s="476" t="s">
        <v>34</v>
      </c>
      <c r="F4931" s="475" t="s">
        <v>34</v>
      </c>
      <c r="G4931" s="364">
        <v>72900</v>
      </c>
      <c r="H4931" s="475" t="s">
        <v>4070</v>
      </c>
      <c r="I4931" s="475" t="s">
        <v>1261</v>
      </c>
      <c r="J4931" s="475" t="s">
        <v>140</v>
      </c>
      <c r="K4931" s="365">
        <v>6.01</v>
      </c>
      <c r="L4931" s="475" t="s">
        <v>141</v>
      </c>
      <c r="M4931" s="473"/>
    </row>
    <row r="4932" spans="1:13" ht="13.5">
      <c r="A4932" s="475" t="s">
        <v>5563</v>
      </c>
      <c r="B4932" s="475" t="s">
        <v>5564</v>
      </c>
      <c r="C4932" s="475" t="s">
        <v>5582</v>
      </c>
      <c r="D4932" s="475" t="s">
        <v>5583</v>
      </c>
      <c r="E4932" s="476">
        <v>74010</v>
      </c>
      <c r="F4932" s="475" t="s">
        <v>5584</v>
      </c>
      <c r="G4932" s="364" t="s">
        <v>4071</v>
      </c>
      <c r="H4932" s="475" t="s">
        <v>4072</v>
      </c>
      <c r="I4932" s="475" t="s">
        <v>1261</v>
      </c>
      <c r="J4932" s="475" t="s">
        <v>140</v>
      </c>
      <c r="K4932" s="365">
        <v>1.65</v>
      </c>
      <c r="L4932" s="475" t="s">
        <v>141</v>
      </c>
      <c r="M4932" s="473"/>
    </row>
    <row r="4933" spans="1:13" ht="13.5">
      <c r="A4933" s="475" t="s">
        <v>5563</v>
      </c>
      <c r="B4933" s="475" t="s">
        <v>5564</v>
      </c>
      <c r="C4933" s="475" t="s">
        <v>5582</v>
      </c>
      <c r="D4933" s="475" t="s">
        <v>5583</v>
      </c>
      <c r="E4933" s="476" t="s">
        <v>34</v>
      </c>
      <c r="F4933" s="475" t="s">
        <v>34</v>
      </c>
      <c r="G4933" s="364">
        <v>83356</v>
      </c>
      <c r="H4933" s="475" t="s">
        <v>4073</v>
      </c>
      <c r="I4933" s="475" t="s">
        <v>4060</v>
      </c>
      <c r="J4933" s="475" t="s">
        <v>140</v>
      </c>
      <c r="K4933" s="365">
        <v>0.79</v>
      </c>
      <c r="L4933" s="475" t="s">
        <v>141</v>
      </c>
      <c r="M4933" s="473"/>
    </row>
    <row r="4934" spans="1:13" ht="13.5">
      <c r="A4934" s="475" t="s">
        <v>5563</v>
      </c>
      <c r="B4934" s="475" t="s">
        <v>5564</v>
      </c>
      <c r="C4934" s="475" t="s">
        <v>5582</v>
      </c>
      <c r="D4934" s="475" t="s">
        <v>5583</v>
      </c>
      <c r="E4934" s="476" t="s">
        <v>34</v>
      </c>
      <c r="F4934" s="475" t="s">
        <v>34</v>
      </c>
      <c r="G4934" s="364">
        <v>83358</v>
      </c>
      <c r="H4934" s="475" t="s">
        <v>4074</v>
      </c>
      <c r="I4934" s="475" t="s">
        <v>4060</v>
      </c>
      <c r="J4934" s="475" t="s">
        <v>140</v>
      </c>
      <c r="K4934" s="365">
        <v>1.64</v>
      </c>
      <c r="L4934" s="475" t="s">
        <v>141</v>
      </c>
      <c r="M4934" s="473"/>
    </row>
    <row r="4935" spans="1:13" ht="13.5">
      <c r="A4935" s="475" t="s">
        <v>5563</v>
      </c>
      <c r="B4935" s="475" t="s">
        <v>5564</v>
      </c>
      <c r="C4935" s="475" t="s">
        <v>5582</v>
      </c>
      <c r="D4935" s="475" t="s">
        <v>5583</v>
      </c>
      <c r="E4935" s="476" t="s">
        <v>34</v>
      </c>
      <c r="F4935" s="475" t="s">
        <v>34</v>
      </c>
      <c r="G4935" s="364">
        <v>95303</v>
      </c>
      <c r="H4935" s="475" t="s">
        <v>4075</v>
      </c>
      <c r="I4935" s="475" t="s">
        <v>4060</v>
      </c>
      <c r="J4935" s="475" t="s">
        <v>140</v>
      </c>
      <c r="K4935" s="365">
        <v>1.01</v>
      </c>
      <c r="L4935" s="475" t="s">
        <v>141</v>
      </c>
      <c r="M4935" s="473"/>
    </row>
    <row r="4936" spans="1:13" ht="13.5">
      <c r="A4936" s="475" t="s">
        <v>5563</v>
      </c>
      <c r="B4936" s="475" t="s">
        <v>5564</v>
      </c>
      <c r="C4936" s="475" t="s">
        <v>5582</v>
      </c>
      <c r="D4936" s="475" t="s">
        <v>5583</v>
      </c>
      <c r="E4936" s="476" t="s">
        <v>34</v>
      </c>
      <c r="F4936" s="475" t="s">
        <v>34</v>
      </c>
      <c r="G4936" s="364">
        <v>97912</v>
      </c>
      <c r="H4936" s="475" t="s">
        <v>6128</v>
      </c>
      <c r="I4936" s="475" t="s">
        <v>4060</v>
      </c>
      <c r="J4936" s="475" t="s">
        <v>140</v>
      </c>
      <c r="K4936" s="365">
        <v>2.1800000000000002</v>
      </c>
      <c r="L4936" s="475" t="s">
        <v>141</v>
      </c>
      <c r="M4936" s="473"/>
    </row>
    <row r="4937" spans="1:13" ht="13.5">
      <c r="A4937" s="475" t="s">
        <v>5563</v>
      </c>
      <c r="B4937" s="475" t="s">
        <v>5564</v>
      </c>
      <c r="C4937" s="475" t="s">
        <v>5582</v>
      </c>
      <c r="D4937" s="475" t="s">
        <v>5583</v>
      </c>
      <c r="E4937" s="476" t="s">
        <v>34</v>
      </c>
      <c r="F4937" s="475" t="s">
        <v>34</v>
      </c>
      <c r="G4937" s="364">
        <v>97913</v>
      </c>
      <c r="H4937" s="475" t="s">
        <v>6129</v>
      </c>
      <c r="I4937" s="475" t="s">
        <v>4060</v>
      </c>
      <c r="J4937" s="475" t="s">
        <v>140</v>
      </c>
      <c r="K4937" s="365">
        <v>1.67</v>
      </c>
      <c r="L4937" s="475" t="s">
        <v>141</v>
      </c>
      <c r="M4937" s="473"/>
    </row>
    <row r="4938" spans="1:13" ht="13.5">
      <c r="A4938" s="475" t="s">
        <v>5563</v>
      </c>
      <c r="B4938" s="475" t="s">
        <v>5564</v>
      </c>
      <c r="C4938" s="475" t="s">
        <v>5582</v>
      </c>
      <c r="D4938" s="475" t="s">
        <v>5583</v>
      </c>
      <c r="E4938" s="476" t="s">
        <v>34</v>
      </c>
      <c r="F4938" s="475" t="s">
        <v>34</v>
      </c>
      <c r="G4938" s="364">
        <v>97914</v>
      </c>
      <c r="H4938" s="475" t="s">
        <v>6130</v>
      </c>
      <c r="I4938" s="475" t="s">
        <v>4060</v>
      </c>
      <c r="J4938" s="475" t="s">
        <v>140</v>
      </c>
      <c r="K4938" s="365">
        <v>1.57</v>
      </c>
      <c r="L4938" s="475" t="s">
        <v>141</v>
      </c>
      <c r="M4938" s="473"/>
    </row>
    <row r="4939" spans="1:13" ht="13.5">
      <c r="A4939" s="475" t="s">
        <v>5563</v>
      </c>
      <c r="B4939" s="475" t="s">
        <v>5564</v>
      </c>
      <c r="C4939" s="475" t="s">
        <v>5582</v>
      </c>
      <c r="D4939" s="475" t="s">
        <v>5583</v>
      </c>
      <c r="E4939" s="476" t="s">
        <v>34</v>
      </c>
      <c r="F4939" s="475" t="s">
        <v>34</v>
      </c>
      <c r="G4939" s="364">
        <v>97915</v>
      </c>
      <c r="H4939" s="475" t="s">
        <v>6131</v>
      </c>
      <c r="I4939" s="475" t="s">
        <v>4060</v>
      </c>
      <c r="J4939" s="475" t="s">
        <v>140</v>
      </c>
      <c r="K4939" s="365">
        <v>1.1100000000000001</v>
      </c>
      <c r="L4939" s="475" t="s">
        <v>141</v>
      </c>
      <c r="M4939" s="473"/>
    </row>
    <row r="4940" spans="1:13" ht="13.5">
      <c r="A4940" s="475" t="s">
        <v>5563</v>
      </c>
      <c r="B4940" s="475" t="s">
        <v>5564</v>
      </c>
      <c r="C4940" s="475" t="s">
        <v>5582</v>
      </c>
      <c r="D4940" s="475" t="s">
        <v>5583</v>
      </c>
      <c r="E4940" s="476" t="s">
        <v>34</v>
      </c>
      <c r="F4940" s="475" t="s">
        <v>34</v>
      </c>
      <c r="G4940" s="364">
        <v>97916</v>
      </c>
      <c r="H4940" s="475" t="s">
        <v>6132</v>
      </c>
      <c r="I4940" s="475" t="s">
        <v>4049</v>
      </c>
      <c r="J4940" s="475" t="s">
        <v>140</v>
      </c>
      <c r="K4940" s="365">
        <v>1.45</v>
      </c>
      <c r="L4940" s="475" t="s">
        <v>141</v>
      </c>
      <c r="M4940" s="473"/>
    </row>
    <row r="4941" spans="1:13" ht="13.5">
      <c r="A4941" s="475" t="s">
        <v>5563</v>
      </c>
      <c r="B4941" s="475" t="s">
        <v>5564</v>
      </c>
      <c r="C4941" s="475" t="s">
        <v>5582</v>
      </c>
      <c r="D4941" s="475" t="s">
        <v>5583</v>
      </c>
      <c r="E4941" s="476" t="s">
        <v>34</v>
      </c>
      <c r="F4941" s="475" t="s">
        <v>34</v>
      </c>
      <c r="G4941" s="364">
        <v>97917</v>
      </c>
      <c r="H4941" s="475" t="s">
        <v>6133</v>
      </c>
      <c r="I4941" s="475" t="s">
        <v>4049</v>
      </c>
      <c r="J4941" s="475" t="s">
        <v>140</v>
      </c>
      <c r="K4941" s="365">
        <v>1.1100000000000001</v>
      </c>
      <c r="L4941" s="475" t="s">
        <v>141</v>
      </c>
      <c r="M4941" s="473"/>
    </row>
    <row r="4942" spans="1:13" ht="13.5">
      <c r="A4942" s="475" t="s">
        <v>5563</v>
      </c>
      <c r="B4942" s="475" t="s">
        <v>5564</v>
      </c>
      <c r="C4942" s="475" t="s">
        <v>5582</v>
      </c>
      <c r="D4942" s="475" t="s">
        <v>5583</v>
      </c>
      <c r="E4942" s="476" t="s">
        <v>34</v>
      </c>
      <c r="F4942" s="475" t="s">
        <v>34</v>
      </c>
      <c r="G4942" s="364">
        <v>97918</v>
      </c>
      <c r="H4942" s="475" t="s">
        <v>6134</v>
      </c>
      <c r="I4942" s="475" t="s">
        <v>4049</v>
      </c>
      <c r="J4942" s="475" t="s">
        <v>140</v>
      </c>
      <c r="K4942" s="365">
        <v>1.04</v>
      </c>
      <c r="L4942" s="475" t="s">
        <v>141</v>
      </c>
      <c r="M4942" s="473"/>
    </row>
    <row r="4943" spans="1:13" ht="13.5">
      <c r="A4943" s="475" t="s">
        <v>5563</v>
      </c>
      <c r="B4943" s="475" t="s">
        <v>5564</v>
      </c>
      <c r="C4943" s="475" t="s">
        <v>5582</v>
      </c>
      <c r="D4943" s="475" t="s">
        <v>5583</v>
      </c>
      <c r="E4943" s="476" t="s">
        <v>34</v>
      </c>
      <c r="F4943" s="475" t="s">
        <v>34</v>
      </c>
      <c r="G4943" s="364">
        <v>97919</v>
      </c>
      <c r="H4943" s="475" t="s">
        <v>6135</v>
      </c>
      <c r="I4943" s="475" t="s">
        <v>4049</v>
      </c>
      <c r="J4943" s="475" t="s">
        <v>140</v>
      </c>
      <c r="K4943" s="365">
        <v>0.73</v>
      </c>
      <c r="L4943" s="475" t="s">
        <v>141</v>
      </c>
      <c r="M4943" s="473"/>
    </row>
    <row r="4944" spans="1:13" ht="13.5">
      <c r="A4944" s="475" t="s">
        <v>5563</v>
      </c>
      <c r="B4944" s="475" t="s">
        <v>5564</v>
      </c>
      <c r="C4944" s="475" t="s">
        <v>5585</v>
      </c>
      <c r="D4944" s="475" t="s">
        <v>5586</v>
      </c>
      <c r="E4944" s="476" t="s">
        <v>34</v>
      </c>
      <c r="F4944" s="475" t="s">
        <v>34</v>
      </c>
      <c r="G4944" s="364">
        <v>94097</v>
      </c>
      <c r="H4944" s="475" t="s">
        <v>4076</v>
      </c>
      <c r="I4944" s="475" t="s">
        <v>322</v>
      </c>
      <c r="J4944" s="475" t="s">
        <v>337</v>
      </c>
      <c r="K4944" s="365">
        <v>4.33</v>
      </c>
      <c r="L4944" s="475" t="s">
        <v>141</v>
      </c>
      <c r="M4944" s="473"/>
    </row>
    <row r="4945" spans="1:13" ht="13.5">
      <c r="A4945" s="475" t="s">
        <v>5563</v>
      </c>
      <c r="B4945" s="475" t="s">
        <v>5564</v>
      </c>
      <c r="C4945" s="475" t="s">
        <v>5585</v>
      </c>
      <c r="D4945" s="475" t="s">
        <v>5586</v>
      </c>
      <c r="E4945" s="476" t="s">
        <v>34</v>
      </c>
      <c r="F4945" s="475" t="s">
        <v>34</v>
      </c>
      <c r="G4945" s="364">
        <v>94098</v>
      </c>
      <c r="H4945" s="475" t="s">
        <v>4077</v>
      </c>
      <c r="I4945" s="475" t="s">
        <v>322</v>
      </c>
      <c r="J4945" s="475" t="s">
        <v>337</v>
      </c>
      <c r="K4945" s="365">
        <v>4.95</v>
      </c>
      <c r="L4945" s="475" t="s">
        <v>141</v>
      </c>
      <c r="M4945" s="473"/>
    </row>
    <row r="4946" spans="1:13" ht="13.5">
      <c r="A4946" s="475" t="s">
        <v>5563</v>
      </c>
      <c r="B4946" s="475" t="s">
        <v>5564</v>
      </c>
      <c r="C4946" s="475" t="s">
        <v>5585</v>
      </c>
      <c r="D4946" s="475" t="s">
        <v>5586</v>
      </c>
      <c r="E4946" s="476" t="s">
        <v>34</v>
      </c>
      <c r="F4946" s="475" t="s">
        <v>34</v>
      </c>
      <c r="G4946" s="364">
        <v>94099</v>
      </c>
      <c r="H4946" s="475" t="s">
        <v>4078</v>
      </c>
      <c r="I4946" s="475" t="s">
        <v>322</v>
      </c>
      <c r="J4946" s="475" t="s">
        <v>337</v>
      </c>
      <c r="K4946" s="365">
        <v>2.1800000000000002</v>
      </c>
      <c r="L4946" s="475" t="s">
        <v>141</v>
      </c>
      <c r="M4946" s="473"/>
    </row>
    <row r="4947" spans="1:13" ht="13.5">
      <c r="A4947" s="475" t="s">
        <v>5563</v>
      </c>
      <c r="B4947" s="475" t="s">
        <v>5564</v>
      </c>
      <c r="C4947" s="475" t="s">
        <v>5585</v>
      </c>
      <c r="D4947" s="475" t="s">
        <v>5586</v>
      </c>
      <c r="E4947" s="476" t="s">
        <v>34</v>
      </c>
      <c r="F4947" s="475" t="s">
        <v>34</v>
      </c>
      <c r="G4947" s="364">
        <v>94100</v>
      </c>
      <c r="H4947" s="475" t="s">
        <v>4079</v>
      </c>
      <c r="I4947" s="475" t="s">
        <v>322</v>
      </c>
      <c r="J4947" s="475" t="s">
        <v>337</v>
      </c>
      <c r="K4947" s="365">
        <v>2.78</v>
      </c>
      <c r="L4947" s="475" t="s">
        <v>141</v>
      </c>
      <c r="M4947" s="473"/>
    </row>
    <row r="4948" spans="1:13" ht="13.5">
      <c r="A4948" s="475" t="s">
        <v>5563</v>
      </c>
      <c r="B4948" s="475" t="s">
        <v>5564</v>
      </c>
      <c r="C4948" s="475" t="s">
        <v>5585</v>
      </c>
      <c r="D4948" s="475" t="s">
        <v>5586</v>
      </c>
      <c r="E4948" s="476" t="s">
        <v>34</v>
      </c>
      <c r="F4948" s="475" t="s">
        <v>34</v>
      </c>
      <c r="G4948" s="364">
        <v>94102</v>
      </c>
      <c r="H4948" s="475" t="s">
        <v>4080</v>
      </c>
      <c r="I4948" s="475" t="s">
        <v>1261</v>
      </c>
      <c r="J4948" s="475" t="s">
        <v>337</v>
      </c>
      <c r="K4948" s="365">
        <v>184.69</v>
      </c>
      <c r="L4948" s="475" t="s">
        <v>141</v>
      </c>
      <c r="M4948" s="473"/>
    </row>
    <row r="4949" spans="1:13" ht="13.5">
      <c r="A4949" s="475" t="s">
        <v>5563</v>
      </c>
      <c r="B4949" s="475" t="s">
        <v>5564</v>
      </c>
      <c r="C4949" s="475" t="s">
        <v>5585</v>
      </c>
      <c r="D4949" s="475" t="s">
        <v>5586</v>
      </c>
      <c r="E4949" s="476" t="s">
        <v>34</v>
      </c>
      <c r="F4949" s="475" t="s">
        <v>34</v>
      </c>
      <c r="G4949" s="364">
        <v>94103</v>
      </c>
      <c r="H4949" s="475" t="s">
        <v>4081</v>
      </c>
      <c r="I4949" s="475" t="s">
        <v>1261</v>
      </c>
      <c r="J4949" s="475" t="s">
        <v>337</v>
      </c>
      <c r="K4949" s="365">
        <v>220.95</v>
      </c>
      <c r="L4949" s="475" t="s">
        <v>141</v>
      </c>
      <c r="M4949" s="473"/>
    </row>
    <row r="4950" spans="1:13" ht="13.5">
      <c r="A4950" s="475" t="s">
        <v>5563</v>
      </c>
      <c r="B4950" s="475" t="s">
        <v>5564</v>
      </c>
      <c r="C4950" s="475" t="s">
        <v>5585</v>
      </c>
      <c r="D4950" s="475" t="s">
        <v>5586</v>
      </c>
      <c r="E4950" s="476" t="s">
        <v>34</v>
      </c>
      <c r="F4950" s="475" t="s">
        <v>34</v>
      </c>
      <c r="G4950" s="364">
        <v>94104</v>
      </c>
      <c r="H4950" s="475" t="s">
        <v>4082</v>
      </c>
      <c r="I4950" s="475" t="s">
        <v>1261</v>
      </c>
      <c r="J4950" s="475" t="s">
        <v>337</v>
      </c>
      <c r="K4950" s="365">
        <v>188.13</v>
      </c>
      <c r="L4950" s="475" t="s">
        <v>141</v>
      </c>
      <c r="M4950" s="473"/>
    </row>
    <row r="4951" spans="1:13" ht="13.5">
      <c r="A4951" s="475" t="s">
        <v>5563</v>
      </c>
      <c r="B4951" s="475" t="s">
        <v>5564</v>
      </c>
      <c r="C4951" s="475" t="s">
        <v>5585</v>
      </c>
      <c r="D4951" s="475" t="s">
        <v>5586</v>
      </c>
      <c r="E4951" s="476" t="s">
        <v>34</v>
      </c>
      <c r="F4951" s="475" t="s">
        <v>34</v>
      </c>
      <c r="G4951" s="364">
        <v>94105</v>
      </c>
      <c r="H4951" s="475" t="s">
        <v>4083</v>
      </c>
      <c r="I4951" s="475" t="s">
        <v>1261</v>
      </c>
      <c r="J4951" s="475" t="s">
        <v>337</v>
      </c>
      <c r="K4951" s="365">
        <v>224.41</v>
      </c>
      <c r="L4951" s="475" t="s">
        <v>141</v>
      </c>
      <c r="M4951" s="473"/>
    </row>
    <row r="4952" spans="1:13" ht="13.5">
      <c r="A4952" s="475" t="s">
        <v>5563</v>
      </c>
      <c r="B4952" s="475" t="s">
        <v>5564</v>
      </c>
      <c r="C4952" s="475" t="s">
        <v>5585</v>
      </c>
      <c r="D4952" s="475" t="s">
        <v>5586</v>
      </c>
      <c r="E4952" s="476" t="s">
        <v>34</v>
      </c>
      <c r="F4952" s="475" t="s">
        <v>34</v>
      </c>
      <c r="G4952" s="364">
        <v>94106</v>
      </c>
      <c r="H4952" s="475" t="s">
        <v>4084</v>
      </c>
      <c r="I4952" s="475" t="s">
        <v>1261</v>
      </c>
      <c r="J4952" s="475" t="s">
        <v>337</v>
      </c>
      <c r="K4952" s="365">
        <v>167.39</v>
      </c>
      <c r="L4952" s="475" t="s">
        <v>141</v>
      </c>
      <c r="M4952" s="473"/>
    </row>
    <row r="4953" spans="1:13" ht="13.5">
      <c r="A4953" s="475" t="s">
        <v>5563</v>
      </c>
      <c r="B4953" s="475" t="s">
        <v>5564</v>
      </c>
      <c r="C4953" s="475" t="s">
        <v>5585</v>
      </c>
      <c r="D4953" s="475" t="s">
        <v>5586</v>
      </c>
      <c r="E4953" s="476" t="s">
        <v>34</v>
      </c>
      <c r="F4953" s="475" t="s">
        <v>34</v>
      </c>
      <c r="G4953" s="364">
        <v>94107</v>
      </c>
      <c r="H4953" s="475" t="s">
        <v>4085</v>
      </c>
      <c r="I4953" s="475" t="s">
        <v>1261</v>
      </c>
      <c r="J4953" s="475" t="s">
        <v>337</v>
      </c>
      <c r="K4953" s="365">
        <v>203.67</v>
      </c>
      <c r="L4953" s="475" t="s">
        <v>141</v>
      </c>
      <c r="M4953" s="473"/>
    </row>
    <row r="4954" spans="1:13" ht="13.5">
      <c r="A4954" s="475" t="s">
        <v>5563</v>
      </c>
      <c r="B4954" s="475" t="s">
        <v>5564</v>
      </c>
      <c r="C4954" s="475" t="s">
        <v>5585</v>
      </c>
      <c r="D4954" s="475" t="s">
        <v>5586</v>
      </c>
      <c r="E4954" s="476" t="s">
        <v>34</v>
      </c>
      <c r="F4954" s="475" t="s">
        <v>34</v>
      </c>
      <c r="G4954" s="364">
        <v>94108</v>
      </c>
      <c r="H4954" s="475" t="s">
        <v>4086</v>
      </c>
      <c r="I4954" s="475" t="s">
        <v>1261</v>
      </c>
      <c r="J4954" s="475" t="s">
        <v>337</v>
      </c>
      <c r="K4954" s="365">
        <v>170.85</v>
      </c>
      <c r="L4954" s="475" t="s">
        <v>141</v>
      </c>
      <c r="M4954" s="473"/>
    </row>
    <row r="4955" spans="1:13" ht="13.5">
      <c r="A4955" s="475" t="s">
        <v>5563</v>
      </c>
      <c r="B4955" s="475" t="s">
        <v>5564</v>
      </c>
      <c r="C4955" s="475" t="s">
        <v>5585</v>
      </c>
      <c r="D4955" s="475" t="s">
        <v>5586</v>
      </c>
      <c r="E4955" s="476" t="s">
        <v>34</v>
      </c>
      <c r="F4955" s="475" t="s">
        <v>34</v>
      </c>
      <c r="G4955" s="364">
        <v>94110</v>
      </c>
      <c r="H4955" s="475" t="s">
        <v>4087</v>
      </c>
      <c r="I4955" s="475" t="s">
        <v>1261</v>
      </c>
      <c r="J4955" s="475" t="s">
        <v>337</v>
      </c>
      <c r="K4955" s="365">
        <v>207.11</v>
      </c>
      <c r="L4955" s="475" t="s">
        <v>141</v>
      </c>
      <c r="M4955" s="473"/>
    </row>
    <row r="4956" spans="1:13" ht="13.5">
      <c r="A4956" s="475" t="s">
        <v>5563</v>
      </c>
      <c r="B4956" s="475" t="s">
        <v>5564</v>
      </c>
      <c r="C4956" s="475" t="s">
        <v>5585</v>
      </c>
      <c r="D4956" s="475" t="s">
        <v>5586</v>
      </c>
      <c r="E4956" s="476" t="s">
        <v>34</v>
      </c>
      <c r="F4956" s="475" t="s">
        <v>34</v>
      </c>
      <c r="G4956" s="364">
        <v>94111</v>
      </c>
      <c r="H4956" s="475" t="s">
        <v>4088</v>
      </c>
      <c r="I4956" s="475" t="s">
        <v>1261</v>
      </c>
      <c r="J4956" s="475" t="s">
        <v>140</v>
      </c>
      <c r="K4956" s="365">
        <v>160.75</v>
      </c>
      <c r="L4956" s="475" t="s">
        <v>141</v>
      </c>
      <c r="M4956" s="473"/>
    </row>
    <row r="4957" spans="1:13" ht="13.5">
      <c r="A4957" s="475" t="s">
        <v>5563</v>
      </c>
      <c r="B4957" s="475" t="s">
        <v>5564</v>
      </c>
      <c r="C4957" s="475" t="s">
        <v>5585</v>
      </c>
      <c r="D4957" s="475" t="s">
        <v>5586</v>
      </c>
      <c r="E4957" s="476" t="s">
        <v>34</v>
      </c>
      <c r="F4957" s="475" t="s">
        <v>34</v>
      </c>
      <c r="G4957" s="364">
        <v>94112</v>
      </c>
      <c r="H4957" s="475" t="s">
        <v>4089</v>
      </c>
      <c r="I4957" s="475" t="s">
        <v>1261</v>
      </c>
      <c r="J4957" s="475" t="s">
        <v>140</v>
      </c>
      <c r="K4957" s="365">
        <v>191.45</v>
      </c>
      <c r="L4957" s="475" t="s">
        <v>141</v>
      </c>
      <c r="M4957" s="473"/>
    </row>
    <row r="4958" spans="1:13" ht="13.5">
      <c r="A4958" s="475" t="s">
        <v>5563</v>
      </c>
      <c r="B4958" s="475" t="s">
        <v>5564</v>
      </c>
      <c r="C4958" s="475" t="s">
        <v>5585</v>
      </c>
      <c r="D4958" s="475" t="s">
        <v>5586</v>
      </c>
      <c r="E4958" s="476" t="s">
        <v>34</v>
      </c>
      <c r="F4958" s="475" t="s">
        <v>34</v>
      </c>
      <c r="G4958" s="364">
        <v>94113</v>
      </c>
      <c r="H4958" s="475" t="s">
        <v>4090</v>
      </c>
      <c r="I4958" s="475" t="s">
        <v>1261</v>
      </c>
      <c r="J4958" s="475" t="s">
        <v>140</v>
      </c>
      <c r="K4958" s="365">
        <v>166.26</v>
      </c>
      <c r="L4958" s="475" t="s">
        <v>141</v>
      </c>
      <c r="M4958" s="473"/>
    </row>
    <row r="4959" spans="1:13" ht="13.5">
      <c r="A4959" s="475" t="s">
        <v>5563</v>
      </c>
      <c r="B4959" s="475" t="s">
        <v>5564</v>
      </c>
      <c r="C4959" s="475" t="s">
        <v>5585</v>
      </c>
      <c r="D4959" s="475" t="s">
        <v>5586</v>
      </c>
      <c r="E4959" s="476" t="s">
        <v>34</v>
      </c>
      <c r="F4959" s="475" t="s">
        <v>34</v>
      </c>
      <c r="G4959" s="364">
        <v>94114</v>
      </c>
      <c r="H4959" s="475" t="s">
        <v>4091</v>
      </c>
      <c r="I4959" s="475" t="s">
        <v>1261</v>
      </c>
      <c r="J4959" s="475" t="s">
        <v>140</v>
      </c>
      <c r="K4959" s="365">
        <v>197.67</v>
      </c>
      <c r="L4959" s="475" t="s">
        <v>141</v>
      </c>
      <c r="M4959" s="473"/>
    </row>
    <row r="4960" spans="1:13" ht="13.5">
      <c r="A4960" s="475" t="s">
        <v>5563</v>
      </c>
      <c r="B4960" s="475" t="s">
        <v>5564</v>
      </c>
      <c r="C4960" s="475" t="s">
        <v>5585</v>
      </c>
      <c r="D4960" s="475" t="s">
        <v>5586</v>
      </c>
      <c r="E4960" s="476" t="s">
        <v>34</v>
      </c>
      <c r="F4960" s="475" t="s">
        <v>34</v>
      </c>
      <c r="G4960" s="364">
        <v>94115</v>
      </c>
      <c r="H4960" s="475" t="s">
        <v>4092</v>
      </c>
      <c r="I4960" s="475" t="s">
        <v>1261</v>
      </c>
      <c r="J4960" s="475" t="s">
        <v>140</v>
      </c>
      <c r="K4960" s="365">
        <v>135</v>
      </c>
      <c r="L4960" s="475" t="s">
        <v>141</v>
      </c>
      <c r="M4960" s="473"/>
    </row>
    <row r="4961" spans="1:13" ht="13.5">
      <c r="A4961" s="475" t="s">
        <v>5563</v>
      </c>
      <c r="B4961" s="475" t="s">
        <v>5564</v>
      </c>
      <c r="C4961" s="475" t="s">
        <v>5585</v>
      </c>
      <c r="D4961" s="475" t="s">
        <v>5586</v>
      </c>
      <c r="E4961" s="476" t="s">
        <v>34</v>
      </c>
      <c r="F4961" s="475" t="s">
        <v>34</v>
      </c>
      <c r="G4961" s="364">
        <v>94116</v>
      </c>
      <c r="H4961" s="475" t="s">
        <v>4093</v>
      </c>
      <c r="I4961" s="475" t="s">
        <v>1261</v>
      </c>
      <c r="J4961" s="475" t="s">
        <v>140</v>
      </c>
      <c r="K4961" s="365">
        <v>161.94999999999999</v>
      </c>
      <c r="L4961" s="475" t="s">
        <v>141</v>
      </c>
      <c r="M4961" s="473"/>
    </row>
    <row r="4962" spans="1:13" ht="13.5">
      <c r="A4962" s="475" t="s">
        <v>5563</v>
      </c>
      <c r="B4962" s="475" t="s">
        <v>5564</v>
      </c>
      <c r="C4962" s="475" t="s">
        <v>5585</v>
      </c>
      <c r="D4962" s="475" t="s">
        <v>5586</v>
      </c>
      <c r="E4962" s="476" t="s">
        <v>34</v>
      </c>
      <c r="F4962" s="475" t="s">
        <v>34</v>
      </c>
      <c r="G4962" s="364">
        <v>94117</v>
      </c>
      <c r="H4962" s="475" t="s">
        <v>4094</v>
      </c>
      <c r="I4962" s="475" t="s">
        <v>1261</v>
      </c>
      <c r="J4962" s="475" t="s">
        <v>140</v>
      </c>
      <c r="K4962" s="365">
        <v>140.13</v>
      </c>
      <c r="L4962" s="475" t="s">
        <v>141</v>
      </c>
      <c r="M4962" s="473"/>
    </row>
    <row r="4963" spans="1:13" ht="13.5">
      <c r="A4963" s="475" t="s">
        <v>5563</v>
      </c>
      <c r="B4963" s="475" t="s">
        <v>5564</v>
      </c>
      <c r="C4963" s="475" t="s">
        <v>5585</v>
      </c>
      <c r="D4963" s="475" t="s">
        <v>5586</v>
      </c>
      <c r="E4963" s="476" t="s">
        <v>34</v>
      </c>
      <c r="F4963" s="475" t="s">
        <v>34</v>
      </c>
      <c r="G4963" s="364">
        <v>94118</v>
      </c>
      <c r="H4963" s="475" t="s">
        <v>4095</v>
      </c>
      <c r="I4963" s="475" t="s">
        <v>1261</v>
      </c>
      <c r="J4963" s="475" t="s">
        <v>140</v>
      </c>
      <c r="K4963" s="365">
        <v>167.98</v>
      </c>
      <c r="L4963" s="475" t="s">
        <v>141</v>
      </c>
      <c r="M4963" s="473"/>
    </row>
    <row r="4964" spans="1:13" ht="13.5">
      <c r="A4964" s="475" t="s">
        <v>5563</v>
      </c>
      <c r="B4964" s="475" t="s">
        <v>5564</v>
      </c>
      <c r="C4964" s="475" t="s">
        <v>5587</v>
      </c>
      <c r="D4964" s="475" t="s">
        <v>5588</v>
      </c>
      <c r="E4964" s="476" t="s">
        <v>34</v>
      </c>
      <c r="F4964" s="475" t="s">
        <v>34</v>
      </c>
      <c r="G4964" s="364">
        <v>6514</v>
      </c>
      <c r="H4964" s="475" t="s">
        <v>4096</v>
      </c>
      <c r="I4964" s="475" t="s">
        <v>1261</v>
      </c>
      <c r="J4964" s="475" t="s">
        <v>337</v>
      </c>
      <c r="K4964" s="365">
        <v>122.27</v>
      </c>
      <c r="L4964" s="475" t="s">
        <v>141</v>
      </c>
      <c r="M4964" s="473"/>
    </row>
    <row r="4965" spans="1:13" ht="13.5">
      <c r="A4965" s="475" t="s">
        <v>5563</v>
      </c>
      <c r="B4965" s="475" t="s">
        <v>5564</v>
      </c>
      <c r="C4965" s="475" t="s">
        <v>5587</v>
      </c>
      <c r="D4965" s="475" t="s">
        <v>5588</v>
      </c>
      <c r="E4965" s="476" t="s">
        <v>34</v>
      </c>
      <c r="F4965" s="475" t="s">
        <v>34</v>
      </c>
      <c r="G4965" s="364">
        <v>88549</v>
      </c>
      <c r="H4965" s="475" t="s">
        <v>4097</v>
      </c>
      <c r="I4965" s="475" t="s">
        <v>1261</v>
      </c>
      <c r="J4965" s="475" t="s">
        <v>363</v>
      </c>
      <c r="K4965" s="365">
        <v>100.11</v>
      </c>
      <c r="L4965" s="475" t="s">
        <v>141</v>
      </c>
      <c r="M4965" s="473"/>
    </row>
    <row r="4966" spans="1:13" ht="13.5">
      <c r="A4966" s="475" t="s">
        <v>5563</v>
      </c>
      <c r="B4966" s="475" t="s">
        <v>5564</v>
      </c>
      <c r="C4966" s="475" t="s">
        <v>5589</v>
      </c>
      <c r="D4966" s="475" t="s">
        <v>5590</v>
      </c>
      <c r="E4966" s="476" t="s">
        <v>34</v>
      </c>
      <c r="F4966" s="475" t="s">
        <v>34</v>
      </c>
      <c r="G4966" s="364">
        <v>41721</v>
      </c>
      <c r="H4966" s="475" t="s">
        <v>4098</v>
      </c>
      <c r="I4966" s="475" t="s">
        <v>1261</v>
      </c>
      <c r="J4966" s="475" t="s">
        <v>140</v>
      </c>
      <c r="K4966" s="365">
        <v>2.93</v>
      </c>
      <c r="L4966" s="475" t="s">
        <v>141</v>
      </c>
      <c r="M4966" s="473"/>
    </row>
    <row r="4967" spans="1:13" ht="13.5">
      <c r="A4967" s="475" t="s">
        <v>5563</v>
      </c>
      <c r="B4967" s="475" t="s">
        <v>5564</v>
      </c>
      <c r="C4967" s="475" t="s">
        <v>5589</v>
      </c>
      <c r="D4967" s="475" t="s">
        <v>5590</v>
      </c>
      <c r="E4967" s="476" t="s">
        <v>34</v>
      </c>
      <c r="F4967" s="475" t="s">
        <v>34</v>
      </c>
      <c r="G4967" s="364">
        <v>41722</v>
      </c>
      <c r="H4967" s="475" t="s">
        <v>4099</v>
      </c>
      <c r="I4967" s="475" t="s">
        <v>1261</v>
      </c>
      <c r="J4967" s="475" t="s">
        <v>140</v>
      </c>
      <c r="K4967" s="365">
        <v>4.22</v>
      </c>
      <c r="L4967" s="475" t="s">
        <v>141</v>
      </c>
      <c r="M4967" s="473"/>
    </row>
    <row r="4968" spans="1:13" ht="13.5">
      <c r="A4968" s="475" t="s">
        <v>5563</v>
      </c>
      <c r="B4968" s="475" t="s">
        <v>5564</v>
      </c>
      <c r="C4968" s="475" t="s">
        <v>5589</v>
      </c>
      <c r="D4968" s="475" t="s">
        <v>5590</v>
      </c>
      <c r="E4968" s="476">
        <v>74005</v>
      </c>
      <c r="F4968" s="475" t="s">
        <v>5591</v>
      </c>
      <c r="G4968" s="364" t="s">
        <v>4100</v>
      </c>
      <c r="H4968" s="475" t="s">
        <v>4101</v>
      </c>
      <c r="I4968" s="475" t="s">
        <v>1261</v>
      </c>
      <c r="J4968" s="475" t="s">
        <v>337</v>
      </c>
      <c r="K4968" s="365">
        <v>4.16</v>
      </c>
      <c r="L4968" s="475" t="s">
        <v>141</v>
      </c>
      <c r="M4968" s="473"/>
    </row>
    <row r="4969" spans="1:13" ht="13.5">
      <c r="A4969" s="475" t="s">
        <v>5563</v>
      </c>
      <c r="B4969" s="475" t="s">
        <v>5564</v>
      </c>
      <c r="C4969" s="475" t="s">
        <v>5589</v>
      </c>
      <c r="D4969" s="475" t="s">
        <v>5590</v>
      </c>
      <c r="E4969" s="476">
        <v>74005</v>
      </c>
      <c r="F4969" s="475" t="s">
        <v>5591</v>
      </c>
      <c r="G4969" s="364" t="s">
        <v>4102</v>
      </c>
      <c r="H4969" s="475" t="s">
        <v>4103</v>
      </c>
      <c r="I4969" s="475" t="s">
        <v>1261</v>
      </c>
      <c r="J4969" s="475" t="s">
        <v>140</v>
      </c>
      <c r="K4969" s="365">
        <v>5.0199999999999996</v>
      </c>
      <c r="L4969" s="475" t="s">
        <v>141</v>
      </c>
      <c r="M4969" s="473"/>
    </row>
    <row r="4970" spans="1:13" ht="13.5">
      <c r="A4970" s="475" t="s">
        <v>5563</v>
      </c>
      <c r="B4970" s="475" t="s">
        <v>5564</v>
      </c>
      <c r="C4970" s="475" t="s">
        <v>5589</v>
      </c>
      <c r="D4970" s="475" t="s">
        <v>5590</v>
      </c>
      <c r="E4970" s="476">
        <v>74034</v>
      </c>
      <c r="F4970" s="475" t="s">
        <v>5592</v>
      </c>
      <c r="G4970" s="364" t="s">
        <v>4104</v>
      </c>
      <c r="H4970" s="475" t="s">
        <v>4105</v>
      </c>
      <c r="I4970" s="475" t="s">
        <v>1261</v>
      </c>
      <c r="J4970" s="475" t="s">
        <v>140</v>
      </c>
      <c r="K4970" s="365">
        <v>1.56</v>
      </c>
      <c r="L4970" s="475" t="s">
        <v>141</v>
      </c>
      <c r="M4970" s="473"/>
    </row>
    <row r="4971" spans="1:13" ht="13.5">
      <c r="A4971" s="475" t="s">
        <v>5563</v>
      </c>
      <c r="B4971" s="475" t="s">
        <v>5564</v>
      </c>
      <c r="C4971" s="475" t="s">
        <v>5589</v>
      </c>
      <c r="D4971" s="475" t="s">
        <v>5590</v>
      </c>
      <c r="E4971" s="476" t="s">
        <v>34</v>
      </c>
      <c r="F4971" s="475" t="s">
        <v>34</v>
      </c>
      <c r="G4971" s="364">
        <v>83344</v>
      </c>
      <c r="H4971" s="475" t="s">
        <v>4106</v>
      </c>
      <c r="I4971" s="475" t="s">
        <v>1261</v>
      </c>
      <c r="J4971" s="475" t="s">
        <v>140</v>
      </c>
      <c r="K4971" s="365">
        <v>0.86</v>
      </c>
      <c r="L4971" s="475" t="s">
        <v>141</v>
      </c>
      <c r="M4971" s="473"/>
    </row>
    <row r="4972" spans="1:13" ht="13.5">
      <c r="A4972" s="475" t="s">
        <v>5563</v>
      </c>
      <c r="B4972" s="475" t="s">
        <v>5564</v>
      </c>
      <c r="C4972" s="475" t="s">
        <v>5589</v>
      </c>
      <c r="D4972" s="475" t="s">
        <v>5590</v>
      </c>
      <c r="E4972" s="476" t="s">
        <v>34</v>
      </c>
      <c r="F4972" s="475" t="s">
        <v>34</v>
      </c>
      <c r="G4972" s="364">
        <v>95606</v>
      </c>
      <c r="H4972" s="475" t="s">
        <v>4107</v>
      </c>
      <c r="I4972" s="475" t="s">
        <v>1261</v>
      </c>
      <c r="J4972" s="475" t="s">
        <v>140</v>
      </c>
      <c r="K4972" s="365">
        <v>1.22</v>
      </c>
      <c r="L4972" s="475" t="s">
        <v>141</v>
      </c>
      <c r="M4972" s="473"/>
    </row>
    <row r="4973" spans="1:13" ht="13.5">
      <c r="A4973" s="475" t="s">
        <v>5593</v>
      </c>
      <c r="B4973" s="475" t="s">
        <v>5594</v>
      </c>
      <c r="C4973" s="475" t="s">
        <v>5595</v>
      </c>
      <c r="D4973" s="475" t="s">
        <v>5596</v>
      </c>
      <c r="E4973" s="476" t="s">
        <v>34</v>
      </c>
      <c r="F4973" s="475" t="s">
        <v>34</v>
      </c>
      <c r="G4973" s="364">
        <v>72131</v>
      </c>
      <c r="H4973" s="475" t="s">
        <v>4108</v>
      </c>
      <c r="I4973" s="475" t="s">
        <v>322</v>
      </c>
      <c r="J4973" s="475" t="s">
        <v>337</v>
      </c>
      <c r="K4973" s="365">
        <v>113.65</v>
      </c>
      <c r="L4973" s="475" t="s">
        <v>141</v>
      </c>
      <c r="M4973" s="473"/>
    </row>
    <row r="4974" spans="1:13" ht="13.5">
      <c r="A4974" s="475" t="s">
        <v>5593</v>
      </c>
      <c r="B4974" s="475" t="s">
        <v>5594</v>
      </c>
      <c r="C4974" s="475" t="s">
        <v>5595</v>
      </c>
      <c r="D4974" s="475" t="s">
        <v>5596</v>
      </c>
      <c r="E4974" s="476" t="s">
        <v>34</v>
      </c>
      <c r="F4974" s="475" t="s">
        <v>34</v>
      </c>
      <c r="G4974" s="364">
        <v>72132</v>
      </c>
      <c r="H4974" s="475" t="s">
        <v>4109</v>
      </c>
      <c r="I4974" s="475" t="s">
        <v>322</v>
      </c>
      <c r="J4974" s="475" t="s">
        <v>337</v>
      </c>
      <c r="K4974" s="365">
        <v>58.3</v>
      </c>
      <c r="L4974" s="475" t="s">
        <v>141</v>
      </c>
      <c r="M4974" s="473"/>
    </row>
    <row r="4975" spans="1:13" ht="13.5">
      <c r="A4975" s="475" t="s">
        <v>5593</v>
      </c>
      <c r="B4975" s="475" t="s">
        <v>5594</v>
      </c>
      <c r="C4975" s="475" t="s">
        <v>5595</v>
      </c>
      <c r="D4975" s="475" t="s">
        <v>5596</v>
      </c>
      <c r="E4975" s="476" t="s">
        <v>34</v>
      </c>
      <c r="F4975" s="475" t="s">
        <v>34</v>
      </c>
      <c r="G4975" s="364">
        <v>72133</v>
      </c>
      <c r="H4975" s="475" t="s">
        <v>4110</v>
      </c>
      <c r="I4975" s="475" t="s">
        <v>322</v>
      </c>
      <c r="J4975" s="475" t="s">
        <v>337</v>
      </c>
      <c r="K4975" s="365">
        <v>202.2</v>
      </c>
      <c r="L4975" s="475" t="s">
        <v>141</v>
      </c>
      <c r="M4975" s="473"/>
    </row>
    <row r="4976" spans="1:13" ht="13.5">
      <c r="A4976" s="475" t="s">
        <v>5593</v>
      </c>
      <c r="B4976" s="475" t="s">
        <v>5594</v>
      </c>
      <c r="C4976" s="475" t="s">
        <v>5595</v>
      </c>
      <c r="D4976" s="475" t="s">
        <v>5596</v>
      </c>
      <c r="E4976" s="476" t="s">
        <v>34</v>
      </c>
      <c r="F4976" s="475" t="s">
        <v>34</v>
      </c>
      <c r="G4976" s="364">
        <v>87471</v>
      </c>
      <c r="H4976" s="475" t="s">
        <v>4111</v>
      </c>
      <c r="I4976" s="475" t="s">
        <v>322</v>
      </c>
      <c r="J4976" s="475" t="s">
        <v>140</v>
      </c>
      <c r="K4976" s="365">
        <v>37.07</v>
      </c>
      <c r="L4976" s="475" t="s">
        <v>141</v>
      </c>
      <c r="M4976" s="473"/>
    </row>
    <row r="4977" spans="1:13" ht="13.5">
      <c r="A4977" s="475" t="s">
        <v>5593</v>
      </c>
      <c r="B4977" s="475" t="s">
        <v>5594</v>
      </c>
      <c r="C4977" s="475" t="s">
        <v>5595</v>
      </c>
      <c r="D4977" s="475" t="s">
        <v>5596</v>
      </c>
      <c r="E4977" s="476" t="s">
        <v>34</v>
      </c>
      <c r="F4977" s="475" t="s">
        <v>34</v>
      </c>
      <c r="G4977" s="364">
        <v>87472</v>
      </c>
      <c r="H4977" s="475" t="s">
        <v>4112</v>
      </c>
      <c r="I4977" s="475" t="s">
        <v>322</v>
      </c>
      <c r="J4977" s="475" t="s">
        <v>140</v>
      </c>
      <c r="K4977" s="365">
        <v>37.950000000000003</v>
      </c>
      <c r="L4977" s="475" t="s">
        <v>141</v>
      </c>
      <c r="M4977" s="473"/>
    </row>
    <row r="4978" spans="1:13" ht="13.5">
      <c r="A4978" s="475" t="s">
        <v>5593</v>
      </c>
      <c r="B4978" s="475" t="s">
        <v>5594</v>
      </c>
      <c r="C4978" s="475" t="s">
        <v>5595</v>
      </c>
      <c r="D4978" s="475" t="s">
        <v>5596</v>
      </c>
      <c r="E4978" s="476" t="s">
        <v>34</v>
      </c>
      <c r="F4978" s="475" t="s">
        <v>34</v>
      </c>
      <c r="G4978" s="364">
        <v>87473</v>
      </c>
      <c r="H4978" s="475" t="s">
        <v>4113</v>
      </c>
      <c r="I4978" s="475" t="s">
        <v>322</v>
      </c>
      <c r="J4978" s="475" t="s">
        <v>140</v>
      </c>
      <c r="K4978" s="365">
        <v>51.26</v>
      </c>
      <c r="L4978" s="475" t="s">
        <v>141</v>
      </c>
      <c r="M4978" s="473"/>
    </row>
    <row r="4979" spans="1:13" ht="13.5">
      <c r="A4979" s="475" t="s">
        <v>5593</v>
      </c>
      <c r="B4979" s="475" t="s">
        <v>5594</v>
      </c>
      <c r="C4979" s="475" t="s">
        <v>5595</v>
      </c>
      <c r="D4979" s="475" t="s">
        <v>5596</v>
      </c>
      <c r="E4979" s="476" t="s">
        <v>34</v>
      </c>
      <c r="F4979" s="475" t="s">
        <v>34</v>
      </c>
      <c r="G4979" s="364">
        <v>87474</v>
      </c>
      <c r="H4979" s="475" t="s">
        <v>4114</v>
      </c>
      <c r="I4979" s="475" t="s">
        <v>322</v>
      </c>
      <c r="J4979" s="475" t="s">
        <v>140</v>
      </c>
      <c r="K4979" s="365">
        <v>52.25</v>
      </c>
      <c r="L4979" s="475" t="s">
        <v>141</v>
      </c>
      <c r="M4979" s="473"/>
    </row>
    <row r="4980" spans="1:13" ht="13.5">
      <c r="A4980" s="475" t="s">
        <v>5593</v>
      </c>
      <c r="B4980" s="475" t="s">
        <v>5594</v>
      </c>
      <c r="C4980" s="475" t="s">
        <v>5595</v>
      </c>
      <c r="D4980" s="475" t="s">
        <v>5596</v>
      </c>
      <c r="E4980" s="476" t="s">
        <v>34</v>
      </c>
      <c r="F4980" s="475" t="s">
        <v>34</v>
      </c>
      <c r="G4980" s="364">
        <v>87475</v>
      </c>
      <c r="H4980" s="475" t="s">
        <v>4115</v>
      </c>
      <c r="I4980" s="475" t="s">
        <v>322</v>
      </c>
      <c r="J4980" s="475" t="s">
        <v>140</v>
      </c>
      <c r="K4980" s="365">
        <v>60.25</v>
      </c>
      <c r="L4980" s="475" t="s">
        <v>141</v>
      </c>
      <c r="M4980" s="473"/>
    </row>
    <row r="4981" spans="1:13" ht="13.5">
      <c r="A4981" s="475" t="s">
        <v>5593</v>
      </c>
      <c r="B4981" s="475" t="s">
        <v>5594</v>
      </c>
      <c r="C4981" s="475" t="s">
        <v>5595</v>
      </c>
      <c r="D4981" s="475" t="s">
        <v>5596</v>
      </c>
      <c r="E4981" s="476" t="s">
        <v>34</v>
      </c>
      <c r="F4981" s="475" t="s">
        <v>34</v>
      </c>
      <c r="G4981" s="364">
        <v>87476</v>
      </c>
      <c r="H4981" s="475" t="s">
        <v>4116</v>
      </c>
      <c r="I4981" s="475" t="s">
        <v>322</v>
      </c>
      <c r="J4981" s="475" t="s">
        <v>140</v>
      </c>
      <c r="K4981" s="365">
        <v>61.41</v>
      </c>
      <c r="L4981" s="475" t="s">
        <v>141</v>
      </c>
      <c r="M4981" s="473"/>
    </row>
    <row r="4982" spans="1:13" ht="13.5">
      <c r="A4982" s="475" t="s">
        <v>5593</v>
      </c>
      <c r="B4982" s="475" t="s">
        <v>5594</v>
      </c>
      <c r="C4982" s="475" t="s">
        <v>5595</v>
      </c>
      <c r="D4982" s="475" t="s">
        <v>5596</v>
      </c>
      <c r="E4982" s="476" t="s">
        <v>34</v>
      </c>
      <c r="F4982" s="475" t="s">
        <v>34</v>
      </c>
      <c r="G4982" s="364">
        <v>87477</v>
      </c>
      <c r="H4982" s="475" t="s">
        <v>4117</v>
      </c>
      <c r="I4982" s="475" t="s">
        <v>322</v>
      </c>
      <c r="J4982" s="475" t="s">
        <v>140</v>
      </c>
      <c r="K4982" s="365">
        <v>33.51</v>
      </c>
      <c r="L4982" s="475" t="s">
        <v>141</v>
      </c>
      <c r="M4982" s="473"/>
    </row>
    <row r="4983" spans="1:13" ht="13.5">
      <c r="A4983" s="475" t="s">
        <v>5593</v>
      </c>
      <c r="B4983" s="475" t="s">
        <v>5594</v>
      </c>
      <c r="C4983" s="475" t="s">
        <v>5595</v>
      </c>
      <c r="D4983" s="475" t="s">
        <v>5596</v>
      </c>
      <c r="E4983" s="476" t="s">
        <v>34</v>
      </c>
      <c r="F4983" s="475" t="s">
        <v>34</v>
      </c>
      <c r="G4983" s="364">
        <v>87478</v>
      </c>
      <c r="H4983" s="475" t="s">
        <v>4118</v>
      </c>
      <c r="I4983" s="475" t="s">
        <v>322</v>
      </c>
      <c r="J4983" s="475" t="s">
        <v>140</v>
      </c>
      <c r="K4983" s="365">
        <v>34.39</v>
      </c>
      <c r="L4983" s="475" t="s">
        <v>141</v>
      </c>
      <c r="M4983" s="473"/>
    </row>
    <row r="4984" spans="1:13" ht="13.5">
      <c r="A4984" s="475" t="s">
        <v>5593</v>
      </c>
      <c r="B4984" s="475" t="s">
        <v>5594</v>
      </c>
      <c r="C4984" s="475" t="s">
        <v>5595</v>
      </c>
      <c r="D4984" s="475" t="s">
        <v>5596</v>
      </c>
      <c r="E4984" s="476" t="s">
        <v>34</v>
      </c>
      <c r="F4984" s="475" t="s">
        <v>34</v>
      </c>
      <c r="G4984" s="364">
        <v>87479</v>
      </c>
      <c r="H4984" s="475" t="s">
        <v>4119</v>
      </c>
      <c r="I4984" s="475" t="s">
        <v>322</v>
      </c>
      <c r="J4984" s="475" t="s">
        <v>140</v>
      </c>
      <c r="K4984" s="365">
        <v>47.23</v>
      </c>
      <c r="L4984" s="475" t="s">
        <v>141</v>
      </c>
      <c r="M4984" s="473"/>
    </row>
    <row r="4985" spans="1:13" ht="13.5">
      <c r="A4985" s="475" t="s">
        <v>5593</v>
      </c>
      <c r="B4985" s="475" t="s">
        <v>5594</v>
      </c>
      <c r="C4985" s="475" t="s">
        <v>5595</v>
      </c>
      <c r="D4985" s="475" t="s">
        <v>5596</v>
      </c>
      <c r="E4985" s="476" t="s">
        <v>34</v>
      </c>
      <c r="F4985" s="475" t="s">
        <v>34</v>
      </c>
      <c r="G4985" s="364">
        <v>87480</v>
      </c>
      <c r="H4985" s="475" t="s">
        <v>4120</v>
      </c>
      <c r="I4985" s="475" t="s">
        <v>322</v>
      </c>
      <c r="J4985" s="475" t="s">
        <v>140</v>
      </c>
      <c r="K4985" s="365">
        <v>48.22</v>
      </c>
      <c r="L4985" s="475" t="s">
        <v>141</v>
      </c>
      <c r="M4985" s="473"/>
    </row>
    <row r="4986" spans="1:13" ht="13.5">
      <c r="A4986" s="475" t="s">
        <v>5593</v>
      </c>
      <c r="B4986" s="475" t="s">
        <v>5594</v>
      </c>
      <c r="C4986" s="475" t="s">
        <v>5595</v>
      </c>
      <c r="D4986" s="475" t="s">
        <v>5596</v>
      </c>
      <c r="E4986" s="476" t="s">
        <v>34</v>
      </c>
      <c r="F4986" s="475" t="s">
        <v>34</v>
      </c>
      <c r="G4986" s="364">
        <v>87481</v>
      </c>
      <c r="H4986" s="475" t="s">
        <v>4121</v>
      </c>
      <c r="I4986" s="475" t="s">
        <v>322</v>
      </c>
      <c r="J4986" s="475" t="s">
        <v>140</v>
      </c>
      <c r="K4986" s="365">
        <v>56.25</v>
      </c>
      <c r="L4986" s="475" t="s">
        <v>141</v>
      </c>
      <c r="M4986" s="473"/>
    </row>
    <row r="4987" spans="1:13" ht="13.5">
      <c r="A4987" s="475" t="s">
        <v>5593</v>
      </c>
      <c r="B4987" s="475" t="s">
        <v>5594</v>
      </c>
      <c r="C4987" s="475" t="s">
        <v>5595</v>
      </c>
      <c r="D4987" s="475" t="s">
        <v>5596</v>
      </c>
      <c r="E4987" s="476" t="s">
        <v>34</v>
      </c>
      <c r="F4987" s="475" t="s">
        <v>34</v>
      </c>
      <c r="G4987" s="364">
        <v>87482</v>
      </c>
      <c r="H4987" s="475" t="s">
        <v>4122</v>
      </c>
      <c r="I4987" s="475" t="s">
        <v>322</v>
      </c>
      <c r="J4987" s="475" t="s">
        <v>140</v>
      </c>
      <c r="K4987" s="365">
        <v>57.41</v>
      </c>
      <c r="L4987" s="475" t="s">
        <v>141</v>
      </c>
      <c r="M4987" s="473"/>
    </row>
    <row r="4988" spans="1:13" ht="13.5">
      <c r="A4988" s="475" t="s">
        <v>5593</v>
      </c>
      <c r="B4988" s="475" t="s">
        <v>5594</v>
      </c>
      <c r="C4988" s="475" t="s">
        <v>5595</v>
      </c>
      <c r="D4988" s="475" t="s">
        <v>5596</v>
      </c>
      <c r="E4988" s="476" t="s">
        <v>34</v>
      </c>
      <c r="F4988" s="475" t="s">
        <v>34</v>
      </c>
      <c r="G4988" s="364">
        <v>87483</v>
      </c>
      <c r="H4988" s="475" t="s">
        <v>4123</v>
      </c>
      <c r="I4988" s="475" t="s">
        <v>322</v>
      </c>
      <c r="J4988" s="475" t="s">
        <v>140</v>
      </c>
      <c r="K4988" s="365">
        <v>42.67</v>
      </c>
      <c r="L4988" s="475" t="s">
        <v>141</v>
      </c>
      <c r="M4988" s="473"/>
    </row>
    <row r="4989" spans="1:13" ht="13.5">
      <c r="A4989" s="475" t="s">
        <v>5593</v>
      </c>
      <c r="B4989" s="475" t="s">
        <v>5594</v>
      </c>
      <c r="C4989" s="475" t="s">
        <v>5595</v>
      </c>
      <c r="D4989" s="475" t="s">
        <v>5596</v>
      </c>
      <c r="E4989" s="476" t="s">
        <v>34</v>
      </c>
      <c r="F4989" s="475" t="s">
        <v>34</v>
      </c>
      <c r="G4989" s="364">
        <v>87484</v>
      </c>
      <c r="H4989" s="475" t="s">
        <v>4124</v>
      </c>
      <c r="I4989" s="475" t="s">
        <v>322</v>
      </c>
      <c r="J4989" s="475" t="s">
        <v>140</v>
      </c>
      <c r="K4989" s="365">
        <v>43.55</v>
      </c>
      <c r="L4989" s="475" t="s">
        <v>141</v>
      </c>
      <c r="M4989" s="473"/>
    </row>
    <row r="4990" spans="1:13" ht="13.5">
      <c r="A4990" s="475" t="s">
        <v>5593</v>
      </c>
      <c r="B4990" s="475" t="s">
        <v>5594</v>
      </c>
      <c r="C4990" s="475" t="s">
        <v>5595</v>
      </c>
      <c r="D4990" s="475" t="s">
        <v>5596</v>
      </c>
      <c r="E4990" s="476" t="s">
        <v>34</v>
      </c>
      <c r="F4990" s="475" t="s">
        <v>34</v>
      </c>
      <c r="G4990" s="364">
        <v>87485</v>
      </c>
      <c r="H4990" s="475" t="s">
        <v>4125</v>
      </c>
      <c r="I4990" s="475" t="s">
        <v>322</v>
      </c>
      <c r="J4990" s="475" t="s">
        <v>140</v>
      </c>
      <c r="K4990" s="365">
        <v>56.95</v>
      </c>
      <c r="L4990" s="475" t="s">
        <v>141</v>
      </c>
      <c r="M4990" s="473"/>
    </row>
    <row r="4991" spans="1:13" ht="13.5">
      <c r="A4991" s="475" t="s">
        <v>5593</v>
      </c>
      <c r="B4991" s="475" t="s">
        <v>5594</v>
      </c>
      <c r="C4991" s="475" t="s">
        <v>5595</v>
      </c>
      <c r="D4991" s="475" t="s">
        <v>5596</v>
      </c>
      <c r="E4991" s="476" t="s">
        <v>34</v>
      </c>
      <c r="F4991" s="475" t="s">
        <v>34</v>
      </c>
      <c r="G4991" s="364">
        <v>87487</v>
      </c>
      <c r="H4991" s="475" t="s">
        <v>4126</v>
      </c>
      <c r="I4991" s="475" t="s">
        <v>322</v>
      </c>
      <c r="J4991" s="475" t="s">
        <v>140</v>
      </c>
      <c r="K4991" s="365">
        <v>65.77</v>
      </c>
      <c r="L4991" s="475" t="s">
        <v>141</v>
      </c>
      <c r="M4991" s="473"/>
    </row>
    <row r="4992" spans="1:13" ht="13.5">
      <c r="A4992" s="475" t="s">
        <v>5593</v>
      </c>
      <c r="B4992" s="475" t="s">
        <v>5594</v>
      </c>
      <c r="C4992" s="475" t="s">
        <v>5595</v>
      </c>
      <c r="D4992" s="475" t="s">
        <v>5596</v>
      </c>
      <c r="E4992" s="476" t="s">
        <v>34</v>
      </c>
      <c r="F4992" s="475" t="s">
        <v>34</v>
      </c>
      <c r="G4992" s="364">
        <v>87488</v>
      </c>
      <c r="H4992" s="475" t="s">
        <v>4127</v>
      </c>
      <c r="I4992" s="475" t="s">
        <v>322</v>
      </c>
      <c r="J4992" s="475" t="s">
        <v>140</v>
      </c>
      <c r="K4992" s="365">
        <v>66.930000000000007</v>
      </c>
      <c r="L4992" s="475" t="s">
        <v>141</v>
      </c>
      <c r="M4992" s="473"/>
    </row>
    <row r="4993" spans="1:13" ht="13.5">
      <c r="A4993" s="475" t="s">
        <v>5593</v>
      </c>
      <c r="B4993" s="475" t="s">
        <v>5594</v>
      </c>
      <c r="C4993" s="475" t="s">
        <v>5595</v>
      </c>
      <c r="D4993" s="475" t="s">
        <v>5596</v>
      </c>
      <c r="E4993" s="476" t="s">
        <v>34</v>
      </c>
      <c r="F4993" s="475" t="s">
        <v>34</v>
      </c>
      <c r="G4993" s="364">
        <v>87489</v>
      </c>
      <c r="H4993" s="475" t="s">
        <v>4128</v>
      </c>
      <c r="I4993" s="475" t="s">
        <v>322</v>
      </c>
      <c r="J4993" s="475" t="s">
        <v>140</v>
      </c>
      <c r="K4993" s="365">
        <v>36.72</v>
      </c>
      <c r="L4993" s="475" t="s">
        <v>141</v>
      </c>
      <c r="M4993" s="473"/>
    </row>
    <row r="4994" spans="1:13" ht="13.5">
      <c r="A4994" s="475" t="s">
        <v>5593</v>
      </c>
      <c r="B4994" s="475" t="s">
        <v>5594</v>
      </c>
      <c r="C4994" s="475" t="s">
        <v>5595</v>
      </c>
      <c r="D4994" s="475" t="s">
        <v>5596</v>
      </c>
      <c r="E4994" s="476" t="s">
        <v>34</v>
      </c>
      <c r="F4994" s="475" t="s">
        <v>34</v>
      </c>
      <c r="G4994" s="364">
        <v>87490</v>
      </c>
      <c r="H4994" s="475" t="s">
        <v>4129</v>
      </c>
      <c r="I4994" s="475" t="s">
        <v>322</v>
      </c>
      <c r="J4994" s="475" t="s">
        <v>140</v>
      </c>
      <c r="K4994" s="365">
        <v>37.6</v>
      </c>
      <c r="L4994" s="475" t="s">
        <v>141</v>
      </c>
      <c r="M4994" s="473"/>
    </row>
    <row r="4995" spans="1:13" ht="13.5">
      <c r="A4995" s="475" t="s">
        <v>5593</v>
      </c>
      <c r="B4995" s="475" t="s">
        <v>5594</v>
      </c>
      <c r="C4995" s="475" t="s">
        <v>5595</v>
      </c>
      <c r="D4995" s="475" t="s">
        <v>5596</v>
      </c>
      <c r="E4995" s="476" t="s">
        <v>34</v>
      </c>
      <c r="F4995" s="475" t="s">
        <v>34</v>
      </c>
      <c r="G4995" s="364">
        <v>87491</v>
      </c>
      <c r="H4995" s="475" t="s">
        <v>4130</v>
      </c>
      <c r="I4995" s="475" t="s">
        <v>322</v>
      </c>
      <c r="J4995" s="475" t="s">
        <v>140</v>
      </c>
      <c r="K4995" s="365">
        <v>50.54</v>
      </c>
      <c r="L4995" s="475" t="s">
        <v>141</v>
      </c>
      <c r="M4995" s="473"/>
    </row>
    <row r="4996" spans="1:13" ht="13.5">
      <c r="A4996" s="475" t="s">
        <v>5593</v>
      </c>
      <c r="B4996" s="475" t="s">
        <v>5594</v>
      </c>
      <c r="C4996" s="475" t="s">
        <v>5595</v>
      </c>
      <c r="D4996" s="475" t="s">
        <v>5596</v>
      </c>
      <c r="E4996" s="476" t="s">
        <v>34</v>
      </c>
      <c r="F4996" s="475" t="s">
        <v>34</v>
      </c>
      <c r="G4996" s="364">
        <v>87492</v>
      </c>
      <c r="H4996" s="475" t="s">
        <v>4131</v>
      </c>
      <c r="I4996" s="475" t="s">
        <v>322</v>
      </c>
      <c r="J4996" s="475" t="s">
        <v>140</v>
      </c>
      <c r="K4996" s="365">
        <v>51.53</v>
      </c>
      <c r="L4996" s="475" t="s">
        <v>141</v>
      </c>
      <c r="M4996" s="473"/>
    </row>
    <row r="4997" spans="1:13" ht="13.5">
      <c r="A4997" s="475" t="s">
        <v>5593</v>
      </c>
      <c r="B4997" s="475" t="s">
        <v>5594</v>
      </c>
      <c r="C4997" s="475" t="s">
        <v>5595</v>
      </c>
      <c r="D4997" s="475" t="s">
        <v>5596</v>
      </c>
      <c r="E4997" s="476" t="s">
        <v>34</v>
      </c>
      <c r="F4997" s="475" t="s">
        <v>34</v>
      </c>
      <c r="G4997" s="364">
        <v>87493</v>
      </c>
      <c r="H4997" s="475" t="s">
        <v>4132</v>
      </c>
      <c r="I4997" s="475" t="s">
        <v>322</v>
      </c>
      <c r="J4997" s="475" t="s">
        <v>140</v>
      </c>
      <c r="K4997" s="365">
        <v>59.65</v>
      </c>
      <c r="L4997" s="475" t="s">
        <v>141</v>
      </c>
      <c r="M4997" s="473"/>
    </row>
    <row r="4998" spans="1:13" ht="13.5">
      <c r="A4998" s="475" t="s">
        <v>5593</v>
      </c>
      <c r="B4998" s="475" t="s">
        <v>5594</v>
      </c>
      <c r="C4998" s="475" t="s">
        <v>5595</v>
      </c>
      <c r="D4998" s="475" t="s">
        <v>5596</v>
      </c>
      <c r="E4998" s="476" t="s">
        <v>34</v>
      </c>
      <c r="F4998" s="475" t="s">
        <v>34</v>
      </c>
      <c r="G4998" s="364">
        <v>87494</v>
      </c>
      <c r="H4998" s="475" t="s">
        <v>4133</v>
      </c>
      <c r="I4998" s="475" t="s">
        <v>322</v>
      </c>
      <c r="J4998" s="475" t="s">
        <v>140</v>
      </c>
      <c r="K4998" s="365">
        <v>60.81</v>
      </c>
      <c r="L4998" s="475" t="s">
        <v>141</v>
      </c>
      <c r="M4998" s="473"/>
    </row>
    <row r="4999" spans="1:13" ht="13.5">
      <c r="A4999" s="475" t="s">
        <v>5593</v>
      </c>
      <c r="B4999" s="475" t="s">
        <v>5594</v>
      </c>
      <c r="C4999" s="475" t="s">
        <v>5595</v>
      </c>
      <c r="D4999" s="475" t="s">
        <v>5596</v>
      </c>
      <c r="E4999" s="476" t="s">
        <v>34</v>
      </c>
      <c r="F4999" s="475" t="s">
        <v>34</v>
      </c>
      <c r="G4999" s="364">
        <v>87495</v>
      </c>
      <c r="H4999" s="475" t="s">
        <v>4134</v>
      </c>
      <c r="I4999" s="475" t="s">
        <v>322</v>
      </c>
      <c r="J4999" s="475" t="s">
        <v>140</v>
      </c>
      <c r="K4999" s="365">
        <v>63.73</v>
      </c>
      <c r="L4999" s="475" t="s">
        <v>141</v>
      </c>
      <c r="M4999" s="473"/>
    </row>
    <row r="5000" spans="1:13" ht="13.5">
      <c r="A5000" s="475" t="s">
        <v>5593</v>
      </c>
      <c r="B5000" s="475" t="s">
        <v>5594</v>
      </c>
      <c r="C5000" s="475" t="s">
        <v>5595</v>
      </c>
      <c r="D5000" s="475" t="s">
        <v>5596</v>
      </c>
      <c r="E5000" s="476" t="s">
        <v>34</v>
      </c>
      <c r="F5000" s="475" t="s">
        <v>34</v>
      </c>
      <c r="G5000" s="364">
        <v>87496</v>
      </c>
      <c r="H5000" s="475" t="s">
        <v>4135</v>
      </c>
      <c r="I5000" s="475" t="s">
        <v>322</v>
      </c>
      <c r="J5000" s="475" t="s">
        <v>140</v>
      </c>
      <c r="K5000" s="365">
        <v>64.55</v>
      </c>
      <c r="L5000" s="475" t="s">
        <v>141</v>
      </c>
      <c r="M5000" s="473"/>
    </row>
    <row r="5001" spans="1:13" ht="13.5">
      <c r="A5001" s="475" t="s">
        <v>5593</v>
      </c>
      <c r="B5001" s="475" t="s">
        <v>5594</v>
      </c>
      <c r="C5001" s="475" t="s">
        <v>5595</v>
      </c>
      <c r="D5001" s="475" t="s">
        <v>5596</v>
      </c>
      <c r="E5001" s="476" t="s">
        <v>34</v>
      </c>
      <c r="F5001" s="475" t="s">
        <v>34</v>
      </c>
      <c r="G5001" s="364">
        <v>87497</v>
      </c>
      <c r="H5001" s="475" t="s">
        <v>4136</v>
      </c>
      <c r="I5001" s="475" t="s">
        <v>322</v>
      </c>
      <c r="J5001" s="475" t="s">
        <v>140</v>
      </c>
      <c r="K5001" s="365">
        <v>61.37</v>
      </c>
      <c r="L5001" s="475" t="s">
        <v>141</v>
      </c>
      <c r="M5001" s="473"/>
    </row>
    <row r="5002" spans="1:13" ht="13.5">
      <c r="A5002" s="475" t="s">
        <v>5593</v>
      </c>
      <c r="B5002" s="475" t="s">
        <v>5594</v>
      </c>
      <c r="C5002" s="475" t="s">
        <v>5595</v>
      </c>
      <c r="D5002" s="475" t="s">
        <v>5596</v>
      </c>
      <c r="E5002" s="476" t="s">
        <v>34</v>
      </c>
      <c r="F5002" s="475" t="s">
        <v>34</v>
      </c>
      <c r="G5002" s="364">
        <v>87498</v>
      </c>
      <c r="H5002" s="475" t="s">
        <v>4137</v>
      </c>
      <c r="I5002" s="475" t="s">
        <v>322</v>
      </c>
      <c r="J5002" s="475" t="s">
        <v>140</v>
      </c>
      <c r="K5002" s="365">
        <v>62.43</v>
      </c>
      <c r="L5002" s="475" t="s">
        <v>141</v>
      </c>
      <c r="M5002" s="473"/>
    </row>
    <row r="5003" spans="1:13" ht="13.5">
      <c r="A5003" s="475" t="s">
        <v>5593</v>
      </c>
      <c r="B5003" s="475" t="s">
        <v>5594</v>
      </c>
      <c r="C5003" s="475" t="s">
        <v>5595</v>
      </c>
      <c r="D5003" s="475" t="s">
        <v>5596</v>
      </c>
      <c r="E5003" s="476" t="s">
        <v>34</v>
      </c>
      <c r="F5003" s="475" t="s">
        <v>34</v>
      </c>
      <c r="G5003" s="364">
        <v>87499</v>
      </c>
      <c r="H5003" s="475" t="s">
        <v>4138</v>
      </c>
      <c r="I5003" s="475" t="s">
        <v>322</v>
      </c>
      <c r="J5003" s="475" t="s">
        <v>140</v>
      </c>
      <c r="K5003" s="365">
        <v>69.86</v>
      </c>
      <c r="L5003" s="475" t="s">
        <v>141</v>
      </c>
      <c r="M5003" s="473"/>
    </row>
    <row r="5004" spans="1:13" ht="13.5">
      <c r="A5004" s="475" t="s">
        <v>5593</v>
      </c>
      <c r="B5004" s="475" t="s">
        <v>5594</v>
      </c>
      <c r="C5004" s="475" t="s">
        <v>5595</v>
      </c>
      <c r="D5004" s="475" t="s">
        <v>5596</v>
      </c>
      <c r="E5004" s="476" t="s">
        <v>34</v>
      </c>
      <c r="F5004" s="475" t="s">
        <v>34</v>
      </c>
      <c r="G5004" s="364">
        <v>87500</v>
      </c>
      <c r="H5004" s="475" t="s">
        <v>4139</v>
      </c>
      <c r="I5004" s="475" t="s">
        <v>322</v>
      </c>
      <c r="J5004" s="475" t="s">
        <v>140</v>
      </c>
      <c r="K5004" s="365">
        <v>70.760000000000005</v>
      </c>
      <c r="L5004" s="475" t="s">
        <v>141</v>
      </c>
      <c r="M5004" s="473"/>
    </row>
    <row r="5005" spans="1:13" ht="13.5">
      <c r="A5005" s="475" t="s">
        <v>5593</v>
      </c>
      <c r="B5005" s="475" t="s">
        <v>5594</v>
      </c>
      <c r="C5005" s="475" t="s">
        <v>5595</v>
      </c>
      <c r="D5005" s="475" t="s">
        <v>5596</v>
      </c>
      <c r="E5005" s="476" t="s">
        <v>34</v>
      </c>
      <c r="F5005" s="475" t="s">
        <v>34</v>
      </c>
      <c r="G5005" s="364">
        <v>87501</v>
      </c>
      <c r="H5005" s="475" t="s">
        <v>4140</v>
      </c>
      <c r="I5005" s="475" t="s">
        <v>322</v>
      </c>
      <c r="J5005" s="475" t="s">
        <v>140</v>
      </c>
      <c r="K5005" s="365">
        <v>108.32</v>
      </c>
      <c r="L5005" s="475" t="s">
        <v>141</v>
      </c>
      <c r="M5005" s="473"/>
    </row>
    <row r="5006" spans="1:13" ht="13.5">
      <c r="A5006" s="475" t="s">
        <v>5593</v>
      </c>
      <c r="B5006" s="475" t="s">
        <v>5594</v>
      </c>
      <c r="C5006" s="475" t="s">
        <v>5595</v>
      </c>
      <c r="D5006" s="475" t="s">
        <v>5596</v>
      </c>
      <c r="E5006" s="476" t="s">
        <v>34</v>
      </c>
      <c r="F5006" s="475" t="s">
        <v>34</v>
      </c>
      <c r="G5006" s="364">
        <v>87502</v>
      </c>
      <c r="H5006" s="475" t="s">
        <v>4141</v>
      </c>
      <c r="I5006" s="475" t="s">
        <v>322</v>
      </c>
      <c r="J5006" s="475" t="s">
        <v>140</v>
      </c>
      <c r="K5006" s="365">
        <v>109.46</v>
      </c>
      <c r="L5006" s="475" t="s">
        <v>141</v>
      </c>
      <c r="M5006" s="473"/>
    </row>
    <row r="5007" spans="1:13" ht="13.5">
      <c r="A5007" s="475" t="s">
        <v>5593</v>
      </c>
      <c r="B5007" s="475" t="s">
        <v>5594</v>
      </c>
      <c r="C5007" s="475" t="s">
        <v>5595</v>
      </c>
      <c r="D5007" s="475" t="s">
        <v>5596</v>
      </c>
      <c r="E5007" s="476" t="s">
        <v>34</v>
      </c>
      <c r="F5007" s="475" t="s">
        <v>34</v>
      </c>
      <c r="G5007" s="364">
        <v>87503</v>
      </c>
      <c r="H5007" s="475" t="s">
        <v>4142</v>
      </c>
      <c r="I5007" s="475" t="s">
        <v>322</v>
      </c>
      <c r="J5007" s="475" t="s">
        <v>140</v>
      </c>
      <c r="K5007" s="365">
        <v>54.61</v>
      </c>
      <c r="L5007" s="475" t="s">
        <v>141</v>
      </c>
      <c r="M5007" s="473"/>
    </row>
    <row r="5008" spans="1:13" ht="13.5">
      <c r="A5008" s="475" t="s">
        <v>5593</v>
      </c>
      <c r="B5008" s="475" t="s">
        <v>5594</v>
      </c>
      <c r="C5008" s="475" t="s">
        <v>5595</v>
      </c>
      <c r="D5008" s="475" t="s">
        <v>5596</v>
      </c>
      <c r="E5008" s="476" t="s">
        <v>34</v>
      </c>
      <c r="F5008" s="475" t="s">
        <v>34</v>
      </c>
      <c r="G5008" s="364">
        <v>87504</v>
      </c>
      <c r="H5008" s="475" t="s">
        <v>4143</v>
      </c>
      <c r="I5008" s="475" t="s">
        <v>322</v>
      </c>
      <c r="J5008" s="475" t="s">
        <v>140</v>
      </c>
      <c r="K5008" s="365">
        <v>55.43</v>
      </c>
      <c r="L5008" s="475" t="s">
        <v>141</v>
      </c>
      <c r="M5008" s="473"/>
    </row>
    <row r="5009" spans="1:13" ht="13.5">
      <c r="A5009" s="475" t="s">
        <v>5593</v>
      </c>
      <c r="B5009" s="475" t="s">
        <v>5594</v>
      </c>
      <c r="C5009" s="475" t="s">
        <v>5595</v>
      </c>
      <c r="D5009" s="475" t="s">
        <v>5596</v>
      </c>
      <c r="E5009" s="476" t="s">
        <v>34</v>
      </c>
      <c r="F5009" s="475" t="s">
        <v>34</v>
      </c>
      <c r="G5009" s="364">
        <v>87505</v>
      </c>
      <c r="H5009" s="475" t="s">
        <v>4144</v>
      </c>
      <c r="I5009" s="475" t="s">
        <v>322</v>
      </c>
      <c r="J5009" s="475" t="s">
        <v>140</v>
      </c>
      <c r="K5009" s="365">
        <v>52.34</v>
      </c>
      <c r="L5009" s="475" t="s">
        <v>141</v>
      </c>
      <c r="M5009" s="473"/>
    </row>
    <row r="5010" spans="1:13" ht="13.5">
      <c r="A5010" s="475" t="s">
        <v>5593</v>
      </c>
      <c r="B5010" s="475" t="s">
        <v>5594</v>
      </c>
      <c r="C5010" s="475" t="s">
        <v>5595</v>
      </c>
      <c r="D5010" s="475" t="s">
        <v>5596</v>
      </c>
      <c r="E5010" s="476" t="s">
        <v>34</v>
      </c>
      <c r="F5010" s="475" t="s">
        <v>34</v>
      </c>
      <c r="G5010" s="364">
        <v>87506</v>
      </c>
      <c r="H5010" s="475" t="s">
        <v>4145</v>
      </c>
      <c r="I5010" s="475" t="s">
        <v>322</v>
      </c>
      <c r="J5010" s="475" t="s">
        <v>140</v>
      </c>
      <c r="K5010" s="365">
        <v>53.4</v>
      </c>
      <c r="L5010" s="475" t="s">
        <v>141</v>
      </c>
      <c r="M5010" s="473"/>
    </row>
    <row r="5011" spans="1:13" ht="13.5">
      <c r="A5011" s="475" t="s">
        <v>5593</v>
      </c>
      <c r="B5011" s="475" t="s">
        <v>5594</v>
      </c>
      <c r="C5011" s="475" t="s">
        <v>5595</v>
      </c>
      <c r="D5011" s="475" t="s">
        <v>5596</v>
      </c>
      <c r="E5011" s="476" t="s">
        <v>34</v>
      </c>
      <c r="F5011" s="475" t="s">
        <v>34</v>
      </c>
      <c r="G5011" s="364">
        <v>87507</v>
      </c>
      <c r="H5011" s="475" t="s">
        <v>4146</v>
      </c>
      <c r="I5011" s="475" t="s">
        <v>322</v>
      </c>
      <c r="J5011" s="475" t="s">
        <v>140</v>
      </c>
      <c r="K5011" s="365">
        <v>57.81</v>
      </c>
      <c r="L5011" s="475" t="s">
        <v>141</v>
      </c>
      <c r="M5011" s="473"/>
    </row>
    <row r="5012" spans="1:13" ht="13.5">
      <c r="A5012" s="475" t="s">
        <v>5593</v>
      </c>
      <c r="B5012" s="475" t="s">
        <v>5594</v>
      </c>
      <c r="C5012" s="475" t="s">
        <v>5595</v>
      </c>
      <c r="D5012" s="475" t="s">
        <v>5596</v>
      </c>
      <c r="E5012" s="476" t="s">
        <v>34</v>
      </c>
      <c r="F5012" s="475" t="s">
        <v>34</v>
      </c>
      <c r="G5012" s="364">
        <v>87508</v>
      </c>
      <c r="H5012" s="475" t="s">
        <v>4147</v>
      </c>
      <c r="I5012" s="475" t="s">
        <v>322</v>
      </c>
      <c r="J5012" s="475" t="s">
        <v>140</v>
      </c>
      <c r="K5012" s="365">
        <v>58.71</v>
      </c>
      <c r="L5012" s="475" t="s">
        <v>141</v>
      </c>
      <c r="M5012" s="473"/>
    </row>
    <row r="5013" spans="1:13" ht="13.5">
      <c r="A5013" s="475" t="s">
        <v>5593</v>
      </c>
      <c r="B5013" s="475" t="s">
        <v>5594</v>
      </c>
      <c r="C5013" s="475" t="s">
        <v>5595</v>
      </c>
      <c r="D5013" s="475" t="s">
        <v>5596</v>
      </c>
      <c r="E5013" s="476" t="s">
        <v>34</v>
      </c>
      <c r="F5013" s="475" t="s">
        <v>34</v>
      </c>
      <c r="G5013" s="364">
        <v>87509</v>
      </c>
      <c r="H5013" s="475" t="s">
        <v>4148</v>
      </c>
      <c r="I5013" s="475" t="s">
        <v>322</v>
      </c>
      <c r="J5013" s="475" t="s">
        <v>140</v>
      </c>
      <c r="K5013" s="365">
        <v>88.85</v>
      </c>
      <c r="L5013" s="475" t="s">
        <v>141</v>
      </c>
      <c r="M5013" s="473"/>
    </row>
    <row r="5014" spans="1:13" ht="13.5">
      <c r="A5014" s="475" t="s">
        <v>5593</v>
      </c>
      <c r="B5014" s="475" t="s">
        <v>5594</v>
      </c>
      <c r="C5014" s="475" t="s">
        <v>5595</v>
      </c>
      <c r="D5014" s="475" t="s">
        <v>5596</v>
      </c>
      <c r="E5014" s="476" t="s">
        <v>34</v>
      </c>
      <c r="F5014" s="475" t="s">
        <v>34</v>
      </c>
      <c r="G5014" s="364">
        <v>87510</v>
      </c>
      <c r="H5014" s="475" t="s">
        <v>4149</v>
      </c>
      <c r="I5014" s="475" t="s">
        <v>322</v>
      </c>
      <c r="J5014" s="475" t="s">
        <v>140</v>
      </c>
      <c r="K5014" s="365">
        <v>89.99</v>
      </c>
      <c r="L5014" s="475" t="s">
        <v>141</v>
      </c>
      <c r="M5014" s="473"/>
    </row>
    <row r="5015" spans="1:13" ht="13.5">
      <c r="A5015" s="475" t="s">
        <v>5593</v>
      </c>
      <c r="B5015" s="475" t="s">
        <v>5594</v>
      </c>
      <c r="C5015" s="475" t="s">
        <v>5595</v>
      </c>
      <c r="D5015" s="475" t="s">
        <v>5596</v>
      </c>
      <c r="E5015" s="476" t="s">
        <v>34</v>
      </c>
      <c r="F5015" s="475" t="s">
        <v>34</v>
      </c>
      <c r="G5015" s="364">
        <v>87511</v>
      </c>
      <c r="H5015" s="475" t="s">
        <v>4150</v>
      </c>
      <c r="I5015" s="475" t="s">
        <v>322</v>
      </c>
      <c r="J5015" s="475" t="s">
        <v>140</v>
      </c>
      <c r="K5015" s="365">
        <v>71.59</v>
      </c>
      <c r="L5015" s="475" t="s">
        <v>141</v>
      </c>
      <c r="M5015" s="473"/>
    </row>
    <row r="5016" spans="1:13" ht="13.5">
      <c r="A5016" s="475" t="s">
        <v>5593</v>
      </c>
      <c r="B5016" s="475" t="s">
        <v>5594</v>
      </c>
      <c r="C5016" s="475" t="s">
        <v>5595</v>
      </c>
      <c r="D5016" s="475" t="s">
        <v>5596</v>
      </c>
      <c r="E5016" s="476" t="s">
        <v>34</v>
      </c>
      <c r="F5016" s="475" t="s">
        <v>34</v>
      </c>
      <c r="G5016" s="364">
        <v>87512</v>
      </c>
      <c r="H5016" s="475" t="s">
        <v>4151</v>
      </c>
      <c r="I5016" s="475" t="s">
        <v>322</v>
      </c>
      <c r="J5016" s="475" t="s">
        <v>140</v>
      </c>
      <c r="K5016" s="365">
        <v>72.41</v>
      </c>
      <c r="L5016" s="475" t="s">
        <v>141</v>
      </c>
      <c r="M5016" s="473"/>
    </row>
    <row r="5017" spans="1:13" ht="13.5">
      <c r="A5017" s="475" t="s">
        <v>5593</v>
      </c>
      <c r="B5017" s="475" t="s">
        <v>5594</v>
      </c>
      <c r="C5017" s="475" t="s">
        <v>5595</v>
      </c>
      <c r="D5017" s="475" t="s">
        <v>5596</v>
      </c>
      <c r="E5017" s="476" t="s">
        <v>34</v>
      </c>
      <c r="F5017" s="475" t="s">
        <v>34</v>
      </c>
      <c r="G5017" s="364">
        <v>87513</v>
      </c>
      <c r="H5017" s="475" t="s">
        <v>4152</v>
      </c>
      <c r="I5017" s="475" t="s">
        <v>322</v>
      </c>
      <c r="J5017" s="475" t="s">
        <v>140</v>
      </c>
      <c r="K5017" s="365">
        <v>69.53</v>
      </c>
      <c r="L5017" s="475" t="s">
        <v>141</v>
      </c>
      <c r="M5017" s="473"/>
    </row>
    <row r="5018" spans="1:13" ht="13.5">
      <c r="A5018" s="475" t="s">
        <v>5593</v>
      </c>
      <c r="B5018" s="475" t="s">
        <v>5594</v>
      </c>
      <c r="C5018" s="475" t="s">
        <v>5595</v>
      </c>
      <c r="D5018" s="475" t="s">
        <v>5596</v>
      </c>
      <c r="E5018" s="476" t="s">
        <v>34</v>
      </c>
      <c r="F5018" s="475" t="s">
        <v>34</v>
      </c>
      <c r="G5018" s="364">
        <v>87514</v>
      </c>
      <c r="H5018" s="475" t="s">
        <v>4153</v>
      </c>
      <c r="I5018" s="475" t="s">
        <v>322</v>
      </c>
      <c r="J5018" s="475" t="s">
        <v>140</v>
      </c>
      <c r="K5018" s="365">
        <v>70.59</v>
      </c>
      <c r="L5018" s="475" t="s">
        <v>141</v>
      </c>
      <c r="M5018" s="473"/>
    </row>
    <row r="5019" spans="1:13" ht="13.5">
      <c r="A5019" s="475" t="s">
        <v>5593</v>
      </c>
      <c r="B5019" s="475" t="s">
        <v>5594</v>
      </c>
      <c r="C5019" s="475" t="s">
        <v>5595</v>
      </c>
      <c r="D5019" s="475" t="s">
        <v>5596</v>
      </c>
      <c r="E5019" s="476" t="s">
        <v>34</v>
      </c>
      <c r="F5019" s="475" t="s">
        <v>34</v>
      </c>
      <c r="G5019" s="364">
        <v>87515</v>
      </c>
      <c r="H5019" s="475" t="s">
        <v>4154</v>
      </c>
      <c r="I5019" s="475" t="s">
        <v>322</v>
      </c>
      <c r="J5019" s="475" t="s">
        <v>140</v>
      </c>
      <c r="K5019" s="365">
        <v>80.78</v>
      </c>
      <c r="L5019" s="475" t="s">
        <v>141</v>
      </c>
      <c r="M5019" s="473"/>
    </row>
    <row r="5020" spans="1:13" ht="13.5">
      <c r="A5020" s="475" t="s">
        <v>5593</v>
      </c>
      <c r="B5020" s="475" t="s">
        <v>5594</v>
      </c>
      <c r="C5020" s="475" t="s">
        <v>5595</v>
      </c>
      <c r="D5020" s="475" t="s">
        <v>5596</v>
      </c>
      <c r="E5020" s="476" t="s">
        <v>34</v>
      </c>
      <c r="F5020" s="475" t="s">
        <v>34</v>
      </c>
      <c r="G5020" s="364">
        <v>87516</v>
      </c>
      <c r="H5020" s="475" t="s">
        <v>4155</v>
      </c>
      <c r="I5020" s="475" t="s">
        <v>322</v>
      </c>
      <c r="J5020" s="475" t="s">
        <v>140</v>
      </c>
      <c r="K5020" s="365">
        <v>81.680000000000007</v>
      </c>
      <c r="L5020" s="475" t="s">
        <v>141</v>
      </c>
      <c r="M5020" s="473"/>
    </row>
    <row r="5021" spans="1:13" ht="13.5">
      <c r="A5021" s="475" t="s">
        <v>5593</v>
      </c>
      <c r="B5021" s="475" t="s">
        <v>5594</v>
      </c>
      <c r="C5021" s="475" t="s">
        <v>5595</v>
      </c>
      <c r="D5021" s="475" t="s">
        <v>5596</v>
      </c>
      <c r="E5021" s="476" t="s">
        <v>34</v>
      </c>
      <c r="F5021" s="475" t="s">
        <v>34</v>
      </c>
      <c r="G5021" s="364">
        <v>87517</v>
      </c>
      <c r="H5021" s="475" t="s">
        <v>4156</v>
      </c>
      <c r="I5021" s="475" t="s">
        <v>322</v>
      </c>
      <c r="J5021" s="475" t="s">
        <v>140</v>
      </c>
      <c r="K5021" s="365">
        <v>125.33</v>
      </c>
      <c r="L5021" s="475" t="s">
        <v>141</v>
      </c>
      <c r="M5021" s="473"/>
    </row>
    <row r="5022" spans="1:13" ht="13.5">
      <c r="A5022" s="475" t="s">
        <v>5593</v>
      </c>
      <c r="B5022" s="475" t="s">
        <v>5594</v>
      </c>
      <c r="C5022" s="475" t="s">
        <v>5595</v>
      </c>
      <c r="D5022" s="475" t="s">
        <v>5596</v>
      </c>
      <c r="E5022" s="476" t="s">
        <v>34</v>
      </c>
      <c r="F5022" s="475" t="s">
        <v>34</v>
      </c>
      <c r="G5022" s="364">
        <v>87518</v>
      </c>
      <c r="H5022" s="475" t="s">
        <v>4157</v>
      </c>
      <c r="I5022" s="475" t="s">
        <v>322</v>
      </c>
      <c r="J5022" s="475" t="s">
        <v>140</v>
      </c>
      <c r="K5022" s="365">
        <v>126.47</v>
      </c>
      <c r="L5022" s="475" t="s">
        <v>141</v>
      </c>
      <c r="M5022" s="473"/>
    </row>
    <row r="5023" spans="1:13" ht="13.5">
      <c r="A5023" s="475" t="s">
        <v>5593</v>
      </c>
      <c r="B5023" s="475" t="s">
        <v>5594</v>
      </c>
      <c r="C5023" s="475" t="s">
        <v>5595</v>
      </c>
      <c r="D5023" s="475" t="s">
        <v>5596</v>
      </c>
      <c r="E5023" s="476" t="s">
        <v>34</v>
      </c>
      <c r="F5023" s="475" t="s">
        <v>34</v>
      </c>
      <c r="G5023" s="364">
        <v>87519</v>
      </c>
      <c r="H5023" s="475" t="s">
        <v>4158</v>
      </c>
      <c r="I5023" s="475" t="s">
        <v>322</v>
      </c>
      <c r="J5023" s="475" t="s">
        <v>140</v>
      </c>
      <c r="K5023" s="365">
        <v>59.56</v>
      </c>
      <c r="L5023" s="475" t="s">
        <v>141</v>
      </c>
      <c r="M5023" s="473"/>
    </row>
    <row r="5024" spans="1:13" ht="13.5">
      <c r="A5024" s="475" t="s">
        <v>5593</v>
      </c>
      <c r="B5024" s="475" t="s">
        <v>5594</v>
      </c>
      <c r="C5024" s="475" t="s">
        <v>5595</v>
      </c>
      <c r="D5024" s="475" t="s">
        <v>5596</v>
      </c>
      <c r="E5024" s="476" t="s">
        <v>34</v>
      </c>
      <c r="F5024" s="475" t="s">
        <v>34</v>
      </c>
      <c r="G5024" s="364">
        <v>87520</v>
      </c>
      <c r="H5024" s="475" t="s">
        <v>4159</v>
      </c>
      <c r="I5024" s="475" t="s">
        <v>322</v>
      </c>
      <c r="J5024" s="475" t="s">
        <v>140</v>
      </c>
      <c r="K5024" s="365">
        <v>60.38</v>
      </c>
      <c r="L5024" s="475" t="s">
        <v>141</v>
      </c>
      <c r="M5024" s="473"/>
    </row>
    <row r="5025" spans="1:13" ht="13.5">
      <c r="A5025" s="475" t="s">
        <v>5593</v>
      </c>
      <c r="B5025" s="475" t="s">
        <v>5594</v>
      </c>
      <c r="C5025" s="475" t="s">
        <v>5595</v>
      </c>
      <c r="D5025" s="475" t="s">
        <v>5596</v>
      </c>
      <c r="E5025" s="476" t="s">
        <v>34</v>
      </c>
      <c r="F5025" s="475" t="s">
        <v>34</v>
      </c>
      <c r="G5025" s="364">
        <v>87521</v>
      </c>
      <c r="H5025" s="475" t="s">
        <v>4160</v>
      </c>
      <c r="I5025" s="475" t="s">
        <v>322</v>
      </c>
      <c r="J5025" s="475" t="s">
        <v>140</v>
      </c>
      <c r="K5025" s="365">
        <v>57.34</v>
      </c>
      <c r="L5025" s="475" t="s">
        <v>141</v>
      </c>
      <c r="M5025" s="473"/>
    </row>
    <row r="5026" spans="1:13" ht="13.5">
      <c r="A5026" s="475" t="s">
        <v>5593</v>
      </c>
      <c r="B5026" s="475" t="s">
        <v>5594</v>
      </c>
      <c r="C5026" s="475" t="s">
        <v>5595</v>
      </c>
      <c r="D5026" s="475" t="s">
        <v>5596</v>
      </c>
      <c r="E5026" s="476" t="s">
        <v>34</v>
      </c>
      <c r="F5026" s="475" t="s">
        <v>34</v>
      </c>
      <c r="G5026" s="364">
        <v>87522</v>
      </c>
      <c r="H5026" s="475" t="s">
        <v>4161</v>
      </c>
      <c r="I5026" s="475" t="s">
        <v>322</v>
      </c>
      <c r="J5026" s="475" t="s">
        <v>140</v>
      </c>
      <c r="K5026" s="365">
        <v>58.4</v>
      </c>
      <c r="L5026" s="475" t="s">
        <v>141</v>
      </c>
      <c r="M5026" s="473"/>
    </row>
    <row r="5027" spans="1:13" ht="13.5">
      <c r="A5027" s="475" t="s">
        <v>5593</v>
      </c>
      <c r="B5027" s="475" t="s">
        <v>5594</v>
      </c>
      <c r="C5027" s="475" t="s">
        <v>5595</v>
      </c>
      <c r="D5027" s="475" t="s">
        <v>5596</v>
      </c>
      <c r="E5027" s="476" t="s">
        <v>34</v>
      </c>
      <c r="F5027" s="475" t="s">
        <v>34</v>
      </c>
      <c r="G5027" s="364">
        <v>87523</v>
      </c>
      <c r="H5027" s="475" t="s">
        <v>4162</v>
      </c>
      <c r="I5027" s="475" t="s">
        <v>322</v>
      </c>
      <c r="J5027" s="475" t="s">
        <v>140</v>
      </c>
      <c r="K5027" s="365">
        <v>64.459999999999994</v>
      </c>
      <c r="L5027" s="475" t="s">
        <v>141</v>
      </c>
      <c r="M5027" s="473"/>
    </row>
    <row r="5028" spans="1:13" ht="13.5">
      <c r="A5028" s="475" t="s">
        <v>5593</v>
      </c>
      <c r="B5028" s="475" t="s">
        <v>5594</v>
      </c>
      <c r="C5028" s="475" t="s">
        <v>5595</v>
      </c>
      <c r="D5028" s="475" t="s">
        <v>5596</v>
      </c>
      <c r="E5028" s="476" t="s">
        <v>34</v>
      </c>
      <c r="F5028" s="475" t="s">
        <v>34</v>
      </c>
      <c r="G5028" s="364">
        <v>87524</v>
      </c>
      <c r="H5028" s="475" t="s">
        <v>4163</v>
      </c>
      <c r="I5028" s="475" t="s">
        <v>322</v>
      </c>
      <c r="J5028" s="475" t="s">
        <v>140</v>
      </c>
      <c r="K5028" s="365">
        <v>65.36</v>
      </c>
      <c r="L5028" s="475" t="s">
        <v>141</v>
      </c>
      <c r="M5028" s="473"/>
    </row>
    <row r="5029" spans="1:13" ht="13.5">
      <c r="A5029" s="475" t="s">
        <v>5593</v>
      </c>
      <c r="B5029" s="475" t="s">
        <v>5594</v>
      </c>
      <c r="C5029" s="475" t="s">
        <v>5595</v>
      </c>
      <c r="D5029" s="475" t="s">
        <v>5596</v>
      </c>
      <c r="E5029" s="476" t="s">
        <v>34</v>
      </c>
      <c r="F5029" s="475" t="s">
        <v>34</v>
      </c>
      <c r="G5029" s="364">
        <v>87525</v>
      </c>
      <c r="H5029" s="475" t="s">
        <v>4164</v>
      </c>
      <c r="I5029" s="475" t="s">
        <v>322</v>
      </c>
      <c r="J5029" s="475" t="s">
        <v>140</v>
      </c>
      <c r="K5029" s="365">
        <v>99.18</v>
      </c>
      <c r="L5029" s="475" t="s">
        <v>141</v>
      </c>
      <c r="M5029" s="473"/>
    </row>
    <row r="5030" spans="1:13" ht="13.5">
      <c r="A5030" s="475" t="s">
        <v>5593</v>
      </c>
      <c r="B5030" s="475" t="s">
        <v>5594</v>
      </c>
      <c r="C5030" s="475" t="s">
        <v>5595</v>
      </c>
      <c r="D5030" s="475" t="s">
        <v>5596</v>
      </c>
      <c r="E5030" s="476" t="s">
        <v>34</v>
      </c>
      <c r="F5030" s="475" t="s">
        <v>34</v>
      </c>
      <c r="G5030" s="364">
        <v>87526</v>
      </c>
      <c r="H5030" s="475" t="s">
        <v>4165</v>
      </c>
      <c r="I5030" s="475" t="s">
        <v>322</v>
      </c>
      <c r="J5030" s="475" t="s">
        <v>140</v>
      </c>
      <c r="K5030" s="365">
        <v>100.32</v>
      </c>
      <c r="L5030" s="475" t="s">
        <v>141</v>
      </c>
      <c r="M5030" s="473"/>
    </row>
    <row r="5031" spans="1:13" ht="13.5">
      <c r="A5031" s="475" t="s">
        <v>5593</v>
      </c>
      <c r="B5031" s="475" t="s">
        <v>5594</v>
      </c>
      <c r="C5031" s="475" t="s">
        <v>5595</v>
      </c>
      <c r="D5031" s="475" t="s">
        <v>5596</v>
      </c>
      <c r="E5031" s="476" t="s">
        <v>34</v>
      </c>
      <c r="F5031" s="475" t="s">
        <v>34</v>
      </c>
      <c r="G5031" s="364">
        <v>89043</v>
      </c>
      <c r="H5031" s="475" t="s">
        <v>4166</v>
      </c>
      <c r="I5031" s="475" t="s">
        <v>322</v>
      </c>
      <c r="J5031" s="475" t="s">
        <v>140</v>
      </c>
      <c r="K5031" s="365">
        <v>60.71</v>
      </c>
      <c r="L5031" s="475" t="s">
        <v>141</v>
      </c>
      <c r="M5031" s="473"/>
    </row>
    <row r="5032" spans="1:13" ht="13.5">
      <c r="A5032" s="475" t="s">
        <v>5593</v>
      </c>
      <c r="B5032" s="475" t="s">
        <v>5594</v>
      </c>
      <c r="C5032" s="475" t="s">
        <v>5595</v>
      </c>
      <c r="D5032" s="475" t="s">
        <v>5596</v>
      </c>
      <c r="E5032" s="476" t="s">
        <v>34</v>
      </c>
      <c r="F5032" s="475" t="s">
        <v>34</v>
      </c>
      <c r="G5032" s="364">
        <v>89168</v>
      </c>
      <c r="H5032" s="475" t="s">
        <v>4167</v>
      </c>
      <c r="I5032" s="475" t="s">
        <v>322</v>
      </c>
      <c r="J5032" s="475" t="s">
        <v>140</v>
      </c>
      <c r="K5032" s="365">
        <v>62.48</v>
      </c>
      <c r="L5032" s="475" t="s">
        <v>141</v>
      </c>
      <c r="M5032" s="473"/>
    </row>
    <row r="5033" spans="1:13" ht="13.5">
      <c r="A5033" s="475" t="s">
        <v>5593</v>
      </c>
      <c r="B5033" s="475" t="s">
        <v>5594</v>
      </c>
      <c r="C5033" s="475" t="s">
        <v>5595</v>
      </c>
      <c r="D5033" s="475" t="s">
        <v>5596</v>
      </c>
      <c r="E5033" s="476" t="s">
        <v>34</v>
      </c>
      <c r="F5033" s="475" t="s">
        <v>34</v>
      </c>
      <c r="G5033" s="364">
        <v>89977</v>
      </c>
      <c r="H5033" s="475" t="s">
        <v>4168</v>
      </c>
      <c r="I5033" s="475" t="s">
        <v>322</v>
      </c>
      <c r="J5033" s="475" t="s">
        <v>140</v>
      </c>
      <c r="K5033" s="365">
        <v>105.66</v>
      </c>
      <c r="L5033" s="475" t="s">
        <v>141</v>
      </c>
      <c r="M5033" s="473"/>
    </row>
    <row r="5034" spans="1:13" ht="13.5">
      <c r="A5034" s="475" t="s">
        <v>5593</v>
      </c>
      <c r="B5034" s="475" t="s">
        <v>5594</v>
      </c>
      <c r="C5034" s="475" t="s">
        <v>5595</v>
      </c>
      <c r="D5034" s="475" t="s">
        <v>5596</v>
      </c>
      <c r="E5034" s="476" t="s">
        <v>34</v>
      </c>
      <c r="F5034" s="475" t="s">
        <v>34</v>
      </c>
      <c r="G5034" s="364">
        <v>90112</v>
      </c>
      <c r="H5034" s="475" t="s">
        <v>4169</v>
      </c>
      <c r="I5034" s="475" t="s">
        <v>322</v>
      </c>
      <c r="J5034" s="475" t="s">
        <v>140</v>
      </c>
      <c r="K5034" s="365">
        <v>57.94</v>
      </c>
      <c r="L5034" s="475" t="s">
        <v>141</v>
      </c>
      <c r="M5034" s="473"/>
    </row>
    <row r="5035" spans="1:13" ht="13.5">
      <c r="A5035" s="475" t="s">
        <v>5593</v>
      </c>
      <c r="B5035" s="475" t="s">
        <v>5594</v>
      </c>
      <c r="C5035" s="475" t="s">
        <v>5595</v>
      </c>
      <c r="D5035" s="475" t="s">
        <v>5596</v>
      </c>
      <c r="E5035" s="476" t="s">
        <v>34</v>
      </c>
      <c r="F5035" s="475" t="s">
        <v>34</v>
      </c>
      <c r="G5035" s="364">
        <v>95474</v>
      </c>
      <c r="H5035" s="475" t="s">
        <v>4170</v>
      </c>
      <c r="I5035" s="475" t="s">
        <v>1261</v>
      </c>
      <c r="J5035" s="475" t="s">
        <v>337</v>
      </c>
      <c r="K5035" s="365">
        <v>596</v>
      </c>
      <c r="L5035" s="475" t="s">
        <v>141</v>
      </c>
      <c r="M5035" s="473"/>
    </row>
    <row r="5036" spans="1:13" ht="13.5">
      <c r="A5036" s="475" t="s">
        <v>5593</v>
      </c>
      <c r="B5036" s="475" t="s">
        <v>5594</v>
      </c>
      <c r="C5036" s="475" t="s">
        <v>5597</v>
      </c>
      <c r="D5036" s="475" t="s">
        <v>5598</v>
      </c>
      <c r="E5036" s="476" t="s">
        <v>34</v>
      </c>
      <c r="F5036" s="475" t="s">
        <v>34</v>
      </c>
      <c r="G5036" s="364">
        <v>89282</v>
      </c>
      <c r="H5036" s="475" t="s">
        <v>4171</v>
      </c>
      <c r="I5036" s="475" t="s">
        <v>322</v>
      </c>
      <c r="J5036" s="475" t="s">
        <v>337</v>
      </c>
      <c r="K5036" s="365">
        <v>47.38</v>
      </c>
      <c r="L5036" s="475" t="s">
        <v>141</v>
      </c>
      <c r="M5036" s="473"/>
    </row>
    <row r="5037" spans="1:13" ht="13.5">
      <c r="A5037" s="475" t="s">
        <v>5593</v>
      </c>
      <c r="B5037" s="475" t="s">
        <v>5594</v>
      </c>
      <c r="C5037" s="475" t="s">
        <v>5597</v>
      </c>
      <c r="D5037" s="475" t="s">
        <v>5598</v>
      </c>
      <c r="E5037" s="476" t="s">
        <v>34</v>
      </c>
      <c r="F5037" s="475" t="s">
        <v>34</v>
      </c>
      <c r="G5037" s="364">
        <v>89283</v>
      </c>
      <c r="H5037" s="475" t="s">
        <v>4172</v>
      </c>
      <c r="I5037" s="475" t="s">
        <v>322</v>
      </c>
      <c r="J5037" s="475" t="s">
        <v>337</v>
      </c>
      <c r="K5037" s="365">
        <v>49.15</v>
      </c>
      <c r="L5037" s="475" t="s">
        <v>141</v>
      </c>
      <c r="M5037" s="473"/>
    </row>
    <row r="5038" spans="1:13" ht="13.5">
      <c r="A5038" s="475" t="s">
        <v>5593</v>
      </c>
      <c r="B5038" s="475" t="s">
        <v>5594</v>
      </c>
      <c r="C5038" s="475" t="s">
        <v>5597</v>
      </c>
      <c r="D5038" s="475" t="s">
        <v>5598</v>
      </c>
      <c r="E5038" s="476" t="s">
        <v>34</v>
      </c>
      <c r="F5038" s="475" t="s">
        <v>34</v>
      </c>
      <c r="G5038" s="364">
        <v>89284</v>
      </c>
      <c r="H5038" s="475" t="s">
        <v>4173</v>
      </c>
      <c r="I5038" s="475" t="s">
        <v>322</v>
      </c>
      <c r="J5038" s="475" t="s">
        <v>337</v>
      </c>
      <c r="K5038" s="365">
        <v>43.16</v>
      </c>
      <c r="L5038" s="475" t="s">
        <v>141</v>
      </c>
      <c r="M5038" s="473"/>
    </row>
    <row r="5039" spans="1:13" ht="13.5">
      <c r="A5039" s="475" t="s">
        <v>5593</v>
      </c>
      <c r="B5039" s="475" t="s">
        <v>5594</v>
      </c>
      <c r="C5039" s="475" t="s">
        <v>5597</v>
      </c>
      <c r="D5039" s="475" t="s">
        <v>5598</v>
      </c>
      <c r="E5039" s="476" t="s">
        <v>34</v>
      </c>
      <c r="F5039" s="475" t="s">
        <v>34</v>
      </c>
      <c r="G5039" s="364">
        <v>89285</v>
      </c>
      <c r="H5039" s="475" t="s">
        <v>4174</v>
      </c>
      <c r="I5039" s="475" t="s">
        <v>322</v>
      </c>
      <c r="J5039" s="475" t="s">
        <v>337</v>
      </c>
      <c r="K5039" s="365">
        <v>44.93</v>
      </c>
      <c r="L5039" s="475" t="s">
        <v>141</v>
      </c>
      <c r="M5039" s="473"/>
    </row>
    <row r="5040" spans="1:13" ht="13.5">
      <c r="A5040" s="475" t="s">
        <v>5593</v>
      </c>
      <c r="B5040" s="475" t="s">
        <v>5594</v>
      </c>
      <c r="C5040" s="475" t="s">
        <v>5597</v>
      </c>
      <c r="D5040" s="475" t="s">
        <v>5598</v>
      </c>
      <c r="E5040" s="476" t="s">
        <v>34</v>
      </c>
      <c r="F5040" s="475" t="s">
        <v>34</v>
      </c>
      <c r="G5040" s="364">
        <v>89286</v>
      </c>
      <c r="H5040" s="475" t="s">
        <v>4175</v>
      </c>
      <c r="I5040" s="475" t="s">
        <v>322</v>
      </c>
      <c r="J5040" s="475" t="s">
        <v>337</v>
      </c>
      <c r="K5040" s="365">
        <v>51.39</v>
      </c>
      <c r="L5040" s="475" t="s">
        <v>141</v>
      </c>
      <c r="M5040" s="473"/>
    </row>
    <row r="5041" spans="1:13" ht="13.5">
      <c r="A5041" s="475" t="s">
        <v>5593</v>
      </c>
      <c r="B5041" s="475" t="s">
        <v>5594</v>
      </c>
      <c r="C5041" s="475" t="s">
        <v>5597</v>
      </c>
      <c r="D5041" s="475" t="s">
        <v>5598</v>
      </c>
      <c r="E5041" s="476" t="s">
        <v>34</v>
      </c>
      <c r="F5041" s="475" t="s">
        <v>34</v>
      </c>
      <c r="G5041" s="364">
        <v>89287</v>
      </c>
      <c r="H5041" s="475" t="s">
        <v>4176</v>
      </c>
      <c r="I5041" s="475" t="s">
        <v>322</v>
      </c>
      <c r="J5041" s="475" t="s">
        <v>337</v>
      </c>
      <c r="K5041" s="365">
        <v>53.16</v>
      </c>
      <c r="L5041" s="475" t="s">
        <v>141</v>
      </c>
      <c r="M5041" s="473"/>
    </row>
    <row r="5042" spans="1:13" ht="13.5">
      <c r="A5042" s="475" t="s">
        <v>5593</v>
      </c>
      <c r="B5042" s="475" t="s">
        <v>5594</v>
      </c>
      <c r="C5042" s="475" t="s">
        <v>5597</v>
      </c>
      <c r="D5042" s="475" t="s">
        <v>5598</v>
      </c>
      <c r="E5042" s="476" t="s">
        <v>34</v>
      </c>
      <c r="F5042" s="475" t="s">
        <v>34</v>
      </c>
      <c r="G5042" s="364">
        <v>89288</v>
      </c>
      <c r="H5042" s="475" t="s">
        <v>4177</v>
      </c>
      <c r="I5042" s="475" t="s">
        <v>322</v>
      </c>
      <c r="J5042" s="475" t="s">
        <v>337</v>
      </c>
      <c r="K5042" s="365">
        <v>45.55</v>
      </c>
      <c r="L5042" s="475" t="s">
        <v>141</v>
      </c>
      <c r="M5042" s="473"/>
    </row>
    <row r="5043" spans="1:13" ht="13.5">
      <c r="A5043" s="475" t="s">
        <v>5593</v>
      </c>
      <c r="B5043" s="475" t="s">
        <v>5594</v>
      </c>
      <c r="C5043" s="475" t="s">
        <v>5597</v>
      </c>
      <c r="D5043" s="475" t="s">
        <v>5598</v>
      </c>
      <c r="E5043" s="476" t="s">
        <v>34</v>
      </c>
      <c r="F5043" s="475" t="s">
        <v>34</v>
      </c>
      <c r="G5043" s="364">
        <v>89289</v>
      </c>
      <c r="H5043" s="475" t="s">
        <v>4178</v>
      </c>
      <c r="I5043" s="475" t="s">
        <v>322</v>
      </c>
      <c r="J5043" s="475" t="s">
        <v>337</v>
      </c>
      <c r="K5043" s="365">
        <v>47.32</v>
      </c>
      <c r="L5043" s="475" t="s">
        <v>141</v>
      </c>
      <c r="M5043" s="473"/>
    </row>
    <row r="5044" spans="1:13" ht="13.5">
      <c r="A5044" s="475" t="s">
        <v>5593</v>
      </c>
      <c r="B5044" s="475" t="s">
        <v>5594</v>
      </c>
      <c r="C5044" s="475" t="s">
        <v>5597</v>
      </c>
      <c r="D5044" s="475" t="s">
        <v>5598</v>
      </c>
      <c r="E5044" s="476" t="s">
        <v>34</v>
      </c>
      <c r="F5044" s="475" t="s">
        <v>34</v>
      </c>
      <c r="G5044" s="364">
        <v>89290</v>
      </c>
      <c r="H5044" s="475" t="s">
        <v>4179</v>
      </c>
      <c r="I5044" s="475" t="s">
        <v>322</v>
      </c>
      <c r="J5044" s="475" t="s">
        <v>337</v>
      </c>
      <c r="K5044" s="365">
        <v>55.46</v>
      </c>
      <c r="L5044" s="475" t="s">
        <v>141</v>
      </c>
      <c r="M5044" s="473"/>
    </row>
    <row r="5045" spans="1:13" ht="13.5">
      <c r="A5045" s="475" t="s">
        <v>5593</v>
      </c>
      <c r="B5045" s="475" t="s">
        <v>5594</v>
      </c>
      <c r="C5045" s="475" t="s">
        <v>5597</v>
      </c>
      <c r="D5045" s="475" t="s">
        <v>5598</v>
      </c>
      <c r="E5045" s="476" t="s">
        <v>34</v>
      </c>
      <c r="F5045" s="475" t="s">
        <v>34</v>
      </c>
      <c r="G5045" s="364">
        <v>89291</v>
      </c>
      <c r="H5045" s="475" t="s">
        <v>4180</v>
      </c>
      <c r="I5045" s="475" t="s">
        <v>322</v>
      </c>
      <c r="J5045" s="475" t="s">
        <v>337</v>
      </c>
      <c r="K5045" s="365">
        <v>57.42</v>
      </c>
      <c r="L5045" s="475" t="s">
        <v>141</v>
      </c>
      <c r="M5045" s="473"/>
    </row>
    <row r="5046" spans="1:13" ht="13.5">
      <c r="A5046" s="475" t="s">
        <v>5593</v>
      </c>
      <c r="B5046" s="475" t="s">
        <v>5594</v>
      </c>
      <c r="C5046" s="475" t="s">
        <v>5597</v>
      </c>
      <c r="D5046" s="475" t="s">
        <v>5598</v>
      </c>
      <c r="E5046" s="476" t="s">
        <v>34</v>
      </c>
      <c r="F5046" s="475" t="s">
        <v>34</v>
      </c>
      <c r="G5046" s="364">
        <v>89292</v>
      </c>
      <c r="H5046" s="475" t="s">
        <v>4181</v>
      </c>
      <c r="I5046" s="475" t="s">
        <v>322</v>
      </c>
      <c r="J5046" s="475" t="s">
        <v>337</v>
      </c>
      <c r="K5046" s="365">
        <v>51.27</v>
      </c>
      <c r="L5046" s="475" t="s">
        <v>141</v>
      </c>
      <c r="M5046" s="473"/>
    </row>
    <row r="5047" spans="1:13" ht="13.5">
      <c r="A5047" s="475" t="s">
        <v>5593</v>
      </c>
      <c r="B5047" s="475" t="s">
        <v>5594</v>
      </c>
      <c r="C5047" s="475" t="s">
        <v>5597</v>
      </c>
      <c r="D5047" s="475" t="s">
        <v>5598</v>
      </c>
      <c r="E5047" s="476" t="s">
        <v>34</v>
      </c>
      <c r="F5047" s="475" t="s">
        <v>34</v>
      </c>
      <c r="G5047" s="364">
        <v>89293</v>
      </c>
      <c r="H5047" s="475" t="s">
        <v>4182</v>
      </c>
      <c r="I5047" s="475" t="s">
        <v>322</v>
      </c>
      <c r="J5047" s="475" t="s">
        <v>337</v>
      </c>
      <c r="K5047" s="365">
        <v>53.23</v>
      </c>
      <c r="L5047" s="475" t="s">
        <v>141</v>
      </c>
      <c r="M5047" s="473"/>
    </row>
    <row r="5048" spans="1:13" ht="13.5">
      <c r="A5048" s="475" t="s">
        <v>5593</v>
      </c>
      <c r="B5048" s="475" t="s">
        <v>5594</v>
      </c>
      <c r="C5048" s="475" t="s">
        <v>5597</v>
      </c>
      <c r="D5048" s="475" t="s">
        <v>5598</v>
      </c>
      <c r="E5048" s="476" t="s">
        <v>34</v>
      </c>
      <c r="F5048" s="475" t="s">
        <v>34</v>
      </c>
      <c r="G5048" s="364">
        <v>89294</v>
      </c>
      <c r="H5048" s="475" t="s">
        <v>4183</v>
      </c>
      <c r="I5048" s="475" t="s">
        <v>322</v>
      </c>
      <c r="J5048" s="475" t="s">
        <v>337</v>
      </c>
      <c r="K5048" s="365">
        <v>60.91</v>
      </c>
      <c r="L5048" s="475" t="s">
        <v>141</v>
      </c>
      <c r="M5048" s="473"/>
    </row>
    <row r="5049" spans="1:13" ht="13.5">
      <c r="A5049" s="475" t="s">
        <v>5593</v>
      </c>
      <c r="B5049" s="475" t="s">
        <v>5594</v>
      </c>
      <c r="C5049" s="475" t="s">
        <v>5597</v>
      </c>
      <c r="D5049" s="475" t="s">
        <v>5598</v>
      </c>
      <c r="E5049" s="476" t="s">
        <v>34</v>
      </c>
      <c r="F5049" s="475" t="s">
        <v>34</v>
      </c>
      <c r="G5049" s="364">
        <v>89295</v>
      </c>
      <c r="H5049" s="475" t="s">
        <v>4184</v>
      </c>
      <c r="I5049" s="475" t="s">
        <v>322</v>
      </c>
      <c r="J5049" s="475" t="s">
        <v>337</v>
      </c>
      <c r="K5049" s="365">
        <v>62.87</v>
      </c>
      <c r="L5049" s="475" t="s">
        <v>141</v>
      </c>
      <c r="M5049" s="473"/>
    </row>
    <row r="5050" spans="1:13" ht="13.5">
      <c r="A5050" s="475" t="s">
        <v>5593</v>
      </c>
      <c r="B5050" s="475" t="s">
        <v>5594</v>
      </c>
      <c r="C5050" s="475" t="s">
        <v>5597</v>
      </c>
      <c r="D5050" s="475" t="s">
        <v>5598</v>
      </c>
      <c r="E5050" s="476" t="s">
        <v>34</v>
      </c>
      <c r="F5050" s="475" t="s">
        <v>34</v>
      </c>
      <c r="G5050" s="364">
        <v>89296</v>
      </c>
      <c r="H5050" s="475" t="s">
        <v>4185</v>
      </c>
      <c r="I5050" s="475" t="s">
        <v>322</v>
      </c>
      <c r="J5050" s="475" t="s">
        <v>337</v>
      </c>
      <c r="K5050" s="365">
        <v>54.42</v>
      </c>
      <c r="L5050" s="475" t="s">
        <v>141</v>
      </c>
      <c r="M5050" s="473"/>
    </row>
    <row r="5051" spans="1:13" ht="13.5">
      <c r="A5051" s="475" t="s">
        <v>5593</v>
      </c>
      <c r="B5051" s="475" t="s">
        <v>5594</v>
      </c>
      <c r="C5051" s="475" t="s">
        <v>5597</v>
      </c>
      <c r="D5051" s="475" t="s">
        <v>5598</v>
      </c>
      <c r="E5051" s="476" t="s">
        <v>34</v>
      </c>
      <c r="F5051" s="475" t="s">
        <v>34</v>
      </c>
      <c r="G5051" s="364">
        <v>89297</v>
      </c>
      <c r="H5051" s="475" t="s">
        <v>4186</v>
      </c>
      <c r="I5051" s="475" t="s">
        <v>322</v>
      </c>
      <c r="J5051" s="475" t="s">
        <v>337</v>
      </c>
      <c r="K5051" s="365">
        <v>56.38</v>
      </c>
      <c r="L5051" s="475" t="s">
        <v>141</v>
      </c>
      <c r="M5051" s="473"/>
    </row>
    <row r="5052" spans="1:13" ht="13.5">
      <c r="A5052" s="475" t="s">
        <v>5593</v>
      </c>
      <c r="B5052" s="475" t="s">
        <v>5594</v>
      </c>
      <c r="C5052" s="475" t="s">
        <v>5597</v>
      </c>
      <c r="D5052" s="475" t="s">
        <v>5598</v>
      </c>
      <c r="E5052" s="476" t="s">
        <v>34</v>
      </c>
      <c r="F5052" s="475" t="s">
        <v>34</v>
      </c>
      <c r="G5052" s="364">
        <v>89298</v>
      </c>
      <c r="H5052" s="475" t="s">
        <v>4187</v>
      </c>
      <c r="I5052" s="475" t="s">
        <v>322</v>
      </c>
      <c r="J5052" s="475" t="s">
        <v>337</v>
      </c>
      <c r="K5052" s="365">
        <v>56.74</v>
      </c>
      <c r="L5052" s="475" t="s">
        <v>141</v>
      </c>
      <c r="M5052" s="473"/>
    </row>
    <row r="5053" spans="1:13" ht="13.5">
      <c r="A5053" s="475" t="s">
        <v>5593</v>
      </c>
      <c r="B5053" s="475" t="s">
        <v>5594</v>
      </c>
      <c r="C5053" s="475" t="s">
        <v>5597</v>
      </c>
      <c r="D5053" s="475" t="s">
        <v>5598</v>
      </c>
      <c r="E5053" s="476" t="s">
        <v>34</v>
      </c>
      <c r="F5053" s="475" t="s">
        <v>34</v>
      </c>
      <c r="G5053" s="364">
        <v>89299</v>
      </c>
      <c r="H5053" s="475" t="s">
        <v>4188</v>
      </c>
      <c r="I5053" s="475" t="s">
        <v>322</v>
      </c>
      <c r="J5053" s="475" t="s">
        <v>337</v>
      </c>
      <c r="K5053" s="365">
        <v>59.25</v>
      </c>
      <c r="L5053" s="475" t="s">
        <v>141</v>
      </c>
      <c r="M5053" s="473"/>
    </row>
    <row r="5054" spans="1:13" ht="13.5">
      <c r="A5054" s="475" t="s">
        <v>5593</v>
      </c>
      <c r="B5054" s="475" t="s">
        <v>5594</v>
      </c>
      <c r="C5054" s="475" t="s">
        <v>5597</v>
      </c>
      <c r="D5054" s="475" t="s">
        <v>5598</v>
      </c>
      <c r="E5054" s="476" t="s">
        <v>34</v>
      </c>
      <c r="F5054" s="475" t="s">
        <v>34</v>
      </c>
      <c r="G5054" s="364">
        <v>89300</v>
      </c>
      <c r="H5054" s="475" t="s">
        <v>4189</v>
      </c>
      <c r="I5054" s="475" t="s">
        <v>322</v>
      </c>
      <c r="J5054" s="475" t="s">
        <v>337</v>
      </c>
      <c r="K5054" s="365">
        <v>52.52</v>
      </c>
      <c r="L5054" s="475" t="s">
        <v>141</v>
      </c>
      <c r="M5054" s="473"/>
    </row>
    <row r="5055" spans="1:13" ht="13.5">
      <c r="A5055" s="475" t="s">
        <v>5593</v>
      </c>
      <c r="B5055" s="475" t="s">
        <v>5594</v>
      </c>
      <c r="C5055" s="475" t="s">
        <v>5597</v>
      </c>
      <c r="D5055" s="475" t="s">
        <v>5598</v>
      </c>
      <c r="E5055" s="476" t="s">
        <v>34</v>
      </c>
      <c r="F5055" s="475" t="s">
        <v>34</v>
      </c>
      <c r="G5055" s="364">
        <v>89301</v>
      </c>
      <c r="H5055" s="475" t="s">
        <v>4190</v>
      </c>
      <c r="I5055" s="475" t="s">
        <v>322</v>
      </c>
      <c r="J5055" s="475" t="s">
        <v>337</v>
      </c>
      <c r="K5055" s="365">
        <v>55.03</v>
      </c>
      <c r="L5055" s="475" t="s">
        <v>141</v>
      </c>
      <c r="M5055" s="473"/>
    </row>
    <row r="5056" spans="1:13" ht="13.5">
      <c r="A5056" s="475" t="s">
        <v>5593</v>
      </c>
      <c r="B5056" s="475" t="s">
        <v>5594</v>
      </c>
      <c r="C5056" s="475" t="s">
        <v>5597</v>
      </c>
      <c r="D5056" s="475" t="s">
        <v>5598</v>
      </c>
      <c r="E5056" s="476" t="s">
        <v>34</v>
      </c>
      <c r="F5056" s="475" t="s">
        <v>34</v>
      </c>
      <c r="G5056" s="364">
        <v>89302</v>
      </c>
      <c r="H5056" s="475" t="s">
        <v>4191</v>
      </c>
      <c r="I5056" s="475" t="s">
        <v>322</v>
      </c>
      <c r="J5056" s="475" t="s">
        <v>337</v>
      </c>
      <c r="K5056" s="365">
        <v>63.54</v>
      </c>
      <c r="L5056" s="475" t="s">
        <v>141</v>
      </c>
      <c r="M5056" s="473"/>
    </row>
    <row r="5057" spans="1:13" ht="13.5">
      <c r="A5057" s="475" t="s">
        <v>5593</v>
      </c>
      <c r="B5057" s="475" t="s">
        <v>5594</v>
      </c>
      <c r="C5057" s="475" t="s">
        <v>5597</v>
      </c>
      <c r="D5057" s="475" t="s">
        <v>5598</v>
      </c>
      <c r="E5057" s="476" t="s">
        <v>34</v>
      </c>
      <c r="F5057" s="475" t="s">
        <v>34</v>
      </c>
      <c r="G5057" s="364">
        <v>89303</v>
      </c>
      <c r="H5057" s="475" t="s">
        <v>4192</v>
      </c>
      <c r="I5057" s="475" t="s">
        <v>322</v>
      </c>
      <c r="J5057" s="475" t="s">
        <v>337</v>
      </c>
      <c r="K5057" s="365">
        <v>66.05</v>
      </c>
      <c r="L5057" s="475" t="s">
        <v>141</v>
      </c>
      <c r="M5057" s="473"/>
    </row>
    <row r="5058" spans="1:13" ht="13.5">
      <c r="A5058" s="475" t="s">
        <v>5593</v>
      </c>
      <c r="B5058" s="475" t="s">
        <v>5594</v>
      </c>
      <c r="C5058" s="475" t="s">
        <v>5597</v>
      </c>
      <c r="D5058" s="475" t="s">
        <v>5598</v>
      </c>
      <c r="E5058" s="476" t="s">
        <v>34</v>
      </c>
      <c r="F5058" s="475" t="s">
        <v>34</v>
      </c>
      <c r="G5058" s="364">
        <v>89304</v>
      </c>
      <c r="H5058" s="475" t="s">
        <v>4193</v>
      </c>
      <c r="I5058" s="475" t="s">
        <v>322</v>
      </c>
      <c r="J5058" s="475" t="s">
        <v>337</v>
      </c>
      <c r="K5058" s="365">
        <v>56.64</v>
      </c>
      <c r="L5058" s="475" t="s">
        <v>141</v>
      </c>
      <c r="M5058" s="473"/>
    </row>
    <row r="5059" spans="1:13" ht="13.5">
      <c r="A5059" s="475" t="s">
        <v>5593</v>
      </c>
      <c r="B5059" s="475" t="s">
        <v>5594</v>
      </c>
      <c r="C5059" s="475" t="s">
        <v>5597</v>
      </c>
      <c r="D5059" s="475" t="s">
        <v>5598</v>
      </c>
      <c r="E5059" s="476" t="s">
        <v>34</v>
      </c>
      <c r="F5059" s="475" t="s">
        <v>34</v>
      </c>
      <c r="G5059" s="364">
        <v>89305</v>
      </c>
      <c r="H5059" s="475" t="s">
        <v>4194</v>
      </c>
      <c r="I5059" s="475" t="s">
        <v>322</v>
      </c>
      <c r="J5059" s="475" t="s">
        <v>337</v>
      </c>
      <c r="K5059" s="365">
        <v>59.15</v>
      </c>
      <c r="L5059" s="475" t="s">
        <v>141</v>
      </c>
      <c r="M5059" s="473"/>
    </row>
    <row r="5060" spans="1:13" ht="13.5">
      <c r="A5060" s="475" t="s">
        <v>5593</v>
      </c>
      <c r="B5060" s="475" t="s">
        <v>5594</v>
      </c>
      <c r="C5060" s="475" t="s">
        <v>5597</v>
      </c>
      <c r="D5060" s="475" t="s">
        <v>5598</v>
      </c>
      <c r="E5060" s="476" t="s">
        <v>34</v>
      </c>
      <c r="F5060" s="475" t="s">
        <v>34</v>
      </c>
      <c r="G5060" s="364">
        <v>89306</v>
      </c>
      <c r="H5060" s="475" t="s">
        <v>4195</v>
      </c>
      <c r="I5060" s="475" t="s">
        <v>322</v>
      </c>
      <c r="J5060" s="475" t="s">
        <v>337</v>
      </c>
      <c r="K5060" s="365">
        <v>65.02</v>
      </c>
      <c r="L5060" s="475" t="s">
        <v>141</v>
      </c>
      <c r="M5060" s="473"/>
    </row>
    <row r="5061" spans="1:13" ht="13.5">
      <c r="A5061" s="475" t="s">
        <v>5593</v>
      </c>
      <c r="B5061" s="475" t="s">
        <v>5594</v>
      </c>
      <c r="C5061" s="475" t="s">
        <v>5597</v>
      </c>
      <c r="D5061" s="475" t="s">
        <v>5598</v>
      </c>
      <c r="E5061" s="476" t="s">
        <v>34</v>
      </c>
      <c r="F5061" s="475" t="s">
        <v>34</v>
      </c>
      <c r="G5061" s="364">
        <v>89307</v>
      </c>
      <c r="H5061" s="475" t="s">
        <v>4196</v>
      </c>
      <c r="I5061" s="475" t="s">
        <v>322</v>
      </c>
      <c r="J5061" s="475" t="s">
        <v>337</v>
      </c>
      <c r="K5061" s="365">
        <v>67.8</v>
      </c>
      <c r="L5061" s="475" t="s">
        <v>141</v>
      </c>
      <c r="M5061" s="473"/>
    </row>
    <row r="5062" spans="1:13" ht="13.5">
      <c r="A5062" s="475" t="s">
        <v>5593</v>
      </c>
      <c r="B5062" s="475" t="s">
        <v>5594</v>
      </c>
      <c r="C5062" s="475" t="s">
        <v>5597</v>
      </c>
      <c r="D5062" s="475" t="s">
        <v>5598</v>
      </c>
      <c r="E5062" s="476" t="s">
        <v>34</v>
      </c>
      <c r="F5062" s="475" t="s">
        <v>34</v>
      </c>
      <c r="G5062" s="364">
        <v>89308</v>
      </c>
      <c r="H5062" s="475" t="s">
        <v>4197</v>
      </c>
      <c r="I5062" s="475" t="s">
        <v>322</v>
      </c>
      <c r="J5062" s="475" t="s">
        <v>337</v>
      </c>
      <c r="K5062" s="365">
        <v>60.83</v>
      </c>
      <c r="L5062" s="475" t="s">
        <v>141</v>
      </c>
      <c r="M5062" s="473"/>
    </row>
    <row r="5063" spans="1:13" ht="13.5">
      <c r="A5063" s="475" t="s">
        <v>5593</v>
      </c>
      <c r="B5063" s="475" t="s">
        <v>5594</v>
      </c>
      <c r="C5063" s="475" t="s">
        <v>5597</v>
      </c>
      <c r="D5063" s="475" t="s">
        <v>5598</v>
      </c>
      <c r="E5063" s="476" t="s">
        <v>34</v>
      </c>
      <c r="F5063" s="475" t="s">
        <v>34</v>
      </c>
      <c r="G5063" s="364">
        <v>89309</v>
      </c>
      <c r="H5063" s="475" t="s">
        <v>4198</v>
      </c>
      <c r="I5063" s="475" t="s">
        <v>322</v>
      </c>
      <c r="J5063" s="475" t="s">
        <v>337</v>
      </c>
      <c r="K5063" s="365">
        <v>63.61</v>
      </c>
      <c r="L5063" s="475" t="s">
        <v>141</v>
      </c>
      <c r="M5063" s="473"/>
    </row>
    <row r="5064" spans="1:13" ht="13.5">
      <c r="A5064" s="475" t="s">
        <v>5593</v>
      </c>
      <c r="B5064" s="475" t="s">
        <v>5594</v>
      </c>
      <c r="C5064" s="475" t="s">
        <v>5597</v>
      </c>
      <c r="D5064" s="475" t="s">
        <v>5598</v>
      </c>
      <c r="E5064" s="476" t="s">
        <v>34</v>
      </c>
      <c r="F5064" s="475" t="s">
        <v>34</v>
      </c>
      <c r="G5064" s="364">
        <v>89310</v>
      </c>
      <c r="H5064" s="475" t="s">
        <v>4199</v>
      </c>
      <c r="I5064" s="475" t="s">
        <v>322</v>
      </c>
      <c r="J5064" s="475" t="s">
        <v>337</v>
      </c>
      <c r="K5064" s="365">
        <v>73.2</v>
      </c>
      <c r="L5064" s="475" t="s">
        <v>141</v>
      </c>
      <c r="M5064" s="473"/>
    </row>
    <row r="5065" spans="1:13" ht="13.5">
      <c r="A5065" s="475" t="s">
        <v>5593</v>
      </c>
      <c r="B5065" s="475" t="s">
        <v>5594</v>
      </c>
      <c r="C5065" s="475" t="s">
        <v>5597</v>
      </c>
      <c r="D5065" s="475" t="s">
        <v>5598</v>
      </c>
      <c r="E5065" s="476" t="s">
        <v>34</v>
      </c>
      <c r="F5065" s="475" t="s">
        <v>34</v>
      </c>
      <c r="G5065" s="364">
        <v>89311</v>
      </c>
      <c r="H5065" s="475" t="s">
        <v>4200</v>
      </c>
      <c r="I5065" s="475" t="s">
        <v>322</v>
      </c>
      <c r="J5065" s="475" t="s">
        <v>337</v>
      </c>
      <c r="K5065" s="365">
        <v>75.98</v>
      </c>
      <c r="L5065" s="475" t="s">
        <v>141</v>
      </c>
      <c r="M5065" s="473"/>
    </row>
    <row r="5066" spans="1:13" ht="13.5">
      <c r="A5066" s="475" t="s">
        <v>5593</v>
      </c>
      <c r="B5066" s="475" t="s">
        <v>5594</v>
      </c>
      <c r="C5066" s="475" t="s">
        <v>5597</v>
      </c>
      <c r="D5066" s="475" t="s">
        <v>5598</v>
      </c>
      <c r="E5066" s="476" t="s">
        <v>34</v>
      </c>
      <c r="F5066" s="475" t="s">
        <v>34</v>
      </c>
      <c r="G5066" s="364">
        <v>89312</v>
      </c>
      <c r="H5066" s="475" t="s">
        <v>4201</v>
      </c>
      <c r="I5066" s="475" t="s">
        <v>322</v>
      </c>
      <c r="J5066" s="475" t="s">
        <v>337</v>
      </c>
      <c r="K5066" s="365">
        <v>65.7</v>
      </c>
      <c r="L5066" s="475" t="s">
        <v>141</v>
      </c>
      <c r="M5066" s="473"/>
    </row>
    <row r="5067" spans="1:13" ht="13.5">
      <c r="A5067" s="475" t="s">
        <v>5593</v>
      </c>
      <c r="B5067" s="475" t="s">
        <v>5594</v>
      </c>
      <c r="C5067" s="475" t="s">
        <v>5597</v>
      </c>
      <c r="D5067" s="475" t="s">
        <v>5598</v>
      </c>
      <c r="E5067" s="476" t="s">
        <v>34</v>
      </c>
      <c r="F5067" s="475" t="s">
        <v>34</v>
      </c>
      <c r="G5067" s="364">
        <v>89313</v>
      </c>
      <c r="H5067" s="475" t="s">
        <v>4202</v>
      </c>
      <c r="I5067" s="475" t="s">
        <v>322</v>
      </c>
      <c r="J5067" s="475" t="s">
        <v>337</v>
      </c>
      <c r="K5067" s="365">
        <v>68.48</v>
      </c>
      <c r="L5067" s="475" t="s">
        <v>141</v>
      </c>
      <c r="M5067" s="473"/>
    </row>
    <row r="5068" spans="1:13" ht="13.5">
      <c r="A5068" s="475" t="s">
        <v>5593</v>
      </c>
      <c r="B5068" s="475" t="s">
        <v>5594</v>
      </c>
      <c r="C5068" s="475" t="s">
        <v>5597</v>
      </c>
      <c r="D5068" s="475" t="s">
        <v>5598</v>
      </c>
      <c r="E5068" s="476" t="s">
        <v>34</v>
      </c>
      <c r="F5068" s="475" t="s">
        <v>34</v>
      </c>
      <c r="G5068" s="364">
        <v>95465</v>
      </c>
      <c r="H5068" s="475" t="s">
        <v>4203</v>
      </c>
      <c r="I5068" s="475" t="s">
        <v>322</v>
      </c>
      <c r="J5068" s="475" t="s">
        <v>337</v>
      </c>
      <c r="K5068" s="365">
        <v>120.72</v>
      </c>
      <c r="L5068" s="475" t="s">
        <v>141</v>
      </c>
      <c r="M5068" s="473"/>
    </row>
    <row r="5069" spans="1:13" ht="13.5">
      <c r="A5069" s="475" t="s">
        <v>5593</v>
      </c>
      <c r="B5069" s="475" t="s">
        <v>5594</v>
      </c>
      <c r="C5069" s="475" t="s">
        <v>5599</v>
      </c>
      <c r="D5069" s="475" t="s">
        <v>5600</v>
      </c>
      <c r="E5069" s="476" t="s">
        <v>34</v>
      </c>
      <c r="F5069" s="475" t="s">
        <v>34</v>
      </c>
      <c r="G5069" s="364">
        <v>87447</v>
      </c>
      <c r="H5069" s="475" t="s">
        <v>4204</v>
      </c>
      <c r="I5069" s="475" t="s">
        <v>322</v>
      </c>
      <c r="J5069" s="475" t="s">
        <v>140</v>
      </c>
      <c r="K5069" s="365">
        <v>44.36</v>
      </c>
      <c r="L5069" s="475" t="s">
        <v>141</v>
      </c>
      <c r="M5069" s="473"/>
    </row>
    <row r="5070" spans="1:13" ht="13.5">
      <c r="A5070" s="475" t="s">
        <v>5593</v>
      </c>
      <c r="B5070" s="475" t="s">
        <v>5594</v>
      </c>
      <c r="C5070" s="475" t="s">
        <v>5599</v>
      </c>
      <c r="D5070" s="475" t="s">
        <v>5600</v>
      </c>
      <c r="E5070" s="476" t="s">
        <v>34</v>
      </c>
      <c r="F5070" s="475" t="s">
        <v>34</v>
      </c>
      <c r="G5070" s="364">
        <v>87448</v>
      </c>
      <c r="H5070" s="475" t="s">
        <v>4205</v>
      </c>
      <c r="I5070" s="475" t="s">
        <v>322</v>
      </c>
      <c r="J5070" s="475" t="s">
        <v>140</v>
      </c>
      <c r="K5070" s="365">
        <v>44.71</v>
      </c>
      <c r="L5070" s="475" t="s">
        <v>141</v>
      </c>
      <c r="M5070" s="473"/>
    </row>
    <row r="5071" spans="1:13" ht="13.5">
      <c r="A5071" s="475" t="s">
        <v>5593</v>
      </c>
      <c r="B5071" s="475" t="s">
        <v>5594</v>
      </c>
      <c r="C5071" s="475" t="s">
        <v>5599</v>
      </c>
      <c r="D5071" s="475" t="s">
        <v>5600</v>
      </c>
      <c r="E5071" s="476" t="s">
        <v>34</v>
      </c>
      <c r="F5071" s="475" t="s">
        <v>34</v>
      </c>
      <c r="G5071" s="364">
        <v>87449</v>
      </c>
      <c r="H5071" s="475" t="s">
        <v>4206</v>
      </c>
      <c r="I5071" s="475" t="s">
        <v>322</v>
      </c>
      <c r="J5071" s="475" t="s">
        <v>140</v>
      </c>
      <c r="K5071" s="365">
        <v>56.61</v>
      </c>
      <c r="L5071" s="475" t="s">
        <v>141</v>
      </c>
      <c r="M5071" s="473"/>
    </row>
    <row r="5072" spans="1:13" ht="13.5">
      <c r="A5072" s="475" t="s">
        <v>5593</v>
      </c>
      <c r="B5072" s="475" t="s">
        <v>5594</v>
      </c>
      <c r="C5072" s="475" t="s">
        <v>5599</v>
      </c>
      <c r="D5072" s="475" t="s">
        <v>5600</v>
      </c>
      <c r="E5072" s="476" t="s">
        <v>34</v>
      </c>
      <c r="F5072" s="475" t="s">
        <v>34</v>
      </c>
      <c r="G5072" s="364">
        <v>87450</v>
      </c>
      <c r="H5072" s="475" t="s">
        <v>4207</v>
      </c>
      <c r="I5072" s="475" t="s">
        <v>322</v>
      </c>
      <c r="J5072" s="475" t="s">
        <v>140</v>
      </c>
      <c r="K5072" s="365">
        <v>57.48</v>
      </c>
      <c r="L5072" s="475" t="s">
        <v>141</v>
      </c>
      <c r="M5072" s="473"/>
    </row>
    <row r="5073" spans="1:13" ht="13.5">
      <c r="A5073" s="475" t="s">
        <v>5593</v>
      </c>
      <c r="B5073" s="475" t="s">
        <v>5594</v>
      </c>
      <c r="C5073" s="475" t="s">
        <v>5599</v>
      </c>
      <c r="D5073" s="475" t="s">
        <v>5600</v>
      </c>
      <c r="E5073" s="476" t="s">
        <v>34</v>
      </c>
      <c r="F5073" s="475" t="s">
        <v>34</v>
      </c>
      <c r="G5073" s="364">
        <v>87451</v>
      </c>
      <c r="H5073" s="475" t="s">
        <v>4208</v>
      </c>
      <c r="I5073" s="475" t="s">
        <v>322</v>
      </c>
      <c r="J5073" s="475" t="s">
        <v>140</v>
      </c>
      <c r="K5073" s="365">
        <v>68.83</v>
      </c>
      <c r="L5073" s="475" t="s">
        <v>141</v>
      </c>
      <c r="M5073" s="473"/>
    </row>
    <row r="5074" spans="1:13" ht="13.5">
      <c r="A5074" s="475" t="s">
        <v>5593</v>
      </c>
      <c r="B5074" s="475" t="s">
        <v>5594</v>
      </c>
      <c r="C5074" s="475" t="s">
        <v>5599</v>
      </c>
      <c r="D5074" s="475" t="s">
        <v>5600</v>
      </c>
      <c r="E5074" s="476" t="s">
        <v>34</v>
      </c>
      <c r="F5074" s="475" t="s">
        <v>34</v>
      </c>
      <c r="G5074" s="364">
        <v>87452</v>
      </c>
      <c r="H5074" s="475" t="s">
        <v>4209</v>
      </c>
      <c r="I5074" s="475" t="s">
        <v>322</v>
      </c>
      <c r="J5074" s="475" t="s">
        <v>140</v>
      </c>
      <c r="K5074" s="365">
        <v>69.17</v>
      </c>
      <c r="L5074" s="475" t="s">
        <v>141</v>
      </c>
      <c r="M5074" s="473"/>
    </row>
    <row r="5075" spans="1:13" ht="13.5">
      <c r="A5075" s="475" t="s">
        <v>5593</v>
      </c>
      <c r="B5075" s="475" t="s">
        <v>5594</v>
      </c>
      <c r="C5075" s="475" t="s">
        <v>5599</v>
      </c>
      <c r="D5075" s="475" t="s">
        <v>5600</v>
      </c>
      <c r="E5075" s="476" t="s">
        <v>34</v>
      </c>
      <c r="F5075" s="475" t="s">
        <v>34</v>
      </c>
      <c r="G5075" s="364">
        <v>87453</v>
      </c>
      <c r="H5075" s="475" t="s">
        <v>4210</v>
      </c>
      <c r="I5075" s="475" t="s">
        <v>322</v>
      </c>
      <c r="J5075" s="475" t="s">
        <v>140</v>
      </c>
      <c r="K5075" s="365">
        <v>41.07</v>
      </c>
      <c r="L5075" s="475" t="s">
        <v>141</v>
      </c>
      <c r="M5075" s="473"/>
    </row>
    <row r="5076" spans="1:13" ht="13.5">
      <c r="A5076" s="475" t="s">
        <v>5593</v>
      </c>
      <c r="B5076" s="475" t="s">
        <v>5594</v>
      </c>
      <c r="C5076" s="475" t="s">
        <v>5599</v>
      </c>
      <c r="D5076" s="475" t="s">
        <v>5600</v>
      </c>
      <c r="E5076" s="476" t="s">
        <v>34</v>
      </c>
      <c r="F5076" s="475" t="s">
        <v>34</v>
      </c>
      <c r="G5076" s="364">
        <v>87454</v>
      </c>
      <c r="H5076" s="475" t="s">
        <v>4211</v>
      </c>
      <c r="I5076" s="475" t="s">
        <v>322</v>
      </c>
      <c r="J5076" s="475" t="s">
        <v>140</v>
      </c>
      <c r="K5076" s="365">
        <v>41.81</v>
      </c>
      <c r="L5076" s="475" t="s">
        <v>141</v>
      </c>
      <c r="M5076" s="473"/>
    </row>
    <row r="5077" spans="1:13" ht="13.5">
      <c r="A5077" s="475" t="s">
        <v>5593</v>
      </c>
      <c r="B5077" s="475" t="s">
        <v>5594</v>
      </c>
      <c r="C5077" s="475" t="s">
        <v>5599</v>
      </c>
      <c r="D5077" s="475" t="s">
        <v>5600</v>
      </c>
      <c r="E5077" s="476" t="s">
        <v>34</v>
      </c>
      <c r="F5077" s="475" t="s">
        <v>34</v>
      </c>
      <c r="G5077" s="364">
        <v>87455</v>
      </c>
      <c r="H5077" s="475" t="s">
        <v>4212</v>
      </c>
      <c r="I5077" s="475" t="s">
        <v>322</v>
      </c>
      <c r="J5077" s="475" t="s">
        <v>140</v>
      </c>
      <c r="K5077" s="365">
        <v>52.59</v>
      </c>
      <c r="L5077" s="475" t="s">
        <v>141</v>
      </c>
      <c r="M5077" s="473"/>
    </row>
    <row r="5078" spans="1:13" ht="13.5">
      <c r="A5078" s="475" t="s">
        <v>5593</v>
      </c>
      <c r="B5078" s="475" t="s">
        <v>5594</v>
      </c>
      <c r="C5078" s="475" t="s">
        <v>5599</v>
      </c>
      <c r="D5078" s="475" t="s">
        <v>5600</v>
      </c>
      <c r="E5078" s="476" t="s">
        <v>34</v>
      </c>
      <c r="F5078" s="475" t="s">
        <v>34</v>
      </c>
      <c r="G5078" s="364">
        <v>87456</v>
      </c>
      <c r="H5078" s="475" t="s">
        <v>4213</v>
      </c>
      <c r="I5078" s="475" t="s">
        <v>322</v>
      </c>
      <c r="J5078" s="475" t="s">
        <v>140</v>
      </c>
      <c r="K5078" s="365">
        <v>53.73</v>
      </c>
      <c r="L5078" s="475" t="s">
        <v>141</v>
      </c>
      <c r="M5078" s="473"/>
    </row>
    <row r="5079" spans="1:13" ht="13.5">
      <c r="A5079" s="475" t="s">
        <v>5593</v>
      </c>
      <c r="B5079" s="475" t="s">
        <v>5594</v>
      </c>
      <c r="C5079" s="475" t="s">
        <v>5599</v>
      </c>
      <c r="D5079" s="475" t="s">
        <v>5600</v>
      </c>
      <c r="E5079" s="476" t="s">
        <v>34</v>
      </c>
      <c r="F5079" s="475" t="s">
        <v>34</v>
      </c>
      <c r="G5079" s="364">
        <v>87457</v>
      </c>
      <c r="H5079" s="475" t="s">
        <v>4214</v>
      </c>
      <c r="I5079" s="475" t="s">
        <v>322</v>
      </c>
      <c r="J5079" s="475" t="s">
        <v>140</v>
      </c>
      <c r="K5079" s="365">
        <v>64.010000000000005</v>
      </c>
      <c r="L5079" s="475" t="s">
        <v>141</v>
      </c>
      <c r="M5079" s="473"/>
    </row>
    <row r="5080" spans="1:13" ht="13.5">
      <c r="A5080" s="475" t="s">
        <v>5593</v>
      </c>
      <c r="B5080" s="475" t="s">
        <v>5594</v>
      </c>
      <c r="C5080" s="475" t="s">
        <v>5599</v>
      </c>
      <c r="D5080" s="475" t="s">
        <v>5600</v>
      </c>
      <c r="E5080" s="476" t="s">
        <v>34</v>
      </c>
      <c r="F5080" s="475" t="s">
        <v>34</v>
      </c>
      <c r="G5080" s="364">
        <v>87458</v>
      </c>
      <c r="H5080" s="475" t="s">
        <v>4215</v>
      </c>
      <c r="I5080" s="475" t="s">
        <v>322</v>
      </c>
      <c r="J5080" s="475" t="s">
        <v>140</v>
      </c>
      <c r="K5080" s="365">
        <v>65.09</v>
      </c>
      <c r="L5080" s="475" t="s">
        <v>141</v>
      </c>
      <c r="M5080" s="473"/>
    </row>
    <row r="5081" spans="1:13" ht="13.5">
      <c r="A5081" s="475" t="s">
        <v>5593</v>
      </c>
      <c r="B5081" s="475" t="s">
        <v>5594</v>
      </c>
      <c r="C5081" s="475" t="s">
        <v>5599</v>
      </c>
      <c r="D5081" s="475" t="s">
        <v>5600</v>
      </c>
      <c r="E5081" s="476" t="s">
        <v>34</v>
      </c>
      <c r="F5081" s="475" t="s">
        <v>34</v>
      </c>
      <c r="G5081" s="364">
        <v>87459</v>
      </c>
      <c r="H5081" s="475" t="s">
        <v>4216</v>
      </c>
      <c r="I5081" s="475" t="s">
        <v>322</v>
      </c>
      <c r="J5081" s="475" t="s">
        <v>140</v>
      </c>
      <c r="K5081" s="365">
        <v>49.8</v>
      </c>
      <c r="L5081" s="475" t="s">
        <v>141</v>
      </c>
      <c r="M5081" s="473"/>
    </row>
    <row r="5082" spans="1:13" ht="13.5">
      <c r="A5082" s="475" t="s">
        <v>5593</v>
      </c>
      <c r="B5082" s="475" t="s">
        <v>5594</v>
      </c>
      <c r="C5082" s="475" t="s">
        <v>5599</v>
      </c>
      <c r="D5082" s="475" t="s">
        <v>5600</v>
      </c>
      <c r="E5082" s="476" t="s">
        <v>34</v>
      </c>
      <c r="F5082" s="475" t="s">
        <v>34</v>
      </c>
      <c r="G5082" s="364">
        <v>87460</v>
      </c>
      <c r="H5082" s="475" t="s">
        <v>4217</v>
      </c>
      <c r="I5082" s="475" t="s">
        <v>322</v>
      </c>
      <c r="J5082" s="475" t="s">
        <v>140</v>
      </c>
      <c r="K5082" s="365">
        <v>50.54</v>
      </c>
      <c r="L5082" s="475" t="s">
        <v>141</v>
      </c>
      <c r="M5082" s="473"/>
    </row>
    <row r="5083" spans="1:13" ht="13.5">
      <c r="A5083" s="475" t="s">
        <v>5593</v>
      </c>
      <c r="B5083" s="475" t="s">
        <v>5594</v>
      </c>
      <c r="C5083" s="475" t="s">
        <v>5599</v>
      </c>
      <c r="D5083" s="475" t="s">
        <v>5600</v>
      </c>
      <c r="E5083" s="476" t="s">
        <v>34</v>
      </c>
      <c r="F5083" s="475" t="s">
        <v>34</v>
      </c>
      <c r="G5083" s="364">
        <v>87461</v>
      </c>
      <c r="H5083" s="475" t="s">
        <v>4218</v>
      </c>
      <c r="I5083" s="475" t="s">
        <v>322</v>
      </c>
      <c r="J5083" s="475" t="s">
        <v>140</v>
      </c>
      <c r="K5083" s="365">
        <v>62.09</v>
      </c>
      <c r="L5083" s="475" t="s">
        <v>141</v>
      </c>
      <c r="M5083" s="473"/>
    </row>
    <row r="5084" spans="1:13" ht="13.5">
      <c r="A5084" s="475" t="s">
        <v>5593</v>
      </c>
      <c r="B5084" s="475" t="s">
        <v>5594</v>
      </c>
      <c r="C5084" s="475" t="s">
        <v>5599</v>
      </c>
      <c r="D5084" s="475" t="s">
        <v>5600</v>
      </c>
      <c r="E5084" s="476" t="s">
        <v>34</v>
      </c>
      <c r="F5084" s="475" t="s">
        <v>34</v>
      </c>
      <c r="G5084" s="364">
        <v>87462</v>
      </c>
      <c r="H5084" s="475" t="s">
        <v>4219</v>
      </c>
      <c r="I5084" s="475" t="s">
        <v>322</v>
      </c>
      <c r="J5084" s="475" t="s">
        <v>140</v>
      </c>
      <c r="K5084" s="365">
        <v>62.96</v>
      </c>
      <c r="L5084" s="475" t="s">
        <v>141</v>
      </c>
      <c r="M5084" s="473"/>
    </row>
    <row r="5085" spans="1:13" ht="13.5">
      <c r="A5085" s="475" t="s">
        <v>5593</v>
      </c>
      <c r="B5085" s="475" t="s">
        <v>5594</v>
      </c>
      <c r="C5085" s="475" t="s">
        <v>5599</v>
      </c>
      <c r="D5085" s="475" t="s">
        <v>5600</v>
      </c>
      <c r="E5085" s="476" t="s">
        <v>34</v>
      </c>
      <c r="F5085" s="475" t="s">
        <v>34</v>
      </c>
      <c r="G5085" s="364">
        <v>87463</v>
      </c>
      <c r="H5085" s="475" t="s">
        <v>4220</v>
      </c>
      <c r="I5085" s="475" t="s">
        <v>322</v>
      </c>
      <c r="J5085" s="475" t="s">
        <v>140</v>
      </c>
      <c r="K5085" s="365">
        <v>73.599999999999994</v>
      </c>
      <c r="L5085" s="475" t="s">
        <v>141</v>
      </c>
      <c r="M5085" s="473"/>
    </row>
    <row r="5086" spans="1:13" ht="13.5">
      <c r="A5086" s="475" t="s">
        <v>5593</v>
      </c>
      <c r="B5086" s="475" t="s">
        <v>5594</v>
      </c>
      <c r="C5086" s="475" t="s">
        <v>5599</v>
      </c>
      <c r="D5086" s="475" t="s">
        <v>5600</v>
      </c>
      <c r="E5086" s="476" t="s">
        <v>34</v>
      </c>
      <c r="F5086" s="475" t="s">
        <v>34</v>
      </c>
      <c r="G5086" s="364">
        <v>87464</v>
      </c>
      <c r="H5086" s="475" t="s">
        <v>4221</v>
      </c>
      <c r="I5086" s="475" t="s">
        <v>322</v>
      </c>
      <c r="J5086" s="475" t="s">
        <v>140</v>
      </c>
      <c r="K5086" s="365">
        <v>74.680000000000007</v>
      </c>
      <c r="L5086" s="475" t="s">
        <v>141</v>
      </c>
      <c r="M5086" s="473"/>
    </row>
    <row r="5087" spans="1:13" ht="13.5">
      <c r="A5087" s="475" t="s">
        <v>5593</v>
      </c>
      <c r="B5087" s="475" t="s">
        <v>5594</v>
      </c>
      <c r="C5087" s="475" t="s">
        <v>5599</v>
      </c>
      <c r="D5087" s="475" t="s">
        <v>5600</v>
      </c>
      <c r="E5087" s="476" t="s">
        <v>34</v>
      </c>
      <c r="F5087" s="475" t="s">
        <v>34</v>
      </c>
      <c r="G5087" s="364">
        <v>87465</v>
      </c>
      <c r="H5087" s="475" t="s">
        <v>4222</v>
      </c>
      <c r="I5087" s="475" t="s">
        <v>322</v>
      </c>
      <c r="J5087" s="475" t="s">
        <v>140</v>
      </c>
      <c r="K5087" s="365">
        <v>44.13</v>
      </c>
      <c r="L5087" s="475" t="s">
        <v>141</v>
      </c>
      <c r="M5087" s="473"/>
    </row>
    <row r="5088" spans="1:13" ht="13.5">
      <c r="A5088" s="475" t="s">
        <v>5593</v>
      </c>
      <c r="B5088" s="475" t="s">
        <v>5594</v>
      </c>
      <c r="C5088" s="475" t="s">
        <v>5599</v>
      </c>
      <c r="D5088" s="475" t="s">
        <v>5600</v>
      </c>
      <c r="E5088" s="476" t="s">
        <v>34</v>
      </c>
      <c r="F5088" s="475" t="s">
        <v>34</v>
      </c>
      <c r="G5088" s="364">
        <v>87466</v>
      </c>
      <c r="H5088" s="475" t="s">
        <v>4223</v>
      </c>
      <c r="I5088" s="475" t="s">
        <v>322</v>
      </c>
      <c r="J5088" s="475" t="s">
        <v>140</v>
      </c>
      <c r="K5088" s="365">
        <v>44.87</v>
      </c>
      <c r="L5088" s="475" t="s">
        <v>141</v>
      </c>
      <c r="M5088" s="473"/>
    </row>
    <row r="5089" spans="1:13" ht="13.5">
      <c r="A5089" s="475" t="s">
        <v>5593</v>
      </c>
      <c r="B5089" s="475" t="s">
        <v>5594</v>
      </c>
      <c r="C5089" s="475" t="s">
        <v>5599</v>
      </c>
      <c r="D5089" s="475" t="s">
        <v>5600</v>
      </c>
      <c r="E5089" s="476" t="s">
        <v>34</v>
      </c>
      <c r="F5089" s="475" t="s">
        <v>34</v>
      </c>
      <c r="G5089" s="364">
        <v>87467</v>
      </c>
      <c r="H5089" s="475" t="s">
        <v>4224</v>
      </c>
      <c r="I5089" s="475" t="s">
        <v>322</v>
      </c>
      <c r="J5089" s="475" t="s">
        <v>140</v>
      </c>
      <c r="K5089" s="365">
        <v>55.95</v>
      </c>
      <c r="L5089" s="475" t="s">
        <v>141</v>
      </c>
      <c r="M5089" s="473"/>
    </row>
    <row r="5090" spans="1:13" ht="13.5">
      <c r="A5090" s="475" t="s">
        <v>5593</v>
      </c>
      <c r="B5090" s="475" t="s">
        <v>5594</v>
      </c>
      <c r="C5090" s="475" t="s">
        <v>5599</v>
      </c>
      <c r="D5090" s="475" t="s">
        <v>5600</v>
      </c>
      <c r="E5090" s="476" t="s">
        <v>34</v>
      </c>
      <c r="F5090" s="475" t="s">
        <v>34</v>
      </c>
      <c r="G5090" s="364">
        <v>87468</v>
      </c>
      <c r="H5090" s="475" t="s">
        <v>4225</v>
      </c>
      <c r="I5090" s="475" t="s">
        <v>322</v>
      </c>
      <c r="J5090" s="475" t="s">
        <v>140</v>
      </c>
      <c r="K5090" s="365">
        <v>56.82</v>
      </c>
      <c r="L5090" s="475" t="s">
        <v>141</v>
      </c>
      <c r="M5090" s="473"/>
    </row>
    <row r="5091" spans="1:13" ht="13.5">
      <c r="A5091" s="475" t="s">
        <v>5593</v>
      </c>
      <c r="B5091" s="475" t="s">
        <v>5594</v>
      </c>
      <c r="C5091" s="475" t="s">
        <v>5599</v>
      </c>
      <c r="D5091" s="475" t="s">
        <v>5600</v>
      </c>
      <c r="E5091" s="476" t="s">
        <v>34</v>
      </c>
      <c r="F5091" s="475" t="s">
        <v>34</v>
      </c>
      <c r="G5091" s="364">
        <v>87469</v>
      </c>
      <c r="H5091" s="475" t="s">
        <v>4226</v>
      </c>
      <c r="I5091" s="475" t="s">
        <v>322</v>
      </c>
      <c r="J5091" s="475" t="s">
        <v>140</v>
      </c>
      <c r="K5091" s="365">
        <v>67.489999999999995</v>
      </c>
      <c r="L5091" s="475" t="s">
        <v>141</v>
      </c>
      <c r="M5091" s="473"/>
    </row>
    <row r="5092" spans="1:13" ht="13.5">
      <c r="A5092" s="475" t="s">
        <v>5593</v>
      </c>
      <c r="B5092" s="475" t="s">
        <v>5594</v>
      </c>
      <c r="C5092" s="475" t="s">
        <v>5599</v>
      </c>
      <c r="D5092" s="475" t="s">
        <v>5600</v>
      </c>
      <c r="E5092" s="476" t="s">
        <v>34</v>
      </c>
      <c r="F5092" s="475" t="s">
        <v>34</v>
      </c>
      <c r="G5092" s="364">
        <v>87470</v>
      </c>
      <c r="H5092" s="475" t="s">
        <v>4227</v>
      </c>
      <c r="I5092" s="475" t="s">
        <v>322</v>
      </c>
      <c r="J5092" s="475" t="s">
        <v>140</v>
      </c>
      <c r="K5092" s="365">
        <v>68.569999999999993</v>
      </c>
      <c r="L5092" s="475" t="s">
        <v>141</v>
      </c>
      <c r="M5092" s="473"/>
    </row>
    <row r="5093" spans="1:13" ht="13.5">
      <c r="A5093" s="475" t="s">
        <v>5593</v>
      </c>
      <c r="B5093" s="475" t="s">
        <v>5594</v>
      </c>
      <c r="C5093" s="475" t="s">
        <v>5599</v>
      </c>
      <c r="D5093" s="475" t="s">
        <v>5600</v>
      </c>
      <c r="E5093" s="476" t="s">
        <v>34</v>
      </c>
      <c r="F5093" s="475" t="s">
        <v>34</v>
      </c>
      <c r="G5093" s="364">
        <v>89044</v>
      </c>
      <c r="H5093" s="475" t="s">
        <v>4228</v>
      </c>
      <c r="I5093" s="475" t="s">
        <v>322</v>
      </c>
      <c r="J5093" s="475" t="s">
        <v>140</v>
      </c>
      <c r="K5093" s="365">
        <v>44.23</v>
      </c>
      <c r="L5093" s="475" t="s">
        <v>141</v>
      </c>
      <c r="M5093" s="473"/>
    </row>
    <row r="5094" spans="1:13" ht="13.5">
      <c r="A5094" s="475" t="s">
        <v>5593</v>
      </c>
      <c r="B5094" s="475" t="s">
        <v>5594</v>
      </c>
      <c r="C5094" s="475" t="s">
        <v>5599</v>
      </c>
      <c r="D5094" s="475" t="s">
        <v>5600</v>
      </c>
      <c r="E5094" s="476" t="s">
        <v>34</v>
      </c>
      <c r="F5094" s="475" t="s">
        <v>34</v>
      </c>
      <c r="G5094" s="364">
        <v>89169</v>
      </c>
      <c r="H5094" s="475" t="s">
        <v>4229</v>
      </c>
      <c r="I5094" s="475" t="s">
        <v>322</v>
      </c>
      <c r="J5094" s="475" t="s">
        <v>140</v>
      </c>
      <c r="K5094" s="365">
        <v>44.95</v>
      </c>
      <c r="L5094" s="475" t="s">
        <v>141</v>
      </c>
      <c r="M5094" s="473"/>
    </row>
    <row r="5095" spans="1:13" ht="13.5">
      <c r="A5095" s="475" t="s">
        <v>5593</v>
      </c>
      <c r="B5095" s="475" t="s">
        <v>5594</v>
      </c>
      <c r="C5095" s="475" t="s">
        <v>5599</v>
      </c>
      <c r="D5095" s="475" t="s">
        <v>5600</v>
      </c>
      <c r="E5095" s="476" t="s">
        <v>34</v>
      </c>
      <c r="F5095" s="475" t="s">
        <v>34</v>
      </c>
      <c r="G5095" s="364">
        <v>89978</v>
      </c>
      <c r="H5095" s="475" t="s">
        <v>4230</v>
      </c>
      <c r="I5095" s="475" t="s">
        <v>322</v>
      </c>
      <c r="J5095" s="475" t="s">
        <v>140</v>
      </c>
      <c r="K5095" s="365">
        <v>56.92</v>
      </c>
      <c r="L5095" s="475" t="s">
        <v>141</v>
      </c>
      <c r="M5095" s="473"/>
    </row>
    <row r="5096" spans="1:13" ht="13.5">
      <c r="A5096" s="475" t="s">
        <v>5593</v>
      </c>
      <c r="B5096" s="475" t="s">
        <v>5594</v>
      </c>
      <c r="C5096" s="475" t="s">
        <v>5601</v>
      </c>
      <c r="D5096" s="475" t="s">
        <v>5602</v>
      </c>
      <c r="E5096" s="476">
        <v>73937</v>
      </c>
      <c r="F5096" s="475" t="s">
        <v>5603</v>
      </c>
      <c r="G5096" s="364" t="s">
        <v>4231</v>
      </c>
      <c r="H5096" s="475" t="s">
        <v>4232</v>
      </c>
      <c r="I5096" s="475" t="s">
        <v>322</v>
      </c>
      <c r="J5096" s="475" t="s">
        <v>337</v>
      </c>
      <c r="K5096" s="365">
        <v>98.46</v>
      </c>
      <c r="L5096" s="475" t="s">
        <v>141</v>
      </c>
      <c r="M5096" s="473"/>
    </row>
    <row r="5097" spans="1:13" ht="13.5">
      <c r="A5097" s="475" t="s">
        <v>5593</v>
      </c>
      <c r="B5097" s="475" t="s">
        <v>5594</v>
      </c>
      <c r="C5097" s="475" t="s">
        <v>5601</v>
      </c>
      <c r="D5097" s="475" t="s">
        <v>5602</v>
      </c>
      <c r="E5097" s="476">
        <v>73937</v>
      </c>
      <c r="F5097" s="475" t="s">
        <v>5603</v>
      </c>
      <c r="G5097" s="364" t="s">
        <v>4233</v>
      </c>
      <c r="H5097" s="475" t="s">
        <v>4234</v>
      </c>
      <c r="I5097" s="475" t="s">
        <v>322</v>
      </c>
      <c r="J5097" s="475" t="s">
        <v>337</v>
      </c>
      <c r="K5097" s="365">
        <v>98.59</v>
      </c>
      <c r="L5097" s="475" t="s">
        <v>141</v>
      </c>
      <c r="M5097" s="473"/>
    </row>
    <row r="5098" spans="1:13" ht="13.5">
      <c r="A5098" s="475" t="s">
        <v>5593</v>
      </c>
      <c r="B5098" s="475" t="s">
        <v>5594</v>
      </c>
      <c r="C5098" s="475" t="s">
        <v>5601</v>
      </c>
      <c r="D5098" s="475" t="s">
        <v>5602</v>
      </c>
      <c r="E5098" s="476">
        <v>73937</v>
      </c>
      <c r="F5098" s="475" t="s">
        <v>5603</v>
      </c>
      <c r="G5098" s="364" t="s">
        <v>4235</v>
      </c>
      <c r="H5098" s="475" t="s">
        <v>4236</v>
      </c>
      <c r="I5098" s="475" t="s">
        <v>322</v>
      </c>
      <c r="J5098" s="475" t="s">
        <v>337</v>
      </c>
      <c r="K5098" s="365">
        <v>170.74</v>
      </c>
      <c r="L5098" s="475" t="s">
        <v>141</v>
      </c>
      <c r="M5098" s="473"/>
    </row>
    <row r="5099" spans="1:13" ht="13.5">
      <c r="A5099" s="475" t="s">
        <v>5593</v>
      </c>
      <c r="B5099" s="475" t="s">
        <v>5594</v>
      </c>
      <c r="C5099" s="475" t="s">
        <v>5601</v>
      </c>
      <c r="D5099" s="475" t="s">
        <v>5602</v>
      </c>
      <c r="E5099" s="476" t="s">
        <v>34</v>
      </c>
      <c r="F5099" s="475" t="s">
        <v>34</v>
      </c>
      <c r="G5099" s="364">
        <v>89453</v>
      </c>
      <c r="H5099" s="475" t="s">
        <v>4237</v>
      </c>
      <c r="I5099" s="475" t="s">
        <v>322</v>
      </c>
      <c r="J5099" s="475" t="s">
        <v>337</v>
      </c>
      <c r="K5099" s="365">
        <v>50</v>
      </c>
      <c r="L5099" s="475" t="s">
        <v>141</v>
      </c>
      <c r="M5099" s="473"/>
    </row>
    <row r="5100" spans="1:13" ht="13.5">
      <c r="A5100" s="475" t="s">
        <v>5593</v>
      </c>
      <c r="B5100" s="475" t="s">
        <v>5594</v>
      </c>
      <c r="C5100" s="475" t="s">
        <v>5601</v>
      </c>
      <c r="D5100" s="475" t="s">
        <v>5602</v>
      </c>
      <c r="E5100" s="476" t="s">
        <v>34</v>
      </c>
      <c r="F5100" s="475" t="s">
        <v>34</v>
      </c>
      <c r="G5100" s="364">
        <v>89454</v>
      </c>
      <c r="H5100" s="475" t="s">
        <v>4238</v>
      </c>
      <c r="I5100" s="475" t="s">
        <v>322</v>
      </c>
      <c r="J5100" s="475" t="s">
        <v>337</v>
      </c>
      <c r="K5100" s="365">
        <v>47.57</v>
      </c>
      <c r="L5100" s="475" t="s">
        <v>141</v>
      </c>
      <c r="M5100" s="473"/>
    </row>
    <row r="5101" spans="1:13" ht="13.5">
      <c r="A5101" s="475" t="s">
        <v>5593</v>
      </c>
      <c r="B5101" s="475" t="s">
        <v>5594</v>
      </c>
      <c r="C5101" s="475" t="s">
        <v>5601</v>
      </c>
      <c r="D5101" s="475" t="s">
        <v>5602</v>
      </c>
      <c r="E5101" s="476" t="s">
        <v>34</v>
      </c>
      <c r="F5101" s="475" t="s">
        <v>34</v>
      </c>
      <c r="G5101" s="364">
        <v>89455</v>
      </c>
      <c r="H5101" s="475" t="s">
        <v>4239</v>
      </c>
      <c r="I5101" s="475" t="s">
        <v>322</v>
      </c>
      <c r="J5101" s="475" t="s">
        <v>337</v>
      </c>
      <c r="K5101" s="365">
        <v>61.07</v>
      </c>
      <c r="L5101" s="475" t="s">
        <v>141</v>
      </c>
      <c r="M5101" s="473"/>
    </row>
    <row r="5102" spans="1:13" ht="13.5">
      <c r="A5102" s="475" t="s">
        <v>5593</v>
      </c>
      <c r="B5102" s="475" t="s">
        <v>5594</v>
      </c>
      <c r="C5102" s="475" t="s">
        <v>5601</v>
      </c>
      <c r="D5102" s="475" t="s">
        <v>5602</v>
      </c>
      <c r="E5102" s="476" t="s">
        <v>34</v>
      </c>
      <c r="F5102" s="475" t="s">
        <v>34</v>
      </c>
      <c r="G5102" s="364">
        <v>89456</v>
      </c>
      <c r="H5102" s="475" t="s">
        <v>4240</v>
      </c>
      <c r="I5102" s="475" t="s">
        <v>322</v>
      </c>
      <c r="J5102" s="475" t="s">
        <v>337</v>
      </c>
      <c r="K5102" s="365">
        <v>58.12</v>
      </c>
      <c r="L5102" s="475" t="s">
        <v>141</v>
      </c>
      <c r="M5102" s="473"/>
    </row>
    <row r="5103" spans="1:13" ht="13.5">
      <c r="A5103" s="475" t="s">
        <v>5593</v>
      </c>
      <c r="B5103" s="475" t="s">
        <v>5594</v>
      </c>
      <c r="C5103" s="475" t="s">
        <v>5601</v>
      </c>
      <c r="D5103" s="475" t="s">
        <v>5602</v>
      </c>
      <c r="E5103" s="476" t="s">
        <v>34</v>
      </c>
      <c r="F5103" s="475" t="s">
        <v>34</v>
      </c>
      <c r="G5103" s="364">
        <v>89457</v>
      </c>
      <c r="H5103" s="475" t="s">
        <v>4241</v>
      </c>
      <c r="I5103" s="475" t="s">
        <v>322</v>
      </c>
      <c r="J5103" s="475" t="s">
        <v>337</v>
      </c>
      <c r="K5103" s="365">
        <v>53.36</v>
      </c>
      <c r="L5103" s="475" t="s">
        <v>141</v>
      </c>
      <c r="M5103" s="473"/>
    </row>
    <row r="5104" spans="1:13" ht="13.5">
      <c r="A5104" s="475" t="s">
        <v>5593</v>
      </c>
      <c r="B5104" s="475" t="s">
        <v>5594</v>
      </c>
      <c r="C5104" s="475" t="s">
        <v>5601</v>
      </c>
      <c r="D5104" s="475" t="s">
        <v>5602</v>
      </c>
      <c r="E5104" s="476" t="s">
        <v>34</v>
      </c>
      <c r="F5104" s="475" t="s">
        <v>34</v>
      </c>
      <c r="G5104" s="364">
        <v>89458</v>
      </c>
      <c r="H5104" s="475" t="s">
        <v>4242</v>
      </c>
      <c r="I5104" s="475" t="s">
        <v>322</v>
      </c>
      <c r="J5104" s="475" t="s">
        <v>337</v>
      </c>
      <c r="K5104" s="365">
        <v>49.47</v>
      </c>
      <c r="L5104" s="475" t="s">
        <v>141</v>
      </c>
      <c r="M5104" s="473"/>
    </row>
    <row r="5105" spans="1:13" ht="13.5">
      <c r="A5105" s="475" t="s">
        <v>5593</v>
      </c>
      <c r="B5105" s="475" t="s">
        <v>5594</v>
      </c>
      <c r="C5105" s="475" t="s">
        <v>5601</v>
      </c>
      <c r="D5105" s="475" t="s">
        <v>5602</v>
      </c>
      <c r="E5105" s="476" t="s">
        <v>34</v>
      </c>
      <c r="F5105" s="475" t="s">
        <v>34</v>
      </c>
      <c r="G5105" s="364">
        <v>89459</v>
      </c>
      <c r="H5105" s="475" t="s">
        <v>4243</v>
      </c>
      <c r="I5105" s="475" t="s">
        <v>322</v>
      </c>
      <c r="J5105" s="475" t="s">
        <v>337</v>
      </c>
      <c r="K5105" s="365">
        <v>65.64</v>
      </c>
      <c r="L5105" s="475" t="s">
        <v>141</v>
      </c>
      <c r="M5105" s="473"/>
    </row>
    <row r="5106" spans="1:13" ht="13.5">
      <c r="A5106" s="475" t="s">
        <v>5593</v>
      </c>
      <c r="B5106" s="475" t="s">
        <v>5594</v>
      </c>
      <c r="C5106" s="475" t="s">
        <v>5601</v>
      </c>
      <c r="D5106" s="475" t="s">
        <v>5602</v>
      </c>
      <c r="E5106" s="476" t="s">
        <v>34</v>
      </c>
      <c r="F5106" s="475" t="s">
        <v>34</v>
      </c>
      <c r="G5106" s="364">
        <v>89460</v>
      </c>
      <c r="H5106" s="475" t="s">
        <v>4244</v>
      </c>
      <c r="I5106" s="475" t="s">
        <v>322</v>
      </c>
      <c r="J5106" s="475" t="s">
        <v>337</v>
      </c>
      <c r="K5106" s="365">
        <v>60.91</v>
      </c>
      <c r="L5106" s="475" t="s">
        <v>141</v>
      </c>
      <c r="M5106" s="473"/>
    </row>
    <row r="5107" spans="1:13" ht="13.5">
      <c r="A5107" s="475" t="s">
        <v>5593</v>
      </c>
      <c r="B5107" s="475" t="s">
        <v>5594</v>
      </c>
      <c r="C5107" s="475" t="s">
        <v>5601</v>
      </c>
      <c r="D5107" s="475" t="s">
        <v>5602</v>
      </c>
      <c r="E5107" s="476" t="s">
        <v>34</v>
      </c>
      <c r="F5107" s="475" t="s">
        <v>34</v>
      </c>
      <c r="G5107" s="364">
        <v>89462</v>
      </c>
      <c r="H5107" s="475" t="s">
        <v>4245</v>
      </c>
      <c r="I5107" s="475" t="s">
        <v>322</v>
      </c>
      <c r="J5107" s="475" t="s">
        <v>337</v>
      </c>
      <c r="K5107" s="365">
        <v>57.65</v>
      </c>
      <c r="L5107" s="475" t="s">
        <v>141</v>
      </c>
      <c r="M5107" s="473"/>
    </row>
    <row r="5108" spans="1:13" ht="13.5">
      <c r="A5108" s="475" t="s">
        <v>5593</v>
      </c>
      <c r="B5108" s="475" t="s">
        <v>5594</v>
      </c>
      <c r="C5108" s="475" t="s">
        <v>5601</v>
      </c>
      <c r="D5108" s="475" t="s">
        <v>5602</v>
      </c>
      <c r="E5108" s="476" t="s">
        <v>34</v>
      </c>
      <c r="F5108" s="475" t="s">
        <v>34</v>
      </c>
      <c r="G5108" s="364">
        <v>89463</v>
      </c>
      <c r="H5108" s="475" t="s">
        <v>4246</v>
      </c>
      <c r="I5108" s="475" t="s">
        <v>322</v>
      </c>
      <c r="J5108" s="475" t="s">
        <v>337</v>
      </c>
      <c r="K5108" s="365">
        <v>55.43</v>
      </c>
      <c r="L5108" s="475" t="s">
        <v>141</v>
      </c>
      <c r="M5108" s="473"/>
    </row>
    <row r="5109" spans="1:13" ht="13.5">
      <c r="A5109" s="475" t="s">
        <v>5593</v>
      </c>
      <c r="B5109" s="475" t="s">
        <v>5594</v>
      </c>
      <c r="C5109" s="475" t="s">
        <v>5601</v>
      </c>
      <c r="D5109" s="475" t="s">
        <v>5602</v>
      </c>
      <c r="E5109" s="476" t="s">
        <v>34</v>
      </c>
      <c r="F5109" s="475" t="s">
        <v>34</v>
      </c>
      <c r="G5109" s="364">
        <v>89464</v>
      </c>
      <c r="H5109" s="475" t="s">
        <v>4247</v>
      </c>
      <c r="I5109" s="475" t="s">
        <v>322</v>
      </c>
      <c r="J5109" s="475" t="s">
        <v>337</v>
      </c>
      <c r="K5109" s="365">
        <v>75.599999999999994</v>
      </c>
      <c r="L5109" s="475" t="s">
        <v>141</v>
      </c>
      <c r="M5109" s="473"/>
    </row>
    <row r="5110" spans="1:13" ht="13.5">
      <c r="A5110" s="475" t="s">
        <v>5593</v>
      </c>
      <c r="B5110" s="475" t="s">
        <v>5594</v>
      </c>
      <c r="C5110" s="475" t="s">
        <v>5601</v>
      </c>
      <c r="D5110" s="475" t="s">
        <v>5602</v>
      </c>
      <c r="E5110" s="476" t="s">
        <v>34</v>
      </c>
      <c r="F5110" s="475" t="s">
        <v>34</v>
      </c>
      <c r="G5110" s="364">
        <v>89465</v>
      </c>
      <c r="H5110" s="475" t="s">
        <v>4248</v>
      </c>
      <c r="I5110" s="475" t="s">
        <v>322</v>
      </c>
      <c r="J5110" s="475" t="s">
        <v>337</v>
      </c>
      <c r="K5110" s="365">
        <v>72.97</v>
      </c>
      <c r="L5110" s="475" t="s">
        <v>141</v>
      </c>
      <c r="M5110" s="473"/>
    </row>
    <row r="5111" spans="1:13" ht="13.5">
      <c r="A5111" s="475" t="s">
        <v>5593</v>
      </c>
      <c r="B5111" s="475" t="s">
        <v>5594</v>
      </c>
      <c r="C5111" s="475" t="s">
        <v>5601</v>
      </c>
      <c r="D5111" s="475" t="s">
        <v>5602</v>
      </c>
      <c r="E5111" s="476" t="s">
        <v>34</v>
      </c>
      <c r="F5111" s="475" t="s">
        <v>34</v>
      </c>
      <c r="G5111" s="364">
        <v>89466</v>
      </c>
      <c r="H5111" s="475" t="s">
        <v>4249</v>
      </c>
      <c r="I5111" s="475" t="s">
        <v>322</v>
      </c>
      <c r="J5111" s="475" t="s">
        <v>337</v>
      </c>
      <c r="K5111" s="365">
        <v>61.29</v>
      </c>
      <c r="L5111" s="475" t="s">
        <v>141</v>
      </c>
      <c r="M5111" s="473"/>
    </row>
    <row r="5112" spans="1:13" ht="13.5">
      <c r="A5112" s="475" t="s">
        <v>5593</v>
      </c>
      <c r="B5112" s="475" t="s">
        <v>5594</v>
      </c>
      <c r="C5112" s="475" t="s">
        <v>5601</v>
      </c>
      <c r="D5112" s="475" t="s">
        <v>5602</v>
      </c>
      <c r="E5112" s="476" t="s">
        <v>34</v>
      </c>
      <c r="F5112" s="475" t="s">
        <v>34</v>
      </c>
      <c r="G5112" s="364">
        <v>89467</v>
      </c>
      <c r="H5112" s="475" t="s">
        <v>4250</v>
      </c>
      <c r="I5112" s="475" t="s">
        <v>322</v>
      </c>
      <c r="J5112" s="475" t="s">
        <v>337</v>
      </c>
      <c r="K5112" s="365">
        <v>57.39</v>
      </c>
      <c r="L5112" s="475" t="s">
        <v>141</v>
      </c>
      <c r="M5112" s="473"/>
    </row>
    <row r="5113" spans="1:13" ht="13.5">
      <c r="A5113" s="475" t="s">
        <v>5593</v>
      </c>
      <c r="B5113" s="475" t="s">
        <v>5594</v>
      </c>
      <c r="C5113" s="475" t="s">
        <v>5601</v>
      </c>
      <c r="D5113" s="475" t="s">
        <v>5602</v>
      </c>
      <c r="E5113" s="476" t="s">
        <v>34</v>
      </c>
      <c r="F5113" s="475" t="s">
        <v>34</v>
      </c>
      <c r="G5113" s="364">
        <v>89468</v>
      </c>
      <c r="H5113" s="475" t="s">
        <v>4251</v>
      </c>
      <c r="I5113" s="475" t="s">
        <v>322</v>
      </c>
      <c r="J5113" s="475" t="s">
        <v>337</v>
      </c>
      <c r="K5113" s="365">
        <v>79.98</v>
      </c>
      <c r="L5113" s="475" t="s">
        <v>141</v>
      </c>
      <c r="M5113" s="473"/>
    </row>
    <row r="5114" spans="1:13" ht="13.5">
      <c r="A5114" s="475" t="s">
        <v>5593</v>
      </c>
      <c r="B5114" s="475" t="s">
        <v>5594</v>
      </c>
      <c r="C5114" s="475" t="s">
        <v>5601</v>
      </c>
      <c r="D5114" s="475" t="s">
        <v>5602</v>
      </c>
      <c r="E5114" s="476" t="s">
        <v>34</v>
      </c>
      <c r="F5114" s="475" t="s">
        <v>34</v>
      </c>
      <c r="G5114" s="364">
        <v>89469</v>
      </c>
      <c r="H5114" s="475" t="s">
        <v>4252</v>
      </c>
      <c r="I5114" s="475" t="s">
        <v>322</v>
      </c>
      <c r="J5114" s="475" t="s">
        <v>337</v>
      </c>
      <c r="K5114" s="365">
        <v>75.36</v>
      </c>
      <c r="L5114" s="475" t="s">
        <v>141</v>
      </c>
      <c r="M5114" s="473"/>
    </row>
    <row r="5115" spans="1:13" ht="13.5">
      <c r="A5115" s="475" t="s">
        <v>5593</v>
      </c>
      <c r="B5115" s="475" t="s">
        <v>5594</v>
      </c>
      <c r="C5115" s="475" t="s">
        <v>5601</v>
      </c>
      <c r="D5115" s="475" t="s">
        <v>5602</v>
      </c>
      <c r="E5115" s="476" t="s">
        <v>34</v>
      </c>
      <c r="F5115" s="475" t="s">
        <v>34</v>
      </c>
      <c r="G5115" s="364">
        <v>89470</v>
      </c>
      <c r="H5115" s="475" t="s">
        <v>4253</v>
      </c>
      <c r="I5115" s="475" t="s">
        <v>322</v>
      </c>
      <c r="J5115" s="475" t="s">
        <v>337</v>
      </c>
      <c r="K5115" s="365">
        <v>61.26</v>
      </c>
      <c r="L5115" s="475" t="s">
        <v>141</v>
      </c>
      <c r="M5115" s="473"/>
    </row>
    <row r="5116" spans="1:13" ht="13.5">
      <c r="A5116" s="475" t="s">
        <v>5593</v>
      </c>
      <c r="B5116" s="475" t="s">
        <v>5594</v>
      </c>
      <c r="C5116" s="475" t="s">
        <v>5601</v>
      </c>
      <c r="D5116" s="475" t="s">
        <v>5602</v>
      </c>
      <c r="E5116" s="476" t="s">
        <v>34</v>
      </c>
      <c r="F5116" s="475" t="s">
        <v>34</v>
      </c>
      <c r="G5116" s="364">
        <v>89471</v>
      </c>
      <c r="H5116" s="475" t="s">
        <v>4254</v>
      </c>
      <c r="I5116" s="475" t="s">
        <v>322</v>
      </c>
      <c r="J5116" s="475" t="s">
        <v>337</v>
      </c>
      <c r="K5116" s="365">
        <v>58.83</v>
      </c>
      <c r="L5116" s="475" t="s">
        <v>141</v>
      </c>
      <c r="M5116" s="473"/>
    </row>
    <row r="5117" spans="1:13" ht="13.5">
      <c r="A5117" s="475" t="s">
        <v>5593</v>
      </c>
      <c r="B5117" s="475" t="s">
        <v>5594</v>
      </c>
      <c r="C5117" s="475" t="s">
        <v>5601</v>
      </c>
      <c r="D5117" s="475" t="s">
        <v>5602</v>
      </c>
      <c r="E5117" s="476" t="s">
        <v>34</v>
      </c>
      <c r="F5117" s="475" t="s">
        <v>34</v>
      </c>
      <c r="G5117" s="364">
        <v>89472</v>
      </c>
      <c r="H5117" s="475" t="s">
        <v>4255</v>
      </c>
      <c r="I5117" s="475" t="s">
        <v>322</v>
      </c>
      <c r="J5117" s="475" t="s">
        <v>337</v>
      </c>
      <c r="K5117" s="365">
        <v>71.92</v>
      </c>
      <c r="L5117" s="475" t="s">
        <v>141</v>
      </c>
      <c r="M5117" s="473"/>
    </row>
    <row r="5118" spans="1:13" ht="13.5">
      <c r="A5118" s="475" t="s">
        <v>5593</v>
      </c>
      <c r="B5118" s="475" t="s">
        <v>5594</v>
      </c>
      <c r="C5118" s="475" t="s">
        <v>5601</v>
      </c>
      <c r="D5118" s="475" t="s">
        <v>5602</v>
      </c>
      <c r="E5118" s="476" t="s">
        <v>34</v>
      </c>
      <c r="F5118" s="475" t="s">
        <v>34</v>
      </c>
      <c r="G5118" s="364">
        <v>89473</v>
      </c>
      <c r="H5118" s="475" t="s">
        <v>4256</v>
      </c>
      <c r="I5118" s="475" t="s">
        <v>322</v>
      </c>
      <c r="J5118" s="475" t="s">
        <v>337</v>
      </c>
      <c r="K5118" s="365">
        <v>69.16</v>
      </c>
      <c r="L5118" s="475" t="s">
        <v>141</v>
      </c>
      <c r="M5118" s="473"/>
    </row>
    <row r="5119" spans="1:13" ht="13.5">
      <c r="A5119" s="475" t="s">
        <v>5593</v>
      </c>
      <c r="B5119" s="475" t="s">
        <v>5594</v>
      </c>
      <c r="C5119" s="475" t="s">
        <v>5601</v>
      </c>
      <c r="D5119" s="475" t="s">
        <v>5602</v>
      </c>
      <c r="E5119" s="476" t="s">
        <v>34</v>
      </c>
      <c r="F5119" s="475" t="s">
        <v>34</v>
      </c>
      <c r="G5119" s="364">
        <v>89474</v>
      </c>
      <c r="H5119" s="475" t="s">
        <v>4257</v>
      </c>
      <c r="I5119" s="475" t="s">
        <v>322</v>
      </c>
      <c r="J5119" s="475" t="s">
        <v>337</v>
      </c>
      <c r="K5119" s="365">
        <v>67.7</v>
      </c>
      <c r="L5119" s="475" t="s">
        <v>141</v>
      </c>
      <c r="M5119" s="473"/>
    </row>
    <row r="5120" spans="1:13" ht="13.5">
      <c r="A5120" s="475" t="s">
        <v>5593</v>
      </c>
      <c r="B5120" s="475" t="s">
        <v>5594</v>
      </c>
      <c r="C5120" s="475" t="s">
        <v>5601</v>
      </c>
      <c r="D5120" s="475" t="s">
        <v>5602</v>
      </c>
      <c r="E5120" s="476" t="s">
        <v>34</v>
      </c>
      <c r="F5120" s="475" t="s">
        <v>34</v>
      </c>
      <c r="G5120" s="364">
        <v>89475</v>
      </c>
      <c r="H5120" s="475" t="s">
        <v>4258</v>
      </c>
      <c r="I5120" s="475" t="s">
        <v>322</v>
      </c>
      <c r="J5120" s="475" t="s">
        <v>337</v>
      </c>
      <c r="K5120" s="365">
        <v>62.42</v>
      </c>
      <c r="L5120" s="475" t="s">
        <v>141</v>
      </c>
      <c r="M5120" s="473"/>
    </row>
    <row r="5121" spans="1:13" ht="13.5">
      <c r="A5121" s="475" t="s">
        <v>5593</v>
      </c>
      <c r="B5121" s="475" t="s">
        <v>5594</v>
      </c>
      <c r="C5121" s="475" t="s">
        <v>5601</v>
      </c>
      <c r="D5121" s="475" t="s">
        <v>5602</v>
      </c>
      <c r="E5121" s="476" t="s">
        <v>34</v>
      </c>
      <c r="F5121" s="475" t="s">
        <v>34</v>
      </c>
      <c r="G5121" s="364">
        <v>89476</v>
      </c>
      <c r="H5121" s="475" t="s">
        <v>4259</v>
      </c>
      <c r="I5121" s="475" t="s">
        <v>322</v>
      </c>
      <c r="J5121" s="475" t="s">
        <v>337</v>
      </c>
      <c r="K5121" s="365">
        <v>79.760000000000005</v>
      </c>
      <c r="L5121" s="475" t="s">
        <v>141</v>
      </c>
      <c r="M5121" s="473"/>
    </row>
    <row r="5122" spans="1:13" ht="13.5">
      <c r="A5122" s="475" t="s">
        <v>5593</v>
      </c>
      <c r="B5122" s="475" t="s">
        <v>5594</v>
      </c>
      <c r="C5122" s="475" t="s">
        <v>5601</v>
      </c>
      <c r="D5122" s="475" t="s">
        <v>5602</v>
      </c>
      <c r="E5122" s="476" t="s">
        <v>34</v>
      </c>
      <c r="F5122" s="475" t="s">
        <v>34</v>
      </c>
      <c r="G5122" s="364">
        <v>89477</v>
      </c>
      <c r="H5122" s="475" t="s">
        <v>4260</v>
      </c>
      <c r="I5122" s="475" t="s">
        <v>322</v>
      </c>
      <c r="J5122" s="475" t="s">
        <v>337</v>
      </c>
      <c r="K5122" s="365">
        <v>73.83</v>
      </c>
      <c r="L5122" s="475" t="s">
        <v>141</v>
      </c>
      <c r="M5122" s="473"/>
    </row>
    <row r="5123" spans="1:13" ht="13.5">
      <c r="A5123" s="475" t="s">
        <v>5593</v>
      </c>
      <c r="B5123" s="475" t="s">
        <v>5594</v>
      </c>
      <c r="C5123" s="475" t="s">
        <v>5601</v>
      </c>
      <c r="D5123" s="475" t="s">
        <v>5602</v>
      </c>
      <c r="E5123" s="476" t="s">
        <v>34</v>
      </c>
      <c r="F5123" s="475" t="s">
        <v>34</v>
      </c>
      <c r="G5123" s="364">
        <v>89478</v>
      </c>
      <c r="H5123" s="475" t="s">
        <v>4261</v>
      </c>
      <c r="I5123" s="475" t="s">
        <v>322</v>
      </c>
      <c r="J5123" s="475" t="s">
        <v>337</v>
      </c>
      <c r="K5123" s="365">
        <v>69.14</v>
      </c>
      <c r="L5123" s="475" t="s">
        <v>141</v>
      </c>
      <c r="M5123" s="473"/>
    </row>
    <row r="5124" spans="1:13" ht="13.5">
      <c r="A5124" s="475" t="s">
        <v>5593</v>
      </c>
      <c r="B5124" s="475" t="s">
        <v>5594</v>
      </c>
      <c r="C5124" s="475" t="s">
        <v>5601</v>
      </c>
      <c r="D5124" s="475" t="s">
        <v>5602</v>
      </c>
      <c r="E5124" s="476" t="s">
        <v>34</v>
      </c>
      <c r="F5124" s="475" t="s">
        <v>34</v>
      </c>
      <c r="G5124" s="364">
        <v>89479</v>
      </c>
      <c r="H5124" s="475" t="s">
        <v>4262</v>
      </c>
      <c r="I5124" s="475" t="s">
        <v>322</v>
      </c>
      <c r="J5124" s="475" t="s">
        <v>337</v>
      </c>
      <c r="K5124" s="365">
        <v>66.92</v>
      </c>
      <c r="L5124" s="475" t="s">
        <v>141</v>
      </c>
      <c r="M5124" s="473"/>
    </row>
    <row r="5125" spans="1:13" ht="13.5">
      <c r="A5125" s="475" t="s">
        <v>5593</v>
      </c>
      <c r="B5125" s="475" t="s">
        <v>5594</v>
      </c>
      <c r="C5125" s="475" t="s">
        <v>5601</v>
      </c>
      <c r="D5125" s="475" t="s">
        <v>5602</v>
      </c>
      <c r="E5125" s="476" t="s">
        <v>34</v>
      </c>
      <c r="F5125" s="475" t="s">
        <v>34</v>
      </c>
      <c r="G5125" s="364">
        <v>89480</v>
      </c>
      <c r="H5125" s="475" t="s">
        <v>4263</v>
      </c>
      <c r="I5125" s="475" t="s">
        <v>322</v>
      </c>
      <c r="J5125" s="475" t="s">
        <v>337</v>
      </c>
      <c r="K5125" s="365">
        <v>86.66</v>
      </c>
      <c r="L5125" s="475" t="s">
        <v>141</v>
      </c>
      <c r="M5125" s="473"/>
    </row>
    <row r="5126" spans="1:13" ht="13.5">
      <c r="A5126" s="475" t="s">
        <v>5593</v>
      </c>
      <c r="B5126" s="475" t="s">
        <v>5594</v>
      </c>
      <c r="C5126" s="475" t="s">
        <v>5601</v>
      </c>
      <c r="D5126" s="475" t="s">
        <v>5602</v>
      </c>
      <c r="E5126" s="476" t="s">
        <v>34</v>
      </c>
      <c r="F5126" s="475" t="s">
        <v>34</v>
      </c>
      <c r="G5126" s="364">
        <v>89483</v>
      </c>
      <c r="H5126" s="475" t="s">
        <v>4264</v>
      </c>
      <c r="I5126" s="475" t="s">
        <v>322</v>
      </c>
      <c r="J5126" s="475" t="s">
        <v>337</v>
      </c>
      <c r="K5126" s="365">
        <v>84.22</v>
      </c>
      <c r="L5126" s="475" t="s">
        <v>141</v>
      </c>
      <c r="M5126" s="473"/>
    </row>
    <row r="5127" spans="1:13" ht="13.5">
      <c r="A5127" s="475" t="s">
        <v>5593</v>
      </c>
      <c r="B5127" s="475" t="s">
        <v>5594</v>
      </c>
      <c r="C5127" s="475" t="s">
        <v>5601</v>
      </c>
      <c r="D5127" s="475" t="s">
        <v>5602</v>
      </c>
      <c r="E5127" s="476" t="s">
        <v>34</v>
      </c>
      <c r="F5127" s="475" t="s">
        <v>34</v>
      </c>
      <c r="G5127" s="364">
        <v>89484</v>
      </c>
      <c r="H5127" s="475" t="s">
        <v>4265</v>
      </c>
      <c r="I5127" s="475" t="s">
        <v>322</v>
      </c>
      <c r="J5127" s="475" t="s">
        <v>337</v>
      </c>
      <c r="K5127" s="365">
        <v>75.849999999999994</v>
      </c>
      <c r="L5127" s="475" t="s">
        <v>141</v>
      </c>
      <c r="M5127" s="473"/>
    </row>
    <row r="5128" spans="1:13" ht="13.5">
      <c r="A5128" s="475" t="s">
        <v>5593</v>
      </c>
      <c r="B5128" s="475" t="s">
        <v>5594</v>
      </c>
      <c r="C5128" s="475" t="s">
        <v>5601</v>
      </c>
      <c r="D5128" s="475" t="s">
        <v>5602</v>
      </c>
      <c r="E5128" s="476" t="s">
        <v>34</v>
      </c>
      <c r="F5128" s="475" t="s">
        <v>34</v>
      </c>
      <c r="G5128" s="364">
        <v>89486</v>
      </c>
      <c r="H5128" s="475" t="s">
        <v>4266</v>
      </c>
      <c r="I5128" s="475" t="s">
        <v>322</v>
      </c>
      <c r="J5128" s="475" t="s">
        <v>337</v>
      </c>
      <c r="K5128" s="365">
        <v>70.75</v>
      </c>
      <c r="L5128" s="475" t="s">
        <v>141</v>
      </c>
      <c r="M5128" s="473"/>
    </row>
    <row r="5129" spans="1:13" ht="13.5">
      <c r="A5129" s="475" t="s">
        <v>5593</v>
      </c>
      <c r="B5129" s="475" t="s">
        <v>5594</v>
      </c>
      <c r="C5129" s="475" t="s">
        <v>5601</v>
      </c>
      <c r="D5129" s="475" t="s">
        <v>5602</v>
      </c>
      <c r="E5129" s="476" t="s">
        <v>34</v>
      </c>
      <c r="F5129" s="475" t="s">
        <v>34</v>
      </c>
      <c r="G5129" s="364">
        <v>89487</v>
      </c>
      <c r="H5129" s="475" t="s">
        <v>4267</v>
      </c>
      <c r="I5129" s="475" t="s">
        <v>322</v>
      </c>
      <c r="J5129" s="475" t="s">
        <v>337</v>
      </c>
      <c r="K5129" s="365">
        <v>94.3</v>
      </c>
      <c r="L5129" s="475" t="s">
        <v>141</v>
      </c>
      <c r="M5129" s="473"/>
    </row>
    <row r="5130" spans="1:13" ht="13.5">
      <c r="A5130" s="475" t="s">
        <v>5593</v>
      </c>
      <c r="B5130" s="475" t="s">
        <v>5594</v>
      </c>
      <c r="C5130" s="475" t="s">
        <v>5601</v>
      </c>
      <c r="D5130" s="475" t="s">
        <v>5602</v>
      </c>
      <c r="E5130" s="476" t="s">
        <v>34</v>
      </c>
      <c r="F5130" s="475" t="s">
        <v>34</v>
      </c>
      <c r="G5130" s="364">
        <v>89488</v>
      </c>
      <c r="H5130" s="475" t="s">
        <v>4268</v>
      </c>
      <c r="I5130" s="475" t="s">
        <v>322</v>
      </c>
      <c r="J5130" s="475" t="s">
        <v>337</v>
      </c>
      <c r="K5130" s="365">
        <v>88.48</v>
      </c>
      <c r="L5130" s="475" t="s">
        <v>141</v>
      </c>
      <c r="M5130" s="473"/>
    </row>
    <row r="5131" spans="1:13" ht="13.5">
      <c r="A5131" s="475" t="s">
        <v>5593</v>
      </c>
      <c r="B5131" s="475" t="s">
        <v>5594</v>
      </c>
      <c r="C5131" s="475" t="s">
        <v>5601</v>
      </c>
      <c r="D5131" s="475" t="s">
        <v>5602</v>
      </c>
      <c r="E5131" s="476" t="s">
        <v>34</v>
      </c>
      <c r="F5131" s="475" t="s">
        <v>34</v>
      </c>
      <c r="G5131" s="364">
        <v>91815</v>
      </c>
      <c r="H5131" s="475" t="s">
        <v>4269</v>
      </c>
      <c r="I5131" s="475" t="s">
        <v>322</v>
      </c>
      <c r="J5131" s="475" t="s">
        <v>337</v>
      </c>
      <c r="K5131" s="365">
        <v>49.99</v>
      </c>
      <c r="L5131" s="475" t="s">
        <v>141</v>
      </c>
      <c r="M5131" s="473"/>
    </row>
    <row r="5132" spans="1:13" ht="13.5">
      <c r="A5132" s="475" t="s">
        <v>5593</v>
      </c>
      <c r="B5132" s="475" t="s">
        <v>5594</v>
      </c>
      <c r="C5132" s="475" t="s">
        <v>5601</v>
      </c>
      <c r="D5132" s="475" t="s">
        <v>5602</v>
      </c>
      <c r="E5132" s="476" t="s">
        <v>34</v>
      </c>
      <c r="F5132" s="475" t="s">
        <v>34</v>
      </c>
      <c r="G5132" s="364">
        <v>91816</v>
      </c>
      <c r="H5132" s="475" t="s">
        <v>4270</v>
      </c>
      <c r="I5132" s="475" t="s">
        <v>322</v>
      </c>
      <c r="J5132" s="475" t="s">
        <v>337</v>
      </c>
      <c r="K5132" s="365">
        <v>57.81</v>
      </c>
      <c r="L5132" s="475" t="s">
        <v>141</v>
      </c>
      <c r="M5132" s="473"/>
    </row>
    <row r="5133" spans="1:13" ht="13.5">
      <c r="A5133" s="475" t="s">
        <v>5593</v>
      </c>
      <c r="B5133" s="475" t="s">
        <v>5594</v>
      </c>
      <c r="C5133" s="475" t="s">
        <v>5604</v>
      </c>
      <c r="D5133" s="475" t="s">
        <v>5605</v>
      </c>
      <c r="E5133" s="476" t="s">
        <v>34</v>
      </c>
      <c r="F5133" s="475" t="s">
        <v>34</v>
      </c>
      <c r="G5133" s="364">
        <v>72139</v>
      </c>
      <c r="H5133" s="475" t="s">
        <v>4271</v>
      </c>
      <c r="I5133" s="475" t="s">
        <v>322</v>
      </c>
      <c r="J5133" s="475" t="s">
        <v>337</v>
      </c>
      <c r="K5133" s="365">
        <v>418.52</v>
      </c>
      <c r="L5133" s="475" t="s">
        <v>141</v>
      </c>
      <c r="M5133" s="473"/>
    </row>
    <row r="5134" spans="1:13" ht="13.5">
      <c r="A5134" s="475" t="s">
        <v>5593</v>
      </c>
      <c r="B5134" s="475" t="s">
        <v>5594</v>
      </c>
      <c r="C5134" s="475" t="s">
        <v>5604</v>
      </c>
      <c r="D5134" s="475" t="s">
        <v>5605</v>
      </c>
      <c r="E5134" s="476" t="s">
        <v>34</v>
      </c>
      <c r="F5134" s="475" t="s">
        <v>34</v>
      </c>
      <c r="G5134" s="364">
        <v>72175</v>
      </c>
      <c r="H5134" s="475" t="s">
        <v>4272</v>
      </c>
      <c r="I5134" s="475" t="s">
        <v>322</v>
      </c>
      <c r="J5134" s="475" t="s">
        <v>337</v>
      </c>
      <c r="K5134" s="365">
        <v>421.52</v>
      </c>
      <c r="L5134" s="475" t="s">
        <v>141</v>
      </c>
      <c r="M5134" s="473"/>
    </row>
    <row r="5135" spans="1:13" ht="13.5">
      <c r="A5135" s="475" t="s">
        <v>5593</v>
      </c>
      <c r="B5135" s="475" t="s">
        <v>5594</v>
      </c>
      <c r="C5135" s="475" t="s">
        <v>5604</v>
      </c>
      <c r="D5135" s="475" t="s">
        <v>5605</v>
      </c>
      <c r="E5135" s="476" t="s">
        <v>34</v>
      </c>
      <c r="F5135" s="475" t="s">
        <v>34</v>
      </c>
      <c r="G5135" s="364">
        <v>72176</v>
      </c>
      <c r="H5135" s="475" t="s">
        <v>4273</v>
      </c>
      <c r="I5135" s="475" t="s">
        <v>322</v>
      </c>
      <c r="J5135" s="475" t="s">
        <v>337</v>
      </c>
      <c r="K5135" s="365">
        <v>424.52</v>
      </c>
      <c r="L5135" s="475" t="s">
        <v>141</v>
      </c>
      <c r="M5135" s="473"/>
    </row>
    <row r="5136" spans="1:13" ht="13.5">
      <c r="A5136" s="475" t="s">
        <v>5593</v>
      </c>
      <c r="B5136" s="475" t="s">
        <v>5594</v>
      </c>
      <c r="C5136" s="475" t="s">
        <v>5606</v>
      </c>
      <c r="D5136" s="475" t="s">
        <v>5607</v>
      </c>
      <c r="E5136" s="476" t="s">
        <v>34</v>
      </c>
      <c r="F5136" s="475" t="s">
        <v>34</v>
      </c>
      <c r="G5136" s="364">
        <v>72178</v>
      </c>
      <c r="H5136" s="475" t="s">
        <v>4274</v>
      </c>
      <c r="I5136" s="475" t="s">
        <v>322</v>
      </c>
      <c r="J5136" s="475" t="s">
        <v>337</v>
      </c>
      <c r="K5136" s="365">
        <v>22.99</v>
      </c>
      <c r="L5136" s="475" t="s">
        <v>141</v>
      </c>
      <c r="M5136" s="473"/>
    </row>
    <row r="5137" spans="1:13" ht="13.5">
      <c r="A5137" s="475" t="s">
        <v>5593</v>
      </c>
      <c r="B5137" s="475" t="s">
        <v>5594</v>
      </c>
      <c r="C5137" s="475" t="s">
        <v>5606</v>
      </c>
      <c r="D5137" s="475" t="s">
        <v>5607</v>
      </c>
      <c r="E5137" s="476" t="s">
        <v>34</v>
      </c>
      <c r="F5137" s="475" t="s">
        <v>34</v>
      </c>
      <c r="G5137" s="364">
        <v>72179</v>
      </c>
      <c r="H5137" s="475" t="s">
        <v>4275</v>
      </c>
      <c r="I5137" s="475" t="s">
        <v>322</v>
      </c>
      <c r="J5137" s="475" t="s">
        <v>363</v>
      </c>
      <c r="K5137" s="365">
        <v>48.17</v>
      </c>
      <c r="L5137" s="475" t="s">
        <v>141</v>
      </c>
      <c r="M5137" s="473"/>
    </row>
    <row r="5138" spans="1:13" ht="13.5">
      <c r="A5138" s="475" t="s">
        <v>5593</v>
      </c>
      <c r="B5138" s="475" t="s">
        <v>5594</v>
      </c>
      <c r="C5138" s="475" t="s">
        <v>5606</v>
      </c>
      <c r="D5138" s="475" t="s">
        <v>5607</v>
      </c>
      <c r="E5138" s="476" t="s">
        <v>34</v>
      </c>
      <c r="F5138" s="475" t="s">
        <v>34</v>
      </c>
      <c r="G5138" s="364">
        <v>72180</v>
      </c>
      <c r="H5138" s="475" t="s">
        <v>4276</v>
      </c>
      <c r="I5138" s="475" t="s">
        <v>322</v>
      </c>
      <c r="J5138" s="475" t="s">
        <v>337</v>
      </c>
      <c r="K5138" s="365">
        <v>14.19</v>
      </c>
      <c r="L5138" s="475" t="s">
        <v>141</v>
      </c>
      <c r="M5138" s="473"/>
    </row>
    <row r="5139" spans="1:13" ht="13.5">
      <c r="A5139" s="475" t="s">
        <v>5593</v>
      </c>
      <c r="B5139" s="475" t="s">
        <v>5594</v>
      </c>
      <c r="C5139" s="475" t="s">
        <v>5606</v>
      </c>
      <c r="D5139" s="475" t="s">
        <v>5607</v>
      </c>
      <c r="E5139" s="476" t="s">
        <v>34</v>
      </c>
      <c r="F5139" s="475" t="s">
        <v>34</v>
      </c>
      <c r="G5139" s="364">
        <v>72181</v>
      </c>
      <c r="H5139" s="475" t="s">
        <v>4277</v>
      </c>
      <c r="I5139" s="475" t="s">
        <v>322</v>
      </c>
      <c r="J5139" s="475" t="s">
        <v>337</v>
      </c>
      <c r="K5139" s="365">
        <v>28.79</v>
      </c>
      <c r="L5139" s="475" t="s">
        <v>141</v>
      </c>
      <c r="M5139" s="473"/>
    </row>
    <row r="5140" spans="1:13" ht="13.5">
      <c r="A5140" s="475" t="s">
        <v>5593</v>
      </c>
      <c r="B5140" s="475" t="s">
        <v>5594</v>
      </c>
      <c r="C5140" s="475" t="s">
        <v>5606</v>
      </c>
      <c r="D5140" s="475" t="s">
        <v>5607</v>
      </c>
      <c r="E5140" s="476">
        <v>73774</v>
      </c>
      <c r="F5140" s="475" t="s">
        <v>5608</v>
      </c>
      <c r="G5140" s="364" t="s">
        <v>4278</v>
      </c>
      <c r="H5140" s="475" t="s">
        <v>4279</v>
      </c>
      <c r="I5140" s="475" t="s">
        <v>322</v>
      </c>
      <c r="J5140" s="475" t="s">
        <v>337</v>
      </c>
      <c r="K5140" s="365">
        <v>250.89</v>
      </c>
      <c r="L5140" s="475" t="s">
        <v>141</v>
      </c>
      <c r="M5140" s="473"/>
    </row>
    <row r="5141" spans="1:13" ht="13.5">
      <c r="A5141" s="475" t="s">
        <v>5593</v>
      </c>
      <c r="B5141" s="475" t="s">
        <v>5594</v>
      </c>
      <c r="C5141" s="475" t="s">
        <v>5606</v>
      </c>
      <c r="D5141" s="475" t="s">
        <v>5607</v>
      </c>
      <c r="E5141" s="476">
        <v>73909</v>
      </c>
      <c r="F5141" s="475" t="s">
        <v>5609</v>
      </c>
      <c r="G5141" s="364" t="s">
        <v>4280</v>
      </c>
      <c r="H5141" s="475" t="s">
        <v>4281</v>
      </c>
      <c r="I5141" s="475" t="s">
        <v>322</v>
      </c>
      <c r="J5141" s="475" t="s">
        <v>337</v>
      </c>
      <c r="K5141" s="365">
        <v>209.53</v>
      </c>
      <c r="L5141" s="475" t="s">
        <v>141</v>
      </c>
      <c r="M5141" s="473"/>
    </row>
    <row r="5142" spans="1:13" ht="13.5">
      <c r="A5142" s="475" t="s">
        <v>5593</v>
      </c>
      <c r="B5142" s="475" t="s">
        <v>5594</v>
      </c>
      <c r="C5142" s="475" t="s">
        <v>5606</v>
      </c>
      <c r="D5142" s="475" t="s">
        <v>5607</v>
      </c>
      <c r="E5142" s="476">
        <v>74229</v>
      </c>
      <c r="F5142" s="475" t="s">
        <v>5610</v>
      </c>
      <c r="G5142" s="364" t="s">
        <v>4282</v>
      </c>
      <c r="H5142" s="475" t="s">
        <v>4283</v>
      </c>
      <c r="I5142" s="475" t="s">
        <v>322</v>
      </c>
      <c r="J5142" s="475" t="s">
        <v>337</v>
      </c>
      <c r="K5142" s="365">
        <v>372.71</v>
      </c>
      <c r="L5142" s="475" t="s">
        <v>141</v>
      </c>
      <c r="M5142" s="473"/>
    </row>
    <row r="5143" spans="1:13" ht="13.5">
      <c r="A5143" s="475" t="s">
        <v>5593</v>
      </c>
      <c r="B5143" s="475" t="s">
        <v>5594</v>
      </c>
      <c r="C5143" s="475" t="s">
        <v>5606</v>
      </c>
      <c r="D5143" s="475" t="s">
        <v>5607</v>
      </c>
      <c r="E5143" s="476" t="s">
        <v>34</v>
      </c>
      <c r="F5143" s="475" t="s">
        <v>34</v>
      </c>
      <c r="G5143" s="364">
        <v>79627</v>
      </c>
      <c r="H5143" s="475" t="s">
        <v>4284</v>
      </c>
      <c r="I5143" s="475" t="s">
        <v>322</v>
      </c>
      <c r="J5143" s="475" t="s">
        <v>337</v>
      </c>
      <c r="K5143" s="365">
        <v>665.65</v>
      </c>
      <c r="L5143" s="475" t="s">
        <v>141</v>
      </c>
      <c r="M5143" s="473"/>
    </row>
    <row r="5144" spans="1:13" ht="13.5">
      <c r="A5144" s="475" t="s">
        <v>5593</v>
      </c>
      <c r="B5144" s="475" t="s">
        <v>5594</v>
      </c>
      <c r="C5144" s="475" t="s">
        <v>5606</v>
      </c>
      <c r="D5144" s="475" t="s">
        <v>5607</v>
      </c>
      <c r="E5144" s="476" t="s">
        <v>34</v>
      </c>
      <c r="F5144" s="475" t="s">
        <v>34</v>
      </c>
      <c r="G5144" s="364">
        <v>96358</v>
      </c>
      <c r="H5144" s="475" t="s">
        <v>4285</v>
      </c>
      <c r="I5144" s="475" t="s">
        <v>322</v>
      </c>
      <c r="J5144" s="475" t="s">
        <v>140</v>
      </c>
      <c r="K5144" s="365">
        <v>76.489999999999995</v>
      </c>
      <c r="L5144" s="475" t="s">
        <v>141</v>
      </c>
      <c r="M5144" s="473"/>
    </row>
    <row r="5145" spans="1:13" ht="13.5">
      <c r="A5145" s="475" t="s">
        <v>5593</v>
      </c>
      <c r="B5145" s="475" t="s">
        <v>5594</v>
      </c>
      <c r="C5145" s="475" t="s">
        <v>5606</v>
      </c>
      <c r="D5145" s="475" t="s">
        <v>5607</v>
      </c>
      <c r="E5145" s="476" t="s">
        <v>34</v>
      </c>
      <c r="F5145" s="475" t="s">
        <v>34</v>
      </c>
      <c r="G5145" s="364">
        <v>96359</v>
      </c>
      <c r="H5145" s="475" t="s">
        <v>4286</v>
      </c>
      <c r="I5145" s="475" t="s">
        <v>322</v>
      </c>
      <c r="J5145" s="475" t="s">
        <v>140</v>
      </c>
      <c r="K5145" s="365">
        <v>83.12</v>
      </c>
      <c r="L5145" s="475" t="s">
        <v>141</v>
      </c>
      <c r="M5145" s="473"/>
    </row>
    <row r="5146" spans="1:13" ht="13.5">
      <c r="A5146" s="475" t="s">
        <v>5593</v>
      </c>
      <c r="B5146" s="475" t="s">
        <v>5594</v>
      </c>
      <c r="C5146" s="475" t="s">
        <v>5606</v>
      </c>
      <c r="D5146" s="475" t="s">
        <v>5607</v>
      </c>
      <c r="E5146" s="476" t="s">
        <v>34</v>
      </c>
      <c r="F5146" s="475" t="s">
        <v>34</v>
      </c>
      <c r="G5146" s="364">
        <v>96360</v>
      </c>
      <c r="H5146" s="475" t="s">
        <v>4287</v>
      </c>
      <c r="I5146" s="475" t="s">
        <v>322</v>
      </c>
      <c r="J5146" s="475" t="s">
        <v>140</v>
      </c>
      <c r="K5146" s="365">
        <v>94.47</v>
      </c>
      <c r="L5146" s="475" t="s">
        <v>141</v>
      </c>
      <c r="M5146" s="473"/>
    </row>
    <row r="5147" spans="1:13" ht="13.5">
      <c r="A5147" s="475" t="s">
        <v>5593</v>
      </c>
      <c r="B5147" s="475" t="s">
        <v>5594</v>
      </c>
      <c r="C5147" s="475" t="s">
        <v>5606</v>
      </c>
      <c r="D5147" s="475" t="s">
        <v>5607</v>
      </c>
      <c r="E5147" s="476" t="s">
        <v>34</v>
      </c>
      <c r="F5147" s="475" t="s">
        <v>34</v>
      </c>
      <c r="G5147" s="364">
        <v>96361</v>
      </c>
      <c r="H5147" s="475" t="s">
        <v>4288</v>
      </c>
      <c r="I5147" s="475" t="s">
        <v>322</v>
      </c>
      <c r="J5147" s="475" t="s">
        <v>140</v>
      </c>
      <c r="K5147" s="365">
        <v>107.34</v>
      </c>
      <c r="L5147" s="475" t="s">
        <v>141</v>
      </c>
      <c r="M5147" s="473"/>
    </row>
    <row r="5148" spans="1:13" ht="13.5">
      <c r="A5148" s="475" t="s">
        <v>5593</v>
      </c>
      <c r="B5148" s="475" t="s">
        <v>5594</v>
      </c>
      <c r="C5148" s="475" t="s">
        <v>5606</v>
      </c>
      <c r="D5148" s="475" t="s">
        <v>5607</v>
      </c>
      <c r="E5148" s="476" t="s">
        <v>34</v>
      </c>
      <c r="F5148" s="475" t="s">
        <v>34</v>
      </c>
      <c r="G5148" s="364">
        <v>96362</v>
      </c>
      <c r="H5148" s="475" t="s">
        <v>4289</v>
      </c>
      <c r="I5148" s="475" t="s">
        <v>322</v>
      </c>
      <c r="J5148" s="475" t="s">
        <v>140</v>
      </c>
      <c r="K5148" s="365">
        <v>102.21</v>
      </c>
      <c r="L5148" s="475" t="s">
        <v>141</v>
      </c>
      <c r="M5148" s="473"/>
    </row>
    <row r="5149" spans="1:13" ht="13.5">
      <c r="A5149" s="475" t="s">
        <v>5593</v>
      </c>
      <c r="B5149" s="475" t="s">
        <v>5594</v>
      </c>
      <c r="C5149" s="475" t="s">
        <v>5606</v>
      </c>
      <c r="D5149" s="475" t="s">
        <v>5607</v>
      </c>
      <c r="E5149" s="476" t="s">
        <v>34</v>
      </c>
      <c r="F5149" s="475" t="s">
        <v>34</v>
      </c>
      <c r="G5149" s="364">
        <v>96363</v>
      </c>
      <c r="H5149" s="475" t="s">
        <v>4290</v>
      </c>
      <c r="I5149" s="475" t="s">
        <v>322</v>
      </c>
      <c r="J5149" s="475" t="s">
        <v>140</v>
      </c>
      <c r="K5149" s="365">
        <v>109.1</v>
      </c>
      <c r="L5149" s="475" t="s">
        <v>141</v>
      </c>
      <c r="M5149" s="473"/>
    </row>
    <row r="5150" spans="1:13" ht="13.5">
      <c r="A5150" s="475" t="s">
        <v>5593</v>
      </c>
      <c r="B5150" s="475" t="s">
        <v>5594</v>
      </c>
      <c r="C5150" s="475" t="s">
        <v>5606</v>
      </c>
      <c r="D5150" s="475" t="s">
        <v>5607</v>
      </c>
      <c r="E5150" s="476" t="s">
        <v>34</v>
      </c>
      <c r="F5150" s="475" t="s">
        <v>34</v>
      </c>
      <c r="G5150" s="364">
        <v>96364</v>
      </c>
      <c r="H5150" s="475" t="s">
        <v>4291</v>
      </c>
      <c r="I5150" s="475" t="s">
        <v>322</v>
      </c>
      <c r="J5150" s="475" t="s">
        <v>140</v>
      </c>
      <c r="K5150" s="365">
        <v>120.2</v>
      </c>
      <c r="L5150" s="475" t="s">
        <v>141</v>
      </c>
      <c r="M5150" s="473"/>
    </row>
    <row r="5151" spans="1:13" ht="13.5">
      <c r="A5151" s="475" t="s">
        <v>5593</v>
      </c>
      <c r="B5151" s="475" t="s">
        <v>5594</v>
      </c>
      <c r="C5151" s="475" t="s">
        <v>5606</v>
      </c>
      <c r="D5151" s="475" t="s">
        <v>5607</v>
      </c>
      <c r="E5151" s="476" t="s">
        <v>34</v>
      </c>
      <c r="F5151" s="475" t="s">
        <v>34</v>
      </c>
      <c r="G5151" s="364">
        <v>96365</v>
      </c>
      <c r="H5151" s="475" t="s">
        <v>4292</v>
      </c>
      <c r="I5151" s="475" t="s">
        <v>322</v>
      </c>
      <c r="J5151" s="475" t="s">
        <v>140</v>
      </c>
      <c r="K5151" s="365">
        <v>133.32</v>
      </c>
      <c r="L5151" s="475" t="s">
        <v>141</v>
      </c>
      <c r="M5151" s="473"/>
    </row>
    <row r="5152" spans="1:13" ht="13.5">
      <c r="A5152" s="475" t="s">
        <v>5593</v>
      </c>
      <c r="B5152" s="475" t="s">
        <v>5594</v>
      </c>
      <c r="C5152" s="475" t="s">
        <v>5606</v>
      </c>
      <c r="D5152" s="475" t="s">
        <v>5607</v>
      </c>
      <c r="E5152" s="476" t="s">
        <v>34</v>
      </c>
      <c r="F5152" s="475" t="s">
        <v>34</v>
      </c>
      <c r="G5152" s="364">
        <v>96366</v>
      </c>
      <c r="H5152" s="475" t="s">
        <v>4293</v>
      </c>
      <c r="I5152" s="475" t="s">
        <v>322</v>
      </c>
      <c r="J5152" s="475" t="s">
        <v>140</v>
      </c>
      <c r="K5152" s="365">
        <v>127.94</v>
      </c>
      <c r="L5152" s="475" t="s">
        <v>141</v>
      </c>
      <c r="M5152" s="473"/>
    </row>
    <row r="5153" spans="1:13" ht="13.5">
      <c r="A5153" s="475" t="s">
        <v>5593</v>
      </c>
      <c r="B5153" s="475" t="s">
        <v>5594</v>
      </c>
      <c r="C5153" s="475" t="s">
        <v>5606</v>
      </c>
      <c r="D5153" s="475" t="s">
        <v>5607</v>
      </c>
      <c r="E5153" s="476" t="s">
        <v>34</v>
      </c>
      <c r="F5153" s="475" t="s">
        <v>34</v>
      </c>
      <c r="G5153" s="364">
        <v>96367</v>
      </c>
      <c r="H5153" s="475" t="s">
        <v>4294</v>
      </c>
      <c r="I5153" s="475" t="s">
        <v>322</v>
      </c>
      <c r="J5153" s="475" t="s">
        <v>140</v>
      </c>
      <c r="K5153" s="365">
        <v>135.08000000000001</v>
      </c>
      <c r="L5153" s="475" t="s">
        <v>141</v>
      </c>
      <c r="M5153" s="473"/>
    </row>
    <row r="5154" spans="1:13" ht="13.5">
      <c r="A5154" s="475" t="s">
        <v>5593</v>
      </c>
      <c r="B5154" s="475" t="s">
        <v>5594</v>
      </c>
      <c r="C5154" s="475" t="s">
        <v>5606</v>
      </c>
      <c r="D5154" s="475" t="s">
        <v>5607</v>
      </c>
      <c r="E5154" s="476" t="s">
        <v>34</v>
      </c>
      <c r="F5154" s="475" t="s">
        <v>34</v>
      </c>
      <c r="G5154" s="364">
        <v>96368</v>
      </c>
      <c r="H5154" s="475" t="s">
        <v>4295</v>
      </c>
      <c r="I5154" s="475" t="s">
        <v>322</v>
      </c>
      <c r="J5154" s="475" t="s">
        <v>140</v>
      </c>
      <c r="K5154" s="365">
        <v>145.91999999999999</v>
      </c>
      <c r="L5154" s="475" t="s">
        <v>141</v>
      </c>
      <c r="M5154" s="473"/>
    </row>
    <row r="5155" spans="1:13" ht="13.5">
      <c r="A5155" s="475" t="s">
        <v>5593</v>
      </c>
      <c r="B5155" s="475" t="s">
        <v>5594</v>
      </c>
      <c r="C5155" s="475" t="s">
        <v>5606</v>
      </c>
      <c r="D5155" s="475" t="s">
        <v>5607</v>
      </c>
      <c r="E5155" s="476" t="s">
        <v>34</v>
      </c>
      <c r="F5155" s="475" t="s">
        <v>34</v>
      </c>
      <c r="G5155" s="364">
        <v>96369</v>
      </c>
      <c r="H5155" s="475" t="s">
        <v>4296</v>
      </c>
      <c r="I5155" s="475" t="s">
        <v>322</v>
      </c>
      <c r="J5155" s="475" t="s">
        <v>140</v>
      </c>
      <c r="K5155" s="365">
        <v>159.30000000000001</v>
      </c>
      <c r="L5155" s="475" t="s">
        <v>141</v>
      </c>
      <c r="M5155" s="473"/>
    </row>
    <row r="5156" spans="1:13" ht="13.5">
      <c r="A5156" s="475" t="s">
        <v>5593</v>
      </c>
      <c r="B5156" s="475" t="s">
        <v>5594</v>
      </c>
      <c r="C5156" s="475" t="s">
        <v>5606</v>
      </c>
      <c r="D5156" s="475" t="s">
        <v>5607</v>
      </c>
      <c r="E5156" s="476" t="s">
        <v>34</v>
      </c>
      <c r="F5156" s="475" t="s">
        <v>34</v>
      </c>
      <c r="G5156" s="364">
        <v>96370</v>
      </c>
      <c r="H5156" s="475" t="s">
        <v>4297</v>
      </c>
      <c r="I5156" s="475" t="s">
        <v>322</v>
      </c>
      <c r="J5156" s="475" t="s">
        <v>140</v>
      </c>
      <c r="K5156" s="365">
        <v>47.61</v>
      </c>
      <c r="L5156" s="475" t="s">
        <v>141</v>
      </c>
      <c r="M5156" s="473"/>
    </row>
    <row r="5157" spans="1:13" ht="13.5">
      <c r="A5157" s="475" t="s">
        <v>5593</v>
      </c>
      <c r="B5157" s="475" t="s">
        <v>5594</v>
      </c>
      <c r="C5157" s="475" t="s">
        <v>5606</v>
      </c>
      <c r="D5157" s="475" t="s">
        <v>5607</v>
      </c>
      <c r="E5157" s="476" t="s">
        <v>34</v>
      </c>
      <c r="F5157" s="475" t="s">
        <v>34</v>
      </c>
      <c r="G5157" s="364">
        <v>96371</v>
      </c>
      <c r="H5157" s="475" t="s">
        <v>4298</v>
      </c>
      <c r="I5157" s="475" t="s">
        <v>322</v>
      </c>
      <c r="J5157" s="475" t="s">
        <v>140</v>
      </c>
      <c r="K5157" s="365">
        <v>54.1</v>
      </c>
      <c r="L5157" s="475" t="s">
        <v>141</v>
      </c>
      <c r="M5157" s="473"/>
    </row>
    <row r="5158" spans="1:13" ht="13.5">
      <c r="A5158" s="475" t="s">
        <v>5593</v>
      </c>
      <c r="B5158" s="475" t="s">
        <v>5594</v>
      </c>
      <c r="C5158" s="475" t="s">
        <v>5606</v>
      </c>
      <c r="D5158" s="475" t="s">
        <v>5607</v>
      </c>
      <c r="E5158" s="476" t="s">
        <v>34</v>
      </c>
      <c r="F5158" s="475" t="s">
        <v>34</v>
      </c>
      <c r="G5158" s="364">
        <v>96372</v>
      </c>
      <c r="H5158" s="475" t="s">
        <v>4299</v>
      </c>
      <c r="I5158" s="475" t="s">
        <v>322</v>
      </c>
      <c r="J5158" s="475" t="s">
        <v>140</v>
      </c>
      <c r="K5158" s="365">
        <v>25.97</v>
      </c>
      <c r="L5158" s="475" t="s">
        <v>141</v>
      </c>
      <c r="M5158" s="473"/>
    </row>
    <row r="5159" spans="1:13" ht="13.5">
      <c r="A5159" s="475" t="s">
        <v>5593</v>
      </c>
      <c r="B5159" s="475" t="s">
        <v>5594</v>
      </c>
      <c r="C5159" s="475" t="s">
        <v>5606</v>
      </c>
      <c r="D5159" s="475" t="s">
        <v>5607</v>
      </c>
      <c r="E5159" s="476" t="s">
        <v>34</v>
      </c>
      <c r="F5159" s="475" t="s">
        <v>34</v>
      </c>
      <c r="G5159" s="364">
        <v>96373</v>
      </c>
      <c r="H5159" s="475" t="s">
        <v>4300</v>
      </c>
      <c r="I5159" s="475" t="s">
        <v>139</v>
      </c>
      <c r="J5159" s="475" t="s">
        <v>337</v>
      </c>
      <c r="K5159" s="365">
        <v>6.58</v>
      </c>
      <c r="L5159" s="475" t="s">
        <v>141</v>
      </c>
      <c r="M5159" s="473"/>
    </row>
    <row r="5160" spans="1:13" ht="13.5">
      <c r="A5160" s="475" t="s">
        <v>5593</v>
      </c>
      <c r="B5160" s="475" t="s">
        <v>5594</v>
      </c>
      <c r="C5160" s="475" t="s">
        <v>5606</v>
      </c>
      <c r="D5160" s="475" t="s">
        <v>5607</v>
      </c>
      <c r="E5160" s="476" t="s">
        <v>34</v>
      </c>
      <c r="F5160" s="475" t="s">
        <v>34</v>
      </c>
      <c r="G5160" s="364">
        <v>96374</v>
      </c>
      <c r="H5160" s="475" t="s">
        <v>4301</v>
      </c>
      <c r="I5160" s="475" t="s">
        <v>139</v>
      </c>
      <c r="J5160" s="475" t="s">
        <v>337</v>
      </c>
      <c r="K5160" s="365">
        <v>26.5</v>
      </c>
      <c r="L5160" s="475" t="s">
        <v>141</v>
      </c>
      <c r="M5160" s="473"/>
    </row>
    <row r="5161" spans="1:13" ht="13.5">
      <c r="A5161" s="475" t="s">
        <v>5593</v>
      </c>
      <c r="B5161" s="475" t="s">
        <v>5594</v>
      </c>
      <c r="C5161" s="475" t="s">
        <v>5611</v>
      </c>
      <c r="D5161" s="475" t="s">
        <v>5612</v>
      </c>
      <c r="E5161" s="476">
        <v>73863</v>
      </c>
      <c r="F5161" s="475" t="s">
        <v>5613</v>
      </c>
      <c r="G5161" s="364" t="s">
        <v>4302</v>
      </c>
      <c r="H5161" s="475" t="s">
        <v>4303</v>
      </c>
      <c r="I5161" s="475" t="s">
        <v>322</v>
      </c>
      <c r="J5161" s="475" t="s">
        <v>140</v>
      </c>
      <c r="K5161" s="365">
        <v>55.14</v>
      </c>
      <c r="L5161" s="475" t="s">
        <v>141</v>
      </c>
      <c r="M5161" s="473"/>
    </row>
    <row r="5162" spans="1:13" ht="13.5">
      <c r="A5162" s="475" t="s">
        <v>5593</v>
      </c>
      <c r="B5162" s="475" t="s">
        <v>5594</v>
      </c>
      <c r="C5162" s="475" t="s">
        <v>5611</v>
      </c>
      <c r="D5162" s="475" t="s">
        <v>5612</v>
      </c>
      <c r="E5162" s="476">
        <v>73863</v>
      </c>
      <c r="F5162" s="475" t="s">
        <v>5613</v>
      </c>
      <c r="G5162" s="364" t="s">
        <v>4304</v>
      </c>
      <c r="H5162" s="475" t="s">
        <v>4305</v>
      </c>
      <c r="I5162" s="475" t="s">
        <v>322</v>
      </c>
      <c r="J5162" s="475" t="s">
        <v>140</v>
      </c>
      <c r="K5162" s="365">
        <v>112.76</v>
      </c>
      <c r="L5162" s="475" t="s">
        <v>141</v>
      </c>
      <c r="M5162" s="473"/>
    </row>
    <row r="5163" spans="1:13" ht="13.5">
      <c r="A5163" s="475" t="s">
        <v>5614</v>
      </c>
      <c r="B5163" s="475" t="s">
        <v>5615</v>
      </c>
      <c r="C5163" s="475" t="s">
        <v>5616</v>
      </c>
      <c r="D5163" s="475" t="s">
        <v>5617</v>
      </c>
      <c r="E5163" s="476">
        <v>73790</v>
      </c>
      <c r="F5163" s="475" t="s">
        <v>5618</v>
      </c>
      <c r="G5163" s="364" t="s">
        <v>4306</v>
      </c>
      <c r="H5163" s="475" t="s">
        <v>4307</v>
      </c>
      <c r="I5163" s="475" t="s">
        <v>322</v>
      </c>
      <c r="J5163" s="475" t="s">
        <v>140</v>
      </c>
      <c r="K5163" s="365">
        <v>51.63</v>
      </c>
      <c r="L5163" s="475" t="s">
        <v>141</v>
      </c>
      <c r="M5163" s="473"/>
    </row>
    <row r="5164" spans="1:13" ht="13.5">
      <c r="A5164" s="475" t="s">
        <v>5614</v>
      </c>
      <c r="B5164" s="475" t="s">
        <v>5615</v>
      </c>
      <c r="C5164" s="475" t="s">
        <v>5616</v>
      </c>
      <c r="D5164" s="475" t="s">
        <v>5617</v>
      </c>
      <c r="E5164" s="476">
        <v>73790</v>
      </c>
      <c r="F5164" s="475" t="s">
        <v>5618</v>
      </c>
      <c r="G5164" s="364" t="s">
        <v>4308</v>
      </c>
      <c r="H5164" s="475" t="s">
        <v>4309</v>
      </c>
      <c r="I5164" s="475" t="s">
        <v>322</v>
      </c>
      <c r="J5164" s="475" t="s">
        <v>337</v>
      </c>
      <c r="K5164" s="365">
        <v>40.69</v>
      </c>
      <c r="L5164" s="475" t="s">
        <v>141</v>
      </c>
      <c r="M5164" s="473"/>
    </row>
    <row r="5165" spans="1:13" ht="13.5">
      <c r="A5165" s="475" t="s">
        <v>5614</v>
      </c>
      <c r="B5165" s="475" t="s">
        <v>5615</v>
      </c>
      <c r="C5165" s="475" t="s">
        <v>5616</v>
      </c>
      <c r="D5165" s="475" t="s">
        <v>5617</v>
      </c>
      <c r="E5165" s="476" t="s">
        <v>34</v>
      </c>
      <c r="F5165" s="475" t="s">
        <v>34</v>
      </c>
      <c r="G5165" s="364">
        <v>83694</v>
      </c>
      <c r="H5165" s="475" t="s">
        <v>4310</v>
      </c>
      <c r="I5165" s="475" t="s">
        <v>322</v>
      </c>
      <c r="J5165" s="475" t="s">
        <v>337</v>
      </c>
      <c r="K5165" s="365">
        <v>17.420000000000002</v>
      </c>
      <c r="L5165" s="475" t="s">
        <v>141</v>
      </c>
      <c r="M5165" s="473"/>
    </row>
    <row r="5166" spans="1:13" ht="13.5">
      <c r="A5166" s="475" t="s">
        <v>5614</v>
      </c>
      <c r="B5166" s="475" t="s">
        <v>5615</v>
      </c>
      <c r="C5166" s="475" t="s">
        <v>5616</v>
      </c>
      <c r="D5166" s="475" t="s">
        <v>5617</v>
      </c>
      <c r="E5166" s="476">
        <v>83695</v>
      </c>
      <c r="F5166" s="475" t="s">
        <v>5618</v>
      </c>
      <c r="G5166" s="364" t="s">
        <v>4311</v>
      </c>
      <c r="H5166" s="475" t="s">
        <v>4312</v>
      </c>
      <c r="I5166" s="475" t="s">
        <v>322</v>
      </c>
      <c r="J5166" s="475" t="s">
        <v>140</v>
      </c>
      <c r="K5166" s="365">
        <v>25.11</v>
      </c>
      <c r="L5166" s="475" t="s">
        <v>141</v>
      </c>
      <c r="M5166" s="473"/>
    </row>
    <row r="5167" spans="1:13" ht="13.5">
      <c r="A5167" s="475" t="s">
        <v>5614</v>
      </c>
      <c r="B5167" s="475" t="s">
        <v>5615</v>
      </c>
      <c r="C5167" s="475" t="s">
        <v>5616</v>
      </c>
      <c r="D5167" s="475" t="s">
        <v>5617</v>
      </c>
      <c r="E5167" s="476" t="s">
        <v>34</v>
      </c>
      <c r="F5167" s="475" t="s">
        <v>34</v>
      </c>
      <c r="G5167" s="364">
        <v>83771</v>
      </c>
      <c r="H5167" s="475" t="s">
        <v>4313</v>
      </c>
      <c r="I5167" s="475" t="s">
        <v>1261</v>
      </c>
      <c r="J5167" s="475" t="s">
        <v>140</v>
      </c>
      <c r="K5167" s="365">
        <v>6.9</v>
      </c>
      <c r="L5167" s="475" t="s">
        <v>141</v>
      </c>
      <c r="M5167" s="473"/>
    </row>
    <row r="5168" spans="1:13" ht="13.5">
      <c r="A5168" s="475" t="s">
        <v>5614</v>
      </c>
      <c r="B5168" s="475" t="s">
        <v>5615</v>
      </c>
      <c r="C5168" s="475" t="s">
        <v>5616</v>
      </c>
      <c r="D5168" s="475" t="s">
        <v>5617</v>
      </c>
      <c r="E5168" s="476" t="s">
        <v>34</v>
      </c>
      <c r="F5168" s="475" t="s">
        <v>34</v>
      </c>
      <c r="G5168" s="364">
        <v>92970</v>
      </c>
      <c r="H5168" s="475" t="s">
        <v>4314</v>
      </c>
      <c r="I5168" s="475" t="s">
        <v>322</v>
      </c>
      <c r="J5168" s="475" t="s">
        <v>140</v>
      </c>
      <c r="K5168" s="365">
        <v>11.41</v>
      </c>
      <c r="L5168" s="475" t="s">
        <v>141</v>
      </c>
      <c r="M5168" s="473"/>
    </row>
    <row r="5169" spans="1:13" ht="13.5">
      <c r="A5169" s="475" t="s">
        <v>5614</v>
      </c>
      <c r="B5169" s="475" t="s">
        <v>5615</v>
      </c>
      <c r="C5169" s="475" t="s">
        <v>5619</v>
      </c>
      <c r="D5169" s="475" t="s">
        <v>5620</v>
      </c>
      <c r="E5169" s="476" t="s">
        <v>34</v>
      </c>
      <c r="F5169" s="475" t="s">
        <v>34</v>
      </c>
      <c r="G5169" s="364">
        <v>72916</v>
      </c>
      <c r="H5169" s="475" t="s">
        <v>4315</v>
      </c>
      <c r="I5169" s="475" t="s">
        <v>1261</v>
      </c>
      <c r="J5169" s="475" t="s">
        <v>140</v>
      </c>
      <c r="K5169" s="365">
        <v>26.79</v>
      </c>
      <c r="L5169" s="475" t="s">
        <v>141</v>
      </c>
      <c r="M5169" s="473"/>
    </row>
    <row r="5170" spans="1:13" ht="13.5">
      <c r="A5170" s="475" t="s">
        <v>5614</v>
      </c>
      <c r="B5170" s="475" t="s">
        <v>5615</v>
      </c>
      <c r="C5170" s="475" t="s">
        <v>5619</v>
      </c>
      <c r="D5170" s="475" t="s">
        <v>5620</v>
      </c>
      <c r="E5170" s="476" t="s">
        <v>34</v>
      </c>
      <c r="F5170" s="475" t="s">
        <v>34</v>
      </c>
      <c r="G5170" s="364">
        <v>72919</v>
      </c>
      <c r="H5170" s="475" t="s">
        <v>4316</v>
      </c>
      <c r="I5170" s="475" t="s">
        <v>1261</v>
      </c>
      <c r="J5170" s="475" t="s">
        <v>140</v>
      </c>
      <c r="K5170" s="365">
        <v>38.369999999999997</v>
      </c>
      <c r="L5170" s="475" t="s">
        <v>141</v>
      </c>
      <c r="M5170" s="473"/>
    </row>
    <row r="5171" spans="1:13" ht="13.5">
      <c r="A5171" s="475" t="s">
        <v>5614</v>
      </c>
      <c r="B5171" s="475" t="s">
        <v>5615</v>
      </c>
      <c r="C5171" s="475" t="s">
        <v>5619</v>
      </c>
      <c r="D5171" s="475" t="s">
        <v>5620</v>
      </c>
      <c r="E5171" s="476" t="s">
        <v>34</v>
      </c>
      <c r="F5171" s="475" t="s">
        <v>34</v>
      </c>
      <c r="G5171" s="364">
        <v>72922</v>
      </c>
      <c r="H5171" s="475" t="s">
        <v>4317</v>
      </c>
      <c r="I5171" s="475" t="s">
        <v>1261</v>
      </c>
      <c r="J5171" s="475" t="s">
        <v>140</v>
      </c>
      <c r="K5171" s="365">
        <v>52.31</v>
      </c>
      <c r="L5171" s="475" t="s">
        <v>141</v>
      </c>
      <c r="M5171" s="473"/>
    </row>
    <row r="5172" spans="1:13" ht="13.5">
      <c r="A5172" s="475" t="s">
        <v>5614</v>
      </c>
      <c r="B5172" s="475" t="s">
        <v>5615</v>
      </c>
      <c r="C5172" s="475" t="s">
        <v>5619</v>
      </c>
      <c r="D5172" s="475" t="s">
        <v>5620</v>
      </c>
      <c r="E5172" s="476" t="s">
        <v>34</v>
      </c>
      <c r="F5172" s="475" t="s">
        <v>34</v>
      </c>
      <c r="G5172" s="364">
        <v>72923</v>
      </c>
      <c r="H5172" s="475" t="s">
        <v>4318</v>
      </c>
      <c r="I5172" s="475" t="s">
        <v>1261</v>
      </c>
      <c r="J5172" s="475" t="s">
        <v>140</v>
      </c>
      <c r="K5172" s="365">
        <v>81.08</v>
      </c>
      <c r="L5172" s="475" t="s">
        <v>141</v>
      </c>
      <c r="M5172" s="473"/>
    </row>
    <row r="5173" spans="1:13" ht="13.5">
      <c r="A5173" s="475" t="s">
        <v>5614</v>
      </c>
      <c r="B5173" s="475" t="s">
        <v>5615</v>
      </c>
      <c r="C5173" s="475" t="s">
        <v>5619</v>
      </c>
      <c r="D5173" s="475" t="s">
        <v>5620</v>
      </c>
      <c r="E5173" s="476" t="s">
        <v>34</v>
      </c>
      <c r="F5173" s="475" t="s">
        <v>34</v>
      </c>
      <c r="G5173" s="364">
        <v>72924</v>
      </c>
      <c r="H5173" s="475" t="s">
        <v>4319</v>
      </c>
      <c r="I5173" s="475" t="s">
        <v>1261</v>
      </c>
      <c r="J5173" s="475" t="s">
        <v>140</v>
      </c>
      <c r="K5173" s="365">
        <v>69.05</v>
      </c>
      <c r="L5173" s="475" t="s">
        <v>141</v>
      </c>
      <c r="M5173" s="473"/>
    </row>
    <row r="5174" spans="1:13" ht="13.5">
      <c r="A5174" s="475" t="s">
        <v>5614</v>
      </c>
      <c r="B5174" s="475" t="s">
        <v>5615</v>
      </c>
      <c r="C5174" s="475" t="s">
        <v>5619</v>
      </c>
      <c r="D5174" s="475" t="s">
        <v>5620</v>
      </c>
      <c r="E5174" s="476" t="s">
        <v>34</v>
      </c>
      <c r="F5174" s="475" t="s">
        <v>34</v>
      </c>
      <c r="G5174" s="364">
        <v>72961</v>
      </c>
      <c r="H5174" s="475" t="s">
        <v>4320</v>
      </c>
      <c r="I5174" s="475" t="s">
        <v>322</v>
      </c>
      <c r="J5174" s="475" t="s">
        <v>140</v>
      </c>
      <c r="K5174" s="365">
        <v>1.23</v>
      </c>
      <c r="L5174" s="475" t="s">
        <v>141</v>
      </c>
      <c r="M5174" s="473"/>
    </row>
    <row r="5175" spans="1:13" ht="13.5">
      <c r="A5175" s="475" t="s">
        <v>5614</v>
      </c>
      <c r="B5175" s="475" t="s">
        <v>5615</v>
      </c>
      <c r="C5175" s="475" t="s">
        <v>5619</v>
      </c>
      <c r="D5175" s="475" t="s">
        <v>5620</v>
      </c>
      <c r="E5175" s="476" t="s">
        <v>34</v>
      </c>
      <c r="F5175" s="475" t="s">
        <v>34</v>
      </c>
      <c r="G5175" s="364">
        <v>96387</v>
      </c>
      <c r="H5175" s="475" t="s">
        <v>4321</v>
      </c>
      <c r="I5175" s="475" t="s">
        <v>1261</v>
      </c>
      <c r="J5175" s="475" t="s">
        <v>140</v>
      </c>
      <c r="K5175" s="365">
        <v>6.23</v>
      </c>
      <c r="L5175" s="475" t="s">
        <v>141</v>
      </c>
      <c r="M5175" s="473"/>
    </row>
    <row r="5176" spans="1:13" ht="13.5">
      <c r="A5176" s="475" t="s">
        <v>5614</v>
      </c>
      <c r="B5176" s="475" t="s">
        <v>5615</v>
      </c>
      <c r="C5176" s="475" t="s">
        <v>5619</v>
      </c>
      <c r="D5176" s="475" t="s">
        <v>5620</v>
      </c>
      <c r="E5176" s="476" t="s">
        <v>34</v>
      </c>
      <c r="F5176" s="475" t="s">
        <v>34</v>
      </c>
      <c r="G5176" s="364">
        <v>96388</v>
      </c>
      <c r="H5176" s="475" t="s">
        <v>4322</v>
      </c>
      <c r="I5176" s="475" t="s">
        <v>1261</v>
      </c>
      <c r="J5176" s="475" t="s">
        <v>140</v>
      </c>
      <c r="K5176" s="365">
        <v>5.95</v>
      </c>
      <c r="L5176" s="475" t="s">
        <v>141</v>
      </c>
      <c r="M5176" s="473"/>
    </row>
    <row r="5177" spans="1:13" ht="13.5">
      <c r="A5177" s="475" t="s">
        <v>5614</v>
      </c>
      <c r="B5177" s="475" t="s">
        <v>5615</v>
      </c>
      <c r="C5177" s="475" t="s">
        <v>5619</v>
      </c>
      <c r="D5177" s="475" t="s">
        <v>5620</v>
      </c>
      <c r="E5177" s="476" t="s">
        <v>34</v>
      </c>
      <c r="F5177" s="475" t="s">
        <v>34</v>
      </c>
      <c r="G5177" s="364">
        <v>96389</v>
      </c>
      <c r="H5177" s="475" t="s">
        <v>4323</v>
      </c>
      <c r="I5177" s="475" t="s">
        <v>1261</v>
      </c>
      <c r="J5177" s="475" t="s">
        <v>140</v>
      </c>
      <c r="K5177" s="365">
        <v>27.53</v>
      </c>
      <c r="L5177" s="475" t="s">
        <v>141</v>
      </c>
      <c r="M5177" s="473"/>
    </row>
    <row r="5178" spans="1:13" ht="13.5">
      <c r="A5178" s="475" t="s">
        <v>5614</v>
      </c>
      <c r="B5178" s="475" t="s">
        <v>5615</v>
      </c>
      <c r="C5178" s="475" t="s">
        <v>5619</v>
      </c>
      <c r="D5178" s="475" t="s">
        <v>5620</v>
      </c>
      <c r="E5178" s="476" t="s">
        <v>34</v>
      </c>
      <c r="F5178" s="475" t="s">
        <v>34</v>
      </c>
      <c r="G5178" s="364">
        <v>96390</v>
      </c>
      <c r="H5178" s="475" t="s">
        <v>4324</v>
      </c>
      <c r="I5178" s="475" t="s">
        <v>1261</v>
      </c>
      <c r="J5178" s="475" t="s">
        <v>140</v>
      </c>
      <c r="K5178" s="365">
        <v>45.99</v>
      </c>
      <c r="L5178" s="475" t="s">
        <v>141</v>
      </c>
      <c r="M5178" s="473"/>
    </row>
    <row r="5179" spans="1:13" ht="13.5">
      <c r="A5179" s="475" t="s">
        <v>5614</v>
      </c>
      <c r="B5179" s="475" t="s">
        <v>5615</v>
      </c>
      <c r="C5179" s="475" t="s">
        <v>5619</v>
      </c>
      <c r="D5179" s="475" t="s">
        <v>5620</v>
      </c>
      <c r="E5179" s="476" t="s">
        <v>34</v>
      </c>
      <c r="F5179" s="475" t="s">
        <v>34</v>
      </c>
      <c r="G5179" s="364">
        <v>96391</v>
      </c>
      <c r="H5179" s="475" t="s">
        <v>4325</v>
      </c>
      <c r="I5179" s="475" t="s">
        <v>1261</v>
      </c>
      <c r="J5179" s="475" t="s">
        <v>140</v>
      </c>
      <c r="K5179" s="365">
        <v>64.180000000000007</v>
      </c>
      <c r="L5179" s="475" t="s">
        <v>141</v>
      </c>
      <c r="M5179" s="473"/>
    </row>
    <row r="5180" spans="1:13" ht="13.5">
      <c r="A5180" s="475" t="s">
        <v>5614</v>
      </c>
      <c r="B5180" s="475" t="s">
        <v>5615</v>
      </c>
      <c r="C5180" s="475" t="s">
        <v>5619</v>
      </c>
      <c r="D5180" s="475" t="s">
        <v>5620</v>
      </c>
      <c r="E5180" s="476" t="s">
        <v>34</v>
      </c>
      <c r="F5180" s="475" t="s">
        <v>34</v>
      </c>
      <c r="G5180" s="364">
        <v>96392</v>
      </c>
      <c r="H5180" s="475" t="s">
        <v>4326</v>
      </c>
      <c r="I5180" s="475" t="s">
        <v>1261</v>
      </c>
      <c r="J5180" s="475" t="s">
        <v>140</v>
      </c>
      <c r="K5180" s="365">
        <v>85.69</v>
      </c>
      <c r="L5180" s="475" t="s">
        <v>141</v>
      </c>
      <c r="M5180" s="473"/>
    </row>
    <row r="5181" spans="1:13" ht="13.5">
      <c r="A5181" s="475" t="s">
        <v>5614</v>
      </c>
      <c r="B5181" s="475" t="s">
        <v>5615</v>
      </c>
      <c r="C5181" s="475" t="s">
        <v>5619</v>
      </c>
      <c r="D5181" s="475" t="s">
        <v>5620</v>
      </c>
      <c r="E5181" s="476" t="s">
        <v>34</v>
      </c>
      <c r="F5181" s="475" t="s">
        <v>34</v>
      </c>
      <c r="G5181" s="364">
        <v>96396</v>
      </c>
      <c r="H5181" s="475" t="s">
        <v>4327</v>
      </c>
      <c r="I5181" s="475" t="s">
        <v>1261</v>
      </c>
      <c r="J5181" s="475" t="s">
        <v>140</v>
      </c>
      <c r="K5181" s="365">
        <v>140.04</v>
      </c>
      <c r="L5181" s="475" t="s">
        <v>141</v>
      </c>
      <c r="M5181" s="473"/>
    </row>
    <row r="5182" spans="1:13" ht="13.5">
      <c r="A5182" s="475" t="s">
        <v>5614</v>
      </c>
      <c r="B5182" s="475" t="s">
        <v>5615</v>
      </c>
      <c r="C5182" s="475" t="s">
        <v>5619</v>
      </c>
      <c r="D5182" s="475" t="s">
        <v>5620</v>
      </c>
      <c r="E5182" s="476" t="s">
        <v>34</v>
      </c>
      <c r="F5182" s="475" t="s">
        <v>34</v>
      </c>
      <c r="G5182" s="364">
        <v>96397</v>
      </c>
      <c r="H5182" s="475" t="s">
        <v>4328</v>
      </c>
      <c r="I5182" s="475" t="s">
        <v>1261</v>
      </c>
      <c r="J5182" s="475" t="s">
        <v>140</v>
      </c>
      <c r="K5182" s="365">
        <v>171.54</v>
      </c>
      <c r="L5182" s="475" t="s">
        <v>141</v>
      </c>
      <c r="M5182" s="473"/>
    </row>
    <row r="5183" spans="1:13" ht="13.5">
      <c r="A5183" s="475" t="s">
        <v>5614</v>
      </c>
      <c r="B5183" s="475" t="s">
        <v>5615</v>
      </c>
      <c r="C5183" s="475" t="s">
        <v>5619</v>
      </c>
      <c r="D5183" s="475" t="s">
        <v>5620</v>
      </c>
      <c r="E5183" s="476" t="s">
        <v>34</v>
      </c>
      <c r="F5183" s="475" t="s">
        <v>34</v>
      </c>
      <c r="G5183" s="364">
        <v>96398</v>
      </c>
      <c r="H5183" s="475" t="s">
        <v>4329</v>
      </c>
      <c r="I5183" s="475" t="s">
        <v>1261</v>
      </c>
      <c r="J5183" s="475" t="s">
        <v>140</v>
      </c>
      <c r="K5183" s="365">
        <v>185.06</v>
      </c>
      <c r="L5183" s="475" t="s">
        <v>141</v>
      </c>
      <c r="M5183" s="473"/>
    </row>
    <row r="5184" spans="1:13" ht="13.5">
      <c r="A5184" s="475" t="s">
        <v>5614</v>
      </c>
      <c r="B5184" s="475" t="s">
        <v>5615</v>
      </c>
      <c r="C5184" s="475" t="s">
        <v>5619</v>
      </c>
      <c r="D5184" s="475" t="s">
        <v>5620</v>
      </c>
      <c r="E5184" s="476" t="s">
        <v>34</v>
      </c>
      <c r="F5184" s="475" t="s">
        <v>34</v>
      </c>
      <c r="G5184" s="364">
        <v>96399</v>
      </c>
      <c r="H5184" s="475" t="s">
        <v>4330</v>
      </c>
      <c r="I5184" s="475" t="s">
        <v>1261</v>
      </c>
      <c r="J5184" s="475" t="s">
        <v>140</v>
      </c>
      <c r="K5184" s="365">
        <v>116.18</v>
      </c>
      <c r="L5184" s="475" t="s">
        <v>141</v>
      </c>
      <c r="M5184" s="473"/>
    </row>
    <row r="5185" spans="1:13" ht="13.5">
      <c r="A5185" s="475" t="s">
        <v>5614</v>
      </c>
      <c r="B5185" s="475" t="s">
        <v>5615</v>
      </c>
      <c r="C5185" s="475" t="s">
        <v>5619</v>
      </c>
      <c r="D5185" s="475" t="s">
        <v>5620</v>
      </c>
      <c r="E5185" s="476" t="s">
        <v>34</v>
      </c>
      <c r="F5185" s="475" t="s">
        <v>34</v>
      </c>
      <c r="G5185" s="364">
        <v>96400</v>
      </c>
      <c r="H5185" s="475" t="s">
        <v>4331</v>
      </c>
      <c r="I5185" s="475" t="s">
        <v>1261</v>
      </c>
      <c r="J5185" s="475" t="s">
        <v>140</v>
      </c>
      <c r="K5185" s="365">
        <v>126.45</v>
      </c>
      <c r="L5185" s="475" t="s">
        <v>141</v>
      </c>
      <c r="M5185" s="473"/>
    </row>
    <row r="5186" spans="1:13" ht="13.5">
      <c r="A5186" s="475" t="s">
        <v>5614</v>
      </c>
      <c r="B5186" s="475" t="s">
        <v>5615</v>
      </c>
      <c r="C5186" s="475" t="s">
        <v>5619</v>
      </c>
      <c r="D5186" s="475" t="s">
        <v>5620</v>
      </c>
      <c r="E5186" s="476" t="s">
        <v>34</v>
      </c>
      <c r="F5186" s="475" t="s">
        <v>34</v>
      </c>
      <c r="G5186" s="364">
        <v>96401</v>
      </c>
      <c r="H5186" s="475" t="s">
        <v>4332</v>
      </c>
      <c r="I5186" s="475" t="s">
        <v>322</v>
      </c>
      <c r="J5186" s="475" t="s">
        <v>140</v>
      </c>
      <c r="K5186" s="365">
        <v>6.73</v>
      </c>
      <c r="L5186" s="475" t="s">
        <v>141</v>
      </c>
      <c r="M5186" s="473"/>
    </row>
    <row r="5187" spans="1:13" ht="13.5">
      <c r="A5187" s="475" t="s">
        <v>5614</v>
      </c>
      <c r="B5187" s="475" t="s">
        <v>5615</v>
      </c>
      <c r="C5187" s="475" t="s">
        <v>5619</v>
      </c>
      <c r="D5187" s="475" t="s">
        <v>5620</v>
      </c>
      <c r="E5187" s="476" t="s">
        <v>34</v>
      </c>
      <c r="F5187" s="475" t="s">
        <v>34</v>
      </c>
      <c r="G5187" s="364">
        <v>96402</v>
      </c>
      <c r="H5187" s="475" t="s">
        <v>7791</v>
      </c>
      <c r="I5187" s="475" t="s">
        <v>322</v>
      </c>
      <c r="J5187" s="475" t="s">
        <v>140</v>
      </c>
      <c r="K5187" s="365">
        <v>1.42</v>
      </c>
      <c r="L5187" s="475" t="s">
        <v>141</v>
      </c>
      <c r="M5187" s="473"/>
    </row>
    <row r="5188" spans="1:13" ht="13.5">
      <c r="A5188" s="475" t="s">
        <v>5614</v>
      </c>
      <c r="B5188" s="475" t="s">
        <v>5615</v>
      </c>
      <c r="C5188" s="475" t="s">
        <v>5621</v>
      </c>
      <c r="D5188" s="475" t="s">
        <v>5622</v>
      </c>
      <c r="E5188" s="476" t="s">
        <v>34</v>
      </c>
      <c r="F5188" s="475" t="s">
        <v>34</v>
      </c>
      <c r="G5188" s="364">
        <v>72799</v>
      </c>
      <c r="H5188" s="475" t="s">
        <v>4333</v>
      </c>
      <c r="I5188" s="475" t="s">
        <v>322</v>
      </c>
      <c r="J5188" s="475" t="s">
        <v>140</v>
      </c>
      <c r="K5188" s="365">
        <v>77.849999999999994</v>
      </c>
      <c r="L5188" s="475" t="s">
        <v>141</v>
      </c>
      <c r="M5188" s="473"/>
    </row>
    <row r="5189" spans="1:13" ht="13.5">
      <c r="A5189" s="475" t="s">
        <v>5614</v>
      </c>
      <c r="B5189" s="475" t="s">
        <v>5615</v>
      </c>
      <c r="C5189" s="475" t="s">
        <v>5621</v>
      </c>
      <c r="D5189" s="475" t="s">
        <v>5622</v>
      </c>
      <c r="E5189" s="476" t="s">
        <v>34</v>
      </c>
      <c r="F5189" s="475" t="s">
        <v>34</v>
      </c>
      <c r="G5189" s="364">
        <v>72942</v>
      </c>
      <c r="H5189" s="475" t="s">
        <v>4334</v>
      </c>
      <c r="I5189" s="475" t="s">
        <v>322</v>
      </c>
      <c r="J5189" s="475" t="s">
        <v>140</v>
      </c>
      <c r="K5189" s="365">
        <v>1.66</v>
      </c>
      <c r="L5189" s="475" t="s">
        <v>141</v>
      </c>
      <c r="M5189" s="473"/>
    </row>
    <row r="5190" spans="1:13" ht="13.5">
      <c r="A5190" s="475" t="s">
        <v>5614</v>
      </c>
      <c r="B5190" s="475" t="s">
        <v>5615</v>
      </c>
      <c r="C5190" s="475" t="s">
        <v>5621</v>
      </c>
      <c r="D5190" s="475" t="s">
        <v>5622</v>
      </c>
      <c r="E5190" s="476" t="s">
        <v>34</v>
      </c>
      <c r="F5190" s="475" t="s">
        <v>34</v>
      </c>
      <c r="G5190" s="364">
        <v>72943</v>
      </c>
      <c r="H5190" s="475" t="s">
        <v>4335</v>
      </c>
      <c r="I5190" s="475" t="s">
        <v>322</v>
      </c>
      <c r="J5190" s="475" t="s">
        <v>140</v>
      </c>
      <c r="K5190" s="365">
        <v>1.86</v>
      </c>
      <c r="L5190" s="475" t="s">
        <v>141</v>
      </c>
      <c r="M5190" s="473"/>
    </row>
    <row r="5191" spans="1:13" ht="13.5">
      <c r="A5191" s="475" t="s">
        <v>5614</v>
      </c>
      <c r="B5191" s="475" t="s">
        <v>5615</v>
      </c>
      <c r="C5191" s="475" t="s">
        <v>5621</v>
      </c>
      <c r="D5191" s="475" t="s">
        <v>5622</v>
      </c>
      <c r="E5191" s="476" t="s">
        <v>34</v>
      </c>
      <c r="F5191" s="475" t="s">
        <v>34</v>
      </c>
      <c r="G5191" s="364">
        <v>72972</v>
      </c>
      <c r="H5191" s="475" t="s">
        <v>4336</v>
      </c>
      <c r="I5191" s="475" t="s">
        <v>322</v>
      </c>
      <c r="J5191" s="475" t="s">
        <v>363</v>
      </c>
      <c r="K5191" s="365">
        <v>0.76</v>
      </c>
      <c r="L5191" s="475" t="s">
        <v>141</v>
      </c>
      <c r="M5191" s="473"/>
    </row>
    <row r="5192" spans="1:13" ht="13.5">
      <c r="A5192" s="475" t="s">
        <v>5614</v>
      </c>
      <c r="B5192" s="475" t="s">
        <v>5615</v>
      </c>
      <c r="C5192" s="475" t="s">
        <v>5621</v>
      </c>
      <c r="D5192" s="475" t="s">
        <v>5622</v>
      </c>
      <c r="E5192" s="476" t="s">
        <v>34</v>
      </c>
      <c r="F5192" s="475" t="s">
        <v>34</v>
      </c>
      <c r="G5192" s="364">
        <v>72973</v>
      </c>
      <c r="H5192" s="475" t="s">
        <v>4337</v>
      </c>
      <c r="I5192" s="475" t="s">
        <v>139</v>
      </c>
      <c r="J5192" s="475" t="s">
        <v>363</v>
      </c>
      <c r="K5192" s="365">
        <v>1.43</v>
      </c>
      <c r="L5192" s="475" t="s">
        <v>141</v>
      </c>
      <c r="M5192" s="473"/>
    </row>
    <row r="5193" spans="1:13" ht="13.5">
      <c r="A5193" s="475" t="s">
        <v>5614</v>
      </c>
      <c r="B5193" s="475" t="s">
        <v>5615</v>
      </c>
      <c r="C5193" s="475" t="s">
        <v>5621</v>
      </c>
      <c r="D5193" s="475" t="s">
        <v>5622</v>
      </c>
      <c r="E5193" s="476" t="s">
        <v>34</v>
      </c>
      <c r="F5193" s="475" t="s">
        <v>34</v>
      </c>
      <c r="G5193" s="364">
        <v>72974</v>
      </c>
      <c r="H5193" s="475" t="s">
        <v>4338</v>
      </c>
      <c r="I5193" s="475" t="s">
        <v>322</v>
      </c>
      <c r="J5193" s="475" t="s">
        <v>363</v>
      </c>
      <c r="K5193" s="365">
        <v>4.78</v>
      </c>
      <c r="L5193" s="475" t="s">
        <v>141</v>
      </c>
      <c r="M5193" s="473"/>
    </row>
    <row r="5194" spans="1:13" ht="13.5">
      <c r="A5194" s="475" t="s">
        <v>5614</v>
      </c>
      <c r="B5194" s="475" t="s">
        <v>5615</v>
      </c>
      <c r="C5194" s="475" t="s">
        <v>5621</v>
      </c>
      <c r="D5194" s="475" t="s">
        <v>5622</v>
      </c>
      <c r="E5194" s="476" t="s">
        <v>34</v>
      </c>
      <c r="F5194" s="475" t="s">
        <v>34</v>
      </c>
      <c r="G5194" s="364">
        <v>72975</v>
      </c>
      <c r="H5194" s="475" t="s">
        <v>4339</v>
      </c>
      <c r="I5194" s="475" t="s">
        <v>322</v>
      </c>
      <c r="J5194" s="475" t="s">
        <v>363</v>
      </c>
      <c r="K5194" s="365">
        <v>0.53</v>
      </c>
      <c r="L5194" s="475" t="s">
        <v>141</v>
      </c>
      <c r="M5194" s="473"/>
    </row>
    <row r="5195" spans="1:13" ht="13.5">
      <c r="A5195" s="475" t="s">
        <v>5614</v>
      </c>
      <c r="B5195" s="475" t="s">
        <v>5615</v>
      </c>
      <c r="C5195" s="475" t="s">
        <v>5621</v>
      </c>
      <c r="D5195" s="475" t="s">
        <v>5622</v>
      </c>
      <c r="E5195" s="476" t="s">
        <v>34</v>
      </c>
      <c r="F5195" s="475" t="s">
        <v>34</v>
      </c>
      <c r="G5195" s="364">
        <v>72978</v>
      </c>
      <c r="H5195" s="475" t="s">
        <v>4340</v>
      </c>
      <c r="I5195" s="475" t="s">
        <v>139</v>
      </c>
      <c r="J5195" s="475" t="s">
        <v>363</v>
      </c>
      <c r="K5195" s="365">
        <v>4.78</v>
      </c>
      <c r="L5195" s="475" t="s">
        <v>141</v>
      </c>
      <c r="M5195" s="473"/>
    </row>
    <row r="5196" spans="1:13" ht="13.5">
      <c r="A5196" s="475" t="s">
        <v>5614</v>
      </c>
      <c r="B5196" s="475" t="s">
        <v>5615</v>
      </c>
      <c r="C5196" s="475" t="s">
        <v>5621</v>
      </c>
      <c r="D5196" s="475" t="s">
        <v>5622</v>
      </c>
      <c r="E5196" s="476" t="s">
        <v>34</v>
      </c>
      <c r="F5196" s="475" t="s">
        <v>34</v>
      </c>
      <c r="G5196" s="364">
        <v>72979</v>
      </c>
      <c r="H5196" s="475" t="s">
        <v>4341</v>
      </c>
      <c r="I5196" s="475" t="s">
        <v>322</v>
      </c>
      <c r="J5196" s="475" t="s">
        <v>363</v>
      </c>
      <c r="K5196" s="365">
        <v>9.1300000000000008</v>
      </c>
      <c r="L5196" s="475" t="s">
        <v>141</v>
      </c>
      <c r="M5196" s="473"/>
    </row>
    <row r="5197" spans="1:13" ht="13.5">
      <c r="A5197" s="475" t="s">
        <v>5614</v>
      </c>
      <c r="B5197" s="475" t="s">
        <v>5615</v>
      </c>
      <c r="C5197" s="475" t="s">
        <v>5621</v>
      </c>
      <c r="D5197" s="475" t="s">
        <v>5622</v>
      </c>
      <c r="E5197" s="476">
        <v>73760</v>
      </c>
      <c r="F5197" s="475" t="s">
        <v>5623</v>
      </c>
      <c r="G5197" s="364" t="s">
        <v>4342</v>
      </c>
      <c r="H5197" s="475" t="s">
        <v>4343</v>
      </c>
      <c r="I5197" s="475" t="s">
        <v>322</v>
      </c>
      <c r="J5197" s="475" t="s">
        <v>140</v>
      </c>
      <c r="K5197" s="365">
        <v>4.51</v>
      </c>
      <c r="L5197" s="475" t="s">
        <v>141</v>
      </c>
      <c r="M5197" s="473"/>
    </row>
    <row r="5198" spans="1:13" ht="13.5">
      <c r="A5198" s="475" t="s">
        <v>5614</v>
      </c>
      <c r="B5198" s="475" t="s">
        <v>5615</v>
      </c>
      <c r="C5198" s="475" t="s">
        <v>5621</v>
      </c>
      <c r="D5198" s="475" t="s">
        <v>5622</v>
      </c>
      <c r="E5198" s="476">
        <v>73849</v>
      </c>
      <c r="F5198" s="475" t="s">
        <v>5624</v>
      </c>
      <c r="G5198" s="364" t="s">
        <v>4344</v>
      </c>
      <c r="H5198" s="475" t="s">
        <v>4345</v>
      </c>
      <c r="I5198" s="475" t="s">
        <v>1261</v>
      </c>
      <c r="J5198" s="475" t="s">
        <v>140</v>
      </c>
      <c r="K5198" s="365">
        <v>870.63</v>
      </c>
      <c r="L5198" s="475" t="s">
        <v>141</v>
      </c>
      <c r="M5198" s="473"/>
    </row>
    <row r="5199" spans="1:13" ht="13.5">
      <c r="A5199" s="475" t="s">
        <v>5614</v>
      </c>
      <c r="B5199" s="475" t="s">
        <v>5615</v>
      </c>
      <c r="C5199" s="475" t="s">
        <v>5621</v>
      </c>
      <c r="D5199" s="475" t="s">
        <v>5622</v>
      </c>
      <c r="E5199" s="476">
        <v>73849</v>
      </c>
      <c r="F5199" s="475" t="s">
        <v>5624</v>
      </c>
      <c r="G5199" s="364" t="s">
        <v>4346</v>
      </c>
      <c r="H5199" s="475" t="s">
        <v>4347</v>
      </c>
      <c r="I5199" s="475" t="s">
        <v>1261</v>
      </c>
      <c r="J5199" s="475" t="s">
        <v>140</v>
      </c>
      <c r="K5199" s="365">
        <v>704.78</v>
      </c>
      <c r="L5199" s="475" t="s">
        <v>141</v>
      </c>
      <c r="M5199" s="473"/>
    </row>
    <row r="5200" spans="1:13" ht="13.5">
      <c r="A5200" s="475" t="s">
        <v>5614</v>
      </c>
      <c r="B5200" s="475" t="s">
        <v>5615</v>
      </c>
      <c r="C5200" s="475" t="s">
        <v>5621</v>
      </c>
      <c r="D5200" s="475" t="s">
        <v>5622</v>
      </c>
      <c r="E5200" s="476" t="s">
        <v>34</v>
      </c>
      <c r="F5200" s="475" t="s">
        <v>34</v>
      </c>
      <c r="G5200" s="364">
        <v>92391</v>
      </c>
      <c r="H5200" s="475" t="s">
        <v>4348</v>
      </c>
      <c r="I5200" s="475" t="s">
        <v>322</v>
      </c>
      <c r="J5200" s="475" t="s">
        <v>337</v>
      </c>
      <c r="K5200" s="365">
        <v>53.29</v>
      </c>
      <c r="L5200" s="475" t="s">
        <v>141</v>
      </c>
      <c r="M5200" s="473"/>
    </row>
    <row r="5201" spans="1:13" ht="13.5">
      <c r="A5201" s="475" t="s">
        <v>5614</v>
      </c>
      <c r="B5201" s="475" t="s">
        <v>5615</v>
      </c>
      <c r="C5201" s="475" t="s">
        <v>5621</v>
      </c>
      <c r="D5201" s="475" t="s">
        <v>5622</v>
      </c>
      <c r="E5201" s="476" t="s">
        <v>34</v>
      </c>
      <c r="F5201" s="475" t="s">
        <v>34</v>
      </c>
      <c r="G5201" s="364">
        <v>92392</v>
      </c>
      <c r="H5201" s="475" t="s">
        <v>4349</v>
      </c>
      <c r="I5201" s="475" t="s">
        <v>322</v>
      </c>
      <c r="J5201" s="475" t="s">
        <v>337</v>
      </c>
      <c r="K5201" s="365">
        <v>55.89</v>
      </c>
      <c r="L5201" s="475" t="s">
        <v>141</v>
      </c>
      <c r="M5201" s="473"/>
    </row>
    <row r="5202" spans="1:13" ht="13.5">
      <c r="A5202" s="475" t="s">
        <v>5614</v>
      </c>
      <c r="B5202" s="475" t="s">
        <v>5615</v>
      </c>
      <c r="C5202" s="475" t="s">
        <v>5621</v>
      </c>
      <c r="D5202" s="475" t="s">
        <v>5622</v>
      </c>
      <c r="E5202" s="476" t="s">
        <v>34</v>
      </c>
      <c r="F5202" s="475" t="s">
        <v>34</v>
      </c>
      <c r="G5202" s="364">
        <v>92393</v>
      </c>
      <c r="H5202" s="475" t="s">
        <v>4350</v>
      </c>
      <c r="I5202" s="475" t="s">
        <v>322</v>
      </c>
      <c r="J5202" s="475" t="s">
        <v>337</v>
      </c>
      <c r="K5202" s="365">
        <v>48.11</v>
      </c>
      <c r="L5202" s="475" t="s">
        <v>141</v>
      </c>
      <c r="M5202" s="473"/>
    </row>
    <row r="5203" spans="1:13" ht="13.5">
      <c r="A5203" s="475" t="s">
        <v>5614</v>
      </c>
      <c r="B5203" s="475" t="s">
        <v>5615</v>
      </c>
      <c r="C5203" s="475" t="s">
        <v>5621</v>
      </c>
      <c r="D5203" s="475" t="s">
        <v>5622</v>
      </c>
      <c r="E5203" s="476" t="s">
        <v>34</v>
      </c>
      <c r="F5203" s="475" t="s">
        <v>34</v>
      </c>
      <c r="G5203" s="364">
        <v>92394</v>
      </c>
      <c r="H5203" s="475" t="s">
        <v>4351</v>
      </c>
      <c r="I5203" s="475" t="s">
        <v>322</v>
      </c>
      <c r="J5203" s="475" t="s">
        <v>337</v>
      </c>
      <c r="K5203" s="365">
        <v>51.73</v>
      </c>
      <c r="L5203" s="475" t="s">
        <v>141</v>
      </c>
      <c r="M5203" s="473"/>
    </row>
    <row r="5204" spans="1:13" ht="13.5">
      <c r="A5204" s="475" t="s">
        <v>5614</v>
      </c>
      <c r="B5204" s="475" t="s">
        <v>5615</v>
      </c>
      <c r="C5204" s="475" t="s">
        <v>5621</v>
      </c>
      <c r="D5204" s="475" t="s">
        <v>5622</v>
      </c>
      <c r="E5204" s="476" t="s">
        <v>34</v>
      </c>
      <c r="F5204" s="475" t="s">
        <v>34</v>
      </c>
      <c r="G5204" s="364">
        <v>92395</v>
      </c>
      <c r="H5204" s="475" t="s">
        <v>4352</v>
      </c>
      <c r="I5204" s="475" t="s">
        <v>322</v>
      </c>
      <c r="J5204" s="475" t="s">
        <v>337</v>
      </c>
      <c r="K5204" s="365">
        <v>65.069999999999993</v>
      </c>
      <c r="L5204" s="475" t="s">
        <v>141</v>
      </c>
      <c r="M5204" s="473"/>
    </row>
    <row r="5205" spans="1:13" ht="13.5">
      <c r="A5205" s="475" t="s">
        <v>5614</v>
      </c>
      <c r="B5205" s="475" t="s">
        <v>5615</v>
      </c>
      <c r="C5205" s="475" t="s">
        <v>5621</v>
      </c>
      <c r="D5205" s="475" t="s">
        <v>5622</v>
      </c>
      <c r="E5205" s="476" t="s">
        <v>34</v>
      </c>
      <c r="F5205" s="475" t="s">
        <v>34</v>
      </c>
      <c r="G5205" s="364">
        <v>92396</v>
      </c>
      <c r="H5205" s="475" t="s">
        <v>4353</v>
      </c>
      <c r="I5205" s="475" t="s">
        <v>322</v>
      </c>
      <c r="J5205" s="475" t="s">
        <v>337</v>
      </c>
      <c r="K5205" s="365">
        <v>57.56</v>
      </c>
      <c r="L5205" s="475" t="s">
        <v>141</v>
      </c>
      <c r="M5205" s="473"/>
    </row>
    <row r="5206" spans="1:13" ht="13.5">
      <c r="A5206" s="475" t="s">
        <v>5614</v>
      </c>
      <c r="B5206" s="475" t="s">
        <v>5615</v>
      </c>
      <c r="C5206" s="475" t="s">
        <v>5621</v>
      </c>
      <c r="D5206" s="475" t="s">
        <v>5622</v>
      </c>
      <c r="E5206" s="476" t="s">
        <v>34</v>
      </c>
      <c r="F5206" s="475" t="s">
        <v>34</v>
      </c>
      <c r="G5206" s="364">
        <v>92397</v>
      </c>
      <c r="H5206" s="475" t="s">
        <v>4354</v>
      </c>
      <c r="I5206" s="475" t="s">
        <v>322</v>
      </c>
      <c r="J5206" s="475" t="s">
        <v>337</v>
      </c>
      <c r="K5206" s="365">
        <v>47.62</v>
      </c>
      <c r="L5206" s="475" t="s">
        <v>141</v>
      </c>
      <c r="M5206" s="473"/>
    </row>
    <row r="5207" spans="1:13" ht="13.5">
      <c r="A5207" s="475" t="s">
        <v>5614</v>
      </c>
      <c r="B5207" s="475" t="s">
        <v>5615</v>
      </c>
      <c r="C5207" s="475" t="s">
        <v>5621</v>
      </c>
      <c r="D5207" s="475" t="s">
        <v>5622</v>
      </c>
      <c r="E5207" s="476" t="s">
        <v>34</v>
      </c>
      <c r="F5207" s="475" t="s">
        <v>34</v>
      </c>
      <c r="G5207" s="364">
        <v>92398</v>
      </c>
      <c r="H5207" s="475" t="s">
        <v>4355</v>
      </c>
      <c r="I5207" s="475" t="s">
        <v>322</v>
      </c>
      <c r="J5207" s="475" t="s">
        <v>337</v>
      </c>
      <c r="K5207" s="365">
        <v>53.51</v>
      </c>
      <c r="L5207" s="475" t="s">
        <v>141</v>
      </c>
      <c r="M5207" s="473"/>
    </row>
    <row r="5208" spans="1:13" ht="13.5">
      <c r="A5208" s="475" t="s">
        <v>5614</v>
      </c>
      <c r="B5208" s="475" t="s">
        <v>5615</v>
      </c>
      <c r="C5208" s="475" t="s">
        <v>5621</v>
      </c>
      <c r="D5208" s="475" t="s">
        <v>5622</v>
      </c>
      <c r="E5208" s="476" t="s">
        <v>34</v>
      </c>
      <c r="F5208" s="475" t="s">
        <v>34</v>
      </c>
      <c r="G5208" s="364">
        <v>92399</v>
      </c>
      <c r="H5208" s="475" t="s">
        <v>4356</v>
      </c>
      <c r="I5208" s="475" t="s">
        <v>322</v>
      </c>
      <c r="J5208" s="475" t="s">
        <v>337</v>
      </c>
      <c r="K5208" s="365">
        <v>54.55</v>
      </c>
      <c r="L5208" s="475" t="s">
        <v>141</v>
      </c>
      <c r="M5208" s="473"/>
    </row>
    <row r="5209" spans="1:13" ht="13.5">
      <c r="A5209" s="475" t="s">
        <v>5614</v>
      </c>
      <c r="B5209" s="475" t="s">
        <v>5615</v>
      </c>
      <c r="C5209" s="475" t="s">
        <v>5621</v>
      </c>
      <c r="D5209" s="475" t="s">
        <v>5622</v>
      </c>
      <c r="E5209" s="476" t="s">
        <v>34</v>
      </c>
      <c r="F5209" s="475" t="s">
        <v>34</v>
      </c>
      <c r="G5209" s="364">
        <v>92400</v>
      </c>
      <c r="H5209" s="475" t="s">
        <v>4357</v>
      </c>
      <c r="I5209" s="475" t="s">
        <v>322</v>
      </c>
      <c r="J5209" s="475" t="s">
        <v>337</v>
      </c>
      <c r="K5209" s="365">
        <v>65.28</v>
      </c>
      <c r="L5209" s="475" t="s">
        <v>141</v>
      </c>
      <c r="M5209" s="473"/>
    </row>
    <row r="5210" spans="1:13" ht="13.5">
      <c r="A5210" s="475" t="s">
        <v>5614</v>
      </c>
      <c r="B5210" s="475" t="s">
        <v>5615</v>
      </c>
      <c r="C5210" s="475" t="s">
        <v>5621</v>
      </c>
      <c r="D5210" s="475" t="s">
        <v>5622</v>
      </c>
      <c r="E5210" s="476" t="s">
        <v>34</v>
      </c>
      <c r="F5210" s="475" t="s">
        <v>34</v>
      </c>
      <c r="G5210" s="364">
        <v>92401</v>
      </c>
      <c r="H5210" s="475" t="s">
        <v>4358</v>
      </c>
      <c r="I5210" s="475" t="s">
        <v>322</v>
      </c>
      <c r="J5210" s="475" t="s">
        <v>337</v>
      </c>
      <c r="K5210" s="365">
        <v>66.41</v>
      </c>
      <c r="L5210" s="475" t="s">
        <v>141</v>
      </c>
      <c r="M5210" s="473"/>
    </row>
    <row r="5211" spans="1:13" ht="13.5">
      <c r="A5211" s="475" t="s">
        <v>5614</v>
      </c>
      <c r="B5211" s="475" t="s">
        <v>5615</v>
      </c>
      <c r="C5211" s="475" t="s">
        <v>5621</v>
      </c>
      <c r="D5211" s="475" t="s">
        <v>5622</v>
      </c>
      <c r="E5211" s="476" t="s">
        <v>34</v>
      </c>
      <c r="F5211" s="475" t="s">
        <v>34</v>
      </c>
      <c r="G5211" s="364">
        <v>92402</v>
      </c>
      <c r="H5211" s="475" t="s">
        <v>4359</v>
      </c>
      <c r="I5211" s="475" t="s">
        <v>322</v>
      </c>
      <c r="J5211" s="475" t="s">
        <v>337</v>
      </c>
      <c r="K5211" s="365">
        <v>58.97</v>
      </c>
      <c r="L5211" s="475" t="s">
        <v>141</v>
      </c>
      <c r="M5211" s="473"/>
    </row>
    <row r="5212" spans="1:13" ht="13.5">
      <c r="A5212" s="475" t="s">
        <v>5614</v>
      </c>
      <c r="B5212" s="475" t="s">
        <v>5615</v>
      </c>
      <c r="C5212" s="475" t="s">
        <v>5621</v>
      </c>
      <c r="D5212" s="475" t="s">
        <v>5622</v>
      </c>
      <c r="E5212" s="476" t="s">
        <v>34</v>
      </c>
      <c r="F5212" s="475" t="s">
        <v>34</v>
      </c>
      <c r="G5212" s="364">
        <v>92403</v>
      </c>
      <c r="H5212" s="475" t="s">
        <v>4360</v>
      </c>
      <c r="I5212" s="475" t="s">
        <v>322</v>
      </c>
      <c r="J5212" s="475" t="s">
        <v>337</v>
      </c>
      <c r="K5212" s="365">
        <v>48.91</v>
      </c>
      <c r="L5212" s="475" t="s">
        <v>141</v>
      </c>
      <c r="M5212" s="473"/>
    </row>
    <row r="5213" spans="1:13" ht="13.5">
      <c r="A5213" s="475" t="s">
        <v>5614</v>
      </c>
      <c r="B5213" s="475" t="s">
        <v>5615</v>
      </c>
      <c r="C5213" s="475" t="s">
        <v>5621</v>
      </c>
      <c r="D5213" s="475" t="s">
        <v>5622</v>
      </c>
      <c r="E5213" s="476" t="s">
        <v>34</v>
      </c>
      <c r="F5213" s="475" t="s">
        <v>34</v>
      </c>
      <c r="G5213" s="364">
        <v>92404</v>
      </c>
      <c r="H5213" s="475" t="s">
        <v>4361</v>
      </c>
      <c r="I5213" s="475" t="s">
        <v>322</v>
      </c>
      <c r="J5213" s="475" t="s">
        <v>337</v>
      </c>
      <c r="K5213" s="365">
        <v>54.81</v>
      </c>
      <c r="L5213" s="475" t="s">
        <v>141</v>
      </c>
      <c r="M5213" s="473"/>
    </row>
    <row r="5214" spans="1:13" ht="13.5">
      <c r="A5214" s="475" t="s">
        <v>5614</v>
      </c>
      <c r="B5214" s="475" t="s">
        <v>5615</v>
      </c>
      <c r="C5214" s="475" t="s">
        <v>5621</v>
      </c>
      <c r="D5214" s="475" t="s">
        <v>5622</v>
      </c>
      <c r="E5214" s="476" t="s">
        <v>34</v>
      </c>
      <c r="F5214" s="475" t="s">
        <v>34</v>
      </c>
      <c r="G5214" s="364">
        <v>92405</v>
      </c>
      <c r="H5214" s="475" t="s">
        <v>4362</v>
      </c>
      <c r="I5214" s="475" t="s">
        <v>322</v>
      </c>
      <c r="J5214" s="475" t="s">
        <v>337</v>
      </c>
      <c r="K5214" s="365">
        <v>55.84</v>
      </c>
      <c r="L5214" s="475" t="s">
        <v>141</v>
      </c>
      <c r="M5214" s="473"/>
    </row>
    <row r="5215" spans="1:13" ht="13.5">
      <c r="A5215" s="475" t="s">
        <v>5614</v>
      </c>
      <c r="B5215" s="475" t="s">
        <v>5615</v>
      </c>
      <c r="C5215" s="475" t="s">
        <v>5621</v>
      </c>
      <c r="D5215" s="475" t="s">
        <v>5622</v>
      </c>
      <c r="E5215" s="476" t="s">
        <v>34</v>
      </c>
      <c r="F5215" s="475" t="s">
        <v>34</v>
      </c>
      <c r="G5215" s="364">
        <v>92406</v>
      </c>
      <c r="H5215" s="475" t="s">
        <v>4363</v>
      </c>
      <c r="I5215" s="475" t="s">
        <v>322</v>
      </c>
      <c r="J5215" s="475" t="s">
        <v>337</v>
      </c>
      <c r="K5215" s="365">
        <v>66.599999999999994</v>
      </c>
      <c r="L5215" s="475" t="s">
        <v>141</v>
      </c>
      <c r="M5215" s="473"/>
    </row>
    <row r="5216" spans="1:13" ht="13.5">
      <c r="A5216" s="475" t="s">
        <v>5614</v>
      </c>
      <c r="B5216" s="475" t="s">
        <v>5615</v>
      </c>
      <c r="C5216" s="475" t="s">
        <v>5621</v>
      </c>
      <c r="D5216" s="475" t="s">
        <v>5622</v>
      </c>
      <c r="E5216" s="476" t="s">
        <v>34</v>
      </c>
      <c r="F5216" s="475" t="s">
        <v>34</v>
      </c>
      <c r="G5216" s="364">
        <v>92407</v>
      </c>
      <c r="H5216" s="475" t="s">
        <v>4364</v>
      </c>
      <c r="I5216" s="475" t="s">
        <v>322</v>
      </c>
      <c r="J5216" s="475" t="s">
        <v>337</v>
      </c>
      <c r="K5216" s="365">
        <v>67.7</v>
      </c>
      <c r="L5216" s="475" t="s">
        <v>141</v>
      </c>
      <c r="M5216" s="473"/>
    </row>
    <row r="5217" spans="1:13" ht="13.5">
      <c r="A5217" s="475" t="s">
        <v>5614</v>
      </c>
      <c r="B5217" s="475" t="s">
        <v>5615</v>
      </c>
      <c r="C5217" s="475" t="s">
        <v>5621</v>
      </c>
      <c r="D5217" s="475" t="s">
        <v>5622</v>
      </c>
      <c r="E5217" s="476" t="s">
        <v>34</v>
      </c>
      <c r="F5217" s="475" t="s">
        <v>34</v>
      </c>
      <c r="G5217" s="364">
        <v>93679</v>
      </c>
      <c r="H5217" s="475" t="s">
        <v>4365</v>
      </c>
      <c r="I5217" s="475" t="s">
        <v>322</v>
      </c>
      <c r="J5217" s="475" t="s">
        <v>337</v>
      </c>
      <c r="K5217" s="365">
        <v>62.51</v>
      </c>
      <c r="L5217" s="475" t="s">
        <v>141</v>
      </c>
      <c r="M5217" s="473"/>
    </row>
    <row r="5218" spans="1:13" ht="13.5">
      <c r="A5218" s="475" t="s">
        <v>5614</v>
      </c>
      <c r="B5218" s="475" t="s">
        <v>5615</v>
      </c>
      <c r="C5218" s="475" t="s">
        <v>5621</v>
      </c>
      <c r="D5218" s="475" t="s">
        <v>5622</v>
      </c>
      <c r="E5218" s="476" t="s">
        <v>34</v>
      </c>
      <c r="F5218" s="475" t="s">
        <v>34</v>
      </c>
      <c r="G5218" s="364">
        <v>93680</v>
      </c>
      <c r="H5218" s="475" t="s">
        <v>4366</v>
      </c>
      <c r="I5218" s="475" t="s">
        <v>322</v>
      </c>
      <c r="J5218" s="475" t="s">
        <v>337</v>
      </c>
      <c r="K5218" s="365">
        <v>52.35</v>
      </c>
      <c r="L5218" s="475" t="s">
        <v>141</v>
      </c>
      <c r="M5218" s="473"/>
    </row>
    <row r="5219" spans="1:13" ht="13.5">
      <c r="A5219" s="475" t="s">
        <v>5614</v>
      </c>
      <c r="B5219" s="475" t="s">
        <v>5615</v>
      </c>
      <c r="C5219" s="475" t="s">
        <v>5621</v>
      </c>
      <c r="D5219" s="475" t="s">
        <v>5622</v>
      </c>
      <c r="E5219" s="476" t="s">
        <v>34</v>
      </c>
      <c r="F5219" s="475" t="s">
        <v>34</v>
      </c>
      <c r="G5219" s="364">
        <v>93681</v>
      </c>
      <c r="H5219" s="475" t="s">
        <v>4367</v>
      </c>
      <c r="I5219" s="475" t="s">
        <v>322</v>
      </c>
      <c r="J5219" s="475" t="s">
        <v>337</v>
      </c>
      <c r="K5219" s="365">
        <v>62.97</v>
      </c>
      <c r="L5219" s="475" t="s">
        <v>141</v>
      </c>
      <c r="M5219" s="473"/>
    </row>
    <row r="5220" spans="1:13" ht="13.5">
      <c r="A5220" s="475" t="s">
        <v>5614</v>
      </c>
      <c r="B5220" s="475" t="s">
        <v>5615</v>
      </c>
      <c r="C5220" s="475" t="s">
        <v>5621</v>
      </c>
      <c r="D5220" s="475" t="s">
        <v>5622</v>
      </c>
      <c r="E5220" s="476" t="s">
        <v>34</v>
      </c>
      <c r="F5220" s="475" t="s">
        <v>34</v>
      </c>
      <c r="G5220" s="364">
        <v>93682</v>
      </c>
      <c r="H5220" s="475" t="s">
        <v>4368</v>
      </c>
      <c r="I5220" s="475" t="s">
        <v>322</v>
      </c>
      <c r="J5220" s="475" t="s">
        <v>337</v>
      </c>
      <c r="K5220" s="365">
        <v>64.099999999999994</v>
      </c>
      <c r="L5220" s="475" t="s">
        <v>141</v>
      </c>
      <c r="M5220" s="473"/>
    </row>
    <row r="5221" spans="1:13" ht="13.5">
      <c r="A5221" s="475" t="s">
        <v>5614</v>
      </c>
      <c r="B5221" s="475" t="s">
        <v>5615</v>
      </c>
      <c r="C5221" s="475" t="s">
        <v>5621</v>
      </c>
      <c r="D5221" s="475" t="s">
        <v>5622</v>
      </c>
      <c r="E5221" s="476" t="s">
        <v>34</v>
      </c>
      <c r="F5221" s="475" t="s">
        <v>34</v>
      </c>
      <c r="G5221" s="364">
        <v>97114</v>
      </c>
      <c r="H5221" s="475" t="s">
        <v>5901</v>
      </c>
      <c r="I5221" s="475" t="s">
        <v>139</v>
      </c>
      <c r="J5221" s="475" t="s">
        <v>337</v>
      </c>
      <c r="K5221" s="365">
        <v>0.31</v>
      </c>
      <c r="L5221" s="475" t="s">
        <v>141</v>
      </c>
      <c r="M5221" s="473"/>
    </row>
    <row r="5222" spans="1:13" ht="13.5">
      <c r="A5222" s="475" t="s">
        <v>5614</v>
      </c>
      <c r="B5222" s="475" t="s">
        <v>5615</v>
      </c>
      <c r="C5222" s="475" t="s">
        <v>5621</v>
      </c>
      <c r="D5222" s="475" t="s">
        <v>5622</v>
      </c>
      <c r="E5222" s="476" t="s">
        <v>34</v>
      </c>
      <c r="F5222" s="475" t="s">
        <v>34</v>
      </c>
      <c r="G5222" s="364">
        <v>97115</v>
      </c>
      <c r="H5222" s="475" t="s">
        <v>5902</v>
      </c>
      <c r="I5222" s="475" t="s">
        <v>315</v>
      </c>
      <c r="J5222" s="475" t="s">
        <v>337</v>
      </c>
      <c r="K5222" s="365">
        <v>37.840000000000003</v>
      </c>
      <c r="L5222" s="475" t="s">
        <v>141</v>
      </c>
      <c r="M5222" s="473"/>
    </row>
    <row r="5223" spans="1:13" ht="13.5">
      <c r="A5223" s="475" t="s">
        <v>5614</v>
      </c>
      <c r="B5223" s="475" t="s">
        <v>5615</v>
      </c>
      <c r="C5223" s="475" t="s">
        <v>5621</v>
      </c>
      <c r="D5223" s="475" t="s">
        <v>5622</v>
      </c>
      <c r="E5223" s="476" t="s">
        <v>34</v>
      </c>
      <c r="F5223" s="475" t="s">
        <v>34</v>
      </c>
      <c r="G5223" s="364">
        <v>97120</v>
      </c>
      <c r="H5223" s="475" t="s">
        <v>5903</v>
      </c>
      <c r="I5223" s="475" t="s">
        <v>315</v>
      </c>
      <c r="J5223" s="475" t="s">
        <v>337</v>
      </c>
      <c r="K5223" s="365">
        <v>6.4</v>
      </c>
      <c r="L5223" s="475" t="s">
        <v>141</v>
      </c>
      <c r="M5223" s="473"/>
    </row>
    <row r="5224" spans="1:13" ht="13.5">
      <c r="A5224" s="475" t="s">
        <v>5614</v>
      </c>
      <c r="B5224" s="475" t="s">
        <v>5615</v>
      </c>
      <c r="C5224" s="475" t="s">
        <v>5621</v>
      </c>
      <c r="D5224" s="475" t="s">
        <v>5622</v>
      </c>
      <c r="E5224" s="476" t="s">
        <v>34</v>
      </c>
      <c r="F5224" s="475" t="s">
        <v>34</v>
      </c>
      <c r="G5224" s="364">
        <v>97802</v>
      </c>
      <c r="H5224" s="475" t="s">
        <v>6136</v>
      </c>
      <c r="I5224" s="475" t="s">
        <v>322</v>
      </c>
      <c r="J5224" s="475" t="s">
        <v>140</v>
      </c>
      <c r="K5224" s="365">
        <v>3.99</v>
      </c>
      <c r="L5224" s="475" t="s">
        <v>141</v>
      </c>
      <c r="M5224" s="473"/>
    </row>
    <row r="5225" spans="1:13" ht="13.5">
      <c r="A5225" s="475" t="s">
        <v>5614</v>
      </c>
      <c r="B5225" s="475" t="s">
        <v>5615</v>
      </c>
      <c r="C5225" s="475" t="s">
        <v>5621</v>
      </c>
      <c r="D5225" s="475" t="s">
        <v>5622</v>
      </c>
      <c r="E5225" s="476" t="s">
        <v>34</v>
      </c>
      <c r="F5225" s="475" t="s">
        <v>34</v>
      </c>
      <c r="G5225" s="364">
        <v>97803</v>
      </c>
      <c r="H5225" s="475" t="s">
        <v>6137</v>
      </c>
      <c r="I5225" s="475" t="s">
        <v>322</v>
      </c>
      <c r="J5225" s="475" t="s">
        <v>140</v>
      </c>
      <c r="K5225" s="365">
        <v>4.79</v>
      </c>
      <c r="L5225" s="475" t="s">
        <v>141</v>
      </c>
      <c r="M5225" s="473"/>
    </row>
    <row r="5226" spans="1:13" ht="13.5">
      <c r="A5226" s="475" t="s">
        <v>5614</v>
      </c>
      <c r="B5226" s="475" t="s">
        <v>5615</v>
      </c>
      <c r="C5226" s="475" t="s">
        <v>5621</v>
      </c>
      <c r="D5226" s="475" t="s">
        <v>5622</v>
      </c>
      <c r="E5226" s="476" t="s">
        <v>34</v>
      </c>
      <c r="F5226" s="475" t="s">
        <v>34</v>
      </c>
      <c r="G5226" s="364">
        <v>97805</v>
      </c>
      <c r="H5226" s="475" t="s">
        <v>6138</v>
      </c>
      <c r="I5226" s="475" t="s">
        <v>322</v>
      </c>
      <c r="J5226" s="475" t="s">
        <v>140</v>
      </c>
      <c r="K5226" s="365">
        <v>8.65</v>
      </c>
      <c r="L5226" s="475" t="s">
        <v>141</v>
      </c>
      <c r="M5226" s="473"/>
    </row>
    <row r="5227" spans="1:13" ht="13.5">
      <c r="A5227" s="475" t="s">
        <v>5614</v>
      </c>
      <c r="B5227" s="475" t="s">
        <v>5615</v>
      </c>
      <c r="C5227" s="475" t="s">
        <v>5621</v>
      </c>
      <c r="D5227" s="475" t="s">
        <v>5622</v>
      </c>
      <c r="E5227" s="476" t="s">
        <v>34</v>
      </c>
      <c r="F5227" s="475" t="s">
        <v>34</v>
      </c>
      <c r="G5227" s="364">
        <v>97806</v>
      </c>
      <c r="H5227" s="475" t="s">
        <v>6139</v>
      </c>
      <c r="I5227" s="475" t="s">
        <v>322</v>
      </c>
      <c r="J5227" s="475" t="s">
        <v>140</v>
      </c>
      <c r="K5227" s="365">
        <v>10.52</v>
      </c>
      <c r="L5227" s="475" t="s">
        <v>141</v>
      </c>
      <c r="M5227" s="473"/>
    </row>
    <row r="5228" spans="1:13" ht="13.5">
      <c r="A5228" s="475" t="s">
        <v>5614</v>
      </c>
      <c r="B5228" s="475" t="s">
        <v>5615</v>
      </c>
      <c r="C5228" s="475" t="s">
        <v>5621</v>
      </c>
      <c r="D5228" s="475" t="s">
        <v>5622</v>
      </c>
      <c r="E5228" s="476" t="s">
        <v>34</v>
      </c>
      <c r="F5228" s="475" t="s">
        <v>34</v>
      </c>
      <c r="G5228" s="364">
        <v>97807</v>
      </c>
      <c r="H5228" s="475" t="s">
        <v>6140</v>
      </c>
      <c r="I5228" s="475" t="s">
        <v>322</v>
      </c>
      <c r="J5228" s="475" t="s">
        <v>140</v>
      </c>
      <c r="K5228" s="365">
        <v>12.22</v>
      </c>
      <c r="L5228" s="475" t="s">
        <v>141</v>
      </c>
      <c r="M5228" s="473"/>
    </row>
    <row r="5229" spans="1:13" ht="13.5">
      <c r="A5229" s="475" t="s">
        <v>5614</v>
      </c>
      <c r="B5229" s="475" t="s">
        <v>5615</v>
      </c>
      <c r="C5229" s="475" t="s">
        <v>5621</v>
      </c>
      <c r="D5229" s="475" t="s">
        <v>5622</v>
      </c>
      <c r="E5229" s="476" t="s">
        <v>34</v>
      </c>
      <c r="F5229" s="475" t="s">
        <v>34</v>
      </c>
      <c r="G5229" s="364">
        <v>97809</v>
      </c>
      <c r="H5229" s="475" t="s">
        <v>6141</v>
      </c>
      <c r="I5229" s="475" t="s">
        <v>322</v>
      </c>
      <c r="J5229" s="475" t="s">
        <v>140</v>
      </c>
      <c r="K5229" s="365">
        <v>15.44</v>
      </c>
      <c r="L5229" s="475" t="s">
        <v>141</v>
      </c>
      <c r="M5229" s="473"/>
    </row>
    <row r="5230" spans="1:13" ht="13.5">
      <c r="A5230" s="475" t="s">
        <v>5614</v>
      </c>
      <c r="B5230" s="475" t="s">
        <v>5615</v>
      </c>
      <c r="C5230" s="475" t="s">
        <v>5621</v>
      </c>
      <c r="D5230" s="475" t="s">
        <v>5622</v>
      </c>
      <c r="E5230" s="476" t="s">
        <v>34</v>
      </c>
      <c r="F5230" s="475" t="s">
        <v>34</v>
      </c>
      <c r="G5230" s="364">
        <v>97810</v>
      </c>
      <c r="H5230" s="475" t="s">
        <v>6142</v>
      </c>
      <c r="I5230" s="475" t="s">
        <v>322</v>
      </c>
      <c r="J5230" s="475" t="s">
        <v>140</v>
      </c>
      <c r="K5230" s="365">
        <v>17.329999999999998</v>
      </c>
      <c r="L5230" s="475" t="s">
        <v>141</v>
      </c>
      <c r="M5230" s="473"/>
    </row>
    <row r="5231" spans="1:13" ht="13.5">
      <c r="A5231" s="475" t="s">
        <v>5614</v>
      </c>
      <c r="B5231" s="475" t="s">
        <v>5615</v>
      </c>
      <c r="C5231" s="475" t="s">
        <v>5621</v>
      </c>
      <c r="D5231" s="475" t="s">
        <v>5622</v>
      </c>
      <c r="E5231" s="476" t="s">
        <v>34</v>
      </c>
      <c r="F5231" s="475" t="s">
        <v>34</v>
      </c>
      <c r="G5231" s="364">
        <v>97811</v>
      </c>
      <c r="H5231" s="475" t="s">
        <v>6143</v>
      </c>
      <c r="I5231" s="475" t="s">
        <v>322</v>
      </c>
      <c r="J5231" s="475" t="s">
        <v>140</v>
      </c>
      <c r="K5231" s="365">
        <v>19.059999999999999</v>
      </c>
      <c r="L5231" s="475" t="s">
        <v>141</v>
      </c>
      <c r="M5231" s="473"/>
    </row>
    <row r="5232" spans="1:13" ht="13.5">
      <c r="A5232" s="475" t="s">
        <v>5614</v>
      </c>
      <c r="B5232" s="475" t="s">
        <v>5615</v>
      </c>
      <c r="C5232" s="475" t="s">
        <v>5621</v>
      </c>
      <c r="D5232" s="475" t="s">
        <v>5622</v>
      </c>
      <c r="E5232" s="476" t="s">
        <v>34</v>
      </c>
      <c r="F5232" s="475" t="s">
        <v>34</v>
      </c>
      <c r="G5232" s="364">
        <v>97813</v>
      </c>
      <c r="H5232" s="475" t="s">
        <v>6144</v>
      </c>
      <c r="I5232" s="475" t="s">
        <v>322</v>
      </c>
      <c r="J5232" s="475" t="s">
        <v>140</v>
      </c>
      <c r="K5232" s="365">
        <v>4.16</v>
      </c>
      <c r="L5232" s="475" t="s">
        <v>141</v>
      </c>
      <c r="M5232" s="473"/>
    </row>
    <row r="5233" spans="1:13" ht="13.5">
      <c r="A5233" s="475" t="s">
        <v>5614</v>
      </c>
      <c r="B5233" s="475" t="s">
        <v>5615</v>
      </c>
      <c r="C5233" s="475" t="s">
        <v>5621</v>
      </c>
      <c r="D5233" s="475" t="s">
        <v>5622</v>
      </c>
      <c r="E5233" s="476" t="s">
        <v>34</v>
      </c>
      <c r="F5233" s="475" t="s">
        <v>34</v>
      </c>
      <c r="G5233" s="364">
        <v>97814</v>
      </c>
      <c r="H5233" s="475" t="s">
        <v>6145</v>
      </c>
      <c r="I5233" s="475" t="s">
        <v>322</v>
      </c>
      <c r="J5233" s="475" t="s">
        <v>140</v>
      </c>
      <c r="K5233" s="365">
        <v>4.96</v>
      </c>
      <c r="L5233" s="475" t="s">
        <v>141</v>
      </c>
      <c r="M5233" s="473"/>
    </row>
    <row r="5234" spans="1:13" ht="13.5">
      <c r="A5234" s="475" t="s">
        <v>5614</v>
      </c>
      <c r="B5234" s="475" t="s">
        <v>5615</v>
      </c>
      <c r="C5234" s="475" t="s">
        <v>5621</v>
      </c>
      <c r="D5234" s="475" t="s">
        <v>5622</v>
      </c>
      <c r="E5234" s="476" t="s">
        <v>34</v>
      </c>
      <c r="F5234" s="475" t="s">
        <v>34</v>
      </c>
      <c r="G5234" s="364">
        <v>97816</v>
      </c>
      <c r="H5234" s="475" t="s">
        <v>6146</v>
      </c>
      <c r="I5234" s="475" t="s">
        <v>322</v>
      </c>
      <c r="J5234" s="475" t="s">
        <v>140</v>
      </c>
      <c r="K5234" s="365">
        <v>9.1300000000000008</v>
      </c>
      <c r="L5234" s="475" t="s">
        <v>141</v>
      </c>
      <c r="M5234" s="473"/>
    </row>
    <row r="5235" spans="1:13" ht="13.5">
      <c r="A5235" s="475" t="s">
        <v>5614</v>
      </c>
      <c r="B5235" s="475" t="s">
        <v>5615</v>
      </c>
      <c r="C5235" s="475" t="s">
        <v>5621</v>
      </c>
      <c r="D5235" s="475" t="s">
        <v>5622</v>
      </c>
      <c r="E5235" s="476" t="s">
        <v>34</v>
      </c>
      <c r="F5235" s="475" t="s">
        <v>34</v>
      </c>
      <c r="G5235" s="364">
        <v>97817</v>
      </c>
      <c r="H5235" s="475" t="s">
        <v>6147</v>
      </c>
      <c r="I5235" s="475" t="s">
        <v>322</v>
      </c>
      <c r="J5235" s="475" t="s">
        <v>140</v>
      </c>
      <c r="K5235" s="365">
        <v>11</v>
      </c>
      <c r="L5235" s="475" t="s">
        <v>141</v>
      </c>
      <c r="M5235" s="473"/>
    </row>
    <row r="5236" spans="1:13" ht="13.5">
      <c r="A5236" s="475" t="s">
        <v>5614</v>
      </c>
      <c r="B5236" s="475" t="s">
        <v>5615</v>
      </c>
      <c r="C5236" s="475" t="s">
        <v>5621</v>
      </c>
      <c r="D5236" s="475" t="s">
        <v>5622</v>
      </c>
      <c r="E5236" s="476" t="s">
        <v>34</v>
      </c>
      <c r="F5236" s="475" t="s">
        <v>34</v>
      </c>
      <c r="G5236" s="364">
        <v>97818</v>
      </c>
      <c r="H5236" s="475" t="s">
        <v>6148</v>
      </c>
      <c r="I5236" s="475" t="s">
        <v>322</v>
      </c>
      <c r="J5236" s="475" t="s">
        <v>140</v>
      </c>
      <c r="K5236" s="365">
        <v>12.89</v>
      </c>
      <c r="L5236" s="475" t="s">
        <v>141</v>
      </c>
      <c r="M5236" s="473"/>
    </row>
    <row r="5237" spans="1:13" ht="13.5">
      <c r="A5237" s="475" t="s">
        <v>5614</v>
      </c>
      <c r="B5237" s="475" t="s">
        <v>5615</v>
      </c>
      <c r="C5237" s="475" t="s">
        <v>5621</v>
      </c>
      <c r="D5237" s="475" t="s">
        <v>5622</v>
      </c>
      <c r="E5237" s="476" t="s">
        <v>34</v>
      </c>
      <c r="F5237" s="475" t="s">
        <v>34</v>
      </c>
      <c r="G5237" s="364">
        <v>97820</v>
      </c>
      <c r="H5237" s="475" t="s">
        <v>6149</v>
      </c>
      <c r="I5237" s="475" t="s">
        <v>322</v>
      </c>
      <c r="J5237" s="475" t="s">
        <v>140</v>
      </c>
      <c r="K5237" s="365">
        <v>16.41</v>
      </c>
      <c r="L5237" s="475" t="s">
        <v>141</v>
      </c>
      <c r="M5237" s="473"/>
    </row>
    <row r="5238" spans="1:13" ht="13.5">
      <c r="A5238" s="475" t="s">
        <v>5614</v>
      </c>
      <c r="B5238" s="475" t="s">
        <v>5615</v>
      </c>
      <c r="C5238" s="475" t="s">
        <v>5621</v>
      </c>
      <c r="D5238" s="475" t="s">
        <v>5622</v>
      </c>
      <c r="E5238" s="476" t="s">
        <v>34</v>
      </c>
      <c r="F5238" s="475" t="s">
        <v>34</v>
      </c>
      <c r="G5238" s="364">
        <v>97821</v>
      </c>
      <c r="H5238" s="475" t="s">
        <v>6150</v>
      </c>
      <c r="I5238" s="475" t="s">
        <v>322</v>
      </c>
      <c r="J5238" s="475" t="s">
        <v>140</v>
      </c>
      <c r="K5238" s="365">
        <v>18.29</v>
      </c>
      <c r="L5238" s="475" t="s">
        <v>141</v>
      </c>
      <c r="M5238" s="473"/>
    </row>
    <row r="5239" spans="1:13" ht="13.5">
      <c r="A5239" s="475" t="s">
        <v>5614</v>
      </c>
      <c r="B5239" s="475" t="s">
        <v>5615</v>
      </c>
      <c r="C5239" s="475" t="s">
        <v>5621</v>
      </c>
      <c r="D5239" s="475" t="s">
        <v>5622</v>
      </c>
      <c r="E5239" s="476" t="s">
        <v>34</v>
      </c>
      <c r="F5239" s="475" t="s">
        <v>34</v>
      </c>
      <c r="G5239" s="364">
        <v>97822</v>
      </c>
      <c r="H5239" s="475" t="s">
        <v>6151</v>
      </c>
      <c r="I5239" s="475" t="s">
        <v>322</v>
      </c>
      <c r="J5239" s="475" t="s">
        <v>140</v>
      </c>
      <c r="K5239" s="365">
        <v>20.190000000000001</v>
      </c>
      <c r="L5239" s="475" t="s">
        <v>141</v>
      </c>
      <c r="M5239" s="473"/>
    </row>
    <row r="5240" spans="1:13" ht="13.5">
      <c r="A5240" s="475" t="s">
        <v>5614</v>
      </c>
      <c r="B5240" s="475" t="s">
        <v>5615</v>
      </c>
      <c r="C5240" s="475" t="s">
        <v>5625</v>
      </c>
      <c r="D5240" s="475" t="s">
        <v>5626</v>
      </c>
      <c r="E5240" s="476" t="s">
        <v>34</v>
      </c>
      <c r="F5240" s="475" t="s">
        <v>34</v>
      </c>
      <c r="G5240" s="364">
        <v>72947</v>
      </c>
      <c r="H5240" s="475" t="s">
        <v>4369</v>
      </c>
      <c r="I5240" s="475" t="s">
        <v>322</v>
      </c>
      <c r="J5240" s="475" t="s">
        <v>140</v>
      </c>
      <c r="K5240" s="365">
        <v>13.67</v>
      </c>
      <c r="L5240" s="475" t="s">
        <v>141</v>
      </c>
      <c r="M5240" s="473"/>
    </row>
    <row r="5241" spans="1:13" ht="13.5">
      <c r="A5241" s="475" t="s">
        <v>5614</v>
      </c>
      <c r="B5241" s="475" t="s">
        <v>5615</v>
      </c>
      <c r="C5241" s="475" t="s">
        <v>5625</v>
      </c>
      <c r="D5241" s="475" t="s">
        <v>5626</v>
      </c>
      <c r="E5241" s="476" t="s">
        <v>34</v>
      </c>
      <c r="F5241" s="475" t="s">
        <v>34</v>
      </c>
      <c r="G5241" s="364">
        <v>83693</v>
      </c>
      <c r="H5241" s="475" t="s">
        <v>4370</v>
      </c>
      <c r="I5241" s="475" t="s">
        <v>322</v>
      </c>
      <c r="J5241" s="475" t="s">
        <v>337</v>
      </c>
      <c r="K5241" s="365">
        <v>3.51</v>
      </c>
      <c r="L5241" s="475" t="s">
        <v>141</v>
      </c>
      <c r="M5241" s="473"/>
    </row>
    <row r="5242" spans="1:13" ht="13.5">
      <c r="A5242" s="475" t="s">
        <v>5614</v>
      </c>
      <c r="B5242" s="475" t="s">
        <v>5615</v>
      </c>
      <c r="C5242" s="475" t="s">
        <v>5627</v>
      </c>
      <c r="D5242" s="475" t="s">
        <v>5628</v>
      </c>
      <c r="E5242" s="476">
        <v>73770</v>
      </c>
      <c r="F5242" s="475" t="s">
        <v>5629</v>
      </c>
      <c r="G5242" s="364" t="s">
        <v>4371</v>
      </c>
      <c r="H5242" s="475" t="s">
        <v>4372</v>
      </c>
      <c r="I5242" s="475" t="s">
        <v>139</v>
      </c>
      <c r="J5242" s="475" t="s">
        <v>140</v>
      </c>
      <c r="K5242" s="365">
        <v>479.13</v>
      </c>
      <c r="L5242" s="475" t="s">
        <v>141</v>
      </c>
      <c r="M5242" s="473"/>
    </row>
    <row r="5243" spans="1:13" ht="13.5">
      <c r="A5243" s="475" t="s">
        <v>5614</v>
      </c>
      <c r="B5243" s="475" t="s">
        <v>5615</v>
      </c>
      <c r="C5243" s="475" t="s">
        <v>5627</v>
      </c>
      <c r="D5243" s="475" t="s">
        <v>5628</v>
      </c>
      <c r="E5243" s="476">
        <v>73770</v>
      </c>
      <c r="F5243" s="475" t="s">
        <v>5629</v>
      </c>
      <c r="G5243" s="364" t="s">
        <v>4373</v>
      </c>
      <c r="H5243" s="475" t="s">
        <v>4374</v>
      </c>
      <c r="I5243" s="475" t="s">
        <v>139</v>
      </c>
      <c r="J5243" s="475" t="s">
        <v>140</v>
      </c>
      <c r="K5243" s="365">
        <v>412.32</v>
      </c>
      <c r="L5243" s="475" t="s">
        <v>141</v>
      </c>
      <c r="M5243" s="473"/>
    </row>
    <row r="5244" spans="1:13" ht="13.5">
      <c r="A5244" s="475" t="s">
        <v>5614</v>
      </c>
      <c r="B5244" s="475" t="s">
        <v>5615</v>
      </c>
      <c r="C5244" s="475" t="s">
        <v>5627</v>
      </c>
      <c r="D5244" s="475" t="s">
        <v>5628</v>
      </c>
      <c r="E5244" s="476">
        <v>83696</v>
      </c>
      <c r="F5244" s="475" t="s">
        <v>5630</v>
      </c>
      <c r="G5244" s="364" t="s">
        <v>4375</v>
      </c>
      <c r="H5244" s="475" t="s">
        <v>4376</v>
      </c>
      <c r="I5244" s="475" t="s">
        <v>322</v>
      </c>
      <c r="J5244" s="475" t="s">
        <v>337</v>
      </c>
      <c r="K5244" s="365">
        <v>4.83</v>
      </c>
      <c r="L5244" s="475" t="s">
        <v>141</v>
      </c>
      <c r="M5244" s="473"/>
    </row>
    <row r="5245" spans="1:13" ht="13.5">
      <c r="A5245" s="475" t="s">
        <v>5614</v>
      </c>
      <c r="B5245" s="475" t="s">
        <v>5615</v>
      </c>
      <c r="C5245" s="475" t="s">
        <v>5631</v>
      </c>
      <c r="D5245" s="475" t="s">
        <v>5632</v>
      </c>
      <c r="E5245" s="476" t="s">
        <v>34</v>
      </c>
      <c r="F5245" s="475" t="s">
        <v>34</v>
      </c>
      <c r="G5245" s="364">
        <v>72962</v>
      </c>
      <c r="H5245" s="475" t="s">
        <v>4377</v>
      </c>
      <c r="I5245" s="475" t="s">
        <v>4053</v>
      </c>
      <c r="J5245" s="475" t="s">
        <v>140</v>
      </c>
      <c r="K5245" s="365">
        <v>297.41000000000003</v>
      </c>
      <c r="L5245" s="475" t="s">
        <v>141</v>
      </c>
      <c r="M5245" s="473"/>
    </row>
    <row r="5246" spans="1:13" ht="13.5">
      <c r="A5246" s="475" t="s">
        <v>5614</v>
      </c>
      <c r="B5246" s="475" t="s">
        <v>5615</v>
      </c>
      <c r="C5246" s="475" t="s">
        <v>5631</v>
      </c>
      <c r="D5246" s="475" t="s">
        <v>5632</v>
      </c>
      <c r="E5246" s="476" t="s">
        <v>34</v>
      </c>
      <c r="F5246" s="475" t="s">
        <v>34</v>
      </c>
      <c r="G5246" s="364">
        <v>72963</v>
      </c>
      <c r="H5246" s="475" t="s">
        <v>4378</v>
      </c>
      <c r="I5246" s="475" t="s">
        <v>4053</v>
      </c>
      <c r="J5246" s="475" t="s">
        <v>140</v>
      </c>
      <c r="K5246" s="365">
        <v>252.54</v>
      </c>
      <c r="L5246" s="475" t="s">
        <v>141</v>
      </c>
      <c r="M5246" s="473"/>
    </row>
    <row r="5247" spans="1:13" ht="13.5">
      <c r="A5247" s="475" t="s">
        <v>5614</v>
      </c>
      <c r="B5247" s="475" t="s">
        <v>5615</v>
      </c>
      <c r="C5247" s="475" t="s">
        <v>5631</v>
      </c>
      <c r="D5247" s="475" t="s">
        <v>5632</v>
      </c>
      <c r="E5247" s="476">
        <v>73759</v>
      </c>
      <c r="F5247" s="475" t="s">
        <v>5623</v>
      </c>
      <c r="G5247" s="364" t="s">
        <v>7792</v>
      </c>
      <c r="H5247" s="475" t="s">
        <v>7793</v>
      </c>
      <c r="I5247" s="475" t="s">
        <v>1261</v>
      </c>
      <c r="J5247" s="475" t="s">
        <v>140</v>
      </c>
      <c r="K5247" s="365">
        <v>503.36</v>
      </c>
      <c r="L5247" s="475" t="s">
        <v>141</v>
      </c>
      <c r="M5247" s="473"/>
    </row>
    <row r="5248" spans="1:13" ht="13.5">
      <c r="A5248" s="475" t="s">
        <v>5614</v>
      </c>
      <c r="B5248" s="475" t="s">
        <v>5615</v>
      </c>
      <c r="C5248" s="475" t="s">
        <v>5631</v>
      </c>
      <c r="D5248" s="475" t="s">
        <v>5632</v>
      </c>
      <c r="E5248" s="476" t="s">
        <v>34</v>
      </c>
      <c r="F5248" s="475" t="s">
        <v>34</v>
      </c>
      <c r="G5248" s="364">
        <v>95990</v>
      </c>
      <c r="H5248" s="475" t="s">
        <v>6022</v>
      </c>
      <c r="I5248" s="475" t="s">
        <v>1261</v>
      </c>
      <c r="J5248" s="475" t="s">
        <v>140</v>
      </c>
      <c r="K5248" s="365">
        <v>958.69</v>
      </c>
      <c r="L5248" s="475" t="s">
        <v>141</v>
      </c>
      <c r="M5248" s="473"/>
    </row>
    <row r="5249" spans="1:13" ht="13.5">
      <c r="A5249" s="475" t="s">
        <v>5614</v>
      </c>
      <c r="B5249" s="475" t="s">
        <v>5615</v>
      </c>
      <c r="C5249" s="475" t="s">
        <v>5631</v>
      </c>
      <c r="D5249" s="475" t="s">
        <v>5632</v>
      </c>
      <c r="E5249" s="476" t="s">
        <v>34</v>
      </c>
      <c r="F5249" s="475" t="s">
        <v>34</v>
      </c>
      <c r="G5249" s="364">
        <v>95992</v>
      </c>
      <c r="H5249" s="475" t="s">
        <v>6023</v>
      </c>
      <c r="I5249" s="475" t="s">
        <v>1261</v>
      </c>
      <c r="J5249" s="475" t="s">
        <v>140</v>
      </c>
      <c r="K5249" s="365">
        <v>896.92</v>
      </c>
      <c r="L5249" s="475" t="s">
        <v>141</v>
      </c>
      <c r="M5249" s="473"/>
    </row>
    <row r="5250" spans="1:13" ht="13.5">
      <c r="A5250" s="475" t="s">
        <v>5614</v>
      </c>
      <c r="B5250" s="475" t="s">
        <v>5615</v>
      </c>
      <c r="C5250" s="475" t="s">
        <v>5631</v>
      </c>
      <c r="D5250" s="475" t="s">
        <v>5632</v>
      </c>
      <c r="E5250" s="476" t="s">
        <v>34</v>
      </c>
      <c r="F5250" s="475" t="s">
        <v>34</v>
      </c>
      <c r="G5250" s="364">
        <v>95993</v>
      </c>
      <c r="H5250" s="475" t="s">
        <v>6024</v>
      </c>
      <c r="I5250" s="475" t="s">
        <v>1261</v>
      </c>
      <c r="J5250" s="475" t="s">
        <v>140</v>
      </c>
      <c r="K5250" s="365">
        <v>928.09</v>
      </c>
      <c r="L5250" s="475" t="s">
        <v>141</v>
      </c>
      <c r="M5250" s="473"/>
    </row>
    <row r="5251" spans="1:13" ht="13.5">
      <c r="A5251" s="475" t="s">
        <v>5614</v>
      </c>
      <c r="B5251" s="475" t="s">
        <v>5615</v>
      </c>
      <c r="C5251" s="475" t="s">
        <v>5631</v>
      </c>
      <c r="D5251" s="475" t="s">
        <v>5632</v>
      </c>
      <c r="E5251" s="476" t="s">
        <v>34</v>
      </c>
      <c r="F5251" s="475" t="s">
        <v>34</v>
      </c>
      <c r="G5251" s="364">
        <v>95994</v>
      </c>
      <c r="H5251" s="475" t="s">
        <v>6025</v>
      </c>
      <c r="I5251" s="475" t="s">
        <v>1261</v>
      </c>
      <c r="J5251" s="475" t="s">
        <v>140</v>
      </c>
      <c r="K5251" s="365">
        <v>874.87</v>
      </c>
      <c r="L5251" s="475" t="s">
        <v>141</v>
      </c>
      <c r="M5251" s="473"/>
    </row>
    <row r="5252" spans="1:13" ht="13.5">
      <c r="A5252" s="475" t="s">
        <v>5614</v>
      </c>
      <c r="B5252" s="475" t="s">
        <v>5615</v>
      </c>
      <c r="C5252" s="475" t="s">
        <v>5631</v>
      </c>
      <c r="D5252" s="475" t="s">
        <v>5632</v>
      </c>
      <c r="E5252" s="476" t="s">
        <v>34</v>
      </c>
      <c r="F5252" s="475" t="s">
        <v>34</v>
      </c>
      <c r="G5252" s="364">
        <v>95995</v>
      </c>
      <c r="H5252" s="475" t="s">
        <v>6026</v>
      </c>
      <c r="I5252" s="475" t="s">
        <v>1261</v>
      </c>
      <c r="J5252" s="475" t="s">
        <v>140</v>
      </c>
      <c r="K5252" s="365">
        <v>909.1</v>
      </c>
      <c r="L5252" s="475" t="s">
        <v>141</v>
      </c>
      <c r="M5252" s="473"/>
    </row>
    <row r="5253" spans="1:13" ht="13.5">
      <c r="A5253" s="475" t="s">
        <v>5614</v>
      </c>
      <c r="B5253" s="475" t="s">
        <v>5615</v>
      </c>
      <c r="C5253" s="475" t="s">
        <v>5631</v>
      </c>
      <c r="D5253" s="475" t="s">
        <v>5632</v>
      </c>
      <c r="E5253" s="476" t="s">
        <v>34</v>
      </c>
      <c r="F5253" s="475" t="s">
        <v>34</v>
      </c>
      <c r="G5253" s="364">
        <v>95996</v>
      </c>
      <c r="H5253" s="475" t="s">
        <v>6027</v>
      </c>
      <c r="I5253" s="475" t="s">
        <v>1261</v>
      </c>
      <c r="J5253" s="475" t="s">
        <v>140</v>
      </c>
      <c r="K5253" s="365">
        <v>861.15</v>
      </c>
      <c r="L5253" s="475" t="s">
        <v>141</v>
      </c>
      <c r="M5253" s="473"/>
    </row>
    <row r="5254" spans="1:13" ht="13.5">
      <c r="A5254" s="475" t="s">
        <v>5614</v>
      </c>
      <c r="B5254" s="475" t="s">
        <v>5615</v>
      </c>
      <c r="C5254" s="475" t="s">
        <v>5631</v>
      </c>
      <c r="D5254" s="475" t="s">
        <v>5632</v>
      </c>
      <c r="E5254" s="476" t="s">
        <v>34</v>
      </c>
      <c r="F5254" s="475" t="s">
        <v>34</v>
      </c>
      <c r="G5254" s="364">
        <v>95997</v>
      </c>
      <c r="H5254" s="475" t="s">
        <v>6028</v>
      </c>
      <c r="I5254" s="475" t="s">
        <v>1261</v>
      </c>
      <c r="J5254" s="475" t="s">
        <v>140</v>
      </c>
      <c r="K5254" s="365">
        <v>897.45</v>
      </c>
      <c r="L5254" s="475" t="s">
        <v>141</v>
      </c>
      <c r="M5254" s="473"/>
    </row>
    <row r="5255" spans="1:13" ht="13.5">
      <c r="A5255" s="475" t="s">
        <v>5614</v>
      </c>
      <c r="B5255" s="475" t="s">
        <v>5615</v>
      </c>
      <c r="C5255" s="475" t="s">
        <v>5631</v>
      </c>
      <c r="D5255" s="475" t="s">
        <v>5632</v>
      </c>
      <c r="E5255" s="476" t="s">
        <v>34</v>
      </c>
      <c r="F5255" s="475" t="s">
        <v>34</v>
      </c>
      <c r="G5255" s="364">
        <v>95998</v>
      </c>
      <c r="H5255" s="475" t="s">
        <v>6029</v>
      </c>
      <c r="I5255" s="475" t="s">
        <v>1261</v>
      </c>
      <c r="J5255" s="475" t="s">
        <v>140</v>
      </c>
      <c r="K5255" s="365">
        <v>852.77</v>
      </c>
      <c r="L5255" s="475" t="s">
        <v>141</v>
      </c>
      <c r="M5255" s="473"/>
    </row>
    <row r="5256" spans="1:13" ht="13.5">
      <c r="A5256" s="475" t="s">
        <v>5614</v>
      </c>
      <c r="B5256" s="475" t="s">
        <v>5615</v>
      </c>
      <c r="C5256" s="475" t="s">
        <v>5631</v>
      </c>
      <c r="D5256" s="475" t="s">
        <v>5632</v>
      </c>
      <c r="E5256" s="476" t="s">
        <v>34</v>
      </c>
      <c r="F5256" s="475" t="s">
        <v>34</v>
      </c>
      <c r="G5256" s="364">
        <v>95999</v>
      </c>
      <c r="H5256" s="475" t="s">
        <v>6030</v>
      </c>
      <c r="I5256" s="475" t="s">
        <v>1261</v>
      </c>
      <c r="J5256" s="475" t="s">
        <v>140</v>
      </c>
      <c r="K5256" s="365">
        <v>889.12</v>
      </c>
      <c r="L5256" s="475" t="s">
        <v>141</v>
      </c>
      <c r="M5256" s="473"/>
    </row>
    <row r="5257" spans="1:13" ht="13.5">
      <c r="A5257" s="475" t="s">
        <v>5614</v>
      </c>
      <c r="B5257" s="475" t="s">
        <v>5615</v>
      </c>
      <c r="C5257" s="475" t="s">
        <v>5631</v>
      </c>
      <c r="D5257" s="475" t="s">
        <v>5632</v>
      </c>
      <c r="E5257" s="476" t="s">
        <v>34</v>
      </c>
      <c r="F5257" s="475" t="s">
        <v>34</v>
      </c>
      <c r="G5257" s="364">
        <v>96000</v>
      </c>
      <c r="H5257" s="475" t="s">
        <v>6031</v>
      </c>
      <c r="I5257" s="475" t="s">
        <v>1261</v>
      </c>
      <c r="J5257" s="475" t="s">
        <v>140</v>
      </c>
      <c r="K5257" s="365">
        <v>846.77</v>
      </c>
      <c r="L5257" s="475" t="s">
        <v>141</v>
      </c>
      <c r="M5257" s="473"/>
    </row>
    <row r="5258" spans="1:13" ht="13.5">
      <c r="A5258" s="475" t="s">
        <v>5614</v>
      </c>
      <c r="B5258" s="475" t="s">
        <v>5615</v>
      </c>
      <c r="C5258" s="475" t="s">
        <v>5631</v>
      </c>
      <c r="D5258" s="475" t="s">
        <v>5632</v>
      </c>
      <c r="E5258" s="476" t="s">
        <v>34</v>
      </c>
      <c r="F5258" s="475" t="s">
        <v>34</v>
      </c>
      <c r="G5258" s="364">
        <v>96001</v>
      </c>
      <c r="H5258" s="475" t="s">
        <v>15223</v>
      </c>
      <c r="I5258" s="475" t="s">
        <v>322</v>
      </c>
      <c r="J5258" s="475" t="s">
        <v>140</v>
      </c>
      <c r="K5258" s="365">
        <v>5.2</v>
      </c>
      <c r="L5258" s="475" t="s">
        <v>141</v>
      </c>
      <c r="M5258" s="473"/>
    </row>
    <row r="5259" spans="1:13" ht="13.5">
      <c r="A5259" s="475" t="s">
        <v>5614</v>
      </c>
      <c r="B5259" s="475" t="s">
        <v>5615</v>
      </c>
      <c r="C5259" s="475" t="s">
        <v>5631</v>
      </c>
      <c r="D5259" s="475" t="s">
        <v>5632</v>
      </c>
      <c r="E5259" s="476" t="s">
        <v>34</v>
      </c>
      <c r="F5259" s="475" t="s">
        <v>34</v>
      </c>
      <c r="G5259" s="364">
        <v>96002</v>
      </c>
      <c r="H5259" s="475" t="s">
        <v>15224</v>
      </c>
      <c r="I5259" s="475" t="s">
        <v>322</v>
      </c>
      <c r="J5259" s="475" t="s">
        <v>140</v>
      </c>
      <c r="K5259" s="365">
        <v>6</v>
      </c>
      <c r="L5259" s="475" t="s">
        <v>141</v>
      </c>
      <c r="M5259" s="473"/>
    </row>
    <row r="5260" spans="1:13" ht="13.5">
      <c r="A5260" s="475" t="s">
        <v>5614</v>
      </c>
      <c r="B5260" s="475" t="s">
        <v>5615</v>
      </c>
      <c r="C5260" s="475" t="s">
        <v>5631</v>
      </c>
      <c r="D5260" s="475" t="s">
        <v>5632</v>
      </c>
      <c r="E5260" s="476" t="s">
        <v>34</v>
      </c>
      <c r="F5260" s="475" t="s">
        <v>34</v>
      </c>
      <c r="G5260" s="364">
        <v>96393</v>
      </c>
      <c r="H5260" s="475" t="s">
        <v>4379</v>
      </c>
      <c r="I5260" s="475" t="s">
        <v>1261</v>
      </c>
      <c r="J5260" s="475" t="s">
        <v>140</v>
      </c>
      <c r="K5260" s="365">
        <v>134.37</v>
      </c>
      <c r="L5260" s="475" t="s">
        <v>141</v>
      </c>
      <c r="M5260" s="473"/>
    </row>
    <row r="5261" spans="1:13" ht="13.5">
      <c r="A5261" s="475" t="s">
        <v>5614</v>
      </c>
      <c r="B5261" s="475" t="s">
        <v>5615</v>
      </c>
      <c r="C5261" s="475" t="s">
        <v>5631</v>
      </c>
      <c r="D5261" s="475" t="s">
        <v>5632</v>
      </c>
      <c r="E5261" s="476" t="s">
        <v>34</v>
      </c>
      <c r="F5261" s="475" t="s">
        <v>34</v>
      </c>
      <c r="G5261" s="364">
        <v>96394</v>
      </c>
      <c r="H5261" s="475" t="s">
        <v>4380</v>
      </c>
      <c r="I5261" s="475" t="s">
        <v>1261</v>
      </c>
      <c r="J5261" s="475" t="s">
        <v>140</v>
      </c>
      <c r="K5261" s="365">
        <v>165.22</v>
      </c>
      <c r="L5261" s="475" t="s">
        <v>141</v>
      </c>
      <c r="M5261" s="473"/>
    </row>
    <row r="5262" spans="1:13" ht="13.5">
      <c r="A5262" s="475" t="s">
        <v>5614</v>
      </c>
      <c r="B5262" s="475" t="s">
        <v>5615</v>
      </c>
      <c r="C5262" s="475" t="s">
        <v>5631</v>
      </c>
      <c r="D5262" s="475" t="s">
        <v>5632</v>
      </c>
      <c r="E5262" s="476" t="s">
        <v>34</v>
      </c>
      <c r="F5262" s="475" t="s">
        <v>34</v>
      </c>
      <c r="G5262" s="364">
        <v>96395</v>
      </c>
      <c r="H5262" s="475" t="s">
        <v>4381</v>
      </c>
      <c r="I5262" s="475" t="s">
        <v>1261</v>
      </c>
      <c r="J5262" s="475" t="s">
        <v>140</v>
      </c>
      <c r="K5262" s="365">
        <v>179.41</v>
      </c>
      <c r="L5262" s="475" t="s">
        <v>141</v>
      </c>
      <c r="M5262" s="473"/>
    </row>
    <row r="5263" spans="1:13" ht="13.5">
      <c r="A5263" s="475" t="s">
        <v>5633</v>
      </c>
      <c r="B5263" s="475" t="s">
        <v>5634</v>
      </c>
      <c r="C5263" s="475" t="s">
        <v>5635</v>
      </c>
      <c r="D5263" s="475" t="s">
        <v>5636</v>
      </c>
      <c r="E5263" s="476" t="s">
        <v>34</v>
      </c>
      <c r="F5263" s="475" t="s">
        <v>34</v>
      </c>
      <c r="G5263" s="364">
        <v>73445</v>
      </c>
      <c r="H5263" s="475" t="s">
        <v>4382</v>
      </c>
      <c r="I5263" s="475" t="s">
        <v>322</v>
      </c>
      <c r="J5263" s="475" t="s">
        <v>337</v>
      </c>
      <c r="K5263" s="365">
        <v>8.31</v>
      </c>
      <c r="L5263" s="475" t="s">
        <v>141</v>
      </c>
      <c r="M5263" s="473"/>
    </row>
    <row r="5264" spans="1:13" ht="13.5">
      <c r="A5264" s="475" t="s">
        <v>5633</v>
      </c>
      <c r="B5264" s="475" t="s">
        <v>5634</v>
      </c>
      <c r="C5264" s="475" t="s">
        <v>5635</v>
      </c>
      <c r="D5264" s="475" t="s">
        <v>5636</v>
      </c>
      <c r="E5264" s="476" t="s">
        <v>34</v>
      </c>
      <c r="F5264" s="475" t="s">
        <v>34</v>
      </c>
      <c r="G5264" s="364">
        <v>73446</v>
      </c>
      <c r="H5264" s="475" t="s">
        <v>4383</v>
      </c>
      <c r="I5264" s="475" t="s">
        <v>322</v>
      </c>
      <c r="J5264" s="475" t="s">
        <v>337</v>
      </c>
      <c r="K5264" s="365">
        <v>18.89</v>
      </c>
      <c r="L5264" s="475" t="s">
        <v>141</v>
      </c>
      <c r="M5264" s="473"/>
    </row>
    <row r="5265" spans="1:13" ht="13.5">
      <c r="A5265" s="475" t="s">
        <v>5633</v>
      </c>
      <c r="B5265" s="475" t="s">
        <v>5634</v>
      </c>
      <c r="C5265" s="475" t="s">
        <v>5635</v>
      </c>
      <c r="D5265" s="475" t="s">
        <v>5636</v>
      </c>
      <c r="E5265" s="476">
        <v>74133</v>
      </c>
      <c r="F5265" s="475" t="s">
        <v>5637</v>
      </c>
      <c r="G5265" s="364" t="s">
        <v>4384</v>
      </c>
      <c r="H5265" s="475" t="s">
        <v>4385</v>
      </c>
      <c r="I5265" s="475" t="s">
        <v>322</v>
      </c>
      <c r="J5265" s="475" t="s">
        <v>337</v>
      </c>
      <c r="K5265" s="365">
        <v>16.47</v>
      </c>
      <c r="L5265" s="475" t="s">
        <v>141</v>
      </c>
      <c r="M5265" s="473"/>
    </row>
    <row r="5266" spans="1:13" ht="13.5">
      <c r="A5266" s="475" t="s">
        <v>5633</v>
      </c>
      <c r="B5266" s="475" t="s">
        <v>5634</v>
      </c>
      <c r="C5266" s="475" t="s">
        <v>5635</v>
      </c>
      <c r="D5266" s="475" t="s">
        <v>5636</v>
      </c>
      <c r="E5266" s="476">
        <v>74133</v>
      </c>
      <c r="F5266" s="475" t="s">
        <v>5637</v>
      </c>
      <c r="G5266" s="364" t="s">
        <v>4386</v>
      </c>
      <c r="H5266" s="475" t="s">
        <v>4387</v>
      </c>
      <c r="I5266" s="475" t="s">
        <v>322</v>
      </c>
      <c r="J5266" s="475" t="s">
        <v>337</v>
      </c>
      <c r="K5266" s="365">
        <v>20.69</v>
      </c>
      <c r="L5266" s="475" t="s">
        <v>141</v>
      </c>
      <c r="M5266" s="473"/>
    </row>
    <row r="5267" spans="1:13" ht="13.5">
      <c r="A5267" s="475" t="s">
        <v>5633</v>
      </c>
      <c r="B5267" s="475" t="s">
        <v>5634</v>
      </c>
      <c r="C5267" s="475" t="s">
        <v>5635</v>
      </c>
      <c r="D5267" s="475" t="s">
        <v>5636</v>
      </c>
      <c r="E5267" s="476" t="s">
        <v>34</v>
      </c>
      <c r="F5267" s="475" t="s">
        <v>34</v>
      </c>
      <c r="G5267" s="364">
        <v>79462</v>
      </c>
      <c r="H5267" s="475" t="s">
        <v>4388</v>
      </c>
      <c r="I5267" s="475" t="s">
        <v>322</v>
      </c>
      <c r="J5267" s="475" t="s">
        <v>337</v>
      </c>
      <c r="K5267" s="365">
        <v>54.51</v>
      </c>
      <c r="L5267" s="475" t="s">
        <v>141</v>
      </c>
      <c r="M5267" s="473"/>
    </row>
    <row r="5268" spans="1:13" ht="13.5">
      <c r="A5268" s="475" t="s">
        <v>5633</v>
      </c>
      <c r="B5268" s="475" t="s">
        <v>5634</v>
      </c>
      <c r="C5268" s="475" t="s">
        <v>5635</v>
      </c>
      <c r="D5268" s="475" t="s">
        <v>5636</v>
      </c>
      <c r="E5268" s="476">
        <v>79494</v>
      </c>
      <c r="F5268" s="475" t="s">
        <v>5638</v>
      </c>
      <c r="G5268" s="364" t="s">
        <v>4389</v>
      </c>
      <c r="H5268" s="475" t="s">
        <v>4390</v>
      </c>
      <c r="I5268" s="475" t="s">
        <v>322</v>
      </c>
      <c r="J5268" s="475" t="s">
        <v>337</v>
      </c>
      <c r="K5268" s="365">
        <v>11.9</v>
      </c>
      <c r="L5268" s="475" t="s">
        <v>141</v>
      </c>
      <c r="M5268" s="473"/>
    </row>
    <row r="5269" spans="1:13" ht="13.5">
      <c r="A5269" s="475" t="s">
        <v>5633</v>
      </c>
      <c r="B5269" s="475" t="s">
        <v>5634</v>
      </c>
      <c r="C5269" s="475" t="s">
        <v>5635</v>
      </c>
      <c r="D5269" s="475" t="s">
        <v>5636</v>
      </c>
      <c r="E5269" s="476" t="s">
        <v>34</v>
      </c>
      <c r="F5269" s="475" t="s">
        <v>34</v>
      </c>
      <c r="G5269" s="364">
        <v>84651</v>
      </c>
      <c r="H5269" s="475" t="s">
        <v>4391</v>
      </c>
      <c r="I5269" s="475" t="s">
        <v>322</v>
      </c>
      <c r="J5269" s="475" t="s">
        <v>337</v>
      </c>
      <c r="K5269" s="365">
        <v>9.24</v>
      </c>
      <c r="L5269" s="475" t="s">
        <v>141</v>
      </c>
      <c r="M5269" s="473"/>
    </row>
    <row r="5270" spans="1:13" ht="13.5">
      <c r="A5270" s="475" t="s">
        <v>5633</v>
      </c>
      <c r="B5270" s="475" t="s">
        <v>5634</v>
      </c>
      <c r="C5270" s="475" t="s">
        <v>5635</v>
      </c>
      <c r="D5270" s="475" t="s">
        <v>5636</v>
      </c>
      <c r="E5270" s="476" t="s">
        <v>34</v>
      </c>
      <c r="F5270" s="475" t="s">
        <v>34</v>
      </c>
      <c r="G5270" s="364">
        <v>88411</v>
      </c>
      <c r="H5270" s="475" t="s">
        <v>4392</v>
      </c>
      <c r="I5270" s="475" t="s">
        <v>322</v>
      </c>
      <c r="J5270" s="475" t="s">
        <v>363</v>
      </c>
      <c r="K5270" s="365">
        <v>2.34</v>
      </c>
      <c r="L5270" s="475" t="s">
        <v>141</v>
      </c>
      <c r="M5270" s="473"/>
    </row>
    <row r="5271" spans="1:13" ht="13.5">
      <c r="A5271" s="475" t="s">
        <v>5633</v>
      </c>
      <c r="B5271" s="475" t="s">
        <v>5634</v>
      </c>
      <c r="C5271" s="475" t="s">
        <v>5635</v>
      </c>
      <c r="D5271" s="475" t="s">
        <v>5636</v>
      </c>
      <c r="E5271" s="476" t="s">
        <v>34</v>
      </c>
      <c r="F5271" s="475" t="s">
        <v>34</v>
      </c>
      <c r="G5271" s="364">
        <v>88412</v>
      </c>
      <c r="H5271" s="475" t="s">
        <v>4393</v>
      </c>
      <c r="I5271" s="475" t="s">
        <v>322</v>
      </c>
      <c r="J5271" s="475" t="s">
        <v>363</v>
      </c>
      <c r="K5271" s="365">
        <v>1.8</v>
      </c>
      <c r="L5271" s="475" t="s">
        <v>141</v>
      </c>
      <c r="M5271" s="473"/>
    </row>
    <row r="5272" spans="1:13" ht="13.5">
      <c r="A5272" s="475" t="s">
        <v>5633</v>
      </c>
      <c r="B5272" s="475" t="s">
        <v>5634</v>
      </c>
      <c r="C5272" s="475" t="s">
        <v>5635</v>
      </c>
      <c r="D5272" s="475" t="s">
        <v>5636</v>
      </c>
      <c r="E5272" s="476" t="s">
        <v>34</v>
      </c>
      <c r="F5272" s="475" t="s">
        <v>34</v>
      </c>
      <c r="G5272" s="364">
        <v>88413</v>
      </c>
      <c r="H5272" s="475" t="s">
        <v>4394</v>
      </c>
      <c r="I5272" s="475" t="s">
        <v>322</v>
      </c>
      <c r="J5272" s="475" t="s">
        <v>363</v>
      </c>
      <c r="K5272" s="365">
        <v>3.42</v>
      </c>
      <c r="L5272" s="475" t="s">
        <v>141</v>
      </c>
      <c r="M5272" s="473"/>
    </row>
    <row r="5273" spans="1:13" ht="13.5">
      <c r="A5273" s="475" t="s">
        <v>5633</v>
      </c>
      <c r="B5273" s="475" t="s">
        <v>5634</v>
      </c>
      <c r="C5273" s="475" t="s">
        <v>5635</v>
      </c>
      <c r="D5273" s="475" t="s">
        <v>5636</v>
      </c>
      <c r="E5273" s="476" t="s">
        <v>34</v>
      </c>
      <c r="F5273" s="475" t="s">
        <v>34</v>
      </c>
      <c r="G5273" s="364">
        <v>88414</v>
      </c>
      <c r="H5273" s="475" t="s">
        <v>4395</v>
      </c>
      <c r="I5273" s="475" t="s">
        <v>322</v>
      </c>
      <c r="J5273" s="475" t="s">
        <v>363</v>
      </c>
      <c r="K5273" s="365">
        <v>3.76</v>
      </c>
      <c r="L5273" s="475" t="s">
        <v>141</v>
      </c>
      <c r="M5273" s="473"/>
    </row>
    <row r="5274" spans="1:13" ht="13.5">
      <c r="A5274" s="475" t="s">
        <v>5633</v>
      </c>
      <c r="B5274" s="475" t="s">
        <v>5634</v>
      </c>
      <c r="C5274" s="475" t="s">
        <v>5635</v>
      </c>
      <c r="D5274" s="475" t="s">
        <v>5636</v>
      </c>
      <c r="E5274" s="476" t="s">
        <v>34</v>
      </c>
      <c r="F5274" s="475" t="s">
        <v>34</v>
      </c>
      <c r="G5274" s="364">
        <v>88415</v>
      </c>
      <c r="H5274" s="475" t="s">
        <v>4396</v>
      </c>
      <c r="I5274" s="475" t="s">
        <v>322</v>
      </c>
      <c r="J5274" s="475" t="s">
        <v>363</v>
      </c>
      <c r="K5274" s="365">
        <v>2.52</v>
      </c>
      <c r="L5274" s="475" t="s">
        <v>141</v>
      </c>
      <c r="M5274" s="473"/>
    </row>
    <row r="5275" spans="1:13" ht="13.5">
      <c r="A5275" s="475" t="s">
        <v>5633</v>
      </c>
      <c r="B5275" s="475" t="s">
        <v>5634</v>
      </c>
      <c r="C5275" s="475" t="s">
        <v>5635</v>
      </c>
      <c r="D5275" s="475" t="s">
        <v>5636</v>
      </c>
      <c r="E5275" s="476" t="s">
        <v>34</v>
      </c>
      <c r="F5275" s="475" t="s">
        <v>34</v>
      </c>
      <c r="G5275" s="364">
        <v>88416</v>
      </c>
      <c r="H5275" s="475" t="s">
        <v>4397</v>
      </c>
      <c r="I5275" s="475" t="s">
        <v>322</v>
      </c>
      <c r="J5275" s="475" t="s">
        <v>337</v>
      </c>
      <c r="K5275" s="365">
        <v>16.07</v>
      </c>
      <c r="L5275" s="475" t="s">
        <v>141</v>
      </c>
      <c r="M5275" s="473"/>
    </row>
    <row r="5276" spans="1:13" ht="13.5">
      <c r="A5276" s="475" t="s">
        <v>5633</v>
      </c>
      <c r="B5276" s="475" t="s">
        <v>5634</v>
      </c>
      <c r="C5276" s="475" t="s">
        <v>5635</v>
      </c>
      <c r="D5276" s="475" t="s">
        <v>5636</v>
      </c>
      <c r="E5276" s="476" t="s">
        <v>34</v>
      </c>
      <c r="F5276" s="475" t="s">
        <v>34</v>
      </c>
      <c r="G5276" s="364">
        <v>88417</v>
      </c>
      <c r="H5276" s="475" t="s">
        <v>4398</v>
      </c>
      <c r="I5276" s="475" t="s">
        <v>322</v>
      </c>
      <c r="J5276" s="475" t="s">
        <v>337</v>
      </c>
      <c r="K5276" s="365">
        <v>14.17</v>
      </c>
      <c r="L5276" s="475" t="s">
        <v>141</v>
      </c>
      <c r="M5276" s="473"/>
    </row>
    <row r="5277" spans="1:13" ht="13.5">
      <c r="A5277" s="475" t="s">
        <v>5633</v>
      </c>
      <c r="B5277" s="475" t="s">
        <v>5634</v>
      </c>
      <c r="C5277" s="475" t="s">
        <v>5635</v>
      </c>
      <c r="D5277" s="475" t="s">
        <v>5636</v>
      </c>
      <c r="E5277" s="476" t="s">
        <v>34</v>
      </c>
      <c r="F5277" s="475" t="s">
        <v>34</v>
      </c>
      <c r="G5277" s="364">
        <v>88420</v>
      </c>
      <c r="H5277" s="475" t="s">
        <v>4399</v>
      </c>
      <c r="I5277" s="475" t="s">
        <v>322</v>
      </c>
      <c r="J5277" s="475" t="s">
        <v>337</v>
      </c>
      <c r="K5277" s="365">
        <v>19.920000000000002</v>
      </c>
      <c r="L5277" s="475" t="s">
        <v>141</v>
      </c>
      <c r="M5277" s="473"/>
    </row>
    <row r="5278" spans="1:13" ht="13.5">
      <c r="A5278" s="475" t="s">
        <v>5633</v>
      </c>
      <c r="B5278" s="475" t="s">
        <v>5634</v>
      </c>
      <c r="C5278" s="475" t="s">
        <v>5635</v>
      </c>
      <c r="D5278" s="475" t="s">
        <v>5636</v>
      </c>
      <c r="E5278" s="476" t="s">
        <v>34</v>
      </c>
      <c r="F5278" s="475" t="s">
        <v>34</v>
      </c>
      <c r="G5278" s="364">
        <v>88421</v>
      </c>
      <c r="H5278" s="475" t="s">
        <v>4400</v>
      </c>
      <c r="I5278" s="475" t="s">
        <v>322</v>
      </c>
      <c r="J5278" s="475" t="s">
        <v>337</v>
      </c>
      <c r="K5278" s="365">
        <v>21.13</v>
      </c>
      <c r="L5278" s="475" t="s">
        <v>141</v>
      </c>
      <c r="M5278" s="473"/>
    </row>
    <row r="5279" spans="1:13" ht="13.5">
      <c r="A5279" s="475" t="s">
        <v>5633</v>
      </c>
      <c r="B5279" s="475" t="s">
        <v>5634</v>
      </c>
      <c r="C5279" s="475" t="s">
        <v>5635</v>
      </c>
      <c r="D5279" s="475" t="s">
        <v>5636</v>
      </c>
      <c r="E5279" s="476" t="s">
        <v>34</v>
      </c>
      <c r="F5279" s="475" t="s">
        <v>34</v>
      </c>
      <c r="G5279" s="364">
        <v>88423</v>
      </c>
      <c r="H5279" s="475" t="s">
        <v>4401</v>
      </c>
      <c r="I5279" s="475" t="s">
        <v>322</v>
      </c>
      <c r="J5279" s="475" t="s">
        <v>337</v>
      </c>
      <c r="K5279" s="365">
        <v>16.670000000000002</v>
      </c>
      <c r="L5279" s="475" t="s">
        <v>141</v>
      </c>
      <c r="M5279" s="473"/>
    </row>
    <row r="5280" spans="1:13" ht="13.5">
      <c r="A5280" s="475" t="s">
        <v>5633</v>
      </c>
      <c r="B5280" s="475" t="s">
        <v>5634</v>
      </c>
      <c r="C5280" s="475" t="s">
        <v>5635</v>
      </c>
      <c r="D5280" s="475" t="s">
        <v>5636</v>
      </c>
      <c r="E5280" s="476" t="s">
        <v>34</v>
      </c>
      <c r="F5280" s="475" t="s">
        <v>34</v>
      </c>
      <c r="G5280" s="364">
        <v>88424</v>
      </c>
      <c r="H5280" s="475" t="s">
        <v>4402</v>
      </c>
      <c r="I5280" s="475" t="s">
        <v>322</v>
      </c>
      <c r="J5280" s="475" t="s">
        <v>337</v>
      </c>
      <c r="K5280" s="365">
        <v>18.690000000000001</v>
      </c>
      <c r="L5280" s="475" t="s">
        <v>141</v>
      </c>
      <c r="M5280" s="473"/>
    </row>
    <row r="5281" spans="1:13" ht="13.5">
      <c r="A5281" s="475" t="s">
        <v>5633</v>
      </c>
      <c r="B5281" s="475" t="s">
        <v>5634</v>
      </c>
      <c r="C5281" s="475" t="s">
        <v>5635</v>
      </c>
      <c r="D5281" s="475" t="s">
        <v>5636</v>
      </c>
      <c r="E5281" s="476" t="s">
        <v>34</v>
      </c>
      <c r="F5281" s="475" t="s">
        <v>34</v>
      </c>
      <c r="G5281" s="364">
        <v>88426</v>
      </c>
      <c r="H5281" s="475" t="s">
        <v>4403</v>
      </c>
      <c r="I5281" s="475" t="s">
        <v>322</v>
      </c>
      <c r="J5281" s="475" t="s">
        <v>337</v>
      </c>
      <c r="K5281" s="365">
        <v>15.4</v>
      </c>
      <c r="L5281" s="475" t="s">
        <v>141</v>
      </c>
      <c r="M5281" s="473"/>
    </row>
    <row r="5282" spans="1:13" ht="13.5">
      <c r="A5282" s="475" t="s">
        <v>5633</v>
      </c>
      <c r="B5282" s="475" t="s">
        <v>5634</v>
      </c>
      <c r="C5282" s="475" t="s">
        <v>5635</v>
      </c>
      <c r="D5282" s="475" t="s">
        <v>5636</v>
      </c>
      <c r="E5282" s="476" t="s">
        <v>34</v>
      </c>
      <c r="F5282" s="475" t="s">
        <v>34</v>
      </c>
      <c r="G5282" s="364">
        <v>88428</v>
      </c>
      <c r="H5282" s="475" t="s">
        <v>4404</v>
      </c>
      <c r="I5282" s="475" t="s">
        <v>322</v>
      </c>
      <c r="J5282" s="475" t="s">
        <v>337</v>
      </c>
      <c r="K5282" s="365">
        <v>25.28</v>
      </c>
      <c r="L5282" s="475" t="s">
        <v>141</v>
      </c>
      <c r="M5282" s="473"/>
    </row>
    <row r="5283" spans="1:13" ht="13.5">
      <c r="A5283" s="475" t="s">
        <v>5633</v>
      </c>
      <c r="B5283" s="475" t="s">
        <v>5634</v>
      </c>
      <c r="C5283" s="475" t="s">
        <v>5635</v>
      </c>
      <c r="D5283" s="475" t="s">
        <v>5636</v>
      </c>
      <c r="E5283" s="476" t="s">
        <v>34</v>
      </c>
      <c r="F5283" s="475" t="s">
        <v>34</v>
      </c>
      <c r="G5283" s="364">
        <v>88429</v>
      </c>
      <c r="H5283" s="475" t="s">
        <v>4405</v>
      </c>
      <c r="I5283" s="475" t="s">
        <v>322</v>
      </c>
      <c r="J5283" s="475" t="s">
        <v>337</v>
      </c>
      <c r="K5283" s="365">
        <v>27.4</v>
      </c>
      <c r="L5283" s="475" t="s">
        <v>141</v>
      </c>
      <c r="M5283" s="473"/>
    </row>
    <row r="5284" spans="1:13" ht="13.5">
      <c r="A5284" s="475" t="s">
        <v>5633</v>
      </c>
      <c r="B5284" s="475" t="s">
        <v>5634</v>
      </c>
      <c r="C5284" s="475" t="s">
        <v>5635</v>
      </c>
      <c r="D5284" s="475" t="s">
        <v>5636</v>
      </c>
      <c r="E5284" s="476" t="s">
        <v>34</v>
      </c>
      <c r="F5284" s="475" t="s">
        <v>34</v>
      </c>
      <c r="G5284" s="364">
        <v>88431</v>
      </c>
      <c r="H5284" s="475" t="s">
        <v>4406</v>
      </c>
      <c r="I5284" s="475" t="s">
        <v>322</v>
      </c>
      <c r="J5284" s="475" t="s">
        <v>337</v>
      </c>
      <c r="K5284" s="365">
        <v>19.72</v>
      </c>
      <c r="L5284" s="475" t="s">
        <v>141</v>
      </c>
      <c r="M5284" s="473"/>
    </row>
    <row r="5285" spans="1:13" ht="13.5">
      <c r="A5285" s="475" t="s">
        <v>5633</v>
      </c>
      <c r="B5285" s="475" t="s">
        <v>5634</v>
      </c>
      <c r="C5285" s="475" t="s">
        <v>5635</v>
      </c>
      <c r="D5285" s="475" t="s">
        <v>5636</v>
      </c>
      <c r="E5285" s="476" t="s">
        <v>34</v>
      </c>
      <c r="F5285" s="475" t="s">
        <v>34</v>
      </c>
      <c r="G5285" s="364">
        <v>88432</v>
      </c>
      <c r="H5285" s="475" t="s">
        <v>4407</v>
      </c>
      <c r="I5285" s="475" t="s">
        <v>322</v>
      </c>
      <c r="J5285" s="475" t="s">
        <v>337</v>
      </c>
      <c r="K5285" s="365">
        <v>13.97</v>
      </c>
      <c r="L5285" s="475" t="s">
        <v>141</v>
      </c>
      <c r="M5285" s="473"/>
    </row>
    <row r="5286" spans="1:13" ht="13.5">
      <c r="A5286" s="475" t="s">
        <v>5633</v>
      </c>
      <c r="B5286" s="475" t="s">
        <v>5634</v>
      </c>
      <c r="C5286" s="475" t="s">
        <v>5635</v>
      </c>
      <c r="D5286" s="475" t="s">
        <v>5636</v>
      </c>
      <c r="E5286" s="476" t="s">
        <v>34</v>
      </c>
      <c r="F5286" s="475" t="s">
        <v>34</v>
      </c>
      <c r="G5286" s="364">
        <v>88482</v>
      </c>
      <c r="H5286" s="475" t="s">
        <v>4408</v>
      </c>
      <c r="I5286" s="475" t="s">
        <v>322</v>
      </c>
      <c r="J5286" s="475" t="s">
        <v>337</v>
      </c>
      <c r="K5286" s="365">
        <v>3.24</v>
      </c>
      <c r="L5286" s="475" t="s">
        <v>141</v>
      </c>
      <c r="M5286" s="473"/>
    </row>
    <row r="5287" spans="1:13" ht="13.5">
      <c r="A5287" s="475" t="s">
        <v>5633</v>
      </c>
      <c r="B5287" s="475" t="s">
        <v>5634</v>
      </c>
      <c r="C5287" s="475" t="s">
        <v>5635</v>
      </c>
      <c r="D5287" s="475" t="s">
        <v>5636</v>
      </c>
      <c r="E5287" s="476" t="s">
        <v>34</v>
      </c>
      <c r="F5287" s="475" t="s">
        <v>34</v>
      </c>
      <c r="G5287" s="364">
        <v>88483</v>
      </c>
      <c r="H5287" s="475" t="s">
        <v>4409</v>
      </c>
      <c r="I5287" s="475" t="s">
        <v>322</v>
      </c>
      <c r="J5287" s="475" t="s">
        <v>337</v>
      </c>
      <c r="K5287" s="365">
        <v>3.02</v>
      </c>
      <c r="L5287" s="475" t="s">
        <v>141</v>
      </c>
      <c r="M5287" s="473"/>
    </row>
    <row r="5288" spans="1:13" ht="13.5">
      <c r="A5288" s="475" t="s">
        <v>5633</v>
      </c>
      <c r="B5288" s="475" t="s">
        <v>5634</v>
      </c>
      <c r="C5288" s="475" t="s">
        <v>5635</v>
      </c>
      <c r="D5288" s="475" t="s">
        <v>5636</v>
      </c>
      <c r="E5288" s="476" t="s">
        <v>34</v>
      </c>
      <c r="F5288" s="475" t="s">
        <v>34</v>
      </c>
      <c r="G5288" s="364">
        <v>88484</v>
      </c>
      <c r="H5288" s="475" t="s">
        <v>4410</v>
      </c>
      <c r="I5288" s="475" t="s">
        <v>322</v>
      </c>
      <c r="J5288" s="475" t="s">
        <v>363</v>
      </c>
      <c r="K5288" s="365">
        <v>2.52</v>
      </c>
      <c r="L5288" s="475" t="s">
        <v>141</v>
      </c>
      <c r="M5288" s="473"/>
    </row>
    <row r="5289" spans="1:13" ht="13.5">
      <c r="A5289" s="475" t="s">
        <v>5633</v>
      </c>
      <c r="B5289" s="475" t="s">
        <v>5634</v>
      </c>
      <c r="C5289" s="475" t="s">
        <v>5635</v>
      </c>
      <c r="D5289" s="475" t="s">
        <v>5636</v>
      </c>
      <c r="E5289" s="476" t="s">
        <v>34</v>
      </c>
      <c r="F5289" s="475" t="s">
        <v>34</v>
      </c>
      <c r="G5289" s="364">
        <v>88485</v>
      </c>
      <c r="H5289" s="475" t="s">
        <v>4411</v>
      </c>
      <c r="I5289" s="475" t="s">
        <v>322</v>
      </c>
      <c r="J5289" s="475" t="s">
        <v>363</v>
      </c>
      <c r="K5289" s="365">
        <v>2.21</v>
      </c>
      <c r="L5289" s="475" t="s">
        <v>141</v>
      </c>
      <c r="M5289" s="473"/>
    </row>
    <row r="5290" spans="1:13" ht="13.5">
      <c r="A5290" s="475" t="s">
        <v>5633</v>
      </c>
      <c r="B5290" s="475" t="s">
        <v>5634</v>
      </c>
      <c r="C5290" s="475" t="s">
        <v>5635</v>
      </c>
      <c r="D5290" s="475" t="s">
        <v>5636</v>
      </c>
      <c r="E5290" s="476" t="s">
        <v>34</v>
      </c>
      <c r="F5290" s="475" t="s">
        <v>34</v>
      </c>
      <c r="G5290" s="364">
        <v>88486</v>
      </c>
      <c r="H5290" s="475" t="s">
        <v>4412</v>
      </c>
      <c r="I5290" s="475" t="s">
        <v>322</v>
      </c>
      <c r="J5290" s="475" t="s">
        <v>337</v>
      </c>
      <c r="K5290" s="365">
        <v>10.3</v>
      </c>
      <c r="L5290" s="475" t="s">
        <v>141</v>
      </c>
      <c r="M5290" s="473"/>
    </row>
    <row r="5291" spans="1:13" ht="13.5">
      <c r="A5291" s="475" t="s">
        <v>5633</v>
      </c>
      <c r="B5291" s="475" t="s">
        <v>5634</v>
      </c>
      <c r="C5291" s="475" t="s">
        <v>5635</v>
      </c>
      <c r="D5291" s="475" t="s">
        <v>5636</v>
      </c>
      <c r="E5291" s="476" t="s">
        <v>34</v>
      </c>
      <c r="F5291" s="475" t="s">
        <v>34</v>
      </c>
      <c r="G5291" s="364">
        <v>88487</v>
      </c>
      <c r="H5291" s="475" t="s">
        <v>4413</v>
      </c>
      <c r="I5291" s="475" t="s">
        <v>322</v>
      </c>
      <c r="J5291" s="475" t="s">
        <v>337</v>
      </c>
      <c r="K5291" s="365">
        <v>9.2799999999999994</v>
      </c>
      <c r="L5291" s="475" t="s">
        <v>141</v>
      </c>
      <c r="M5291" s="473"/>
    </row>
    <row r="5292" spans="1:13" ht="13.5">
      <c r="A5292" s="475" t="s">
        <v>5633</v>
      </c>
      <c r="B5292" s="475" t="s">
        <v>5634</v>
      </c>
      <c r="C5292" s="475" t="s">
        <v>5635</v>
      </c>
      <c r="D5292" s="475" t="s">
        <v>5636</v>
      </c>
      <c r="E5292" s="476" t="s">
        <v>34</v>
      </c>
      <c r="F5292" s="475" t="s">
        <v>34</v>
      </c>
      <c r="G5292" s="364">
        <v>88488</v>
      </c>
      <c r="H5292" s="475" t="s">
        <v>4414</v>
      </c>
      <c r="I5292" s="475" t="s">
        <v>322</v>
      </c>
      <c r="J5292" s="475" t="s">
        <v>337</v>
      </c>
      <c r="K5292" s="365">
        <v>13.13</v>
      </c>
      <c r="L5292" s="475" t="s">
        <v>141</v>
      </c>
      <c r="M5292" s="473"/>
    </row>
    <row r="5293" spans="1:13" ht="13.5">
      <c r="A5293" s="475" t="s">
        <v>5633</v>
      </c>
      <c r="B5293" s="475" t="s">
        <v>5634</v>
      </c>
      <c r="C5293" s="475" t="s">
        <v>5635</v>
      </c>
      <c r="D5293" s="475" t="s">
        <v>5636</v>
      </c>
      <c r="E5293" s="476" t="s">
        <v>34</v>
      </c>
      <c r="F5293" s="475" t="s">
        <v>34</v>
      </c>
      <c r="G5293" s="364">
        <v>88489</v>
      </c>
      <c r="H5293" s="475" t="s">
        <v>4415</v>
      </c>
      <c r="I5293" s="475" t="s">
        <v>322</v>
      </c>
      <c r="J5293" s="475" t="s">
        <v>337</v>
      </c>
      <c r="K5293" s="365">
        <v>11.69</v>
      </c>
      <c r="L5293" s="475" t="s">
        <v>141</v>
      </c>
      <c r="M5293" s="473"/>
    </row>
    <row r="5294" spans="1:13" ht="13.5">
      <c r="A5294" s="475" t="s">
        <v>5633</v>
      </c>
      <c r="B5294" s="475" t="s">
        <v>5634</v>
      </c>
      <c r="C5294" s="475" t="s">
        <v>5635</v>
      </c>
      <c r="D5294" s="475" t="s">
        <v>5636</v>
      </c>
      <c r="E5294" s="476" t="s">
        <v>34</v>
      </c>
      <c r="F5294" s="475" t="s">
        <v>34</v>
      </c>
      <c r="G5294" s="364">
        <v>88490</v>
      </c>
      <c r="H5294" s="475" t="s">
        <v>4416</v>
      </c>
      <c r="I5294" s="475" t="s">
        <v>322</v>
      </c>
      <c r="J5294" s="475" t="s">
        <v>337</v>
      </c>
      <c r="K5294" s="365">
        <v>7.72</v>
      </c>
      <c r="L5294" s="475" t="s">
        <v>141</v>
      </c>
      <c r="M5294" s="473"/>
    </row>
    <row r="5295" spans="1:13" ht="13.5">
      <c r="A5295" s="475" t="s">
        <v>5633</v>
      </c>
      <c r="B5295" s="475" t="s">
        <v>5634</v>
      </c>
      <c r="C5295" s="475" t="s">
        <v>5635</v>
      </c>
      <c r="D5295" s="475" t="s">
        <v>5636</v>
      </c>
      <c r="E5295" s="476" t="s">
        <v>34</v>
      </c>
      <c r="F5295" s="475" t="s">
        <v>34</v>
      </c>
      <c r="G5295" s="364">
        <v>88491</v>
      </c>
      <c r="H5295" s="475" t="s">
        <v>4417</v>
      </c>
      <c r="I5295" s="475" t="s">
        <v>322</v>
      </c>
      <c r="J5295" s="475" t="s">
        <v>337</v>
      </c>
      <c r="K5295" s="365">
        <v>7.48</v>
      </c>
      <c r="L5295" s="475" t="s">
        <v>141</v>
      </c>
      <c r="M5295" s="473"/>
    </row>
    <row r="5296" spans="1:13" ht="13.5">
      <c r="A5296" s="475" t="s">
        <v>5633</v>
      </c>
      <c r="B5296" s="475" t="s">
        <v>5634</v>
      </c>
      <c r="C5296" s="475" t="s">
        <v>5635</v>
      </c>
      <c r="D5296" s="475" t="s">
        <v>5636</v>
      </c>
      <c r="E5296" s="476" t="s">
        <v>34</v>
      </c>
      <c r="F5296" s="475" t="s">
        <v>34</v>
      </c>
      <c r="G5296" s="364">
        <v>88492</v>
      </c>
      <c r="H5296" s="475" t="s">
        <v>4418</v>
      </c>
      <c r="I5296" s="475" t="s">
        <v>322</v>
      </c>
      <c r="J5296" s="475" t="s">
        <v>337</v>
      </c>
      <c r="K5296" s="365">
        <v>9.24</v>
      </c>
      <c r="L5296" s="475" t="s">
        <v>141</v>
      </c>
      <c r="M5296" s="473"/>
    </row>
    <row r="5297" spans="1:13" ht="13.5">
      <c r="A5297" s="475" t="s">
        <v>5633</v>
      </c>
      <c r="B5297" s="475" t="s">
        <v>5634</v>
      </c>
      <c r="C5297" s="475" t="s">
        <v>5635</v>
      </c>
      <c r="D5297" s="475" t="s">
        <v>5636</v>
      </c>
      <c r="E5297" s="476" t="s">
        <v>34</v>
      </c>
      <c r="F5297" s="475" t="s">
        <v>34</v>
      </c>
      <c r="G5297" s="364">
        <v>88493</v>
      </c>
      <c r="H5297" s="475" t="s">
        <v>4419</v>
      </c>
      <c r="I5297" s="475" t="s">
        <v>322</v>
      </c>
      <c r="J5297" s="475" t="s">
        <v>337</v>
      </c>
      <c r="K5297" s="365">
        <v>8.89</v>
      </c>
      <c r="L5297" s="475" t="s">
        <v>141</v>
      </c>
      <c r="M5297" s="473"/>
    </row>
    <row r="5298" spans="1:13" ht="13.5">
      <c r="A5298" s="475" t="s">
        <v>5633</v>
      </c>
      <c r="B5298" s="475" t="s">
        <v>5634</v>
      </c>
      <c r="C5298" s="475" t="s">
        <v>5635</v>
      </c>
      <c r="D5298" s="475" t="s">
        <v>5636</v>
      </c>
      <c r="E5298" s="476" t="s">
        <v>34</v>
      </c>
      <c r="F5298" s="475" t="s">
        <v>34</v>
      </c>
      <c r="G5298" s="364">
        <v>88494</v>
      </c>
      <c r="H5298" s="475" t="s">
        <v>4420</v>
      </c>
      <c r="I5298" s="475" t="s">
        <v>322</v>
      </c>
      <c r="J5298" s="475" t="s">
        <v>337</v>
      </c>
      <c r="K5298" s="365">
        <v>15.55</v>
      </c>
      <c r="L5298" s="475" t="s">
        <v>141</v>
      </c>
      <c r="M5298" s="473"/>
    </row>
    <row r="5299" spans="1:13" ht="13.5">
      <c r="A5299" s="475" t="s">
        <v>5633</v>
      </c>
      <c r="B5299" s="475" t="s">
        <v>5634</v>
      </c>
      <c r="C5299" s="475" t="s">
        <v>5635</v>
      </c>
      <c r="D5299" s="475" t="s">
        <v>5636</v>
      </c>
      <c r="E5299" s="476" t="s">
        <v>34</v>
      </c>
      <c r="F5299" s="475" t="s">
        <v>34</v>
      </c>
      <c r="G5299" s="364">
        <v>88495</v>
      </c>
      <c r="H5299" s="475" t="s">
        <v>4421</v>
      </c>
      <c r="I5299" s="475" t="s">
        <v>322</v>
      </c>
      <c r="J5299" s="475" t="s">
        <v>337</v>
      </c>
      <c r="K5299" s="365">
        <v>8.6300000000000008</v>
      </c>
      <c r="L5299" s="475" t="s">
        <v>141</v>
      </c>
      <c r="M5299" s="473"/>
    </row>
    <row r="5300" spans="1:13" ht="13.5">
      <c r="A5300" s="475" t="s">
        <v>5633</v>
      </c>
      <c r="B5300" s="475" t="s">
        <v>5634</v>
      </c>
      <c r="C5300" s="475" t="s">
        <v>5635</v>
      </c>
      <c r="D5300" s="475" t="s">
        <v>5636</v>
      </c>
      <c r="E5300" s="476" t="s">
        <v>34</v>
      </c>
      <c r="F5300" s="475" t="s">
        <v>34</v>
      </c>
      <c r="G5300" s="364">
        <v>88496</v>
      </c>
      <c r="H5300" s="475" t="s">
        <v>4422</v>
      </c>
      <c r="I5300" s="475" t="s">
        <v>322</v>
      </c>
      <c r="J5300" s="475" t="s">
        <v>337</v>
      </c>
      <c r="K5300" s="365">
        <v>21.16</v>
      </c>
      <c r="L5300" s="475" t="s">
        <v>141</v>
      </c>
      <c r="M5300" s="473"/>
    </row>
    <row r="5301" spans="1:13" ht="13.5">
      <c r="A5301" s="475" t="s">
        <v>5633</v>
      </c>
      <c r="B5301" s="475" t="s">
        <v>5634</v>
      </c>
      <c r="C5301" s="475" t="s">
        <v>5635</v>
      </c>
      <c r="D5301" s="475" t="s">
        <v>5636</v>
      </c>
      <c r="E5301" s="476" t="s">
        <v>34</v>
      </c>
      <c r="F5301" s="475" t="s">
        <v>34</v>
      </c>
      <c r="G5301" s="364">
        <v>88497</v>
      </c>
      <c r="H5301" s="475" t="s">
        <v>4423</v>
      </c>
      <c r="I5301" s="475" t="s">
        <v>322</v>
      </c>
      <c r="J5301" s="475" t="s">
        <v>337</v>
      </c>
      <c r="K5301" s="365">
        <v>11.91</v>
      </c>
      <c r="L5301" s="475" t="s">
        <v>141</v>
      </c>
      <c r="M5301" s="473"/>
    </row>
    <row r="5302" spans="1:13" ht="13.5">
      <c r="A5302" s="475" t="s">
        <v>5633</v>
      </c>
      <c r="B5302" s="475" t="s">
        <v>5634</v>
      </c>
      <c r="C5302" s="475" t="s">
        <v>5635</v>
      </c>
      <c r="D5302" s="475" t="s">
        <v>5636</v>
      </c>
      <c r="E5302" s="476" t="s">
        <v>34</v>
      </c>
      <c r="F5302" s="475" t="s">
        <v>34</v>
      </c>
      <c r="G5302" s="364">
        <v>95305</v>
      </c>
      <c r="H5302" s="475" t="s">
        <v>4424</v>
      </c>
      <c r="I5302" s="475" t="s">
        <v>322</v>
      </c>
      <c r="J5302" s="475" t="s">
        <v>337</v>
      </c>
      <c r="K5302" s="365">
        <v>12.15</v>
      </c>
      <c r="L5302" s="475" t="s">
        <v>141</v>
      </c>
      <c r="M5302" s="473"/>
    </row>
    <row r="5303" spans="1:13" ht="13.5">
      <c r="A5303" s="475" t="s">
        <v>5633</v>
      </c>
      <c r="B5303" s="475" t="s">
        <v>5634</v>
      </c>
      <c r="C5303" s="475" t="s">
        <v>5635</v>
      </c>
      <c r="D5303" s="475" t="s">
        <v>5636</v>
      </c>
      <c r="E5303" s="476" t="s">
        <v>34</v>
      </c>
      <c r="F5303" s="475" t="s">
        <v>34</v>
      </c>
      <c r="G5303" s="364">
        <v>95306</v>
      </c>
      <c r="H5303" s="475" t="s">
        <v>4425</v>
      </c>
      <c r="I5303" s="475" t="s">
        <v>322</v>
      </c>
      <c r="J5303" s="475" t="s">
        <v>337</v>
      </c>
      <c r="K5303" s="365">
        <v>13.98</v>
      </c>
      <c r="L5303" s="475" t="s">
        <v>141</v>
      </c>
      <c r="M5303" s="473"/>
    </row>
    <row r="5304" spans="1:13" ht="13.5">
      <c r="A5304" s="475" t="s">
        <v>5633</v>
      </c>
      <c r="B5304" s="475" t="s">
        <v>5634</v>
      </c>
      <c r="C5304" s="475" t="s">
        <v>5635</v>
      </c>
      <c r="D5304" s="475" t="s">
        <v>5636</v>
      </c>
      <c r="E5304" s="476" t="s">
        <v>34</v>
      </c>
      <c r="F5304" s="475" t="s">
        <v>34</v>
      </c>
      <c r="G5304" s="364">
        <v>95622</v>
      </c>
      <c r="H5304" s="475" t="s">
        <v>4426</v>
      </c>
      <c r="I5304" s="475" t="s">
        <v>322</v>
      </c>
      <c r="J5304" s="475" t="s">
        <v>337</v>
      </c>
      <c r="K5304" s="365">
        <v>11.57</v>
      </c>
      <c r="L5304" s="475" t="s">
        <v>141</v>
      </c>
      <c r="M5304" s="473"/>
    </row>
    <row r="5305" spans="1:13" ht="13.5">
      <c r="A5305" s="475" t="s">
        <v>5633</v>
      </c>
      <c r="B5305" s="475" t="s">
        <v>5634</v>
      </c>
      <c r="C5305" s="475" t="s">
        <v>5635</v>
      </c>
      <c r="D5305" s="475" t="s">
        <v>5636</v>
      </c>
      <c r="E5305" s="476" t="s">
        <v>34</v>
      </c>
      <c r="F5305" s="475" t="s">
        <v>34</v>
      </c>
      <c r="G5305" s="364">
        <v>95623</v>
      </c>
      <c r="H5305" s="475" t="s">
        <v>4427</v>
      </c>
      <c r="I5305" s="475" t="s">
        <v>322</v>
      </c>
      <c r="J5305" s="475" t="s">
        <v>337</v>
      </c>
      <c r="K5305" s="365">
        <v>8.9700000000000006</v>
      </c>
      <c r="L5305" s="475" t="s">
        <v>141</v>
      </c>
      <c r="M5305" s="473"/>
    </row>
    <row r="5306" spans="1:13" ht="13.5">
      <c r="A5306" s="475" t="s">
        <v>5633</v>
      </c>
      <c r="B5306" s="475" t="s">
        <v>5634</v>
      </c>
      <c r="C5306" s="475" t="s">
        <v>5635</v>
      </c>
      <c r="D5306" s="475" t="s">
        <v>5636</v>
      </c>
      <c r="E5306" s="476" t="s">
        <v>34</v>
      </c>
      <c r="F5306" s="475" t="s">
        <v>34</v>
      </c>
      <c r="G5306" s="364">
        <v>95624</v>
      </c>
      <c r="H5306" s="475" t="s">
        <v>4428</v>
      </c>
      <c r="I5306" s="475" t="s">
        <v>322</v>
      </c>
      <c r="J5306" s="475" t="s">
        <v>337</v>
      </c>
      <c r="K5306" s="365">
        <v>16.84</v>
      </c>
      <c r="L5306" s="475" t="s">
        <v>141</v>
      </c>
      <c r="M5306" s="473"/>
    </row>
    <row r="5307" spans="1:13" ht="13.5">
      <c r="A5307" s="475" t="s">
        <v>5633</v>
      </c>
      <c r="B5307" s="475" t="s">
        <v>5634</v>
      </c>
      <c r="C5307" s="475" t="s">
        <v>5635</v>
      </c>
      <c r="D5307" s="475" t="s">
        <v>5636</v>
      </c>
      <c r="E5307" s="476" t="s">
        <v>34</v>
      </c>
      <c r="F5307" s="475" t="s">
        <v>34</v>
      </c>
      <c r="G5307" s="364">
        <v>95625</v>
      </c>
      <c r="H5307" s="475" t="s">
        <v>4429</v>
      </c>
      <c r="I5307" s="475" t="s">
        <v>322</v>
      </c>
      <c r="J5307" s="475" t="s">
        <v>337</v>
      </c>
      <c r="K5307" s="365">
        <v>18.510000000000002</v>
      </c>
      <c r="L5307" s="475" t="s">
        <v>141</v>
      </c>
      <c r="M5307" s="473"/>
    </row>
    <row r="5308" spans="1:13" ht="13.5">
      <c r="A5308" s="475" t="s">
        <v>5633</v>
      </c>
      <c r="B5308" s="475" t="s">
        <v>5634</v>
      </c>
      <c r="C5308" s="475" t="s">
        <v>5635</v>
      </c>
      <c r="D5308" s="475" t="s">
        <v>5636</v>
      </c>
      <c r="E5308" s="476" t="s">
        <v>34</v>
      </c>
      <c r="F5308" s="475" t="s">
        <v>34</v>
      </c>
      <c r="G5308" s="364">
        <v>95626</v>
      </c>
      <c r="H5308" s="475" t="s">
        <v>4430</v>
      </c>
      <c r="I5308" s="475" t="s">
        <v>322</v>
      </c>
      <c r="J5308" s="475" t="s">
        <v>337</v>
      </c>
      <c r="K5308" s="365">
        <v>12.41</v>
      </c>
      <c r="L5308" s="475" t="s">
        <v>141</v>
      </c>
      <c r="M5308" s="473"/>
    </row>
    <row r="5309" spans="1:13" ht="13.5">
      <c r="A5309" s="475" t="s">
        <v>5633</v>
      </c>
      <c r="B5309" s="475" t="s">
        <v>5634</v>
      </c>
      <c r="C5309" s="475" t="s">
        <v>5635</v>
      </c>
      <c r="D5309" s="475" t="s">
        <v>5636</v>
      </c>
      <c r="E5309" s="476" t="s">
        <v>34</v>
      </c>
      <c r="F5309" s="475" t="s">
        <v>34</v>
      </c>
      <c r="G5309" s="364">
        <v>96126</v>
      </c>
      <c r="H5309" s="475" t="s">
        <v>4431</v>
      </c>
      <c r="I5309" s="475" t="s">
        <v>322</v>
      </c>
      <c r="J5309" s="475" t="s">
        <v>337</v>
      </c>
      <c r="K5309" s="365">
        <v>14.49</v>
      </c>
      <c r="L5309" s="475" t="s">
        <v>141</v>
      </c>
      <c r="M5309" s="473"/>
    </row>
    <row r="5310" spans="1:13" ht="13.5">
      <c r="A5310" s="475" t="s">
        <v>5633</v>
      </c>
      <c r="B5310" s="475" t="s">
        <v>5634</v>
      </c>
      <c r="C5310" s="475" t="s">
        <v>5635</v>
      </c>
      <c r="D5310" s="475" t="s">
        <v>5636</v>
      </c>
      <c r="E5310" s="476" t="s">
        <v>34</v>
      </c>
      <c r="F5310" s="475" t="s">
        <v>34</v>
      </c>
      <c r="G5310" s="364">
        <v>96127</v>
      </c>
      <c r="H5310" s="475" t="s">
        <v>4432</v>
      </c>
      <c r="I5310" s="475" t="s">
        <v>322</v>
      </c>
      <c r="J5310" s="475" t="s">
        <v>337</v>
      </c>
      <c r="K5310" s="365">
        <v>11.24</v>
      </c>
      <c r="L5310" s="475" t="s">
        <v>141</v>
      </c>
      <c r="M5310" s="473"/>
    </row>
    <row r="5311" spans="1:13" ht="13.5">
      <c r="A5311" s="475" t="s">
        <v>5633</v>
      </c>
      <c r="B5311" s="475" t="s">
        <v>5634</v>
      </c>
      <c r="C5311" s="475" t="s">
        <v>5635</v>
      </c>
      <c r="D5311" s="475" t="s">
        <v>5636</v>
      </c>
      <c r="E5311" s="476" t="s">
        <v>34</v>
      </c>
      <c r="F5311" s="475" t="s">
        <v>34</v>
      </c>
      <c r="G5311" s="364">
        <v>96128</v>
      </c>
      <c r="H5311" s="475" t="s">
        <v>4433</v>
      </c>
      <c r="I5311" s="475" t="s">
        <v>322</v>
      </c>
      <c r="J5311" s="475" t="s">
        <v>337</v>
      </c>
      <c r="K5311" s="365">
        <v>21.04</v>
      </c>
      <c r="L5311" s="475" t="s">
        <v>141</v>
      </c>
      <c r="M5311" s="473"/>
    </row>
    <row r="5312" spans="1:13" ht="13.5">
      <c r="A5312" s="475" t="s">
        <v>5633</v>
      </c>
      <c r="B5312" s="475" t="s">
        <v>5634</v>
      </c>
      <c r="C5312" s="475" t="s">
        <v>5635</v>
      </c>
      <c r="D5312" s="475" t="s">
        <v>5636</v>
      </c>
      <c r="E5312" s="476" t="s">
        <v>34</v>
      </c>
      <c r="F5312" s="475" t="s">
        <v>34</v>
      </c>
      <c r="G5312" s="364">
        <v>96129</v>
      </c>
      <c r="H5312" s="475" t="s">
        <v>4434</v>
      </c>
      <c r="I5312" s="475" t="s">
        <v>322</v>
      </c>
      <c r="J5312" s="475" t="s">
        <v>337</v>
      </c>
      <c r="K5312" s="365">
        <v>23.14</v>
      </c>
      <c r="L5312" s="475" t="s">
        <v>141</v>
      </c>
      <c r="M5312" s="473"/>
    </row>
    <row r="5313" spans="1:13" ht="13.5">
      <c r="A5313" s="475" t="s">
        <v>5633</v>
      </c>
      <c r="B5313" s="475" t="s">
        <v>5634</v>
      </c>
      <c r="C5313" s="475" t="s">
        <v>5635</v>
      </c>
      <c r="D5313" s="475" t="s">
        <v>5636</v>
      </c>
      <c r="E5313" s="476" t="s">
        <v>34</v>
      </c>
      <c r="F5313" s="475" t="s">
        <v>34</v>
      </c>
      <c r="G5313" s="364">
        <v>96130</v>
      </c>
      <c r="H5313" s="475" t="s">
        <v>4435</v>
      </c>
      <c r="I5313" s="475" t="s">
        <v>322</v>
      </c>
      <c r="J5313" s="475" t="s">
        <v>337</v>
      </c>
      <c r="K5313" s="365">
        <v>15.5</v>
      </c>
      <c r="L5313" s="475" t="s">
        <v>141</v>
      </c>
      <c r="M5313" s="473"/>
    </row>
    <row r="5314" spans="1:13" ht="13.5">
      <c r="A5314" s="475" t="s">
        <v>5633</v>
      </c>
      <c r="B5314" s="475" t="s">
        <v>5634</v>
      </c>
      <c r="C5314" s="475" t="s">
        <v>5635</v>
      </c>
      <c r="D5314" s="475" t="s">
        <v>5636</v>
      </c>
      <c r="E5314" s="476" t="s">
        <v>34</v>
      </c>
      <c r="F5314" s="475" t="s">
        <v>34</v>
      </c>
      <c r="G5314" s="364">
        <v>96131</v>
      </c>
      <c r="H5314" s="475" t="s">
        <v>4436</v>
      </c>
      <c r="I5314" s="475" t="s">
        <v>322</v>
      </c>
      <c r="J5314" s="475" t="s">
        <v>337</v>
      </c>
      <c r="K5314" s="365">
        <v>20.09</v>
      </c>
      <c r="L5314" s="475" t="s">
        <v>141</v>
      </c>
      <c r="M5314" s="473"/>
    </row>
    <row r="5315" spans="1:13" ht="13.5">
      <c r="A5315" s="475" t="s">
        <v>5633</v>
      </c>
      <c r="B5315" s="475" t="s">
        <v>5634</v>
      </c>
      <c r="C5315" s="475" t="s">
        <v>5635</v>
      </c>
      <c r="D5315" s="475" t="s">
        <v>5636</v>
      </c>
      <c r="E5315" s="476" t="s">
        <v>34</v>
      </c>
      <c r="F5315" s="475" t="s">
        <v>34</v>
      </c>
      <c r="G5315" s="364">
        <v>96132</v>
      </c>
      <c r="H5315" s="475" t="s">
        <v>4437</v>
      </c>
      <c r="I5315" s="475" t="s">
        <v>322</v>
      </c>
      <c r="J5315" s="475" t="s">
        <v>337</v>
      </c>
      <c r="K5315" s="365">
        <v>15.78</v>
      </c>
      <c r="L5315" s="475" t="s">
        <v>141</v>
      </c>
      <c r="M5315" s="473"/>
    </row>
    <row r="5316" spans="1:13" ht="13.5">
      <c r="A5316" s="475" t="s">
        <v>5633</v>
      </c>
      <c r="B5316" s="475" t="s">
        <v>5634</v>
      </c>
      <c r="C5316" s="475" t="s">
        <v>5635</v>
      </c>
      <c r="D5316" s="475" t="s">
        <v>5636</v>
      </c>
      <c r="E5316" s="476" t="s">
        <v>34</v>
      </c>
      <c r="F5316" s="475" t="s">
        <v>34</v>
      </c>
      <c r="G5316" s="364">
        <v>96133</v>
      </c>
      <c r="H5316" s="475" t="s">
        <v>4438</v>
      </c>
      <c r="I5316" s="475" t="s">
        <v>322</v>
      </c>
      <c r="J5316" s="475" t="s">
        <v>337</v>
      </c>
      <c r="K5316" s="365">
        <v>28.82</v>
      </c>
      <c r="L5316" s="475" t="s">
        <v>141</v>
      </c>
      <c r="M5316" s="473"/>
    </row>
    <row r="5317" spans="1:13" ht="13.5">
      <c r="A5317" s="475" t="s">
        <v>5633</v>
      </c>
      <c r="B5317" s="475" t="s">
        <v>5634</v>
      </c>
      <c r="C5317" s="475" t="s">
        <v>5635</v>
      </c>
      <c r="D5317" s="475" t="s">
        <v>5636</v>
      </c>
      <c r="E5317" s="476" t="s">
        <v>34</v>
      </c>
      <c r="F5317" s="475" t="s">
        <v>34</v>
      </c>
      <c r="G5317" s="364">
        <v>96134</v>
      </c>
      <c r="H5317" s="475" t="s">
        <v>4439</v>
      </c>
      <c r="I5317" s="475" t="s">
        <v>322</v>
      </c>
      <c r="J5317" s="475" t="s">
        <v>337</v>
      </c>
      <c r="K5317" s="365">
        <v>31.6</v>
      </c>
      <c r="L5317" s="475" t="s">
        <v>141</v>
      </c>
      <c r="M5317" s="473"/>
    </row>
    <row r="5318" spans="1:13" ht="13.5">
      <c r="A5318" s="475" t="s">
        <v>5633</v>
      </c>
      <c r="B5318" s="475" t="s">
        <v>5634</v>
      </c>
      <c r="C5318" s="475" t="s">
        <v>5635</v>
      </c>
      <c r="D5318" s="475" t="s">
        <v>5636</v>
      </c>
      <c r="E5318" s="476" t="s">
        <v>34</v>
      </c>
      <c r="F5318" s="475" t="s">
        <v>34</v>
      </c>
      <c r="G5318" s="364">
        <v>96135</v>
      </c>
      <c r="H5318" s="475" t="s">
        <v>4440</v>
      </c>
      <c r="I5318" s="475" t="s">
        <v>322</v>
      </c>
      <c r="J5318" s="475" t="s">
        <v>337</v>
      </c>
      <c r="K5318" s="365">
        <v>21.47</v>
      </c>
      <c r="L5318" s="475" t="s">
        <v>141</v>
      </c>
      <c r="M5318" s="473"/>
    </row>
    <row r="5319" spans="1:13" ht="13.5">
      <c r="A5319" s="475" t="s">
        <v>5633</v>
      </c>
      <c r="B5319" s="475" t="s">
        <v>5634</v>
      </c>
      <c r="C5319" s="475" t="s">
        <v>5639</v>
      </c>
      <c r="D5319" s="475" t="s">
        <v>5640</v>
      </c>
      <c r="E5319" s="476" t="s">
        <v>34</v>
      </c>
      <c r="F5319" s="475" t="s">
        <v>34</v>
      </c>
      <c r="G5319" s="364">
        <v>79460</v>
      </c>
      <c r="H5319" s="475" t="s">
        <v>4441</v>
      </c>
      <c r="I5319" s="475" t="s">
        <v>322</v>
      </c>
      <c r="J5319" s="475" t="s">
        <v>337</v>
      </c>
      <c r="K5319" s="365">
        <v>43.34</v>
      </c>
      <c r="L5319" s="475" t="s">
        <v>141</v>
      </c>
      <c r="M5319" s="473"/>
    </row>
    <row r="5320" spans="1:13" ht="13.5">
      <c r="A5320" s="475" t="s">
        <v>5633</v>
      </c>
      <c r="B5320" s="475" t="s">
        <v>5634</v>
      </c>
      <c r="C5320" s="475" t="s">
        <v>5639</v>
      </c>
      <c r="D5320" s="475" t="s">
        <v>5640</v>
      </c>
      <c r="E5320" s="476" t="s">
        <v>34</v>
      </c>
      <c r="F5320" s="475" t="s">
        <v>34</v>
      </c>
      <c r="G5320" s="364">
        <v>79465</v>
      </c>
      <c r="H5320" s="475" t="s">
        <v>4442</v>
      </c>
      <c r="I5320" s="475" t="s">
        <v>322</v>
      </c>
      <c r="J5320" s="475" t="s">
        <v>337</v>
      </c>
      <c r="K5320" s="365">
        <v>34.81</v>
      </c>
      <c r="L5320" s="475" t="s">
        <v>141</v>
      </c>
      <c r="M5320" s="473"/>
    </row>
    <row r="5321" spans="1:13" ht="13.5">
      <c r="A5321" s="475" t="s">
        <v>5633</v>
      </c>
      <c r="B5321" s="475" t="s">
        <v>5634</v>
      </c>
      <c r="C5321" s="475" t="s">
        <v>5639</v>
      </c>
      <c r="D5321" s="475" t="s">
        <v>5640</v>
      </c>
      <c r="E5321" s="476">
        <v>79514</v>
      </c>
      <c r="F5321" s="475" t="s">
        <v>5641</v>
      </c>
      <c r="G5321" s="364" t="s">
        <v>4443</v>
      </c>
      <c r="H5321" s="475" t="s">
        <v>4444</v>
      </c>
      <c r="I5321" s="475" t="s">
        <v>322</v>
      </c>
      <c r="J5321" s="475" t="s">
        <v>337</v>
      </c>
      <c r="K5321" s="365">
        <v>61.02</v>
      </c>
      <c r="L5321" s="475" t="s">
        <v>141</v>
      </c>
      <c r="M5321" s="473"/>
    </row>
    <row r="5322" spans="1:13" ht="13.5">
      <c r="A5322" s="475" t="s">
        <v>5633</v>
      </c>
      <c r="B5322" s="475" t="s">
        <v>5634</v>
      </c>
      <c r="C5322" s="475" t="s">
        <v>5639</v>
      </c>
      <c r="D5322" s="475" t="s">
        <v>5640</v>
      </c>
      <c r="E5322" s="476" t="s">
        <v>34</v>
      </c>
      <c r="F5322" s="475" t="s">
        <v>34</v>
      </c>
      <c r="G5322" s="364">
        <v>84647</v>
      </c>
      <c r="H5322" s="475" t="s">
        <v>4445</v>
      </c>
      <c r="I5322" s="475" t="s">
        <v>322</v>
      </c>
      <c r="J5322" s="475" t="s">
        <v>337</v>
      </c>
      <c r="K5322" s="365">
        <v>130.55000000000001</v>
      </c>
      <c r="L5322" s="475" t="s">
        <v>141</v>
      </c>
      <c r="M5322" s="473"/>
    </row>
    <row r="5323" spans="1:13" ht="13.5">
      <c r="A5323" s="475" t="s">
        <v>5633</v>
      </c>
      <c r="B5323" s="475" t="s">
        <v>5634</v>
      </c>
      <c r="C5323" s="475" t="s">
        <v>5639</v>
      </c>
      <c r="D5323" s="475" t="s">
        <v>5640</v>
      </c>
      <c r="E5323" s="476" t="s">
        <v>34</v>
      </c>
      <c r="F5323" s="475" t="s">
        <v>34</v>
      </c>
      <c r="G5323" s="364">
        <v>84656</v>
      </c>
      <c r="H5323" s="475" t="s">
        <v>4446</v>
      </c>
      <c r="I5323" s="475" t="s">
        <v>322</v>
      </c>
      <c r="J5323" s="475" t="s">
        <v>337</v>
      </c>
      <c r="K5323" s="365">
        <v>30</v>
      </c>
      <c r="L5323" s="475" t="s">
        <v>141</v>
      </c>
      <c r="M5323" s="473"/>
    </row>
    <row r="5324" spans="1:13" ht="13.5">
      <c r="A5324" s="475" t="s">
        <v>5633</v>
      </c>
      <c r="B5324" s="475" t="s">
        <v>5634</v>
      </c>
      <c r="C5324" s="475" t="s">
        <v>5642</v>
      </c>
      <c r="D5324" s="475" t="s">
        <v>5643</v>
      </c>
      <c r="E5324" s="476" t="s">
        <v>34</v>
      </c>
      <c r="F5324" s="475" t="s">
        <v>34</v>
      </c>
      <c r="G5324" s="364">
        <v>6082</v>
      </c>
      <c r="H5324" s="475" t="s">
        <v>4447</v>
      </c>
      <c r="I5324" s="475" t="s">
        <v>322</v>
      </c>
      <c r="J5324" s="475" t="s">
        <v>337</v>
      </c>
      <c r="K5324" s="365">
        <v>15.69</v>
      </c>
      <c r="L5324" s="475" t="s">
        <v>141</v>
      </c>
      <c r="M5324" s="473"/>
    </row>
    <row r="5325" spans="1:13" ht="13.5">
      <c r="A5325" s="475" t="s">
        <v>5633</v>
      </c>
      <c r="B5325" s="475" t="s">
        <v>5634</v>
      </c>
      <c r="C5325" s="475" t="s">
        <v>5642</v>
      </c>
      <c r="D5325" s="475" t="s">
        <v>5643</v>
      </c>
      <c r="E5325" s="476" t="s">
        <v>34</v>
      </c>
      <c r="F5325" s="475" t="s">
        <v>34</v>
      </c>
      <c r="G5325" s="364">
        <v>40905</v>
      </c>
      <c r="H5325" s="475" t="s">
        <v>4448</v>
      </c>
      <c r="I5325" s="475" t="s">
        <v>322</v>
      </c>
      <c r="J5325" s="475" t="s">
        <v>337</v>
      </c>
      <c r="K5325" s="365">
        <v>20.34</v>
      </c>
      <c r="L5325" s="475" t="s">
        <v>141</v>
      </c>
      <c r="M5325" s="473"/>
    </row>
    <row r="5326" spans="1:13" ht="13.5">
      <c r="A5326" s="475" t="s">
        <v>5633</v>
      </c>
      <c r="B5326" s="475" t="s">
        <v>5634</v>
      </c>
      <c r="C5326" s="475" t="s">
        <v>5642</v>
      </c>
      <c r="D5326" s="475" t="s">
        <v>5643</v>
      </c>
      <c r="E5326" s="476">
        <v>73739</v>
      </c>
      <c r="F5326" s="475" t="s">
        <v>5644</v>
      </c>
      <c r="G5326" s="364" t="s">
        <v>4449</v>
      </c>
      <c r="H5326" s="475" t="s">
        <v>4450</v>
      </c>
      <c r="I5326" s="475" t="s">
        <v>322</v>
      </c>
      <c r="J5326" s="475" t="s">
        <v>337</v>
      </c>
      <c r="K5326" s="365">
        <v>15.81</v>
      </c>
      <c r="L5326" s="475" t="s">
        <v>141</v>
      </c>
      <c r="M5326" s="473"/>
    </row>
    <row r="5327" spans="1:13" ht="13.5">
      <c r="A5327" s="475" t="s">
        <v>5633</v>
      </c>
      <c r="B5327" s="475" t="s">
        <v>5634</v>
      </c>
      <c r="C5327" s="475" t="s">
        <v>5642</v>
      </c>
      <c r="D5327" s="475" t="s">
        <v>5643</v>
      </c>
      <c r="E5327" s="476">
        <v>74065</v>
      </c>
      <c r="F5327" s="475" t="s">
        <v>5645</v>
      </c>
      <c r="G5327" s="364" t="s">
        <v>4451</v>
      </c>
      <c r="H5327" s="475" t="s">
        <v>4452</v>
      </c>
      <c r="I5327" s="475" t="s">
        <v>322</v>
      </c>
      <c r="J5327" s="475" t="s">
        <v>337</v>
      </c>
      <c r="K5327" s="365">
        <v>22.74</v>
      </c>
      <c r="L5327" s="475" t="s">
        <v>141</v>
      </c>
      <c r="M5327" s="473"/>
    </row>
    <row r="5328" spans="1:13" ht="13.5">
      <c r="A5328" s="475" t="s">
        <v>5633</v>
      </c>
      <c r="B5328" s="475" t="s">
        <v>5634</v>
      </c>
      <c r="C5328" s="475" t="s">
        <v>5642</v>
      </c>
      <c r="D5328" s="475" t="s">
        <v>5643</v>
      </c>
      <c r="E5328" s="476">
        <v>74065</v>
      </c>
      <c r="F5328" s="475" t="s">
        <v>5645</v>
      </c>
      <c r="G5328" s="364" t="s">
        <v>4453</v>
      </c>
      <c r="H5328" s="475" t="s">
        <v>4454</v>
      </c>
      <c r="I5328" s="475" t="s">
        <v>322</v>
      </c>
      <c r="J5328" s="475" t="s">
        <v>337</v>
      </c>
      <c r="K5328" s="365">
        <v>22.33</v>
      </c>
      <c r="L5328" s="475" t="s">
        <v>141</v>
      </c>
      <c r="M5328" s="473"/>
    </row>
    <row r="5329" spans="1:13" ht="13.5">
      <c r="A5329" s="475" t="s">
        <v>5633</v>
      </c>
      <c r="B5329" s="475" t="s">
        <v>5634</v>
      </c>
      <c r="C5329" s="475" t="s">
        <v>5642</v>
      </c>
      <c r="D5329" s="475" t="s">
        <v>5643</v>
      </c>
      <c r="E5329" s="476">
        <v>74065</v>
      </c>
      <c r="F5329" s="475" t="s">
        <v>5645</v>
      </c>
      <c r="G5329" s="364" t="s">
        <v>4455</v>
      </c>
      <c r="H5329" s="475" t="s">
        <v>4456</v>
      </c>
      <c r="I5329" s="475" t="s">
        <v>322</v>
      </c>
      <c r="J5329" s="475" t="s">
        <v>337</v>
      </c>
      <c r="K5329" s="365">
        <v>22.21</v>
      </c>
      <c r="L5329" s="475" t="s">
        <v>141</v>
      </c>
      <c r="M5329" s="473"/>
    </row>
    <row r="5330" spans="1:13" ht="13.5">
      <c r="A5330" s="475" t="s">
        <v>5633</v>
      </c>
      <c r="B5330" s="475" t="s">
        <v>5634</v>
      </c>
      <c r="C5330" s="475" t="s">
        <v>5642</v>
      </c>
      <c r="D5330" s="475" t="s">
        <v>5643</v>
      </c>
      <c r="E5330" s="476" t="s">
        <v>34</v>
      </c>
      <c r="F5330" s="475" t="s">
        <v>34</v>
      </c>
      <c r="G5330" s="364">
        <v>79463</v>
      </c>
      <c r="H5330" s="475" t="s">
        <v>4457</v>
      </c>
      <c r="I5330" s="475" t="s">
        <v>322</v>
      </c>
      <c r="J5330" s="475" t="s">
        <v>337</v>
      </c>
      <c r="K5330" s="365">
        <v>13.08</v>
      </c>
      <c r="L5330" s="475" t="s">
        <v>141</v>
      </c>
      <c r="M5330" s="473"/>
    </row>
    <row r="5331" spans="1:13" ht="13.5">
      <c r="A5331" s="475" t="s">
        <v>5633</v>
      </c>
      <c r="B5331" s="475" t="s">
        <v>5634</v>
      </c>
      <c r="C5331" s="475" t="s">
        <v>5642</v>
      </c>
      <c r="D5331" s="475" t="s">
        <v>5643</v>
      </c>
      <c r="E5331" s="476" t="s">
        <v>34</v>
      </c>
      <c r="F5331" s="475" t="s">
        <v>34</v>
      </c>
      <c r="G5331" s="364">
        <v>79464</v>
      </c>
      <c r="H5331" s="475" t="s">
        <v>4458</v>
      </c>
      <c r="I5331" s="475" t="s">
        <v>322</v>
      </c>
      <c r="J5331" s="475" t="s">
        <v>337</v>
      </c>
      <c r="K5331" s="365">
        <v>17.690000000000001</v>
      </c>
      <c r="L5331" s="475" t="s">
        <v>141</v>
      </c>
      <c r="M5331" s="473"/>
    </row>
    <row r="5332" spans="1:13" ht="13.5">
      <c r="A5332" s="475" t="s">
        <v>5633</v>
      </c>
      <c r="B5332" s="475" t="s">
        <v>5634</v>
      </c>
      <c r="C5332" s="475" t="s">
        <v>5642</v>
      </c>
      <c r="D5332" s="475" t="s">
        <v>5643</v>
      </c>
      <c r="E5332" s="476" t="s">
        <v>34</v>
      </c>
      <c r="F5332" s="475" t="s">
        <v>34</v>
      </c>
      <c r="G5332" s="364">
        <v>79466</v>
      </c>
      <c r="H5332" s="475" t="s">
        <v>4459</v>
      </c>
      <c r="I5332" s="475" t="s">
        <v>322</v>
      </c>
      <c r="J5332" s="475" t="s">
        <v>337</v>
      </c>
      <c r="K5332" s="365">
        <v>17.55</v>
      </c>
      <c r="L5332" s="475" t="s">
        <v>141</v>
      </c>
      <c r="M5332" s="473"/>
    </row>
    <row r="5333" spans="1:13" ht="13.5">
      <c r="A5333" s="475" t="s">
        <v>5633</v>
      </c>
      <c r="B5333" s="475" t="s">
        <v>5634</v>
      </c>
      <c r="C5333" s="475" t="s">
        <v>5642</v>
      </c>
      <c r="D5333" s="475" t="s">
        <v>5643</v>
      </c>
      <c r="E5333" s="476">
        <v>79497</v>
      </c>
      <c r="F5333" s="475" t="s">
        <v>5646</v>
      </c>
      <c r="G5333" s="364" t="s">
        <v>4460</v>
      </c>
      <c r="H5333" s="475" t="s">
        <v>4461</v>
      </c>
      <c r="I5333" s="475" t="s">
        <v>322</v>
      </c>
      <c r="J5333" s="475" t="s">
        <v>337</v>
      </c>
      <c r="K5333" s="365">
        <v>22.04</v>
      </c>
      <c r="L5333" s="475" t="s">
        <v>141</v>
      </c>
      <c r="M5333" s="473"/>
    </row>
    <row r="5334" spans="1:13" ht="13.5">
      <c r="A5334" s="475" t="s">
        <v>5633</v>
      </c>
      <c r="B5334" s="475" t="s">
        <v>5634</v>
      </c>
      <c r="C5334" s="475" t="s">
        <v>5642</v>
      </c>
      <c r="D5334" s="475" t="s">
        <v>5643</v>
      </c>
      <c r="E5334" s="476" t="s">
        <v>34</v>
      </c>
      <c r="F5334" s="475" t="s">
        <v>34</v>
      </c>
      <c r="G5334" s="364">
        <v>84645</v>
      </c>
      <c r="H5334" s="475" t="s">
        <v>4462</v>
      </c>
      <c r="I5334" s="475" t="s">
        <v>322</v>
      </c>
      <c r="J5334" s="475" t="s">
        <v>337</v>
      </c>
      <c r="K5334" s="365">
        <v>17.3</v>
      </c>
      <c r="L5334" s="475" t="s">
        <v>141</v>
      </c>
      <c r="M5334" s="473"/>
    </row>
    <row r="5335" spans="1:13" ht="13.5">
      <c r="A5335" s="475" t="s">
        <v>5633</v>
      </c>
      <c r="B5335" s="475" t="s">
        <v>5634</v>
      </c>
      <c r="C5335" s="475" t="s">
        <v>5642</v>
      </c>
      <c r="D5335" s="475" t="s">
        <v>5643</v>
      </c>
      <c r="E5335" s="476" t="s">
        <v>34</v>
      </c>
      <c r="F5335" s="475" t="s">
        <v>34</v>
      </c>
      <c r="G5335" s="364">
        <v>84657</v>
      </c>
      <c r="H5335" s="475" t="s">
        <v>4463</v>
      </c>
      <c r="I5335" s="475" t="s">
        <v>322</v>
      </c>
      <c r="J5335" s="475" t="s">
        <v>337</v>
      </c>
      <c r="K5335" s="365">
        <v>9.27</v>
      </c>
      <c r="L5335" s="475" t="s">
        <v>141</v>
      </c>
      <c r="M5335" s="473"/>
    </row>
    <row r="5336" spans="1:13" ht="13.5">
      <c r="A5336" s="475" t="s">
        <v>5633</v>
      </c>
      <c r="B5336" s="475" t="s">
        <v>5634</v>
      </c>
      <c r="C5336" s="475" t="s">
        <v>5642</v>
      </c>
      <c r="D5336" s="475" t="s">
        <v>5643</v>
      </c>
      <c r="E5336" s="476" t="s">
        <v>34</v>
      </c>
      <c r="F5336" s="475" t="s">
        <v>34</v>
      </c>
      <c r="G5336" s="364">
        <v>84659</v>
      </c>
      <c r="H5336" s="475" t="s">
        <v>4464</v>
      </c>
      <c r="I5336" s="475" t="s">
        <v>322</v>
      </c>
      <c r="J5336" s="475" t="s">
        <v>337</v>
      </c>
      <c r="K5336" s="365">
        <v>14.63</v>
      </c>
      <c r="L5336" s="475" t="s">
        <v>141</v>
      </c>
      <c r="M5336" s="473"/>
    </row>
    <row r="5337" spans="1:13" ht="13.5">
      <c r="A5337" s="475" t="s">
        <v>5633</v>
      </c>
      <c r="B5337" s="475" t="s">
        <v>5634</v>
      </c>
      <c r="C5337" s="475" t="s">
        <v>5642</v>
      </c>
      <c r="D5337" s="475" t="s">
        <v>5643</v>
      </c>
      <c r="E5337" s="476" t="s">
        <v>34</v>
      </c>
      <c r="F5337" s="475" t="s">
        <v>34</v>
      </c>
      <c r="G5337" s="364">
        <v>84679</v>
      </c>
      <c r="H5337" s="475" t="s">
        <v>4465</v>
      </c>
      <c r="I5337" s="475" t="s">
        <v>322</v>
      </c>
      <c r="J5337" s="475" t="s">
        <v>337</v>
      </c>
      <c r="K5337" s="365">
        <v>18.260000000000002</v>
      </c>
      <c r="L5337" s="475" t="s">
        <v>141</v>
      </c>
      <c r="M5337" s="473"/>
    </row>
    <row r="5338" spans="1:13" ht="13.5">
      <c r="A5338" s="475" t="s">
        <v>5633</v>
      </c>
      <c r="B5338" s="475" t="s">
        <v>5634</v>
      </c>
      <c r="C5338" s="475" t="s">
        <v>5642</v>
      </c>
      <c r="D5338" s="475" t="s">
        <v>5643</v>
      </c>
      <c r="E5338" s="476" t="s">
        <v>34</v>
      </c>
      <c r="F5338" s="475" t="s">
        <v>34</v>
      </c>
      <c r="G5338" s="364">
        <v>95464</v>
      </c>
      <c r="H5338" s="475" t="s">
        <v>4466</v>
      </c>
      <c r="I5338" s="475" t="s">
        <v>322</v>
      </c>
      <c r="J5338" s="475" t="s">
        <v>337</v>
      </c>
      <c r="K5338" s="365">
        <v>20.420000000000002</v>
      </c>
      <c r="L5338" s="475" t="s">
        <v>141</v>
      </c>
      <c r="M5338" s="473"/>
    </row>
    <row r="5339" spans="1:13" ht="13.5">
      <c r="A5339" s="475" t="s">
        <v>5633</v>
      </c>
      <c r="B5339" s="475" t="s">
        <v>5634</v>
      </c>
      <c r="C5339" s="475" t="s">
        <v>5647</v>
      </c>
      <c r="D5339" s="475" t="s">
        <v>5648</v>
      </c>
      <c r="E5339" s="476">
        <v>73794</v>
      </c>
      <c r="F5339" s="475" t="s">
        <v>5649</v>
      </c>
      <c r="G5339" s="364" t="s">
        <v>4467</v>
      </c>
      <c r="H5339" s="475" t="s">
        <v>4468</v>
      </c>
      <c r="I5339" s="475" t="s">
        <v>322</v>
      </c>
      <c r="J5339" s="475" t="s">
        <v>337</v>
      </c>
      <c r="K5339" s="365">
        <v>32.369999999999997</v>
      </c>
      <c r="L5339" s="475" t="s">
        <v>141</v>
      </c>
      <c r="M5339" s="473"/>
    </row>
    <row r="5340" spans="1:13" ht="13.5">
      <c r="A5340" s="475" t="s">
        <v>5633</v>
      </c>
      <c r="B5340" s="475" t="s">
        <v>5634</v>
      </c>
      <c r="C5340" s="475" t="s">
        <v>5647</v>
      </c>
      <c r="D5340" s="475" t="s">
        <v>5648</v>
      </c>
      <c r="E5340" s="476">
        <v>73865</v>
      </c>
      <c r="F5340" s="475" t="s">
        <v>33</v>
      </c>
      <c r="G5340" s="364" t="s">
        <v>4469</v>
      </c>
      <c r="H5340" s="475" t="s">
        <v>4470</v>
      </c>
      <c r="I5340" s="475" t="s">
        <v>322</v>
      </c>
      <c r="J5340" s="475" t="s">
        <v>337</v>
      </c>
      <c r="K5340" s="365">
        <v>8.09</v>
      </c>
      <c r="L5340" s="475" t="s">
        <v>141</v>
      </c>
      <c r="M5340" s="473"/>
    </row>
    <row r="5341" spans="1:13" ht="13.5">
      <c r="A5341" s="475" t="s">
        <v>5633</v>
      </c>
      <c r="B5341" s="475" t="s">
        <v>5634</v>
      </c>
      <c r="C5341" s="475" t="s">
        <v>5647</v>
      </c>
      <c r="D5341" s="475" t="s">
        <v>5648</v>
      </c>
      <c r="E5341" s="476">
        <v>73924</v>
      </c>
      <c r="F5341" s="475" t="s">
        <v>5644</v>
      </c>
      <c r="G5341" s="364" t="s">
        <v>4471</v>
      </c>
      <c r="H5341" s="475" t="s">
        <v>4472</v>
      </c>
      <c r="I5341" s="475" t="s">
        <v>322</v>
      </c>
      <c r="J5341" s="475" t="s">
        <v>337</v>
      </c>
      <c r="K5341" s="365">
        <v>23.82</v>
      </c>
      <c r="L5341" s="475" t="s">
        <v>141</v>
      </c>
      <c r="M5341" s="473"/>
    </row>
    <row r="5342" spans="1:13" ht="13.5">
      <c r="A5342" s="475" t="s">
        <v>5633</v>
      </c>
      <c r="B5342" s="475" t="s">
        <v>5634</v>
      </c>
      <c r="C5342" s="475" t="s">
        <v>5647</v>
      </c>
      <c r="D5342" s="475" t="s">
        <v>5648</v>
      </c>
      <c r="E5342" s="476">
        <v>73924</v>
      </c>
      <c r="F5342" s="475" t="s">
        <v>5644</v>
      </c>
      <c r="G5342" s="364" t="s">
        <v>4473</v>
      </c>
      <c r="H5342" s="475" t="s">
        <v>4474</v>
      </c>
      <c r="I5342" s="475" t="s">
        <v>322</v>
      </c>
      <c r="J5342" s="475" t="s">
        <v>337</v>
      </c>
      <c r="K5342" s="365">
        <v>23.94</v>
      </c>
      <c r="L5342" s="475" t="s">
        <v>141</v>
      </c>
      <c r="M5342" s="473"/>
    </row>
    <row r="5343" spans="1:13" ht="13.5">
      <c r="A5343" s="475" t="s">
        <v>5633</v>
      </c>
      <c r="B5343" s="475" t="s">
        <v>5634</v>
      </c>
      <c r="C5343" s="475" t="s">
        <v>5647</v>
      </c>
      <c r="D5343" s="475" t="s">
        <v>5648</v>
      </c>
      <c r="E5343" s="476">
        <v>73924</v>
      </c>
      <c r="F5343" s="475" t="s">
        <v>5644</v>
      </c>
      <c r="G5343" s="364" t="s">
        <v>4475</v>
      </c>
      <c r="H5343" s="475" t="s">
        <v>4476</v>
      </c>
      <c r="I5343" s="475" t="s">
        <v>322</v>
      </c>
      <c r="J5343" s="475" t="s">
        <v>337</v>
      </c>
      <c r="K5343" s="365">
        <v>24.35</v>
      </c>
      <c r="L5343" s="475" t="s">
        <v>141</v>
      </c>
      <c r="M5343" s="473"/>
    </row>
    <row r="5344" spans="1:13" ht="13.5">
      <c r="A5344" s="475" t="s">
        <v>5633</v>
      </c>
      <c r="B5344" s="475" t="s">
        <v>5634</v>
      </c>
      <c r="C5344" s="475" t="s">
        <v>5647</v>
      </c>
      <c r="D5344" s="475" t="s">
        <v>5648</v>
      </c>
      <c r="E5344" s="476">
        <v>74064</v>
      </c>
      <c r="F5344" s="475" t="s">
        <v>5650</v>
      </c>
      <c r="G5344" s="364" t="s">
        <v>4477</v>
      </c>
      <c r="H5344" s="475" t="s">
        <v>4478</v>
      </c>
      <c r="I5344" s="475" t="s">
        <v>322</v>
      </c>
      <c r="J5344" s="475" t="s">
        <v>337</v>
      </c>
      <c r="K5344" s="365">
        <v>18.670000000000002</v>
      </c>
      <c r="L5344" s="475" t="s">
        <v>141</v>
      </c>
      <c r="M5344" s="473"/>
    </row>
    <row r="5345" spans="1:13" ht="13.5">
      <c r="A5345" s="475" t="s">
        <v>5633</v>
      </c>
      <c r="B5345" s="475" t="s">
        <v>5634</v>
      </c>
      <c r="C5345" s="475" t="s">
        <v>5647</v>
      </c>
      <c r="D5345" s="475" t="s">
        <v>5648</v>
      </c>
      <c r="E5345" s="476">
        <v>74064</v>
      </c>
      <c r="F5345" s="475" t="s">
        <v>5650</v>
      </c>
      <c r="G5345" s="364" t="s">
        <v>4479</v>
      </c>
      <c r="H5345" s="475" t="s">
        <v>4480</v>
      </c>
      <c r="I5345" s="475" t="s">
        <v>322</v>
      </c>
      <c r="J5345" s="475" t="s">
        <v>337</v>
      </c>
      <c r="K5345" s="365">
        <v>12.09</v>
      </c>
      <c r="L5345" s="475" t="s">
        <v>141</v>
      </c>
      <c r="M5345" s="473"/>
    </row>
    <row r="5346" spans="1:13" ht="13.5">
      <c r="A5346" s="475" t="s">
        <v>5633</v>
      </c>
      <c r="B5346" s="475" t="s">
        <v>5634</v>
      </c>
      <c r="C5346" s="475" t="s">
        <v>5647</v>
      </c>
      <c r="D5346" s="475" t="s">
        <v>5648</v>
      </c>
      <c r="E5346" s="476">
        <v>74145</v>
      </c>
      <c r="F5346" s="475" t="s">
        <v>5651</v>
      </c>
      <c r="G5346" s="364" t="s">
        <v>4481</v>
      </c>
      <c r="H5346" s="475" t="s">
        <v>4482</v>
      </c>
      <c r="I5346" s="475" t="s">
        <v>322</v>
      </c>
      <c r="J5346" s="475" t="s">
        <v>337</v>
      </c>
      <c r="K5346" s="365">
        <v>17.07</v>
      </c>
      <c r="L5346" s="475" t="s">
        <v>141</v>
      </c>
      <c r="M5346" s="473"/>
    </row>
    <row r="5347" spans="1:13" ht="13.5">
      <c r="A5347" s="475" t="s">
        <v>5633</v>
      </c>
      <c r="B5347" s="475" t="s">
        <v>5634</v>
      </c>
      <c r="C5347" s="475" t="s">
        <v>5647</v>
      </c>
      <c r="D5347" s="475" t="s">
        <v>5648</v>
      </c>
      <c r="E5347" s="476">
        <v>79498</v>
      </c>
      <c r="F5347" s="475" t="s">
        <v>5652</v>
      </c>
      <c r="G5347" s="364" t="s">
        <v>4483</v>
      </c>
      <c r="H5347" s="475" t="s">
        <v>4484</v>
      </c>
      <c r="I5347" s="475" t="s">
        <v>322</v>
      </c>
      <c r="J5347" s="475" t="s">
        <v>337</v>
      </c>
      <c r="K5347" s="365">
        <v>15.64</v>
      </c>
      <c r="L5347" s="475" t="s">
        <v>141</v>
      </c>
      <c r="M5347" s="473"/>
    </row>
    <row r="5348" spans="1:13" ht="13.5">
      <c r="A5348" s="475" t="s">
        <v>5633</v>
      </c>
      <c r="B5348" s="475" t="s">
        <v>5634</v>
      </c>
      <c r="C5348" s="475" t="s">
        <v>5647</v>
      </c>
      <c r="D5348" s="475" t="s">
        <v>5648</v>
      </c>
      <c r="E5348" s="476">
        <v>79499</v>
      </c>
      <c r="F5348" s="475" t="s">
        <v>5653</v>
      </c>
      <c r="G5348" s="364" t="s">
        <v>4485</v>
      </c>
      <c r="H5348" s="475" t="s">
        <v>4486</v>
      </c>
      <c r="I5348" s="475" t="s">
        <v>171</v>
      </c>
      <c r="J5348" s="475" t="s">
        <v>337</v>
      </c>
      <c r="K5348" s="365">
        <v>20.010000000000002</v>
      </c>
      <c r="L5348" s="475" t="s">
        <v>141</v>
      </c>
      <c r="M5348" s="473"/>
    </row>
    <row r="5349" spans="1:13" ht="13.5">
      <c r="A5349" s="475" t="s">
        <v>5633</v>
      </c>
      <c r="B5349" s="475" t="s">
        <v>5634</v>
      </c>
      <c r="C5349" s="475" t="s">
        <v>5647</v>
      </c>
      <c r="D5349" s="475" t="s">
        <v>5648</v>
      </c>
      <c r="E5349" s="476">
        <v>79515</v>
      </c>
      <c r="F5349" s="475" t="s">
        <v>5654</v>
      </c>
      <c r="G5349" s="364" t="s">
        <v>4487</v>
      </c>
      <c r="H5349" s="475" t="s">
        <v>4488</v>
      </c>
      <c r="I5349" s="475" t="s">
        <v>322</v>
      </c>
      <c r="J5349" s="475" t="s">
        <v>337</v>
      </c>
      <c r="K5349" s="365">
        <v>30.83</v>
      </c>
      <c r="L5349" s="475" t="s">
        <v>141</v>
      </c>
      <c r="M5349" s="473"/>
    </row>
    <row r="5350" spans="1:13" ht="13.5">
      <c r="A5350" s="475" t="s">
        <v>5633</v>
      </c>
      <c r="B5350" s="475" t="s">
        <v>5634</v>
      </c>
      <c r="C5350" s="475" t="s">
        <v>5647</v>
      </c>
      <c r="D5350" s="475" t="s">
        <v>5648</v>
      </c>
      <c r="E5350" s="476" t="s">
        <v>34</v>
      </c>
      <c r="F5350" s="475" t="s">
        <v>34</v>
      </c>
      <c r="G5350" s="364">
        <v>84660</v>
      </c>
      <c r="H5350" s="475" t="s">
        <v>4489</v>
      </c>
      <c r="I5350" s="475" t="s">
        <v>322</v>
      </c>
      <c r="J5350" s="475" t="s">
        <v>337</v>
      </c>
      <c r="K5350" s="365">
        <v>5.82</v>
      </c>
      <c r="L5350" s="475" t="s">
        <v>141</v>
      </c>
      <c r="M5350" s="473"/>
    </row>
    <row r="5351" spans="1:13" ht="13.5">
      <c r="A5351" s="475" t="s">
        <v>5633</v>
      </c>
      <c r="B5351" s="475" t="s">
        <v>5634</v>
      </c>
      <c r="C5351" s="475" t="s">
        <v>5647</v>
      </c>
      <c r="D5351" s="475" t="s">
        <v>5648</v>
      </c>
      <c r="E5351" s="476" t="s">
        <v>34</v>
      </c>
      <c r="F5351" s="475" t="s">
        <v>34</v>
      </c>
      <c r="G5351" s="364">
        <v>84661</v>
      </c>
      <c r="H5351" s="475" t="s">
        <v>4490</v>
      </c>
      <c r="I5351" s="475" t="s">
        <v>322</v>
      </c>
      <c r="J5351" s="475" t="s">
        <v>337</v>
      </c>
      <c r="K5351" s="365">
        <v>15.48</v>
      </c>
      <c r="L5351" s="475" t="s">
        <v>141</v>
      </c>
      <c r="M5351" s="473"/>
    </row>
    <row r="5352" spans="1:13" ht="13.5">
      <c r="A5352" s="475" t="s">
        <v>5633</v>
      </c>
      <c r="B5352" s="475" t="s">
        <v>5634</v>
      </c>
      <c r="C5352" s="475" t="s">
        <v>5647</v>
      </c>
      <c r="D5352" s="475" t="s">
        <v>5648</v>
      </c>
      <c r="E5352" s="476" t="s">
        <v>34</v>
      </c>
      <c r="F5352" s="475" t="s">
        <v>34</v>
      </c>
      <c r="G5352" s="364">
        <v>84662</v>
      </c>
      <c r="H5352" s="475" t="s">
        <v>4491</v>
      </c>
      <c r="I5352" s="475" t="s">
        <v>322</v>
      </c>
      <c r="J5352" s="475" t="s">
        <v>337</v>
      </c>
      <c r="K5352" s="365">
        <v>24.45</v>
      </c>
      <c r="L5352" s="475" t="s">
        <v>141</v>
      </c>
      <c r="M5352" s="473"/>
    </row>
    <row r="5353" spans="1:13" ht="13.5">
      <c r="A5353" s="475" t="s">
        <v>5633</v>
      </c>
      <c r="B5353" s="475" t="s">
        <v>5634</v>
      </c>
      <c r="C5353" s="475" t="s">
        <v>5647</v>
      </c>
      <c r="D5353" s="475" t="s">
        <v>5648</v>
      </c>
      <c r="E5353" s="476" t="s">
        <v>34</v>
      </c>
      <c r="F5353" s="475" t="s">
        <v>34</v>
      </c>
      <c r="G5353" s="364">
        <v>95468</v>
      </c>
      <c r="H5353" s="475" t="s">
        <v>4492</v>
      </c>
      <c r="I5353" s="475" t="s">
        <v>322</v>
      </c>
      <c r="J5353" s="475" t="s">
        <v>337</v>
      </c>
      <c r="K5353" s="365">
        <v>35.67</v>
      </c>
      <c r="L5353" s="475" t="s">
        <v>141</v>
      </c>
      <c r="M5353" s="473"/>
    </row>
    <row r="5354" spans="1:13" ht="13.5">
      <c r="A5354" s="475" t="s">
        <v>5633</v>
      </c>
      <c r="B5354" s="475" t="s">
        <v>5634</v>
      </c>
      <c r="C5354" s="475" t="s">
        <v>5655</v>
      </c>
      <c r="D5354" s="475" t="s">
        <v>5656</v>
      </c>
      <c r="E5354" s="476" t="s">
        <v>34</v>
      </c>
      <c r="F5354" s="475" t="s">
        <v>34</v>
      </c>
      <c r="G5354" s="364">
        <v>41595</v>
      </c>
      <c r="H5354" s="475" t="s">
        <v>4493</v>
      </c>
      <c r="I5354" s="475" t="s">
        <v>139</v>
      </c>
      <c r="J5354" s="475" t="s">
        <v>337</v>
      </c>
      <c r="K5354" s="365">
        <v>9.75</v>
      </c>
      <c r="L5354" s="475" t="s">
        <v>141</v>
      </c>
      <c r="M5354" s="473"/>
    </row>
    <row r="5355" spans="1:13" ht="13.5">
      <c r="A5355" s="475" t="s">
        <v>5633</v>
      </c>
      <c r="B5355" s="475" t="s">
        <v>5634</v>
      </c>
      <c r="C5355" s="475" t="s">
        <v>5655</v>
      </c>
      <c r="D5355" s="475" t="s">
        <v>5656</v>
      </c>
      <c r="E5355" s="476">
        <v>73978</v>
      </c>
      <c r="F5355" s="475" t="s">
        <v>5657</v>
      </c>
      <c r="G5355" s="364" t="s">
        <v>4494</v>
      </c>
      <c r="H5355" s="475" t="s">
        <v>4495</v>
      </c>
      <c r="I5355" s="475" t="s">
        <v>322</v>
      </c>
      <c r="J5355" s="475" t="s">
        <v>337</v>
      </c>
      <c r="K5355" s="365">
        <v>16.100000000000001</v>
      </c>
      <c r="L5355" s="475" t="s">
        <v>141</v>
      </c>
      <c r="M5355" s="473"/>
    </row>
    <row r="5356" spans="1:13" ht="13.5">
      <c r="A5356" s="475" t="s">
        <v>5633</v>
      </c>
      <c r="B5356" s="475" t="s">
        <v>5634</v>
      </c>
      <c r="C5356" s="475" t="s">
        <v>5655</v>
      </c>
      <c r="D5356" s="475" t="s">
        <v>5656</v>
      </c>
      <c r="E5356" s="476">
        <v>74245</v>
      </c>
      <c r="F5356" s="475" t="s">
        <v>4496</v>
      </c>
      <c r="G5356" s="364" t="s">
        <v>4497</v>
      </c>
      <c r="H5356" s="475" t="s">
        <v>4496</v>
      </c>
      <c r="I5356" s="475" t="s">
        <v>322</v>
      </c>
      <c r="J5356" s="475" t="s">
        <v>337</v>
      </c>
      <c r="K5356" s="365">
        <v>13.08</v>
      </c>
      <c r="L5356" s="475" t="s">
        <v>141</v>
      </c>
      <c r="M5356" s="473"/>
    </row>
    <row r="5357" spans="1:13" ht="13.5">
      <c r="A5357" s="475" t="s">
        <v>5633</v>
      </c>
      <c r="B5357" s="475" t="s">
        <v>5634</v>
      </c>
      <c r="C5357" s="475" t="s">
        <v>5655</v>
      </c>
      <c r="D5357" s="475" t="s">
        <v>5656</v>
      </c>
      <c r="E5357" s="476" t="s">
        <v>34</v>
      </c>
      <c r="F5357" s="475" t="s">
        <v>34</v>
      </c>
      <c r="G5357" s="364">
        <v>79467</v>
      </c>
      <c r="H5357" s="475" t="s">
        <v>4498</v>
      </c>
      <c r="I5357" s="475" t="s">
        <v>4499</v>
      </c>
      <c r="J5357" s="475" t="s">
        <v>337</v>
      </c>
      <c r="K5357" s="365">
        <v>11.64</v>
      </c>
      <c r="L5357" s="475" t="s">
        <v>141</v>
      </c>
      <c r="M5357" s="473"/>
    </row>
    <row r="5358" spans="1:13" ht="13.5">
      <c r="A5358" s="475" t="s">
        <v>5633</v>
      </c>
      <c r="B5358" s="475" t="s">
        <v>5634</v>
      </c>
      <c r="C5358" s="475" t="s">
        <v>5655</v>
      </c>
      <c r="D5358" s="475" t="s">
        <v>5656</v>
      </c>
      <c r="E5358" s="476">
        <v>79500</v>
      </c>
      <c r="F5358" s="475" t="s">
        <v>5658</v>
      </c>
      <c r="G5358" s="364" t="s">
        <v>4500</v>
      </c>
      <c r="H5358" s="475" t="s">
        <v>4501</v>
      </c>
      <c r="I5358" s="475" t="s">
        <v>322</v>
      </c>
      <c r="J5358" s="475" t="s">
        <v>337</v>
      </c>
      <c r="K5358" s="365">
        <v>18.37</v>
      </c>
      <c r="L5358" s="475" t="s">
        <v>141</v>
      </c>
      <c r="M5358" s="473"/>
    </row>
    <row r="5359" spans="1:13" ht="13.5">
      <c r="A5359" s="475" t="s">
        <v>5633</v>
      </c>
      <c r="B5359" s="475" t="s">
        <v>5634</v>
      </c>
      <c r="C5359" s="475" t="s">
        <v>5655</v>
      </c>
      <c r="D5359" s="475" t="s">
        <v>5656</v>
      </c>
      <c r="E5359" s="476" t="s">
        <v>34</v>
      </c>
      <c r="F5359" s="475" t="s">
        <v>34</v>
      </c>
      <c r="G5359" s="364">
        <v>84663</v>
      </c>
      <c r="H5359" s="475" t="s">
        <v>4502</v>
      </c>
      <c r="I5359" s="475" t="s">
        <v>322</v>
      </c>
      <c r="J5359" s="475" t="s">
        <v>337</v>
      </c>
      <c r="K5359" s="365">
        <v>21.07</v>
      </c>
      <c r="L5359" s="475" t="s">
        <v>141</v>
      </c>
      <c r="M5359" s="473"/>
    </row>
    <row r="5360" spans="1:13" ht="13.5">
      <c r="A5360" s="475" t="s">
        <v>5633</v>
      </c>
      <c r="B5360" s="475" t="s">
        <v>5634</v>
      </c>
      <c r="C5360" s="475" t="s">
        <v>5655</v>
      </c>
      <c r="D5360" s="475" t="s">
        <v>5656</v>
      </c>
      <c r="E5360" s="476" t="s">
        <v>34</v>
      </c>
      <c r="F5360" s="475" t="s">
        <v>34</v>
      </c>
      <c r="G5360" s="364">
        <v>84665</v>
      </c>
      <c r="H5360" s="475" t="s">
        <v>4503</v>
      </c>
      <c r="I5360" s="475" t="s">
        <v>322</v>
      </c>
      <c r="J5360" s="475" t="s">
        <v>337</v>
      </c>
      <c r="K5360" s="365">
        <v>19.829999999999998</v>
      </c>
      <c r="L5360" s="475" t="s">
        <v>141</v>
      </c>
      <c r="M5360" s="473"/>
    </row>
    <row r="5361" spans="1:13" ht="13.5">
      <c r="A5361" s="475" t="s">
        <v>5633</v>
      </c>
      <c r="B5361" s="475" t="s">
        <v>5634</v>
      </c>
      <c r="C5361" s="475" t="s">
        <v>5655</v>
      </c>
      <c r="D5361" s="475" t="s">
        <v>5656</v>
      </c>
      <c r="E5361" s="476" t="s">
        <v>34</v>
      </c>
      <c r="F5361" s="475" t="s">
        <v>34</v>
      </c>
      <c r="G5361" s="364">
        <v>84666</v>
      </c>
      <c r="H5361" s="475" t="s">
        <v>4504</v>
      </c>
      <c r="I5361" s="475" t="s">
        <v>322</v>
      </c>
      <c r="J5361" s="475" t="s">
        <v>140</v>
      </c>
      <c r="K5361" s="365">
        <v>18.62</v>
      </c>
      <c r="L5361" s="475" t="s">
        <v>141</v>
      </c>
      <c r="M5361" s="473"/>
    </row>
    <row r="5362" spans="1:13" ht="13.5">
      <c r="A5362" s="475" t="s">
        <v>5633</v>
      </c>
      <c r="B5362" s="475" t="s">
        <v>5634</v>
      </c>
      <c r="C5362" s="475" t="s">
        <v>5659</v>
      </c>
      <c r="D5362" s="475" t="s">
        <v>5660</v>
      </c>
      <c r="E5362" s="476" t="s">
        <v>34</v>
      </c>
      <c r="F5362" s="475" t="s">
        <v>34</v>
      </c>
      <c r="G5362" s="364">
        <v>75889</v>
      </c>
      <c r="H5362" s="475" t="s">
        <v>4505</v>
      </c>
      <c r="I5362" s="475" t="s">
        <v>322</v>
      </c>
      <c r="J5362" s="475" t="s">
        <v>337</v>
      </c>
      <c r="K5362" s="365">
        <v>17.37</v>
      </c>
      <c r="L5362" s="475" t="s">
        <v>141</v>
      </c>
      <c r="M5362" s="473"/>
    </row>
    <row r="5363" spans="1:13" ht="13.5">
      <c r="A5363" s="475" t="s">
        <v>5661</v>
      </c>
      <c r="B5363" s="475" t="s">
        <v>5662</v>
      </c>
      <c r="C5363" s="475" t="s">
        <v>5663</v>
      </c>
      <c r="D5363" s="475" t="s">
        <v>5664</v>
      </c>
      <c r="E5363" s="476" t="s">
        <v>34</v>
      </c>
      <c r="F5363" s="475" t="s">
        <v>34</v>
      </c>
      <c r="G5363" s="364">
        <v>72191</v>
      </c>
      <c r="H5363" s="475" t="s">
        <v>4506</v>
      </c>
      <c r="I5363" s="475" t="s">
        <v>322</v>
      </c>
      <c r="J5363" s="475" t="s">
        <v>337</v>
      </c>
      <c r="K5363" s="365">
        <v>71.510000000000005</v>
      </c>
      <c r="L5363" s="475" t="s">
        <v>141</v>
      </c>
      <c r="M5363" s="473"/>
    </row>
    <row r="5364" spans="1:13" ht="13.5">
      <c r="A5364" s="475" t="s">
        <v>5661</v>
      </c>
      <c r="B5364" s="475" t="s">
        <v>5662</v>
      </c>
      <c r="C5364" s="475" t="s">
        <v>5663</v>
      </c>
      <c r="D5364" s="475" t="s">
        <v>5664</v>
      </c>
      <c r="E5364" s="476" t="s">
        <v>34</v>
      </c>
      <c r="F5364" s="475" t="s">
        <v>34</v>
      </c>
      <c r="G5364" s="364">
        <v>72192</v>
      </c>
      <c r="H5364" s="475" t="s">
        <v>4507</v>
      </c>
      <c r="I5364" s="475" t="s">
        <v>322</v>
      </c>
      <c r="J5364" s="475" t="s">
        <v>337</v>
      </c>
      <c r="K5364" s="365">
        <v>19.34</v>
      </c>
      <c r="L5364" s="475" t="s">
        <v>141</v>
      </c>
      <c r="M5364" s="473"/>
    </row>
    <row r="5365" spans="1:13" ht="13.5">
      <c r="A5365" s="475" t="s">
        <v>5661</v>
      </c>
      <c r="B5365" s="475" t="s">
        <v>5662</v>
      </c>
      <c r="C5365" s="475" t="s">
        <v>5663</v>
      </c>
      <c r="D5365" s="475" t="s">
        <v>5664</v>
      </c>
      <c r="E5365" s="476" t="s">
        <v>34</v>
      </c>
      <c r="F5365" s="475" t="s">
        <v>34</v>
      </c>
      <c r="G5365" s="364">
        <v>72193</v>
      </c>
      <c r="H5365" s="475" t="s">
        <v>4508</v>
      </c>
      <c r="I5365" s="475" t="s">
        <v>322</v>
      </c>
      <c r="J5365" s="475" t="s">
        <v>337</v>
      </c>
      <c r="K5365" s="365">
        <v>52.86</v>
      </c>
      <c r="L5365" s="475" t="s">
        <v>141</v>
      </c>
      <c r="M5365" s="473"/>
    </row>
    <row r="5366" spans="1:13" ht="13.5">
      <c r="A5366" s="475" t="s">
        <v>5661</v>
      </c>
      <c r="B5366" s="475" t="s">
        <v>5662</v>
      </c>
      <c r="C5366" s="475" t="s">
        <v>5663</v>
      </c>
      <c r="D5366" s="475" t="s">
        <v>5664</v>
      </c>
      <c r="E5366" s="476" t="s">
        <v>34</v>
      </c>
      <c r="F5366" s="475" t="s">
        <v>34</v>
      </c>
      <c r="G5366" s="364">
        <v>73655</v>
      </c>
      <c r="H5366" s="475" t="s">
        <v>4509</v>
      </c>
      <c r="I5366" s="475" t="s">
        <v>322</v>
      </c>
      <c r="J5366" s="475" t="s">
        <v>337</v>
      </c>
      <c r="K5366" s="365">
        <v>191.47</v>
      </c>
      <c r="L5366" s="475" t="s">
        <v>141</v>
      </c>
      <c r="M5366" s="473"/>
    </row>
    <row r="5367" spans="1:13" ht="13.5">
      <c r="A5367" s="475" t="s">
        <v>5661</v>
      </c>
      <c r="B5367" s="475" t="s">
        <v>5662</v>
      </c>
      <c r="C5367" s="475" t="s">
        <v>5663</v>
      </c>
      <c r="D5367" s="475" t="s">
        <v>5664</v>
      </c>
      <c r="E5367" s="476">
        <v>73734</v>
      </c>
      <c r="F5367" s="475" t="s">
        <v>5665</v>
      </c>
      <c r="G5367" s="364" t="s">
        <v>4510</v>
      </c>
      <c r="H5367" s="475" t="s">
        <v>4511</v>
      </c>
      <c r="I5367" s="475" t="s">
        <v>322</v>
      </c>
      <c r="J5367" s="475" t="s">
        <v>140</v>
      </c>
      <c r="K5367" s="365">
        <v>150.47</v>
      </c>
      <c r="L5367" s="475" t="s">
        <v>141</v>
      </c>
      <c r="M5367" s="473"/>
    </row>
    <row r="5368" spans="1:13" ht="13.5">
      <c r="A5368" s="475" t="s">
        <v>5661</v>
      </c>
      <c r="B5368" s="475" t="s">
        <v>5662</v>
      </c>
      <c r="C5368" s="475" t="s">
        <v>5663</v>
      </c>
      <c r="D5368" s="475" t="s">
        <v>5664</v>
      </c>
      <c r="E5368" s="476" t="s">
        <v>34</v>
      </c>
      <c r="F5368" s="475" t="s">
        <v>34</v>
      </c>
      <c r="G5368" s="364">
        <v>84181</v>
      </c>
      <c r="H5368" s="475" t="s">
        <v>4512</v>
      </c>
      <c r="I5368" s="475" t="s">
        <v>322</v>
      </c>
      <c r="J5368" s="475" t="s">
        <v>140</v>
      </c>
      <c r="K5368" s="365">
        <v>126.05</v>
      </c>
      <c r="L5368" s="475" t="s">
        <v>141</v>
      </c>
      <c r="M5368" s="473"/>
    </row>
    <row r="5369" spans="1:13" ht="13.5">
      <c r="A5369" s="475" t="s">
        <v>5661</v>
      </c>
      <c r="B5369" s="475" t="s">
        <v>5662</v>
      </c>
      <c r="C5369" s="475" t="s">
        <v>5666</v>
      </c>
      <c r="D5369" s="475" t="s">
        <v>5667</v>
      </c>
      <c r="E5369" s="476" t="s">
        <v>34</v>
      </c>
      <c r="F5369" s="475" t="s">
        <v>34</v>
      </c>
      <c r="G5369" s="364">
        <v>87246</v>
      </c>
      <c r="H5369" s="475" t="s">
        <v>4513</v>
      </c>
      <c r="I5369" s="475" t="s">
        <v>322</v>
      </c>
      <c r="J5369" s="475" t="s">
        <v>337</v>
      </c>
      <c r="K5369" s="365">
        <v>36.67</v>
      </c>
      <c r="L5369" s="475" t="s">
        <v>141</v>
      </c>
      <c r="M5369" s="473"/>
    </row>
    <row r="5370" spans="1:13" ht="13.5">
      <c r="A5370" s="475" t="s">
        <v>5661</v>
      </c>
      <c r="B5370" s="475" t="s">
        <v>5662</v>
      </c>
      <c r="C5370" s="475" t="s">
        <v>5666</v>
      </c>
      <c r="D5370" s="475" t="s">
        <v>5667</v>
      </c>
      <c r="E5370" s="476" t="s">
        <v>34</v>
      </c>
      <c r="F5370" s="475" t="s">
        <v>34</v>
      </c>
      <c r="G5370" s="364">
        <v>87247</v>
      </c>
      <c r="H5370" s="475" t="s">
        <v>4514</v>
      </c>
      <c r="I5370" s="475" t="s">
        <v>322</v>
      </c>
      <c r="J5370" s="475" t="s">
        <v>337</v>
      </c>
      <c r="K5370" s="365">
        <v>31.44</v>
      </c>
      <c r="L5370" s="475" t="s">
        <v>141</v>
      </c>
      <c r="M5370" s="473"/>
    </row>
    <row r="5371" spans="1:13" ht="13.5">
      <c r="A5371" s="475" t="s">
        <v>5661</v>
      </c>
      <c r="B5371" s="475" t="s">
        <v>5662</v>
      </c>
      <c r="C5371" s="475" t="s">
        <v>5666</v>
      </c>
      <c r="D5371" s="475" t="s">
        <v>5667</v>
      </c>
      <c r="E5371" s="476" t="s">
        <v>34</v>
      </c>
      <c r="F5371" s="475" t="s">
        <v>34</v>
      </c>
      <c r="G5371" s="364">
        <v>87248</v>
      </c>
      <c r="H5371" s="475" t="s">
        <v>4515</v>
      </c>
      <c r="I5371" s="475" t="s">
        <v>322</v>
      </c>
      <c r="J5371" s="475" t="s">
        <v>337</v>
      </c>
      <c r="K5371" s="365">
        <v>27.07</v>
      </c>
      <c r="L5371" s="475" t="s">
        <v>141</v>
      </c>
      <c r="M5371" s="473"/>
    </row>
    <row r="5372" spans="1:13" ht="13.5">
      <c r="A5372" s="475" t="s">
        <v>5661</v>
      </c>
      <c r="B5372" s="475" t="s">
        <v>5662</v>
      </c>
      <c r="C5372" s="475" t="s">
        <v>5666</v>
      </c>
      <c r="D5372" s="475" t="s">
        <v>5667</v>
      </c>
      <c r="E5372" s="476" t="s">
        <v>34</v>
      </c>
      <c r="F5372" s="475" t="s">
        <v>34</v>
      </c>
      <c r="G5372" s="364">
        <v>87249</v>
      </c>
      <c r="H5372" s="475" t="s">
        <v>4516</v>
      </c>
      <c r="I5372" s="475" t="s">
        <v>322</v>
      </c>
      <c r="J5372" s="475" t="s">
        <v>337</v>
      </c>
      <c r="K5372" s="365">
        <v>41.56</v>
      </c>
      <c r="L5372" s="475" t="s">
        <v>141</v>
      </c>
      <c r="M5372" s="473"/>
    </row>
    <row r="5373" spans="1:13" ht="13.5">
      <c r="A5373" s="475" t="s">
        <v>5661</v>
      </c>
      <c r="B5373" s="475" t="s">
        <v>5662</v>
      </c>
      <c r="C5373" s="475" t="s">
        <v>5666</v>
      </c>
      <c r="D5373" s="475" t="s">
        <v>5667</v>
      </c>
      <c r="E5373" s="476" t="s">
        <v>34</v>
      </c>
      <c r="F5373" s="475" t="s">
        <v>34</v>
      </c>
      <c r="G5373" s="364">
        <v>87250</v>
      </c>
      <c r="H5373" s="475" t="s">
        <v>4517</v>
      </c>
      <c r="I5373" s="475" t="s">
        <v>322</v>
      </c>
      <c r="J5373" s="475" t="s">
        <v>337</v>
      </c>
      <c r="K5373" s="365">
        <v>33.270000000000003</v>
      </c>
      <c r="L5373" s="475" t="s">
        <v>141</v>
      </c>
      <c r="M5373" s="473"/>
    </row>
    <row r="5374" spans="1:13" ht="13.5">
      <c r="A5374" s="475" t="s">
        <v>5661</v>
      </c>
      <c r="B5374" s="475" t="s">
        <v>5662</v>
      </c>
      <c r="C5374" s="475" t="s">
        <v>5666</v>
      </c>
      <c r="D5374" s="475" t="s">
        <v>5667</v>
      </c>
      <c r="E5374" s="476" t="s">
        <v>34</v>
      </c>
      <c r="F5374" s="475" t="s">
        <v>34</v>
      </c>
      <c r="G5374" s="364">
        <v>87251</v>
      </c>
      <c r="H5374" s="475" t="s">
        <v>4518</v>
      </c>
      <c r="I5374" s="475" t="s">
        <v>322</v>
      </c>
      <c r="J5374" s="475" t="s">
        <v>337</v>
      </c>
      <c r="K5374" s="365">
        <v>27.83</v>
      </c>
      <c r="L5374" s="475" t="s">
        <v>141</v>
      </c>
      <c r="M5374" s="473"/>
    </row>
    <row r="5375" spans="1:13" ht="13.5">
      <c r="A5375" s="475" t="s">
        <v>5661</v>
      </c>
      <c r="B5375" s="475" t="s">
        <v>5662</v>
      </c>
      <c r="C5375" s="475" t="s">
        <v>5666</v>
      </c>
      <c r="D5375" s="475" t="s">
        <v>5667</v>
      </c>
      <c r="E5375" s="476" t="s">
        <v>34</v>
      </c>
      <c r="F5375" s="475" t="s">
        <v>34</v>
      </c>
      <c r="G5375" s="364">
        <v>87255</v>
      </c>
      <c r="H5375" s="475" t="s">
        <v>4519</v>
      </c>
      <c r="I5375" s="475" t="s">
        <v>322</v>
      </c>
      <c r="J5375" s="475" t="s">
        <v>337</v>
      </c>
      <c r="K5375" s="365">
        <v>64.91</v>
      </c>
      <c r="L5375" s="475" t="s">
        <v>141</v>
      </c>
      <c r="M5375" s="473"/>
    </row>
    <row r="5376" spans="1:13" ht="13.5">
      <c r="A5376" s="475" t="s">
        <v>5661</v>
      </c>
      <c r="B5376" s="475" t="s">
        <v>5662</v>
      </c>
      <c r="C5376" s="475" t="s">
        <v>5666</v>
      </c>
      <c r="D5376" s="475" t="s">
        <v>5667</v>
      </c>
      <c r="E5376" s="476" t="s">
        <v>34</v>
      </c>
      <c r="F5376" s="475" t="s">
        <v>34</v>
      </c>
      <c r="G5376" s="364">
        <v>87256</v>
      </c>
      <c r="H5376" s="475" t="s">
        <v>4520</v>
      </c>
      <c r="I5376" s="475" t="s">
        <v>322</v>
      </c>
      <c r="J5376" s="475" t="s">
        <v>337</v>
      </c>
      <c r="K5376" s="365">
        <v>55.18</v>
      </c>
      <c r="L5376" s="475" t="s">
        <v>141</v>
      </c>
      <c r="M5376" s="473"/>
    </row>
    <row r="5377" spans="1:13" ht="13.5">
      <c r="A5377" s="475" t="s">
        <v>5661</v>
      </c>
      <c r="B5377" s="475" t="s">
        <v>5662</v>
      </c>
      <c r="C5377" s="475" t="s">
        <v>5666</v>
      </c>
      <c r="D5377" s="475" t="s">
        <v>5667</v>
      </c>
      <c r="E5377" s="476" t="s">
        <v>34</v>
      </c>
      <c r="F5377" s="475" t="s">
        <v>34</v>
      </c>
      <c r="G5377" s="364">
        <v>87257</v>
      </c>
      <c r="H5377" s="475" t="s">
        <v>4521</v>
      </c>
      <c r="I5377" s="475" t="s">
        <v>322</v>
      </c>
      <c r="J5377" s="475" t="s">
        <v>337</v>
      </c>
      <c r="K5377" s="365">
        <v>48.85</v>
      </c>
      <c r="L5377" s="475" t="s">
        <v>141</v>
      </c>
      <c r="M5377" s="473"/>
    </row>
    <row r="5378" spans="1:13" ht="13.5">
      <c r="A5378" s="475" t="s">
        <v>5661</v>
      </c>
      <c r="B5378" s="475" t="s">
        <v>5662</v>
      </c>
      <c r="C5378" s="475" t="s">
        <v>5666</v>
      </c>
      <c r="D5378" s="475" t="s">
        <v>5667</v>
      </c>
      <c r="E5378" s="476" t="s">
        <v>34</v>
      </c>
      <c r="F5378" s="475" t="s">
        <v>34</v>
      </c>
      <c r="G5378" s="364">
        <v>87258</v>
      </c>
      <c r="H5378" s="475" t="s">
        <v>4522</v>
      </c>
      <c r="I5378" s="475" t="s">
        <v>322</v>
      </c>
      <c r="J5378" s="475" t="s">
        <v>337</v>
      </c>
      <c r="K5378" s="365">
        <v>84.18</v>
      </c>
      <c r="L5378" s="475" t="s">
        <v>141</v>
      </c>
      <c r="M5378" s="473"/>
    </row>
    <row r="5379" spans="1:13" ht="13.5">
      <c r="A5379" s="475" t="s">
        <v>5661</v>
      </c>
      <c r="B5379" s="475" t="s">
        <v>5662</v>
      </c>
      <c r="C5379" s="475" t="s">
        <v>5666</v>
      </c>
      <c r="D5379" s="475" t="s">
        <v>5667</v>
      </c>
      <c r="E5379" s="476" t="s">
        <v>34</v>
      </c>
      <c r="F5379" s="475" t="s">
        <v>34</v>
      </c>
      <c r="G5379" s="364">
        <v>87259</v>
      </c>
      <c r="H5379" s="475" t="s">
        <v>4523</v>
      </c>
      <c r="I5379" s="475" t="s">
        <v>322</v>
      </c>
      <c r="J5379" s="475" t="s">
        <v>337</v>
      </c>
      <c r="K5379" s="365">
        <v>74.98</v>
      </c>
      <c r="L5379" s="475" t="s">
        <v>141</v>
      </c>
      <c r="M5379" s="473"/>
    </row>
    <row r="5380" spans="1:13" ht="13.5">
      <c r="A5380" s="475" t="s">
        <v>5661</v>
      </c>
      <c r="B5380" s="475" t="s">
        <v>5662</v>
      </c>
      <c r="C5380" s="475" t="s">
        <v>5666</v>
      </c>
      <c r="D5380" s="475" t="s">
        <v>5667</v>
      </c>
      <c r="E5380" s="476" t="s">
        <v>34</v>
      </c>
      <c r="F5380" s="475" t="s">
        <v>34</v>
      </c>
      <c r="G5380" s="364">
        <v>87260</v>
      </c>
      <c r="H5380" s="475" t="s">
        <v>4524</v>
      </c>
      <c r="I5380" s="475" t="s">
        <v>322</v>
      </c>
      <c r="J5380" s="475" t="s">
        <v>337</v>
      </c>
      <c r="K5380" s="365">
        <v>69.42</v>
      </c>
      <c r="L5380" s="475" t="s">
        <v>141</v>
      </c>
      <c r="M5380" s="473"/>
    </row>
    <row r="5381" spans="1:13" ht="13.5">
      <c r="A5381" s="475" t="s">
        <v>5661</v>
      </c>
      <c r="B5381" s="475" t="s">
        <v>5662</v>
      </c>
      <c r="C5381" s="475" t="s">
        <v>5666</v>
      </c>
      <c r="D5381" s="475" t="s">
        <v>5667</v>
      </c>
      <c r="E5381" s="476" t="s">
        <v>34</v>
      </c>
      <c r="F5381" s="475" t="s">
        <v>34</v>
      </c>
      <c r="G5381" s="364">
        <v>87261</v>
      </c>
      <c r="H5381" s="475" t="s">
        <v>4525</v>
      </c>
      <c r="I5381" s="475" t="s">
        <v>322</v>
      </c>
      <c r="J5381" s="475" t="s">
        <v>337</v>
      </c>
      <c r="K5381" s="365">
        <v>96.71</v>
      </c>
      <c r="L5381" s="475" t="s">
        <v>141</v>
      </c>
      <c r="M5381" s="473"/>
    </row>
    <row r="5382" spans="1:13" ht="13.5">
      <c r="A5382" s="475" t="s">
        <v>5661</v>
      </c>
      <c r="B5382" s="475" t="s">
        <v>5662</v>
      </c>
      <c r="C5382" s="475" t="s">
        <v>5666</v>
      </c>
      <c r="D5382" s="475" t="s">
        <v>5667</v>
      </c>
      <c r="E5382" s="476" t="s">
        <v>34</v>
      </c>
      <c r="F5382" s="475" t="s">
        <v>34</v>
      </c>
      <c r="G5382" s="364">
        <v>87262</v>
      </c>
      <c r="H5382" s="475" t="s">
        <v>4526</v>
      </c>
      <c r="I5382" s="475" t="s">
        <v>322</v>
      </c>
      <c r="J5382" s="475" t="s">
        <v>337</v>
      </c>
      <c r="K5382" s="365">
        <v>86.19</v>
      </c>
      <c r="L5382" s="475" t="s">
        <v>141</v>
      </c>
      <c r="M5382" s="473"/>
    </row>
    <row r="5383" spans="1:13" ht="13.5">
      <c r="A5383" s="475" t="s">
        <v>5661</v>
      </c>
      <c r="B5383" s="475" t="s">
        <v>5662</v>
      </c>
      <c r="C5383" s="475" t="s">
        <v>5666</v>
      </c>
      <c r="D5383" s="475" t="s">
        <v>5667</v>
      </c>
      <c r="E5383" s="476" t="s">
        <v>34</v>
      </c>
      <c r="F5383" s="475" t="s">
        <v>34</v>
      </c>
      <c r="G5383" s="364">
        <v>87263</v>
      </c>
      <c r="H5383" s="475" t="s">
        <v>4527</v>
      </c>
      <c r="I5383" s="475" t="s">
        <v>322</v>
      </c>
      <c r="J5383" s="475" t="s">
        <v>337</v>
      </c>
      <c r="K5383" s="365">
        <v>79.650000000000006</v>
      </c>
      <c r="L5383" s="475" t="s">
        <v>141</v>
      </c>
      <c r="M5383" s="473"/>
    </row>
    <row r="5384" spans="1:13" ht="13.5">
      <c r="A5384" s="475" t="s">
        <v>5661</v>
      </c>
      <c r="B5384" s="475" t="s">
        <v>5662</v>
      </c>
      <c r="C5384" s="475" t="s">
        <v>5666</v>
      </c>
      <c r="D5384" s="475" t="s">
        <v>5667</v>
      </c>
      <c r="E5384" s="476" t="s">
        <v>34</v>
      </c>
      <c r="F5384" s="475" t="s">
        <v>34</v>
      </c>
      <c r="G5384" s="364">
        <v>89046</v>
      </c>
      <c r="H5384" s="475" t="s">
        <v>4528</v>
      </c>
      <c r="I5384" s="475" t="s">
        <v>322</v>
      </c>
      <c r="J5384" s="475" t="s">
        <v>337</v>
      </c>
      <c r="K5384" s="365">
        <v>31.18</v>
      </c>
      <c r="L5384" s="475" t="s">
        <v>141</v>
      </c>
      <c r="M5384" s="473"/>
    </row>
    <row r="5385" spans="1:13" ht="13.5">
      <c r="A5385" s="475" t="s">
        <v>5661</v>
      </c>
      <c r="B5385" s="475" t="s">
        <v>5662</v>
      </c>
      <c r="C5385" s="475" t="s">
        <v>5666</v>
      </c>
      <c r="D5385" s="475" t="s">
        <v>5667</v>
      </c>
      <c r="E5385" s="476" t="s">
        <v>34</v>
      </c>
      <c r="F5385" s="475" t="s">
        <v>34</v>
      </c>
      <c r="G5385" s="364">
        <v>89171</v>
      </c>
      <c r="H5385" s="475" t="s">
        <v>4529</v>
      </c>
      <c r="I5385" s="475" t="s">
        <v>322</v>
      </c>
      <c r="J5385" s="475" t="s">
        <v>337</v>
      </c>
      <c r="K5385" s="365">
        <v>29.04</v>
      </c>
      <c r="L5385" s="475" t="s">
        <v>141</v>
      </c>
      <c r="M5385" s="473"/>
    </row>
    <row r="5386" spans="1:13" ht="13.5">
      <c r="A5386" s="475" t="s">
        <v>5661</v>
      </c>
      <c r="B5386" s="475" t="s">
        <v>5662</v>
      </c>
      <c r="C5386" s="475" t="s">
        <v>5666</v>
      </c>
      <c r="D5386" s="475" t="s">
        <v>5667</v>
      </c>
      <c r="E5386" s="476" t="s">
        <v>34</v>
      </c>
      <c r="F5386" s="475" t="s">
        <v>34</v>
      </c>
      <c r="G5386" s="364">
        <v>93389</v>
      </c>
      <c r="H5386" s="475" t="s">
        <v>4530</v>
      </c>
      <c r="I5386" s="475" t="s">
        <v>322</v>
      </c>
      <c r="J5386" s="475" t="s">
        <v>337</v>
      </c>
      <c r="K5386" s="365">
        <v>33.549999999999997</v>
      </c>
      <c r="L5386" s="475" t="s">
        <v>141</v>
      </c>
      <c r="M5386" s="473"/>
    </row>
    <row r="5387" spans="1:13" ht="13.5">
      <c r="A5387" s="475" t="s">
        <v>5661</v>
      </c>
      <c r="B5387" s="475" t="s">
        <v>5662</v>
      </c>
      <c r="C5387" s="475" t="s">
        <v>5666</v>
      </c>
      <c r="D5387" s="475" t="s">
        <v>5667</v>
      </c>
      <c r="E5387" s="476" t="s">
        <v>34</v>
      </c>
      <c r="F5387" s="475" t="s">
        <v>34</v>
      </c>
      <c r="G5387" s="364">
        <v>93390</v>
      </c>
      <c r="H5387" s="475" t="s">
        <v>4531</v>
      </c>
      <c r="I5387" s="475" t="s">
        <v>322</v>
      </c>
      <c r="J5387" s="475" t="s">
        <v>337</v>
      </c>
      <c r="K5387" s="365">
        <v>28.38</v>
      </c>
      <c r="L5387" s="475" t="s">
        <v>141</v>
      </c>
      <c r="M5387" s="473"/>
    </row>
    <row r="5388" spans="1:13" ht="13.5">
      <c r="A5388" s="475" t="s">
        <v>5661</v>
      </c>
      <c r="B5388" s="475" t="s">
        <v>5662</v>
      </c>
      <c r="C5388" s="475" t="s">
        <v>5666</v>
      </c>
      <c r="D5388" s="475" t="s">
        <v>5667</v>
      </c>
      <c r="E5388" s="476" t="s">
        <v>34</v>
      </c>
      <c r="F5388" s="475" t="s">
        <v>34</v>
      </c>
      <c r="G5388" s="364">
        <v>93391</v>
      </c>
      <c r="H5388" s="475" t="s">
        <v>4532</v>
      </c>
      <c r="I5388" s="475" t="s">
        <v>322</v>
      </c>
      <c r="J5388" s="475" t="s">
        <v>337</v>
      </c>
      <c r="K5388" s="365">
        <v>24.01</v>
      </c>
      <c r="L5388" s="475" t="s">
        <v>141</v>
      </c>
      <c r="M5388" s="473"/>
    </row>
    <row r="5389" spans="1:13" ht="13.5">
      <c r="A5389" s="475" t="s">
        <v>5661</v>
      </c>
      <c r="B5389" s="475" t="s">
        <v>5662</v>
      </c>
      <c r="C5389" s="475" t="s">
        <v>5668</v>
      </c>
      <c r="D5389" s="475" t="s">
        <v>5669</v>
      </c>
      <c r="E5389" s="476">
        <v>73743</v>
      </c>
      <c r="F5389" s="475" t="s">
        <v>5670</v>
      </c>
      <c r="G5389" s="364" t="s">
        <v>4533</v>
      </c>
      <c r="H5389" s="475" t="s">
        <v>4534</v>
      </c>
      <c r="I5389" s="475" t="s">
        <v>322</v>
      </c>
      <c r="J5389" s="475" t="s">
        <v>337</v>
      </c>
      <c r="K5389" s="365">
        <v>195.54</v>
      </c>
      <c r="L5389" s="475" t="s">
        <v>141</v>
      </c>
      <c r="M5389" s="473"/>
    </row>
    <row r="5390" spans="1:13" ht="13.5">
      <c r="A5390" s="475" t="s">
        <v>5661</v>
      </c>
      <c r="B5390" s="475" t="s">
        <v>5662</v>
      </c>
      <c r="C5390" s="475" t="s">
        <v>5668</v>
      </c>
      <c r="D5390" s="475" t="s">
        <v>5669</v>
      </c>
      <c r="E5390" s="476">
        <v>73921</v>
      </c>
      <c r="F5390" s="475" t="s">
        <v>5671</v>
      </c>
      <c r="G5390" s="364" t="s">
        <v>4535</v>
      </c>
      <c r="H5390" s="475" t="s">
        <v>4536</v>
      </c>
      <c r="I5390" s="475" t="s">
        <v>322</v>
      </c>
      <c r="J5390" s="475" t="s">
        <v>337</v>
      </c>
      <c r="K5390" s="365">
        <v>40.21</v>
      </c>
      <c r="L5390" s="475" t="s">
        <v>141</v>
      </c>
      <c r="M5390" s="473"/>
    </row>
    <row r="5391" spans="1:13" ht="13.5">
      <c r="A5391" s="475" t="s">
        <v>5661</v>
      </c>
      <c r="B5391" s="475" t="s">
        <v>5662</v>
      </c>
      <c r="C5391" s="475" t="s">
        <v>5668</v>
      </c>
      <c r="D5391" s="475" t="s">
        <v>5669</v>
      </c>
      <c r="E5391" s="476" t="s">
        <v>34</v>
      </c>
      <c r="F5391" s="475" t="s">
        <v>34</v>
      </c>
      <c r="G5391" s="364">
        <v>84183</v>
      </c>
      <c r="H5391" s="475" t="s">
        <v>4537</v>
      </c>
      <c r="I5391" s="475" t="s">
        <v>322</v>
      </c>
      <c r="J5391" s="475" t="s">
        <v>337</v>
      </c>
      <c r="K5391" s="365">
        <v>140.34</v>
      </c>
      <c r="L5391" s="475" t="s">
        <v>141</v>
      </c>
      <c r="M5391" s="473"/>
    </row>
    <row r="5392" spans="1:13" ht="13.5">
      <c r="A5392" s="475" t="s">
        <v>5661</v>
      </c>
      <c r="B5392" s="475" t="s">
        <v>5662</v>
      </c>
      <c r="C5392" s="475" t="s">
        <v>5668</v>
      </c>
      <c r="D5392" s="475" t="s">
        <v>5669</v>
      </c>
      <c r="E5392" s="476" t="s">
        <v>34</v>
      </c>
      <c r="F5392" s="475" t="s">
        <v>34</v>
      </c>
      <c r="G5392" s="364">
        <v>98670</v>
      </c>
      <c r="H5392" s="475" t="s">
        <v>6691</v>
      </c>
      <c r="I5392" s="475" t="s">
        <v>322</v>
      </c>
      <c r="J5392" s="475" t="s">
        <v>140</v>
      </c>
      <c r="K5392" s="365">
        <v>121.68</v>
      </c>
      <c r="L5392" s="475" t="s">
        <v>141</v>
      </c>
      <c r="M5392" s="473"/>
    </row>
    <row r="5393" spans="1:13" ht="13.5">
      <c r="A5393" s="475" t="s">
        <v>5661</v>
      </c>
      <c r="B5393" s="475" t="s">
        <v>5662</v>
      </c>
      <c r="C5393" s="475" t="s">
        <v>5668</v>
      </c>
      <c r="D5393" s="475" t="s">
        <v>5669</v>
      </c>
      <c r="E5393" s="476" t="s">
        <v>34</v>
      </c>
      <c r="F5393" s="475" t="s">
        <v>34</v>
      </c>
      <c r="G5393" s="364">
        <v>98671</v>
      </c>
      <c r="H5393" s="475" t="s">
        <v>6692</v>
      </c>
      <c r="I5393" s="475" t="s">
        <v>322</v>
      </c>
      <c r="J5393" s="475" t="s">
        <v>337</v>
      </c>
      <c r="K5393" s="365">
        <v>326.89999999999998</v>
      </c>
      <c r="L5393" s="475" t="s">
        <v>141</v>
      </c>
      <c r="M5393" s="473"/>
    </row>
    <row r="5394" spans="1:13" ht="13.5">
      <c r="A5394" s="475" t="s">
        <v>5661</v>
      </c>
      <c r="B5394" s="475" t="s">
        <v>5662</v>
      </c>
      <c r="C5394" s="475" t="s">
        <v>5668</v>
      </c>
      <c r="D5394" s="475" t="s">
        <v>5669</v>
      </c>
      <c r="E5394" s="476" t="s">
        <v>34</v>
      </c>
      <c r="F5394" s="475" t="s">
        <v>34</v>
      </c>
      <c r="G5394" s="364">
        <v>98672</v>
      </c>
      <c r="H5394" s="475" t="s">
        <v>6693</v>
      </c>
      <c r="I5394" s="475" t="s">
        <v>322</v>
      </c>
      <c r="J5394" s="475" t="s">
        <v>337</v>
      </c>
      <c r="K5394" s="365">
        <v>235.21</v>
      </c>
      <c r="L5394" s="475" t="s">
        <v>141</v>
      </c>
      <c r="M5394" s="473"/>
    </row>
    <row r="5395" spans="1:13" ht="13.5">
      <c r="A5395" s="475" t="s">
        <v>5661</v>
      </c>
      <c r="B5395" s="475" t="s">
        <v>5662</v>
      </c>
      <c r="C5395" s="475" t="s">
        <v>5668</v>
      </c>
      <c r="D5395" s="475" t="s">
        <v>5669</v>
      </c>
      <c r="E5395" s="476" t="s">
        <v>34</v>
      </c>
      <c r="F5395" s="475" t="s">
        <v>34</v>
      </c>
      <c r="G5395" s="364">
        <v>98673</v>
      </c>
      <c r="H5395" s="475" t="s">
        <v>6694</v>
      </c>
      <c r="I5395" s="475" t="s">
        <v>322</v>
      </c>
      <c r="J5395" s="475" t="s">
        <v>140</v>
      </c>
      <c r="K5395" s="365">
        <v>136.02000000000001</v>
      </c>
      <c r="L5395" s="475" t="s">
        <v>141</v>
      </c>
      <c r="M5395" s="473"/>
    </row>
    <row r="5396" spans="1:13" ht="13.5">
      <c r="A5396" s="475" t="s">
        <v>5661</v>
      </c>
      <c r="B5396" s="475" t="s">
        <v>5662</v>
      </c>
      <c r="C5396" s="475" t="s">
        <v>5668</v>
      </c>
      <c r="D5396" s="475" t="s">
        <v>5669</v>
      </c>
      <c r="E5396" s="476" t="s">
        <v>34</v>
      </c>
      <c r="F5396" s="475" t="s">
        <v>34</v>
      </c>
      <c r="G5396" s="364">
        <v>98679</v>
      </c>
      <c r="H5396" s="475" t="s">
        <v>6695</v>
      </c>
      <c r="I5396" s="475" t="s">
        <v>322</v>
      </c>
      <c r="J5396" s="475" t="s">
        <v>337</v>
      </c>
      <c r="K5396" s="365">
        <v>24.22</v>
      </c>
      <c r="L5396" s="475" t="s">
        <v>141</v>
      </c>
      <c r="M5396" s="473"/>
    </row>
    <row r="5397" spans="1:13" ht="13.5">
      <c r="A5397" s="475" t="s">
        <v>5661</v>
      </c>
      <c r="B5397" s="475" t="s">
        <v>5662</v>
      </c>
      <c r="C5397" s="475" t="s">
        <v>5668</v>
      </c>
      <c r="D5397" s="475" t="s">
        <v>5669</v>
      </c>
      <c r="E5397" s="476" t="s">
        <v>34</v>
      </c>
      <c r="F5397" s="475" t="s">
        <v>34</v>
      </c>
      <c r="G5397" s="364">
        <v>98680</v>
      </c>
      <c r="H5397" s="475" t="s">
        <v>6696</v>
      </c>
      <c r="I5397" s="475" t="s">
        <v>322</v>
      </c>
      <c r="J5397" s="475" t="s">
        <v>337</v>
      </c>
      <c r="K5397" s="365">
        <v>30.36</v>
      </c>
      <c r="L5397" s="475" t="s">
        <v>141</v>
      </c>
      <c r="M5397" s="473"/>
    </row>
    <row r="5398" spans="1:13" ht="13.5">
      <c r="A5398" s="475" t="s">
        <v>5661</v>
      </c>
      <c r="B5398" s="475" t="s">
        <v>5662</v>
      </c>
      <c r="C5398" s="475" t="s">
        <v>5668</v>
      </c>
      <c r="D5398" s="475" t="s">
        <v>5669</v>
      </c>
      <c r="E5398" s="476" t="s">
        <v>34</v>
      </c>
      <c r="F5398" s="475" t="s">
        <v>34</v>
      </c>
      <c r="G5398" s="364">
        <v>98681</v>
      </c>
      <c r="H5398" s="475" t="s">
        <v>6697</v>
      </c>
      <c r="I5398" s="475" t="s">
        <v>322</v>
      </c>
      <c r="J5398" s="475" t="s">
        <v>337</v>
      </c>
      <c r="K5398" s="365">
        <v>22.53</v>
      </c>
      <c r="L5398" s="475" t="s">
        <v>141</v>
      </c>
      <c r="M5398" s="473"/>
    </row>
    <row r="5399" spans="1:13" ht="13.5">
      <c r="A5399" s="475" t="s">
        <v>5661</v>
      </c>
      <c r="B5399" s="475" t="s">
        <v>5662</v>
      </c>
      <c r="C5399" s="475" t="s">
        <v>5668</v>
      </c>
      <c r="D5399" s="475" t="s">
        <v>5669</v>
      </c>
      <c r="E5399" s="476" t="s">
        <v>34</v>
      </c>
      <c r="F5399" s="475" t="s">
        <v>34</v>
      </c>
      <c r="G5399" s="364">
        <v>98682</v>
      </c>
      <c r="H5399" s="475" t="s">
        <v>6698</v>
      </c>
      <c r="I5399" s="475" t="s">
        <v>322</v>
      </c>
      <c r="J5399" s="475" t="s">
        <v>337</v>
      </c>
      <c r="K5399" s="365">
        <v>28.67</v>
      </c>
      <c r="L5399" s="475" t="s">
        <v>141</v>
      </c>
      <c r="M5399" s="473"/>
    </row>
    <row r="5400" spans="1:13" ht="13.5">
      <c r="A5400" s="475" t="s">
        <v>5661</v>
      </c>
      <c r="B5400" s="475" t="s">
        <v>5662</v>
      </c>
      <c r="C5400" s="475" t="s">
        <v>5668</v>
      </c>
      <c r="D5400" s="475" t="s">
        <v>5669</v>
      </c>
      <c r="E5400" s="476" t="s">
        <v>34</v>
      </c>
      <c r="F5400" s="475" t="s">
        <v>34</v>
      </c>
      <c r="G5400" s="364">
        <v>98685</v>
      </c>
      <c r="H5400" s="475" t="s">
        <v>6699</v>
      </c>
      <c r="I5400" s="475" t="s">
        <v>139</v>
      </c>
      <c r="J5400" s="475" t="s">
        <v>337</v>
      </c>
      <c r="K5400" s="365">
        <v>59.3</v>
      </c>
      <c r="L5400" s="475" t="s">
        <v>141</v>
      </c>
      <c r="M5400" s="473"/>
    </row>
    <row r="5401" spans="1:13" ht="13.5">
      <c r="A5401" s="475" t="s">
        <v>5661</v>
      </c>
      <c r="B5401" s="475" t="s">
        <v>5662</v>
      </c>
      <c r="C5401" s="475" t="s">
        <v>5668</v>
      </c>
      <c r="D5401" s="475" t="s">
        <v>5669</v>
      </c>
      <c r="E5401" s="476" t="s">
        <v>34</v>
      </c>
      <c r="F5401" s="475" t="s">
        <v>34</v>
      </c>
      <c r="G5401" s="364">
        <v>98686</v>
      </c>
      <c r="H5401" s="475" t="s">
        <v>6700</v>
      </c>
      <c r="I5401" s="475" t="s">
        <v>139</v>
      </c>
      <c r="J5401" s="475" t="s">
        <v>140</v>
      </c>
      <c r="K5401" s="365">
        <v>29.16</v>
      </c>
      <c r="L5401" s="475" t="s">
        <v>141</v>
      </c>
      <c r="M5401" s="473"/>
    </row>
    <row r="5402" spans="1:13" ht="13.5">
      <c r="A5402" s="475" t="s">
        <v>5661</v>
      </c>
      <c r="B5402" s="475" t="s">
        <v>5662</v>
      </c>
      <c r="C5402" s="475" t="s">
        <v>5668</v>
      </c>
      <c r="D5402" s="475" t="s">
        <v>5669</v>
      </c>
      <c r="E5402" s="476" t="s">
        <v>34</v>
      </c>
      <c r="F5402" s="475" t="s">
        <v>34</v>
      </c>
      <c r="G5402" s="364">
        <v>98688</v>
      </c>
      <c r="H5402" s="475" t="s">
        <v>6701</v>
      </c>
      <c r="I5402" s="475" t="s">
        <v>139</v>
      </c>
      <c r="J5402" s="475" t="s">
        <v>337</v>
      </c>
      <c r="K5402" s="365">
        <v>39.76</v>
      </c>
      <c r="L5402" s="475" t="s">
        <v>141</v>
      </c>
      <c r="M5402" s="473"/>
    </row>
    <row r="5403" spans="1:13" ht="13.5">
      <c r="A5403" s="475" t="s">
        <v>5661</v>
      </c>
      <c r="B5403" s="475" t="s">
        <v>5662</v>
      </c>
      <c r="C5403" s="475" t="s">
        <v>5668</v>
      </c>
      <c r="D5403" s="475" t="s">
        <v>5669</v>
      </c>
      <c r="E5403" s="476" t="s">
        <v>34</v>
      </c>
      <c r="F5403" s="475" t="s">
        <v>34</v>
      </c>
      <c r="G5403" s="364">
        <v>98689</v>
      </c>
      <c r="H5403" s="475" t="s">
        <v>6702</v>
      </c>
      <c r="I5403" s="475" t="s">
        <v>139</v>
      </c>
      <c r="J5403" s="475" t="s">
        <v>337</v>
      </c>
      <c r="K5403" s="365">
        <v>83.77</v>
      </c>
      <c r="L5403" s="475" t="s">
        <v>141</v>
      </c>
      <c r="M5403" s="473"/>
    </row>
    <row r="5404" spans="1:13" ht="13.5">
      <c r="A5404" s="475" t="s">
        <v>5661</v>
      </c>
      <c r="B5404" s="475" t="s">
        <v>5662</v>
      </c>
      <c r="C5404" s="475" t="s">
        <v>5672</v>
      </c>
      <c r="D5404" s="475" t="s">
        <v>5673</v>
      </c>
      <c r="E5404" s="476" t="s">
        <v>34</v>
      </c>
      <c r="F5404" s="475" t="s">
        <v>34</v>
      </c>
      <c r="G5404" s="364">
        <v>72187</v>
      </c>
      <c r="H5404" s="475" t="s">
        <v>4538</v>
      </c>
      <c r="I5404" s="475" t="s">
        <v>322</v>
      </c>
      <c r="J5404" s="475" t="s">
        <v>337</v>
      </c>
      <c r="K5404" s="365">
        <v>175.53</v>
      </c>
      <c r="L5404" s="475" t="s">
        <v>141</v>
      </c>
      <c r="M5404" s="473"/>
    </row>
    <row r="5405" spans="1:13" ht="13.5">
      <c r="A5405" s="475" t="s">
        <v>5661</v>
      </c>
      <c r="B5405" s="475" t="s">
        <v>5662</v>
      </c>
      <c r="C5405" s="475" t="s">
        <v>5672</v>
      </c>
      <c r="D5405" s="475" t="s">
        <v>5673</v>
      </c>
      <c r="E5405" s="476" t="s">
        <v>34</v>
      </c>
      <c r="F5405" s="475" t="s">
        <v>34</v>
      </c>
      <c r="G5405" s="364">
        <v>72188</v>
      </c>
      <c r="H5405" s="475" t="s">
        <v>4539</v>
      </c>
      <c r="I5405" s="475" t="s">
        <v>322</v>
      </c>
      <c r="J5405" s="475" t="s">
        <v>337</v>
      </c>
      <c r="K5405" s="365">
        <v>175.53</v>
      </c>
      <c r="L5405" s="475" t="s">
        <v>141</v>
      </c>
      <c r="M5405" s="473"/>
    </row>
    <row r="5406" spans="1:13" ht="13.5">
      <c r="A5406" s="475" t="s">
        <v>5661</v>
      </c>
      <c r="B5406" s="475" t="s">
        <v>5662</v>
      </c>
      <c r="C5406" s="475" t="s">
        <v>5672</v>
      </c>
      <c r="D5406" s="475" t="s">
        <v>5673</v>
      </c>
      <c r="E5406" s="476">
        <v>73876</v>
      </c>
      <c r="F5406" s="475" t="s">
        <v>5674</v>
      </c>
      <c r="G5406" s="364" t="s">
        <v>4540</v>
      </c>
      <c r="H5406" s="475" t="s">
        <v>4541</v>
      </c>
      <c r="I5406" s="475" t="s">
        <v>322</v>
      </c>
      <c r="J5406" s="475" t="s">
        <v>337</v>
      </c>
      <c r="K5406" s="365">
        <v>162.46</v>
      </c>
      <c r="L5406" s="475" t="s">
        <v>141</v>
      </c>
      <c r="M5406" s="473"/>
    </row>
    <row r="5407" spans="1:13" ht="13.5">
      <c r="A5407" s="475" t="s">
        <v>5661</v>
      </c>
      <c r="B5407" s="475" t="s">
        <v>5662</v>
      </c>
      <c r="C5407" s="475" t="s">
        <v>5672</v>
      </c>
      <c r="D5407" s="475" t="s">
        <v>5673</v>
      </c>
      <c r="E5407" s="476" t="s">
        <v>34</v>
      </c>
      <c r="F5407" s="475" t="s">
        <v>34</v>
      </c>
      <c r="G5407" s="364">
        <v>84186</v>
      </c>
      <c r="H5407" s="475" t="s">
        <v>4542</v>
      </c>
      <c r="I5407" s="475" t="s">
        <v>322</v>
      </c>
      <c r="J5407" s="475" t="s">
        <v>337</v>
      </c>
      <c r="K5407" s="365">
        <v>71.61</v>
      </c>
      <c r="L5407" s="475" t="s">
        <v>141</v>
      </c>
      <c r="M5407" s="473"/>
    </row>
    <row r="5408" spans="1:13" ht="13.5">
      <c r="A5408" s="475" t="s">
        <v>5661</v>
      </c>
      <c r="B5408" s="475" t="s">
        <v>5662</v>
      </c>
      <c r="C5408" s="475" t="s">
        <v>5672</v>
      </c>
      <c r="D5408" s="475" t="s">
        <v>5673</v>
      </c>
      <c r="E5408" s="476" t="s">
        <v>34</v>
      </c>
      <c r="F5408" s="475" t="s">
        <v>34</v>
      </c>
      <c r="G5408" s="364">
        <v>84187</v>
      </c>
      <c r="H5408" s="475" t="s">
        <v>4543</v>
      </c>
      <c r="I5408" s="475" t="s">
        <v>322</v>
      </c>
      <c r="J5408" s="475" t="s">
        <v>337</v>
      </c>
      <c r="K5408" s="365">
        <v>15.59</v>
      </c>
      <c r="L5408" s="475" t="s">
        <v>141</v>
      </c>
      <c r="M5408" s="473"/>
    </row>
    <row r="5409" spans="1:13" ht="13.5">
      <c r="A5409" s="475" t="s">
        <v>5661</v>
      </c>
      <c r="B5409" s="475" t="s">
        <v>5662</v>
      </c>
      <c r="C5409" s="475" t="s">
        <v>5675</v>
      </c>
      <c r="D5409" s="475" t="s">
        <v>5676</v>
      </c>
      <c r="E5409" s="476" t="s">
        <v>34</v>
      </c>
      <c r="F5409" s="475" t="s">
        <v>34</v>
      </c>
      <c r="G5409" s="364">
        <v>72136</v>
      </c>
      <c r="H5409" s="475" t="s">
        <v>4544</v>
      </c>
      <c r="I5409" s="475" t="s">
        <v>322</v>
      </c>
      <c r="J5409" s="475" t="s">
        <v>140</v>
      </c>
      <c r="K5409" s="365">
        <v>71.7</v>
      </c>
      <c r="L5409" s="475" t="s">
        <v>141</v>
      </c>
      <c r="M5409" s="473"/>
    </row>
    <row r="5410" spans="1:13" ht="13.5">
      <c r="A5410" s="475" t="s">
        <v>5661</v>
      </c>
      <c r="B5410" s="475" t="s">
        <v>5662</v>
      </c>
      <c r="C5410" s="475" t="s">
        <v>5675</v>
      </c>
      <c r="D5410" s="475" t="s">
        <v>5676</v>
      </c>
      <c r="E5410" s="476" t="s">
        <v>34</v>
      </c>
      <c r="F5410" s="475" t="s">
        <v>34</v>
      </c>
      <c r="G5410" s="364">
        <v>72137</v>
      </c>
      <c r="H5410" s="475" t="s">
        <v>4545</v>
      </c>
      <c r="I5410" s="475" t="s">
        <v>322</v>
      </c>
      <c r="J5410" s="475" t="s">
        <v>140</v>
      </c>
      <c r="K5410" s="365">
        <v>83.73</v>
      </c>
      <c r="L5410" s="475" t="s">
        <v>141</v>
      </c>
      <c r="M5410" s="473"/>
    </row>
    <row r="5411" spans="1:13" ht="13.5">
      <c r="A5411" s="475" t="s">
        <v>5661</v>
      </c>
      <c r="B5411" s="475" t="s">
        <v>5662</v>
      </c>
      <c r="C5411" s="475" t="s">
        <v>5675</v>
      </c>
      <c r="D5411" s="475" t="s">
        <v>5676</v>
      </c>
      <c r="E5411" s="476" t="s">
        <v>34</v>
      </c>
      <c r="F5411" s="475" t="s">
        <v>34</v>
      </c>
      <c r="G5411" s="364">
        <v>72815</v>
      </c>
      <c r="H5411" s="475" t="s">
        <v>4546</v>
      </c>
      <c r="I5411" s="475" t="s">
        <v>322</v>
      </c>
      <c r="J5411" s="475" t="s">
        <v>337</v>
      </c>
      <c r="K5411" s="365">
        <v>47.97</v>
      </c>
      <c r="L5411" s="475" t="s">
        <v>141</v>
      </c>
      <c r="M5411" s="473"/>
    </row>
    <row r="5412" spans="1:13" ht="13.5">
      <c r="A5412" s="475" t="s">
        <v>5661</v>
      </c>
      <c r="B5412" s="475" t="s">
        <v>5662</v>
      </c>
      <c r="C5412" s="475" t="s">
        <v>5677</v>
      </c>
      <c r="D5412" s="475" t="s">
        <v>5678</v>
      </c>
      <c r="E5412" s="476" t="s">
        <v>34</v>
      </c>
      <c r="F5412" s="475" t="s">
        <v>34</v>
      </c>
      <c r="G5412" s="364">
        <v>84191</v>
      </c>
      <c r="H5412" s="475" t="s">
        <v>4547</v>
      </c>
      <c r="I5412" s="475" t="s">
        <v>322</v>
      </c>
      <c r="J5412" s="475" t="s">
        <v>337</v>
      </c>
      <c r="K5412" s="365">
        <v>88.71</v>
      </c>
      <c r="L5412" s="475" t="s">
        <v>141</v>
      </c>
      <c r="M5412" s="473"/>
    </row>
    <row r="5413" spans="1:13" ht="13.5">
      <c r="A5413" s="475" t="s">
        <v>5661</v>
      </c>
      <c r="B5413" s="475" t="s">
        <v>5662</v>
      </c>
      <c r="C5413" s="475" t="s">
        <v>5679</v>
      </c>
      <c r="D5413" s="475" t="s">
        <v>5680</v>
      </c>
      <c r="E5413" s="476">
        <v>74111</v>
      </c>
      <c r="F5413" s="475" t="s">
        <v>5681</v>
      </c>
      <c r="G5413" s="364" t="s">
        <v>4548</v>
      </c>
      <c r="H5413" s="475" t="s">
        <v>4549</v>
      </c>
      <c r="I5413" s="475" t="s">
        <v>139</v>
      </c>
      <c r="J5413" s="475" t="s">
        <v>337</v>
      </c>
      <c r="K5413" s="365">
        <v>20.91</v>
      </c>
      <c r="L5413" s="475" t="s">
        <v>141</v>
      </c>
      <c r="M5413" s="473"/>
    </row>
    <row r="5414" spans="1:13" ht="13.5">
      <c r="A5414" s="475" t="s">
        <v>5661</v>
      </c>
      <c r="B5414" s="475" t="s">
        <v>5662</v>
      </c>
      <c r="C5414" s="475" t="s">
        <v>5679</v>
      </c>
      <c r="D5414" s="475" t="s">
        <v>5680</v>
      </c>
      <c r="E5414" s="476" t="s">
        <v>34</v>
      </c>
      <c r="F5414" s="475" t="s">
        <v>34</v>
      </c>
      <c r="G5414" s="364">
        <v>98695</v>
      </c>
      <c r="H5414" s="475" t="s">
        <v>6703</v>
      </c>
      <c r="I5414" s="475" t="s">
        <v>139</v>
      </c>
      <c r="J5414" s="475" t="s">
        <v>337</v>
      </c>
      <c r="K5414" s="365">
        <v>44.45</v>
      </c>
      <c r="L5414" s="475" t="s">
        <v>141</v>
      </c>
      <c r="M5414" s="473"/>
    </row>
    <row r="5415" spans="1:13" ht="13.5">
      <c r="A5415" s="475" t="s">
        <v>5661</v>
      </c>
      <c r="B5415" s="475" t="s">
        <v>5662</v>
      </c>
      <c r="C5415" s="475" t="s">
        <v>5679</v>
      </c>
      <c r="D5415" s="475" t="s">
        <v>5680</v>
      </c>
      <c r="E5415" s="476" t="s">
        <v>34</v>
      </c>
      <c r="F5415" s="475" t="s">
        <v>34</v>
      </c>
      <c r="G5415" s="364">
        <v>98697</v>
      </c>
      <c r="H5415" s="475" t="s">
        <v>6704</v>
      </c>
      <c r="I5415" s="475" t="s">
        <v>139</v>
      </c>
      <c r="J5415" s="475" t="s">
        <v>337</v>
      </c>
      <c r="K5415" s="365">
        <v>28.88</v>
      </c>
      <c r="L5415" s="475" t="s">
        <v>141</v>
      </c>
      <c r="M5415" s="473"/>
    </row>
    <row r="5416" spans="1:13" ht="13.5">
      <c r="A5416" s="475" t="s">
        <v>5661</v>
      </c>
      <c r="B5416" s="475" t="s">
        <v>5662</v>
      </c>
      <c r="C5416" s="475" t="s">
        <v>5682</v>
      </c>
      <c r="D5416" s="475" t="s">
        <v>5683</v>
      </c>
      <c r="E5416" s="476">
        <v>73886</v>
      </c>
      <c r="F5416" s="475" t="s">
        <v>5684</v>
      </c>
      <c r="G5416" s="364" t="s">
        <v>4550</v>
      </c>
      <c r="H5416" s="475" t="s">
        <v>4551</v>
      </c>
      <c r="I5416" s="475" t="s">
        <v>139</v>
      </c>
      <c r="J5416" s="475" t="s">
        <v>140</v>
      </c>
      <c r="K5416" s="365">
        <v>15.88</v>
      </c>
      <c r="L5416" s="475" t="s">
        <v>141</v>
      </c>
      <c r="M5416" s="473"/>
    </row>
    <row r="5417" spans="1:13" ht="13.5">
      <c r="A5417" s="475" t="s">
        <v>5661</v>
      </c>
      <c r="B5417" s="475" t="s">
        <v>5662</v>
      </c>
      <c r="C5417" s="475" t="s">
        <v>5682</v>
      </c>
      <c r="D5417" s="475" t="s">
        <v>5683</v>
      </c>
      <c r="E5417" s="476" t="s">
        <v>34</v>
      </c>
      <c r="F5417" s="475" t="s">
        <v>34</v>
      </c>
      <c r="G5417" s="364">
        <v>84162</v>
      </c>
      <c r="H5417" s="475" t="s">
        <v>4552</v>
      </c>
      <c r="I5417" s="475" t="s">
        <v>139</v>
      </c>
      <c r="J5417" s="475" t="s">
        <v>140</v>
      </c>
      <c r="K5417" s="365">
        <v>16.09</v>
      </c>
      <c r="L5417" s="475" t="s">
        <v>141</v>
      </c>
      <c r="M5417" s="473"/>
    </row>
    <row r="5418" spans="1:13" ht="13.5">
      <c r="A5418" s="475" t="s">
        <v>5661</v>
      </c>
      <c r="B5418" s="475" t="s">
        <v>5662</v>
      </c>
      <c r="C5418" s="475" t="s">
        <v>5685</v>
      </c>
      <c r="D5418" s="475" t="s">
        <v>5686</v>
      </c>
      <c r="E5418" s="476" t="s">
        <v>34</v>
      </c>
      <c r="F5418" s="475" t="s">
        <v>34</v>
      </c>
      <c r="G5418" s="364">
        <v>88648</v>
      </c>
      <c r="H5418" s="475" t="s">
        <v>4553</v>
      </c>
      <c r="I5418" s="475" t="s">
        <v>139</v>
      </c>
      <c r="J5418" s="475" t="s">
        <v>337</v>
      </c>
      <c r="K5418" s="365">
        <v>4.2699999999999996</v>
      </c>
      <c r="L5418" s="475" t="s">
        <v>141</v>
      </c>
      <c r="M5418" s="473"/>
    </row>
    <row r="5419" spans="1:13" ht="13.5">
      <c r="A5419" s="475" t="s">
        <v>5661</v>
      </c>
      <c r="B5419" s="475" t="s">
        <v>5662</v>
      </c>
      <c r="C5419" s="475" t="s">
        <v>5685</v>
      </c>
      <c r="D5419" s="475" t="s">
        <v>5686</v>
      </c>
      <c r="E5419" s="476" t="s">
        <v>34</v>
      </c>
      <c r="F5419" s="475" t="s">
        <v>34</v>
      </c>
      <c r="G5419" s="364">
        <v>88649</v>
      </c>
      <c r="H5419" s="475" t="s">
        <v>4554</v>
      </c>
      <c r="I5419" s="475" t="s">
        <v>139</v>
      </c>
      <c r="J5419" s="475" t="s">
        <v>337</v>
      </c>
      <c r="K5419" s="365">
        <v>4.8099999999999996</v>
      </c>
      <c r="L5419" s="475" t="s">
        <v>141</v>
      </c>
      <c r="M5419" s="473"/>
    </row>
    <row r="5420" spans="1:13" ht="13.5">
      <c r="A5420" s="475" t="s">
        <v>5661</v>
      </c>
      <c r="B5420" s="475" t="s">
        <v>5662</v>
      </c>
      <c r="C5420" s="475" t="s">
        <v>5685</v>
      </c>
      <c r="D5420" s="475" t="s">
        <v>5686</v>
      </c>
      <c r="E5420" s="476" t="s">
        <v>34</v>
      </c>
      <c r="F5420" s="475" t="s">
        <v>34</v>
      </c>
      <c r="G5420" s="364">
        <v>88650</v>
      </c>
      <c r="H5420" s="475" t="s">
        <v>4555</v>
      </c>
      <c r="I5420" s="475" t="s">
        <v>139</v>
      </c>
      <c r="J5420" s="475" t="s">
        <v>337</v>
      </c>
      <c r="K5420" s="365">
        <v>8.9600000000000009</v>
      </c>
      <c r="L5420" s="475" t="s">
        <v>141</v>
      </c>
      <c r="M5420" s="473"/>
    </row>
    <row r="5421" spans="1:13" ht="13.5">
      <c r="A5421" s="475" t="s">
        <v>5661</v>
      </c>
      <c r="B5421" s="475" t="s">
        <v>5662</v>
      </c>
      <c r="C5421" s="475" t="s">
        <v>5685</v>
      </c>
      <c r="D5421" s="475" t="s">
        <v>5686</v>
      </c>
      <c r="E5421" s="476" t="s">
        <v>34</v>
      </c>
      <c r="F5421" s="475" t="s">
        <v>34</v>
      </c>
      <c r="G5421" s="364">
        <v>96467</v>
      </c>
      <c r="H5421" s="475" t="s">
        <v>4556</v>
      </c>
      <c r="I5421" s="475" t="s">
        <v>139</v>
      </c>
      <c r="J5421" s="475" t="s">
        <v>337</v>
      </c>
      <c r="K5421" s="365">
        <v>3.92</v>
      </c>
      <c r="L5421" s="475" t="s">
        <v>141</v>
      </c>
      <c r="M5421" s="473"/>
    </row>
    <row r="5422" spans="1:13" ht="13.5">
      <c r="A5422" s="475" t="s">
        <v>5661</v>
      </c>
      <c r="B5422" s="475" t="s">
        <v>5662</v>
      </c>
      <c r="C5422" s="475" t="s">
        <v>5687</v>
      </c>
      <c r="D5422" s="475" t="s">
        <v>5688</v>
      </c>
      <c r="E5422" s="476">
        <v>73850</v>
      </c>
      <c r="F5422" s="475" t="s">
        <v>5689</v>
      </c>
      <c r="G5422" s="364" t="s">
        <v>4557</v>
      </c>
      <c r="H5422" s="475" t="s">
        <v>4558</v>
      </c>
      <c r="I5422" s="475" t="s">
        <v>139</v>
      </c>
      <c r="J5422" s="475" t="s">
        <v>337</v>
      </c>
      <c r="K5422" s="365">
        <v>22.38</v>
      </c>
      <c r="L5422" s="475" t="s">
        <v>141</v>
      </c>
      <c r="M5422" s="473"/>
    </row>
    <row r="5423" spans="1:13" ht="13.5">
      <c r="A5423" s="475" t="s">
        <v>5661</v>
      </c>
      <c r="B5423" s="475" t="s">
        <v>5662</v>
      </c>
      <c r="C5423" s="475" t="s">
        <v>5687</v>
      </c>
      <c r="D5423" s="475" t="s">
        <v>5688</v>
      </c>
      <c r="E5423" s="476" t="s">
        <v>34</v>
      </c>
      <c r="F5423" s="475" t="s">
        <v>34</v>
      </c>
      <c r="G5423" s="364">
        <v>84168</v>
      </c>
      <c r="H5423" s="475" t="s">
        <v>4559</v>
      </c>
      <c r="I5423" s="475" t="s">
        <v>139</v>
      </c>
      <c r="J5423" s="475" t="s">
        <v>337</v>
      </c>
      <c r="K5423" s="365">
        <v>18.309999999999999</v>
      </c>
      <c r="L5423" s="475" t="s">
        <v>141</v>
      </c>
      <c r="M5423" s="473"/>
    </row>
    <row r="5424" spans="1:13" ht="13.5">
      <c r="A5424" s="475" t="s">
        <v>5661</v>
      </c>
      <c r="B5424" s="475" t="s">
        <v>5662</v>
      </c>
      <c r="C5424" s="475" t="s">
        <v>5690</v>
      </c>
      <c r="D5424" s="475" t="s">
        <v>5691</v>
      </c>
      <c r="E5424" s="476" t="s">
        <v>34</v>
      </c>
      <c r="F5424" s="475" t="s">
        <v>34</v>
      </c>
      <c r="G5424" s="364">
        <v>68325</v>
      </c>
      <c r="H5424" s="475" t="s">
        <v>4560</v>
      </c>
      <c r="I5424" s="475" t="s">
        <v>322</v>
      </c>
      <c r="J5424" s="475" t="s">
        <v>337</v>
      </c>
      <c r="K5424" s="365">
        <v>42.15</v>
      </c>
      <c r="L5424" s="475" t="s">
        <v>141</v>
      </c>
      <c r="M5424" s="473"/>
    </row>
    <row r="5425" spans="1:13" ht="13.5">
      <c r="A5425" s="475" t="s">
        <v>5661</v>
      </c>
      <c r="B5425" s="475" t="s">
        <v>5662</v>
      </c>
      <c r="C5425" s="475" t="s">
        <v>5690</v>
      </c>
      <c r="D5425" s="475" t="s">
        <v>5691</v>
      </c>
      <c r="E5425" s="476" t="s">
        <v>34</v>
      </c>
      <c r="F5425" s="475" t="s">
        <v>34</v>
      </c>
      <c r="G5425" s="364">
        <v>68333</v>
      </c>
      <c r="H5425" s="475" t="s">
        <v>4561</v>
      </c>
      <c r="I5425" s="475" t="s">
        <v>322</v>
      </c>
      <c r="J5425" s="475" t="s">
        <v>337</v>
      </c>
      <c r="K5425" s="365">
        <v>44.51</v>
      </c>
      <c r="L5425" s="475" t="s">
        <v>141</v>
      </c>
      <c r="M5425" s="473"/>
    </row>
    <row r="5426" spans="1:13" ht="13.5">
      <c r="A5426" s="475" t="s">
        <v>5661</v>
      </c>
      <c r="B5426" s="475" t="s">
        <v>5662</v>
      </c>
      <c r="C5426" s="475" t="s">
        <v>5690</v>
      </c>
      <c r="D5426" s="475" t="s">
        <v>5691</v>
      </c>
      <c r="E5426" s="476" t="s">
        <v>34</v>
      </c>
      <c r="F5426" s="475" t="s">
        <v>34</v>
      </c>
      <c r="G5426" s="364">
        <v>72183</v>
      </c>
      <c r="H5426" s="475" t="s">
        <v>4562</v>
      </c>
      <c r="I5426" s="475" t="s">
        <v>322</v>
      </c>
      <c r="J5426" s="475" t="s">
        <v>337</v>
      </c>
      <c r="K5426" s="365">
        <v>73.45</v>
      </c>
      <c r="L5426" s="475" t="s">
        <v>141</v>
      </c>
      <c r="M5426" s="473"/>
    </row>
    <row r="5427" spans="1:13" ht="13.5">
      <c r="A5427" s="475" t="s">
        <v>5661</v>
      </c>
      <c r="B5427" s="475" t="s">
        <v>5662</v>
      </c>
      <c r="C5427" s="475" t="s">
        <v>5690</v>
      </c>
      <c r="D5427" s="475" t="s">
        <v>5691</v>
      </c>
      <c r="E5427" s="476" t="s">
        <v>34</v>
      </c>
      <c r="F5427" s="475" t="s">
        <v>34</v>
      </c>
      <c r="G5427" s="364">
        <v>84175</v>
      </c>
      <c r="H5427" s="475" t="s">
        <v>4563</v>
      </c>
      <c r="I5427" s="475" t="s">
        <v>139</v>
      </c>
      <c r="J5427" s="475" t="s">
        <v>337</v>
      </c>
      <c r="K5427" s="365">
        <v>11.15</v>
      </c>
      <c r="L5427" s="475" t="s">
        <v>141</v>
      </c>
      <c r="M5427" s="473"/>
    </row>
    <row r="5428" spans="1:13" ht="13.5">
      <c r="A5428" s="475" t="s">
        <v>5661</v>
      </c>
      <c r="B5428" s="475" t="s">
        <v>5662</v>
      </c>
      <c r="C5428" s="475" t="s">
        <v>5690</v>
      </c>
      <c r="D5428" s="475" t="s">
        <v>5691</v>
      </c>
      <c r="E5428" s="476" t="s">
        <v>34</v>
      </c>
      <c r="F5428" s="475" t="s">
        <v>34</v>
      </c>
      <c r="G5428" s="364">
        <v>84176</v>
      </c>
      <c r="H5428" s="475" t="s">
        <v>4564</v>
      </c>
      <c r="I5428" s="475" t="s">
        <v>139</v>
      </c>
      <c r="J5428" s="475" t="s">
        <v>337</v>
      </c>
      <c r="K5428" s="365">
        <v>20.57</v>
      </c>
      <c r="L5428" s="475" t="s">
        <v>141</v>
      </c>
      <c r="M5428" s="473"/>
    </row>
    <row r="5429" spans="1:13" ht="13.5">
      <c r="A5429" s="475" t="s">
        <v>5661</v>
      </c>
      <c r="B5429" s="475" t="s">
        <v>5662</v>
      </c>
      <c r="C5429" s="475" t="s">
        <v>5690</v>
      </c>
      <c r="D5429" s="475" t="s">
        <v>5691</v>
      </c>
      <c r="E5429" s="476" t="s">
        <v>34</v>
      </c>
      <c r="F5429" s="475" t="s">
        <v>34</v>
      </c>
      <c r="G5429" s="364">
        <v>94990</v>
      </c>
      <c r="H5429" s="475" t="s">
        <v>4565</v>
      </c>
      <c r="I5429" s="475" t="s">
        <v>1261</v>
      </c>
      <c r="J5429" s="475" t="s">
        <v>337</v>
      </c>
      <c r="K5429" s="365">
        <v>541.48</v>
      </c>
      <c r="L5429" s="475" t="s">
        <v>141</v>
      </c>
      <c r="M5429" s="473"/>
    </row>
    <row r="5430" spans="1:13" ht="13.5">
      <c r="A5430" s="475" t="s">
        <v>5661</v>
      </c>
      <c r="B5430" s="475" t="s">
        <v>5662</v>
      </c>
      <c r="C5430" s="475" t="s">
        <v>5690</v>
      </c>
      <c r="D5430" s="475" t="s">
        <v>5691</v>
      </c>
      <c r="E5430" s="476" t="s">
        <v>34</v>
      </c>
      <c r="F5430" s="475" t="s">
        <v>34</v>
      </c>
      <c r="G5430" s="364">
        <v>94991</v>
      </c>
      <c r="H5430" s="475" t="s">
        <v>4566</v>
      </c>
      <c r="I5430" s="475" t="s">
        <v>1261</v>
      </c>
      <c r="J5430" s="475" t="s">
        <v>337</v>
      </c>
      <c r="K5430" s="365">
        <v>401.32</v>
      </c>
      <c r="L5430" s="475" t="s">
        <v>141</v>
      </c>
      <c r="M5430" s="473"/>
    </row>
    <row r="5431" spans="1:13" ht="13.5">
      <c r="A5431" s="475" t="s">
        <v>5661</v>
      </c>
      <c r="B5431" s="475" t="s">
        <v>5662</v>
      </c>
      <c r="C5431" s="475" t="s">
        <v>5690</v>
      </c>
      <c r="D5431" s="475" t="s">
        <v>5691</v>
      </c>
      <c r="E5431" s="476" t="s">
        <v>34</v>
      </c>
      <c r="F5431" s="475" t="s">
        <v>34</v>
      </c>
      <c r="G5431" s="364">
        <v>94992</v>
      </c>
      <c r="H5431" s="475" t="s">
        <v>4567</v>
      </c>
      <c r="I5431" s="475" t="s">
        <v>322</v>
      </c>
      <c r="J5431" s="475" t="s">
        <v>337</v>
      </c>
      <c r="K5431" s="365">
        <v>56.65</v>
      </c>
      <c r="L5431" s="475" t="s">
        <v>141</v>
      </c>
      <c r="M5431" s="473"/>
    </row>
    <row r="5432" spans="1:13" ht="13.5">
      <c r="A5432" s="475" t="s">
        <v>5661</v>
      </c>
      <c r="B5432" s="475" t="s">
        <v>5662</v>
      </c>
      <c r="C5432" s="475" t="s">
        <v>5690</v>
      </c>
      <c r="D5432" s="475" t="s">
        <v>5691</v>
      </c>
      <c r="E5432" s="476" t="s">
        <v>34</v>
      </c>
      <c r="F5432" s="475" t="s">
        <v>34</v>
      </c>
      <c r="G5432" s="364">
        <v>94993</v>
      </c>
      <c r="H5432" s="475" t="s">
        <v>4568</v>
      </c>
      <c r="I5432" s="475" t="s">
        <v>322</v>
      </c>
      <c r="J5432" s="475" t="s">
        <v>337</v>
      </c>
      <c r="K5432" s="365">
        <v>48.24</v>
      </c>
      <c r="L5432" s="475" t="s">
        <v>141</v>
      </c>
      <c r="M5432" s="473"/>
    </row>
    <row r="5433" spans="1:13" ht="13.5">
      <c r="A5433" s="475" t="s">
        <v>5661</v>
      </c>
      <c r="B5433" s="475" t="s">
        <v>5662</v>
      </c>
      <c r="C5433" s="475" t="s">
        <v>5690</v>
      </c>
      <c r="D5433" s="475" t="s">
        <v>5691</v>
      </c>
      <c r="E5433" s="476" t="s">
        <v>34</v>
      </c>
      <c r="F5433" s="475" t="s">
        <v>34</v>
      </c>
      <c r="G5433" s="364">
        <v>94994</v>
      </c>
      <c r="H5433" s="475" t="s">
        <v>4569</v>
      </c>
      <c r="I5433" s="475" t="s">
        <v>322</v>
      </c>
      <c r="J5433" s="475" t="s">
        <v>337</v>
      </c>
      <c r="K5433" s="365">
        <v>69.41</v>
      </c>
      <c r="L5433" s="475" t="s">
        <v>141</v>
      </c>
      <c r="M5433" s="473"/>
    </row>
    <row r="5434" spans="1:13" ht="13.5">
      <c r="A5434" s="475" t="s">
        <v>5661</v>
      </c>
      <c r="B5434" s="475" t="s">
        <v>5662</v>
      </c>
      <c r="C5434" s="475" t="s">
        <v>5690</v>
      </c>
      <c r="D5434" s="475" t="s">
        <v>5691</v>
      </c>
      <c r="E5434" s="476" t="s">
        <v>34</v>
      </c>
      <c r="F5434" s="475" t="s">
        <v>34</v>
      </c>
      <c r="G5434" s="364">
        <v>94995</v>
      </c>
      <c r="H5434" s="475" t="s">
        <v>4570</v>
      </c>
      <c r="I5434" s="475" t="s">
        <v>322</v>
      </c>
      <c r="J5434" s="475" t="s">
        <v>337</v>
      </c>
      <c r="K5434" s="365">
        <v>58.19</v>
      </c>
      <c r="L5434" s="475" t="s">
        <v>141</v>
      </c>
      <c r="M5434" s="473"/>
    </row>
    <row r="5435" spans="1:13" ht="13.5">
      <c r="A5435" s="475" t="s">
        <v>5661</v>
      </c>
      <c r="B5435" s="475" t="s">
        <v>5662</v>
      </c>
      <c r="C5435" s="475" t="s">
        <v>5690</v>
      </c>
      <c r="D5435" s="475" t="s">
        <v>5691</v>
      </c>
      <c r="E5435" s="476" t="s">
        <v>34</v>
      </c>
      <c r="F5435" s="475" t="s">
        <v>34</v>
      </c>
      <c r="G5435" s="364">
        <v>94996</v>
      </c>
      <c r="H5435" s="475" t="s">
        <v>4571</v>
      </c>
      <c r="I5435" s="475" t="s">
        <v>322</v>
      </c>
      <c r="J5435" s="475" t="s">
        <v>337</v>
      </c>
      <c r="K5435" s="365">
        <v>80.260000000000005</v>
      </c>
      <c r="L5435" s="475" t="s">
        <v>141</v>
      </c>
      <c r="M5435" s="473"/>
    </row>
    <row r="5436" spans="1:13" ht="13.5">
      <c r="A5436" s="475" t="s">
        <v>5661</v>
      </c>
      <c r="B5436" s="475" t="s">
        <v>5662</v>
      </c>
      <c r="C5436" s="475" t="s">
        <v>5690</v>
      </c>
      <c r="D5436" s="475" t="s">
        <v>5691</v>
      </c>
      <c r="E5436" s="476" t="s">
        <v>34</v>
      </c>
      <c r="F5436" s="475" t="s">
        <v>34</v>
      </c>
      <c r="G5436" s="364">
        <v>94997</v>
      </c>
      <c r="H5436" s="475" t="s">
        <v>4572</v>
      </c>
      <c r="I5436" s="475" t="s">
        <v>322</v>
      </c>
      <c r="J5436" s="475" t="s">
        <v>337</v>
      </c>
      <c r="K5436" s="365">
        <v>66.239999999999995</v>
      </c>
      <c r="L5436" s="475" t="s">
        <v>141</v>
      </c>
      <c r="M5436" s="473"/>
    </row>
    <row r="5437" spans="1:13" ht="13.5">
      <c r="A5437" s="475" t="s">
        <v>5661</v>
      </c>
      <c r="B5437" s="475" t="s">
        <v>5662</v>
      </c>
      <c r="C5437" s="475" t="s">
        <v>5690</v>
      </c>
      <c r="D5437" s="475" t="s">
        <v>5691</v>
      </c>
      <c r="E5437" s="476" t="s">
        <v>34</v>
      </c>
      <c r="F5437" s="475" t="s">
        <v>34</v>
      </c>
      <c r="G5437" s="364">
        <v>94998</v>
      </c>
      <c r="H5437" s="475" t="s">
        <v>4573</v>
      </c>
      <c r="I5437" s="475" t="s">
        <v>322</v>
      </c>
      <c r="J5437" s="475" t="s">
        <v>337</v>
      </c>
      <c r="K5437" s="365">
        <v>90.7</v>
      </c>
      <c r="L5437" s="475" t="s">
        <v>141</v>
      </c>
      <c r="M5437" s="473"/>
    </row>
    <row r="5438" spans="1:13" ht="13.5">
      <c r="A5438" s="475" t="s">
        <v>5661</v>
      </c>
      <c r="B5438" s="475" t="s">
        <v>5662</v>
      </c>
      <c r="C5438" s="475" t="s">
        <v>5690</v>
      </c>
      <c r="D5438" s="475" t="s">
        <v>5691</v>
      </c>
      <c r="E5438" s="476" t="s">
        <v>34</v>
      </c>
      <c r="F5438" s="475" t="s">
        <v>34</v>
      </c>
      <c r="G5438" s="364">
        <v>94999</v>
      </c>
      <c r="H5438" s="475" t="s">
        <v>4574</v>
      </c>
      <c r="I5438" s="475" t="s">
        <v>322</v>
      </c>
      <c r="J5438" s="475" t="s">
        <v>337</v>
      </c>
      <c r="K5438" s="365">
        <v>73.89</v>
      </c>
      <c r="L5438" s="475" t="s">
        <v>141</v>
      </c>
      <c r="M5438" s="473"/>
    </row>
    <row r="5439" spans="1:13" ht="13.5">
      <c r="A5439" s="475" t="s">
        <v>5661</v>
      </c>
      <c r="B5439" s="475" t="s">
        <v>5662</v>
      </c>
      <c r="C5439" s="475" t="s">
        <v>5692</v>
      </c>
      <c r="D5439" s="475" t="s">
        <v>5693</v>
      </c>
      <c r="E5439" s="476" t="s">
        <v>34</v>
      </c>
      <c r="F5439" s="475" t="s">
        <v>34</v>
      </c>
      <c r="G5439" s="364">
        <v>87620</v>
      </c>
      <c r="H5439" s="475" t="s">
        <v>4575</v>
      </c>
      <c r="I5439" s="475" t="s">
        <v>322</v>
      </c>
      <c r="J5439" s="475" t="s">
        <v>337</v>
      </c>
      <c r="K5439" s="365">
        <v>25</v>
      </c>
      <c r="L5439" s="475" t="s">
        <v>141</v>
      </c>
      <c r="M5439" s="473"/>
    </row>
    <row r="5440" spans="1:13" ht="13.5">
      <c r="A5440" s="475" t="s">
        <v>5661</v>
      </c>
      <c r="B5440" s="475" t="s">
        <v>5662</v>
      </c>
      <c r="C5440" s="475" t="s">
        <v>5692</v>
      </c>
      <c r="D5440" s="475" t="s">
        <v>5693</v>
      </c>
      <c r="E5440" s="476" t="s">
        <v>34</v>
      </c>
      <c r="F5440" s="475" t="s">
        <v>34</v>
      </c>
      <c r="G5440" s="364">
        <v>87622</v>
      </c>
      <c r="H5440" s="475" t="s">
        <v>4576</v>
      </c>
      <c r="I5440" s="475" t="s">
        <v>322</v>
      </c>
      <c r="J5440" s="475" t="s">
        <v>337</v>
      </c>
      <c r="K5440" s="365">
        <v>27.61</v>
      </c>
      <c r="L5440" s="475" t="s">
        <v>141</v>
      </c>
      <c r="M5440" s="473"/>
    </row>
    <row r="5441" spans="1:13" ht="13.5">
      <c r="A5441" s="475" t="s">
        <v>5661</v>
      </c>
      <c r="B5441" s="475" t="s">
        <v>5662</v>
      </c>
      <c r="C5441" s="475" t="s">
        <v>5692</v>
      </c>
      <c r="D5441" s="475" t="s">
        <v>5693</v>
      </c>
      <c r="E5441" s="476" t="s">
        <v>34</v>
      </c>
      <c r="F5441" s="475" t="s">
        <v>34</v>
      </c>
      <c r="G5441" s="364">
        <v>87623</v>
      </c>
      <c r="H5441" s="475" t="s">
        <v>4577</v>
      </c>
      <c r="I5441" s="475" t="s">
        <v>322</v>
      </c>
      <c r="J5441" s="475" t="s">
        <v>337</v>
      </c>
      <c r="K5441" s="365">
        <v>43.21</v>
      </c>
      <c r="L5441" s="475" t="s">
        <v>141</v>
      </c>
      <c r="M5441" s="473"/>
    </row>
    <row r="5442" spans="1:13" ht="13.5">
      <c r="A5442" s="475" t="s">
        <v>5661</v>
      </c>
      <c r="B5442" s="475" t="s">
        <v>5662</v>
      </c>
      <c r="C5442" s="475" t="s">
        <v>5692</v>
      </c>
      <c r="D5442" s="475" t="s">
        <v>5693</v>
      </c>
      <c r="E5442" s="476" t="s">
        <v>34</v>
      </c>
      <c r="F5442" s="475" t="s">
        <v>34</v>
      </c>
      <c r="G5442" s="364">
        <v>87624</v>
      </c>
      <c r="H5442" s="475" t="s">
        <v>4578</v>
      </c>
      <c r="I5442" s="475" t="s">
        <v>322</v>
      </c>
      <c r="J5442" s="475" t="s">
        <v>337</v>
      </c>
      <c r="K5442" s="365">
        <v>48.03</v>
      </c>
      <c r="L5442" s="475" t="s">
        <v>141</v>
      </c>
      <c r="M5442" s="473"/>
    </row>
    <row r="5443" spans="1:13" ht="13.5">
      <c r="A5443" s="475" t="s">
        <v>5661</v>
      </c>
      <c r="B5443" s="475" t="s">
        <v>5662</v>
      </c>
      <c r="C5443" s="475" t="s">
        <v>5692</v>
      </c>
      <c r="D5443" s="475" t="s">
        <v>5693</v>
      </c>
      <c r="E5443" s="476" t="s">
        <v>34</v>
      </c>
      <c r="F5443" s="475" t="s">
        <v>34</v>
      </c>
      <c r="G5443" s="364">
        <v>87630</v>
      </c>
      <c r="H5443" s="475" t="s">
        <v>4579</v>
      </c>
      <c r="I5443" s="475" t="s">
        <v>322</v>
      </c>
      <c r="J5443" s="475" t="s">
        <v>337</v>
      </c>
      <c r="K5443" s="365">
        <v>30.81</v>
      </c>
      <c r="L5443" s="475" t="s">
        <v>141</v>
      </c>
      <c r="M5443" s="473"/>
    </row>
    <row r="5444" spans="1:13" ht="13.5">
      <c r="A5444" s="475" t="s">
        <v>5661</v>
      </c>
      <c r="B5444" s="475" t="s">
        <v>5662</v>
      </c>
      <c r="C5444" s="475" t="s">
        <v>5692</v>
      </c>
      <c r="D5444" s="475" t="s">
        <v>5693</v>
      </c>
      <c r="E5444" s="476" t="s">
        <v>34</v>
      </c>
      <c r="F5444" s="475" t="s">
        <v>34</v>
      </c>
      <c r="G5444" s="364">
        <v>87632</v>
      </c>
      <c r="H5444" s="475" t="s">
        <v>4580</v>
      </c>
      <c r="I5444" s="475" t="s">
        <v>322</v>
      </c>
      <c r="J5444" s="475" t="s">
        <v>337</v>
      </c>
      <c r="K5444" s="365">
        <v>34.450000000000003</v>
      </c>
      <c r="L5444" s="475" t="s">
        <v>141</v>
      </c>
      <c r="M5444" s="473"/>
    </row>
    <row r="5445" spans="1:13" ht="13.5">
      <c r="A5445" s="475" t="s">
        <v>5661</v>
      </c>
      <c r="B5445" s="475" t="s">
        <v>5662</v>
      </c>
      <c r="C5445" s="475" t="s">
        <v>5692</v>
      </c>
      <c r="D5445" s="475" t="s">
        <v>5693</v>
      </c>
      <c r="E5445" s="476" t="s">
        <v>34</v>
      </c>
      <c r="F5445" s="475" t="s">
        <v>34</v>
      </c>
      <c r="G5445" s="364">
        <v>87633</v>
      </c>
      <c r="H5445" s="475" t="s">
        <v>4581</v>
      </c>
      <c r="I5445" s="475" t="s">
        <v>322</v>
      </c>
      <c r="J5445" s="475" t="s">
        <v>337</v>
      </c>
      <c r="K5445" s="365">
        <v>56.13</v>
      </c>
      <c r="L5445" s="475" t="s">
        <v>141</v>
      </c>
      <c r="M5445" s="473"/>
    </row>
    <row r="5446" spans="1:13" ht="13.5">
      <c r="A5446" s="475" t="s">
        <v>5661</v>
      </c>
      <c r="B5446" s="475" t="s">
        <v>5662</v>
      </c>
      <c r="C5446" s="475" t="s">
        <v>5692</v>
      </c>
      <c r="D5446" s="475" t="s">
        <v>5693</v>
      </c>
      <c r="E5446" s="476" t="s">
        <v>34</v>
      </c>
      <c r="F5446" s="475" t="s">
        <v>34</v>
      </c>
      <c r="G5446" s="364">
        <v>87634</v>
      </c>
      <c r="H5446" s="475" t="s">
        <v>4582</v>
      </c>
      <c r="I5446" s="475" t="s">
        <v>322</v>
      </c>
      <c r="J5446" s="475" t="s">
        <v>337</v>
      </c>
      <c r="K5446" s="365">
        <v>62.84</v>
      </c>
      <c r="L5446" s="475" t="s">
        <v>141</v>
      </c>
      <c r="M5446" s="473"/>
    </row>
    <row r="5447" spans="1:13" ht="13.5">
      <c r="A5447" s="475" t="s">
        <v>5661</v>
      </c>
      <c r="B5447" s="475" t="s">
        <v>5662</v>
      </c>
      <c r="C5447" s="475" t="s">
        <v>5692</v>
      </c>
      <c r="D5447" s="475" t="s">
        <v>5693</v>
      </c>
      <c r="E5447" s="476" t="s">
        <v>34</v>
      </c>
      <c r="F5447" s="475" t="s">
        <v>34</v>
      </c>
      <c r="G5447" s="364">
        <v>87640</v>
      </c>
      <c r="H5447" s="475" t="s">
        <v>4583</v>
      </c>
      <c r="I5447" s="475" t="s">
        <v>322</v>
      </c>
      <c r="J5447" s="475" t="s">
        <v>337</v>
      </c>
      <c r="K5447" s="365">
        <v>35.51</v>
      </c>
      <c r="L5447" s="475" t="s">
        <v>141</v>
      </c>
      <c r="M5447" s="473"/>
    </row>
    <row r="5448" spans="1:13" ht="13.5">
      <c r="A5448" s="475" t="s">
        <v>5661</v>
      </c>
      <c r="B5448" s="475" t="s">
        <v>5662</v>
      </c>
      <c r="C5448" s="475" t="s">
        <v>5692</v>
      </c>
      <c r="D5448" s="475" t="s">
        <v>5693</v>
      </c>
      <c r="E5448" s="476" t="s">
        <v>34</v>
      </c>
      <c r="F5448" s="475" t="s">
        <v>34</v>
      </c>
      <c r="G5448" s="364">
        <v>87642</v>
      </c>
      <c r="H5448" s="475" t="s">
        <v>4584</v>
      </c>
      <c r="I5448" s="475" t="s">
        <v>322</v>
      </c>
      <c r="J5448" s="475" t="s">
        <v>337</v>
      </c>
      <c r="K5448" s="365">
        <v>39.979999999999997</v>
      </c>
      <c r="L5448" s="475" t="s">
        <v>141</v>
      </c>
      <c r="M5448" s="473"/>
    </row>
    <row r="5449" spans="1:13" ht="13.5">
      <c r="A5449" s="475" t="s">
        <v>5661</v>
      </c>
      <c r="B5449" s="475" t="s">
        <v>5662</v>
      </c>
      <c r="C5449" s="475" t="s">
        <v>5692</v>
      </c>
      <c r="D5449" s="475" t="s">
        <v>5693</v>
      </c>
      <c r="E5449" s="476" t="s">
        <v>34</v>
      </c>
      <c r="F5449" s="475" t="s">
        <v>34</v>
      </c>
      <c r="G5449" s="364">
        <v>87643</v>
      </c>
      <c r="H5449" s="475" t="s">
        <v>4585</v>
      </c>
      <c r="I5449" s="475" t="s">
        <v>322</v>
      </c>
      <c r="J5449" s="475" t="s">
        <v>337</v>
      </c>
      <c r="K5449" s="365">
        <v>66.650000000000006</v>
      </c>
      <c r="L5449" s="475" t="s">
        <v>141</v>
      </c>
      <c r="M5449" s="473"/>
    </row>
    <row r="5450" spans="1:13" ht="13.5">
      <c r="A5450" s="475" t="s">
        <v>5661</v>
      </c>
      <c r="B5450" s="475" t="s">
        <v>5662</v>
      </c>
      <c r="C5450" s="475" t="s">
        <v>5692</v>
      </c>
      <c r="D5450" s="475" t="s">
        <v>5693</v>
      </c>
      <c r="E5450" s="476" t="s">
        <v>34</v>
      </c>
      <c r="F5450" s="475" t="s">
        <v>34</v>
      </c>
      <c r="G5450" s="364">
        <v>87644</v>
      </c>
      <c r="H5450" s="475" t="s">
        <v>4586</v>
      </c>
      <c r="I5450" s="475" t="s">
        <v>322</v>
      </c>
      <c r="J5450" s="475" t="s">
        <v>337</v>
      </c>
      <c r="K5450" s="365">
        <v>74.89</v>
      </c>
      <c r="L5450" s="475" t="s">
        <v>141</v>
      </c>
      <c r="M5450" s="473"/>
    </row>
    <row r="5451" spans="1:13" ht="13.5">
      <c r="A5451" s="475" t="s">
        <v>5661</v>
      </c>
      <c r="B5451" s="475" t="s">
        <v>5662</v>
      </c>
      <c r="C5451" s="475" t="s">
        <v>5692</v>
      </c>
      <c r="D5451" s="475" t="s">
        <v>5693</v>
      </c>
      <c r="E5451" s="476" t="s">
        <v>34</v>
      </c>
      <c r="F5451" s="475" t="s">
        <v>34</v>
      </c>
      <c r="G5451" s="364">
        <v>87680</v>
      </c>
      <c r="H5451" s="475" t="s">
        <v>4587</v>
      </c>
      <c r="I5451" s="475" t="s">
        <v>322</v>
      </c>
      <c r="J5451" s="475" t="s">
        <v>337</v>
      </c>
      <c r="K5451" s="365">
        <v>28.52</v>
      </c>
      <c r="L5451" s="475" t="s">
        <v>141</v>
      </c>
      <c r="M5451" s="473"/>
    </row>
    <row r="5452" spans="1:13" ht="13.5">
      <c r="A5452" s="475" t="s">
        <v>5661</v>
      </c>
      <c r="B5452" s="475" t="s">
        <v>5662</v>
      </c>
      <c r="C5452" s="475" t="s">
        <v>5692</v>
      </c>
      <c r="D5452" s="475" t="s">
        <v>5693</v>
      </c>
      <c r="E5452" s="476" t="s">
        <v>34</v>
      </c>
      <c r="F5452" s="475" t="s">
        <v>34</v>
      </c>
      <c r="G5452" s="364">
        <v>87682</v>
      </c>
      <c r="H5452" s="475" t="s">
        <v>4588</v>
      </c>
      <c r="I5452" s="475" t="s">
        <v>322</v>
      </c>
      <c r="J5452" s="475" t="s">
        <v>337</v>
      </c>
      <c r="K5452" s="365">
        <v>32.99</v>
      </c>
      <c r="L5452" s="475" t="s">
        <v>141</v>
      </c>
      <c r="M5452" s="473"/>
    </row>
    <row r="5453" spans="1:13" ht="13.5">
      <c r="A5453" s="475" t="s">
        <v>5661</v>
      </c>
      <c r="B5453" s="475" t="s">
        <v>5662</v>
      </c>
      <c r="C5453" s="475" t="s">
        <v>5692</v>
      </c>
      <c r="D5453" s="475" t="s">
        <v>5693</v>
      </c>
      <c r="E5453" s="476" t="s">
        <v>34</v>
      </c>
      <c r="F5453" s="475" t="s">
        <v>34</v>
      </c>
      <c r="G5453" s="364">
        <v>87683</v>
      </c>
      <c r="H5453" s="475" t="s">
        <v>4589</v>
      </c>
      <c r="I5453" s="475" t="s">
        <v>322</v>
      </c>
      <c r="J5453" s="475" t="s">
        <v>337</v>
      </c>
      <c r="K5453" s="365">
        <v>59.66</v>
      </c>
      <c r="L5453" s="475" t="s">
        <v>141</v>
      </c>
      <c r="M5453" s="473"/>
    </row>
    <row r="5454" spans="1:13" ht="13.5">
      <c r="A5454" s="475" t="s">
        <v>5661</v>
      </c>
      <c r="B5454" s="475" t="s">
        <v>5662</v>
      </c>
      <c r="C5454" s="475" t="s">
        <v>5692</v>
      </c>
      <c r="D5454" s="475" t="s">
        <v>5693</v>
      </c>
      <c r="E5454" s="476" t="s">
        <v>34</v>
      </c>
      <c r="F5454" s="475" t="s">
        <v>34</v>
      </c>
      <c r="G5454" s="364">
        <v>87684</v>
      </c>
      <c r="H5454" s="475" t="s">
        <v>4590</v>
      </c>
      <c r="I5454" s="475" t="s">
        <v>322</v>
      </c>
      <c r="J5454" s="475" t="s">
        <v>337</v>
      </c>
      <c r="K5454" s="365">
        <v>67.900000000000006</v>
      </c>
      <c r="L5454" s="475" t="s">
        <v>141</v>
      </c>
      <c r="M5454" s="473"/>
    </row>
    <row r="5455" spans="1:13" ht="13.5">
      <c r="A5455" s="475" t="s">
        <v>5661</v>
      </c>
      <c r="B5455" s="475" t="s">
        <v>5662</v>
      </c>
      <c r="C5455" s="475" t="s">
        <v>5692</v>
      </c>
      <c r="D5455" s="475" t="s">
        <v>5693</v>
      </c>
      <c r="E5455" s="476" t="s">
        <v>34</v>
      </c>
      <c r="F5455" s="475" t="s">
        <v>34</v>
      </c>
      <c r="G5455" s="364">
        <v>87690</v>
      </c>
      <c r="H5455" s="475" t="s">
        <v>4591</v>
      </c>
      <c r="I5455" s="475" t="s">
        <v>322</v>
      </c>
      <c r="J5455" s="475" t="s">
        <v>337</v>
      </c>
      <c r="K5455" s="365">
        <v>33.14</v>
      </c>
      <c r="L5455" s="475" t="s">
        <v>141</v>
      </c>
      <c r="M5455" s="473"/>
    </row>
    <row r="5456" spans="1:13" ht="13.5">
      <c r="A5456" s="475" t="s">
        <v>5661</v>
      </c>
      <c r="B5456" s="475" t="s">
        <v>5662</v>
      </c>
      <c r="C5456" s="475" t="s">
        <v>5692</v>
      </c>
      <c r="D5456" s="475" t="s">
        <v>5693</v>
      </c>
      <c r="E5456" s="476" t="s">
        <v>34</v>
      </c>
      <c r="F5456" s="475" t="s">
        <v>34</v>
      </c>
      <c r="G5456" s="364">
        <v>87692</v>
      </c>
      <c r="H5456" s="475" t="s">
        <v>4592</v>
      </c>
      <c r="I5456" s="475" t="s">
        <v>322</v>
      </c>
      <c r="J5456" s="475" t="s">
        <v>337</v>
      </c>
      <c r="K5456" s="365">
        <v>38.26</v>
      </c>
      <c r="L5456" s="475" t="s">
        <v>141</v>
      </c>
      <c r="M5456" s="473"/>
    </row>
    <row r="5457" spans="1:13" ht="13.5">
      <c r="A5457" s="475" t="s">
        <v>5661</v>
      </c>
      <c r="B5457" s="475" t="s">
        <v>5662</v>
      </c>
      <c r="C5457" s="475" t="s">
        <v>5692</v>
      </c>
      <c r="D5457" s="475" t="s">
        <v>5693</v>
      </c>
      <c r="E5457" s="476" t="s">
        <v>34</v>
      </c>
      <c r="F5457" s="475" t="s">
        <v>34</v>
      </c>
      <c r="G5457" s="364">
        <v>87693</v>
      </c>
      <c r="H5457" s="475" t="s">
        <v>4593</v>
      </c>
      <c r="I5457" s="475" t="s">
        <v>322</v>
      </c>
      <c r="J5457" s="475" t="s">
        <v>337</v>
      </c>
      <c r="K5457" s="365">
        <v>68.8</v>
      </c>
      <c r="L5457" s="475" t="s">
        <v>141</v>
      </c>
      <c r="M5457" s="473"/>
    </row>
    <row r="5458" spans="1:13" ht="13.5">
      <c r="A5458" s="475" t="s">
        <v>5661</v>
      </c>
      <c r="B5458" s="475" t="s">
        <v>5662</v>
      </c>
      <c r="C5458" s="475" t="s">
        <v>5692</v>
      </c>
      <c r="D5458" s="475" t="s">
        <v>5693</v>
      </c>
      <c r="E5458" s="476" t="s">
        <v>34</v>
      </c>
      <c r="F5458" s="475" t="s">
        <v>34</v>
      </c>
      <c r="G5458" s="364">
        <v>87694</v>
      </c>
      <c r="H5458" s="475" t="s">
        <v>4594</v>
      </c>
      <c r="I5458" s="475" t="s">
        <v>322</v>
      </c>
      <c r="J5458" s="475" t="s">
        <v>337</v>
      </c>
      <c r="K5458" s="365">
        <v>78.239999999999995</v>
      </c>
      <c r="L5458" s="475" t="s">
        <v>141</v>
      </c>
      <c r="M5458" s="473"/>
    </row>
    <row r="5459" spans="1:13" ht="13.5">
      <c r="A5459" s="475" t="s">
        <v>5661</v>
      </c>
      <c r="B5459" s="475" t="s">
        <v>5662</v>
      </c>
      <c r="C5459" s="475" t="s">
        <v>5692</v>
      </c>
      <c r="D5459" s="475" t="s">
        <v>5693</v>
      </c>
      <c r="E5459" s="476" t="s">
        <v>34</v>
      </c>
      <c r="F5459" s="475" t="s">
        <v>34</v>
      </c>
      <c r="G5459" s="364">
        <v>87700</v>
      </c>
      <c r="H5459" s="475" t="s">
        <v>4595</v>
      </c>
      <c r="I5459" s="475" t="s">
        <v>322</v>
      </c>
      <c r="J5459" s="475" t="s">
        <v>337</v>
      </c>
      <c r="K5459" s="365">
        <v>35.79</v>
      </c>
      <c r="L5459" s="475" t="s">
        <v>141</v>
      </c>
      <c r="M5459" s="473"/>
    </row>
    <row r="5460" spans="1:13" ht="13.5">
      <c r="A5460" s="475" t="s">
        <v>5661</v>
      </c>
      <c r="B5460" s="475" t="s">
        <v>5662</v>
      </c>
      <c r="C5460" s="475" t="s">
        <v>5692</v>
      </c>
      <c r="D5460" s="475" t="s">
        <v>5693</v>
      </c>
      <c r="E5460" s="476" t="s">
        <v>34</v>
      </c>
      <c r="F5460" s="475" t="s">
        <v>34</v>
      </c>
      <c r="G5460" s="364">
        <v>87702</v>
      </c>
      <c r="H5460" s="475" t="s">
        <v>4596</v>
      </c>
      <c r="I5460" s="475" t="s">
        <v>322</v>
      </c>
      <c r="J5460" s="475" t="s">
        <v>337</v>
      </c>
      <c r="K5460" s="365">
        <v>41.36</v>
      </c>
      <c r="L5460" s="475" t="s">
        <v>141</v>
      </c>
      <c r="M5460" s="473"/>
    </row>
    <row r="5461" spans="1:13" ht="13.5">
      <c r="A5461" s="475" t="s">
        <v>5661</v>
      </c>
      <c r="B5461" s="475" t="s">
        <v>5662</v>
      </c>
      <c r="C5461" s="475" t="s">
        <v>5692</v>
      </c>
      <c r="D5461" s="475" t="s">
        <v>5693</v>
      </c>
      <c r="E5461" s="476" t="s">
        <v>34</v>
      </c>
      <c r="F5461" s="475" t="s">
        <v>34</v>
      </c>
      <c r="G5461" s="364">
        <v>87703</v>
      </c>
      <c r="H5461" s="475" t="s">
        <v>4597</v>
      </c>
      <c r="I5461" s="475" t="s">
        <v>322</v>
      </c>
      <c r="J5461" s="475" t="s">
        <v>337</v>
      </c>
      <c r="K5461" s="365">
        <v>74.62</v>
      </c>
      <c r="L5461" s="475" t="s">
        <v>141</v>
      </c>
      <c r="M5461" s="473"/>
    </row>
    <row r="5462" spans="1:13" ht="13.5">
      <c r="A5462" s="475" t="s">
        <v>5661</v>
      </c>
      <c r="B5462" s="475" t="s">
        <v>5662</v>
      </c>
      <c r="C5462" s="475" t="s">
        <v>5692</v>
      </c>
      <c r="D5462" s="475" t="s">
        <v>5693</v>
      </c>
      <c r="E5462" s="476" t="s">
        <v>34</v>
      </c>
      <c r="F5462" s="475" t="s">
        <v>34</v>
      </c>
      <c r="G5462" s="364">
        <v>87704</v>
      </c>
      <c r="H5462" s="475" t="s">
        <v>4598</v>
      </c>
      <c r="I5462" s="475" t="s">
        <v>322</v>
      </c>
      <c r="J5462" s="475" t="s">
        <v>337</v>
      </c>
      <c r="K5462" s="365">
        <v>84.9</v>
      </c>
      <c r="L5462" s="475" t="s">
        <v>141</v>
      </c>
      <c r="M5462" s="473"/>
    </row>
    <row r="5463" spans="1:13" ht="13.5">
      <c r="A5463" s="475" t="s">
        <v>5661</v>
      </c>
      <c r="B5463" s="475" t="s">
        <v>5662</v>
      </c>
      <c r="C5463" s="475" t="s">
        <v>5692</v>
      </c>
      <c r="D5463" s="475" t="s">
        <v>5693</v>
      </c>
      <c r="E5463" s="476" t="s">
        <v>34</v>
      </c>
      <c r="F5463" s="475" t="s">
        <v>34</v>
      </c>
      <c r="G5463" s="364">
        <v>87735</v>
      </c>
      <c r="H5463" s="475" t="s">
        <v>4599</v>
      </c>
      <c r="I5463" s="475" t="s">
        <v>322</v>
      </c>
      <c r="J5463" s="475" t="s">
        <v>337</v>
      </c>
      <c r="K5463" s="365">
        <v>32.93</v>
      </c>
      <c r="L5463" s="475" t="s">
        <v>141</v>
      </c>
      <c r="M5463" s="473"/>
    </row>
    <row r="5464" spans="1:13" ht="13.5">
      <c r="A5464" s="475" t="s">
        <v>5661</v>
      </c>
      <c r="B5464" s="475" t="s">
        <v>5662</v>
      </c>
      <c r="C5464" s="475" t="s">
        <v>5692</v>
      </c>
      <c r="D5464" s="475" t="s">
        <v>5693</v>
      </c>
      <c r="E5464" s="476" t="s">
        <v>34</v>
      </c>
      <c r="F5464" s="475" t="s">
        <v>34</v>
      </c>
      <c r="G5464" s="364">
        <v>87737</v>
      </c>
      <c r="H5464" s="475" t="s">
        <v>4600</v>
      </c>
      <c r="I5464" s="475" t="s">
        <v>322</v>
      </c>
      <c r="J5464" s="475" t="s">
        <v>337</v>
      </c>
      <c r="K5464" s="365">
        <v>35.54</v>
      </c>
      <c r="L5464" s="475" t="s">
        <v>141</v>
      </c>
      <c r="M5464" s="473"/>
    </row>
    <row r="5465" spans="1:13" ht="13.5">
      <c r="A5465" s="475" t="s">
        <v>5661</v>
      </c>
      <c r="B5465" s="475" t="s">
        <v>5662</v>
      </c>
      <c r="C5465" s="475" t="s">
        <v>5692</v>
      </c>
      <c r="D5465" s="475" t="s">
        <v>5693</v>
      </c>
      <c r="E5465" s="476" t="s">
        <v>34</v>
      </c>
      <c r="F5465" s="475" t="s">
        <v>34</v>
      </c>
      <c r="G5465" s="364">
        <v>87738</v>
      </c>
      <c r="H5465" s="475" t="s">
        <v>4601</v>
      </c>
      <c r="I5465" s="475" t="s">
        <v>322</v>
      </c>
      <c r="J5465" s="475" t="s">
        <v>337</v>
      </c>
      <c r="K5465" s="365">
        <v>51.14</v>
      </c>
      <c r="L5465" s="475" t="s">
        <v>141</v>
      </c>
      <c r="M5465" s="473"/>
    </row>
    <row r="5466" spans="1:13" ht="13.5">
      <c r="A5466" s="475" t="s">
        <v>5661</v>
      </c>
      <c r="B5466" s="475" t="s">
        <v>5662</v>
      </c>
      <c r="C5466" s="475" t="s">
        <v>5692</v>
      </c>
      <c r="D5466" s="475" t="s">
        <v>5693</v>
      </c>
      <c r="E5466" s="476" t="s">
        <v>34</v>
      </c>
      <c r="F5466" s="475" t="s">
        <v>34</v>
      </c>
      <c r="G5466" s="364">
        <v>87739</v>
      </c>
      <c r="H5466" s="475" t="s">
        <v>4602</v>
      </c>
      <c r="I5466" s="475" t="s">
        <v>322</v>
      </c>
      <c r="J5466" s="475" t="s">
        <v>337</v>
      </c>
      <c r="K5466" s="365">
        <v>55.96</v>
      </c>
      <c r="L5466" s="475" t="s">
        <v>141</v>
      </c>
      <c r="M5466" s="473"/>
    </row>
    <row r="5467" spans="1:13" ht="13.5">
      <c r="A5467" s="475" t="s">
        <v>5661</v>
      </c>
      <c r="B5467" s="475" t="s">
        <v>5662</v>
      </c>
      <c r="C5467" s="475" t="s">
        <v>5692</v>
      </c>
      <c r="D5467" s="475" t="s">
        <v>5693</v>
      </c>
      <c r="E5467" s="476" t="s">
        <v>34</v>
      </c>
      <c r="F5467" s="475" t="s">
        <v>34</v>
      </c>
      <c r="G5467" s="364">
        <v>87745</v>
      </c>
      <c r="H5467" s="475" t="s">
        <v>4603</v>
      </c>
      <c r="I5467" s="475" t="s">
        <v>322</v>
      </c>
      <c r="J5467" s="475" t="s">
        <v>337</v>
      </c>
      <c r="K5467" s="365">
        <v>38.76</v>
      </c>
      <c r="L5467" s="475" t="s">
        <v>141</v>
      </c>
      <c r="M5467" s="473"/>
    </row>
    <row r="5468" spans="1:13" ht="13.5">
      <c r="A5468" s="475" t="s">
        <v>5661</v>
      </c>
      <c r="B5468" s="475" t="s">
        <v>5662</v>
      </c>
      <c r="C5468" s="475" t="s">
        <v>5692</v>
      </c>
      <c r="D5468" s="475" t="s">
        <v>5693</v>
      </c>
      <c r="E5468" s="476" t="s">
        <v>34</v>
      </c>
      <c r="F5468" s="475" t="s">
        <v>34</v>
      </c>
      <c r="G5468" s="364">
        <v>87747</v>
      </c>
      <c r="H5468" s="475" t="s">
        <v>4604</v>
      </c>
      <c r="I5468" s="475" t="s">
        <v>322</v>
      </c>
      <c r="J5468" s="475" t="s">
        <v>337</v>
      </c>
      <c r="K5468" s="365">
        <v>42.4</v>
      </c>
      <c r="L5468" s="475" t="s">
        <v>141</v>
      </c>
      <c r="M5468" s="473"/>
    </row>
    <row r="5469" spans="1:13" ht="13.5">
      <c r="A5469" s="475" t="s">
        <v>5661</v>
      </c>
      <c r="B5469" s="475" t="s">
        <v>5662</v>
      </c>
      <c r="C5469" s="475" t="s">
        <v>5692</v>
      </c>
      <c r="D5469" s="475" t="s">
        <v>5693</v>
      </c>
      <c r="E5469" s="476" t="s">
        <v>34</v>
      </c>
      <c r="F5469" s="475" t="s">
        <v>34</v>
      </c>
      <c r="G5469" s="364">
        <v>87748</v>
      </c>
      <c r="H5469" s="475" t="s">
        <v>4605</v>
      </c>
      <c r="I5469" s="475" t="s">
        <v>322</v>
      </c>
      <c r="J5469" s="475" t="s">
        <v>337</v>
      </c>
      <c r="K5469" s="365">
        <v>64.08</v>
      </c>
      <c r="L5469" s="475" t="s">
        <v>141</v>
      </c>
      <c r="M5469" s="473"/>
    </row>
    <row r="5470" spans="1:13" ht="13.5">
      <c r="A5470" s="475" t="s">
        <v>5661</v>
      </c>
      <c r="B5470" s="475" t="s">
        <v>5662</v>
      </c>
      <c r="C5470" s="475" t="s">
        <v>5692</v>
      </c>
      <c r="D5470" s="475" t="s">
        <v>5693</v>
      </c>
      <c r="E5470" s="476" t="s">
        <v>34</v>
      </c>
      <c r="F5470" s="475" t="s">
        <v>34</v>
      </c>
      <c r="G5470" s="364">
        <v>87749</v>
      </c>
      <c r="H5470" s="475" t="s">
        <v>4606</v>
      </c>
      <c r="I5470" s="475" t="s">
        <v>322</v>
      </c>
      <c r="J5470" s="475" t="s">
        <v>337</v>
      </c>
      <c r="K5470" s="365">
        <v>70.790000000000006</v>
      </c>
      <c r="L5470" s="475" t="s">
        <v>141</v>
      </c>
      <c r="M5470" s="473"/>
    </row>
    <row r="5471" spans="1:13" ht="13.5">
      <c r="A5471" s="475" t="s">
        <v>5661</v>
      </c>
      <c r="B5471" s="475" t="s">
        <v>5662</v>
      </c>
      <c r="C5471" s="475" t="s">
        <v>5692</v>
      </c>
      <c r="D5471" s="475" t="s">
        <v>5693</v>
      </c>
      <c r="E5471" s="476" t="s">
        <v>34</v>
      </c>
      <c r="F5471" s="475" t="s">
        <v>34</v>
      </c>
      <c r="G5471" s="364">
        <v>87755</v>
      </c>
      <c r="H5471" s="475" t="s">
        <v>4607</v>
      </c>
      <c r="I5471" s="475" t="s">
        <v>322</v>
      </c>
      <c r="J5471" s="475" t="s">
        <v>337</v>
      </c>
      <c r="K5471" s="365">
        <v>34.6</v>
      </c>
      <c r="L5471" s="475" t="s">
        <v>141</v>
      </c>
      <c r="M5471" s="473"/>
    </row>
    <row r="5472" spans="1:13" ht="13.5">
      <c r="A5472" s="475" t="s">
        <v>5661</v>
      </c>
      <c r="B5472" s="475" t="s">
        <v>5662</v>
      </c>
      <c r="C5472" s="475" t="s">
        <v>5692</v>
      </c>
      <c r="D5472" s="475" t="s">
        <v>5693</v>
      </c>
      <c r="E5472" s="476" t="s">
        <v>34</v>
      </c>
      <c r="F5472" s="475" t="s">
        <v>34</v>
      </c>
      <c r="G5472" s="364">
        <v>87757</v>
      </c>
      <c r="H5472" s="475" t="s">
        <v>4608</v>
      </c>
      <c r="I5472" s="475" t="s">
        <v>322</v>
      </c>
      <c r="J5472" s="475" t="s">
        <v>337</v>
      </c>
      <c r="K5472" s="365">
        <v>38.24</v>
      </c>
      <c r="L5472" s="475" t="s">
        <v>141</v>
      </c>
      <c r="M5472" s="473"/>
    </row>
    <row r="5473" spans="1:13" ht="13.5">
      <c r="A5473" s="475" t="s">
        <v>5661</v>
      </c>
      <c r="B5473" s="475" t="s">
        <v>5662</v>
      </c>
      <c r="C5473" s="475" t="s">
        <v>5692</v>
      </c>
      <c r="D5473" s="475" t="s">
        <v>5693</v>
      </c>
      <c r="E5473" s="476" t="s">
        <v>34</v>
      </c>
      <c r="F5473" s="475" t="s">
        <v>34</v>
      </c>
      <c r="G5473" s="364">
        <v>87758</v>
      </c>
      <c r="H5473" s="475" t="s">
        <v>4609</v>
      </c>
      <c r="I5473" s="475" t="s">
        <v>322</v>
      </c>
      <c r="J5473" s="475" t="s">
        <v>337</v>
      </c>
      <c r="K5473" s="365">
        <v>59.92</v>
      </c>
      <c r="L5473" s="475" t="s">
        <v>141</v>
      </c>
      <c r="M5473" s="473"/>
    </row>
    <row r="5474" spans="1:13" ht="13.5">
      <c r="A5474" s="475" t="s">
        <v>5661</v>
      </c>
      <c r="B5474" s="475" t="s">
        <v>5662</v>
      </c>
      <c r="C5474" s="475" t="s">
        <v>5692</v>
      </c>
      <c r="D5474" s="475" t="s">
        <v>5693</v>
      </c>
      <c r="E5474" s="476" t="s">
        <v>34</v>
      </c>
      <c r="F5474" s="475" t="s">
        <v>34</v>
      </c>
      <c r="G5474" s="364">
        <v>87759</v>
      </c>
      <c r="H5474" s="475" t="s">
        <v>4610</v>
      </c>
      <c r="I5474" s="475" t="s">
        <v>322</v>
      </c>
      <c r="J5474" s="475" t="s">
        <v>337</v>
      </c>
      <c r="K5474" s="365">
        <v>66.63</v>
      </c>
      <c r="L5474" s="475" t="s">
        <v>141</v>
      </c>
      <c r="M5474" s="473"/>
    </row>
    <row r="5475" spans="1:13" ht="13.5">
      <c r="A5475" s="475" t="s">
        <v>5661</v>
      </c>
      <c r="B5475" s="475" t="s">
        <v>5662</v>
      </c>
      <c r="C5475" s="475" t="s">
        <v>5692</v>
      </c>
      <c r="D5475" s="475" t="s">
        <v>5693</v>
      </c>
      <c r="E5475" s="476" t="s">
        <v>34</v>
      </c>
      <c r="F5475" s="475" t="s">
        <v>34</v>
      </c>
      <c r="G5475" s="364">
        <v>87765</v>
      </c>
      <c r="H5475" s="475" t="s">
        <v>4611</v>
      </c>
      <c r="I5475" s="475" t="s">
        <v>322</v>
      </c>
      <c r="J5475" s="475" t="s">
        <v>337</v>
      </c>
      <c r="K5475" s="365">
        <v>39.299999999999997</v>
      </c>
      <c r="L5475" s="475" t="s">
        <v>141</v>
      </c>
      <c r="M5475" s="473"/>
    </row>
    <row r="5476" spans="1:13" ht="13.5">
      <c r="A5476" s="475" t="s">
        <v>5661</v>
      </c>
      <c r="B5476" s="475" t="s">
        <v>5662</v>
      </c>
      <c r="C5476" s="475" t="s">
        <v>5692</v>
      </c>
      <c r="D5476" s="475" t="s">
        <v>5693</v>
      </c>
      <c r="E5476" s="476" t="s">
        <v>34</v>
      </c>
      <c r="F5476" s="475" t="s">
        <v>34</v>
      </c>
      <c r="G5476" s="364">
        <v>87767</v>
      </c>
      <c r="H5476" s="475" t="s">
        <v>4612</v>
      </c>
      <c r="I5476" s="475" t="s">
        <v>322</v>
      </c>
      <c r="J5476" s="475" t="s">
        <v>337</v>
      </c>
      <c r="K5476" s="365">
        <v>43.77</v>
      </c>
      <c r="L5476" s="475" t="s">
        <v>141</v>
      </c>
      <c r="M5476" s="473"/>
    </row>
    <row r="5477" spans="1:13" ht="13.5">
      <c r="A5477" s="475" t="s">
        <v>5661</v>
      </c>
      <c r="B5477" s="475" t="s">
        <v>5662</v>
      </c>
      <c r="C5477" s="475" t="s">
        <v>5692</v>
      </c>
      <c r="D5477" s="475" t="s">
        <v>5693</v>
      </c>
      <c r="E5477" s="476" t="s">
        <v>34</v>
      </c>
      <c r="F5477" s="475" t="s">
        <v>34</v>
      </c>
      <c r="G5477" s="364">
        <v>87768</v>
      </c>
      <c r="H5477" s="475" t="s">
        <v>4613</v>
      </c>
      <c r="I5477" s="475" t="s">
        <v>322</v>
      </c>
      <c r="J5477" s="475" t="s">
        <v>337</v>
      </c>
      <c r="K5477" s="365">
        <v>70.44</v>
      </c>
      <c r="L5477" s="475" t="s">
        <v>141</v>
      </c>
      <c r="M5477" s="473"/>
    </row>
    <row r="5478" spans="1:13" ht="13.5">
      <c r="A5478" s="475" t="s">
        <v>5661</v>
      </c>
      <c r="B5478" s="475" t="s">
        <v>5662</v>
      </c>
      <c r="C5478" s="475" t="s">
        <v>5692</v>
      </c>
      <c r="D5478" s="475" t="s">
        <v>5693</v>
      </c>
      <c r="E5478" s="476" t="s">
        <v>34</v>
      </c>
      <c r="F5478" s="475" t="s">
        <v>34</v>
      </c>
      <c r="G5478" s="364">
        <v>87769</v>
      </c>
      <c r="H5478" s="475" t="s">
        <v>4614</v>
      </c>
      <c r="I5478" s="475" t="s">
        <v>322</v>
      </c>
      <c r="J5478" s="475" t="s">
        <v>337</v>
      </c>
      <c r="K5478" s="365">
        <v>78.680000000000007</v>
      </c>
      <c r="L5478" s="475" t="s">
        <v>141</v>
      </c>
      <c r="M5478" s="473"/>
    </row>
    <row r="5479" spans="1:13" ht="13.5">
      <c r="A5479" s="475" t="s">
        <v>5661</v>
      </c>
      <c r="B5479" s="475" t="s">
        <v>5662</v>
      </c>
      <c r="C5479" s="475" t="s">
        <v>5692</v>
      </c>
      <c r="D5479" s="475" t="s">
        <v>5693</v>
      </c>
      <c r="E5479" s="476" t="s">
        <v>34</v>
      </c>
      <c r="F5479" s="475" t="s">
        <v>34</v>
      </c>
      <c r="G5479" s="364">
        <v>88470</v>
      </c>
      <c r="H5479" s="475" t="s">
        <v>4615</v>
      </c>
      <c r="I5479" s="475" t="s">
        <v>322</v>
      </c>
      <c r="J5479" s="475" t="s">
        <v>337</v>
      </c>
      <c r="K5479" s="365">
        <v>18</v>
      </c>
      <c r="L5479" s="475" t="s">
        <v>141</v>
      </c>
      <c r="M5479" s="473"/>
    </row>
    <row r="5480" spans="1:13" ht="13.5">
      <c r="A5480" s="475" t="s">
        <v>5661</v>
      </c>
      <c r="B5480" s="475" t="s">
        <v>5662</v>
      </c>
      <c r="C5480" s="475" t="s">
        <v>5692</v>
      </c>
      <c r="D5480" s="475" t="s">
        <v>5693</v>
      </c>
      <c r="E5480" s="476" t="s">
        <v>34</v>
      </c>
      <c r="F5480" s="475" t="s">
        <v>34</v>
      </c>
      <c r="G5480" s="364">
        <v>88471</v>
      </c>
      <c r="H5480" s="475" t="s">
        <v>4616</v>
      </c>
      <c r="I5480" s="475" t="s">
        <v>322</v>
      </c>
      <c r="J5480" s="475" t="s">
        <v>337</v>
      </c>
      <c r="K5480" s="365">
        <v>22.26</v>
      </c>
      <c r="L5480" s="475" t="s">
        <v>141</v>
      </c>
      <c r="M5480" s="473"/>
    </row>
    <row r="5481" spans="1:13" ht="13.5">
      <c r="A5481" s="475" t="s">
        <v>5661</v>
      </c>
      <c r="B5481" s="475" t="s">
        <v>5662</v>
      </c>
      <c r="C5481" s="475" t="s">
        <v>5692</v>
      </c>
      <c r="D5481" s="475" t="s">
        <v>5693</v>
      </c>
      <c r="E5481" s="476" t="s">
        <v>34</v>
      </c>
      <c r="F5481" s="475" t="s">
        <v>34</v>
      </c>
      <c r="G5481" s="364">
        <v>88472</v>
      </c>
      <c r="H5481" s="475" t="s">
        <v>4617</v>
      </c>
      <c r="I5481" s="475" t="s">
        <v>322</v>
      </c>
      <c r="J5481" s="475" t="s">
        <v>337</v>
      </c>
      <c r="K5481" s="365">
        <v>25.61</v>
      </c>
      <c r="L5481" s="475" t="s">
        <v>141</v>
      </c>
      <c r="M5481" s="473"/>
    </row>
    <row r="5482" spans="1:13" ht="13.5">
      <c r="A5482" s="475" t="s">
        <v>5661</v>
      </c>
      <c r="B5482" s="475" t="s">
        <v>5662</v>
      </c>
      <c r="C5482" s="475" t="s">
        <v>5692</v>
      </c>
      <c r="D5482" s="475" t="s">
        <v>5693</v>
      </c>
      <c r="E5482" s="476" t="s">
        <v>34</v>
      </c>
      <c r="F5482" s="475" t="s">
        <v>34</v>
      </c>
      <c r="G5482" s="364">
        <v>88476</v>
      </c>
      <c r="H5482" s="475" t="s">
        <v>4618</v>
      </c>
      <c r="I5482" s="475" t="s">
        <v>322</v>
      </c>
      <c r="J5482" s="475" t="s">
        <v>337</v>
      </c>
      <c r="K5482" s="365">
        <v>15.27</v>
      </c>
      <c r="L5482" s="475" t="s">
        <v>141</v>
      </c>
      <c r="M5482" s="473"/>
    </row>
    <row r="5483" spans="1:13" ht="13.5">
      <c r="A5483" s="475" t="s">
        <v>5661</v>
      </c>
      <c r="B5483" s="475" t="s">
        <v>5662</v>
      </c>
      <c r="C5483" s="475" t="s">
        <v>5692</v>
      </c>
      <c r="D5483" s="475" t="s">
        <v>5693</v>
      </c>
      <c r="E5483" s="476" t="s">
        <v>34</v>
      </c>
      <c r="F5483" s="475" t="s">
        <v>34</v>
      </c>
      <c r="G5483" s="364">
        <v>88477</v>
      </c>
      <c r="H5483" s="475" t="s">
        <v>4619</v>
      </c>
      <c r="I5483" s="475" t="s">
        <v>322</v>
      </c>
      <c r="J5483" s="475" t="s">
        <v>337</v>
      </c>
      <c r="K5483" s="365">
        <v>20.78</v>
      </c>
      <c r="L5483" s="475" t="s">
        <v>141</v>
      </c>
      <c r="M5483" s="473"/>
    </row>
    <row r="5484" spans="1:13" ht="13.5">
      <c r="A5484" s="475" t="s">
        <v>5661</v>
      </c>
      <c r="B5484" s="475" t="s">
        <v>5662</v>
      </c>
      <c r="C5484" s="475" t="s">
        <v>5692</v>
      </c>
      <c r="D5484" s="475" t="s">
        <v>5693</v>
      </c>
      <c r="E5484" s="476" t="s">
        <v>34</v>
      </c>
      <c r="F5484" s="475" t="s">
        <v>34</v>
      </c>
      <c r="G5484" s="364">
        <v>88478</v>
      </c>
      <c r="H5484" s="475" t="s">
        <v>4620</v>
      </c>
      <c r="I5484" s="475" t="s">
        <v>322</v>
      </c>
      <c r="J5484" s="475" t="s">
        <v>337</v>
      </c>
      <c r="K5484" s="365">
        <v>25.24</v>
      </c>
      <c r="L5484" s="475" t="s">
        <v>141</v>
      </c>
      <c r="M5484" s="473"/>
    </row>
    <row r="5485" spans="1:13" ht="13.5">
      <c r="A5485" s="475" t="s">
        <v>5661</v>
      </c>
      <c r="B5485" s="475" t="s">
        <v>5662</v>
      </c>
      <c r="C5485" s="475" t="s">
        <v>5692</v>
      </c>
      <c r="D5485" s="475" t="s">
        <v>5693</v>
      </c>
      <c r="E5485" s="476" t="s">
        <v>34</v>
      </c>
      <c r="F5485" s="475" t="s">
        <v>34</v>
      </c>
      <c r="G5485" s="364">
        <v>90900</v>
      </c>
      <c r="H5485" s="475" t="s">
        <v>4621</v>
      </c>
      <c r="I5485" s="475" t="s">
        <v>322</v>
      </c>
      <c r="J5485" s="475" t="s">
        <v>337</v>
      </c>
      <c r="K5485" s="365">
        <v>56.64</v>
      </c>
      <c r="L5485" s="475" t="s">
        <v>141</v>
      </c>
      <c r="M5485" s="473"/>
    </row>
    <row r="5486" spans="1:13" ht="13.5">
      <c r="A5486" s="475" t="s">
        <v>5661</v>
      </c>
      <c r="B5486" s="475" t="s">
        <v>5662</v>
      </c>
      <c r="C5486" s="475" t="s">
        <v>5692</v>
      </c>
      <c r="D5486" s="475" t="s">
        <v>5693</v>
      </c>
      <c r="E5486" s="476" t="s">
        <v>34</v>
      </c>
      <c r="F5486" s="475" t="s">
        <v>34</v>
      </c>
      <c r="G5486" s="364">
        <v>90902</v>
      </c>
      <c r="H5486" s="475" t="s">
        <v>4622</v>
      </c>
      <c r="I5486" s="475" t="s">
        <v>322</v>
      </c>
      <c r="J5486" s="475" t="s">
        <v>337</v>
      </c>
      <c r="K5486" s="365">
        <v>61.76</v>
      </c>
      <c r="L5486" s="475" t="s">
        <v>141</v>
      </c>
      <c r="M5486" s="473"/>
    </row>
    <row r="5487" spans="1:13" ht="13.5">
      <c r="A5487" s="475" t="s">
        <v>5661</v>
      </c>
      <c r="B5487" s="475" t="s">
        <v>5662</v>
      </c>
      <c r="C5487" s="475" t="s">
        <v>5692</v>
      </c>
      <c r="D5487" s="475" t="s">
        <v>5693</v>
      </c>
      <c r="E5487" s="476" t="s">
        <v>34</v>
      </c>
      <c r="F5487" s="475" t="s">
        <v>34</v>
      </c>
      <c r="G5487" s="364">
        <v>90903</v>
      </c>
      <c r="H5487" s="475" t="s">
        <v>4623</v>
      </c>
      <c r="I5487" s="475" t="s">
        <v>322</v>
      </c>
      <c r="J5487" s="475" t="s">
        <v>337</v>
      </c>
      <c r="K5487" s="365">
        <v>92.3</v>
      </c>
      <c r="L5487" s="475" t="s">
        <v>141</v>
      </c>
      <c r="M5487" s="473"/>
    </row>
    <row r="5488" spans="1:13" ht="13.5">
      <c r="A5488" s="475" t="s">
        <v>5661</v>
      </c>
      <c r="B5488" s="475" t="s">
        <v>5662</v>
      </c>
      <c r="C5488" s="475" t="s">
        <v>5692</v>
      </c>
      <c r="D5488" s="475" t="s">
        <v>5693</v>
      </c>
      <c r="E5488" s="476" t="s">
        <v>34</v>
      </c>
      <c r="F5488" s="475" t="s">
        <v>34</v>
      </c>
      <c r="G5488" s="364">
        <v>90904</v>
      </c>
      <c r="H5488" s="475" t="s">
        <v>4624</v>
      </c>
      <c r="I5488" s="475" t="s">
        <v>322</v>
      </c>
      <c r="J5488" s="475" t="s">
        <v>337</v>
      </c>
      <c r="K5488" s="365">
        <v>101.74</v>
      </c>
      <c r="L5488" s="475" t="s">
        <v>141</v>
      </c>
      <c r="M5488" s="473"/>
    </row>
    <row r="5489" spans="1:13" ht="13.5">
      <c r="A5489" s="475" t="s">
        <v>5661</v>
      </c>
      <c r="B5489" s="475" t="s">
        <v>5662</v>
      </c>
      <c r="C5489" s="475" t="s">
        <v>5692</v>
      </c>
      <c r="D5489" s="475" t="s">
        <v>5693</v>
      </c>
      <c r="E5489" s="476" t="s">
        <v>34</v>
      </c>
      <c r="F5489" s="475" t="s">
        <v>34</v>
      </c>
      <c r="G5489" s="364">
        <v>90910</v>
      </c>
      <c r="H5489" s="475" t="s">
        <v>4625</v>
      </c>
      <c r="I5489" s="475" t="s">
        <v>322</v>
      </c>
      <c r="J5489" s="475" t="s">
        <v>337</v>
      </c>
      <c r="K5489" s="365">
        <v>60</v>
      </c>
      <c r="L5489" s="475" t="s">
        <v>141</v>
      </c>
      <c r="M5489" s="473"/>
    </row>
    <row r="5490" spans="1:13" ht="13.5">
      <c r="A5490" s="475" t="s">
        <v>5661</v>
      </c>
      <c r="B5490" s="475" t="s">
        <v>5662</v>
      </c>
      <c r="C5490" s="475" t="s">
        <v>5692</v>
      </c>
      <c r="D5490" s="475" t="s">
        <v>5693</v>
      </c>
      <c r="E5490" s="476" t="s">
        <v>34</v>
      </c>
      <c r="F5490" s="475" t="s">
        <v>34</v>
      </c>
      <c r="G5490" s="364">
        <v>90912</v>
      </c>
      <c r="H5490" s="475" t="s">
        <v>4626</v>
      </c>
      <c r="I5490" s="475" t="s">
        <v>322</v>
      </c>
      <c r="J5490" s="475" t="s">
        <v>337</v>
      </c>
      <c r="K5490" s="365">
        <v>65.569999999999993</v>
      </c>
      <c r="L5490" s="475" t="s">
        <v>141</v>
      </c>
      <c r="M5490" s="473"/>
    </row>
    <row r="5491" spans="1:13" ht="13.5">
      <c r="A5491" s="475" t="s">
        <v>5661</v>
      </c>
      <c r="B5491" s="475" t="s">
        <v>5662</v>
      </c>
      <c r="C5491" s="475" t="s">
        <v>5692</v>
      </c>
      <c r="D5491" s="475" t="s">
        <v>5693</v>
      </c>
      <c r="E5491" s="476" t="s">
        <v>34</v>
      </c>
      <c r="F5491" s="475" t="s">
        <v>34</v>
      </c>
      <c r="G5491" s="364">
        <v>90913</v>
      </c>
      <c r="H5491" s="475" t="s">
        <v>4627</v>
      </c>
      <c r="I5491" s="475" t="s">
        <v>322</v>
      </c>
      <c r="J5491" s="475" t="s">
        <v>337</v>
      </c>
      <c r="K5491" s="365">
        <v>98.83</v>
      </c>
      <c r="L5491" s="475" t="s">
        <v>141</v>
      </c>
      <c r="M5491" s="473"/>
    </row>
    <row r="5492" spans="1:13" ht="13.5">
      <c r="A5492" s="475" t="s">
        <v>5661</v>
      </c>
      <c r="B5492" s="475" t="s">
        <v>5662</v>
      </c>
      <c r="C5492" s="475" t="s">
        <v>5692</v>
      </c>
      <c r="D5492" s="475" t="s">
        <v>5693</v>
      </c>
      <c r="E5492" s="476" t="s">
        <v>34</v>
      </c>
      <c r="F5492" s="475" t="s">
        <v>34</v>
      </c>
      <c r="G5492" s="364">
        <v>90914</v>
      </c>
      <c r="H5492" s="475" t="s">
        <v>4628</v>
      </c>
      <c r="I5492" s="475" t="s">
        <v>322</v>
      </c>
      <c r="J5492" s="475" t="s">
        <v>337</v>
      </c>
      <c r="K5492" s="365">
        <v>109.11</v>
      </c>
      <c r="L5492" s="475" t="s">
        <v>141</v>
      </c>
      <c r="M5492" s="473"/>
    </row>
    <row r="5493" spans="1:13" ht="13.5">
      <c r="A5493" s="475" t="s">
        <v>5661</v>
      </c>
      <c r="B5493" s="475" t="s">
        <v>5662</v>
      </c>
      <c r="C5493" s="475" t="s">
        <v>5692</v>
      </c>
      <c r="D5493" s="475" t="s">
        <v>5693</v>
      </c>
      <c r="E5493" s="476" t="s">
        <v>34</v>
      </c>
      <c r="F5493" s="475" t="s">
        <v>34</v>
      </c>
      <c r="G5493" s="364">
        <v>90920</v>
      </c>
      <c r="H5493" s="475" t="s">
        <v>4629</v>
      </c>
      <c r="I5493" s="475" t="s">
        <v>322</v>
      </c>
      <c r="J5493" s="475" t="s">
        <v>337</v>
      </c>
      <c r="K5493" s="365">
        <v>66.239999999999995</v>
      </c>
      <c r="L5493" s="475" t="s">
        <v>141</v>
      </c>
      <c r="M5493" s="473"/>
    </row>
    <row r="5494" spans="1:13" ht="13.5">
      <c r="A5494" s="475" t="s">
        <v>5661</v>
      </c>
      <c r="B5494" s="475" t="s">
        <v>5662</v>
      </c>
      <c r="C5494" s="475" t="s">
        <v>5692</v>
      </c>
      <c r="D5494" s="475" t="s">
        <v>5693</v>
      </c>
      <c r="E5494" s="476" t="s">
        <v>34</v>
      </c>
      <c r="F5494" s="475" t="s">
        <v>34</v>
      </c>
      <c r="G5494" s="364">
        <v>90922</v>
      </c>
      <c r="H5494" s="475" t="s">
        <v>4630</v>
      </c>
      <c r="I5494" s="475" t="s">
        <v>322</v>
      </c>
      <c r="J5494" s="475" t="s">
        <v>337</v>
      </c>
      <c r="K5494" s="365">
        <v>72.64</v>
      </c>
      <c r="L5494" s="475" t="s">
        <v>141</v>
      </c>
      <c r="M5494" s="473"/>
    </row>
    <row r="5495" spans="1:13" ht="13.5">
      <c r="A5495" s="475" t="s">
        <v>5661</v>
      </c>
      <c r="B5495" s="475" t="s">
        <v>5662</v>
      </c>
      <c r="C5495" s="475" t="s">
        <v>5692</v>
      </c>
      <c r="D5495" s="475" t="s">
        <v>5693</v>
      </c>
      <c r="E5495" s="476" t="s">
        <v>34</v>
      </c>
      <c r="F5495" s="475" t="s">
        <v>34</v>
      </c>
      <c r="G5495" s="364">
        <v>90923</v>
      </c>
      <c r="H5495" s="475" t="s">
        <v>4631</v>
      </c>
      <c r="I5495" s="475" t="s">
        <v>322</v>
      </c>
      <c r="J5495" s="475" t="s">
        <v>337</v>
      </c>
      <c r="K5495" s="365">
        <v>110.88</v>
      </c>
      <c r="L5495" s="475" t="s">
        <v>141</v>
      </c>
      <c r="M5495" s="473"/>
    </row>
    <row r="5496" spans="1:13" ht="13.5">
      <c r="A5496" s="475" t="s">
        <v>5661</v>
      </c>
      <c r="B5496" s="475" t="s">
        <v>5662</v>
      </c>
      <c r="C5496" s="475" t="s">
        <v>5692</v>
      </c>
      <c r="D5496" s="475" t="s">
        <v>5693</v>
      </c>
      <c r="E5496" s="476" t="s">
        <v>34</v>
      </c>
      <c r="F5496" s="475" t="s">
        <v>34</v>
      </c>
      <c r="G5496" s="364">
        <v>90924</v>
      </c>
      <c r="H5496" s="475" t="s">
        <v>4632</v>
      </c>
      <c r="I5496" s="475" t="s">
        <v>322</v>
      </c>
      <c r="J5496" s="475" t="s">
        <v>337</v>
      </c>
      <c r="K5496" s="365">
        <v>122.7</v>
      </c>
      <c r="L5496" s="475" t="s">
        <v>141</v>
      </c>
      <c r="M5496" s="473"/>
    </row>
    <row r="5497" spans="1:13" ht="13.5">
      <c r="A5497" s="475" t="s">
        <v>5661</v>
      </c>
      <c r="B5497" s="475" t="s">
        <v>5662</v>
      </c>
      <c r="C5497" s="475" t="s">
        <v>5692</v>
      </c>
      <c r="D5497" s="475" t="s">
        <v>5693</v>
      </c>
      <c r="E5497" s="476" t="s">
        <v>34</v>
      </c>
      <c r="F5497" s="475" t="s">
        <v>34</v>
      </c>
      <c r="G5497" s="364">
        <v>90930</v>
      </c>
      <c r="H5497" s="475" t="s">
        <v>4633</v>
      </c>
      <c r="I5497" s="475" t="s">
        <v>322</v>
      </c>
      <c r="J5497" s="475" t="s">
        <v>337</v>
      </c>
      <c r="K5497" s="365">
        <v>51.57</v>
      </c>
      <c r="L5497" s="475" t="s">
        <v>141</v>
      </c>
      <c r="M5497" s="473"/>
    </row>
    <row r="5498" spans="1:13" ht="13.5">
      <c r="A5498" s="475" t="s">
        <v>5661</v>
      </c>
      <c r="B5498" s="475" t="s">
        <v>5662</v>
      </c>
      <c r="C5498" s="475" t="s">
        <v>5692</v>
      </c>
      <c r="D5498" s="475" t="s">
        <v>5693</v>
      </c>
      <c r="E5498" s="476" t="s">
        <v>34</v>
      </c>
      <c r="F5498" s="475" t="s">
        <v>34</v>
      </c>
      <c r="G5498" s="364">
        <v>90932</v>
      </c>
      <c r="H5498" s="475" t="s">
        <v>4634</v>
      </c>
      <c r="I5498" s="475" t="s">
        <v>322</v>
      </c>
      <c r="J5498" s="475" t="s">
        <v>337</v>
      </c>
      <c r="K5498" s="365">
        <v>56.69</v>
      </c>
      <c r="L5498" s="475" t="s">
        <v>141</v>
      </c>
      <c r="M5498" s="473"/>
    </row>
    <row r="5499" spans="1:13" ht="13.5">
      <c r="A5499" s="475" t="s">
        <v>5661</v>
      </c>
      <c r="B5499" s="475" t="s">
        <v>5662</v>
      </c>
      <c r="C5499" s="475" t="s">
        <v>5692</v>
      </c>
      <c r="D5499" s="475" t="s">
        <v>5693</v>
      </c>
      <c r="E5499" s="476" t="s">
        <v>34</v>
      </c>
      <c r="F5499" s="475" t="s">
        <v>34</v>
      </c>
      <c r="G5499" s="364">
        <v>90933</v>
      </c>
      <c r="H5499" s="475" t="s">
        <v>4635</v>
      </c>
      <c r="I5499" s="475" t="s">
        <v>322</v>
      </c>
      <c r="J5499" s="475" t="s">
        <v>337</v>
      </c>
      <c r="K5499" s="365">
        <v>87.23</v>
      </c>
      <c r="L5499" s="475" t="s">
        <v>141</v>
      </c>
      <c r="M5499" s="473"/>
    </row>
    <row r="5500" spans="1:13" ht="13.5">
      <c r="A5500" s="475" t="s">
        <v>5661</v>
      </c>
      <c r="B5500" s="475" t="s">
        <v>5662</v>
      </c>
      <c r="C5500" s="475" t="s">
        <v>5692</v>
      </c>
      <c r="D5500" s="475" t="s">
        <v>5693</v>
      </c>
      <c r="E5500" s="476" t="s">
        <v>34</v>
      </c>
      <c r="F5500" s="475" t="s">
        <v>34</v>
      </c>
      <c r="G5500" s="364">
        <v>90934</v>
      </c>
      <c r="H5500" s="475" t="s">
        <v>4636</v>
      </c>
      <c r="I5500" s="475" t="s">
        <v>322</v>
      </c>
      <c r="J5500" s="475" t="s">
        <v>337</v>
      </c>
      <c r="K5500" s="365">
        <v>96.67</v>
      </c>
      <c r="L5500" s="475" t="s">
        <v>141</v>
      </c>
      <c r="M5500" s="473"/>
    </row>
    <row r="5501" spans="1:13" ht="13.5">
      <c r="A5501" s="475" t="s">
        <v>5661</v>
      </c>
      <c r="B5501" s="475" t="s">
        <v>5662</v>
      </c>
      <c r="C5501" s="475" t="s">
        <v>5692</v>
      </c>
      <c r="D5501" s="475" t="s">
        <v>5693</v>
      </c>
      <c r="E5501" s="476" t="s">
        <v>34</v>
      </c>
      <c r="F5501" s="475" t="s">
        <v>34</v>
      </c>
      <c r="G5501" s="364">
        <v>90940</v>
      </c>
      <c r="H5501" s="475" t="s">
        <v>4637</v>
      </c>
      <c r="I5501" s="475" t="s">
        <v>322</v>
      </c>
      <c r="J5501" s="475" t="s">
        <v>337</v>
      </c>
      <c r="K5501" s="365">
        <v>54.98</v>
      </c>
      <c r="L5501" s="475" t="s">
        <v>141</v>
      </c>
      <c r="M5501" s="473"/>
    </row>
    <row r="5502" spans="1:13" ht="13.5">
      <c r="A5502" s="475" t="s">
        <v>5661</v>
      </c>
      <c r="B5502" s="475" t="s">
        <v>5662</v>
      </c>
      <c r="C5502" s="475" t="s">
        <v>5692</v>
      </c>
      <c r="D5502" s="475" t="s">
        <v>5693</v>
      </c>
      <c r="E5502" s="476" t="s">
        <v>34</v>
      </c>
      <c r="F5502" s="475" t="s">
        <v>34</v>
      </c>
      <c r="G5502" s="364">
        <v>90942</v>
      </c>
      <c r="H5502" s="475" t="s">
        <v>4638</v>
      </c>
      <c r="I5502" s="475" t="s">
        <v>322</v>
      </c>
      <c r="J5502" s="475" t="s">
        <v>337</v>
      </c>
      <c r="K5502" s="365">
        <v>60.55</v>
      </c>
      <c r="L5502" s="475" t="s">
        <v>141</v>
      </c>
      <c r="M5502" s="473"/>
    </row>
    <row r="5503" spans="1:13" ht="13.5">
      <c r="A5503" s="475" t="s">
        <v>5661</v>
      </c>
      <c r="B5503" s="475" t="s">
        <v>5662</v>
      </c>
      <c r="C5503" s="475" t="s">
        <v>5692</v>
      </c>
      <c r="D5503" s="475" t="s">
        <v>5693</v>
      </c>
      <c r="E5503" s="476" t="s">
        <v>34</v>
      </c>
      <c r="F5503" s="475" t="s">
        <v>34</v>
      </c>
      <c r="G5503" s="364">
        <v>90943</v>
      </c>
      <c r="H5503" s="475" t="s">
        <v>4639</v>
      </c>
      <c r="I5503" s="475" t="s">
        <v>322</v>
      </c>
      <c r="J5503" s="475" t="s">
        <v>337</v>
      </c>
      <c r="K5503" s="365">
        <v>93.81</v>
      </c>
      <c r="L5503" s="475" t="s">
        <v>141</v>
      </c>
      <c r="M5503" s="473"/>
    </row>
    <row r="5504" spans="1:13" ht="13.5">
      <c r="A5504" s="475" t="s">
        <v>5661</v>
      </c>
      <c r="B5504" s="475" t="s">
        <v>5662</v>
      </c>
      <c r="C5504" s="475" t="s">
        <v>5692</v>
      </c>
      <c r="D5504" s="475" t="s">
        <v>5693</v>
      </c>
      <c r="E5504" s="476" t="s">
        <v>34</v>
      </c>
      <c r="F5504" s="475" t="s">
        <v>34</v>
      </c>
      <c r="G5504" s="364">
        <v>90944</v>
      </c>
      <c r="H5504" s="475" t="s">
        <v>4640</v>
      </c>
      <c r="I5504" s="475" t="s">
        <v>322</v>
      </c>
      <c r="J5504" s="475" t="s">
        <v>337</v>
      </c>
      <c r="K5504" s="365">
        <v>104.09</v>
      </c>
      <c r="L5504" s="475" t="s">
        <v>141</v>
      </c>
      <c r="M5504" s="473"/>
    </row>
    <row r="5505" spans="1:13" ht="13.5">
      <c r="A5505" s="475" t="s">
        <v>5661</v>
      </c>
      <c r="B5505" s="475" t="s">
        <v>5662</v>
      </c>
      <c r="C5505" s="475" t="s">
        <v>5692</v>
      </c>
      <c r="D5505" s="475" t="s">
        <v>5693</v>
      </c>
      <c r="E5505" s="476" t="s">
        <v>34</v>
      </c>
      <c r="F5505" s="475" t="s">
        <v>34</v>
      </c>
      <c r="G5505" s="364">
        <v>90950</v>
      </c>
      <c r="H5505" s="475" t="s">
        <v>4641</v>
      </c>
      <c r="I5505" s="475" t="s">
        <v>322</v>
      </c>
      <c r="J5505" s="475" t="s">
        <v>337</v>
      </c>
      <c r="K5505" s="365">
        <v>61.18</v>
      </c>
      <c r="L5505" s="475" t="s">
        <v>141</v>
      </c>
      <c r="M5505" s="473"/>
    </row>
    <row r="5506" spans="1:13" ht="13.5">
      <c r="A5506" s="475" t="s">
        <v>5661</v>
      </c>
      <c r="B5506" s="475" t="s">
        <v>5662</v>
      </c>
      <c r="C5506" s="475" t="s">
        <v>5692</v>
      </c>
      <c r="D5506" s="475" t="s">
        <v>5693</v>
      </c>
      <c r="E5506" s="476" t="s">
        <v>34</v>
      </c>
      <c r="F5506" s="475" t="s">
        <v>34</v>
      </c>
      <c r="G5506" s="364">
        <v>90952</v>
      </c>
      <c r="H5506" s="475" t="s">
        <v>4642</v>
      </c>
      <c r="I5506" s="475" t="s">
        <v>322</v>
      </c>
      <c r="J5506" s="475" t="s">
        <v>337</v>
      </c>
      <c r="K5506" s="365">
        <v>67.58</v>
      </c>
      <c r="L5506" s="475" t="s">
        <v>141</v>
      </c>
      <c r="M5506" s="473"/>
    </row>
    <row r="5507" spans="1:13" ht="13.5">
      <c r="A5507" s="475" t="s">
        <v>5661</v>
      </c>
      <c r="B5507" s="475" t="s">
        <v>5662</v>
      </c>
      <c r="C5507" s="475" t="s">
        <v>5692</v>
      </c>
      <c r="D5507" s="475" t="s">
        <v>5693</v>
      </c>
      <c r="E5507" s="476" t="s">
        <v>34</v>
      </c>
      <c r="F5507" s="475" t="s">
        <v>34</v>
      </c>
      <c r="G5507" s="364">
        <v>90953</v>
      </c>
      <c r="H5507" s="475" t="s">
        <v>4643</v>
      </c>
      <c r="I5507" s="475" t="s">
        <v>322</v>
      </c>
      <c r="J5507" s="475" t="s">
        <v>337</v>
      </c>
      <c r="K5507" s="365">
        <v>105.82</v>
      </c>
      <c r="L5507" s="475" t="s">
        <v>141</v>
      </c>
      <c r="M5507" s="473"/>
    </row>
    <row r="5508" spans="1:13" ht="13.5">
      <c r="A5508" s="475" t="s">
        <v>5661</v>
      </c>
      <c r="B5508" s="475" t="s">
        <v>5662</v>
      </c>
      <c r="C5508" s="475" t="s">
        <v>5692</v>
      </c>
      <c r="D5508" s="475" t="s">
        <v>5693</v>
      </c>
      <c r="E5508" s="476" t="s">
        <v>34</v>
      </c>
      <c r="F5508" s="475" t="s">
        <v>34</v>
      </c>
      <c r="G5508" s="364">
        <v>90954</v>
      </c>
      <c r="H5508" s="475" t="s">
        <v>4644</v>
      </c>
      <c r="I5508" s="475" t="s">
        <v>322</v>
      </c>
      <c r="J5508" s="475" t="s">
        <v>337</v>
      </c>
      <c r="K5508" s="365">
        <v>117.64</v>
      </c>
      <c r="L5508" s="475" t="s">
        <v>141</v>
      </c>
      <c r="M5508" s="473"/>
    </row>
    <row r="5509" spans="1:13" ht="13.5">
      <c r="A5509" s="475" t="s">
        <v>5661</v>
      </c>
      <c r="B5509" s="475" t="s">
        <v>5662</v>
      </c>
      <c r="C5509" s="475" t="s">
        <v>5692</v>
      </c>
      <c r="D5509" s="475" t="s">
        <v>5693</v>
      </c>
      <c r="E5509" s="476" t="s">
        <v>34</v>
      </c>
      <c r="F5509" s="475" t="s">
        <v>34</v>
      </c>
      <c r="G5509" s="364">
        <v>94438</v>
      </c>
      <c r="H5509" s="475" t="s">
        <v>4645</v>
      </c>
      <c r="I5509" s="475" t="s">
        <v>322</v>
      </c>
      <c r="J5509" s="475" t="s">
        <v>337</v>
      </c>
      <c r="K5509" s="365">
        <v>32.99</v>
      </c>
      <c r="L5509" s="475" t="s">
        <v>141</v>
      </c>
      <c r="M5509" s="473"/>
    </row>
    <row r="5510" spans="1:13" ht="13.5">
      <c r="A5510" s="475" t="s">
        <v>5661</v>
      </c>
      <c r="B5510" s="475" t="s">
        <v>5662</v>
      </c>
      <c r="C5510" s="475" t="s">
        <v>5692</v>
      </c>
      <c r="D5510" s="475" t="s">
        <v>5693</v>
      </c>
      <c r="E5510" s="476" t="s">
        <v>34</v>
      </c>
      <c r="F5510" s="475" t="s">
        <v>34</v>
      </c>
      <c r="G5510" s="364">
        <v>94439</v>
      </c>
      <c r="H5510" s="475" t="s">
        <v>4646</v>
      </c>
      <c r="I5510" s="475" t="s">
        <v>322</v>
      </c>
      <c r="J5510" s="475" t="s">
        <v>337</v>
      </c>
      <c r="K5510" s="365">
        <v>36.75</v>
      </c>
      <c r="L5510" s="475" t="s">
        <v>141</v>
      </c>
      <c r="M5510" s="473"/>
    </row>
    <row r="5511" spans="1:13" ht="13.5">
      <c r="A5511" s="475" t="s">
        <v>5661</v>
      </c>
      <c r="B5511" s="475" t="s">
        <v>5662</v>
      </c>
      <c r="C5511" s="475" t="s">
        <v>5692</v>
      </c>
      <c r="D5511" s="475" t="s">
        <v>5693</v>
      </c>
      <c r="E5511" s="476" t="s">
        <v>34</v>
      </c>
      <c r="F5511" s="475" t="s">
        <v>34</v>
      </c>
      <c r="G5511" s="364">
        <v>94779</v>
      </c>
      <c r="H5511" s="475" t="s">
        <v>4647</v>
      </c>
      <c r="I5511" s="475" t="s">
        <v>322</v>
      </c>
      <c r="J5511" s="475" t="s">
        <v>337</v>
      </c>
      <c r="K5511" s="365">
        <v>32.11</v>
      </c>
      <c r="L5511" s="475" t="s">
        <v>141</v>
      </c>
      <c r="M5511" s="473"/>
    </row>
    <row r="5512" spans="1:13" ht="13.5">
      <c r="A5512" s="475" t="s">
        <v>5661</v>
      </c>
      <c r="B5512" s="475" t="s">
        <v>5662</v>
      </c>
      <c r="C5512" s="475" t="s">
        <v>5692</v>
      </c>
      <c r="D5512" s="475" t="s">
        <v>5693</v>
      </c>
      <c r="E5512" s="476" t="s">
        <v>34</v>
      </c>
      <c r="F5512" s="475" t="s">
        <v>34</v>
      </c>
      <c r="G5512" s="364">
        <v>94782</v>
      </c>
      <c r="H5512" s="475" t="s">
        <v>4648</v>
      </c>
      <c r="I5512" s="475" t="s">
        <v>322</v>
      </c>
      <c r="J5512" s="475" t="s">
        <v>337</v>
      </c>
      <c r="K5512" s="365">
        <v>36.28</v>
      </c>
      <c r="L5512" s="475" t="s">
        <v>141</v>
      </c>
      <c r="M5512" s="473"/>
    </row>
    <row r="5513" spans="1:13" ht="13.5">
      <c r="A5513" s="475" t="s">
        <v>5661</v>
      </c>
      <c r="B5513" s="475" t="s">
        <v>5662</v>
      </c>
      <c r="C5513" s="475" t="s">
        <v>5694</v>
      </c>
      <c r="D5513" s="475" t="s">
        <v>5695</v>
      </c>
      <c r="E5513" s="476" t="s">
        <v>34</v>
      </c>
      <c r="F5513" s="475" t="s">
        <v>34</v>
      </c>
      <c r="G5513" s="364">
        <v>72190</v>
      </c>
      <c r="H5513" s="475" t="s">
        <v>4649</v>
      </c>
      <c r="I5513" s="475" t="s">
        <v>139</v>
      </c>
      <c r="J5513" s="475" t="s">
        <v>337</v>
      </c>
      <c r="K5513" s="365">
        <v>30.22</v>
      </c>
      <c r="L5513" s="475" t="s">
        <v>141</v>
      </c>
      <c r="M5513" s="473"/>
    </row>
    <row r="5514" spans="1:13" ht="13.5">
      <c r="A5514" s="475" t="s">
        <v>5696</v>
      </c>
      <c r="B5514" s="475" t="s">
        <v>5697</v>
      </c>
      <c r="C5514" s="475" t="s">
        <v>5698</v>
      </c>
      <c r="D5514" s="475" t="s">
        <v>5699</v>
      </c>
      <c r="E5514" s="476" t="s">
        <v>34</v>
      </c>
      <c r="F5514" s="475" t="s">
        <v>34</v>
      </c>
      <c r="G5514" s="364">
        <v>87871</v>
      </c>
      <c r="H5514" s="475" t="s">
        <v>4650</v>
      </c>
      <c r="I5514" s="475" t="s">
        <v>322</v>
      </c>
      <c r="J5514" s="475" t="s">
        <v>337</v>
      </c>
      <c r="K5514" s="365">
        <v>11.97</v>
      </c>
      <c r="L5514" s="475" t="s">
        <v>141</v>
      </c>
      <c r="M5514" s="473"/>
    </row>
    <row r="5515" spans="1:13" ht="13.5">
      <c r="A5515" s="475" t="s">
        <v>5696</v>
      </c>
      <c r="B5515" s="475" t="s">
        <v>5697</v>
      </c>
      <c r="C5515" s="475" t="s">
        <v>5698</v>
      </c>
      <c r="D5515" s="475" t="s">
        <v>5699</v>
      </c>
      <c r="E5515" s="476" t="s">
        <v>34</v>
      </c>
      <c r="F5515" s="475" t="s">
        <v>34</v>
      </c>
      <c r="G5515" s="364">
        <v>87872</v>
      </c>
      <c r="H5515" s="475" t="s">
        <v>4651</v>
      </c>
      <c r="I5515" s="475" t="s">
        <v>322</v>
      </c>
      <c r="J5515" s="475" t="s">
        <v>337</v>
      </c>
      <c r="K5515" s="365">
        <v>11.39</v>
      </c>
      <c r="L5515" s="475" t="s">
        <v>141</v>
      </c>
      <c r="M5515" s="473"/>
    </row>
    <row r="5516" spans="1:13" ht="13.5">
      <c r="A5516" s="475" t="s">
        <v>5696</v>
      </c>
      <c r="B5516" s="475" t="s">
        <v>5697</v>
      </c>
      <c r="C5516" s="475" t="s">
        <v>5698</v>
      </c>
      <c r="D5516" s="475" t="s">
        <v>5699</v>
      </c>
      <c r="E5516" s="476" t="s">
        <v>34</v>
      </c>
      <c r="F5516" s="475" t="s">
        <v>34</v>
      </c>
      <c r="G5516" s="364">
        <v>87873</v>
      </c>
      <c r="H5516" s="475" t="s">
        <v>4652</v>
      </c>
      <c r="I5516" s="475" t="s">
        <v>322</v>
      </c>
      <c r="J5516" s="475" t="s">
        <v>337</v>
      </c>
      <c r="K5516" s="365">
        <v>4.5599999999999996</v>
      </c>
      <c r="L5516" s="475" t="s">
        <v>141</v>
      </c>
      <c r="M5516" s="473"/>
    </row>
    <row r="5517" spans="1:13" ht="13.5">
      <c r="A5517" s="475" t="s">
        <v>5696</v>
      </c>
      <c r="B5517" s="475" t="s">
        <v>5697</v>
      </c>
      <c r="C5517" s="475" t="s">
        <v>5698</v>
      </c>
      <c r="D5517" s="475" t="s">
        <v>5699</v>
      </c>
      <c r="E5517" s="476" t="s">
        <v>34</v>
      </c>
      <c r="F5517" s="475" t="s">
        <v>34</v>
      </c>
      <c r="G5517" s="364">
        <v>87874</v>
      </c>
      <c r="H5517" s="475" t="s">
        <v>4653</v>
      </c>
      <c r="I5517" s="475" t="s">
        <v>322</v>
      </c>
      <c r="J5517" s="475" t="s">
        <v>337</v>
      </c>
      <c r="K5517" s="365">
        <v>4.45</v>
      </c>
      <c r="L5517" s="475" t="s">
        <v>141</v>
      </c>
      <c r="M5517" s="473"/>
    </row>
    <row r="5518" spans="1:13" ht="13.5">
      <c r="A5518" s="475" t="s">
        <v>5696</v>
      </c>
      <c r="B5518" s="475" t="s">
        <v>5697</v>
      </c>
      <c r="C5518" s="475" t="s">
        <v>5698</v>
      </c>
      <c r="D5518" s="475" t="s">
        <v>5699</v>
      </c>
      <c r="E5518" s="476" t="s">
        <v>34</v>
      </c>
      <c r="F5518" s="475" t="s">
        <v>34</v>
      </c>
      <c r="G5518" s="364">
        <v>87876</v>
      </c>
      <c r="H5518" s="475" t="s">
        <v>4654</v>
      </c>
      <c r="I5518" s="475" t="s">
        <v>322</v>
      </c>
      <c r="J5518" s="475" t="s">
        <v>337</v>
      </c>
      <c r="K5518" s="365">
        <v>6.15</v>
      </c>
      <c r="L5518" s="475" t="s">
        <v>141</v>
      </c>
      <c r="M5518" s="473"/>
    </row>
    <row r="5519" spans="1:13" ht="13.5">
      <c r="A5519" s="475" t="s">
        <v>5696</v>
      </c>
      <c r="B5519" s="475" t="s">
        <v>5697</v>
      </c>
      <c r="C5519" s="475" t="s">
        <v>5698</v>
      </c>
      <c r="D5519" s="475" t="s">
        <v>5699</v>
      </c>
      <c r="E5519" s="476" t="s">
        <v>34</v>
      </c>
      <c r="F5519" s="475" t="s">
        <v>34</v>
      </c>
      <c r="G5519" s="364">
        <v>87877</v>
      </c>
      <c r="H5519" s="475" t="s">
        <v>4655</v>
      </c>
      <c r="I5519" s="475" t="s">
        <v>322</v>
      </c>
      <c r="J5519" s="475" t="s">
        <v>337</v>
      </c>
      <c r="K5519" s="365">
        <v>5.89</v>
      </c>
      <c r="L5519" s="475" t="s">
        <v>141</v>
      </c>
      <c r="M5519" s="473"/>
    </row>
    <row r="5520" spans="1:13" ht="13.5">
      <c r="A5520" s="475" t="s">
        <v>5696</v>
      </c>
      <c r="B5520" s="475" t="s">
        <v>5697</v>
      </c>
      <c r="C5520" s="475" t="s">
        <v>5698</v>
      </c>
      <c r="D5520" s="475" t="s">
        <v>5699</v>
      </c>
      <c r="E5520" s="476" t="s">
        <v>34</v>
      </c>
      <c r="F5520" s="475" t="s">
        <v>34</v>
      </c>
      <c r="G5520" s="364">
        <v>87878</v>
      </c>
      <c r="H5520" s="475" t="s">
        <v>4656</v>
      </c>
      <c r="I5520" s="475" t="s">
        <v>322</v>
      </c>
      <c r="J5520" s="475" t="s">
        <v>337</v>
      </c>
      <c r="K5520" s="365">
        <v>3.3</v>
      </c>
      <c r="L5520" s="475" t="s">
        <v>141</v>
      </c>
      <c r="M5520" s="473"/>
    </row>
    <row r="5521" spans="1:13" ht="13.5">
      <c r="A5521" s="475" t="s">
        <v>5696</v>
      </c>
      <c r="B5521" s="475" t="s">
        <v>5697</v>
      </c>
      <c r="C5521" s="475" t="s">
        <v>5698</v>
      </c>
      <c r="D5521" s="475" t="s">
        <v>5699</v>
      </c>
      <c r="E5521" s="476" t="s">
        <v>34</v>
      </c>
      <c r="F5521" s="475" t="s">
        <v>34</v>
      </c>
      <c r="G5521" s="364">
        <v>87879</v>
      </c>
      <c r="H5521" s="475" t="s">
        <v>4657</v>
      </c>
      <c r="I5521" s="475" t="s">
        <v>322</v>
      </c>
      <c r="J5521" s="475" t="s">
        <v>337</v>
      </c>
      <c r="K5521" s="365">
        <v>2.92</v>
      </c>
      <c r="L5521" s="475" t="s">
        <v>141</v>
      </c>
      <c r="M5521" s="473"/>
    </row>
    <row r="5522" spans="1:13" ht="13.5">
      <c r="A5522" s="475" t="s">
        <v>5696</v>
      </c>
      <c r="B5522" s="475" t="s">
        <v>5697</v>
      </c>
      <c r="C5522" s="475" t="s">
        <v>5698</v>
      </c>
      <c r="D5522" s="475" t="s">
        <v>5699</v>
      </c>
      <c r="E5522" s="476" t="s">
        <v>34</v>
      </c>
      <c r="F5522" s="475" t="s">
        <v>34</v>
      </c>
      <c r="G5522" s="364">
        <v>87881</v>
      </c>
      <c r="H5522" s="475" t="s">
        <v>4658</v>
      </c>
      <c r="I5522" s="475" t="s">
        <v>322</v>
      </c>
      <c r="J5522" s="475" t="s">
        <v>337</v>
      </c>
      <c r="K5522" s="365">
        <v>4.4800000000000004</v>
      </c>
      <c r="L5522" s="475" t="s">
        <v>141</v>
      </c>
      <c r="M5522" s="473"/>
    </row>
    <row r="5523" spans="1:13" ht="13.5">
      <c r="A5523" s="475" t="s">
        <v>5696</v>
      </c>
      <c r="B5523" s="475" t="s">
        <v>5697</v>
      </c>
      <c r="C5523" s="475" t="s">
        <v>5698</v>
      </c>
      <c r="D5523" s="475" t="s">
        <v>5699</v>
      </c>
      <c r="E5523" s="476" t="s">
        <v>34</v>
      </c>
      <c r="F5523" s="475" t="s">
        <v>34</v>
      </c>
      <c r="G5523" s="364">
        <v>87882</v>
      </c>
      <c r="H5523" s="475" t="s">
        <v>4659</v>
      </c>
      <c r="I5523" s="475" t="s">
        <v>322</v>
      </c>
      <c r="J5523" s="475" t="s">
        <v>337</v>
      </c>
      <c r="K5523" s="365">
        <v>4.37</v>
      </c>
      <c r="L5523" s="475" t="s">
        <v>141</v>
      </c>
      <c r="M5523" s="473"/>
    </row>
    <row r="5524" spans="1:13" ht="13.5">
      <c r="A5524" s="475" t="s">
        <v>5696</v>
      </c>
      <c r="B5524" s="475" t="s">
        <v>5697</v>
      </c>
      <c r="C5524" s="475" t="s">
        <v>5698</v>
      </c>
      <c r="D5524" s="475" t="s">
        <v>5699</v>
      </c>
      <c r="E5524" s="476" t="s">
        <v>34</v>
      </c>
      <c r="F5524" s="475" t="s">
        <v>34</v>
      </c>
      <c r="G5524" s="364">
        <v>87884</v>
      </c>
      <c r="H5524" s="475" t="s">
        <v>4660</v>
      </c>
      <c r="I5524" s="475" t="s">
        <v>322</v>
      </c>
      <c r="J5524" s="475" t="s">
        <v>337</v>
      </c>
      <c r="K5524" s="365">
        <v>6.07</v>
      </c>
      <c r="L5524" s="475" t="s">
        <v>141</v>
      </c>
      <c r="M5524" s="473"/>
    </row>
    <row r="5525" spans="1:13" ht="13.5">
      <c r="A5525" s="475" t="s">
        <v>5696</v>
      </c>
      <c r="B5525" s="475" t="s">
        <v>5697</v>
      </c>
      <c r="C5525" s="475" t="s">
        <v>5698</v>
      </c>
      <c r="D5525" s="475" t="s">
        <v>5699</v>
      </c>
      <c r="E5525" s="476" t="s">
        <v>34</v>
      </c>
      <c r="F5525" s="475" t="s">
        <v>34</v>
      </c>
      <c r="G5525" s="364">
        <v>87885</v>
      </c>
      <c r="H5525" s="475" t="s">
        <v>4661</v>
      </c>
      <c r="I5525" s="475" t="s">
        <v>322</v>
      </c>
      <c r="J5525" s="475" t="s">
        <v>337</v>
      </c>
      <c r="K5525" s="365">
        <v>5.81</v>
      </c>
      <c r="L5525" s="475" t="s">
        <v>141</v>
      </c>
      <c r="M5525" s="473"/>
    </row>
    <row r="5526" spans="1:13" ht="13.5">
      <c r="A5526" s="475" t="s">
        <v>5696</v>
      </c>
      <c r="B5526" s="475" t="s">
        <v>5697</v>
      </c>
      <c r="C5526" s="475" t="s">
        <v>5698</v>
      </c>
      <c r="D5526" s="475" t="s">
        <v>5699</v>
      </c>
      <c r="E5526" s="476" t="s">
        <v>34</v>
      </c>
      <c r="F5526" s="475" t="s">
        <v>34</v>
      </c>
      <c r="G5526" s="364">
        <v>87886</v>
      </c>
      <c r="H5526" s="475" t="s">
        <v>4662</v>
      </c>
      <c r="I5526" s="475" t="s">
        <v>322</v>
      </c>
      <c r="J5526" s="475" t="s">
        <v>337</v>
      </c>
      <c r="K5526" s="365">
        <v>17</v>
      </c>
      <c r="L5526" s="475" t="s">
        <v>141</v>
      </c>
      <c r="M5526" s="473"/>
    </row>
    <row r="5527" spans="1:13" ht="13.5">
      <c r="A5527" s="475" t="s">
        <v>5696</v>
      </c>
      <c r="B5527" s="475" t="s">
        <v>5697</v>
      </c>
      <c r="C5527" s="475" t="s">
        <v>5698</v>
      </c>
      <c r="D5527" s="475" t="s">
        <v>5699</v>
      </c>
      <c r="E5527" s="476" t="s">
        <v>34</v>
      </c>
      <c r="F5527" s="475" t="s">
        <v>34</v>
      </c>
      <c r="G5527" s="364">
        <v>87887</v>
      </c>
      <c r="H5527" s="475" t="s">
        <v>4663</v>
      </c>
      <c r="I5527" s="475" t="s">
        <v>322</v>
      </c>
      <c r="J5527" s="475" t="s">
        <v>337</v>
      </c>
      <c r="K5527" s="365">
        <v>16.420000000000002</v>
      </c>
      <c r="L5527" s="475" t="s">
        <v>141</v>
      </c>
      <c r="M5527" s="473"/>
    </row>
    <row r="5528" spans="1:13" ht="13.5">
      <c r="A5528" s="475" t="s">
        <v>5696</v>
      </c>
      <c r="B5528" s="475" t="s">
        <v>5697</v>
      </c>
      <c r="C5528" s="475" t="s">
        <v>5698</v>
      </c>
      <c r="D5528" s="475" t="s">
        <v>5699</v>
      </c>
      <c r="E5528" s="476" t="s">
        <v>34</v>
      </c>
      <c r="F5528" s="475" t="s">
        <v>34</v>
      </c>
      <c r="G5528" s="364">
        <v>87888</v>
      </c>
      <c r="H5528" s="475" t="s">
        <v>4664</v>
      </c>
      <c r="I5528" s="475" t="s">
        <v>322</v>
      </c>
      <c r="J5528" s="475" t="s">
        <v>337</v>
      </c>
      <c r="K5528" s="365">
        <v>5.61</v>
      </c>
      <c r="L5528" s="475" t="s">
        <v>141</v>
      </c>
      <c r="M5528" s="473"/>
    </row>
    <row r="5529" spans="1:13" ht="13.5">
      <c r="A5529" s="475" t="s">
        <v>5696</v>
      </c>
      <c r="B5529" s="475" t="s">
        <v>5697</v>
      </c>
      <c r="C5529" s="475" t="s">
        <v>5698</v>
      </c>
      <c r="D5529" s="475" t="s">
        <v>5699</v>
      </c>
      <c r="E5529" s="476" t="s">
        <v>34</v>
      </c>
      <c r="F5529" s="475" t="s">
        <v>34</v>
      </c>
      <c r="G5529" s="364">
        <v>87889</v>
      </c>
      <c r="H5529" s="475" t="s">
        <v>4665</v>
      </c>
      <c r="I5529" s="475" t="s">
        <v>322</v>
      </c>
      <c r="J5529" s="475" t="s">
        <v>337</v>
      </c>
      <c r="K5529" s="365">
        <v>5.5</v>
      </c>
      <c r="L5529" s="475" t="s">
        <v>141</v>
      </c>
      <c r="M5529" s="473"/>
    </row>
    <row r="5530" spans="1:13" ht="13.5">
      <c r="A5530" s="475" t="s">
        <v>5696</v>
      </c>
      <c r="B5530" s="475" t="s">
        <v>5697</v>
      </c>
      <c r="C5530" s="475" t="s">
        <v>5698</v>
      </c>
      <c r="D5530" s="475" t="s">
        <v>5699</v>
      </c>
      <c r="E5530" s="476" t="s">
        <v>34</v>
      </c>
      <c r="F5530" s="475" t="s">
        <v>34</v>
      </c>
      <c r="G5530" s="364">
        <v>87891</v>
      </c>
      <c r="H5530" s="475" t="s">
        <v>4666</v>
      </c>
      <c r="I5530" s="475" t="s">
        <v>322</v>
      </c>
      <c r="J5530" s="475" t="s">
        <v>337</v>
      </c>
      <c r="K5530" s="365">
        <v>7.2</v>
      </c>
      <c r="L5530" s="475" t="s">
        <v>141</v>
      </c>
      <c r="M5530" s="473"/>
    </row>
    <row r="5531" spans="1:13" ht="13.5">
      <c r="A5531" s="475" t="s">
        <v>5696</v>
      </c>
      <c r="B5531" s="475" t="s">
        <v>5697</v>
      </c>
      <c r="C5531" s="475" t="s">
        <v>5698</v>
      </c>
      <c r="D5531" s="475" t="s">
        <v>5699</v>
      </c>
      <c r="E5531" s="476" t="s">
        <v>34</v>
      </c>
      <c r="F5531" s="475" t="s">
        <v>34</v>
      </c>
      <c r="G5531" s="364">
        <v>87892</v>
      </c>
      <c r="H5531" s="475" t="s">
        <v>4667</v>
      </c>
      <c r="I5531" s="475" t="s">
        <v>322</v>
      </c>
      <c r="J5531" s="475" t="s">
        <v>337</v>
      </c>
      <c r="K5531" s="365">
        <v>6.94</v>
      </c>
      <c r="L5531" s="475" t="s">
        <v>141</v>
      </c>
      <c r="M5531" s="473"/>
    </row>
    <row r="5532" spans="1:13" ht="13.5">
      <c r="A5532" s="475" t="s">
        <v>5696</v>
      </c>
      <c r="B5532" s="475" t="s">
        <v>5697</v>
      </c>
      <c r="C5532" s="475" t="s">
        <v>5698</v>
      </c>
      <c r="D5532" s="475" t="s">
        <v>5699</v>
      </c>
      <c r="E5532" s="476" t="s">
        <v>34</v>
      </c>
      <c r="F5532" s="475" t="s">
        <v>34</v>
      </c>
      <c r="G5532" s="364">
        <v>87893</v>
      </c>
      <c r="H5532" s="475" t="s">
        <v>4668</v>
      </c>
      <c r="I5532" s="475" t="s">
        <v>322</v>
      </c>
      <c r="J5532" s="475" t="s">
        <v>337</v>
      </c>
      <c r="K5532" s="365">
        <v>5.13</v>
      </c>
      <c r="L5532" s="475" t="s">
        <v>141</v>
      </c>
      <c r="M5532" s="473"/>
    </row>
    <row r="5533" spans="1:13" ht="13.5">
      <c r="A5533" s="475" t="s">
        <v>5696</v>
      </c>
      <c r="B5533" s="475" t="s">
        <v>5697</v>
      </c>
      <c r="C5533" s="475" t="s">
        <v>5698</v>
      </c>
      <c r="D5533" s="475" t="s">
        <v>5699</v>
      </c>
      <c r="E5533" s="476" t="s">
        <v>34</v>
      </c>
      <c r="F5533" s="475" t="s">
        <v>34</v>
      </c>
      <c r="G5533" s="364">
        <v>87894</v>
      </c>
      <c r="H5533" s="475" t="s">
        <v>4669</v>
      </c>
      <c r="I5533" s="475" t="s">
        <v>322</v>
      </c>
      <c r="J5533" s="475" t="s">
        <v>337</v>
      </c>
      <c r="K5533" s="365">
        <v>4.75</v>
      </c>
      <c r="L5533" s="475" t="s">
        <v>141</v>
      </c>
      <c r="M5533" s="473"/>
    </row>
    <row r="5534" spans="1:13" ht="13.5">
      <c r="A5534" s="475" t="s">
        <v>5696</v>
      </c>
      <c r="B5534" s="475" t="s">
        <v>5697</v>
      </c>
      <c r="C5534" s="475" t="s">
        <v>5698</v>
      </c>
      <c r="D5534" s="475" t="s">
        <v>5699</v>
      </c>
      <c r="E5534" s="476" t="s">
        <v>34</v>
      </c>
      <c r="F5534" s="475" t="s">
        <v>34</v>
      </c>
      <c r="G5534" s="364">
        <v>87896</v>
      </c>
      <c r="H5534" s="475" t="s">
        <v>4670</v>
      </c>
      <c r="I5534" s="475" t="s">
        <v>322</v>
      </c>
      <c r="J5534" s="475" t="s">
        <v>140</v>
      </c>
      <c r="K5534" s="365">
        <v>4.66</v>
      </c>
      <c r="L5534" s="475" t="s">
        <v>141</v>
      </c>
      <c r="M5534" s="473"/>
    </row>
    <row r="5535" spans="1:13" ht="13.5">
      <c r="A5535" s="475" t="s">
        <v>5696</v>
      </c>
      <c r="B5535" s="475" t="s">
        <v>5697</v>
      </c>
      <c r="C5535" s="475" t="s">
        <v>5698</v>
      </c>
      <c r="D5535" s="475" t="s">
        <v>5699</v>
      </c>
      <c r="E5535" s="476" t="s">
        <v>34</v>
      </c>
      <c r="F5535" s="475" t="s">
        <v>34</v>
      </c>
      <c r="G5535" s="364">
        <v>87897</v>
      </c>
      <c r="H5535" s="475" t="s">
        <v>4671</v>
      </c>
      <c r="I5535" s="475" t="s">
        <v>322</v>
      </c>
      <c r="J5535" s="475" t="s">
        <v>140</v>
      </c>
      <c r="K5535" s="365">
        <v>4.28</v>
      </c>
      <c r="L5535" s="475" t="s">
        <v>141</v>
      </c>
      <c r="M5535" s="473"/>
    </row>
    <row r="5536" spans="1:13" ht="13.5">
      <c r="A5536" s="475" t="s">
        <v>5696</v>
      </c>
      <c r="B5536" s="475" t="s">
        <v>5697</v>
      </c>
      <c r="C5536" s="475" t="s">
        <v>5698</v>
      </c>
      <c r="D5536" s="475" t="s">
        <v>5699</v>
      </c>
      <c r="E5536" s="476" t="s">
        <v>34</v>
      </c>
      <c r="F5536" s="475" t="s">
        <v>34</v>
      </c>
      <c r="G5536" s="364">
        <v>87899</v>
      </c>
      <c r="H5536" s="475" t="s">
        <v>4672</v>
      </c>
      <c r="I5536" s="475" t="s">
        <v>322</v>
      </c>
      <c r="J5536" s="475" t="s">
        <v>337</v>
      </c>
      <c r="K5536" s="365">
        <v>6.55</v>
      </c>
      <c r="L5536" s="475" t="s">
        <v>141</v>
      </c>
      <c r="M5536" s="473"/>
    </row>
    <row r="5537" spans="1:13" ht="13.5">
      <c r="A5537" s="475" t="s">
        <v>5696</v>
      </c>
      <c r="B5537" s="475" t="s">
        <v>5697</v>
      </c>
      <c r="C5537" s="475" t="s">
        <v>5698</v>
      </c>
      <c r="D5537" s="475" t="s">
        <v>5699</v>
      </c>
      <c r="E5537" s="476" t="s">
        <v>34</v>
      </c>
      <c r="F5537" s="475" t="s">
        <v>34</v>
      </c>
      <c r="G5537" s="364">
        <v>87900</v>
      </c>
      <c r="H5537" s="475" t="s">
        <v>4673</v>
      </c>
      <c r="I5537" s="475" t="s">
        <v>322</v>
      </c>
      <c r="J5537" s="475" t="s">
        <v>337</v>
      </c>
      <c r="K5537" s="365">
        <v>6.44</v>
      </c>
      <c r="L5537" s="475" t="s">
        <v>141</v>
      </c>
      <c r="M5537" s="473"/>
    </row>
    <row r="5538" spans="1:13" ht="13.5">
      <c r="A5538" s="475" t="s">
        <v>5696</v>
      </c>
      <c r="B5538" s="475" t="s">
        <v>5697</v>
      </c>
      <c r="C5538" s="475" t="s">
        <v>5698</v>
      </c>
      <c r="D5538" s="475" t="s">
        <v>5699</v>
      </c>
      <c r="E5538" s="476" t="s">
        <v>34</v>
      </c>
      <c r="F5538" s="475" t="s">
        <v>34</v>
      </c>
      <c r="G5538" s="364">
        <v>87902</v>
      </c>
      <c r="H5538" s="475" t="s">
        <v>4674</v>
      </c>
      <c r="I5538" s="475" t="s">
        <v>322</v>
      </c>
      <c r="J5538" s="475" t="s">
        <v>337</v>
      </c>
      <c r="K5538" s="365">
        <v>8.14</v>
      </c>
      <c r="L5538" s="475" t="s">
        <v>141</v>
      </c>
      <c r="M5538" s="473"/>
    </row>
    <row r="5539" spans="1:13" ht="13.5">
      <c r="A5539" s="475" t="s">
        <v>5696</v>
      </c>
      <c r="B5539" s="475" t="s">
        <v>5697</v>
      </c>
      <c r="C5539" s="475" t="s">
        <v>5698</v>
      </c>
      <c r="D5539" s="475" t="s">
        <v>5699</v>
      </c>
      <c r="E5539" s="476" t="s">
        <v>34</v>
      </c>
      <c r="F5539" s="475" t="s">
        <v>34</v>
      </c>
      <c r="G5539" s="364">
        <v>87903</v>
      </c>
      <c r="H5539" s="475" t="s">
        <v>4675</v>
      </c>
      <c r="I5539" s="475" t="s">
        <v>322</v>
      </c>
      <c r="J5539" s="475" t="s">
        <v>337</v>
      </c>
      <c r="K5539" s="365">
        <v>7.88</v>
      </c>
      <c r="L5539" s="475" t="s">
        <v>141</v>
      </c>
      <c r="M5539" s="473"/>
    </row>
    <row r="5540" spans="1:13" ht="13.5">
      <c r="A5540" s="475" t="s">
        <v>5696</v>
      </c>
      <c r="B5540" s="475" t="s">
        <v>5697</v>
      </c>
      <c r="C5540" s="475" t="s">
        <v>5698</v>
      </c>
      <c r="D5540" s="475" t="s">
        <v>5699</v>
      </c>
      <c r="E5540" s="476" t="s">
        <v>34</v>
      </c>
      <c r="F5540" s="475" t="s">
        <v>34</v>
      </c>
      <c r="G5540" s="364">
        <v>87904</v>
      </c>
      <c r="H5540" s="475" t="s">
        <v>4676</v>
      </c>
      <c r="I5540" s="475" t="s">
        <v>322</v>
      </c>
      <c r="J5540" s="475" t="s">
        <v>337</v>
      </c>
      <c r="K5540" s="365">
        <v>6.68</v>
      </c>
      <c r="L5540" s="475" t="s">
        <v>141</v>
      </c>
      <c r="M5540" s="473"/>
    </row>
    <row r="5541" spans="1:13" ht="13.5">
      <c r="A5541" s="475" t="s">
        <v>5696</v>
      </c>
      <c r="B5541" s="475" t="s">
        <v>5697</v>
      </c>
      <c r="C5541" s="475" t="s">
        <v>5698</v>
      </c>
      <c r="D5541" s="475" t="s">
        <v>5699</v>
      </c>
      <c r="E5541" s="476" t="s">
        <v>34</v>
      </c>
      <c r="F5541" s="475" t="s">
        <v>34</v>
      </c>
      <c r="G5541" s="364">
        <v>87905</v>
      </c>
      <c r="H5541" s="475" t="s">
        <v>4677</v>
      </c>
      <c r="I5541" s="475" t="s">
        <v>322</v>
      </c>
      <c r="J5541" s="475" t="s">
        <v>337</v>
      </c>
      <c r="K5541" s="365">
        <v>6.3</v>
      </c>
      <c r="L5541" s="475" t="s">
        <v>141</v>
      </c>
      <c r="M5541" s="473"/>
    </row>
    <row r="5542" spans="1:13" ht="13.5">
      <c r="A5542" s="475" t="s">
        <v>5696</v>
      </c>
      <c r="B5542" s="475" t="s">
        <v>5697</v>
      </c>
      <c r="C5542" s="475" t="s">
        <v>5698</v>
      </c>
      <c r="D5542" s="475" t="s">
        <v>5699</v>
      </c>
      <c r="E5542" s="476" t="s">
        <v>34</v>
      </c>
      <c r="F5542" s="475" t="s">
        <v>34</v>
      </c>
      <c r="G5542" s="364">
        <v>87907</v>
      </c>
      <c r="H5542" s="475" t="s">
        <v>4678</v>
      </c>
      <c r="I5542" s="475" t="s">
        <v>322</v>
      </c>
      <c r="J5542" s="475" t="s">
        <v>140</v>
      </c>
      <c r="K5542" s="365">
        <v>6.02</v>
      </c>
      <c r="L5542" s="475" t="s">
        <v>141</v>
      </c>
      <c r="M5542" s="473"/>
    </row>
    <row r="5543" spans="1:13" ht="13.5">
      <c r="A5543" s="475" t="s">
        <v>5696</v>
      </c>
      <c r="B5543" s="475" t="s">
        <v>5697</v>
      </c>
      <c r="C5543" s="475" t="s">
        <v>5698</v>
      </c>
      <c r="D5543" s="475" t="s">
        <v>5699</v>
      </c>
      <c r="E5543" s="476" t="s">
        <v>34</v>
      </c>
      <c r="F5543" s="475" t="s">
        <v>34</v>
      </c>
      <c r="G5543" s="364">
        <v>87908</v>
      </c>
      <c r="H5543" s="475" t="s">
        <v>4679</v>
      </c>
      <c r="I5543" s="475" t="s">
        <v>322</v>
      </c>
      <c r="J5543" s="475" t="s">
        <v>140</v>
      </c>
      <c r="K5543" s="365">
        <v>5.64</v>
      </c>
      <c r="L5543" s="475" t="s">
        <v>141</v>
      </c>
      <c r="M5543" s="473"/>
    </row>
    <row r="5544" spans="1:13" ht="13.5">
      <c r="A5544" s="475" t="s">
        <v>5696</v>
      </c>
      <c r="B5544" s="475" t="s">
        <v>5697</v>
      </c>
      <c r="C5544" s="475" t="s">
        <v>5698</v>
      </c>
      <c r="D5544" s="475" t="s">
        <v>5699</v>
      </c>
      <c r="E5544" s="476" t="s">
        <v>34</v>
      </c>
      <c r="F5544" s="475" t="s">
        <v>34</v>
      </c>
      <c r="G5544" s="364">
        <v>87910</v>
      </c>
      <c r="H5544" s="475" t="s">
        <v>4680</v>
      </c>
      <c r="I5544" s="475" t="s">
        <v>322</v>
      </c>
      <c r="J5544" s="475" t="s">
        <v>337</v>
      </c>
      <c r="K5544" s="365">
        <v>16.77</v>
      </c>
      <c r="L5544" s="475" t="s">
        <v>141</v>
      </c>
      <c r="M5544" s="473"/>
    </row>
    <row r="5545" spans="1:13" ht="13.5">
      <c r="A5545" s="475" t="s">
        <v>5696</v>
      </c>
      <c r="B5545" s="475" t="s">
        <v>5697</v>
      </c>
      <c r="C5545" s="475" t="s">
        <v>5698</v>
      </c>
      <c r="D5545" s="475" t="s">
        <v>5699</v>
      </c>
      <c r="E5545" s="476" t="s">
        <v>34</v>
      </c>
      <c r="F5545" s="475" t="s">
        <v>34</v>
      </c>
      <c r="G5545" s="364">
        <v>87911</v>
      </c>
      <c r="H5545" s="475" t="s">
        <v>4681</v>
      </c>
      <c r="I5545" s="475" t="s">
        <v>322</v>
      </c>
      <c r="J5545" s="475" t="s">
        <v>337</v>
      </c>
      <c r="K5545" s="365">
        <v>16.190000000000001</v>
      </c>
      <c r="L5545" s="475" t="s">
        <v>141</v>
      </c>
      <c r="M5545" s="473"/>
    </row>
    <row r="5546" spans="1:13" ht="13.5">
      <c r="A5546" s="475" t="s">
        <v>5696</v>
      </c>
      <c r="B5546" s="475" t="s">
        <v>5697</v>
      </c>
      <c r="C5546" s="475" t="s">
        <v>5700</v>
      </c>
      <c r="D5546" s="475" t="s">
        <v>5701</v>
      </c>
      <c r="E5546" s="476" t="s">
        <v>34</v>
      </c>
      <c r="F5546" s="475" t="s">
        <v>34</v>
      </c>
      <c r="G5546" s="364">
        <v>5991</v>
      </c>
      <c r="H5546" s="475" t="s">
        <v>4682</v>
      </c>
      <c r="I5546" s="475" t="s">
        <v>322</v>
      </c>
      <c r="J5546" s="475" t="s">
        <v>337</v>
      </c>
      <c r="K5546" s="365">
        <v>39.770000000000003</v>
      </c>
      <c r="L5546" s="475" t="s">
        <v>141</v>
      </c>
      <c r="M5546" s="473"/>
    </row>
    <row r="5547" spans="1:13" ht="13.5">
      <c r="A5547" s="475" t="s">
        <v>5696</v>
      </c>
      <c r="B5547" s="475" t="s">
        <v>5697</v>
      </c>
      <c r="C5547" s="475" t="s">
        <v>5700</v>
      </c>
      <c r="D5547" s="475" t="s">
        <v>5701</v>
      </c>
      <c r="E5547" s="476" t="s">
        <v>34</v>
      </c>
      <c r="F5547" s="475" t="s">
        <v>34</v>
      </c>
      <c r="G5547" s="364">
        <v>84023</v>
      </c>
      <c r="H5547" s="475" t="s">
        <v>4683</v>
      </c>
      <c r="I5547" s="475" t="s">
        <v>322</v>
      </c>
      <c r="J5547" s="475" t="s">
        <v>337</v>
      </c>
      <c r="K5547" s="365">
        <v>36.74</v>
      </c>
      <c r="L5547" s="475" t="s">
        <v>141</v>
      </c>
      <c r="M5547" s="473"/>
    </row>
    <row r="5548" spans="1:13" ht="13.5">
      <c r="A5548" s="475" t="s">
        <v>5696</v>
      </c>
      <c r="B5548" s="475" t="s">
        <v>5697</v>
      </c>
      <c r="C5548" s="475" t="s">
        <v>5700</v>
      </c>
      <c r="D5548" s="475" t="s">
        <v>5701</v>
      </c>
      <c r="E5548" s="476" t="s">
        <v>34</v>
      </c>
      <c r="F5548" s="475" t="s">
        <v>34</v>
      </c>
      <c r="G5548" s="364">
        <v>84024</v>
      </c>
      <c r="H5548" s="475" t="s">
        <v>4684</v>
      </c>
      <c r="I5548" s="475" t="s">
        <v>322</v>
      </c>
      <c r="J5548" s="475" t="s">
        <v>337</v>
      </c>
      <c r="K5548" s="365">
        <v>34.72</v>
      </c>
      <c r="L5548" s="475" t="s">
        <v>141</v>
      </c>
      <c r="M5548" s="473"/>
    </row>
    <row r="5549" spans="1:13" ht="13.5">
      <c r="A5549" s="475" t="s">
        <v>5696</v>
      </c>
      <c r="B5549" s="475" t="s">
        <v>5697</v>
      </c>
      <c r="C5549" s="475" t="s">
        <v>5700</v>
      </c>
      <c r="D5549" s="475" t="s">
        <v>5701</v>
      </c>
      <c r="E5549" s="476" t="s">
        <v>34</v>
      </c>
      <c r="F5549" s="475" t="s">
        <v>34</v>
      </c>
      <c r="G5549" s="364">
        <v>84026</v>
      </c>
      <c r="H5549" s="475" t="s">
        <v>4685</v>
      </c>
      <c r="I5549" s="475" t="s">
        <v>322</v>
      </c>
      <c r="J5549" s="475" t="s">
        <v>337</v>
      </c>
      <c r="K5549" s="365">
        <v>43.59</v>
      </c>
      <c r="L5549" s="475" t="s">
        <v>141</v>
      </c>
      <c r="M5549" s="473"/>
    </row>
    <row r="5550" spans="1:13" ht="13.5">
      <c r="A5550" s="475" t="s">
        <v>5696</v>
      </c>
      <c r="B5550" s="475" t="s">
        <v>5697</v>
      </c>
      <c r="C5550" s="475" t="s">
        <v>5700</v>
      </c>
      <c r="D5550" s="475" t="s">
        <v>5701</v>
      </c>
      <c r="E5550" s="476" t="s">
        <v>34</v>
      </c>
      <c r="F5550" s="475" t="s">
        <v>34</v>
      </c>
      <c r="G5550" s="364">
        <v>84027</v>
      </c>
      <c r="H5550" s="475" t="s">
        <v>4686</v>
      </c>
      <c r="I5550" s="475" t="s">
        <v>322</v>
      </c>
      <c r="J5550" s="475" t="s">
        <v>337</v>
      </c>
      <c r="K5550" s="365">
        <v>29.32</v>
      </c>
      <c r="L5550" s="475" t="s">
        <v>141</v>
      </c>
      <c r="M5550" s="473"/>
    </row>
    <row r="5551" spans="1:13" ht="13.5">
      <c r="A5551" s="475" t="s">
        <v>5696</v>
      </c>
      <c r="B5551" s="475" t="s">
        <v>5697</v>
      </c>
      <c r="C5551" s="475" t="s">
        <v>5700</v>
      </c>
      <c r="D5551" s="475" t="s">
        <v>5701</v>
      </c>
      <c r="E5551" s="476" t="s">
        <v>34</v>
      </c>
      <c r="F5551" s="475" t="s">
        <v>34</v>
      </c>
      <c r="G5551" s="364">
        <v>84028</v>
      </c>
      <c r="H5551" s="475" t="s">
        <v>4687</v>
      </c>
      <c r="I5551" s="475" t="s">
        <v>322</v>
      </c>
      <c r="J5551" s="475" t="s">
        <v>337</v>
      </c>
      <c r="K5551" s="365">
        <v>48.61</v>
      </c>
      <c r="L5551" s="475" t="s">
        <v>141</v>
      </c>
      <c r="M5551" s="473"/>
    </row>
    <row r="5552" spans="1:13" ht="13.5">
      <c r="A5552" s="475" t="s">
        <v>5696</v>
      </c>
      <c r="B5552" s="475" t="s">
        <v>5697</v>
      </c>
      <c r="C5552" s="475" t="s">
        <v>5700</v>
      </c>
      <c r="D5552" s="475" t="s">
        <v>5701</v>
      </c>
      <c r="E5552" s="476" t="s">
        <v>34</v>
      </c>
      <c r="F5552" s="475" t="s">
        <v>34</v>
      </c>
      <c r="G5552" s="364">
        <v>84072</v>
      </c>
      <c r="H5552" s="475" t="s">
        <v>4688</v>
      </c>
      <c r="I5552" s="475" t="s">
        <v>322</v>
      </c>
      <c r="J5552" s="475" t="s">
        <v>337</v>
      </c>
      <c r="K5552" s="365">
        <v>29.76</v>
      </c>
      <c r="L5552" s="475" t="s">
        <v>141</v>
      </c>
      <c r="M5552" s="473"/>
    </row>
    <row r="5553" spans="1:13" ht="13.5">
      <c r="A5553" s="475" t="s">
        <v>5696</v>
      </c>
      <c r="B5553" s="475" t="s">
        <v>5697</v>
      </c>
      <c r="C5553" s="475" t="s">
        <v>5700</v>
      </c>
      <c r="D5553" s="475" t="s">
        <v>5701</v>
      </c>
      <c r="E5553" s="476" t="s">
        <v>34</v>
      </c>
      <c r="F5553" s="475" t="s">
        <v>34</v>
      </c>
      <c r="G5553" s="364">
        <v>87411</v>
      </c>
      <c r="H5553" s="475" t="s">
        <v>4689</v>
      </c>
      <c r="I5553" s="475" t="s">
        <v>322</v>
      </c>
      <c r="J5553" s="475" t="s">
        <v>337</v>
      </c>
      <c r="K5553" s="365">
        <v>12.48</v>
      </c>
      <c r="L5553" s="475" t="s">
        <v>141</v>
      </c>
      <c r="M5553" s="473"/>
    </row>
    <row r="5554" spans="1:13" ht="13.5">
      <c r="A5554" s="475" t="s">
        <v>5696</v>
      </c>
      <c r="B5554" s="475" t="s">
        <v>5697</v>
      </c>
      <c r="C5554" s="475" t="s">
        <v>5700</v>
      </c>
      <c r="D5554" s="475" t="s">
        <v>5701</v>
      </c>
      <c r="E5554" s="476" t="s">
        <v>34</v>
      </c>
      <c r="F5554" s="475" t="s">
        <v>34</v>
      </c>
      <c r="G5554" s="364">
        <v>87412</v>
      </c>
      <c r="H5554" s="475" t="s">
        <v>4690</v>
      </c>
      <c r="I5554" s="475" t="s">
        <v>322</v>
      </c>
      <c r="J5554" s="475" t="s">
        <v>337</v>
      </c>
      <c r="K5554" s="365">
        <v>17.600000000000001</v>
      </c>
      <c r="L5554" s="475" t="s">
        <v>141</v>
      </c>
      <c r="M5554" s="473"/>
    </row>
    <row r="5555" spans="1:13" ht="13.5">
      <c r="A5555" s="475" t="s">
        <v>5696</v>
      </c>
      <c r="B5555" s="475" t="s">
        <v>5697</v>
      </c>
      <c r="C5555" s="475" t="s">
        <v>5700</v>
      </c>
      <c r="D5555" s="475" t="s">
        <v>5701</v>
      </c>
      <c r="E5555" s="476" t="s">
        <v>34</v>
      </c>
      <c r="F5555" s="475" t="s">
        <v>34</v>
      </c>
      <c r="G5555" s="364">
        <v>87413</v>
      </c>
      <c r="H5555" s="475" t="s">
        <v>4691</v>
      </c>
      <c r="I5555" s="475" t="s">
        <v>322</v>
      </c>
      <c r="J5555" s="475" t="s">
        <v>337</v>
      </c>
      <c r="K5555" s="365">
        <v>20.53</v>
      </c>
      <c r="L5555" s="475" t="s">
        <v>141</v>
      </c>
      <c r="M5555" s="473"/>
    </row>
    <row r="5556" spans="1:13" ht="13.5">
      <c r="A5556" s="475" t="s">
        <v>5696</v>
      </c>
      <c r="B5556" s="475" t="s">
        <v>5697</v>
      </c>
      <c r="C5556" s="475" t="s">
        <v>5700</v>
      </c>
      <c r="D5556" s="475" t="s">
        <v>5701</v>
      </c>
      <c r="E5556" s="476" t="s">
        <v>34</v>
      </c>
      <c r="F5556" s="475" t="s">
        <v>34</v>
      </c>
      <c r="G5556" s="364">
        <v>87414</v>
      </c>
      <c r="H5556" s="475" t="s">
        <v>4692</v>
      </c>
      <c r="I5556" s="475" t="s">
        <v>322</v>
      </c>
      <c r="J5556" s="475" t="s">
        <v>337</v>
      </c>
      <c r="K5556" s="365">
        <v>18.66</v>
      </c>
      <c r="L5556" s="475" t="s">
        <v>141</v>
      </c>
      <c r="M5556" s="473"/>
    </row>
    <row r="5557" spans="1:13" ht="13.5">
      <c r="A5557" s="475" t="s">
        <v>5696</v>
      </c>
      <c r="B5557" s="475" t="s">
        <v>5697</v>
      </c>
      <c r="C5557" s="475" t="s">
        <v>5700</v>
      </c>
      <c r="D5557" s="475" t="s">
        <v>5701</v>
      </c>
      <c r="E5557" s="476" t="s">
        <v>34</v>
      </c>
      <c r="F5557" s="475" t="s">
        <v>34</v>
      </c>
      <c r="G5557" s="364">
        <v>87415</v>
      </c>
      <c r="H5557" s="475" t="s">
        <v>4693</v>
      </c>
      <c r="I5557" s="475" t="s">
        <v>322</v>
      </c>
      <c r="J5557" s="475" t="s">
        <v>337</v>
      </c>
      <c r="K5557" s="365">
        <v>23.65</v>
      </c>
      <c r="L5557" s="475" t="s">
        <v>141</v>
      </c>
      <c r="M5557" s="473"/>
    </row>
    <row r="5558" spans="1:13" ht="13.5">
      <c r="A5558" s="475" t="s">
        <v>5696</v>
      </c>
      <c r="B5558" s="475" t="s">
        <v>5697</v>
      </c>
      <c r="C5558" s="475" t="s">
        <v>5700</v>
      </c>
      <c r="D5558" s="475" t="s">
        <v>5701</v>
      </c>
      <c r="E5558" s="476" t="s">
        <v>34</v>
      </c>
      <c r="F5558" s="475" t="s">
        <v>34</v>
      </c>
      <c r="G5558" s="364">
        <v>87416</v>
      </c>
      <c r="H5558" s="475" t="s">
        <v>4694</v>
      </c>
      <c r="I5558" s="475" t="s">
        <v>322</v>
      </c>
      <c r="J5558" s="475" t="s">
        <v>337</v>
      </c>
      <c r="K5558" s="365">
        <v>26.76</v>
      </c>
      <c r="L5558" s="475" t="s">
        <v>141</v>
      </c>
      <c r="M5558" s="473"/>
    </row>
    <row r="5559" spans="1:13" ht="13.5">
      <c r="A5559" s="475" t="s">
        <v>5696</v>
      </c>
      <c r="B5559" s="475" t="s">
        <v>5697</v>
      </c>
      <c r="C5559" s="475" t="s">
        <v>5700</v>
      </c>
      <c r="D5559" s="475" t="s">
        <v>5701</v>
      </c>
      <c r="E5559" s="476" t="s">
        <v>34</v>
      </c>
      <c r="F5559" s="475" t="s">
        <v>34</v>
      </c>
      <c r="G5559" s="364">
        <v>87417</v>
      </c>
      <c r="H5559" s="475" t="s">
        <v>4695</v>
      </c>
      <c r="I5559" s="475" t="s">
        <v>322</v>
      </c>
      <c r="J5559" s="475" t="s">
        <v>337</v>
      </c>
      <c r="K5559" s="365">
        <v>13.2</v>
      </c>
      <c r="L5559" s="475" t="s">
        <v>141</v>
      </c>
      <c r="M5559" s="473"/>
    </row>
    <row r="5560" spans="1:13" ht="13.5">
      <c r="A5560" s="475" t="s">
        <v>5696</v>
      </c>
      <c r="B5560" s="475" t="s">
        <v>5697</v>
      </c>
      <c r="C5560" s="475" t="s">
        <v>5700</v>
      </c>
      <c r="D5560" s="475" t="s">
        <v>5701</v>
      </c>
      <c r="E5560" s="476" t="s">
        <v>34</v>
      </c>
      <c r="F5560" s="475" t="s">
        <v>34</v>
      </c>
      <c r="G5560" s="364">
        <v>87418</v>
      </c>
      <c r="H5560" s="475" t="s">
        <v>4696</v>
      </c>
      <c r="I5560" s="475" t="s">
        <v>322</v>
      </c>
      <c r="J5560" s="475" t="s">
        <v>337</v>
      </c>
      <c r="K5560" s="365">
        <v>13.58</v>
      </c>
      <c r="L5560" s="475" t="s">
        <v>141</v>
      </c>
      <c r="M5560" s="473"/>
    </row>
    <row r="5561" spans="1:13" ht="13.5">
      <c r="A5561" s="475" t="s">
        <v>5696</v>
      </c>
      <c r="B5561" s="475" t="s">
        <v>5697</v>
      </c>
      <c r="C5561" s="475" t="s">
        <v>5700</v>
      </c>
      <c r="D5561" s="475" t="s">
        <v>5701</v>
      </c>
      <c r="E5561" s="476" t="s">
        <v>34</v>
      </c>
      <c r="F5561" s="475" t="s">
        <v>34</v>
      </c>
      <c r="G5561" s="364">
        <v>87419</v>
      </c>
      <c r="H5561" s="475" t="s">
        <v>4697</v>
      </c>
      <c r="I5561" s="475" t="s">
        <v>322</v>
      </c>
      <c r="J5561" s="475" t="s">
        <v>337</v>
      </c>
      <c r="K5561" s="365">
        <v>14.68</v>
      </c>
      <c r="L5561" s="475" t="s">
        <v>141</v>
      </c>
      <c r="M5561" s="473"/>
    </row>
    <row r="5562" spans="1:13" ht="13.5">
      <c r="A5562" s="475" t="s">
        <v>5696</v>
      </c>
      <c r="B5562" s="475" t="s">
        <v>5697</v>
      </c>
      <c r="C5562" s="475" t="s">
        <v>5700</v>
      </c>
      <c r="D5562" s="475" t="s">
        <v>5701</v>
      </c>
      <c r="E5562" s="476" t="s">
        <v>34</v>
      </c>
      <c r="F5562" s="475" t="s">
        <v>34</v>
      </c>
      <c r="G5562" s="364">
        <v>87420</v>
      </c>
      <c r="H5562" s="475" t="s">
        <v>4698</v>
      </c>
      <c r="I5562" s="475" t="s">
        <v>322</v>
      </c>
      <c r="J5562" s="475" t="s">
        <v>337</v>
      </c>
      <c r="K5562" s="365">
        <v>19.96</v>
      </c>
      <c r="L5562" s="475" t="s">
        <v>141</v>
      </c>
      <c r="M5562" s="473"/>
    </row>
    <row r="5563" spans="1:13" ht="13.5">
      <c r="A5563" s="475" t="s">
        <v>5696</v>
      </c>
      <c r="B5563" s="475" t="s">
        <v>5697</v>
      </c>
      <c r="C5563" s="475" t="s">
        <v>5700</v>
      </c>
      <c r="D5563" s="475" t="s">
        <v>5701</v>
      </c>
      <c r="E5563" s="476" t="s">
        <v>34</v>
      </c>
      <c r="F5563" s="475" t="s">
        <v>34</v>
      </c>
      <c r="G5563" s="364">
        <v>87421</v>
      </c>
      <c r="H5563" s="475" t="s">
        <v>4699</v>
      </c>
      <c r="I5563" s="475" t="s">
        <v>322</v>
      </c>
      <c r="J5563" s="475" t="s">
        <v>337</v>
      </c>
      <c r="K5563" s="365">
        <v>20.350000000000001</v>
      </c>
      <c r="L5563" s="475" t="s">
        <v>141</v>
      </c>
      <c r="M5563" s="473"/>
    </row>
    <row r="5564" spans="1:13" ht="13.5">
      <c r="A5564" s="475" t="s">
        <v>5696</v>
      </c>
      <c r="B5564" s="475" t="s">
        <v>5697</v>
      </c>
      <c r="C5564" s="475" t="s">
        <v>5700</v>
      </c>
      <c r="D5564" s="475" t="s">
        <v>5701</v>
      </c>
      <c r="E5564" s="476" t="s">
        <v>34</v>
      </c>
      <c r="F5564" s="475" t="s">
        <v>34</v>
      </c>
      <c r="G5564" s="364">
        <v>87422</v>
      </c>
      <c r="H5564" s="475" t="s">
        <v>4700</v>
      </c>
      <c r="I5564" s="475" t="s">
        <v>322</v>
      </c>
      <c r="J5564" s="475" t="s">
        <v>337</v>
      </c>
      <c r="K5564" s="365">
        <v>21.45</v>
      </c>
      <c r="L5564" s="475" t="s">
        <v>141</v>
      </c>
      <c r="M5564" s="473"/>
    </row>
    <row r="5565" spans="1:13" ht="13.5">
      <c r="A5565" s="475" t="s">
        <v>5696</v>
      </c>
      <c r="B5565" s="475" t="s">
        <v>5697</v>
      </c>
      <c r="C5565" s="475" t="s">
        <v>5700</v>
      </c>
      <c r="D5565" s="475" t="s">
        <v>5701</v>
      </c>
      <c r="E5565" s="476" t="s">
        <v>34</v>
      </c>
      <c r="F5565" s="475" t="s">
        <v>34</v>
      </c>
      <c r="G5565" s="364">
        <v>87423</v>
      </c>
      <c r="H5565" s="475" t="s">
        <v>4701</v>
      </c>
      <c r="I5565" s="475" t="s">
        <v>322</v>
      </c>
      <c r="J5565" s="475" t="s">
        <v>337</v>
      </c>
      <c r="K5565" s="365">
        <v>26.19</v>
      </c>
      <c r="L5565" s="475" t="s">
        <v>141</v>
      </c>
      <c r="M5565" s="473"/>
    </row>
    <row r="5566" spans="1:13" ht="13.5">
      <c r="A5566" s="475" t="s">
        <v>5696</v>
      </c>
      <c r="B5566" s="475" t="s">
        <v>5697</v>
      </c>
      <c r="C5566" s="475" t="s">
        <v>5700</v>
      </c>
      <c r="D5566" s="475" t="s">
        <v>5701</v>
      </c>
      <c r="E5566" s="476" t="s">
        <v>34</v>
      </c>
      <c r="F5566" s="475" t="s">
        <v>34</v>
      </c>
      <c r="G5566" s="364">
        <v>87424</v>
      </c>
      <c r="H5566" s="475" t="s">
        <v>4702</v>
      </c>
      <c r="I5566" s="475" t="s">
        <v>322</v>
      </c>
      <c r="J5566" s="475" t="s">
        <v>337</v>
      </c>
      <c r="K5566" s="365">
        <v>26.76</v>
      </c>
      <c r="L5566" s="475" t="s">
        <v>141</v>
      </c>
      <c r="M5566" s="473"/>
    </row>
    <row r="5567" spans="1:13" ht="13.5">
      <c r="A5567" s="475" t="s">
        <v>5696</v>
      </c>
      <c r="B5567" s="475" t="s">
        <v>5697</v>
      </c>
      <c r="C5567" s="475" t="s">
        <v>5700</v>
      </c>
      <c r="D5567" s="475" t="s">
        <v>5701</v>
      </c>
      <c r="E5567" s="476" t="s">
        <v>34</v>
      </c>
      <c r="F5567" s="475" t="s">
        <v>34</v>
      </c>
      <c r="G5567" s="364">
        <v>87425</v>
      </c>
      <c r="H5567" s="475" t="s">
        <v>4703</v>
      </c>
      <c r="I5567" s="475" t="s">
        <v>322</v>
      </c>
      <c r="J5567" s="475" t="s">
        <v>337</v>
      </c>
      <c r="K5567" s="365">
        <v>27.67</v>
      </c>
      <c r="L5567" s="475" t="s">
        <v>141</v>
      </c>
      <c r="M5567" s="473"/>
    </row>
    <row r="5568" spans="1:13" ht="13.5">
      <c r="A5568" s="475" t="s">
        <v>5696</v>
      </c>
      <c r="B5568" s="475" t="s">
        <v>5697</v>
      </c>
      <c r="C5568" s="475" t="s">
        <v>5700</v>
      </c>
      <c r="D5568" s="475" t="s">
        <v>5701</v>
      </c>
      <c r="E5568" s="476" t="s">
        <v>34</v>
      </c>
      <c r="F5568" s="475" t="s">
        <v>34</v>
      </c>
      <c r="G5568" s="364">
        <v>87426</v>
      </c>
      <c r="H5568" s="475" t="s">
        <v>4704</v>
      </c>
      <c r="I5568" s="475" t="s">
        <v>322</v>
      </c>
      <c r="J5568" s="475" t="s">
        <v>337</v>
      </c>
      <c r="K5568" s="365">
        <v>30.91</v>
      </c>
      <c r="L5568" s="475" t="s">
        <v>141</v>
      </c>
      <c r="M5568" s="473"/>
    </row>
    <row r="5569" spans="1:13" ht="13.5">
      <c r="A5569" s="475" t="s">
        <v>5696</v>
      </c>
      <c r="B5569" s="475" t="s">
        <v>5697</v>
      </c>
      <c r="C5569" s="475" t="s">
        <v>5700</v>
      </c>
      <c r="D5569" s="475" t="s">
        <v>5701</v>
      </c>
      <c r="E5569" s="476" t="s">
        <v>34</v>
      </c>
      <c r="F5569" s="475" t="s">
        <v>34</v>
      </c>
      <c r="G5569" s="364">
        <v>87427</v>
      </c>
      <c r="H5569" s="475" t="s">
        <v>4705</v>
      </c>
      <c r="I5569" s="475" t="s">
        <v>322</v>
      </c>
      <c r="J5569" s="475" t="s">
        <v>337</v>
      </c>
      <c r="K5569" s="365">
        <v>31.48</v>
      </c>
      <c r="L5569" s="475" t="s">
        <v>141</v>
      </c>
      <c r="M5569" s="473"/>
    </row>
    <row r="5570" spans="1:13" ht="13.5">
      <c r="A5570" s="475" t="s">
        <v>5696</v>
      </c>
      <c r="B5570" s="475" t="s">
        <v>5697</v>
      </c>
      <c r="C5570" s="475" t="s">
        <v>5700</v>
      </c>
      <c r="D5570" s="475" t="s">
        <v>5701</v>
      </c>
      <c r="E5570" s="476" t="s">
        <v>34</v>
      </c>
      <c r="F5570" s="475" t="s">
        <v>34</v>
      </c>
      <c r="G5570" s="364">
        <v>87428</v>
      </c>
      <c r="H5570" s="475" t="s">
        <v>4706</v>
      </c>
      <c r="I5570" s="475" t="s">
        <v>322</v>
      </c>
      <c r="J5570" s="475" t="s">
        <v>337</v>
      </c>
      <c r="K5570" s="365">
        <v>32.4</v>
      </c>
      <c r="L5570" s="475" t="s">
        <v>141</v>
      </c>
      <c r="M5570" s="473"/>
    </row>
    <row r="5571" spans="1:13" ht="13.5">
      <c r="A5571" s="475" t="s">
        <v>5696</v>
      </c>
      <c r="B5571" s="475" t="s">
        <v>5697</v>
      </c>
      <c r="C5571" s="475" t="s">
        <v>5700</v>
      </c>
      <c r="D5571" s="475" t="s">
        <v>5701</v>
      </c>
      <c r="E5571" s="476" t="s">
        <v>34</v>
      </c>
      <c r="F5571" s="475" t="s">
        <v>34</v>
      </c>
      <c r="G5571" s="364">
        <v>87429</v>
      </c>
      <c r="H5571" s="475" t="s">
        <v>4707</v>
      </c>
      <c r="I5571" s="475" t="s">
        <v>322</v>
      </c>
      <c r="J5571" s="475" t="s">
        <v>337</v>
      </c>
      <c r="K5571" s="365">
        <v>14.92</v>
      </c>
      <c r="L5571" s="475" t="s">
        <v>141</v>
      </c>
      <c r="M5571" s="473"/>
    </row>
    <row r="5572" spans="1:13" ht="13.5">
      <c r="A5572" s="475" t="s">
        <v>5696</v>
      </c>
      <c r="B5572" s="475" t="s">
        <v>5697</v>
      </c>
      <c r="C5572" s="475" t="s">
        <v>5700</v>
      </c>
      <c r="D5572" s="475" t="s">
        <v>5701</v>
      </c>
      <c r="E5572" s="476" t="s">
        <v>34</v>
      </c>
      <c r="F5572" s="475" t="s">
        <v>34</v>
      </c>
      <c r="G5572" s="364">
        <v>87430</v>
      </c>
      <c r="H5572" s="475" t="s">
        <v>4708</v>
      </c>
      <c r="I5572" s="475" t="s">
        <v>322</v>
      </c>
      <c r="J5572" s="475" t="s">
        <v>337</v>
      </c>
      <c r="K5572" s="365">
        <v>15.3</v>
      </c>
      <c r="L5572" s="475" t="s">
        <v>141</v>
      </c>
      <c r="M5572" s="473"/>
    </row>
    <row r="5573" spans="1:13" ht="13.5">
      <c r="A5573" s="475" t="s">
        <v>5696</v>
      </c>
      <c r="B5573" s="475" t="s">
        <v>5697</v>
      </c>
      <c r="C5573" s="475" t="s">
        <v>5700</v>
      </c>
      <c r="D5573" s="475" t="s">
        <v>5701</v>
      </c>
      <c r="E5573" s="476" t="s">
        <v>34</v>
      </c>
      <c r="F5573" s="475" t="s">
        <v>34</v>
      </c>
      <c r="G5573" s="364">
        <v>87431</v>
      </c>
      <c r="H5573" s="475" t="s">
        <v>4709</v>
      </c>
      <c r="I5573" s="475" t="s">
        <v>322</v>
      </c>
      <c r="J5573" s="475" t="s">
        <v>337</v>
      </c>
      <c r="K5573" s="365">
        <v>15.49</v>
      </c>
      <c r="L5573" s="475" t="s">
        <v>141</v>
      </c>
      <c r="M5573" s="473"/>
    </row>
    <row r="5574" spans="1:13" ht="13.5">
      <c r="A5574" s="475" t="s">
        <v>5696</v>
      </c>
      <c r="B5574" s="475" t="s">
        <v>5697</v>
      </c>
      <c r="C5574" s="475" t="s">
        <v>5700</v>
      </c>
      <c r="D5574" s="475" t="s">
        <v>5701</v>
      </c>
      <c r="E5574" s="476" t="s">
        <v>34</v>
      </c>
      <c r="F5574" s="475" t="s">
        <v>34</v>
      </c>
      <c r="G5574" s="364">
        <v>87432</v>
      </c>
      <c r="H5574" s="475" t="s">
        <v>4710</v>
      </c>
      <c r="I5574" s="475" t="s">
        <v>322</v>
      </c>
      <c r="J5574" s="475" t="s">
        <v>337</v>
      </c>
      <c r="K5574" s="365">
        <v>21.7</v>
      </c>
      <c r="L5574" s="475" t="s">
        <v>141</v>
      </c>
      <c r="M5574" s="473"/>
    </row>
    <row r="5575" spans="1:13" ht="13.5">
      <c r="A5575" s="475" t="s">
        <v>5696</v>
      </c>
      <c r="B5575" s="475" t="s">
        <v>5697</v>
      </c>
      <c r="C5575" s="475" t="s">
        <v>5700</v>
      </c>
      <c r="D5575" s="475" t="s">
        <v>5701</v>
      </c>
      <c r="E5575" s="476" t="s">
        <v>34</v>
      </c>
      <c r="F5575" s="475" t="s">
        <v>34</v>
      </c>
      <c r="G5575" s="364">
        <v>87433</v>
      </c>
      <c r="H5575" s="475" t="s">
        <v>4711</v>
      </c>
      <c r="I5575" s="475" t="s">
        <v>322</v>
      </c>
      <c r="J5575" s="475" t="s">
        <v>337</v>
      </c>
      <c r="K5575" s="365">
        <v>22.47</v>
      </c>
      <c r="L5575" s="475" t="s">
        <v>141</v>
      </c>
      <c r="M5575" s="473"/>
    </row>
    <row r="5576" spans="1:13" ht="13.5">
      <c r="A5576" s="475" t="s">
        <v>5696</v>
      </c>
      <c r="B5576" s="475" t="s">
        <v>5697</v>
      </c>
      <c r="C5576" s="475" t="s">
        <v>5700</v>
      </c>
      <c r="D5576" s="475" t="s">
        <v>5701</v>
      </c>
      <c r="E5576" s="476" t="s">
        <v>34</v>
      </c>
      <c r="F5576" s="475" t="s">
        <v>34</v>
      </c>
      <c r="G5576" s="364">
        <v>87434</v>
      </c>
      <c r="H5576" s="475" t="s">
        <v>4712</v>
      </c>
      <c r="I5576" s="475" t="s">
        <v>322</v>
      </c>
      <c r="J5576" s="475" t="s">
        <v>337</v>
      </c>
      <c r="K5576" s="365">
        <v>23</v>
      </c>
      <c r="L5576" s="475" t="s">
        <v>141</v>
      </c>
      <c r="M5576" s="473"/>
    </row>
    <row r="5577" spans="1:13" ht="13.5">
      <c r="A5577" s="475" t="s">
        <v>5696</v>
      </c>
      <c r="B5577" s="475" t="s">
        <v>5697</v>
      </c>
      <c r="C5577" s="475" t="s">
        <v>5700</v>
      </c>
      <c r="D5577" s="475" t="s">
        <v>5701</v>
      </c>
      <c r="E5577" s="476" t="s">
        <v>34</v>
      </c>
      <c r="F5577" s="475" t="s">
        <v>34</v>
      </c>
      <c r="G5577" s="364">
        <v>87435</v>
      </c>
      <c r="H5577" s="475" t="s">
        <v>4713</v>
      </c>
      <c r="I5577" s="475" t="s">
        <v>322</v>
      </c>
      <c r="J5577" s="475" t="s">
        <v>337</v>
      </c>
      <c r="K5577" s="365">
        <v>24.1</v>
      </c>
      <c r="L5577" s="475" t="s">
        <v>141</v>
      </c>
      <c r="M5577" s="473"/>
    </row>
    <row r="5578" spans="1:13" ht="13.5">
      <c r="A5578" s="475" t="s">
        <v>5696</v>
      </c>
      <c r="B5578" s="475" t="s">
        <v>5697</v>
      </c>
      <c r="C5578" s="475" t="s">
        <v>5700</v>
      </c>
      <c r="D5578" s="475" t="s">
        <v>5701</v>
      </c>
      <c r="E5578" s="476" t="s">
        <v>34</v>
      </c>
      <c r="F5578" s="475" t="s">
        <v>34</v>
      </c>
      <c r="G5578" s="364">
        <v>87436</v>
      </c>
      <c r="H5578" s="475" t="s">
        <v>4714</v>
      </c>
      <c r="I5578" s="475" t="s">
        <v>322</v>
      </c>
      <c r="J5578" s="475" t="s">
        <v>337</v>
      </c>
      <c r="K5578" s="365">
        <v>25.39</v>
      </c>
      <c r="L5578" s="475" t="s">
        <v>141</v>
      </c>
      <c r="M5578" s="473"/>
    </row>
    <row r="5579" spans="1:13" ht="13.5">
      <c r="A5579" s="475" t="s">
        <v>5696</v>
      </c>
      <c r="B5579" s="475" t="s">
        <v>5697</v>
      </c>
      <c r="C5579" s="475" t="s">
        <v>5700</v>
      </c>
      <c r="D5579" s="475" t="s">
        <v>5701</v>
      </c>
      <c r="E5579" s="476" t="s">
        <v>34</v>
      </c>
      <c r="F5579" s="475" t="s">
        <v>34</v>
      </c>
      <c r="G5579" s="364">
        <v>87437</v>
      </c>
      <c r="H5579" s="475" t="s">
        <v>4715</v>
      </c>
      <c r="I5579" s="475" t="s">
        <v>322</v>
      </c>
      <c r="J5579" s="475" t="s">
        <v>337</v>
      </c>
      <c r="K5579" s="365">
        <v>26.31</v>
      </c>
      <c r="L5579" s="475" t="s">
        <v>141</v>
      </c>
      <c r="M5579" s="473"/>
    </row>
    <row r="5580" spans="1:13" ht="13.5">
      <c r="A5580" s="475" t="s">
        <v>5696</v>
      </c>
      <c r="B5580" s="475" t="s">
        <v>5697</v>
      </c>
      <c r="C5580" s="475" t="s">
        <v>5700</v>
      </c>
      <c r="D5580" s="475" t="s">
        <v>5701</v>
      </c>
      <c r="E5580" s="476" t="s">
        <v>34</v>
      </c>
      <c r="F5580" s="475" t="s">
        <v>34</v>
      </c>
      <c r="G5580" s="364">
        <v>87438</v>
      </c>
      <c r="H5580" s="475" t="s">
        <v>4716</v>
      </c>
      <c r="I5580" s="475" t="s">
        <v>322</v>
      </c>
      <c r="J5580" s="475" t="s">
        <v>337</v>
      </c>
      <c r="K5580" s="365">
        <v>29.81</v>
      </c>
      <c r="L5580" s="475" t="s">
        <v>141</v>
      </c>
      <c r="M5580" s="473"/>
    </row>
    <row r="5581" spans="1:13" ht="13.5">
      <c r="A5581" s="475" t="s">
        <v>5696</v>
      </c>
      <c r="B5581" s="475" t="s">
        <v>5697</v>
      </c>
      <c r="C5581" s="475" t="s">
        <v>5700</v>
      </c>
      <c r="D5581" s="475" t="s">
        <v>5701</v>
      </c>
      <c r="E5581" s="476" t="s">
        <v>34</v>
      </c>
      <c r="F5581" s="475" t="s">
        <v>34</v>
      </c>
      <c r="G5581" s="364">
        <v>87439</v>
      </c>
      <c r="H5581" s="475" t="s">
        <v>4717</v>
      </c>
      <c r="I5581" s="475" t="s">
        <v>322</v>
      </c>
      <c r="J5581" s="475" t="s">
        <v>337</v>
      </c>
      <c r="K5581" s="365">
        <v>31.44</v>
      </c>
      <c r="L5581" s="475" t="s">
        <v>141</v>
      </c>
      <c r="M5581" s="473"/>
    </row>
    <row r="5582" spans="1:13" ht="13.5">
      <c r="A5582" s="475" t="s">
        <v>5696</v>
      </c>
      <c r="B5582" s="475" t="s">
        <v>5697</v>
      </c>
      <c r="C5582" s="475" t="s">
        <v>5700</v>
      </c>
      <c r="D5582" s="475" t="s">
        <v>5701</v>
      </c>
      <c r="E5582" s="476" t="s">
        <v>34</v>
      </c>
      <c r="F5582" s="475" t="s">
        <v>34</v>
      </c>
      <c r="G5582" s="364">
        <v>87440</v>
      </c>
      <c r="H5582" s="475" t="s">
        <v>4718</v>
      </c>
      <c r="I5582" s="475" t="s">
        <v>322</v>
      </c>
      <c r="J5582" s="475" t="s">
        <v>337</v>
      </c>
      <c r="K5582" s="365">
        <v>32.21</v>
      </c>
      <c r="L5582" s="475" t="s">
        <v>141</v>
      </c>
      <c r="M5582" s="473"/>
    </row>
    <row r="5583" spans="1:13" ht="13.5">
      <c r="A5583" s="475" t="s">
        <v>5696</v>
      </c>
      <c r="B5583" s="475" t="s">
        <v>5697</v>
      </c>
      <c r="C5583" s="475" t="s">
        <v>5700</v>
      </c>
      <c r="D5583" s="475" t="s">
        <v>5701</v>
      </c>
      <c r="E5583" s="476" t="s">
        <v>34</v>
      </c>
      <c r="F5583" s="475" t="s">
        <v>34</v>
      </c>
      <c r="G5583" s="364">
        <v>87527</v>
      </c>
      <c r="H5583" s="475" t="s">
        <v>4719</v>
      </c>
      <c r="I5583" s="475" t="s">
        <v>322</v>
      </c>
      <c r="J5583" s="475" t="s">
        <v>337</v>
      </c>
      <c r="K5583" s="365">
        <v>29.43</v>
      </c>
      <c r="L5583" s="475" t="s">
        <v>141</v>
      </c>
      <c r="M5583" s="473"/>
    </row>
    <row r="5584" spans="1:13" ht="13.5">
      <c r="A5584" s="475" t="s">
        <v>5696</v>
      </c>
      <c r="B5584" s="475" t="s">
        <v>5697</v>
      </c>
      <c r="C5584" s="475" t="s">
        <v>5700</v>
      </c>
      <c r="D5584" s="475" t="s">
        <v>5701</v>
      </c>
      <c r="E5584" s="476" t="s">
        <v>34</v>
      </c>
      <c r="F5584" s="475" t="s">
        <v>34</v>
      </c>
      <c r="G5584" s="364">
        <v>87528</v>
      </c>
      <c r="H5584" s="475" t="s">
        <v>4720</v>
      </c>
      <c r="I5584" s="475" t="s">
        <v>322</v>
      </c>
      <c r="J5584" s="475" t="s">
        <v>337</v>
      </c>
      <c r="K5584" s="365">
        <v>32.6</v>
      </c>
      <c r="L5584" s="475" t="s">
        <v>141</v>
      </c>
      <c r="M5584" s="473"/>
    </row>
    <row r="5585" spans="1:13" ht="13.5">
      <c r="A5585" s="475" t="s">
        <v>5696</v>
      </c>
      <c r="B5585" s="475" t="s">
        <v>5697</v>
      </c>
      <c r="C5585" s="475" t="s">
        <v>5700</v>
      </c>
      <c r="D5585" s="475" t="s">
        <v>5701</v>
      </c>
      <c r="E5585" s="476" t="s">
        <v>34</v>
      </c>
      <c r="F5585" s="475" t="s">
        <v>34</v>
      </c>
      <c r="G5585" s="364">
        <v>87529</v>
      </c>
      <c r="H5585" s="475" t="s">
        <v>4721</v>
      </c>
      <c r="I5585" s="475" t="s">
        <v>322</v>
      </c>
      <c r="J5585" s="475" t="s">
        <v>337</v>
      </c>
      <c r="K5585" s="365">
        <v>26.74</v>
      </c>
      <c r="L5585" s="475" t="s">
        <v>141</v>
      </c>
      <c r="M5585" s="473"/>
    </row>
    <row r="5586" spans="1:13" ht="13.5">
      <c r="A5586" s="475" t="s">
        <v>5696</v>
      </c>
      <c r="B5586" s="475" t="s">
        <v>5697</v>
      </c>
      <c r="C5586" s="475" t="s">
        <v>5700</v>
      </c>
      <c r="D5586" s="475" t="s">
        <v>5701</v>
      </c>
      <c r="E5586" s="476" t="s">
        <v>34</v>
      </c>
      <c r="F5586" s="475" t="s">
        <v>34</v>
      </c>
      <c r="G5586" s="364">
        <v>87530</v>
      </c>
      <c r="H5586" s="475" t="s">
        <v>4722</v>
      </c>
      <c r="I5586" s="475" t="s">
        <v>322</v>
      </c>
      <c r="J5586" s="475" t="s">
        <v>337</v>
      </c>
      <c r="K5586" s="365">
        <v>29.91</v>
      </c>
      <c r="L5586" s="475" t="s">
        <v>141</v>
      </c>
      <c r="M5586" s="473"/>
    </row>
    <row r="5587" spans="1:13" ht="13.5">
      <c r="A5587" s="475" t="s">
        <v>5696</v>
      </c>
      <c r="B5587" s="475" t="s">
        <v>5697</v>
      </c>
      <c r="C5587" s="475" t="s">
        <v>5700</v>
      </c>
      <c r="D5587" s="475" t="s">
        <v>5701</v>
      </c>
      <c r="E5587" s="476" t="s">
        <v>34</v>
      </c>
      <c r="F5587" s="475" t="s">
        <v>34</v>
      </c>
      <c r="G5587" s="364">
        <v>87531</v>
      </c>
      <c r="H5587" s="475" t="s">
        <v>4723</v>
      </c>
      <c r="I5587" s="475" t="s">
        <v>322</v>
      </c>
      <c r="J5587" s="475" t="s">
        <v>337</v>
      </c>
      <c r="K5587" s="365">
        <v>25.78</v>
      </c>
      <c r="L5587" s="475" t="s">
        <v>141</v>
      </c>
      <c r="M5587" s="473"/>
    </row>
    <row r="5588" spans="1:13" ht="13.5">
      <c r="A5588" s="475" t="s">
        <v>5696</v>
      </c>
      <c r="B5588" s="475" t="s">
        <v>5697</v>
      </c>
      <c r="C5588" s="475" t="s">
        <v>5700</v>
      </c>
      <c r="D5588" s="475" t="s">
        <v>5701</v>
      </c>
      <c r="E5588" s="476" t="s">
        <v>34</v>
      </c>
      <c r="F5588" s="475" t="s">
        <v>34</v>
      </c>
      <c r="G5588" s="364">
        <v>87532</v>
      </c>
      <c r="H5588" s="475" t="s">
        <v>4724</v>
      </c>
      <c r="I5588" s="475" t="s">
        <v>322</v>
      </c>
      <c r="J5588" s="475" t="s">
        <v>337</v>
      </c>
      <c r="K5588" s="365">
        <v>28.95</v>
      </c>
      <c r="L5588" s="475" t="s">
        <v>141</v>
      </c>
      <c r="M5588" s="473"/>
    </row>
    <row r="5589" spans="1:13" ht="13.5">
      <c r="A5589" s="475" t="s">
        <v>5696</v>
      </c>
      <c r="B5589" s="475" t="s">
        <v>5697</v>
      </c>
      <c r="C5589" s="475" t="s">
        <v>5700</v>
      </c>
      <c r="D5589" s="475" t="s">
        <v>5701</v>
      </c>
      <c r="E5589" s="476" t="s">
        <v>34</v>
      </c>
      <c r="F5589" s="475" t="s">
        <v>34</v>
      </c>
      <c r="G5589" s="364">
        <v>87535</v>
      </c>
      <c r="H5589" s="475" t="s">
        <v>4725</v>
      </c>
      <c r="I5589" s="475" t="s">
        <v>322</v>
      </c>
      <c r="J5589" s="475" t="s">
        <v>337</v>
      </c>
      <c r="K5589" s="365">
        <v>23.09</v>
      </c>
      <c r="L5589" s="475" t="s">
        <v>141</v>
      </c>
      <c r="M5589" s="473"/>
    </row>
    <row r="5590" spans="1:13" ht="13.5">
      <c r="A5590" s="475" t="s">
        <v>5696</v>
      </c>
      <c r="B5590" s="475" t="s">
        <v>5697</v>
      </c>
      <c r="C5590" s="475" t="s">
        <v>5700</v>
      </c>
      <c r="D5590" s="475" t="s">
        <v>5701</v>
      </c>
      <c r="E5590" s="476" t="s">
        <v>34</v>
      </c>
      <c r="F5590" s="475" t="s">
        <v>34</v>
      </c>
      <c r="G5590" s="364">
        <v>87536</v>
      </c>
      <c r="H5590" s="475" t="s">
        <v>4726</v>
      </c>
      <c r="I5590" s="475" t="s">
        <v>322</v>
      </c>
      <c r="J5590" s="475" t="s">
        <v>337</v>
      </c>
      <c r="K5590" s="365">
        <v>26.26</v>
      </c>
      <c r="L5590" s="475" t="s">
        <v>141</v>
      </c>
      <c r="M5590" s="473"/>
    </row>
    <row r="5591" spans="1:13" ht="13.5">
      <c r="A5591" s="475" t="s">
        <v>5696</v>
      </c>
      <c r="B5591" s="475" t="s">
        <v>5697</v>
      </c>
      <c r="C5591" s="475" t="s">
        <v>5700</v>
      </c>
      <c r="D5591" s="475" t="s">
        <v>5701</v>
      </c>
      <c r="E5591" s="476" t="s">
        <v>34</v>
      </c>
      <c r="F5591" s="475" t="s">
        <v>34</v>
      </c>
      <c r="G5591" s="364">
        <v>87537</v>
      </c>
      <c r="H5591" s="475" t="s">
        <v>4727</v>
      </c>
      <c r="I5591" s="475" t="s">
        <v>322</v>
      </c>
      <c r="J5591" s="475" t="s">
        <v>337</v>
      </c>
      <c r="K5591" s="365">
        <v>38.28</v>
      </c>
      <c r="L5591" s="475" t="s">
        <v>141</v>
      </c>
      <c r="M5591" s="473"/>
    </row>
    <row r="5592" spans="1:13" ht="13.5">
      <c r="A5592" s="475" t="s">
        <v>5696</v>
      </c>
      <c r="B5592" s="475" t="s">
        <v>5697</v>
      </c>
      <c r="C5592" s="475" t="s">
        <v>5700</v>
      </c>
      <c r="D5592" s="475" t="s">
        <v>5701</v>
      </c>
      <c r="E5592" s="476" t="s">
        <v>34</v>
      </c>
      <c r="F5592" s="475" t="s">
        <v>34</v>
      </c>
      <c r="G5592" s="364">
        <v>87538</v>
      </c>
      <c r="H5592" s="475" t="s">
        <v>4728</v>
      </c>
      <c r="I5592" s="475" t="s">
        <v>322</v>
      </c>
      <c r="J5592" s="475" t="s">
        <v>337</v>
      </c>
      <c r="K5592" s="365">
        <v>35.96</v>
      </c>
      <c r="L5592" s="475" t="s">
        <v>141</v>
      </c>
      <c r="M5592" s="473"/>
    </row>
    <row r="5593" spans="1:13" ht="13.5">
      <c r="A5593" s="475" t="s">
        <v>5696</v>
      </c>
      <c r="B5593" s="475" t="s">
        <v>5697</v>
      </c>
      <c r="C5593" s="475" t="s">
        <v>5700</v>
      </c>
      <c r="D5593" s="475" t="s">
        <v>5701</v>
      </c>
      <c r="E5593" s="476" t="s">
        <v>34</v>
      </c>
      <c r="F5593" s="475" t="s">
        <v>34</v>
      </c>
      <c r="G5593" s="364">
        <v>87539</v>
      </c>
      <c r="H5593" s="475" t="s">
        <v>4729</v>
      </c>
      <c r="I5593" s="475" t="s">
        <v>322</v>
      </c>
      <c r="J5593" s="475" t="s">
        <v>337</v>
      </c>
      <c r="K5593" s="365">
        <v>35.130000000000003</v>
      </c>
      <c r="L5593" s="475" t="s">
        <v>141</v>
      </c>
      <c r="M5593" s="473"/>
    </row>
    <row r="5594" spans="1:13" ht="13.5">
      <c r="A5594" s="475" t="s">
        <v>5696</v>
      </c>
      <c r="B5594" s="475" t="s">
        <v>5697</v>
      </c>
      <c r="C5594" s="475" t="s">
        <v>5700</v>
      </c>
      <c r="D5594" s="475" t="s">
        <v>5701</v>
      </c>
      <c r="E5594" s="476" t="s">
        <v>34</v>
      </c>
      <c r="F5594" s="475" t="s">
        <v>34</v>
      </c>
      <c r="G5594" s="364">
        <v>87541</v>
      </c>
      <c r="H5594" s="475" t="s">
        <v>4730</v>
      </c>
      <c r="I5594" s="475" t="s">
        <v>322</v>
      </c>
      <c r="J5594" s="475" t="s">
        <v>337</v>
      </c>
      <c r="K5594" s="365">
        <v>32.81</v>
      </c>
      <c r="L5594" s="475" t="s">
        <v>141</v>
      </c>
      <c r="M5594" s="473"/>
    </row>
    <row r="5595" spans="1:13" ht="13.5">
      <c r="A5595" s="475" t="s">
        <v>5696</v>
      </c>
      <c r="B5595" s="475" t="s">
        <v>5697</v>
      </c>
      <c r="C5595" s="475" t="s">
        <v>5700</v>
      </c>
      <c r="D5595" s="475" t="s">
        <v>5701</v>
      </c>
      <c r="E5595" s="476" t="s">
        <v>34</v>
      </c>
      <c r="F5595" s="475" t="s">
        <v>34</v>
      </c>
      <c r="G5595" s="364">
        <v>87543</v>
      </c>
      <c r="H5595" s="475" t="s">
        <v>6032</v>
      </c>
      <c r="I5595" s="475" t="s">
        <v>322</v>
      </c>
      <c r="J5595" s="475" t="s">
        <v>337</v>
      </c>
      <c r="K5595" s="365">
        <v>12.29</v>
      </c>
      <c r="L5595" s="475" t="s">
        <v>141</v>
      </c>
      <c r="M5595" s="473"/>
    </row>
    <row r="5596" spans="1:13" ht="13.5">
      <c r="A5596" s="475" t="s">
        <v>5696</v>
      </c>
      <c r="B5596" s="475" t="s">
        <v>5697</v>
      </c>
      <c r="C5596" s="475" t="s">
        <v>5700</v>
      </c>
      <c r="D5596" s="475" t="s">
        <v>5701</v>
      </c>
      <c r="E5596" s="476" t="s">
        <v>34</v>
      </c>
      <c r="F5596" s="475" t="s">
        <v>34</v>
      </c>
      <c r="G5596" s="364">
        <v>87545</v>
      </c>
      <c r="H5596" s="475" t="s">
        <v>4731</v>
      </c>
      <c r="I5596" s="475" t="s">
        <v>322</v>
      </c>
      <c r="J5596" s="475" t="s">
        <v>337</v>
      </c>
      <c r="K5596" s="365">
        <v>19.88</v>
      </c>
      <c r="L5596" s="475" t="s">
        <v>141</v>
      </c>
      <c r="M5596" s="473"/>
    </row>
    <row r="5597" spans="1:13" ht="13.5">
      <c r="A5597" s="475" t="s">
        <v>5696</v>
      </c>
      <c r="B5597" s="475" t="s">
        <v>5697</v>
      </c>
      <c r="C5597" s="475" t="s">
        <v>5700</v>
      </c>
      <c r="D5597" s="475" t="s">
        <v>5701</v>
      </c>
      <c r="E5597" s="476" t="s">
        <v>34</v>
      </c>
      <c r="F5597" s="475" t="s">
        <v>34</v>
      </c>
      <c r="G5597" s="364">
        <v>87546</v>
      </c>
      <c r="H5597" s="475" t="s">
        <v>4732</v>
      </c>
      <c r="I5597" s="475" t="s">
        <v>322</v>
      </c>
      <c r="J5597" s="475" t="s">
        <v>337</v>
      </c>
      <c r="K5597" s="365">
        <v>21.67</v>
      </c>
      <c r="L5597" s="475" t="s">
        <v>141</v>
      </c>
      <c r="M5597" s="473"/>
    </row>
    <row r="5598" spans="1:13" ht="13.5">
      <c r="A5598" s="475" t="s">
        <v>5696</v>
      </c>
      <c r="B5598" s="475" t="s">
        <v>5697</v>
      </c>
      <c r="C5598" s="475" t="s">
        <v>5700</v>
      </c>
      <c r="D5598" s="475" t="s">
        <v>5701</v>
      </c>
      <c r="E5598" s="476" t="s">
        <v>34</v>
      </c>
      <c r="F5598" s="475" t="s">
        <v>34</v>
      </c>
      <c r="G5598" s="364">
        <v>87547</v>
      </c>
      <c r="H5598" s="475" t="s">
        <v>4733</v>
      </c>
      <c r="I5598" s="475" t="s">
        <v>322</v>
      </c>
      <c r="J5598" s="475" t="s">
        <v>337</v>
      </c>
      <c r="K5598" s="365">
        <v>17.2</v>
      </c>
      <c r="L5598" s="475" t="s">
        <v>141</v>
      </c>
      <c r="M5598" s="473"/>
    </row>
    <row r="5599" spans="1:13" ht="13.5">
      <c r="A5599" s="475" t="s">
        <v>5696</v>
      </c>
      <c r="B5599" s="475" t="s">
        <v>5697</v>
      </c>
      <c r="C5599" s="475" t="s">
        <v>5700</v>
      </c>
      <c r="D5599" s="475" t="s">
        <v>5701</v>
      </c>
      <c r="E5599" s="476" t="s">
        <v>34</v>
      </c>
      <c r="F5599" s="475" t="s">
        <v>34</v>
      </c>
      <c r="G5599" s="364">
        <v>87548</v>
      </c>
      <c r="H5599" s="475" t="s">
        <v>4734</v>
      </c>
      <c r="I5599" s="475" t="s">
        <v>322</v>
      </c>
      <c r="J5599" s="475" t="s">
        <v>337</v>
      </c>
      <c r="K5599" s="365">
        <v>18.989999999999998</v>
      </c>
      <c r="L5599" s="475" t="s">
        <v>141</v>
      </c>
      <c r="M5599" s="473"/>
    </row>
    <row r="5600" spans="1:13" ht="13.5">
      <c r="A5600" s="475" t="s">
        <v>5696</v>
      </c>
      <c r="B5600" s="475" t="s">
        <v>5697</v>
      </c>
      <c r="C5600" s="475" t="s">
        <v>5700</v>
      </c>
      <c r="D5600" s="475" t="s">
        <v>5701</v>
      </c>
      <c r="E5600" s="476" t="s">
        <v>34</v>
      </c>
      <c r="F5600" s="475" t="s">
        <v>34</v>
      </c>
      <c r="G5600" s="364">
        <v>87549</v>
      </c>
      <c r="H5600" s="475" t="s">
        <v>4735</v>
      </c>
      <c r="I5600" s="475" t="s">
        <v>322</v>
      </c>
      <c r="J5600" s="475" t="s">
        <v>337</v>
      </c>
      <c r="K5600" s="365">
        <v>16.23</v>
      </c>
      <c r="L5600" s="475" t="s">
        <v>141</v>
      </c>
      <c r="M5600" s="473"/>
    </row>
    <row r="5601" spans="1:13" ht="13.5">
      <c r="A5601" s="475" t="s">
        <v>5696</v>
      </c>
      <c r="B5601" s="475" t="s">
        <v>5697</v>
      </c>
      <c r="C5601" s="475" t="s">
        <v>5700</v>
      </c>
      <c r="D5601" s="475" t="s">
        <v>5701</v>
      </c>
      <c r="E5601" s="476" t="s">
        <v>34</v>
      </c>
      <c r="F5601" s="475" t="s">
        <v>34</v>
      </c>
      <c r="G5601" s="364">
        <v>87550</v>
      </c>
      <c r="H5601" s="475" t="s">
        <v>4736</v>
      </c>
      <c r="I5601" s="475" t="s">
        <v>322</v>
      </c>
      <c r="J5601" s="475" t="s">
        <v>337</v>
      </c>
      <c r="K5601" s="365">
        <v>18.02</v>
      </c>
      <c r="L5601" s="475" t="s">
        <v>141</v>
      </c>
      <c r="M5601" s="473"/>
    </row>
    <row r="5602" spans="1:13" ht="13.5">
      <c r="A5602" s="475" t="s">
        <v>5696</v>
      </c>
      <c r="B5602" s="475" t="s">
        <v>5697</v>
      </c>
      <c r="C5602" s="475" t="s">
        <v>5700</v>
      </c>
      <c r="D5602" s="475" t="s">
        <v>5701</v>
      </c>
      <c r="E5602" s="476" t="s">
        <v>34</v>
      </c>
      <c r="F5602" s="475" t="s">
        <v>34</v>
      </c>
      <c r="G5602" s="364">
        <v>87553</v>
      </c>
      <c r="H5602" s="475" t="s">
        <v>4737</v>
      </c>
      <c r="I5602" s="475" t="s">
        <v>322</v>
      </c>
      <c r="J5602" s="475" t="s">
        <v>337</v>
      </c>
      <c r="K5602" s="365">
        <v>13.54</v>
      </c>
      <c r="L5602" s="475" t="s">
        <v>141</v>
      </c>
      <c r="M5602" s="473"/>
    </row>
    <row r="5603" spans="1:13" ht="13.5">
      <c r="A5603" s="475" t="s">
        <v>5696</v>
      </c>
      <c r="B5603" s="475" t="s">
        <v>5697</v>
      </c>
      <c r="C5603" s="475" t="s">
        <v>5700</v>
      </c>
      <c r="D5603" s="475" t="s">
        <v>5701</v>
      </c>
      <c r="E5603" s="476" t="s">
        <v>34</v>
      </c>
      <c r="F5603" s="475" t="s">
        <v>34</v>
      </c>
      <c r="G5603" s="364">
        <v>87554</v>
      </c>
      <c r="H5603" s="475" t="s">
        <v>4738</v>
      </c>
      <c r="I5603" s="475" t="s">
        <v>322</v>
      </c>
      <c r="J5603" s="475" t="s">
        <v>337</v>
      </c>
      <c r="K5603" s="365">
        <v>15.33</v>
      </c>
      <c r="L5603" s="475" t="s">
        <v>141</v>
      </c>
      <c r="M5603" s="473"/>
    </row>
    <row r="5604" spans="1:13" ht="13.5">
      <c r="A5604" s="475" t="s">
        <v>5696</v>
      </c>
      <c r="B5604" s="475" t="s">
        <v>5697</v>
      </c>
      <c r="C5604" s="475" t="s">
        <v>5700</v>
      </c>
      <c r="D5604" s="475" t="s">
        <v>5701</v>
      </c>
      <c r="E5604" s="476" t="s">
        <v>34</v>
      </c>
      <c r="F5604" s="475" t="s">
        <v>34</v>
      </c>
      <c r="G5604" s="364">
        <v>87555</v>
      </c>
      <c r="H5604" s="475" t="s">
        <v>4739</v>
      </c>
      <c r="I5604" s="475" t="s">
        <v>322</v>
      </c>
      <c r="J5604" s="475" t="s">
        <v>337</v>
      </c>
      <c r="K5604" s="365">
        <v>24.08</v>
      </c>
      <c r="L5604" s="475" t="s">
        <v>141</v>
      </c>
      <c r="M5604" s="473"/>
    </row>
    <row r="5605" spans="1:13" ht="13.5">
      <c r="A5605" s="475" t="s">
        <v>5696</v>
      </c>
      <c r="B5605" s="475" t="s">
        <v>5697</v>
      </c>
      <c r="C5605" s="475" t="s">
        <v>5700</v>
      </c>
      <c r="D5605" s="475" t="s">
        <v>5701</v>
      </c>
      <c r="E5605" s="476" t="s">
        <v>34</v>
      </c>
      <c r="F5605" s="475" t="s">
        <v>34</v>
      </c>
      <c r="G5605" s="364">
        <v>87556</v>
      </c>
      <c r="H5605" s="475" t="s">
        <v>4740</v>
      </c>
      <c r="I5605" s="475" t="s">
        <v>322</v>
      </c>
      <c r="J5605" s="475" t="s">
        <v>337</v>
      </c>
      <c r="K5605" s="365">
        <v>21.78</v>
      </c>
      <c r="L5605" s="475" t="s">
        <v>141</v>
      </c>
      <c r="M5605" s="473"/>
    </row>
    <row r="5606" spans="1:13" ht="13.5">
      <c r="A5606" s="475" t="s">
        <v>5696</v>
      </c>
      <c r="B5606" s="475" t="s">
        <v>5697</v>
      </c>
      <c r="C5606" s="475" t="s">
        <v>5700</v>
      </c>
      <c r="D5606" s="475" t="s">
        <v>5701</v>
      </c>
      <c r="E5606" s="476" t="s">
        <v>34</v>
      </c>
      <c r="F5606" s="475" t="s">
        <v>34</v>
      </c>
      <c r="G5606" s="364">
        <v>87557</v>
      </c>
      <c r="H5606" s="475" t="s">
        <v>4741</v>
      </c>
      <c r="I5606" s="475" t="s">
        <v>322</v>
      </c>
      <c r="J5606" s="475" t="s">
        <v>337</v>
      </c>
      <c r="K5606" s="365">
        <v>20.93</v>
      </c>
      <c r="L5606" s="475" t="s">
        <v>141</v>
      </c>
      <c r="M5606" s="473"/>
    </row>
    <row r="5607" spans="1:13" ht="13.5">
      <c r="A5607" s="475" t="s">
        <v>5696</v>
      </c>
      <c r="B5607" s="475" t="s">
        <v>5697</v>
      </c>
      <c r="C5607" s="475" t="s">
        <v>5700</v>
      </c>
      <c r="D5607" s="475" t="s">
        <v>5701</v>
      </c>
      <c r="E5607" s="476" t="s">
        <v>34</v>
      </c>
      <c r="F5607" s="475" t="s">
        <v>34</v>
      </c>
      <c r="G5607" s="364">
        <v>87559</v>
      </c>
      <c r="H5607" s="475" t="s">
        <v>4742</v>
      </c>
      <c r="I5607" s="475" t="s">
        <v>322</v>
      </c>
      <c r="J5607" s="475" t="s">
        <v>337</v>
      </c>
      <c r="K5607" s="365">
        <v>18.61</v>
      </c>
      <c r="L5607" s="475" t="s">
        <v>141</v>
      </c>
      <c r="M5607" s="473"/>
    </row>
    <row r="5608" spans="1:13" ht="13.5">
      <c r="A5608" s="475" t="s">
        <v>5696</v>
      </c>
      <c r="B5608" s="475" t="s">
        <v>5697</v>
      </c>
      <c r="C5608" s="475" t="s">
        <v>5700</v>
      </c>
      <c r="D5608" s="475" t="s">
        <v>5701</v>
      </c>
      <c r="E5608" s="476" t="s">
        <v>34</v>
      </c>
      <c r="F5608" s="475" t="s">
        <v>34</v>
      </c>
      <c r="G5608" s="364">
        <v>87561</v>
      </c>
      <c r="H5608" s="475" t="s">
        <v>4743</v>
      </c>
      <c r="I5608" s="475" t="s">
        <v>322</v>
      </c>
      <c r="J5608" s="475" t="s">
        <v>337</v>
      </c>
      <c r="K5608" s="365">
        <v>21.14</v>
      </c>
      <c r="L5608" s="475" t="s">
        <v>141</v>
      </c>
      <c r="M5608" s="473"/>
    </row>
    <row r="5609" spans="1:13" ht="13.5">
      <c r="A5609" s="475" t="s">
        <v>5696</v>
      </c>
      <c r="B5609" s="475" t="s">
        <v>5697</v>
      </c>
      <c r="C5609" s="475" t="s">
        <v>5700</v>
      </c>
      <c r="D5609" s="475" t="s">
        <v>5701</v>
      </c>
      <c r="E5609" s="476" t="s">
        <v>34</v>
      </c>
      <c r="F5609" s="475" t="s">
        <v>34</v>
      </c>
      <c r="G5609" s="364">
        <v>87775</v>
      </c>
      <c r="H5609" s="475" t="s">
        <v>4744</v>
      </c>
      <c r="I5609" s="475" t="s">
        <v>322</v>
      </c>
      <c r="J5609" s="475" t="s">
        <v>337</v>
      </c>
      <c r="K5609" s="365">
        <v>40.590000000000003</v>
      </c>
      <c r="L5609" s="475" t="s">
        <v>141</v>
      </c>
      <c r="M5609" s="473"/>
    </row>
    <row r="5610" spans="1:13" ht="13.5">
      <c r="A5610" s="475" t="s">
        <v>5696</v>
      </c>
      <c r="B5610" s="475" t="s">
        <v>5697</v>
      </c>
      <c r="C5610" s="475" t="s">
        <v>5700</v>
      </c>
      <c r="D5610" s="475" t="s">
        <v>5701</v>
      </c>
      <c r="E5610" s="476" t="s">
        <v>34</v>
      </c>
      <c r="F5610" s="475" t="s">
        <v>34</v>
      </c>
      <c r="G5610" s="364">
        <v>87777</v>
      </c>
      <c r="H5610" s="475" t="s">
        <v>4745</v>
      </c>
      <c r="I5610" s="475" t="s">
        <v>322</v>
      </c>
      <c r="J5610" s="475" t="s">
        <v>337</v>
      </c>
      <c r="K5610" s="365">
        <v>43.23</v>
      </c>
      <c r="L5610" s="475" t="s">
        <v>141</v>
      </c>
      <c r="M5610" s="473"/>
    </row>
    <row r="5611" spans="1:13" ht="13.5">
      <c r="A5611" s="475" t="s">
        <v>5696</v>
      </c>
      <c r="B5611" s="475" t="s">
        <v>5697</v>
      </c>
      <c r="C5611" s="475" t="s">
        <v>5700</v>
      </c>
      <c r="D5611" s="475" t="s">
        <v>5701</v>
      </c>
      <c r="E5611" s="476" t="s">
        <v>34</v>
      </c>
      <c r="F5611" s="475" t="s">
        <v>34</v>
      </c>
      <c r="G5611" s="364">
        <v>87778</v>
      </c>
      <c r="H5611" s="475" t="s">
        <v>4746</v>
      </c>
      <c r="I5611" s="475" t="s">
        <v>322</v>
      </c>
      <c r="J5611" s="475" t="s">
        <v>337</v>
      </c>
      <c r="K5611" s="365">
        <v>45.96</v>
      </c>
      <c r="L5611" s="475" t="s">
        <v>141</v>
      </c>
      <c r="M5611" s="473"/>
    </row>
    <row r="5612" spans="1:13" ht="13.5">
      <c r="A5612" s="475" t="s">
        <v>5696</v>
      </c>
      <c r="B5612" s="475" t="s">
        <v>5697</v>
      </c>
      <c r="C5612" s="475" t="s">
        <v>5700</v>
      </c>
      <c r="D5612" s="475" t="s">
        <v>5701</v>
      </c>
      <c r="E5612" s="476" t="s">
        <v>34</v>
      </c>
      <c r="F5612" s="475" t="s">
        <v>34</v>
      </c>
      <c r="G5612" s="364">
        <v>87779</v>
      </c>
      <c r="H5612" s="475" t="s">
        <v>4747</v>
      </c>
      <c r="I5612" s="475" t="s">
        <v>322</v>
      </c>
      <c r="J5612" s="475" t="s">
        <v>337</v>
      </c>
      <c r="K5612" s="365">
        <v>47.61</v>
      </c>
      <c r="L5612" s="475" t="s">
        <v>141</v>
      </c>
      <c r="M5612" s="473"/>
    </row>
    <row r="5613" spans="1:13" ht="13.5">
      <c r="A5613" s="475" t="s">
        <v>5696</v>
      </c>
      <c r="B5613" s="475" t="s">
        <v>5697</v>
      </c>
      <c r="C5613" s="475" t="s">
        <v>5700</v>
      </c>
      <c r="D5613" s="475" t="s">
        <v>5701</v>
      </c>
      <c r="E5613" s="476" t="s">
        <v>34</v>
      </c>
      <c r="F5613" s="475" t="s">
        <v>34</v>
      </c>
      <c r="G5613" s="364">
        <v>87781</v>
      </c>
      <c r="H5613" s="475" t="s">
        <v>4748</v>
      </c>
      <c r="I5613" s="475" t="s">
        <v>322</v>
      </c>
      <c r="J5613" s="475" t="s">
        <v>337</v>
      </c>
      <c r="K5613" s="365">
        <v>51.15</v>
      </c>
      <c r="L5613" s="475" t="s">
        <v>141</v>
      </c>
      <c r="M5613" s="473"/>
    </row>
    <row r="5614" spans="1:13" ht="13.5">
      <c r="A5614" s="475" t="s">
        <v>5696</v>
      </c>
      <c r="B5614" s="475" t="s">
        <v>5697</v>
      </c>
      <c r="C5614" s="475" t="s">
        <v>5700</v>
      </c>
      <c r="D5614" s="475" t="s">
        <v>5701</v>
      </c>
      <c r="E5614" s="476" t="s">
        <v>34</v>
      </c>
      <c r="F5614" s="475" t="s">
        <v>34</v>
      </c>
      <c r="G5614" s="364">
        <v>87783</v>
      </c>
      <c r="H5614" s="475" t="s">
        <v>4749</v>
      </c>
      <c r="I5614" s="475" t="s">
        <v>322</v>
      </c>
      <c r="J5614" s="475" t="s">
        <v>337</v>
      </c>
      <c r="K5614" s="365">
        <v>56.31</v>
      </c>
      <c r="L5614" s="475" t="s">
        <v>141</v>
      </c>
      <c r="M5614" s="473"/>
    </row>
    <row r="5615" spans="1:13" ht="13.5">
      <c r="A5615" s="475" t="s">
        <v>5696</v>
      </c>
      <c r="B5615" s="475" t="s">
        <v>5697</v>
      </c>
      <c r="C5615" s="475" t="s">
        <v>5700</v>
      </c>
      <c r="D5615" s="475" t="s">
        <v>5701</v>
      </c>
      <c r="E5615" s="476" t="s">
        <v>34</v>
      </c>
      <c r="F5615" s="475" t="s">
        <v>34</v>
      </c>
      <c r="G5615" s="364">
        <v>87784</v>
      </c>
      <c r="H5615" s="475" t="s">
        <v>4750</v>
      </c>
      <c r="I5615" s="475" t="s">
        <v>322</v>
      </c>
      <c r="J5615" s="475" t="s">
        <v>337</v>
      </c>
      <c r="K5615" s="365">
        <v>54.63</v>
      </c>
      <c r="L5615" s="475" t="s">
        <v>141</v>
      </c>
      <c r="M5615" s="473"/>
    </row>
    <row r="5616" spans="1:13" ht="13.5">
      <c r="A5616" s="475" t="s">
        <v>5696</v>
      </c>
      <c r="B5616" s="475" t="s">
        <v>5697</v>
      </c>
      <c r="C5616" s="475" t="s">
        <v>5700</v>
      </c>
      <c r="D5616" s="475" t="s">
        <v>5701</v>
      </c>
      <c r="E5616" s="476" t="s">
        <v>34</v>
      </c>
      <c r="F5616" s="475" t="s">
        <v>34</v>
      </c>
      <c r="G5616" s="364">
        <v>87786</v>
      </c>
      <c r="H5616" s="475" t="s">
        <v>4751</v>
      </c>
      <c r="I5616" s="475" t="s">
        <v>322</v>
      </c>
      <c r="J5616" s="475" t="s">
        <v>337</v>
      </c>
      <c r="K5616" s="365">
        <v>59.08</v>
      </c>
      <c r="L5616" s="475" t="s">
        <v>141</v>
      </c>
      <c r="M5616" s="473"/>
    </row>
    <row r="5617" spans="1:13" ht="13.5">
      <c r="A5617" s="475" t="s">
        <v>5696</v>
      </c>
      <c r="B5617" s="475" t="s">
        <v>5697</v>
      </c>
      <c r="C5617" s="475" t="s">
        <v>5700</v>
      </c>
      <c r="D5617" s="475" t="s">
        <v>5701</v>
      </c>
      <c r="E5617" s="476" t="s">
        <v>34</v>
      </c>
      <c r="F5617" s="475" t="s">
        <v>34</v>
      </c>
      <c r="G5617" s="364">
        <v>87787</v>
      </c>
      <c r="H5617" s="475" t="s">
        <v>4752</v>
      </c>
      <c r="I5617" s="475" t="s">
        <v>322</v>
      </c>
      <c r="J5617" s="475" t="s">
        <v>337</v>
      </c>
      <c r="K5617" s="365">
        <v>66.66</v>
      </c>
      <c r="L5617" s="475" t="s">
        <v>141</v>
      </c>
      <c r="M5617" s="473"/>
    </row>
    <row r="5618" spans="1:13" ht="13.5">
      <c r="A5618" s="475" t="s">
        <v>5696</v>
      </c>
      <c r="B5618" s="475" t="s">
        <v>5697</v>
      </c>
      <c r="C5618" s="475" t="s">
        <v>5700</v>
      </c>
      <c r="D5618" s="475" t="s">
        <v>5701</v>
      </c>
      <c r="E5618" s="476" t="s">
        <v>34</v>
      </c>
      <c r="F5618" s="475" t="s">
        <v>34</v>
      </c>
      <c r="G5618" s="364">
        <v>87788</v>
      </c>
      <c r="H5618" s="475" t="s">
        <v>4753</v>
      </c>
      <c r="I5618" s="475" t="s">
        <v>322</v>
      </c>
      <c r="J5618" s="475" t="s">
        <v>337</v>
      </c>
      <c r="K5618" s="365">
        <v>69.89</v>
      </c>
      <c r="L5618" s="475" t="s">
        <v>141</v>
      </c>
      <c r="M5618" s="473"/>
    </row>
    <row r="5619" spans="1:13" ht="13.5">
      <c r="A5619" s="475" t="s">
        <v>5696</v>
      </c>
      <c r="B5619" s="475" t="s">
        <v>5697</v>
      </c>
      <c r="C5619" s="475" t="s">
        <v>5700</v>
      </c>
      <c r="D5619" s="475" t="s">
        <v>5701</v>
      </c>
      <c r="E5619" s="476" t="s">
        <v>34</v>
      </c>
      <c r="F5619" s="475" t="s">
        <v>34</v>
      </c>
      <c r="G5619" s="364">
        <v>87790</v>
      </c>
      <c r="H5619" s="475" t="s">
        <v>4754</v>
      </c>
      <c r="I5619" s="475" t="s">
        <v>322</v>
      </c>
      <c r="J5619" s="475" t="s">
        <v>337</v>
      </c>
      <c r="K5619" s="365">
        <v>74.78</v>
      </c>
      <c r="L5619" s="475" t="s">
        <v>141</v>
      </c>
      <c r="M5619" s="473"/>
    </row>
    <row r="5620" spans="1:13" ht="13.5">
      <c r="A5620" s="475" t="s">
        <v>5696</v>
      </c>
      <c r="B5620" s="475" t="s">
        <v>5697</v>
      </c>
      <c r="C5620" s="475" t="s">
        <v>5700</v>
      </c>
      <c r="D5620" s="475" t="s">
        <v>5701</v>
      </c>
      <c r="E5620" s="476" t="s">
        <v>34</v>
      </c>
      <c r="F5620" s="475" t="s">
        <v>34</v>
      </c>
      <c r="G5620" s="364">
        <v>87791</v>
      </c>
      <c r="H5620" s="475" t="s">
        <v>4755</v>
      </c>
      <c r="I5620" s="475" t="s">
        <v>322</v>
      </c>
      <c r="J5620" s="475" t="s">
        <v>337</v>
      </c>
      <c r="K5620" s="365">
        <v>80.53</v>
      </c>
      <c r="L5620" s="475" t="s">
        <v>141</v>
      </c>
      <c r="M5620" s="473"/>
    </row>
    <row r="5621" spans="1:13" ht="13.5">
      <c r="A5621" s="475" t="s">
        <v>5696</v>
      </c>
      <c r="B5621" s="475" t="s">
        <v>5697</v>
      </c>
      <c r="C5621" s="475" t="s">
        <v>5700</v>
      </c>
      <c r="D5621" s="475" t="s">
        <v>5701</v>
      </c>
      <c r="E5621" s="476" t="s">
        <v>34</v>
      </c>
      <c r="F5621" s="475" t="s">
        <v>34</v>
      </c>
      <c r="G5621" s="364">
        <v>87792</v>
      </c>
      <c r="H5621" s="475" t="s">
        <v>4756</v>
      </c>
      <c r="I5621" s="475" t="s">
        <v>322</v>
      </c>
      <c r="J5621" s="475" t="s">
        <v>337</v>
      </c>
      <c r="K5621" s="365">
        <v>27.17</v>
      </c>
      <c r="L5621" s="475" t="s">
        <v>141</v>
      </c>
      <c r="M5621" s="473"/>
    </row>
    <row r="5622" spans="1:13" ht="13.5">
      <c r="A5622" s="475" t="s">
        <v>5696</v>
      </c>
      <c r="B5622" s="475" t="s">
        <v>5697</v>
      </c>
      <c r="C5622" s="475" t="s">
        <v>5700</v>
      </c>
      <c r="D5622" s="475" t="s">
        <v>5701</v>
      </c>
      <c r="E5622" s="476" t="s">
        <v>34</v>
      </c>
      <c r="F5622" s="475" t="s">
        <v>34</v>
      </c>
      <c r="G5622" s="364">
        <v>87794</v>
      </c>
      <c r="H5622" s="475" t="s">
        <v>4757</v>
      </c>
      <c r="I5622" s="475" t="s">
        <v>322</v>
      </c>
      <c r="J5622" s="475" t="s">
        <v>337</v>
      </c>
      <c r="K5622" s="365">
        <v>29.63</v>
      </c>
      <c r="L5622" s="475" t="s">
        <v>141</v>
      </c>
      <c r="M5622" s="473"/>
    </row>
    <row r="5623" spans="1:13" ht="13.5">
      <c r="A5623" s="475" t="s">
        <v>5696</v>
      </c>
      <c r="B5623" s="475" t="s">
        <v>5697</v>
      </c>
      <c r="C5623" s="475" t="s">
        <v>5700</v>
      </c>
      <c r="D5623" s="475" t="s">
        <v>5701</v>
      </c>
      <c r="E5623" s="476" t="s">
        <v>34</v>
      </c>
      <c r="F5623" s="475" t="s">
        <v>34</v>
      </c>
      <c r="G5623" s="364">
        <v>87795</v>
      </c>
      <c r="H5623" s="475" t="s">
        <v>4758</v>
      </c>
      <c r="I5623" s="475" t="s">
        <v>322</v>
      </c>
      <c r="J5623" s="475" t="s">
        <v>337</v>
      </c>
      <c r="K5623" s="365">
        <v>31.89</v>
      </c>
      <c r="L5623" s="475" t="s">
        <v>141</v>
      </c>
      <c r="M5623" s="473"/>
    </row>
    <row r="5624" spans="1:13" ht="13.5">
      <c r="A5624" s="475" t="s">
        <v>5696</v>
      </c>
      <c r="B5624" s="475" t="s">
        <v>5697</v>
      </c>
      <c r="C5624" s="475" t="s">
        <v>5700</v>
      </c>
      <c r="D5624" s="475" t="s">
        <v>5701</v>
      </c>
      <c r="E5624" s="476" t="s">
        <v>34</v>
      </c>
      <c r="F5624" s="475" t="s">
        <v>34</v>
      </c>
      <c r="G5624" s="364">
        <v>87797</v>
      </c>
      <c r="H5624" s="475" t="s">
        <v>4759</v>
      </c>
      <c r="I5624" s="475" t="s">
        <v>322</v>
      </c>
      <c r="J5624" s="475" t="s">
        <v>337</v>
      </c>
      <c r="K5624" s="365">
        <v>33.909999999999997</v>
      </c>
      <c r="L5624" s="475" t="s">
        <v>141</v>
      </c>
      <c r="M5624" s="473"/>
    </row>
    <row r="5625" spans="1:13" ht="13.5">
      <c r="A5625" s="475" t="s">
        <v>5696</v>
      </c>
      <c r="B5625" s="475" t="s">
        <v>5697</v>
      </c>
      <c r="C5625" s="475" t="s">
        <v>5700</v>
      </c>
      <c r="D5625" s="475" t="s">
        <v>5701</v>
      </c>
      <c r="E5625" s="476" t="s">
        <v>34</v>
      </c>
      <c r="F5625" s="475" t="s">
        <v>34</v>
      </c>
      <c r="G5625" s="364">
        <v>87799</v>
      </c>
      <c r="H5625" s="475" t="s">
        <v>4760</v>
      </c>
      <c r="I5625" s="475" t="s">
        <v>322</v>
      </c>
      <c r="J5625" s="475" t="s">
        <v>337</v>
      </c>
      <c r="K5625" s="365">
        <v>37.22</v>
      </c>
      <c r="L5625" s="475" t="s">
        <v>141</v>
      </c>
      <c r="M5625" s="473"/>
    </row>
    <row r="5626" spans="1:13" ht="13.5">
      <c r="A5626" s="475" t="s">
        <v>5696</v>
      </c>
      <c r="B5626" s="475" t="s">
        <v>5697</v>
      </c>
      <c r="C5626" s="475" t="s">
        <v>5700</v>
      </c>
      <c r="D5626" s="475" t="s">
        <v>5701</v>
      </c>
      <c r="E5626" s="476" t="s">
        <v>34</v>
      </c>
      <c r="F5626" s="475" t="s">
        <v>34</v>
      </c>
      <c r="G5626" s="364">
        <v>87800</v>
      </c>
      <c r="H5626" s="475" t="s">
        <v>4761</v>
      </c>
      <c r="I5626" s="475" t="s">
        <v>322</v>
      </c>
      <c r="J5626" s="475" t="s">
        <v>337</v>
      </c>
      <c r="K5626" s="365">
        <v>41.74</v>
      </c>
      <c r="L5626" s="475" t="s">
        <v>141</v>
      </c>
      <c r="M5626" s="473"/>
    </row>
    <row r="5627" spans="1:13" ht="13.5">
      <c r="A5627" s="475" t="s">
        <v>5696</v>
      </c>
      <c r="B5627" s="475" t="s">
        <v>5697</v>
      </c>
      <c r="C5627" s="475" t="s">
        <v>5700</v>
      </c>
      <c r="D5627" s="475" t="s">
        <v>5701</v>
      </c>
      <c r="E5627" s="476" t="s">
        <v>34</v>
      </c>
      <c r="F5627" s="475" t="s">
        <v>34</v>
      </c>
      <c r="G5627" s="364">
        <v>87801</v>
      </c>
      <c r="H5627" s="475" t="s">
        <v>4762</v>
      </c>
      <c r="I5627" s="475" t="s">
        <v>322</v>
      </c>
      <c r="J5627" s="475" t="s">
        <v>337</v>
      </c>
      <c r="K5627" s="365">
        <v>40.67</v>
      </c>
      <c r="L5627" s="475" t="s">
        <v>141</v>
      </c>
      <c r="M5627" s="473"/>
    </row>
    <row r="5628" spans="1:13" ht="13.5">
      <c r="A5628" s="475" t="s">
        <v>5696</v>
      </c>
      <c r="B5628" s="475" t="s">
        <v>5697</v>
      </c>
      <c r="C5628" s="475" t="s">
        <v>5700</v>
      </c>
      <c r="D5628" s="475" t="s">
        <v>5701</v>
      </c>
      <c r="E5628" s="476" t="s">
        <v>34</v>
      </c>
      <c r="F5628" s="475" t="s">
        <v>34</v>
      </c>
      <c r="G5628" s="364">
        <v>87803</v>
      </c>
      <c r="H5628" s="475" t="s">
        <v>4763</v>
      </c>
      <c r="I5628" s="475" t="s">
        <v>322</v>
      </c>
      <c r="J5628" s="475" t="s">
        <v>337</v>
      </c>
      <c r="K5628" s="365">
        <v>44.82</v>
      </c>
      <c r="L5628" s="475" t="s">
        <v>141</v>
      </c>
      <c r="M5628" s="473"/>
    </row>
    <row r="5629" spans="1:13" ht="13.5">
      <c r="A5629" s="475" t="s">
        <v>5696</v>
      </c>
      <c r="B5629" s="475" t="s">
        <v>5697</v>
      </c>
      <c r="C5629" s="475" t="s">
        <v>5700</v>
      </c>
      <c r="D5629" s="475" t="s">
        <v>5701</v>
      </c>
      <c r="E5629" s="476" t="s">
        <v>34</v>
      </c>
      <c r="F5629" s="475" t="s">
        <v>34</v>
      </c>
      <c r="G5629" s="364">
        <v>87804</v>
      </c>
      <c r="H5629" s="475" t="s">
        <v>4764</v>
      </c>
      <c r="I5629" s="475" t="s">
        <v>322</v>
      </c>
      <c r="J5629" s="475" t="s">
        <v>337</v>
      </c>
      <c r="K5629" s="365">
        <v>51.59</v>
      </c>
      <c r="L5629" s="475" t="s">
        <v>141</v>
      </c>
      <c r="M5629" s="473"/>
    </row>
    <row r="5630" spans="1:13" ht="13.5">
      <c r="A5630" s="475" t="s">
        <v>5696</v>
      </c>
      <c r="B5630" s="475" t="s">
        <v>5697</v>
      </c>
      <c r="C5630" s="475" t="s">
        <v>5700</v>
      </c>
      <c r="D5630" s="475" t="s">
        <v>5701</v>
      </c>
      <c r="E5630" s="476" t="s">
        <v>34</v>
      </c>
      <c r="F5630" s="475" t="s">
        <v>34</v>
      </c>
      <c r="G5630" s="364">
        <v>87805</v>
      </c>
      <c r="H5630" s="475" t="s">
        <v>4765</v>
      </c>
      <c r="I5630" s="475" t="s">
        <v>322</v>
      </c>
      <c r="J5630" s="475" t="s">
        <v>337</v>
      </c>
      <c r="K5630" s="365">
        <v>46.72</v>
      </c>
      <c r="L5630" s="475" t="s">
        <v>141</v>
      </c>
      <c r="M5630" s="473"/>
    </row>
    <row r="5631" spans="1:13" ht="13.5">
      <c r="A5631" s="475" t="s">
        <v>5696</v>
      </c>
      <c r="B5631" s="475" t="s">
        <v>5697</v>
      </c>
      <c r="C5631" s="475" t="s">
        <v>5700</v>
      </c>
      <c r="D5631" s="475" t="s">
        <v>5701</v>
      </c>
      <c r="E5631" s="476" t="s">
        <v>34</v>
      </c>
      <c r="F5631" s="475" t="s">
        <v>34</v>
      </c>
      <c r="G5631" s="364">
        <v>87807</v>
      </c>
      <c r="H5631" s="475" t="s">
        <v>4766</v>
      </c>
      <c r="I5631" s="475" t="s">
        <v>322</v>
      </c>
      <c r="J5631" s="475" t="s">
        <v>337</v>
      </c>
      <c r="K5631" s="365">
        <v>51.29</v>
      </c>
      <c r="L5631" s="475" t="s">
        <v>141</v>
      </c>
      <c r="M5631" s="473"/>
    </row>
    <row r="5632" spans="1:13" ht="13.5">
      <c r="A5632" s="475" t="s">
        <v>5696</v>
      </c>
      <c r="B5632" s="475" t="s">
        <v>5697</v>
      </c>
      <c r="C5632" s="475" t="s">
        <v>5700</v>
      </c>
      <c r="D5632" s="475" t="s">
        <v>5701</v>
      </c>
      <c r="E5632" s="476" t="s">
        <v>34</v>
      </c>
      <c r="F5632" s="475" t="s">
        <v>34</v>
      </c>
      <c r="G5632" s="364">
        <v>87808</v>
      </c>
      <c r="H5632" s="475" t="s">
        <v>4767</v>
      </c>
      <c r="I5632" s="475" t="s">
        <v>322</v>
      </c>
      <c r="J5632" s="475" t="s">
        <v>337</v>
      </c>
      <c r="K5632" s="365">
        <v>56.18</v>
      </c>
      <c r="L5632" s="475" t="s">
        <v>141</v>
      </c>
      <c r="M5632" s="473"/>
    </row>
    <row r="5633" spans="1:13" ht="13.5">
      <c r="A5633" s="475" t="s">
        <v>5696</v>
      </c>
      <c r="B5633" s="475" t="s">
        <v>5697</v>
      </c>
      <c r="C5633" s="475" t="s">
        <v>5700</v>
      </c>
      <c r="D5633" s="475" t="s">
        <v>5701</v>
      </c>
      <c r="E5633" s="476" t="s">
        <v>34</v>
      </c>
      <c r="F5633" s="475" t="s">
        <v>34</v>
      </c>
      <c r="G5633" s="364">
        <v>87809</v>
      </c>
      <c r="H5633" s="475" t="s">
        <v>4768</v>
      </c>
      <c r="I5633" s="475" t="s">
        <v>322</v>
      </c>
      <c r="J5633" s="475" t="s">
        <v>337</v>
      </c>
      <c r="K5633" s="365">
        <v>63.99</v>
      </c>
      <c r="L5633" s="475" t="s">
        <v>141</v>
      </c>
      <c r="M5633" s="473"/>
    </row>
    <row r="5634" spans="1:13" ht="13.5">
      <c r="A5634" s="475" t="s">
        <v>5696</v>
      </c>
      <c r="B5634" s="475" t="s">
        <v>5697</v>
      </c>
      <c r="C5634" s="475" t="s">
        <v>5700</v>
      </c>
      <c r="D5634" s="475" t="s">
        <v>5701</v>
      </c>
      <c r="E5634" s="476" t="s">
        <v>34</v>
      </c>
      <c r="F5634" s="475" t="s">
        <v>34</v>
      </c>
      <c r="G5634" s="364">
        <v>87811</v>
      </c>
      <c r="H5634" s="475" t="s">
        <v>4769</v>
      </c>
      <c r="I5634" s="475" t="s">
        <v>322</v>
      </c>
      <c r="J5634" s="475" t="s">
        <v>337</v>
      </c>
      <c r="K5634" s="365">
        <v>66.45</v>
      </c>
      <c r="L5634" s="475" t="s">
        <v>141</v>
      </c>
      <c r="M5634" s="473"/>
    </row>
    <row r="5635" spans="1:13" ht="13.5">
      <c r="A5635" s="475" t="s">
        <v>5696</v>
      </c>
      <c r="B5635" s="475" t="s">
        <v>5697</v>
      </c>
      <c r="C5635" s="475" t="s">
        <v>5700</v>
      </c>
      <c r="D5635" s="475" t="s">
        <v>5701</v>
      </c>
      <c r="E5635" s="476" t="s">
        <v>34</v>
      </c>
      <c r="F5635" s="475" t="s">
        <v>34</v>
      </c>
      <c r="G5635" s="364">
        <v>87812</v>
      </c>
      <c r="H5635" s="475" t="s">
        <v>4770</v>
      </c>
      <c r="I5635" s="475" t="s">
        <v>322</v>
      </c>
      <c r="J5635" s="475" t="s">
        <v>337</v>
      </c>
      <c r="K5635" s="365">
        <v>68.38</v>
      </c>
      <c r="L5635" s="475" t="s">
        <v>141</v>
      </c>
      <c r="M5635" s="473"/>
    </row>
    <row r="5636" spans="1:13" ht="13.5">
      <c r="A5636" s="475" t="s">
        <v>5696</v>
      </c>
      <c r="B5636" s="475" t="s">
        <v>5697</v>
      </c>
      <c r="C5636" s="475" t="s">
        <v>5700</v>
      </c>
      <c r="D5636" s="475" t="s">
        <v>5701</v>
      </c>
      <c r="E5636" s="476" t="s">
        <v>34</v>
      </c>
      <c r="F5636" s="475" t="s">
        <v>34</v>
      </c>
      <c r="G5636" s="364">
        <v>87813</v>
      </c>
      <c r="H5636" s="475" t="s">
        <v>4771</v>
      </c>
      <c r="I5636" s="475" t="s">
        <v>322</v>
      </c>
      <c r="J5636" s="475" t="s">
        <v>337</v>
      </c>
      <c r="K5636" s="365">
        <v>70.739999999999995</v>
      </c>
      <c r="L5636" s="475" t="s">
        <v>141</v>
      </c>
      <c r="M5636" s="473"/>
    </row>
    <row r="5637" spans="1:13" ht="13.5">
      <c r="A5637" s="475" t="s">
        <v>5696</v>
      </c>
      <c r="B5637" s="475" t="s">
        <v>5697</v>
      </c>
      <c r="C5637" s="475" t="s">
        <v>5700</v>
      </c>
      <c r="D5637" s="475" t="s">
        <v>5701</v>
      </c>
      <c r="E5637" s="476" t="s">
        <v>34</v>
      </c>
      <c r="F5637" s="475" t="s">
        <v>34</v>
      </c>
      <c r="G5637" s="364">
        <v>87815</v>
      </c>
      <c r="H5637" s="475" t="s">
        <v>4772</v>
      </c>
      <c r="I5637" s="475" t="s">
        <v>322</v>
      </c>
      <c r="J5637" s="475" t="s">
        <v>337</v>
      </c>
      <c r="K5637" s="365">
        <v>74.05</v>
      </c>
      <c r="L5637" s="475" t="s">
        <v>141</v>
      </c>
      <c r="M5637" s="473"/>
    </row>
    <row r="5638" spans="1:13" ht="13.5">
      <c r="A5638" s="475" t="s">
        <v>5696</v>
      </c>
      <c r="B5638" s="475" t="s">
        <v>5697</v>
      </c>
      <c r="C5638" s="475" t="s">
        <v>5700</v>
      </c>
      <c r="D5638" s="475" t="s">
        <v>5701</v>
      </c>
      <c r="E5638" s="476" t="s">
        <v>34</v>
      </c>
      <c r="F5638" s="475" t="s">
        <v>34</v>
      </c>
      <c r="G5638" s="364">
        <v>87816</v>
      </c>
      <c r="H5638" s="475" t="s">
        <v>4773</v>
      </c>
      <c r="I5638" s="475" t="s">
        <v>322</v>
      </c>
      <c r="J5638" s="475" t="s">
        <v>337</v>
      </c>
      <c r="K5638" s="365">
        <v>78.23</v>
      </c>
      <c r="L5638" s="475" t="s">
        <v>141</v>
      </c>
      <c r="M5638" s="473"/>
    </row>
    <row r="5639" spans="1:13" ht="13.5">
      <c r="A5639" s="475" t="s">
        <v>5696</v>
      </c>
      <c r="B5639" s="475" t="s">
        <v>5697</v>
      </c>
      <c r="C5639" s="475" t="s">
        <v>5700</v>
      </c>
      <c r="D5639" s="475" t="s">
        <v>5701</v>
      </c>
      <c r="E5639" s="476" t="s">
        <v>34</v>
      </c>
      <c r="F5639" s="475" t="s">
        <v>34</v>
      </c>
      <c r="G5639" s="364">
        <v>87817</v>
      </c>
      <c r="H5639" s="475" t="s">
        <v>4774</v>
      </c>
      <c r="I5639" s="475" t="s">
        <v>322</v>
      </c>
      <c r="J5639" s="475" t="s">
        <v>337</v>
      </c>
      <c r="K5639" s="365">
        <v>77.150000000000006</v>
      </c>
      <c r="L5639" s="475" t="s">
        <v>141</v>
      </c>
      <c r="M5639" s="473"/>
    </row>
    <row r="5640" spans="1:13" ht="13.5">
      <c r="A5640" s="475" t="s">
        <v>5696</v>
      </c>
      <c r="B5640" s="475" t="s">
        <v>5697</v>
      </c>
      <c r="C5640" s="475" t="s">
        <v>5700</v>
      </c>
      <c r="D5640" s="475" t="s">
        <v>5701</v>
      </c>
      <c r="E5640" s="476" t="s">
        <v>34</v>
      </c>
      <c r="F5640" s="475" t="s">
        <v>34</v>
      </c>
      <c r="G5640" s="364">
        <v>87819</v>
      </c>
      <c r="H5640" s="475" t="s">
        <v>4775</v>
      </c>
      <c r="I5640" s="475" t="s">
        <v>322</v>
      </c>
      <c r="J5640" s="475" t="s">
        <v>337</v>
      </c>
      <c r="K5640" s="365">
        <v>81.3</v>
      </c>
      <c r="L5640" s="475" t="s">
        <v>141</v>
      </c>
      <c r="M5640" s="473"/>
    </row>
    <row r="5641" spans="1:13" ht="13.5">
      <c r="A5641" s="475" t="s">
        <v>5696</v>
      </c>
      <c r="B5641" s="475" t="s">
        <v>5697</v>
      </c>
      <c r="C5641" s="475" t="s">
        <v>5700</v>
      </c>
      <c r="D5641" s="475" t="s">
        <v>5701</v>
      </c>
      <c r="E5641" s="476" t="s">
        <v>34</v>
      </c>
      <c r="F5641" s="475" t="s">
        <v>34</v>
      </c>
      <c r="G5641" s="364">
        <v>87820</v>
      </c>
      <c r="H5641" s="475" t="s">
        <v>4776</v>
      </c>
      <c r="I5641" s="475" t="s">
        <v>322</v>
      </c>
      <c r="J5641" s="475" t="s">
        <v>337</v>
      </c>
      <c r="K5641" s="365">
        <v>88.08</v>
      </c>
      <c r="L5641" s="475" t="s">
        <v>141</v>
      </c>
      <c r="M5641" s="473"/>
    </row>
    <row r="5642" spans="1:13" ht="13.5">
      <c r="A5642" s="475" t="s">
        <v>5696</v>
      </c>
      <c r="B5642" s="475" t="s">
        <v>5697</v>
      </c>
      <c r="C5642" s="475" t="s">
        <v>5700</v>
      </c>
      <c r="D5642" s="475" t="s">
        <v>5701</v>
      </c>
      <c r="E5642" s="476" t="s">
        <v>34</v>
      </c>
      <c r="F5642" s="475" t="s">
        <v>34</v>
      </c>
      <c r="G5642" s="364">
        <v>87821</v>
      </c>
      <c r="H5642" s="475" t="s">
        <v>4777</v>
      </c>
      <c r="I5642" s="475" t="s">
        <v>322</v>
      </c>
      <c r="J5642" s="475" t="s">
        <v>337</v>
      </c>
      <c r="K5642" s="365">
        <v>110.45</v>
      </c>
      <c r="L5642" s="475" t="s">
        <v>141</v>
      </c>
      <c r="M5642" s="473"/>
    </row>
    <row r="5643" spans="1:13" ht="13.5">
      <c r="A5643" s="475" t="s">
        <v>5696</v>
      </c>
      <c r="B5643" s="475" t="s">
        <v>5697</v>
      </c>
      <c r="C5643" s="475" t="s">
        <v>5700</v>
      </c>
      <c r="D5643" s="475" t="s">
        <v>5701</v>
      </c>
      <c r="E5643" s="476" t="s">
        <v>34</v>
      </c>
      <c r="F5643" s="475" t="s">
        <v>34</v>
      </c>
      <c r="G5643" s="364">
        <v>87823</v>
      </c>
      <c r="H5643" s="475" t="s">
        <v>4778</v>
      </c>
      <c r="I5643" s="475" t="s">
        <v>322</v>
      </c>
      <c r="J5643" s="475" t="s">
        <v>337</v>
      </c>
      <c r="K5643" s="365">
        <v>115.02</v>
      </c>
      <c r="L5643" s="475" t="s">
        <v>141</v>
      </c>
      <c r="M5643" s="473"/>
    </row>
    <row r="5644" spans="1:13" ht="13.5">
      <c r="A5644" s="475" t="s">
        <v>5696</v>
      </c>
      <c r="B5644" s="475" t="s">
        <v>5697</v>
      </c>
      <c r="C5644" s="475" t="s">
        <v>5700</v>
      </c>
      <c r="D5644" s="475" t="s">
        <v>5701</v>
      </c>
      <c r="E5644" s="476" t="s">
        <v>34</v>
      </c>
      <c r="F5644" s="475" t="s">
        <v>34</v>
      </c>
      <c r="G5644" s="364">
        <v>87824</v>
      </c>
      <c r="H5644" s="475" t="s">
        <v>4779</v>
      </c>
      <c r="I5644" s="475" t="s">
        <v>322</v>
      </c>
      <c r="J5644" s="475" t="s">
        <v>337</v>
      </c>
      <c r="K5644" s="365">
        <v>119.57</v>
      </c>
      <c r="L5644" s="475" t="s">
        <v>141</v>
      </c>
      <c r="M5644" s="473"/>
    </row>
    <row r="5645" spans="1:13" ht="13.5">
      <c r="A5645" s="475" t="s">
        <v>5696</v>
      </c>
      <c r="B5645" s="475" t="s">
        <v>5697</v>
      </c>
      <c r="C5645" s="475" t="s">
        <v>5700</v>
      </c>
      <c r="D5645" s="475" t="s">
        <v>5701</v>
      </c>
      <c r="E5645" s="476" t="s">
        <v>34</v>
      </c>
      <c r="F5645" s="475" t="s">
        <v>34</v>
      </c>
      <c r="G5645" s="364">
        <v>87825</v>
      </c>
      <c r="H5645" s="475" t="s">
        <v>4780</v>
      </c>
      <c r="I5645" s="475" t="s">
        <v>322</v>
      </c>
      <c r="J5645" s="475" t="s">
        <v>337</v>
      </c>
      <c r="K5645" s="365">
        <v>51.2</v>
      </c>
      <c r="L5645" s="475" t="s">
        <v>141</v>
      </c>
      <c r="M5645" s="473"/>
    </row>
    <row r="5646" spans="1:13" ht="13.5">
      <c r="A5646" s="475" t="s">
        <v>5696</v>
      </c>
      <c r="B5646" s="475" t="s">
        <v>5697</v>
      </c>
      <c r="C5646" s="475" t="s">
        <v>5700</v>
      </c>
      <c r="D5646" s="475" t="s">
        <v>5701</v>
      </c>
      <c r="E5646" s="476" t="s">
        <v>34</v>
      </c>
      <c r="F5646" s="475" t="s">
        <v>34</v>
      </c>
      <c r="G5646" s="364">
        <v>87827</v>
      </c>
      <c r="H5646" s="475" t="s">
        <v>4781</v>
      </c>
      <c r="I5646" s="475" t="s">
        <v>322</v>
      </c>
      <c r="J5646" s="475" t="s">
        <v>337</v>
      </c>
      <c r="K5646" s="365">
        <v>54.22</v>
      </c>
      <c r="L5646" s="475" t="s">
        <v>141</v>
      </c>
      <c r="M5646" s="473"/>
    </row>
    <row r="5647" spans="1:13" ht="13.5">
      <c r="A5647" s="475" t="s">
        <v>5696</v>
      </c>
      <c r="B5647" s="475" t="s">
        <v>5697</v>
      </c>
      <c r="C5647" s="475" t="s">
        <v>5700</v>
      </c>
      <c r="D5647" s="475" t="s">
        <v>5701</v>
      </c>
      <c r="E5647" s="476" t="s">
        <v>34</v>
      </c>
      <c r="F5647" s="475" t="s">
        <v>34</v>
      </c>
      <c r="G5647" s="364">
        <v>87828</v>
      </c>
      <c r="H5647" s="475" t="s">
        <v>4782</v>
      </c>
      <c r="I5647" s="475" t="s">
        <v>322</v>
      </c>
      <c r="J5647" s="475" t="s">
        <v>337</v>
      </c>
      <c r="K5647" s="365">
        <v>57.97</v>
      </c>
      <c r="L5647" s="475" t="s">
        <v>141</v>
      </c>
      <c r="M5647" s="473"/>
    </row>
    <row r="5648" spans="1:13" ht="13.5">
      <c r="A5648" s="475" t="s">
        <v>5696</v>
      </c>
      <c r="B5648" s="475" t="s">
        <v>5697</v>
      </c>
      <c r="C5648" s="475" t="s">
        <v>5700</v>
      </c>
      <c r="D5648" s="475" t="s">
        <v>5701</v>
      </c>
      <c r="E5648" s="476" t="s">
        <v>34</v>
      </c>
      <c r="F5648" s="475" t="s">
        <v>34</v>
      </c>
      <c r="G5648" s="364">
        <v>87829</v>
      </c>
      <c r="H5648" s="475" t="s">
        <v>4783</v>
      </c>
      <c r="I5648" s="475" t="s">
        <v>322</v>
      </c>
      <c r="J5648" s="475" t="s">
        <v>337</v>
      </c>
      <c r="K5648" s="365">
        <v>58.84</v>
      </c>
      <c r="L5648" s="475" t="s">
        <v>141</v>
      </c>
      <c r="M5648" s="473"/>
    </row>
    <row r="5649" spans="1:13" ht="13.5">
      <c r="A5649" s="475" t="s">
        <v>5696</v>
      </c>
      <c r="B5649" s="475" t="s">
        <v>5697</v>
      </c>
      <c r="C5649" s="475" t="s">
        <v>5700</v>
      </c>
      <c r="D5649" s="475" t="s">
        <v>5701</v>
      </c>
      <c r="E5649" s="476" t="s">
        <v>34</v>
      </c>
      <c r="F5649" s="475" t="s">
        <v>34</v>
      </c>
      <c r="G5649" s="364">
        <v>87831</v>
      </c>
      <c r="H5649" s="475" t="s">
        <v>4784</v>
      </c>
      <c r="I5649" s="475" t="s">
        <v>322</v>
      </c>
      <c r="J5649" s="475" t="s">
        <v>337</v>
      </c>
      <c r="K5649" s="365">
        <v>62.89</v>
      </c>
      <c r="L5649" s="475" t="s">
        <v>141</v>
      </c>
      <c r="M5649" s="473"/>
    </row>
    <row r="5650" spans="1:13" ht="13.5">
      <c r="A5650" s="475" t="s">
        <v>5696</v>
      </c>
      <c r="B5650" s="475" t="s">
        <v>5697</v>
      </c>
      <c r="C5650" s="475" t="s">
        <v>5700</v>
      </c>
      <c r="D5650" s="475" t="s">
        <v>5701</v>
      </c>
      <c r="E5650" s="476" t="s">
        <v>34</v>
      </c>
      <c r="F5650" s="475" t="s">
        <v>34</v>
      </c>
      <c r="G5650" s="364">
        <v>87832</v>
      </c>
      <c r="H5650" s="475" t="s">
        <v>4785</v>
      </c>
      <c r="I5650" s="475" t="s">
        <v>322</v>
      </c>
      <c r="J5650" s="475" t="s">
        <v>337</v>
      </c>
      <c r="K5650" s="365">
        <v>69.400000000000006</v>
      </c>
      <c r="L5650" s="475" t="s">
        <v>141</v>
      </c>
      <c r="M5650" s="473"/>
    </row>
    <row r="5651" spans="1:13" ht="13.5">
      <c r="A5651" s="475" t="s">
        <v>5696</v>
      </c>
      <c r="B5651" s="475" t="s">
        <v>5697</v>
      </c>
      <c r="C5651" s="475" t="s">
        <v>5700</v>
      </c>
      <c r="D5651" s="475" t="s">
        <v>5701</v>
      </c>
      <c r="E5651" s="476" t="s">
        <v>34</v>
      </c>
      <c r="F5651" s="475" t="s">
        <v>34</v>
      </c>
      <c r="G5651" s="364">
        <v>87834</v>
      </c>
      <c r="H5651" s="475" t="s">
        <v>4786</v>
      </c>
      <c r="I5651" s="475" t="s">
        <v>322</v>
      </c>
      <c r="J5651" s="475" t="s">
        <v>140</v>
      </c>
      <c r="K5651" s="365">
        <v>103.94</v>
      </c>
      <c r="L5651" s="475" t="s">
        <v>141</v>
      </c>
      <c r="M5651" s="473"/>
    </row>
    <row r="5652" spans="1:13" ht="13.5">
      <c r="A5652" s="475" t="s">
        <v>5696</v>
      </c>
      <c r="B5652" s="475" t="s">
        <v>5697</v>
      </c>
      <c r="C5652" s="475" t="s">
        <v>5700</v>
      </c>
      <c r="D5652" s="475" t="s">
        <v>5701</v>
      </c>
      <c r="E5652" s="476" t="s">
        <v>34</v>
      </c>
      <c r="F5652" s="475" t="s">
        <v>34</v>
      </c>
      <c r="G5652" s="364">
        <v>87835</v>
      </c>
      <c r="H5652" s="475" t="s">
        <v>4787</v>
      </c>
      <c r="I5652" s="475" t="s">
        <v>322</v>
      </c>
      <c r="J5652" s="475" t="s">
        <v>140</v>
      </c>
      <c r="K5652" s="365">
        <v>70.5</v>
      </c>
      <c r="L5652" s="475" t="s">
        <v>141</v>
      </c>
      <c r="M5652" s="473"/>
    </row>
    <row r="5653" spans="1:13" ht="13.5">
      <c r="A5653" s="475" t="s">
        <v>5696</v>
      </c>
      <c r="B5653" s="475" t="s">
        <v>5697</v>
      </c>
      <c r="C5653" s="475" t="s">
        <v>5700</v>
      </c>
      <c r="D5653" s="475" t="s">
        <v>5701</v>
      </c>
      <c r="E5653" s="476" t="s">
        <v>34</v>
      </c>
      <c r="F5653" s="475" t="s">
        <v>34</v>
      </c>
      <c r="G5653" s="364">
        <v>87836</v>
      </c>
      <c r="H5653" s="475" t="s">
        <v>4788</v>
      </c>
      <c r="I5653" s="475" t="s">
        <v>322</v>
      </c>
      <c r="J5653" s="475" t="s">
        <v>140</v>
      </c>
      <c r="K5653" s="365">
        <v>98.13</v>
      </c>
      <c r="L5653" s="475" t="s">
        <v>141</v>
      </c>
      <c r="M5653" s="473"/>
    </row>
    <row r="5654" spans="1:13" ht="13.5">
      <c r="A5654" s="475" t="s">
        <v>5696</v>
      </c>
      <c r="B5654" s="475" t="s">
        <v>5697</v>
      </c>
      <c r="C5654" s="475" t="s">
        <v>5700</v>
      </c>
      <c r="D5654" s="475" t="s">
        <v>5701</v>
      </c>
      <c r="E5654" s="476" t="s">
        <v>34</v>
      </c>
      <c r="F5654" s="475" t="s">
        <v>34</v>
      </c>
      <c r="G5654" s="364">
        <v>87837</v>
      </c>
      <c r="H5654" s="475" t="s">
        <v>4789</v>
      </c>
      <c r="I5654" s="475" t="s">
        <v>322</v>
      </c>
      <c r="J5654" s="475" t="s">
        <v>140</v>
      </c>
      <c r="K5654" s="365">
        <v>65.349999999999994</v>
      </c>
      <c r="L5654" s="475" t="s">
        <v>141</v>
      </c>
      <c r="M5654" s="473"/>
    </row>
    <row r="5655" spans="1:13" ht="13.5">
      <c r="A5655" s="475" t="s">
        <v>5696</v>
      </c>
      <c r="B5655" s="475" t="s">
        <v>5697</v>
      </c>
      <c r="C5655" s="475" t="s">
        <v>5700</v>
      </c>
      <c r="D5655" s="475" t="s">
        <v>5701</v>
      </c>
      <c r="E5655" s="476" t="s">
        <v>34</v>
      </c>
      <c r="F5655" s="475" t="s">
        <v>34</v>
      </c>
      <c r="G5655" s="364">
        <v>87838</v>
      </c>
      <c r="H5655" s="475" t="s">
        <v>4790</v>
      </c>
      <c r="I5655" s="475" t="s">
        <v>322</v>
      </c>
      <c r="J5655" s="475" t="s">
        <v>140</v>
      </c>
      <c r="K5655" s="365">
        <v>110.34</v>
      </c>
      <c r="L5655" s="475" t="s">
        <v>141</v>
      </c>
      <c r="M5655" s="473"/>
    </row>
    <row r="5656" spans="1:13" ht="13.5">
      <c r="A5656" s="475" t="s">
        <v>5696</v>
      </c>
      <c r="B5656" s="475" t="s">
        <v>5697</v>
      </c>
      <c r="C5656" s="475" t="s">
        <v>5700</v>
      </c>
      <c r="D5656" s="475" t="s">
        <v>5701</v>
      </c>
      <c r="E5656" s="476" t="s">
        <v>34</v>
      </c>
      <c r="F5656" s="475" t="s">
        <v>34</v>
      </c>
      <c r="G5656" s="364">
        <v>87839</v>
      </c>
      <c r="H5656" s="475" t="s">
        <v>4791</v>
      </c>
      <c r="I5656" s="475" t="s">
        <v>322</v>
      </c>
      <c r="J5656" s="475" t="s">
        <v>140</v>
      </c>
      <c r="K5656" s="365">
        <v>74.8</v>
      </c>
      <c r="L5656" s="475" t="s">
        <v>141</v>
      </c>
      <c r="M5656" s="473"/>
    </row>
    <row r="5657" spans="1:13" ht="13.5">
      <c r="A5657" s="475" t="s">
        <v>5696</v>
      </c>
      <c r="B5657" s="475" t="s">
        <v>5697</v>
      </c>
      <c r="C5657" s="475" t="s">
        <v>5700</v>
      </c>
      <c r="D5657" s="475" t="s">
        <v>5701</v>
      </c>
      <c r="E5657" s="476" t="s">
        <v>34</v>
      </c>
      <c r="F5657" s="475" t="s">
        <v>34</v>
      </c>
      <c r="G5657" s="364">
        <v>87840</v>
      </c>
      <c r="H5657" s="475" t="s">
        <v>4792</v>
      </c>
      <c r="I5657" s="475" t="s">
        <v>322</v>
      </c>
      <c r="J5657" s="475" t="s">
        <v>140</v>
      </c>
      <c r="K5657" s="365">
        <v>103.22</v>
      </c>
      <c r="L5657" s="475" t="s">
        <v>141</v>
      </c>
      <c r="M5657" s="473"/>
    </row>
    <row r="5658" spans="1:13" ht="13.5">
      <c r="A5658" s="475" t="s">
        <v>5696</v>
      </c>
      <c r="B5658" s="475" t="s">
        <v>5697</v>
      </c>
      <c r="C5658" s="475" t="s">
        <v>5700</v>
      </c>
      <c r="D5658" s="475" t="s">
        <v>5701</v>
      </c>
      <c r="E5658" s="476" t="s">
        <v>34</v>
      </c>
      <c r="F5658" s="475" t="s">
        <v>34</v>
      </c>
      <c r="G5658" s="364">
        <v>87841</v>
      </c>
      <c r="H5658" s="475" t="s">
        <v>4793</v>
      </c>
      <c r="I5658" s="475" t="s">
        <v>322</v>
      </c>
      <c r="J5658" s="475" t="s">
        <v>140</v>
      </c>
      <c r="K5658" s="365">
        <v>68.319999999999993</v>
      </c>
      <c r="L5658" s="475" t="s">
        <v>141</v>
      </c>
      <c r="M5658" s="473"/>
    </row>
    <row r="5659" spans="1:13" ht="13.5">
      <c r="A5659" s="475" t="s">
        <v>5696</v>
      </c>
      <c r="B5659" s="475" t="s">
        <v>5697</v>
      </c>
      <c r="C5659" s="475" t="s">
        <v>5700</v>
      </c>
      <c r="D5659" s="475" t="s">
        <v>5701</v>
      </c>
      <c r="E5659" s="476" t="s">
        <v>34</v>
      </c>
      <c r="F5659" s="475" t="s">
        <v>34</v>
      </c>
      <c r="G5659" s="364">
        <v>87842</v>
      </c>
      <c r="H5659" s="475" t="s">
        <v>4794</v>
      </c>
      <c r="I5659" s="475" t="s">
        <v>322</v>
      </c>
      <c r="J5659" s="475" t="s">
        <v>337</v>
      </c>
      <c r="K5659" s="365">
        <v>107.92</v>
      </c>
      <c r="L5659" s="475" t="s">
        <v>141</v>
      </c>
      <c r="M5659" s="473"/>
    </row>
    <row r="5660" spans="1:13" ht="13.5">
      <c r="A5660" s="475" t="s">
        <v>5696</v>
      </c>
      <c r="B5660" s="475" t="s">
        <v>5697</v>
      </c>
      <c r="C5660" s="475" t="s">
        <v>5700</v>
      </c>
      <c r="D5660" s="475" t="s">
        <v>5701</v>
      </c>
      <c r="E5660" s="476" t="s">
        <v>34</v>
      </c>
      <c r="F5660" s="475" t="s">
        <v>34</v>
      </c>
      <c r="G5660" s="364">
        <v>87843</v>
      </c>
      <c r="H5660" s="475" t="s">
        <v>4795</v>
      </c>
      <c r="I5660" s="475" t="s">
        <v>322</v>
      </c>
      <c r="J5660" s="475" t="s">
        <v>337</v>
      </c>
      <c r="K5660" s="365">
        <v>81.23</v>
      </c>
      <c r="L5660" s="475" t="s">
        <v>141</v>
      </c>
      <c r="M5660" s="473"/>
    </row>
    <row r="5661" spans="1:13" ht="13.5">
      <c r="A5661" s="475" t="s">
        <v>5696</v>
      </c>
      <c r="B5661" s="475" t="s">
        <v>5697</v>
      </c>
      <c r="C5661" s="475" t="s">
        <v>5700</v>
      </c>
      <c r="D5661" s="475" t="s">
        <v>5701</v>
      </c>
      <c r="E5661" s="476" t="s">
        <v>34</v>
      </c>
      <c r="F5661" s="475" t="s">
        <v>34</v>
      </c>
      <c r="G5661" s="364">
        <v>87844</v>
      </c>
      <c r="H5661" s="475" t="s">
        <v>4796</v>
      </c>
      <c r="I5661" s="475" t="s">
        <v>322</v>
      </c>
      <c r="J5661" s="475" t="s">
        <v>337</v>
      </c>
      <c r="K5661" s="365">
        <v>97.3</v>
      </c>
      <c r="L5661" s="475" t="s">
        <v>141</v>
      </c>
      <c r="M5661" s="473"/>
    </row>
    <row r="5662" spans="1:13" ht="13.5">
      <c r="A5662" s="475" t="s">
        <v>5696</v>
      </c>
      <c r="B5662" s="475" t="s">
        <v>5697</v>
      </c>
      <c r="C5662" s="475" t="s">
        <v>5700</v>
      </c>
      <c r="D5662" s="475" t="s">
        <v>5701</v>
      </c>
      <c r="E5662" s="476" t="s">
        <v>34</v>
      </c>
      <c r="F5662" s="475" t="s">
        <v>34</v>
      </c>
      <c r="G5662" s="364">
        <v>87845</v>
      </c>
      <c r="H5662" s="475" t="s">
        <v>4797</v>
      </c>
      <c r="I5662" s="475" t="s">
        <v>322</v>
      </c>
      <c r="J5662" s="475" t="s">
        <v>337</v>
      </c>
      <c r="K5662" s="365">
        <v>71.290000000000006</v>
      </c>
      <c r="L5662" s="475" t="s">
        <v>141</v>
      </c>
      <c r="M5662" s="473"/>
    </row>
    <row r="5663" spans="1:13" ht="13.5">
      <c r="A5663" s="475" t="s">
        <v>5696</v>
      </c>
      <c r="B5663" s="475" t="s">
        <v>5697</v>
      </c>
      <c r="C5663" s="475" t="s">
        <v>5700</v>
      </c>
      <c r="D5663" s="475" t="s">
        <v>5701</v>
      </c>
      <c r="E5663" s="476" t="s">
        <v>34</v>
      </c>
      <c r="F5663" s="475" t="s">
        <v>34</v>
      </c>
      <c r="G5663" s="364">
        <v>87846</v>
      </c>
      <c r="H5663" s="475" t="s">
        <v>4798</v>
      </c>
      <c r="I5663" s="475" t="s">
        <v>322</v>
      </c>
      <c r="J5663" s="475" t="s">
        <v>140</v>
      </c>
      <c r="K5663" s="365">
        <v>113</v>
      </c>
      <c r="L5663" s="475" t="s">
        <v>141</v>
      </c>
      <c r="M5663" s="473"/>
    </row>
    <row r="5664" spans="1:13" ht="13.5">
      <c r="A5664" s="475" t="s">
        <v>5696</v>
      </c>
      <c r="B5664" s="475" t="s">
        <v>5697</v>
      </c>
      <c r="C5664" s="475" t="s">
        <v>5700</v>
      </c>
      <c r="D5664" s="475" t="s">
        <v>5701</v>
      </c>
      <c r="E5664" s="476" t="s">
        <v>34</v>
      </c>
      <c r="F5664" s="475" t="s">
        <v>34</v>
      </c>
      <c r="G5664" s="364">
        <v>87847</v>
      </c>
      <c r="H5664" s="475" t="s">
        <v>4799</v>
      </c>
      <c r="I5664" s="475" t="s">
        <v>322</v>
      </c>
      <c r="J5664" s="475" t="s">
        <v>140</v>
      </c>
      <c r="K5664" s="365">
        <v>79.56</v>
      </c>
      <c r="L5664" s="475" t="s">
        <v>141</v>
      </c>
      <c r="M5664" s="473"/>
    </row>
    <row r="5665" spans="1:13" ht="13.5">
      <c r="A5665" s="475" t="s">
        <v>5696</v>
      </c>
      <c r="B5665" s="475" t="s">
        <v>5697</v>
      </c>
      <c r="C5665" s="475" t="s">
        <v>5700</v>
      </c>
      <c r="D5665" s="475" t="s">
        <v>5701</v>
      </c>
      <c r="E5665" s="476" t="s">
        <v>34</v>
      </c>
      <c r="F5665" s="475" t="s">
        <v>34</v>
      </c>
      <c r="G5665" s="364">
        <v>87848</v>
      </c>
      <c r="H5665" s="475" t="s">
        <v>4800</v>
      </c>
      <c r="I5665" s="475" t="s">
        <v>322</v>
      </c>
      <c r="J5665" s="475" t="s">
        <v>140</v>
      </c>
      <c r="K5665" s="365">
        <v>106.16</v>
      </c>
      <c r="L5665" s="475" t="s">
        <v>141</v>
      </c>
      <c r="M5665" s="473"/>
    </row>
    <row r="5666" spans="1:13" ht="13.5">
      <c r="A5666" s="475" t="s">
        <v>5696</v>
      </c>
      <c r="B5666" s="475" t="s">
        <v>5697</v>
      </c>
      <c r="C5666" s="475" t="s">
        <v>5700</v>
      </c>
      <c r="D5666" s="475" t="s">
        <v>5701</v>
      </c>
      <c r="E5666" s="476" t="s">
        <v>34</v>
      </c>
      <c r="F5666" s="475" t="s">
        <v>34</v>
      </c>
      <c r="G5666" s="364">
        <v>87849</v>
      </c>
      <c r="H5666" s="475" t="s">
        <v>4801</v>
      </c>
      <c r="I5666" s="475" t="s">
        <v>322</v>
      </c>
      <c r="J5666" s="475" t="s">
        <v>140</v>
      </c>
      <c r="K5666" s="365">
        <v>73.38</v>
      </c>
      <c r="L5666" s="475" t="s">
        <v>141</v>
      </c>
      <c r="M5666" s="473"/>
    </row>
    <row r="5667" spans="1:13" ht="13.5">
      <c r="A5667" s="475" t="s">
        <v>5696</v>
      </c>
      <c r="B5667" s="475" t="s">
        <v>5697</v>
      </c>
      <c r="C5667" s="475" t="s">
        <v>5700</v>
      </c>
      <c r="D5667" s="475" t="s">
        <v>5701</v>
      </c>
      <c r="E5667" s="476" t="s">
        <v>34</v>
      </c>
      <c r="F5667" s="475" t="s">
        <v>34</v>
      </c>
      <c r="G5667" s="364">
        <v>87850</v>
      </c>
      <c r="H5667" s="475" t="s">
        <v>4802</v>
      </c>
      <c r="I5667" s="475" t="s">
        <v>322</v>
      </c>
      <c r="J5667" s="475" t="s">
        <v>140</v>
      </c>
      <c r="K5667" s="365">
        <v>119.43</v>
      </c>
      <c r="L5667" s="475" t="s">
        <v>141</v>
      </c>
      <c r="M5667" s="473"/>
    </row>
    <row r="5668" spans="1:13" ht="13.5">
      <c r="A5668" s="475" t="s">
        <v>5696</v>
      </c>
      <c r="B5668" s="475" t="s">
        <v>5697</v>
      </c>
      <c r="C5668" s="475" t="s">
        <v>5700</v>
      </c>
      <c r="D5668" s="475" t="s">
        <v>5701</v>
      </c>
      <c r="E5668" s="476" t="s">
        <v>34</v>
      </c>
      <c r="F5668" s="475" t="s">
        <v>34</v>
      </c>
      <c r="G5668" s="364">
        <v>87851</v>
      </c>
      <c r="H5668" s="475" t="s">
        <v>4803</v>
      </c>
      <c r="I5668" s="475" t="s">
        <v>322</v>
      </c>
      <c r="J5668" s="475" t="s">
        <v>140</v>
      </c>
      <c r="K5668" s="365">
        <v>83.88</v>
      </c>
      <c r="L5668" s="475" t="s">
        <v>141</v>
      </c>
      <c r="M5668" s="473"/>
    </row>
    <row r="5669" spans="1:13" ht="13.5">
      <c r="A5669" s="475" t="s">
        <v>5696</v>
      </c>
      <c r="B5669" s="475" t="s">
        <v>5697</v>
      </c>
      <c r="C5669" s="475" t="s">
        <v>5700</v>
      </c>
      <c r="D5669" s="475" t="s">
        <v>5701</v>
      </c>
      <c r="E5669" s="476" t="s">
        <v>34</v>
      </c>
      <c r="F5669" s="475" t="s">
        <v>34</v>
      </c>
      <c r="G5669" s="364">
        <v>87852</v>
      </c>
      <c r="H5669" s="475" t="s">
        <v>4804</v>
      </c>
      <c r="I5669" s="475" t="s">
        <v>322</v>
      </c>
      <c r="J5669" s="475" t="s">
        <v>140</v>
      </c>
      <c r="K5669" s="365">
        <v>111.23</v>
      </c>
      <c r="L5669" s="475" t="s">
        <v>141</v>
      </c>
      <c r="M5669" s="473"/>
    </row>
    <row r="5670" spans="1:13" ht="13.5">
      <c r="A5670" s="475" t="s">
        <v>5696</v>
      </c>
      <c r="B5670" s="475" t="s">
        <v>5697</v>
      </c>
      <c r="C5670" s="475" t="s">
        <v>5700</v>
      </c>
      <c r="D5670" s="475" t="s">
        <v>5701</v>
      </c>
      <c r="E5670" s="476" t="s">
        <v>34</v>
      </c>
      <c r="F5670" s="475" t="s">
        <v>34</v>
      </c>
      <c r="G5670" s="364">
        <v>87853</v>
      </c>
      <c r="H5670" s="475" t="s">
        <v>4805</v>
      </c>
      <c r="I5670" s="475" t="s">
        <v>322</v>
      </c>
      <c r="J5670" s="475" t="s">
        <v>140</v>
      </c>
      <c r="K5670" s="365">
        <v>76.33</v>
      </c>
      <c r="L5670" s="475" t="s">
        <v>141</v>
      </c>
      <c r="M5670" s="473"/>
    </row>
    <row r="5671" spans="1:13" ht="13.5">
      <c r="A5671" s="475" t="s">
        <v>5696</v>
      </c>
      <c r="B5671" s="475" t="s">
        <v>5697</v>
      </c>
      <c r="C5671" s="475" t="s">
        <v>5700</v>
      </c>
      <c r="D5671" s="475" t="s">
        <v>5701</v>
      </c>
      <c r="E5671" s="476" t="s">
        <v>34</v>
      </c>
      <c r="F5671" s="475" t="s">
        <v>34</v>
      </c>
      <c r="G5671" s="364">
        <v>87854</v>
      </c>
      <c r="H5671" s="475" t="s">
        <v>4806</v>
      </c>
      <c r="I5671" s="475" t="s">
        <v>322</v>
      </c>
      <c r="J5671" s="475" t="s">
        <v>337</v>
      </c>
      <c r="K5671" s="365">
        <v>116.99</v>
      </c>
      <c r="L5671" s="475" t="s">
        <v>141</v>
      </c>
      <c r="M5671" s="473"/>
    </row>
    <row r="5672" spans="1:13" ht="13.5">
      <c r="A5672" s="475" t="s">
        <v>5696</v>
      </c>
      <c r="B5672" s="475" t="s">
        <v>5697</v>
      </c>
      <c r="C5672" s="475" t="s">
        <v>5700</v>
      </c>
      <c r="D5672" s="475" t="s">
        <v>5701</v>
      </c>
      <c r="E5672" s="476" t="s">
        <v>34</v>
      </c>
      <c r="F5672" s="475" t="s">
        <v>34</v>
      </c>
      <c r="G5672" s="364">
        <v>87855</v>
      </c>
      <c r="H5672" s="475" t="s">
        <v>4807</v>
      </c>
      <c r="I5672" s="475" t="s">
        <v>322</v>
      </c>
      <c r="J5672" s="475" t="s">
        <v>337</v>
      </c>
      <c r="K5672" s="365">
        <v>90.31</v>
      </c>
      <c r="L5672" s="475" t="s">
        <v>141</v>
      </c>
      <c r="M5672" s="473"/>
    </row>
    <row r="5673" spans="1:13" ht="13.5">
      <c r="A5673" s="475" t="s">
        <v>5696</v>
      </c>
      <c r="B5673" s="475" t="s">
        <v>5697</v>
      </c>
      <c r="C5673" s="475" t="s">
        <v>5700</v>
      </c>
      <c r="D5673" s="475" t="s">
        <v>5701</v>
      </c>
      <c r="E5673" s="476" t="s">
        <v>34</v>
      </c>
      <c r="F5673" s="475" t="s">
        <v>34</v>
      </c>
      <c r="G5673" s="364">
        <v>87856</v>
      </c>
      <c r="H5673" s="475" t="s">
        <v>4808</v>
      </c>
      <c r="I5673" s="475" t="s">
        <v>322</v>
      </c>
      <c r="J5673" s="475" t="s">
        <v>337</v>
      </c>
      <c r="K5673" s="365">
        <v>105.34</v>
      </c>
      <c r="L5673" s="475" t="s">
        <v>141</v>
      </c>
      <c r="M5673" s="473"/>
    </row>
    <row r="5674" spans="1:13" ht="13.5">
      <c r="A5674" s="475" t="s">
        <v>5696</v>
      </c>
      <c r="B5674" s="475" t="s">
        <v>5697</v>
      </c>
      <c r="C5674" s="475" t="s">
        <v>5700</v>
      </c>
      <c r="D5674" s="475" t="s">
        <v>5701</v>
      </c>
      <c r="E5674" s="476" t="s">
        <v>34</v>
      </c>
      <c r="F5674" s="475" t="s">
        <v>34</v>
      </c>
      <c r="G5674" s="364">
        <v>87857</v>
      </c>
      <c r="H5674" s="475" t="s">
        <v>4809</v>
      </c>
      <c r="I5674" s="475" t="s">
        <v>322</v>
      </c>
      <c r="J5674" s="475" t="s">
        <v>337</v>
      </c>
      <c r="K5674" s="365">
        <v>79.31</v>
      </c>
      <c r="L5674" s="475" t="s">
        <v>141</v>
      </c>
      <c r="M5674" s="473"/>
    </row>
    <row r="5675" spans="1:13" ht="13.5">
      <c r="A5675" s="475" t="s">
        <v>5696</v>
      </c>
      <c r="B5675" s="475" t="s">
        <v>5697</v>
      </c>
      <c r="C5675" s="475" t="s">
        <v>5700</v>
      </c>
      <c r="D5675" s="475" t="s">
        <v>5701</v>
      </c>
      <c r="E5675" s="476" t="s">
        <v>34</v>
      </c>
      <c r="F5675" s="475" t="s">
        <v>34</v>
      </c>
      <c r="G5675" s="364">
        <v>87858</v>
      </c>
      <c r="H5675" s="475" t="s">
        <v>4810</v>
      </c>
      <c r="I5675" s="475" t="s">
        <v>322</v>
      </c>
      <c r="J5675" s="475" t="s">
        <v>140</v>
      </c>
      <c r="K5675" s="365">
        <v>77.59</v>
      </c>
      <c r="L5675" s="475" t="s">
        <v>141</v>
      </c>
      <c r="M5675" s="473"/>
    </row>
    <row r="5676" spans="1:13" ht="13.5">
      <c r="A5676" s="475" t="s">
        <v>5696</v>
      </c>
      <c r="B5676" s="475" t="s">
        <v>5697</v>
      </c>
      <c r="C5676" s="475" t="s">
        <v>5700</v>
      </c>
      <c r="D5676" s="475" t="s">
        <v>5701</v>
      </c>
      <c r="E5676" s="476" t="s">
        <v>34</v>
      </c>
      <c r="F5676" s="475" t="s">
        <v>34</v>
      </c>
      <c r="G5676" s="364">
        <v>87859</v>
      </c>
      <c r="H5676" s="475" t="s">
        <v>4811</v>
      </c>
      <c r="I5676" s="475" t="s">
        <v>322</v>
      </c>
      <c r="J5676" s="475" t="s">
        <v>140</v>
      </c>
      <c r="K5676" s="365">
        <v>91.08</v>
      </c>
      <c r="L5676" s="475" t="s">
        <v>141</v>
      </c>
      <c r="M5676" s="473"/>
    </row>
    <row r="5677" spans="1:13" ht="13.5">
      <c r="A5677" s="475" t="s">
        <v>5696</v>
      </c>
      <c r="B5677" s="475" t="s">
        <v>5697</v>
      </c>
      <c r="C5677" s="475" t="s">
        <v>5700</v>
      </c>
      <c r="D5677" s="475" t="s">
        <v>5701</v>
      </c>
      <c r="E5677" s="476" t="s">
        <v>34</v>
      </c>
      <c r="F5677" s="475" t="s">
        <v>34</v>
      </c>
      <c r="G5677" s="364">
        <v>89048</v>
      </c>
      <c r="H5677" s="475" t="s">
        <v>4812</v>
      </c>
      <c r="I5677" s="475" t="s">
        <v>322</v>
      </c>
      <c r="J5677" s="475" t="s">
        <v>337</v>
      </c>
      <c r="K5677" s="365">
        <v>27.32</v>
      </c>
      <c r="L5677" s="475" t="s">
        <v>141</v>
      </c>
      <c r="M5677" s="473"/>
    </row>
    <row r="5678" spans="1:13" ht="13.5">
      <c r="A5678" s="475" t="s">
        <v>5696</v>
      </c>
      <c r="B5678" s="475" t="s">
        <v>5697</v>
      </c>
      <c r="C5678" s="475" t="s">
        <v>5700</v>
      </c>
      <c r="D5678" s="475" t="s">
        <v>5701</v>
      </c>
      <c r="E5678" s="476" t="s">
        <v>34</v>
      </c>
      <c r="F5678" s="475" t="s">
        <v>34</v>
      </c>
      <c r="G5678" s="364">
        <v>89049</v>
      </c>
      <c r="H5678" s="475" t="s">
        <v>4813</v>
      </c>
      <c r="I5678" s="475" t="s">
        <v>322</v>
      </c>
      <c r="J5678" s="475" t="s">
        <v>337</v>
      </c>
      <c r="K5678" s="365">
        <v>17.170000000000002</v>
      </c>
      <c r="L5678" s="475" t="s">
        <v>141</v>
      </c>
      <c r="M5678" s="473"/>
    </row>
    <row r="5679" spans="1:13" ht="13.5">
      <c r="A5679" s="475" t="s">
        <v>5696</v>
      </c>
      <c r="B5679" s="475" t="s">
        <v>5697</v>
      </c>
      <c r="C5679" s="475" t="s">
        <v>5700</v>
      </c>
      <c r="D5679" s="475" t="s">
        <v>5701</v>
      </c>
      <c r="E5679" s="476" t="s">
        <v>34</v>
      </c>
      <c r="F5679" s="475" t="s">
        <v>34</v>
      </c>
      <c r="G5679" s="364">
        <v>89173</v>
      </c>
      <c r="H5679" s="475" t="s">
        <v>4814</v>
      </c>
      <c r="I5679" s="475" t="s">
        <v>322</v>
      </c>
      <c r="J5679" s="475" t="s">
        <v>337</v>
      </c>
      <c r="K5679" s="365">
        <v>26.88</v>
      </c>
      <c r="L5679" s="475" t="s">
        <v>141</v>
      </c>
      <c r="M5679" s="473"/>
    </row>
    <row r="5680" spans="1:13" ht="13.5">
      <c r="A5680" s="475" t="s">
        <v>5696</v>
      </c>
      <c r="B5680" s="475" t="s">
        <v>5697</v>
      </c>
      <c r="C5680" s="475" t="s">
        <v>5700</v>
      </c>
      <c r="D5680" s="475" t="s">
        <v>5701</v>
      </c>
      <c r="E5680" s="476" t="s">
        <v>34</v>
      </c>
      <c r="F5680" s="475" t="s">
        <v>34</v>
      </c>
      <c r="G5680" s="364">
        <v>90406</v>
      </c>
      <c r="H5680" s="475" t="s">
        <v>4815</v>
      </c>
      <c r="I5680" s="475" t="s">
        <v>322</v>
      </c>
      <c r="J5680" s="475" t="s">
        <v>337</v>
      </c>
      <c r="K5680" s="365">
        <v>34.61</v>
      </c>
      <c r="L5680" s="475" t="s">
        <v>141</v>
      </c>
      <c r="M5680" s="473"/>
    </row>
    <row r="5681" spans="1:13" ht="13.5">
      <c r="A5681" s="475" t="s">
        <v>5696</v>
      </c>
      <c r="B5681" s="475" t="s">
        <v>5697</v>
      </c>
      <c r="C5681" s="475" t="s">
        <v>5700</v>
      </c>
      <c r="D5681" s="475" t="s">
        <v>5701</v>
      </c>
      <c r="E5681" s="476" t="s">
        <v>34</v>
      </c>
      <c r="F5681" s="475" t="s">
        <v>34</v>
      </c>
      <c r="G5681" s="364">
        <v>90407</v>
      </c>
      <c r="H5681" s="475" t="s">
        <v>4816</v>
      </c>
      <c r="I5681" s="475" t="s">
        <v>322</v>
      </c>
      <c r="J5681" s="475" t="s">
        <v>337</v>
      </c>
      <c r="K5681" s="365">
        <v>37.78</v>
      </c>
      <c r="L5681" s="475" t="s">
        <v>141</v>
      </c>
      <c r="M5681" s="473"/>
    </row>
    <row r="5682" spans="1:13" ht="13.5">
      <c r="A5682" s="475" t="s">
        <v>5696</v>
      </c>
      <c r="B5682" s="475" t="s">
        <v>5697</v>
      </c>
      <c r="C5682" s="475" t="s">
        <v>5700</v>
      </c>
      <c r="D5682" s="475" t="s">
        <v>5701</v>
      </c>
      <c r="E5682" s="476" t="s">
        <v>34</v>
      </c>
      <c r="F5682" s="475" t="s">
        <v>34</v>
      </c>
      <c r="G5682" s="364">
        <v>90408</v>
      </c>
      <c r="H5682" s="475" t="s">
        <v>4817</v>
      </c>
      <c r="I5682" s="475" t="s">
        <v>322</v>
      </c>
      <c r="J5682" s="475" t="s">
        <v>337</v>
      </c>
      <c r="K5682" s="365">
        <v>24.82</v>
      </c>
      <c r="L5682" s="475" t="s">
        <v>141</v>
      </c>
      <c r="M5682" s="473"/>
    </row>
    <row r="5683" spans="1:13" ht="13.5">
      <c r="A5683" s="475" t="s">
        <v>5696</v>
      </c>
      <c r="B5683" s="475" t="s">
        <v>5697</v>
      </c>
      <c r="C5683" s="475" t="s">
        <v>5700</v>
      </c>
      <c r="D5683" s="475" t="s">
        <v>5701</v>
      </c>
      <c r="E5683" s="476" t="s">
        <v>34</v>
      </c>
      <c r="F5683" s="475" t="s">
        <v>34</v>
      </c>
      <c r="G5683" s="364">
        <v>90409</v>
      </c>
      <c r="H5683" s="475" t="s">
        <v>4818</v>
      </c>
      <c r="I5683" s="475" t="s">
        <v>322</v>
      </c>
      <c r="J5683" s="475" t="s">
        <v>337</v>
      </c>
      <c r="K5683" s="365">
        <v>26.61</v>
      </c>
      <c r="L5683" s="475" t="s">
        <v>141</v>
      </c>
      <c r="M5683" s="473"/>
    </row>
    <row r="5684" spans="1:13" ht="13.5">
      <c r="A5684" s="475" t="s">
        <v>5696</v>
      </c>
      <c r="B5684" s="475" t="s">
        <v>5697</v>
      </c>
      <c r="C5684" s="475" t="s">
        <v>5702</v>
      </c>
      <c r="D5684" s="475" t="s">
        <v>5703</v>
      </c>
      <c r="E5684" s="476" t="s">
        <v>34</v>
      </c>
      <c r="F5684" s="475" t="s">
        <v>34</v>
      </c>
      <c r="G5684" s="364">
        <v>5998</v>
      </c>
      <c r="H5684" s="475" t="s">
        <v>4819</v>
      </c>
      <c r="I5684" s="475" t="s">
        <v>322</v>
      </c>
      <c r="J5684" s="475" t="s">
        <v>337</v>
      </c>
      <c r="K5684" s="365">
        <v>0.67</v>
      </c>
      <c r="L5684" s="475" t="s">
        <v>141</v>
      </c>
      <c r="M5684" s="473"/>
    </row>
    <row r="5685" spans="1:13" ht="13.5">
      <c r="A5685" s="475" t="s">
        <v>5696</v>
      </c>
      <c r="B5685" s="475" t="s">
        <v>5697</v>
      </c>
      <c r="C5685" s="475" t="s">
        <v>5704</v>
      </c>
      <c r="D5685" s="475" t="s">
        <v>5705</v>
      </c>
      <c r="E5685" s="476" t="s">
        <v>34</v>
      </c>
      <c r="F5685" s="475" t="s">
        <v>34</v>
      </c>
      <c r="G5685" s="364">
        <v>84084</v>
      </c>
      <c r="H5685" s="475" t="s">
        <v>4820</v>
      </c>
      <c r="I5685" s="475" t="s">
        <v>322</v>
      </c>
      <c r="J5685" s="475" t="s">
        <v>363</v>
      </c>
      <c r="K5685" s="365">
        <v>5.74</v>
      </c>
      <c r="L5685" s="475" t="s">
        <v>141</v>
      </c>
      <c r="M5685" s="473"/>
    </row>
    <row r="5686" spans="1:13" ht="13.5">
      <c r="A5686" s="475" t="s">
        <v>5696</v>
      </c>
      <c r="B5686" s="475" t="s">
        <v>5697</v>
      </c>
      <c r="C5686" s="475" t="s">
        <v>5704</v>
      </c>
      <c r="D5686" s="475" t="s">
        <v>5705</v>
      </c>
      <c r="E5686" s="476" t="s">
        <v>34</v>
      </c>
      <c r="F5686" s="475" t="s">
        <v>34</v>
      </c>
      <c r="G5686" s="364">
        <v>87242</v>
      </c>
      <c r="H5686" s="475" t="s">
        <v>4821</v>
      </c>
      <c r="I5686" s="475" t="s">
        <v>322</v>
      </c>
      <c r="J5686" s="475" t="s">
        <v>337</v>
      </c>
      <c r="K5686" s="365">
        <v>193.3</v>
      </c>
      <c r="L5686" s="475" t="s">
        <v>141</v>
      </c>
      <c r="M5686" s="473"/>
    </row>
    <row r="5687" spans="1:13" ht="13.5">
      <c r="A5687" s="475" t="s">
        <v>5696</v>
      </c>
      <c r="B5687" s="475" t="s">
        <v>5697</v>
      </c>
      <c r="C5687" s="475" t="s">
        <v>5704</v>
      </c>
      <c r="D5687" s="475" t="s">
        <v>5705</v>
      </c>
      <c r="E5687" s="476" t="s">
        <v>34</v>
      </c>
      <c r="F5687" s="475" t="s">
        <v>34</v>
      </c>
      <c r="G5687" s="364">
        <v>87243</v>
      </c>
      <c r="H5687" s="475" t="s">
        <v>4822</v>
      </c>
      <c r="I5687" s="475" t="s">
        <v>322</v>
      </c>
      <c r="J5687" s="475" t="s">
        <v>337</v>
      </c>
      <c r="K5687" s="365">
        <v>177.49</v>
      </c>
      <c r="L5687" s="475" t="s">
        <v>141</v>
      </c>
      <c r="M5687" s="473"/>
    </row>
    <row r="5688" spans="1:13" ht="13.5">
      <c r="A5688" s="475" t="s">
        <v>5696</v>
      </c>
      <c r="B5688" s="475" t="s">
        <v>5697</v>
      </c>
      <c r="C5688" s="475" t="s">
        <v>5704</v>
      </c>
      <c r="D5688" s="475" t="s">
        <v>5705</v>
      </c>
      <c r="E5688" s="476" t="s">
        <v>34</v>
      </c>
      <c r="F5688" s="475" t="s">
        <v>34</v>
      </c>
      <c r="G5688" s="364">
        <v>87244</v>
      </c>
      <c r="H5688" s="475" t="s">
        <v>4823</v>
      </c>
      <c r="I5688" s="475" t="s">
        <v>322</v>
      </c>
      <c r="J5688" s="475" t="s">
        <v>337</v>
      </c>
      <c r="K5688" s="365">
        <v>186.79</v>
      </c>
      <c r="L5688" s="475" t="s">
        <v>141</v>
      </c>
      <c r="M5688" s="473"/>
    </row>
    <row r="5689" spans="1:13" ht="13.5">
      <c r="A5689" s="475" t="s">
        <v>5696</v>
      </c>
      <c r="B5689" s="475" t="s">
        <v>5697</v>
      </c>
      <c r="C5689" s="475" t="s">
        <v>5704</v>
      </c>
      <c r="D5689" s="475" t="s">
        <v>5705</v>
      </c>
      <c r="E5689" s="476" t="s">
        <v>34</v>
      </c>
      <c r="F5689" s="475" t="s">
        <v>34</v>
      </c>
      <c r="G5689" s="364">
        <v>87245</v>
      </c>
      <c r="H5689" s="475" t="s">
        <v>4824</v>
      </c>
      <c r="I5689" s="475" t="s">
        <v>322</v>
      </c>
      <c r="J5689" s="475" t="s">
        <v>337</v>
      </c>
      <c r="K5689" s="365">
        <v>225.45</v>
      </c>
      <c r="L5689" s="475" t="s">
        <v>141</v>
      </c>
      <c r="M5689" s="473"/>
    </row>
    <row r="5690" spans="1:13" ht="13.5">
      <c r="A5690" s="475" t="s">
        <v>5696</v>
      </c>
      <c r="B5690" s="475" t="s">
        <v>5697</v>
      </c>
      <c r="C5690" s="475" t="s">
        <v>5704</v>
      </c>
      <c r="D5690" s="475" t="s">
        <v>5705</v>
      </c>
      <c r="E5690" s="476" t="s">
        <v>34</v>
      </c>
      <c r="F5690" s="475" t="s">
        <v>34</v>
      </c>
      <c r="G5690" s="364">
        <v>87264</v>
      </c>
      <c r="H5690" s="475" t="s">
        <v>4825</v>
      </c>
      <c r="I5690" s="475" t="s">
        <v>322</v>
      </c>
      <c r="J5690" s="475" t="s">
        <v>337</v>
      </c>
      <c r="K5690" s="365">
        <v>58.92</v>
      </c>
      <c r="L5690" s="475" t="s">
        <v>141</v>
      </c>
      <c r="M5690" s="473"/>
    </row>
    <row r="5691" spans="1:13" ht="13.5">
      <c r="A5691" s="475" t="s">
        <v>5696</v>
      </c>
      <c r="B5691" s="475" t="s">
        <v>5697</v>
      </c>
      <c r="C5691" s="475" t="s">
        <v>5704</v>
      </c>
      <c r="D5691" s="475" t="s">
        <v>5705</v>
      </c>
      <c r="E5691" s="476" t="s">
        <v>34</v>
      </c>
      <c r="F5691" s="475" t="s">
        <v>34</v>
      </c>
      <c r="G5691" s="364">
        <v>87265</v>
      </c>
      <c r="H5691" s="475" t="s">
        <v>4826</v>
      </c>
      <c r="I5691" s="475" t="s">
        <v>322</v>
      </c>
      <c r="J5691" s="475" t="s">
        <v>337</v>
      </c>
      <c r="K5691" s="365">
        <v>52.86</v>
      </c>
      <c r="L5691" s="475" t="s">
        <v>141</v>
      </c>
      <c r="M5691" s="473"/>
    </row>
    <row r="5692" spans="1:13" ht="13.5">
      <c r="A5692" s="475" t="s">
        <v>5696</v>
      </c>
      <c r="B5692" s="475" t="s">
        <v>5697</v>
      </c>
      <c r="C5692" s="475" t="s">
        <v>5704</v>
      </c>
      <c r="D5692" s="475" t="s">
        <v>5705</v>
      </c>
      <c r="E5692" s="476" t="s">
        <v>34</v>
      </c>
      <c r="F5692" s="475" t="s">
        <v>34</v>
      </c>
      <c r="G5692" s="364">
        <v>87266</v>
      </c>
      <c r="H5692" s="475" t="s">
        <v>4827</v>
      </c>
      <c r="I5692" s="475" t="s">
        <v>322</v>
      </c>
      <c r="J5692" s="475" t="s">
        <v>337</v>
      </c>
      <c r="K5692" s="365">
        <v>61.04</v>
      </c>
      <c r="L5692" s="475" t="s">
        <v>141</v>
      </c>
      <c r="M5692" s="473"/>
    </row>
    <row r="5693" spans="1:13" ht="13.5">
      <c r="A5693" s="475" t="s">
        <v>5696</v>
      </c>
      <c r="B5693" s="475" t="s">
        <v>5697</v>
      </c>
      <c r="C5693" s="475" t="s">
        <v>5704</v>
      </c>
      <c r="D5693" s="475" t="s">
        <v>5705</v>
      </c>
      <c r="E5693" s="476" t="s">
        <v>34</v>
      </c>
      <c r="F5693" s="475" t="s">
        <v>34</v>
      </c>
      <c r="G5693" s="364">
        <v>87267</v>
      </c>
      <c r="H5693" s="475" t="s">
        <v>4828</v>
      </c>
      <c r="I5693" s="475" t="s">
        <v>322</v>
      </c>
      <c r="J5693" s="475" t="s">
        <v>337</v>
      </c>
      <c r="K5693" s="365">
        <v>58.4</v>
      </c>
      <c r="L5693" s="475" t="s">
        <v>141</v>
      </c>
      <c r="M5693" s="473"/>
    </row>
    <row r="5694" spans="1:13" ht="13.5">
      <c r="A5694" s="475" t="s">
        <v>5696</v>
      </c>
      <c r="B5694" s="475" t="s">
        <v>5697</v>
      </c>
      <c r="C5694" s="475" t="s">
        <v>5704</v>
      </c>
      <c r="D5694" s="475" t="s">
        <v>5705</v>
      </c>
      <c r="E5694" s="476" t="s">
        <v>34</v>
      </c>
      <c r="F5694" s="475" t="s">
        <v>34</v>
      </c>
      <c r="G5694" s="364">
        <v>87268</v>
      </c>
      <c r="H5694" s="475" t="s">
        <v>4829</v>
      </c>
      <c r="I5694" s="475" t="s">
        <v>322</v>
      </c>
      <c r="J5694" s="475" t="s">
        <v>337</v>
      </c>
      <c r="K5694" s="365">
        <v>62.84</v>
      </c>
      <c r="L5694" s="475" t="s">
        <v>141</v>
      </c>
      <c r="M5694" s="473"/>
    </row>
    <row r="5695" spans="1:13" ht="13.5">
      <c r="A5695" s="475" t="s">
        <v>5696</v>
      </c>
      <c r="B5695" s="475" t="s">
        <v>5697</v>
      </c>
      <c r="C5695" s="475" t="s">
        <v>5704</v>
      </c>
      <c r="D5695" s="475" t="s">
        <v>5705</v>
      </c>
      <c r="E5695" s="476" t="s">
        <v>34</v>
      </c>
      <c r="F5695" s="475" t="s">
        <v>34</v>
      </c>
      <c r="G5695" s="364">
        <v>87269</v>
      </c>
      <c r="H5695" s="475" t="s">
        <v>4830</v>
      </c>
      <c r="I5695" s="475" t="s">
        <v>322</v>
      </c>
      <c r="J5695" s="475" t="s">
        <v>337</v>
      </c>
      <c r="K5695" s="365">
        <v>56.27</v>
      </c>
      <c r="L5695" s="475" t="s">
        <v>141</v>
      </c>
      <c r="M5695" s="473"/>
    </row>
    <row r="5696" spans="1:13" ht="13.5">
      <c r="A5696" s="475" t="s">
        <v>5696</v>
      </c>
      <c r="B5696" s="475" t="s">
        <v>5697</v>
      </c>
      <c r="C5696" s="475" t="s">
        <v>5704</v>
      </c>
      <c r="D5696" s="475" t="s">
        <v>5705</v>
      </c>
      <c r="E5696" s="476" t="s">
        <v>34</v>
      </c>
      <c r="F5696" s="475" t="s">
        <v>34</v>
      </c>
      <c r="G5696" s="364">
        <v>87270</v>
      </c>
      <c r="H5696" s="475" t="s">
        <v>4831</v>
      </c>
      <c r="I5696" s="475" t="s">
        <v>322</v>
      </c>
      <c r="J5696" s="475" t="s">
        <v>337</v>
      </c>
      <c r="K5696" s="365">
        <v>64.61</v>
      </c>
      <c r="L5696" s="475" t="s">
        <v>141</v>
      </c>
      <c r="M5696" s="473"/>
    </row>
    <row r="5697" spans="1:13" ht="13.5">
      <c r="A5697" s="475" t="s">
        <v>5696</v>
      </c>
      <c r="B5697" s="475" t="s">
        <v>5697</v>
      </c>
      <c r="C5697" s="475" t="s">
        <v>5704</v>
      </c>
      <c r="D5697" s="475" t="s">
        <v>5705</v>
      </c>
      <c r="E5697" s="476" t="s">
        <v>34</v>
      </c>
      <c r="F5697" s="475" t="s">
        <v>34</v>
      </c>
      <c r="G5697" s="364">
        <v>87271</v>
      </c>
      <c r="H5697" s="475" t="s">
        <v>4832</v>
      </c>
      <c r="I5697" s="475" t="s">
        <v>322</v>
      </c>
      <c r="J5697" s="475" t="s">
        <v>337</v>
      </c>
      <c r="K5697" s="365">
        <v>61.45</v>
      </c>
      <c r="L5697" s="475" t="s">
        <v>141</v>
      </c>
      <c r="M5697" s="473"/>
    </row>
    <row r="5698" spans="1:13" ht="13.5">
      <c r="A5698" s="475" t="s">
        <v>5696</v>
      </c>
      <c r="B5698" s="475" t="s">
        <v>5697</v>
      </c>
      <c r="C5698" s="475" t="s">
        <v>5704</v>
      </c>
      <c r="D5698" s="475" t="s">
        <v>5705</v>
      </c>
      <c r="E5698" s="476" t="s">
        <v>34</v>
      </c>
      <c r="F5698" s="475" t="s">
        <v>34</v>
      </c>
      <c r="G5698" s="364">
        <v>87272</v>
      </c>
      <c r="H5698" s="475" t="s">
        <v>4833</v>
      </c>
      <c r="I5698" s="475" t="s">
        <v>322</v>
      </c>
      <c r="J5698" s="475" t="s">
        <v>337</v>
      </c>
      <c r="K5698" s="365">
        <v>66.209999999999994</v>
      </c>
      <c r="L5698" s="475" t="s">
        <v>141</v>
      </c>
      <c r="M5698" s="473"/>
    </row>
    <row r="5699" spans="1:13" ht="13.5">
      <c r="A5699" s="475" t="s">
        <v>5696</v>
      </c>
      <c r="B5699" s="475" t="s">
        <v>5697</v>
      </c>
      <c r="C5699" s="475" t="s">
        <v>5704</v>
      </c>
      <c r="D5699" s="475" t="s">
        <v>5705</v>
      </c>
      <c r="E5699" s="476" t="s">
        <v>34</v>
      </c>
      <c r="F5699" s="475" t="s">
        <v>34</v>
      </c>
      <c r="G5699" s="364">
        <v>87273</v>
      </c>
      <c r="H5699" s="475" t="s">
        <v>4834</v>
      </c>
      <c r="I5699" s="475" t="s">
        <v>322</v>
      </c>
      <c r="J5699" s="475" t="s">
        <v>337</v>
      </c>
      <c r="K5699" s="365">
        <v>58.18</v>
      </c>
      <c r="L5699" s="475" t="s">
        <v>141</v>
      </c>
      <c r="M5699" s="473"/>
    </row>
    <row r="5700" spans="1:13" ht="13.5">
      <c r="A5700" s="475" t="s">
        <v>5696</v>
      </c>
      <c r="B5700" s="475" t="s">
        <v>5697</v>
      </c>
      <c r="C5700" s="475" t="s">
        <v>5704</v>
      </c>
      <c r="D5700" s="475" t="s">
        <v>5705</v>
      </c>
      <c r="E5700" s="476" t="s">
        <v>34</v>
      </c>
      <c r="F5700" s="475" t="s">
        <v>34</v>
      </c>
      <c r="G5700" s="364">
        <v>87274</v>
      </c>
      <c r="H5700" s="475" t="s">
        <v>4835</v>
      </c>
      <c r="I5700" s="475" t="s">
        <v>322</v>
      </c>
      <c r="J5700" s="475" t="s">
        <v>337</v>
      </c>
      <c r="K5700" s="365">
        <v>67.459999999999994</v>
      </c>
      <c r="L5700" s="475" t="s">
        <v>141</v>
      </c>
      <c r="M5700" s="473"/>
    </row>
    <row r="5701" spans="1:13" ht="13.5">
      <c r="A5701" s="475" t="s">
        <v>5696</v>
      </c>
      <c r="B5701" s="475" t="s">
        <v>5697</v>
      </c>
      <c r="C5701" s="475" t="s">
        <v>5704</v>
      </c>
      <c r="D5701" s="475" t="s">
        <v>5705</v>
      </c>
      <c r="E5701" s="476" t="s">
        <v>34</v>
      </c>
      <c r="F5701" s="475" t="s">
        <v>34</v>
      </c>
      <c r="G5701" s="364">
        <v>87275</v>
      </c>
      <c r="H5701" s="475" t="s">
        <v>4836</v>
      </c>
      <c r="I5701" s="475" t="s">
        <v>322</v>
      </c>
      <c r="J5701" s="475" t="s">
        <v>337</v>
      </c>
      <c r="K5701" s="365">
        <v>64.77</v>
      </c>
      <c r="L5701" s="475" t="s">
        <v>141</v>
      </c>
      <c r="M5701" s="473"/>
    </row>
    <row r="5702" spans="1:13" ht="13.5">
      <c r="A5702" s="475" t="s">
        <v>5696</v>
      </c>
      <c r="B5702" s="475" t="s">
        <v>5697</v>
      </c>
      <c r="C5702" s="475" t="s">
        <v>5704</v>
      </c>
      <c r="D5702" s="475" t="s">
        <v>5705</v>
      </c>
      <c r="E5702" s="476" t="s">
        <v>34</v>
      </c>
      <c r="F5702" s="475" t="s">
        <v>34</v>
      </c>
      <c r="G5702" s="364">
        <v>88786</v>
      </c>
      <c r="H5702" s="475" t="s">
        <v>4837</v>
      </c>
      <c r="I5702" s="475" t="s">
        <v>322</v>
      </c>
      <c r="J5702" s="475" t="s">
        <v>337</v>
      </c>
      <c r="K5702" s="365">
        <v>214.39</v>
      </c>
      <c r="L5702" s="475" t="s">
        <v>141</v>
      </c>
      <c r="M5702" s="473"/>
    </row>
    <row r="5703" spans="1:13" ht="13.5">
      <c r="A5703" s="475" t="s">
        <v>5696</v>
      </c>
      <c r="B5703" s="475" t="s">
        <v>5697</v>
      </c>
      <c r="C5703" s="475" t="s">
        <v>5704</v>
      </c>
      <c r="D5703" s="475" t="s">
        <v>5705</v>
      </c>
      <c r="E5703" s="476" t="s">
        <v>34</v>
      </c>
      <c r="F5703" s="475" t="s">
        <v>34</v>
      </c>
      <c r="G5703" s="364">
        <v>88787</v>
      </c>
      <c r="H5703" s="475" t="s">
        <v>4838</v>
      </c>
      <c r="I5703" s="475" t="s">
        <v>322</v>
      </c>
      <c r="J5703" s="475" t="s">
        <v>337</v>
      </c>
      <c r="K5703" s="365">
        <v>197.53</v>
      </c>
      <c r="L5703" s="475" t="s">
        <v>141</v>
      </c>
      <c r="M5703" s="473"/>
    </row>
    <row r="5704" spans="1:13" ht="13.5">
      <c r="A5704" s="475" t="s">
        <v>5696</v>
      </c>
      <c r="B5704" s="475" t="s">
        <v>5697</v>
      </c>
      <c r="C5704" s="475" t="s">
        <v>5704</v>
      </c>
      <c r="D5704" s="475" t="s">
        <v>5705</v>
      </c>
      <c r="E5704" s="476" t="s">
        <v>34</v>
      </c>
      <c r="F5704" s="475" t="s">
        <v>34</v>
      </c>
      <c r="G5704" s="364">
        <v>88788</v>
      </c>
      <c r="H5704" s="475" t="s">
        <v>4839</v>
      </c>
      <c r="I5704" s="475" t="s">
        <v>322</v>
      </c>
      <c r="J5704" s="475" t="s">
        <v>337</v>
      </c>
      <c r="K5704" s="365">
        <v>206.83</v>
      </c>
      <c r="L5704" s="475" t="s">
        <v>141</v>
      </c>
      <c r="M5704" s="473"/>
    </row>
    <row r="5705" spans="1:13" ht="13.5">
      <c r="A5705" s="475" t="s">
        <v>5696</v>
      </c>
      <c r="B5705" s="475" t="s">
        <v>5697</v>
      </c>
      <c r="C5705" s="475" t="s">
        <v>5704</v>
      </c>
      <c r="D5705" s="475" t="s">
        <v>5705</v>
      </c>
      <c r="E5705" s="476" t="s">
        <v>34</v>
      </c>
      <c r="F5705" s="475" t="s">
        <v>34</v>
      </c>
      <c r="G5705" s="364">
        <v>88789</v>
      </c>
      <c r="H5705" s="475" t="s">
        <v>4840</v>
      </c>
      <c r="I5705" s="475" t="s">
        <v>322</v>
      </c>
      <c r="J5705" s="475" t="s">
        <v>337</v>
      </c>
      <c r="K5705" s="365">
        <v>249.09</v>
      </c>
      <c r="L5705" s="475" t="s">
        <v>141</v>
      </c>
      <c r="M5705" s="473"/>
    </row>
    <row r="5706" spans="1:13" ht="13.5">
      <c r="A5706" s="475" t="s">
        <v>5696</v>
      </c>
      <c r="B5706" s="475" t="s">
        <v>5697</v>
      </c>
      <c r="C5706" s="475" t="s">
        <v>5704</v>
      </c>
      <c r="D5706" s="475" t="s">
        <v>5705</v>
      </c>
      <c r="E5706" s="476" t="s">
        <v>34</v>
      </c>
      <c r="F5706" s="475" t="s">
        <v>34</v>
      </c>
      <c r="G5706" s="364">
        <v>89045</v>
      </c>
      <c r="H5706" s="475" t="s">
        <v>4841</v>
      </c>
      <c r="I5706" s="475" t="s">
        <v>322</v>
      </c>
      <c r="J5706" s="475" t="s">
        <v>337</v>
      </c>
      <c r="K5706" s="365">
        <v>58.77</v>
      </c>
      <c r="L5706" s="475" t="s">
        <v>141</v>
      </c>
      <c r="M5706" s="473"/>
    </row>
    <row r="5707" spans="1:13" ht="13.5">
      <c r="A5707" s="475" t="s">
        <v>5696</v>
      </c>
      <c r="B5707" s="475" t="s">
        <v>5697</v>
      </c>
      <c r="C5707" s="475" t="s">
        <v>5704</v>
      </c>
      <c r="D5707" s="475" t="s">
        <v>5705</v>
      </c>
      <c r="E5707" s="476" t="s">
        <v>34</v>
      </c>
      <c r="F5707" s="475" t="s">
        <v>34</v>
      </c>
      <c r="G5707" s="364">
        <v>89170</v>
      </c>
      <c r="H5707" s="475" t="s">
        <v>4842</v>
      </c>
      <c r="I5707" s="475" t="s">
        <v>322</v>
      </c>
      <c r="J5707" s="475" t="s">
        <v>337</v>
      </c>
      <c r="K5707" s="365">
        <v>57.24</v>
      </c>
      <c r="L5707" s="475" t="s">
        <v>141</v>
      </c>
      <c r="M5707" s="473"/>
    </row>
    <row r="5708" spans="1:13" ht="13.5">
      <c r="A5708" s="475" t="s">
        <v>5696</v>
      </c>
      <c r="B5708" s="475" t="s">
        <v>5697</v>
      </c>
      <c r="C5708" s="475" t="s">
        <v>5704</v>
      </c>
      <c r="D5708" s="475" t="s">
        <v>5705</v>
      </c>
      <c r="E5708" s="476" t="s">
        <v>34</v>
      </c>
      <c r="F5708" s="475" t="s">
        <v>34</v>
      </c>
      <c r="G5708" s="364">
        <v>93392</v>
      </c>
      <c r="H5708" s="475" t="s">
        <v>7794</v>
      </c>
      <c r="I5708" s="475" t="s">
        <v>322</v>
      </c>
      <c r="J5708" s="475" t="s">
        <v>337</v>
      </c>
      <c r="K5708" s="365">
        <v>43.83</v>
      </c>
      <c r="L5708" s="475" t="s">
        <v>141</v>
      </c>
      <c r="M5708" s="473"/>
    </row>
    <row r="5709" spans="1:13" ht="13.5">
      <c r="A5709" s="475" t="s">
        <v>5696</v>
      </c>
      <c r="B5709" s="475" t="s">
        <v>5697</v>
      </c>
      <c r="C5709" s="475" t="s">
        <v>5704</v>
      </c>
      <c r="D5709" s="475" t="s">
        <v>5705</v>
      </c>
      <c r="E5709" s="476" t="s">
        <v>34</v>
      </c>
      <c r="F5709" s="475" t="s">
        <v>34</v>
      </c>
      <c r="G5709" s="364">
        <v>93393</v>
      </c>
      <c r="H5709" s="475" t="s">
        <v>7795</v>
      </c>
      <c r="I5709" s="475" t="s">
        <v>322</v>
      </c>
      <c r="J5709" s="475" t="s">
        <v>337</v>
      </c>
      <c r="K5709" s="365">
        <v>37.92</v>
      </c>
      <c r="L5709" s="475" t="s">
        <v>141</v>
      </c>
      <c r="M5709" s="473"/>
    </row>
    <row r="5710" spans="1:13" ht="13.5">
      <c r="A5710" s="475" t="s">
        <v>5696</v>
      </c>
      <c r="B5710" s="475" t="s">
        <v>5697</v>
      </c>
      <c r="C5710" s="475" t="s">
        <v>5704</v>
      </c>
      <c r="D5710" s="475" t="s">
        <v>5705</v>
      </c>
      <c r="E5710" s="476" t="s">
        <v>34</v>
      </c>
      <c r="F5710" s="475" t="s">
        <v>34</v>
      </c>
      <c r="G5710" s="364">
        <v>93394</v>
      </c>
      <c r="H5710" s="475" t="s">
        <v>7796</v>
      </c>
      <c r="I5710" s="475" t="s">
        <v>322</v>
      </c>
      <c r="J5710" s="475" t="s">
        <v>337</v>
      </c>
      <c r="K5710" s="365">
        <v>45.95</v>
      </c>
      <c r="L5710" s="475" t="s">
        <v>141</v>
      </c>
      <c r="M5710" s="473"/>
    </row>
    <row r="5711" spans="1:13" ht="13.5">
      <c r="A5711" s="475" t="s">
        <v>5696</v>
      </c>
      <c r="B5711" s="475" t="s">
        <v>5697</v>
      </c>
      <c r="C5711" s="475" t="s">
        <v>5704</v>
      </c>
      <c r="D5711" s="475" t="s">
        <v>5705</v>
      </c>
      <c r="E5711" s="476" t="s">
        <v>34</v>
      </c>
      <c r="F5711" s="475" t="s">
        <v>34</v>
      </c>
      <c r="G5711" s="364">
        <v>93395</v>
      </c>
      <c r="H5711" s="475" t="s">
        <v>7797</v>
      </c>
      <c r="I5711" s="475" t="s">
        <v>322</v>
      </c>
      <c r="J5711" s="475" t="s">
        <v>337</v>
      </c>
      <c r="K5711" s="365">
        <v>43.31</v>
      </c>
      <c r="L5711" s="475" t="s">
        <v>141</v>
      </c>
      <c r="M5711" s="473"/>
    </row>
    <row r="5712" spans="1:13" ht="13.5">
      <c r="A5712" s="475" t="s">
        <v>5696</v>
      </c>
      <c r="B5712" s="475" t="s">
        <v>5697</v>
      </c>
      <c r="C5712" s="475" t="s">
        <v>5704</v>
      </c>
      <c r="D5712" s="475" t="s">
        <v>5705</v>
      </c>
      <c r="E5712" s="476" t="s">
        <v>34</v>
      </c>
      <c r="F5712" s="475" t="s">
        <v>34</v>
      </c>
      <c r="G5712" s="364">
        <v>99194</v>
      </c>
      <c r="H5712" s="475" t="s">
        <v>7798</v>
      </c>
      <c r="I5712" s="475" t="s">
        <v>322</v>
      </c>
      <c r="J5712" s="475" t="s">
        <v>337</v>
      </c>
      <c r="K5712" s="365">
        <v>47.62</v>
      </c>
      <c r="L5712" s="475" t="s">
        <v>141</v>
      </c>
      <c r="M5712" s="473"/>
    </row>
    <row r="5713" spans="1:13" ht="13.5">
      <c r="A5713" s="475" t="s">
        <v>5696</v>
      </c>
      <c r="B5713" s="475" t="s">
        <v>5697</v>
      </c>
      <c r="C5713" s="475" t="s">
        <v>5704</v>
      </c>
      <c r="D5713" s="475" t="s">
        <v>5705</v>
      </c>
      <c r="E5713" s="476" t="s">
        <v>34</v>
      </c>
      <c r="F5713" s="475" t="s">
        <v>34</v>
      </c>
      <c r="G5713" s="364">
        <v>99195</v>
      </c>
      <c r="H5713" s="475" t="s">
        <v>7799</v>
      </c>
      <c r="I5713" s="475" t="s">
        <v>322</v>
      </c>
      <c r="J5713" s="475" t="s">
        <v>337</v>
      </c>
      <c r="K5713" s="365">
        <v>41.71</v>
      </c>
      <c r="L5713" s="475" t="s">
        <v>141</v>
      </c>
      <c r="M5713" s="473"/>
    </row>
    <row r="5714" spans="1:13" ht="13.5">
      <c r="A5714" s="475" t="s">
        <v>5696</v>
      </c>
      <c r="B5714" s="475" t="s">
        <v>5697</v>
      </c>
      <c r="C5714" s="475" t="s">
        <v>5704</v>
      </c>
      <c r="D5714" s="475" t="s">
        <v>5705</v>
      </c>
      <c r="E5714" s="476" t="s">
        <v>34</v>
      </c>
      <c r="F5714" s="475" t="s">
        <v>34</v>
      </c>
      <c r="G5714" s="364">
        <v>99196</v>
      </c>
      <c r="H5714" s="475" t="s">
        <v>7800</v>
      </c>
      <c r="I5714" s="475" t="s">
        <v>322</v>
      </c>
      <c r="J5714" s="475" t="s">
        <v>337</v>
      </c>
      <c r="K5714" s="365">
        <v>49.74</v>
      </c>
      <c r="L5714" s="475" t="s">
        <v>141</v>
      </c>
      <c r="M5714" s="473"/>
    </row>
    <row r="5715" spans="1:13" ht="13.5">
      <c r="A5715" s="475" t="s">
        <v>5696</v>
      </c>
      <c r="B5715" s="475" t="s">
        <v>5697</v>
      </c>
      <c r="C5715" s="475" t="s">
        <v>5704</v>
      </c>
      <c r="D5715" s="475" t="s">
        <v>5705</v>
      </c>
      <c r="E5715" s="476" t="s">
        <v>34</v>
      </c>
      <c r="F5715" s="475" t="s">
        <v>34</v>
      </c>
      <c r="G5715" s="364">
        <v>99198</v>
      </c>
      <c r="H5715" s="475" t="s">
        <v>7801</v>
      </c>
      <c r="I5715" s="475" t="s">
        <v>322</v>
      </c>
      <c r="J5715" s="475" t="s">
        <v>337</v>
      </c>
      <c r="K5715" s="365">
        <v>47.1</v>
      </c>
      <c r="L5715" s="475" t="s">
        <v>141</v>
      </c>
      <c r="M5715" s="473"/>
    </row>
    <row r="5716" spans="1:13" ht="13.5">
      <c r="A5716" s="475" t="s">
        <v>5696</v>
      </c>
      <c r="B5716" s="475" t="s">
        <v>5697</v>
      </c>
      <c r="C5716" s="475" t="s">
        <v>5706</v>
      </c>
      <c r="D5716" s="475" t="s">
        <v>5707</v>
      </c>
      <c r="E5716" s="476" t="s">
        <v>34</v>
      </c>
      <c r="F5716" s="475" t="s">
        <v>34</v>
      </c>
      <c r="G5716" s="364">
        <v>84088</v>
      </c>
      <c r="H5716" s="475" t="s">
        <v>4843</v>
      </c>
      <c r="I5716" s="475" t="s">
        <v>139</v>
      </c>
      <c r="J5716" s="475" t="s">
        <v>337</v>
      </c>
      <c r="K5716" s="365">
        <v>56.49</v>
      </c>
      <c r="L5716" s="475" t="s">
        <v>141</v>
      </c>
      <c r="M5716" s="473"/>
    </row>
    <row r="5717" spans="1:13" ht="13.5">
      <c r="A5717" s="475" t="s">
        <v>5696</v>
      </c>
      <c r="B5717" s="475" t="s">
        <v>5697</v>
      </c>
      <c r="C5717" s="475" t="s">
        <v>5706</v>
      </c>
      <c r="D5717" s="475" t="s">
        <v>5707</v>
      </c>
      <c r="E5717" s="476" t="s">
        <v>34</v>
      </c>
      <c r="F5717" s="475" t="s">
        <v>34</v>
      </c>
      <c r="G5717" s="364">
        <v>84089</v>
      </c>
      <c r="H5717" s="475" t="s">
        <v>4844</v>
      </c>
      <c r="I5717" s="475" t="s">
        <v>139</v>
      </c>
      <c r="J5717" s="475" t="s">
        <v>337</v>
      </c>
      <c r="K5717" s="365">
        <v>80.28</v>
      </c>
      <c r="L5717" s="475" t="s">
        <v>141</v>
      </c>
      <c r="M5717" s="473"/>
    </row>
    <row r="5718" spans="1:13" ht="13.5">
      <c r="A5718" s="475" t="s">
        <v>5696</v>
      </c>
      <c r="B5718" s="475" t="s">
        <v>5697</v>
      </c>
      <c r="C5718" s="475" t="s">
        <v>5708</v>
      </c>
      <c r="D5718" s="475" t="s">
        <v>5709</v>
      </c>
      <c r="E5718" s="476" t="s">
        <v>34</v>
      </c>
      <c r="F5718" s="475" t="s">
        <v>34</v>
      </c>
      <c r="G5718" s="364">
        <v>40675</v>
      </c>
      <c r="H5718" s="475" t="s">
        <v>4845</v>
      </c>
      <c r="I5718" s="475" t="s">
        <v>139</v>
      </c>
      <c r="J5718" s="475" t="s">
        <v>363</v>
      </c>
      <c r="K5718" s="365">
        <v>3.96</v>
      </c>
      <c r="L5718" s="475" t="s">
        <v>141</v>
      </c>
      <c r="M5718" s="473"/>
    </row>
    <row r="5719" spans="1:13" ht="13.5">
      <c r="A5719" s="475" t="s">
        <v>5696</v>
      </c>
      <c r="B5719" s="475" t="s">
        <v>5697</v>
      </c>
      <c r="C5719" s="475" t="s">
        <v>5710</v>
      </c>
      <c r="D5719" s="475" t="s">
        <v>5711</v>
      </c>
      <c r="E5719" s="476" t="s">
        <v>34</v>
      </c>
      <c r="F5719" s="475" t="s">
        <v>34</v>
      </c>
      <c r="G5719" s="364">
        <v>84093</v>
      </c>
      <c r="H5719" s="475" t="s">
        <v>4846</v>
      </c>
      <c r="I5719" s="475" t="s">
        <v>139</v>
      </c>
      <c r="J5719" s="475" t="s">
        <v>337</v>
      </c>
      <c r="K5719" s="365">
        <v>36.42</v>
      </c>
      <c r="L5719" s="475" t="s">
        <v>141</v>
      </c>
      <c r="M5719" s="473"/>
    </row>
    <row r="5720" spans="1:13" ht="13.5">
      <c r="A5720" s="475" t="s">
        <v>5696</v>
      </c>
      <c r="B5720" s="475" t="s">
        <v>5697</v>
      </c>
      <c r="C5720" s="475" t="s">
        <v>5710</v>
      </c>
      <c r="D5720" s="475" t="s">
        <v>5711</v>
      </c>
      <c r="E5720" s="476" t="s">
        <v>34</v>
      </c>
      <c r="F5720" s="475" t="s">
        <v>34</v>
      </c>
      <c r="G5720" s="364">
        <v>96112</v>
      </c>
      <c r="H5720" s="475" t="s">
        <v>4847</v>
      </c>
      <c r="I5720" s="475" t="s">
        <v>322</v>
      </c>
      <c r="J5720" s="475" t="s">
        <v>337</v>
      </c>
      <c r="K5720" s="365">
        <v>99.28</v>
      </c>
      <c r="L5720" s="475" t="s">
        <v>141</v>
      </c>
      <c r="M5720" s="473"/>
    </row>
    <row r="5721" spans="1:13" ht="13.5">
      <c r="A5721" s="475" t="s">
        <v>5696</v>
      </c>
      <c r="B5721" s="475" t="s">
        <v>5697</v>
      </c>
      <c r="C5721" s="475" t="s">
        <v>5710</v>
      </c>
      <c r="D5721" s="475" t="s">
        <v>5711</v>
      </c>
      <c r="E5721" s="476" t="s">
        <v>34</v>
      </c>
      <c r="F5721" s="475" t="s">
        <v>34</v>
      </c>
      <c r="G5721" s="364">
        <v>96117</v>
      </c>
      <c r="H5721" s="475" t="s">
        <v>4848</v>
      </c>
      <c r="I5721" s="475" t="s">
        <v>322</v>
      </c>
      <c r="J5721" s="475" t="s">
        <v>337</v>
      </c>
      <c r="K5721" s="365">
        <v>123.96</v>
      </c>
      <c r="L5721" s="475" t="s">
        <v>141</v>
      </c>
      <c r="M5721" s="473"/>
    </row>
    <row r="5722" spans="1:13" ht="13.5">
      <c r="A5722" s="475" t="s">
        <v>5696</v>
      </c>
      <c r="B5722" s="475" t="s">
        <v>5697</v>
      </c>
      <c r="C5722" s="475" t="s">
        <v>5710</v>
      </c>
      <c r="D5722" s="475" t="s">
        <v>5711</v>
      </c>
      <c r="E5722" s="476" t="s">
        <v>34</v>
      </c>
      <c r="F5722" s="475" t="s">
        <v>34</v>
      </c>
      <c r="G5722" s="364">
        <v>96122</v>
      </c>
      <c r="H5722" s="475" t="s">
        <v>4849</v>
      </c>
      <c r="I5722" s="475" t="s">
        <v>139</v>
      </c>
      <c r="J5722" s="475" t="s">
        <v>337</v>
      </c>
      <c r="K5722" s="365">
        <v>29.8</v>
      </c>
      <c r="L5722" s="475" t="s">
        <v>141</v>
      </c>
      <c r="M5722" s="473"/>
    </row>
    <row r="5723" spans="1:13" ht="13.5">
      <c r="A5723" s="475" t="s">
        <v>5696</v>
      </c>
      <c r="B5723" s="475" t="s">
        <v>5697</v>
      </c>
      <c r="C5723" s="475" t="s">
        <v>5712</v>
      </c>
      <c r="D5723" s="475" t="s">
        <v>5713</v>
      </c>
      <c r="E5723" s="476" t="s">
        <v>34</v>
      </c>
      <c r="F5723" s="475" t="s">
        <v>34</v>
      </c>
      <c r="G5723" s="364">
        <v>96109</v>
      </c>
      <c r="H5723" s="475" t="s">
        <v>4850</v>
      </c>
      <c r="I5723" s="475" t="s">
        <v>322</v>
      </c>
      <c r="J5723" s="475" t="s">
        <v>337</v>
      </c>
      <c r="K5723" s="365">
        <v>37.03</v>
      </c>
      <c r="L5723" s="475" t="s">
        <v>141</v>
      </c>
      <c r="M5723" s="473"/>
    </row>
    <row r="5724" spans="1:13" ht="13.5">
      <c r="A5724" s="475" t="s">
        <v>5696</v>
      </c>
      <c r="B5724" s="475" t="s">
        <v>5697</v>
      </c>
      <c r="C5724" s="475" t="s">
        <v>5712</v>
      </c>
      <c r="D5724" s="475" t="s">
        <v>5713</v>
      </c>
      <c r="E5724" s="476" t="s">
        <v>34</v>
      </c>
      <c r="F5724" s="475" t="s">
        <v>34</v>
      </c>
      <c r="G5724" s="364">
        <v>96110</v>
      </c>
      <c r="H5724" s="475" t="s">
        <v>4851</v>
      </c>
      <c r="I5724" s="475" t="s">
        <v>322</v>
      </c>
      <c r="J5724" s="475" t="s">
        <v>337</v>
      </c>
      <c r="K5724" s="365">
        <v>54.09</v>
      </c>
      <c r="L5724" s="475" t="s">
        <v>141</v>
      </c>
      <c r="M5724" s="473"/>
    </row>
    <row r="5725" spans="1:13" ht="13.5">
      <c r="A5725" s="475" t="s">
        <v>5696</v>
      </c>
      <c r="B5725" s="475" t="s">
        <v>5697</v>
      </c>
      <c r="C5725" s="475" t="s">
        <v>5712</v>
      </c>
      <c r="D5725" s="475" t="s">
        <v>5713</v>
      </c>
      <c r="E5725" s="476" t="s">
        <v>34</v>
      </c>
      <c r="F5725" s="475" t="s">
        <v>34</v>
      </c>
      <c r="G5725" s="364">
        <v>96113</v>
      </c>
      <c r="H5725" s="475" t="s">
        <v>4852</v>
      </c>
      <c r="I5725" s="475" t="s">
        <v>322</v>
      </c>
      <c r="J5725" s="475" t="s">
        <v>337</v>
      </c>
      <c r="K5725" s="365">
        <v>33.28</v>
      </c>
      <c r="L5725" s="475" t="s">
        <v>141</v>
      </c>
      <c r="M5725" s="473"/>
    </row>
    <row r="5726" spans="1:13" ht="13.5">
      <c r="A5726" s="475" t="s">
        <v>5696</v>
      </c>
      <c r="B5726" s="475" t="s">
        <v>5697</v>
      </c>
      <c r="C5726" s="475" t="s">
        <v>5712</v>
      </c>
      <c r="D5726" s="475" t="s">
        <v>5713</v>
      </c>
      <c r="E5726" s="476" t="s">
        <v>34</v>
      </c>
      <c r="F5726" s="475" t="s">
        <v>34</v>
      </c>
      <c r="G5726" s="364">
        <v>96114</v>
      </c>
      <c r="H5726" s="475" t="s">
        <v>4853</v>
      </c>
      <c r="I5726" s="475" t="s">
        <v>322</v>
      </c>
      <c r="J5726" s="475" t="s">
        <v>337</v>
      </c>
      <c r="K5726" s="365">
        <v>55.18</v>
      </c>
      <c r="L5726" s="475" t="s">
        <v>141</v>
      </c>
      <c r="M5726" s="473"/>
    </row>
    <row r="5727" spans="1:13" ht="13.5">
      <c r="A5727" s="475" t="s">
        <v>5696</v>
      </c>
      <c r="B5727" s="475" t="s">
        <v>5697</v>
      </c>
      <c r="C5727" s="475" t="s">
        <v>5712</v>
      </c>
      <c r="D5727" s="475" t="s">
        <v>5713</v>
      </c>
      <c r="E5727" s="476" t="s">
        <v>34</v>
      </c>
      <c r="F5727" s="475" t="s">
        <v>34</v>
      </c>
      <c r="G5727" s="364">
        <v>96120</v>
      </c>
      <c r="H5727" s="475" t="s">
        <v>4854</v>
      </c>
      <c r="I5727" s="475" t="s">
        <v>139</v>
      </c>
      <c r="J5727" s="475" t="s">
        <v>337</v>
      </c>
      <c r="K5727" s="365">
        <v>2.58</v>
      </c>
      <c r="L5727" s="475" t="s">
        <v>141</v>
      </c>
      <c r="M5727" s="473"/>
    </row>
    <row r="5728" spans="1:13" ht="13.5">
      <c r="A5728" s="475" t="s">
        <v>5696</v>
      </c>
      <c r="B5728" s="475" t="s">
        <v>5697</v>
      </c>
      <c r="C5728" s="475" t="s">
        <v>5712</v>
      </c>
      <c r="D5728" s="475" t="s">
        <v>5713</v>
      </c>
      <c r="E5728" s="476" t="s">
        <v>34</v>
      </c>
      <c r="F5728" s="475" t="s">
        <v>34</v>
      </c>
      <c r="G5728" s="364">
        <v>96123</v>
      </c>
      <c r="H5728" s="475" t="s">
        <v>4855</v>
      </c>
      <c r="I5728" s="475" t="s">
        <v>139</v>
      </c>
      <c r="J5728" s="475" t="s">
        <v>337</v>
      </c>
      <c r="K5728" s="365">
        <v>21.74</v>
      </c>
      <c r="L5728" s="475" t="s">
        <v>141</v>
      </c>
      <c r="M5728" s="473"/>
    </row>
    <row r="5729" spans="1:13" ht="13.5">
      <c r="A5729" s="475" t="s">
        <v>5696</v>
      </c>
      <c r="B5729" s="475" t="s">
        <v>5697</v>
      </c>
      <c r="C5729" s="475" t="s">
        <v>5712</v>
      </c>
      <c r="D5729" s="475" t="s">
        <v>5713</v>
      </c>
      <c r="E5729" s="476" t="s">
        <v>34</v>
      </c>
      <c r="F5729" s="475" t="s">
        <v>34</v>
      </c>
      <c r="G5729" s="364">
        <v>99054</v>
      </c>
      <c r="H5729" s="475" t="s">
        <v>7802</v>
      </c>
      <c r="I5729" s="475" t="s">
        <v>322</v>
      </c>
      <c r="J5729" s="475" t="s">
        <v>337</v>
      </c>
      <c r="K5729" s="365">
        <v>44.97</v>
      </c>
      <c r="L5729" s="475" t="s">
        <v>141</v>
      </c>
      <c r="M5729" s="473"/>
    </row>
    <row r="5730" spans="1:13" ht="13.5">
      <c r="A5730" s="475" t="s">
        <v>5696</v>
      </c>
      <c r="B5730" s="475" t="s">
        <v>5697</v>
      </c>
      <c r="C5730" s="475" t="s">
        <v>5714</v>
      </c>
      <c r="D5730" s="475" t="s">
        <v>5715</v>
      </c>
      <c r="E5730" s="476" t="s">
        <v>34</v>
      </c>
      <c r="F5730" s="475" t="s">
        <v>34</v>
      </c>
      <c r="G5730" s="364">
        <v>72200</v>
      </c>
      <c r="H5730" s="475" t="s">
        <v>4856</v>
      </c>
      <c r="I5730" s="475" t="s">
        <v>322</v>
      </c>
      <c r="J5730" s="475" t="s">
        <v>337</v>
      </c>
      <c r="K5730" s="365">
        <v>91.4</v>
      </c>
      <c r="L5730" s="475" t="s">
        <v>141</v>
      </c>
      <c r="M5730" s="473"/>
    </row>
    <row r="5731" spans="1:13" ht="13.5">
      <c r="A5731" s="475" t="s">
        <v>5696</v>
      </c>
      <c r="B5731" s="475" t="s">
        <v>5697</v>
      </c>
      <c r="C5731" s="475" t="s">
        <v>5716</v>
      </c>
      <c r="D5731" s="475" t="s">
        <v>5717</v>
      </c>
      <c r="E5731" s="476">
        <v>73807</v>
      </c>
      <c r="F5731" s="475" t="s">
        <v>5718</v>
      </c>
      <c r="G5731" s="364" t="s">
        <v>4857</v>
      </c>
      <c r="H5731" s="475" t="s">
        <v>4858</v>
      </c>
      <c r="I5731" s="475" t="s">
        <v>139</v>
      </c>
      <c r="J5731" s="475" t="s">
        <v>337</v>
      </c>
      <c r="K5731" s="365">
        <v>81.31</v>
      </c>
      <c r="L5731" s="475" t="s">
        <v>141</v>
      </c>
      <c r="M5731" s="473"/>
    </row>
    <row r="5732" spans="1:13" ht="13.5">
      <c r="A5732" s="475" t="s">
        <v>5696</v>
      </c>
      <c r="B5732" s="475" t="s">
        <v>5697</v>
      </c>
      <c r="C5732" s="475" t="s">
        <v>5719</v>
      </c>
      <c r="D5732" s="475" t="s">
        <v>5720</v>
      </c>
      <c r="E5732" s="476" t="s">
        <v>34</v>
      </c>
      <c r="F5732" s="475" t="s">
        <v>34</v>
      </c>
      <c r="G5732" s="364">
        <v>72201</v>
      </c>
      <c r="H5732" s="475" t="s">
        <v>4859</v>
      </c>
      <c r="I5732" s="475" t="s">
        <v>322</v>
      </c>
      <c r="J5732" s="475" t="s">
        <v>337</v>
      </c>
      <c r="K5732" s="365">
        <v>10.039999999999999</v>
      </c>
      <c r="L5732" s="475" t="s">
        <v>141</v>
      </c>
      <c r="M5732" s="473"/>
    </row>
    <row r="5733" spans="1:13" ht="13.5">
      <c r="A5733" s="475" t="s">
        <v>5696</v>
      </c>
      <c r="B5733" s="475" t="s">
        <v>5697</v>
      </c>
      <c r="C5733" s="475" t="s">
        <v>5719</v>
      </c>
      <c r="D5733" s="475" t="s">
        <v>5720</v>
      </c>
      <c r="E5733" s="476" t="s">
        <v>34</v>
      </c>
      <c r="F5733" s="475" t="s">
        <v>34</v>
      </c>
      <c r="G5733" s="364">
        <v>96111</v>
      </c>
      <c r="H5733" s="475" t="s">
        <v>4860</v>
      </c>
      <c r="I5733" s="475" t="s">
        <v>322</v>
      </c>
      <c r="J5733" s="475" t="s">
        <v>337</v>
      </c>
      <c r="K5733" s="365">
        <v>32.5</v>
      </c>
      <c r="L5733" s="475" t="s">
        <v>141</v>
      </c>
      <c r="M5733" s="473"/>
    </row>
    <row r="5734" spans="1:13" ht="13.5">
      <c r="A5734" s="475" t="s">
        <v>5696</v>
      </c>
      <c r="B5734" s="475" t="s">
        <v>5697</v>
      </c>
      <c r="C5734" s="475" t="s">
        <v>5719</v>
      </c>
      <c r="D5734" s="475" t="s">
        <v>5720</v>
      </c>
      <c r="E5734" s="476" t="s">
        <v>34</v>
      </c>
      <c r="F5734" s="475" t="s">
        <v>34</v>
      </c>
      <c r="G5734" s="364">
        <v>96116</v>
      </c>
      <c r="H5734" s="475" t="s">
        <v>4861</v>
      </c>
      <c r="I5734" s="475" t="s">
        <v>322</v>
      </c>
      <c r="J5734" s="475" t="s">
        <v>337</v>
      </c>
      <c r="K5734" s="365">
        <v>35.42</v>
      </c>
      <c r="L5734" s="475" t="s">
        <v>141</v>
      </c>
      <c r="M5734" s="473"/>
    </row>
    <row r="5735" spans="1:13" ht="13.5">
      <c r="A5735" s="475" t="s">
        <v>5696</v>
      </c>
      <c r="B5735" s="475" t="s">
        <v>5697</v>
      </c>
      <c r="C5735" s="475" t="s">
        <v>5719</v>
      </c>
      <c r="D5735" s="475" t="s">
        <v>5720</v>
      </c>
      <c r="E5735" s="476" t="s">
        <v>34</v>
      </c>
      <c r="F5735" s="475" t="s">
        <v>34</v>
      </c>
      <c r="G5735" s="364">
        <v>96121</v>
      </c>
      <c r="H5735" s="475" t="s">
        <v>4862</v>
      </c>
      <c r="I5735" s="475" t="s">
        <v>139</v>
      </c>
      <c r="J5735" s="475" t="s">
        <v>337</v>
      </c>
      <c r="K5735" s="365">
        <v>7.04</v>
      </c>
      <c r="L5735" s="475" t="s">
        <v>141</v>
      </c>
      <c r="M5735" s="473"/>
    </row>
    <row r="5736" spans="1:13" ht="13.5">
      <c r="A5736" s="475" t="s">
        <v>5696</v>
      </c>
      <c r="B5736" s="475" t="s">
        <v>5697</v>
      </c>
      <c r="C5736" s="475" t="s">
        <v>5719</v>
      </c>
      <c r="D5736" s="475" t="s">
        <v>5720</v>
      </c>
      <c r="E5736" s="476" t="s">
        <v>34</v>
      </c>
      <c r="F5736" s="475" t="s">
        <v>34</v>
      </c>
      <c r="G5736" s="364">
        <v>96485</v>
      </c>
      <c r="H5736" s="475" t="s">
        <v>4863</v>
      </c>
      <c r="I5736" s="475" t="s">
        <v>322</v>
      </c>
      <c r="J5736" s="475" t="s">
        <v>337</v>
      </c>
      <c r="K5736" s="365">
        <v>37.26</v>
      </c>
      <c r="L5736" s="475" t="s">
        <v>141</v>
      </c>
      <c r="M5736" s="473"/>
    </row>
    <row r="5737" spans="1:13" ht="13.5">
      <c r="A5737" s="475" t="s">
        <v>5696</v>
      </c>
      <c r="B5737" s="475" t="s">
        <v>5697</v>
      </c>
      <c r="C5737" s="475" t="s">
        <v>5719</v>
      </c>
      <c r="D5737" s="475" t="s">
        <v>5720</v>
      </c>
      <c r="E5737" s="476" t="s">
        <v>34</v>
      </c>
      <c r="F5737" s="475" t="s">
        <v>34</v>
      </c>
      <c r="G5737" s="364">
        <v>96486</v>
      </c>
      <c r="H5737" s="475" t="s">
        <v>4864</v>
      </c>
      <c r="I5737" s="475" t="s">
        <v>322</v>
      </c>
      <c r="J5737" s="475" t="s">
        <v>337</v>
      </c>
      <c r="K5737" s="365">
        <v>40.47</v>
      </c>
      <c r="L5737" s="475" t="s">
        <v>141</v>
      </c>
      <c r="M5737" s="473"/>
    </row>
    <row r="5738" spans="1:13" ht="13.5">
      <c r="A5738" s="475" t="s">
        <v>5696</v>
      </c>
      <c r="B5738" s="475" t="s">
        <v>5697</v>
      </c>
      <c r="C5738" s="475" t="s">
        <v>5721</v>
      </c>
      <c r="D5738" s="475" t="s">
        <v>5722</v>
      </c>
      <c r="E5738" s="476" t="s">
        <v>34</v>
      </c>
      <c r="F5738" s="475" t="s">
        <v>34</v>
      </c>
      <c r="G5738" s="364">
        <v>72198</v>
      </c>
      <c r="H5738" s="475" t="s">
        <v>4865</v>
      </c>
      <c r="I5738" s="475" t="s">
        <v>322</v>
      </c>
      <c r="J5738" s="475" t="s">
        <v>140</v>
      </c>
      <c r="K5738" s="365">
        <v>107.75</v>
      </c>
      <c r="L5738" s="475" t="s">
        <v>141</v>
      </c>
      <c r="M5738" s="473"/>
    </row>
    <row r="5739" spans="1:13" ht="13.5">
      <c r="A5739" s="475" t="s">
        <v>5696</v>
      </c>
      <c r="B5739" s="475" t="s">
        <v>5697</v>
      </c>
      <c r="C5739" s="475" t="s">
        <v>5721</v>
      </c>
      <c r="D5739" s="475" t="s">
        <v>5722</v>
      </c>
      <c r="E5739" s="476">
        <v>73833</v>
      </c>
      <c r="F5739" s="475" t="s">
        <v>5723</v>
      </c>
      <c r="G5739" s="364" t="s">
        <v>4866</v>
      </c>
      <c r="H5739" s="475" t="s">
        <v>4867</v>
      </c>
      <c r="I5739" s="475" t="s">
        <v>322</v>
      </c>
      <c r="J5739" s="475" t="s">
        <v>140</v>
      </c>
      <c r="K5739" s="365">
        <v>60.95</v>
      </c>
      <c r="L5739" s="475" t="s">
        <v>141</v>
      </c>
      <c r="M5739" s="473"/>
    </row>
    <row r="5740" spans="1:13" ht="13.5">
      <c r="A5740" s="475" t="s">
        <v>5696</v>
      </c>
      <c r="B5740" s="475" t="s">
        <v>5697</v>
      </c>
      <c r="C5740" s="475" t="s">
        <v>5724</v>
      </c>
      <c r="D5740" s="475" t="s">
        <v>5725</v>
      </c>
      <c r="E5740" s="476" t="s">
        <v>34</v>
      </c>
      <c r="F5740" s="475" t="s">
        <v>34</v>
      </c>
      <c r="G5740" s="364">
        <v>83730</v>
      </c>
      <c r="H5740" s="475" t="s">
        <v>4868</v>
      </c>
      <c r="I5740" s="475" t="s">
        <v>322</v>
      </c>
      <c r="J5740" s="475" t="s">
        <v>337</v>
      </c>
      <c r="K5740" s="365">
        <v>193.88</v>
      </c>
      <c r="L5740" s="475" t="s">
        <v>141</v>
      </c>
      <c r="M5740" s="473"/>
    </row>
    <row r="5741" spans="1:13" ht="13.5">
      <c r="A5741" s="475" t="s">
        <v>5696</v>
      </c>
      <c r="B5741" s="475" t="s">
        <v>5697</v>
      </c>
      <c r="C5741" s="475" t="s">
        <v>5724</v>
      </c>
      <c r="D5741" s="475" t="s">
        <v>5725</v>
      </c>
      <c r="E5741" s="476" t="s">
        <v>34</v>
      </c>
      <c r="F5741" s="475" t="s">
        <v>34</v>
      </c>
      <c r="G5741" s="364">
        <v>83736</v>
      </c>
      <c r="H5741" s="475" t="s">
        <v>4869</v>
      </c>
      <c r="I5741" s="475" t="s">
        <v>322</v>
      </c>
      <c r="J5741" s="475" t="s">
        <v>337</v>
      </c>
      <c r="K5741" s="365">
        <v>178.24</v>
      </c>
      <c r="L5741" s="475" t="s">
        <v>141</v>
      </c>
      <c r="M5741" s="473"/>
    </row>
    <row r="5742" spans="1:13" ht="13.5">
      <c r="A5742" s="475" t="s">
        <v>5696</v>
      </c>
      <c r="B5742" s="475" t="s">
        <v>5697</v>
      </c>
      <c r="C5742" s="475" t="s">
        <v>5724</v>
      </c>
      <c r="D5742" s="475" t="s">
        <v>5725</v>
      </c>
      <c r="E5742" s="476" t="s">
        <v>34</v>
      </c>
      <c r="F5742" s="475" t="s">
        <v>34</v>
      </c>
      <c r="G5742" s="364">
        <v>91514</v>
      </c>
      <c r="H5742" s="475" t="s">
        <v>4870</v>
      </c>
      <c r="I5742" s="475" t="s">
        <v>322</v>
      </c>
      <c r="J5742" s="475" t="s">
        <v>337</v>
      </c>
      <c r="K5742" s="365">
        <v>4.9800000000000004</v>
      </c>
      <c r="L5742" s="475" t="s">
        <v>141</v>
      </c>
      <c r="M5742" s="473"/>
    </row>
    <row r="5743" spans="1:13" ht="13.5">
      <c r="A5743" s="475" t="s">
        <v>5696</v>
      </c>
      <c r="B5743" s="475" t="s">
        <v>5697</v>
      </c>
      <c r="C5743" s="475" t="s">
        <v>5724</v>
      </c>
      <c r="D5743" s="475" t="s">
        <v>5725</v>
      </c>
      <c r="E5743" s="476" t="s">
        <v>34</v>
      </c>
      <c r="F5743" s="475" t="s">
        <v>34</v>
      </c>
      <c r="G5743" s="364">
        <v>91515</v>
      </c>
      <c r="H5743" s="475" t="s">
        <v>4871</v>
      </c>
      <c r="I5743" s="475" t="s">
        <v>322</v>
      </c>
      <c r="J5743" s="475" t="s">
        <v>337</v>
      </c>
      <c r="K5743" s="365">
        <v>6.59</v>
      </c>
      <c r="L5743" s="475" t="s">
        <v>141</v>
      </c>
      <c r="M5743" s="473"/>
    </row>
    <row r="5744" spans="1:13" ht="13.5">
      <c r="A5744" s="475" t="s">
        <v>5696</v>
      </c>
      <c r="B5744" s="475" t="s">
        <v>5697</v>
      </c>
      <c r="C5744" s="475" t="s">
        <v>5724</v>
      </c>
      <c r="D5744" s="475" t="s">
        <v>5725</v>
      </c>
      <c r="E5744" s="476" t="s">
        <v>34</v>
      </c>
      <c r="F5744" s="475" t="s">
        <v>34</v>
      </c>
      <c r="G5744" s="364">
        <v>91516</v>
      </c>
      <c r="H5744" s="475" t="s">
        <v>4872</v>
      </c>
      <c r="I5744" s="475" t="s">
        <v>322</v>
      </c>
      <c r="J5744" s="475" t="s">
        <v>337</v>
      </c>
      <c r="K5744" s="365">
        <v>9.64</v>
      </c>
      <c r="L5744" s="475" t="s">
        <v>141</v>
      </c>
      <c r="M5744" s="473"/>
    </row>
    <row r="5745" spans="1:13" ht="13.5">
      <c r="A5745" s="475" t="s">
        <v>5696</v>
      </c>
      <c r="B5745" s="475" t="s">
        <v>5697</v>
      </c>
      <c r="C5745" s="475" t="s">
        <v>5724</v>
      </c>
      <c r="D5745" s="475" t="s">
        <v>5725</v>
      </c>
      <c r="E5745" s="476" t="s">
        <v>34</v>
      </c>
      <c r="F5745" s="475" t="s">
        <v>34</v>
      </c>
      <c r="G5745" s="364">
        <v>91517</v>
      </c>
      <c r="H5745" s="475" t="s">
        <v>4873</v>
      </c>
      <c r="I5745" s="475" t="s">
        <v>322</v>
      </c>
      <c r="J5745" s="475" t="s">
        <v>337</v>
      </c>
      <c r="K5745" s="365">
        <v>10.75</v>
      </c>
      <c r="L5745" s="475" t="s">
        <v>141</v>
      </c>
      <c r="M5745" s="473"/>
    </row>
    <row r="5746" spans="1:13" ht="13.5">
      <c r="A5746" s="475" t="s">
        <v>5696</v>
      </c>
      <c r="B5746" s="475" t="s">
        <v>5697</v>
      </c>
      <c r="C5746" s="475" t="s">
        <v>5724</v>
      </c>
      <c r="D5746" s="475" t="s">
        <v>5725</v>
      </c>
      <c r="E5746" s="476" t="s">
        <v>34</v>
      </c>
      <c r="F5746" s="475" t="s">
        <v>34</v>
      </c>
      <c r="G5746" s="364">
        <v>91519</v>
      </c>
      <c r="H5746" s="475" t="s">
        <v>4874</v>
      </c>
      <c r="I5746" s="475" t="s">
        <v>322</v>
      </c>
      <c r="J5746" s="475" t="s">
        <v>337</v>
      </c>
      <c r="K5746" s="365">
        <v>12.35</v>
      </c>
      <c r="L5746" s="475" t="s">
        <v>141</v>
      </c>
      <c r="M5746" s="473"/>
    </row>
    <row r="5747" spans="1:13" ht="13.5">
      <c r="A5747" s="475" t="s">
        <v>5696</v>
      </c>
      <c r="B5747" s="475" t="s">
        <v>5697</v>
      </c>
      <c r="C5747" s="475" t="s">
        <v>5724</v>
      </c>
      <c r="D5747" s="475" t="s">
        <v>5725</v>
      </c>
      <c r="E5747" s="476" t="s">
        <v>34</v>
      </c>
      <c r="F5747" s="475" t="s">
        <v>34</v>
      </c>
      <c r="G5747" s="364">
        <v>91520</v>
      </c>
      <c r="H5747" s="475" t="s">
        <v>4875</v>
      </c>
      <c r="I5747" s="475" t="s">
        <v>322</v>
      </c>
      <c r="J5747" s="475" t="s">
        <v>337</v>
      </c>
      <c r="K5747" s="365">
        <v>1.78</v>
      </c>
      <c r="L5747" s="475" t="s">
        <v>141</v>
      </c>
      <c r="M5747" s="473"/>
    </row>
    <row r="5748" spans="1:13" ht="13.5">
      <c r="A5748" s="475" t="s">
        <v>5696</v>
      </c>
      <c r="B5748" s="475" t="s">
        <v>5697</v>
      </c>
      <c r="C5748" s="475" t="s">
        <v>5724</v>
      </c>
      <c r="D5748" s="475" t="s">
        <v>5725</v>
      </c>
      <c r="E5748" s="476" t="s">
        <v>34</v>
      </c>
      <c r="F5748" s="475" t="s">
        <v>34</v>
      </c>
      <c r="G5748" s="364">
        <v>91522</v>
      </c>
      <c r="H5748" s="475" t="s">
        <v>4876</v>
      </c>
      <c r="I5748" s="475" t="s">
        <v>322</v>
      </c>
      <c r="J5748" s="475" t="s">
        <v>337</v>
      </c>
      <c r="K5748" s="365">
        <v>2.15</v>
      </c>
      <c r="L5748" s="475" t="s">
        <v>141</v>
      </c>
      <c r="M5748" s="473"/>
    </row>
    <row r="5749" spans="1:13" ht="13.5">
      <c r="A5749" s="475" t="s">
        <v>5696</v>
      </c>
      <c r="B5749" s="475" t="s">
        <v>5697</v>
      </c>
      <c r="C5749" s="475" t="s">
        <v>5724</v>
      </c>
      <c r="D5749" s="475" t="s">
        <v>5725</v>
      </c>
      <c r="E5749" s="476" t="s">
        <v>34</v>
      </c>
      <c r="F5749" s="475" t="s">
        <v>34</v>
      </c>
      <c r="G5749" s="364">
        <v>91525</v>
      </c>
      <c r="H5749" s="475" t="s">
        <v>4877</v>
      </c>
      <c r="I5749" s="475" t="s">
        <v>322</v>
      </c>
      <c r="J5749" s="475" t="s">
        <v>337</v>
      </c>
      <c r="K5749" s="365">
        <v>3.85</v>
      </c>
      <c r="L5749" s="475" t="s">
        <v>141</v>
      </c>
      <c r="M5749" s="473"/>
    </row>
    <row r="5750" spans="1:13" ht="13.5">
      <c r="A5750" s="475" t="s">
        <v>5496</v>
      </c>
      <c r="B5750" s="475" t="s">
        <v>5726</v>
      </c>
      <c r="C5750" s="475" t="s">
        <v>5727</v>
      </c>
      <c r="D5750" s="475" t="s">
        <v>5728</v>
      </c>
      <c r="E5750" s="476" t="s">
        <v>34</v>
      </c>
      <c r="F5750" s="475" t="s">
        <v>34</v>
      </c>
      <c r="G5750" s="364">
        <v>73548</v>
      </c>
      <c r="H5750" s="475" t="s">
        <v>4878</v>
      </c>
      <c r="I5750" s="475" t="s">
        <v>1261</v>
      </c>
      <c r="J5750" s="475" t="s">
        <v>337</v>
      </c>
      <c r="K5750" s="365">
        <v>493.88</v>
      </c>
      <c r="L5750" s="475" t="s">
        <v>141</v>
      </c>
      <c r="M5750" s="473"/>
    </row>
    <row r="5751" spans="1:13" ht="13.5">
      <c r="A5751" s="475" t="s">
        <v>5496</v>
      </c>
      <c r="B5751" s="475" t="s">
        <v>5726</v>
      </c>
      <c r="C5751" s="475" t="s">
        <v>5727</v>
      </c>
      <c r="D5751" s="475" t="s">
        <v>5728</v>
      </c>
      <c r="E5751" s="476" t="s">
        <v>34</v>
      </c>
      <c r="F5751" s="475" t="s">
        <v>34</v>
      </c>
      <c r="G5751" s="364">
        <v>73549</v>
      </c>
      <c r="H5751" s="475" t="s">
        <v>4879</v>
      </c>
      <c r="I5751" s="475" t="s">
        <v>1261</v>
      </c>
      <c r="J5751" s="475" t="s">
        <v>337</v>
      </c>
      <c r="K5751" s="365">
        <v>480.98</v>
      </c>
      <c r="L5751" s="475" t="s">
        <v>141</v>
      </c>
      <c r="M5751" s="473"/>
    </row>
    <row r="5752" spans="1:13" ht="13.5">
      <c r="A5752" s="475" t="s">
        <v>5496</v>
      </c>
      <c r="B5752" s="475" t="s">
        <v>5726</v>
      </c>
      <c r="C5752" s="475" t="s">
        <v>5727</v>
      </c>
      <c r="D5752" s="475" t="s">
        <v>5728</v>
      </c>
      <c r="E5752" s="476" t="s">
        <v>34</v>
      </c>
      <c r="F5752" s="475" t="s">
        <v>34</v>
      </c>
      <c r="G5752" s="364">
        <v>87280</v>
      </c>
      <c r="H5752" s="475" t="s">
        <v>4880</v>
      </c>
      <c r="I5752" s="475" t="s">
        <v>1261</v>
      </c>
      <c r="J5752" s="475" t="s">
        <v>337</v>
      </c>
      <c r="K5752" s="365">
        <v>304.17</v>
      </c>
      <c r="L5752" s="475" t="s">
        <v>141</v>
      </c>
      <c r="M5752" s="473"/>
    </row>
    <row r="5753" spans="1:13" ht="13.5">
      <c r="A5753" s="475" t="s">
        <v>5496</v>
      </c>
      <c r="B5753" s="475" t="s">
        <v>5726</v>
      </c>
      <c r="C5753" s="475" t="s">
        <v>5727</v>
      </c>
      <c r="D5753" s="475" t="s">
        <v>5728</v>
      </c>
      <c r="E5753" s="476" t="s">
        <v>34</v>
      </c>
      <c r="F5753" s="475" t="s">
        <v>34</v>
      </c>
      <c r="G5753" s="364">
        <v>87281</v>
      </c>
      <c r="H5753" s="475" t="s">
        <v>4881</v>
      </c>
      <c r="I5753" s="475" t="s">
        <v>1261</v>
      </c>
      <c r="J5753" s="475" t="s">
        <v>337</v>
      </c>
      <c r="K5753" s="365">
        <v>302.35000000000002</v>
      </c>
      <c r="L5753" s="475" t="s">
        <v>141</v>
      </c>
      <c r="M5753" s="473"/>
    </row>
    <row r="5754" spans="1:13" ht="13.5">
      <c r="A5754" s="475" t="s">
        <v>5496</v>
      </c>
      <c r="B5754" s="475" t="s">
        <v>5726</v>
      </c>
      <c r="C5754" s="475" t="s">
        <v>5727</v>
      </c>
      <c r="D5754" s="475" t="s">
        <v>5728</v>
      </c>
      <c r="E5754" s="476" t="s">
        <v>34</v>
      </c>
      <c r="F5754" s="475" t="s">
        <v>34</v>
      </c>
      <c r="G5754" s="364">
        <v>87283</v>
      </c>
      <c r="H5754" s="475" t="s">
        <v>4882</v>
      </c>
      <c r="I5754" s="475" t="s">
        <v>1261</v>
      </c>
      <c r="J5754" s="475" t="s">
        <v>337</v>
      </c>
      <c r="K5754" s="365">
        <v>322.44</v>
      </c>
      <c r="L5754" s="475" t="s">
        <v>141</v>
      </c>
      <c r="M5754" s="473"/>
    </row>
    <row r="5755" spans="1:13" ht="13.5">
      <c r="A5755" s="475" t="s">
        <v>5496</v>
      </c>
      <c r="B5755" s="475" t="s">
        <v>5726</v>
      </c>
      <c r="C5755" s="475" t="s">
        <v>5727</v>
      </c>
      <c r="D5755" s="475" t="s">
        <v>5728</v>
      </c>
      <c r="E5755" s="476" t="s">
        <v>34</v>
      </c>
      <c r="F5755" s="475" t="s">
        <v>34</v>
      </c>
      <c r="G5755" s="364">
        <v>87284</v>
      </c>
      <c r="H5755" s="475" t="s">
        <v>4883</v>
      </c>
      <c r="I5755" s="475" t="s">
        <v>1261</v>
      </c>
      <c r="J5755" s="475" t="s">
        <v>337</v>
      </c>
      <c r="K5755" s="365">
        <v>307.68</v>
      </c>
      <c r="L5755" s="475" t="s">
        <v>141</v>
      </c>
      <c r="M5755" s="473"/>
    </row>
    <row r="5756" spans="1:13" ht="13.5">
      <c r="A5756" s="475" t="s">
        <v>5496</v>
      </c>
      <c r="B5756" s="475" t="s">
        <v>5726</v>
      </c>
      <c r="C5756" s="475" t="s">
        <v>5727</v>
      </c>
      <c r="D5756" s="475" t="s">
        <v>5728</v>
      </c>
      <c r="E5756" s="476" t="s">
        <v>34</v>
      </c>
      <c r="F5756" s="475" t="s">
        <v>34</v>
      </c>
      <c r="G5756" s="364">
        <v>87286</v>
      </c>
      <c r="H5756" s="475" t="s">
        <v>4884</v>
      </c>
      <c r="I5756" s="475" t="s">
        <v>1261</v>
      </c>
      <c r="J5756" s="475" t="s">
        <v>337</v>
      </c>
      <c r="K5756" s="365">
        <v>332.01</v>
      </c>
      <c r="L5756" s="475" t="s">
        <v>141</v>
      </c>
      <c r="M5756" s="473"/>
    </row>
    <row r="5757" spans="1:13" ht="13.5">
      <c r="A5757" s="475" t="s">
        <v>5496</v>
      </c>
      <c r="B5757" s="475" t="s">
        <v>5726</v>
      </c>
      <c r="C5757" s="475" t="s">
        <v>5727</v>
      </c>
      <c r="D5757" s="475" t="s">
        <v>5728</v>
      </c>
      <c r="E5757" s="476" t="s">
        <v>34</v>
      </c>
      <c r="F5757" s="475" t="s">
        <v>34</v>
      </c>
      <c r="G5757" s="364">
        <v>87287</v>
      </c>
      <c r="H5757" s="475" t="s">
        <v>4885</v>
      </c>
      <c r="I5757" s="475" t="s">
        <v>1261</v>
      </c>
      <c r="J5757" s="475" t="s">
        <v>337</v>
      </c>
      <c r="K5757" s="365">
        <v>390.01</v>
      </c>
      <c r="L5757" s="475" t="s">
        <v>141</v>
      </c>
      <c r="M5757" s="473"/>
    </row>
    <row r="5758" spans="1:13" ht="13.5">
      <c r="A5758" s="475" t="s">
        <v>5496</v>
      </c>
      <c r="B5758" s="475" t="s">
        <v>5726</v>
      </c>
      <c r="C5758" s="475" t="s">
        <v>5727</v>
      </c>
      <c r="D5758" s="475" t="s">
        <v>5728</v>
      </c>
      <c r="E5758" s="476" t="s">
        <v>34</v>
      </c>
      <c r="F5758" s="475" t="s">
        <v>34</v>
      </c>
      <c r="G5758" s="364">
        <v>87289</v>
      </c>
      <c r="H5758" s="475" t="s">
        <v>4886</v>
      </c>
      <c r="I5758" s="475" t="s">
        <v>1261</v>
      </c>
      <c r="J5758" s="475" t="s">
        <v>337</v>
      </c>
      <c r="K5758" s="365">
        <v>384.95</v>
      </c>
      <c r="L5758" s="475" t="s">
        <v>141</v>
      </c>
      <c r="M5758" s="473"/>
    </row>
    <row r="5759" spans="1:13" ht="13.5">
      <c r="A5759" s="475" t="s">
        <v>5496</v>
      </c>
      <c r="B5759" s="475" t="s">
        <v>5726</v>
      </c>
      <c r="C5759" s="475" t="s">
        <v>5727</v>
      </c>
      <c r="D5759" s="475" t="s">
        <v>5728</v>
      </c>
      <c r="E5759" s="476" t="s">
        <v>34</v>
      </c>
      <c r="F5759" s="475" t="s">
        <v>34</v>
      </c>
      <c r="G5759" s="364">
        <v>87290</v>
      </c>
      <c r="H5759" s="475" t="s">
        <v>4887</v>
      </c>
      <c r="I5759" s="475" t="s">
        <v>1261</v>
      </c>
      <c r="J5759" s="475" t="s">
        <v>337</v>
      </c>
      <c r="K5759" s="365">
        <v>382.72</v>
      </c>
      <c r="L5759" s="475" t="s">
        <v>141</v>
      </c>
      <c r="M5759" s="473"/>
    </row>
    <row r="5760" spans="1:13" ht="13.5">
      <c r="A5760" s="475" t="s">
        <v>5496</v>
      </c>
      <c r="B5760" s="475" t="s">
        <v>5726</v>
      </c>
      <c r="C5760" s="475" t="s">
        <v>5727</v>
      </c>
      <c r="D5760" s="475" t="s">
        <v>5728</v>
      </c>
      <c r="E5760" s="476" t="s">
        <v>34</v>
      </c>
      <c r="F5760" s="475" t="s">
        <v>34</v>
      </c>
      <c r="G5760" s="364">
        <v>87292</v>
      </c>
      <c r="H5760" s="475" t="s">
        <v>4888</v>
      </c>
      <c r="I5760" s="475" t="s">
        <v>1261</v>
      </c>
      <c r="J5760" s="475" t="s">
        <v>337</v>
      </c>
      <c r="K5760" s="365">
        <v>405.49</v>
      </c>
      <c r="L5760" s="475" t="s">
        <v>141</v>
      </c>
      <c r="M5760" s="473"/>
    </row>
    <row r="5761" spans="1:13" ht="13.5">
      <c r="A5761" s="475" t="s">
        <v>5496</v>
      </c>
      <c r="B5761" s="475" t="s">
        <v>5726</v>
      </c>
      <c r="C5761" s="475" t="s">
        <v>5727</v>
      </c>
      <c r="D5761" s="475" t="s">
        <v>5728</v>
      </c>
      <c r="E5761" s="476" t="s">
        <v>34</v>
      </c>
      <c r="F5761" s="475" t="s">
        <v>34</v>
      </c>
      <c r="G5761" s="364">
        <v>87294</v>
      </c>
      <c r="H5761" s="475" t="s">
        <v>4889</v>
      </c>
      <c r="I5761" s="475" t="s">
        <v>1261</v>
      </c>
      <c r="J5761" s="475" t="s">
        <v>337</v>
      </c>
      <c r="K5761" s="365">
        <v>388.17</v>
      </c>
      <c r="L5761" s="475" t="s">
        <v>141</v>
      </c>
      <c r="M5761" s="473"/>
    </row>
    <row r="5762" spans="1:13" ht="13.5">
      <c r="A5762" s="475" t="s">
        <v>5496</v>
      </c>
      <c r="B5762" s="475" t="s">
        <v>5726</v>
      </c>
      <c r="C5762" s="475" t="s">
        <v>5727</v>
      </c>
      <c r="D5762" s="475" t="s">
        <v>5728</v>
      </c>
      <c r="E5762" s="476" t="s">
        <v>34</v>
      </c>
      <c r="F5762" s="475" t="s">
        <v>34</v>
      </c>
      <c r="G5762" s="364">
        <v>87295</v>
      </c>
      <c r="H5762" s="475" t="s">
        <v>4890</v>
      </c>
      <c r="I5762" s="475" t="s">
        <v>1261</v>
      </c>
      <c r="J5762" s="475" t="s">
        <v>337</v>
      </c>
      <c r="K5762" s="365">
        <v>399.28</v>
      </c>
      <c r="L5762" s="475" t="s">
        <v>141</v>
      </c>
      <c r="M5762" s="473"/>
    </row>
    <row r="5763" spans="1:13" ht="13.5">
      <c r="A5763" s="475" t="s">
        <v>5496</v>
      </c>
      <c r="B5763" s="475" t="s">
        <v>5726</v>
      </c>
      <c r="C5763" s="475" t="s">
        <v>5727</v>
      </c>
      <c r="D5763" s="475" t="s">
        <v>5728</v>
      </c>
      <c r="E5763" s="476" t="s">
        <v>34</v>
      </c>
      <c r="F5763" s="475" t="s">
        <v>34</v>
      </c>
      <c r="G5763" s="364">
        <v>87296</v>
      </c>
      <c r="H5763" s="475" t="s">
        <v>4891</v>
      </c>
      <c r="I5763" s="475" t="s">
        <v>1261</v>
      </c>
      <c r="J5763" s="475" t="s">
        <v>337</v>
      </c>
      <c r="K5763" s="365">
        <v>385.34</v>
      </c>
      <c r="L5763" s="475" t="s">
        <v>141</v>
      </c>
      <c r="M5763" s="473"/>
    </row>
    <row r="5764" spans="1:13" ht="13.5">
      <c r="A5764" s="475" t="s">
        <v>5496</v>
      </c>
      <c r="B5764" s="475" t="s">
        <v>5726</v>
      </c>
      <c r="C5764" s="475" t="s">
        <v>5727</v>
      </c>
      <c r="D5764" s="475" t="s">
        <v>5728</v>
      </c>
      <c r="E5764" s="476" t="s">
        <v>34</v>
      </c>
      <c r="F5764" s="475" t="s">
        <v>34</v>
      </c>
      <c r="G5764" s="364">
        <v>87298</v>
      </c>
      <c r="H5764" s="475" t="s">
        <v>4892</v>
      </c>
      <c r="I5764" s="475" t="s">
        <v>1261</v>
      </c>
      <c r="J5764" s="475" t="s">
        <v>337</v>
      </c>
      <c r="K5764" s="365">
        <v>430.27</v>
      </c>
      <c r="L5764" s="475" t="s">
        <v>141</v>
      </c>
      <c r="M5764" s="473"/>
    </row>
    <row r="5765" spans="1:13" ht="13.5">
      <c r="A5765" s="475" t="s">
        <v>5496</v>
      </c>
      <c r="B5765" s="475" t="s">
        <v>5726</v>
      </c>
      <c r="C5765" s="475" t="s">
        <v>5727</v>
      </c>
      <c r="D5765" s="475" t="s">
        <v>5728</v>
      </c>
      <c r="E5765" s="476" t="s">
        <v>34</v>
      </c>
      <c r="F5765" s="475" t="s">
        <v>34</v>
      </c>
      <c r="G5765" s="364">
        <v>87299</v>
      </c>
      <c r="H5765" s="475" t="s">
        <v>4893</v>
      </c>
      <c r="I5765" s="475" t="s">
        <v>1261</v>
      </c>
      <c r="J5765" s="475" t="s">
        <v>337</v>
      </c>
      <c r="K5765" s="365">
        <v>419.49</v>
      </c>
      <c r="L5765" s="475" t="s">
        <v>141</v>
      </c>
      <c r="M5765" s="473"/>
    </row>
    <row r="5766" spans="1:13" ht="13.5">
      <c r="A5766" s="475" t="s">
        <v>5496</v>
      </c>
      <c r="B5766" s="475" t="s">
        <v>5726</v>
      </c>
      <c r="C5766" s="475" t="s">
        <v>5727</v>
      </c>
      <c r="D5766" s="475" t="s">
        <v>5728</v>
      </c>
      <c r="E5766" s="476" t="s">
        <v>34</v>
      </c>
      <c r="F5766" s="475" t="s">
        <v>34</v>
      </c>
      <c r="G5766" s="364">
        <v>87301</v>
      </c>
      <c r="H5766" s="475" t="s">
        <v>4894</v>
      </c>
      <c r="I5766" s="475" t="s">
        <v>1261</v>
      </c>
      <c r="J5766" s="475" t="s">
        <v>337</v>
      </c>
      <c r="K5766" s="365">
        <v>393.7</v>
      </c>
      <c r="L5766" s="475" t="s">
        <v>141</v>
      </c>
      <c r="M5766" s="473"/>
    </row>
    <row r="5767" spans="1:13" ht="13.5">
      <c r="A5767" s="475" t="s">
        <v>5496</v>
      </c>
      <c r="B5767" s="475" t="s">
        <v>5726</v>
      </c>
      <c r="C5767" s="475" t="s">
        <v>5727</v>
      </c>
      <c r="D5767" s="475" t="s">
        <v>5728</v>
      </c>
      <c r="E5767" s="476" t="s">
        <v>34</v>
      </c>
      <c r="F5767" s="475" t="s">
        <v>34</v>
      </c>
      <c r="G5767" s="364">
        <v>87302</v>
      </c>
      <c r="H5767" s="475" t="s">
        <v>4895</v>
      </c>
      <c r="I5767" s="475" t="s">
        <v>1261</v>
      </c>
      <c r="J5767" s="475" t="s">
        <v>337</v>
      </c>
      <c r="K5767" s="365">
        <v>385.24</v>
      </c>
      <c r="L5767" s="475" t="s">
        <v>141</v>
      </c>
      <c r="M5767" s="473"/>
    </row>
    <row r="5768" spans="1:13" ht="13.5">
      <c r="A5768" s="475" t="s">
        <v>5496</v>
      </c>
      <c r="B5768" s="475" t="s">
        <v>5726</v>
      </c>
      <c r="C5768" s="475" t="s">
        <v>5727</v>
      </c>
      <c r="D5768" s="475" t="s">
        <v>5728</v>
      </c>
      <c r="E5768" s="476" t="s">
        <v>34</v>
      </c>
      <c r="F5768" s="475" t="s">
        <v>34</v>
      </c>
      <c r="G5768" s="364">
        <v>87304</v>
      </c>
      <c r="H5768" s="475" t="s">
        <v>4896</v>
      </c>
      <c r="I5768" s="475" t="s">
        <v>1261</v>
      </c>
      <c r="J5768" s="475" t="s">
        <v>337</v>
      </c>
      <c r="K5768" s="365">
        <v>372.69</v>
      </c>
      <c r="L5768" s="475" t="s">
        <v>141</v>
      </c>
      <c r="M5768" s="473"/>
    </row>
    <row r="5769" spans="1:13" ht="13.5">
      <c r="A5769" s="475" t="s">
        <v>5496</v>
      </c>
      <c r="B5769" s="475" t="s">
        <v>5726</v>
      </c>
      <c r="C5769" s="475" t="s">
        <v>5727</v>
      </c>
      <c r="D5769" s="475" t="s">
        <v>5728</v>
      </c>
      <c r="E5769" s="476" t="s">
        <v>34</v>
      </c>
      <c r="F5769" s="475" t="s">
        <v>34</v>
      </c>
      <c r="G5769" s="364">
        <v>87305</v>
      </c>
      <c r="H5769" s="475" t="s">
        <v>4897</v>
      </c>
      <c r="I5769" s="475" t="s">
        <v>1261</v>
      </c>
      <c r="J5769" s="475" t="s">
        <v>337</v>
      </c>
      <c r="K5769" s="365">
        <v>364.22</v>
      </c>
      <c r="L5769" s="475" t="s">
        <v>141</v>
      </c>
      <c r="M5769" s="473"/>
    </row>
    <row r="5770" spans="1:13" ht="13.5">
      <c r="A5770" s="475" t="s">
        <v>5496</v>
      </c>
      <c r="B5770" s="475" t="s">
        <v>5726</v>
      </c>
      <c r="C5770" s="475" t="s">
        <v>5727</v>
      </c>
      <c r="D5770" s="475" t="s">
        <v>5728</v>
      </c>
      <c r="E5770" s="476" t="s">
        <v>34</v>
      </c>
      <c r="F5770" s="475" t="s">
        <v>34</v>
      </c>
      <c r="G5770" s="364">
        <v>87307</v>
      </c>
      <c r="H5770" s="475" t="s">
        <v>4898</v>
      </c>
      <c r="I5770" s="475" t="s">
        <v>1261</v>
      </c>
      <c r="J5770" s="475" t="s">
        <v>337</v>
      </c>
      <c r="K5770" s="365">
        <v>353.39</v>
      </c>
      <c r="L5770" s="475" t="s">
        <v>141</v>
      </c>
      <c r="M5770" s="473"/>
    </row>
    <row r="5771" spans="1:13" ht="13.5">
      <c r="A5771" s="475" t="s">
        <v>5496</v>
      </c>
      <c r="B5771" s="475" t="s">
        <v>5726</v>
      </c>
      <c r="C5771" s="475" t="s">
        <v>5727</v>
      </c>
      <c r="D5771" s="475" t="s">
        <v>5728</v>
      </c>
      <c r="E5771" s="476" t="s">
        <v>34</v>
      </c>
      <c r="F5771" s="475" t="s">
        <v>34</v>
      </c>
      <c r="G5771" s="364">
        <v>87308</v>
      </c>
      <c r="H5771" s="475" t="s">
        <v>4899</v>
      </c>
      <c r="I5771" s="475" t="s">
        <v>1261</v>
      </c>
      <c r="J5771" s="475" t="s">
        <v>337</v>
      </c>
      <c r="K5771" s="365">
        <v>346.31</v>
      </c>
      <c r="L5771" s="475" t="s">
        <v>141</v>
      </c>
      <c r="M5771" s="473"/>
    </row>
    <row r="5772" spans="1:13" ht="13.5">
      <c r="A5772" s="475" t="s">
        <v>5496</v>
      </c>
      <c r="B5772" s="475" t="s">
        <v>5726</v>
      </c>
      <c r="C5772" s="475" t="s">
        <v>5727</v>
      </c>
      <c r="D5772" s="475" t="s">
        <v>5728</v>
      </c>
      <c r="E5772" s="476" t="s">
        <v>34</v>
      </c>
      <c r="F5772" s="475" t="s">
        <v>34</v>
      </c>
      <c r="G5772" s="364">
        <v>87310</v>
      </c>
      <c r="H5772" s="475" t="s">
        <v>4900</v>
      </c>
      <c r="I5772" s="475" t="s">
        <v>1261</v>
      </c>
      <c r="J5772" s="475" t="s">
        <v>337</v>
      </c>
      <c r="K5772" s="365">
        <v>313.7</v>
      </c>
      <c r="L5772" s="475" t="s">
        <v>141</v>
      </c>
      <c r="M5772" s="473"/>
    </row>
    <row r="5773" spans="1:13" ht="13.5">
      <c r="A5773" s="475" t="s">
        <v>5496</v>
      </c>
      <c r="B5773" s="475" t="s">
        <v>5726</v>
      </c>
      <c r="C5773" s="475" t="s">
        <v>5727</v>
      </c>
      <c r="D5773" s="475" t="s">
        <v>5728</v>
      </c>
      <c r="E5773" s="476" t="s">
        <v>34</v>
      </c>
      <c r="F5773" s="475" t="s">
        <v>34</v>
      </c>
      <c r="G5773" s="364">
        <v>87311</v>
      </c>
      <c r="H5773" s="475" t="s">
        <v>4901</v>
      </c>
      <c r="I5773" s="475" t="s">
        <v>1261</v>
      </c>
      <c r="J5773" s="475" t="s">
        <v>337</v>
      </c>
      <c r="K5773" s="365">
        <v>308.99</v>
      </c>
      <c r="L5773" s="475" t="s">
        <v>141</v>
      </c>
      <c r="M5773" s="473"/>
    </row>
    <row r="5774" spans="1:13" ht="13.5">
      <c r="A5774" s="475" t="s">
        <v>5496</v>
      </c>
      <c r="B5774" s="475" t="s">
        <v>5726</v>
      </c>
      <c r="C5774" s="475" t="s">
        <v>5727</v>
      </c>
      <c r="D5774" s="475" t="s">
        <v>5728</v>
      </c>
      <c r="E5774" s="476" t="s">
        <v>34</v>
      </c>
      <c r="F5774" s="475" t="s">
        <v>34</v>
      </c>
      <c r="G5774" s="364">
        <v>87313</v>
      </c>
      <c r="H5774" s="475" t="s">
        <v>4902</v>
      </c>
      <c r="I5774" s="475" t="s">
        <v>1261</v>
      </c>
      <c r="J5774" s="475" t="s">
        <v>337</v>
      </c>
      <c r="K5774" s="365">
        <v>353.69</v>
      </c>
      <c r="L5774" s="475" t="s">
        <v>141</v>
      </c>
      <c r="M5774" s="473"/>
    </row>
    <row r="5775" spans="1:13" ht="13.5">
      <c r="A5775" s="475" t="s">
        <v>5496</v>
      </c>
      <c r="B5775" s="475" t="s">
        <v>5726</v>
      </c>
      <c r="C5775" s="475" t="s">
        <v>5727</v>
      </c>
      <c r="D5775" s="475" t="s">
        <v>5728</v>
      </c>
      <c r="E5775" s="476" t="s">
        <v>34</v>
      </c>
      <c r="F5775" s="475" t="s">
        <v>34</v>
      </c>
      <c r="G5775" s="364">
        <v>87314</v>
      </c>
      <c r="H5775" s="475" t="s">
        <v>4903</v>
      </c>
      <c r="I5775" s="475" t="s">
        <v>1261</v>
      </c>
      <c r="J5775" s="475" t="s">
        <v>337</v>
      </c>
      <c r="K5775" s="365">
        <v>349.73</v>
      </c>
      <c r="L5775" s="475" t="s">
        <v>141</v>
      </c>
      <c r="M5775" s="473"/>
    </row>
    <row r="5776" spans="1:13" ht="13.5">
      <c r="A5776" s="475" t="s">
        <v>5496</v>
      </c>
      <c r="B5776" s="475" t="s">
        <v>5726</v>
      </c>
      <c r="C5776" s="475" t="s">
        <v>5727</v>
      </c>
      <c r="D5776" s="475" t="s">
        <v>5728</v>
      </c>
      <c r="E5776" s="476" t="s">
        <v>34</v>
      </c>
      <c r="F5776" s="475" t="s">
        <v>34</v>
      </c>
      <c r="G5776" s="364">
        <v>87316</v>
      </c>
      <c r="H5776" s="475" t="s">
        <v>4904</v>
      </c>
      <c r="I5776" s="475" t="s">
        <v>1261</v>
      </c>
      <c r="J5776" s="475" t="s">
        <v>337</v>
      </c>
      <c r="K5776" s="365">
        <v>333.3</v>
      </c>
      <c r="L5776" s="475" t="s">
        <v>141</v>
      </c>
      <c r="M5776" s="473"/>
    </row>
    <row r="5777" spans="1:13" ht="13.5">
      <c r="A5777" s="475" t="s">
        <v>5496</v>
      </c>
      <c r="B5777" s="475" t="s">
        <v>5726</v>
      </c>
      <c r="C5777" s="475" t="s">
        <v>5727</v>
      </c>
      <c r="D5777" s="475" t="s">
        <v>5728</v>
      </c>
      <c r="E5777" s="476" t="s">
        <v>34</v>
      </c>
      <c r="F5777" s="475" t="s">
        <v>34</v>
      </c>
      <c r="G5777" s="364">
        <v>87317</v>
      </c>
      <c r="H5777" s="475" t="s">
        <v>4905</v>
      </c>
      <c r="I5777" s="475" t="s">
        <v>1261</v>
      </c>
      <c r="J5777" s="475" t="s">
        <v>337</v>
      </c>
      <c r="K5777" s="365">
        <v>325.89</v>
      </c>
      <c r="L5777" s="475" t="s">
        <v>141</v>
      </c>
      <c r="M5777" s="473"/>
    </row>
    <row r="5778" spans="1:13" ht="13.5">
      <c r="A5778" s="475" t="s">
        <v>5496</v>
      </c>
      <c r="B5778" s="475" t="s">
        <v>5726</v>
      </c>
      <c r="C5778" s="475" t="s">
        <v>5727</v>
      </c>
      <c r="D5778" s="475" t="s">
        <v>5728</v>
      </c>
      <c r="E5778" s="476" t="s">
        <v>34</v>
      </c>
      <c r="F5778" s="475" t="s">
        <v>34</v>
      </c>
      <c r="G5778" s="364">
        <v>87319</v>
      </c>
      <c r="H5778" s="475" t="s">
        <v>4906</v>
      </c>
      <c r="I5778" s="475" t="s">
        <v>1261</v>
      </c>
      <c r="J5778" s="475" t="s">
        <v>337</v>
      </c>
      <c r="K5778" s="365">
        <v>2379.42</v>
      </c>
      <c r="L5778" s="475" t="s">
        <v>141</v>
      </c>
      <c r="M5778" s="473"/>
    </row>
    <row r="5779" spans="1:13" ht="13.5">
      <c r="A5779" s="475" t="s">
        <v>5496</v>
      </c>
      <c r="B5779" s="475" t="s">
        <v>5726</v>
      </c>
      <c r="C5779" s="475" t="s">
        <v>5727</v>
      </c>
      <c r="D5779" s="475" t="s">
        <v>5728</v>
      </c>
      <c r="E5779" s="476" t="s">
        <v>34</v>
      </c>
      <c r="F5779" s="475" t="s">
        <v>34</v>
      </c>
      <c r="G5779" s="364">
        <v>87320</v>
      </c>
      <c r="H5779" s="475" t="s">
        <v>4907</v>
      </c>
      <c r="I5779" s="475" t="s">
        <v>1261</v>
      </c>
      <c r="J5779" s="475" t="s">
        <v>337</v>
      </c>
      <c r="K5779" s="365">
        <v>2384.44</v>
      </c>
      <c r="L5779" s="475" t="s">
        <v>141</v>
      </c>
      <c r="M5779" s="473"/>
    </row>
    <row r="5780" spans="1:13" ht="13.5">
      <c r="A5780" s="475" t="s">
        <v>5496</v>
      </c>
      <c r="B5780" s="475" t="s">
        <v>5726</v>
      </c>
      <c r="C5780" s="475" t="s">
        <v>5727</v>
      </c>
      <c r="D5780" s="475" t="s">
        <v>5728</v>
      </c>
      <c r="E5780" s="476" t="s">
        <v>34</v>
      </c>
      <c r="F5780" s="475" t="s">
        <v>34</v>
      </c>
      <c r="G5780" s="364">
        <v>87322</v>
      </c>
      <c r="H5780" s="475" t="s">
        <v>4908</v>
      </c>
      <c r="I5780" s="475" t="s">
        <v>1261</v>
      </c>
      <c r="J5780" s="475" t="s">
        <v>337</v>
      </c>
      <c r="K5780" s="365">
        <v>2430.92</v>
      </c>
      <c r="L5780" s="475" t="s">
        <v>141</v>
      </c>
      <c r="M5780" s="473"/>
    </row>
    <row r="5781" spans="1:13" ht="13.5">
      <c r="A5781" s="475" t="s">
        <v>5496</v>
      </c>
      <c r="B5781" s="475" t="s">
        <v>5726</v>
      </c>
      <c r="C5781" s="475" t="s">
        <v>5727</v>
      </c>
      <c r="D5781" s="475" t="s">
        <v>5728</v>
      </c>
      <c r="E5781" s="476" t="s">
        <v>34</v>
      </c>
      <c r="F5781" s="475" t="s">
        <v>34</v>
      </c>
      <c r="G5781" s="364">
        <v>87323</v>
      </c>
      <c r="H5781" s="475" t="s">
        <v>4909</v>
      </c>
      <c r="I5781" s="475" t="s">
        <v>1261</v>
      </c>
      <c r="J5781" s="475" t="s">
        <v>337</v>
      </c>
      <c r="K5781" s="365">
        <v>2419.69</v>
      </c>
      <c r="L5781" s="475" t="s">
        <v>141</v>
      </c>
      <c r="M5781" s="473"/>
    </row>
    <row r="5782" spans="1:13" ht="13.5">
      <c r="A5782" s="475" t="s">
        <v>5496</v>
      </c>
      <c r="B5782" s="475" t="s">
        <v>5726</v>
      </c>
      <c r="C5782" s="475" t="s">
        <v>5727</v>
      </c>
      <c r="D5782" s="475" t="s">
        <v>5728</v>
      </c>
      <c r="E5782" s="476" t="s">
        <v>34</v>
      </c>
      <c r="F5782" s="475" t="s">
        <v>34</v>
      </c>
      <c r="G5782" s="364">
        <v>87325</v>
      </c>
      <c r="H5782" s="475" t="s">
        <v>4910</v>
      </c>
      <c r="I5782" s="475" t="s">
        <v>1261</v>
      </c>
      <c r="J5782" s="475" t="s">
        <v>337</v>
      </c>
      <c r="K5782" s="365">
        <v>2397.46</v>
      </c>
      <c r="L5782" s="475" t="s">
        <v>141</v>
      </c>
      <c r="M5782" s="473"/>
    </row>
    <row r="5783" spans="1:13" ht="13.5">
      <c r="A5783" s="475" t="s">
        <v>5496</v>
      </c>
      <c r="B5783" s="475" t="s">
        <v>5726</v>
      </c>
      <c r="C5783" s="475" t="s">
        <v>5727</v>
      </c>
      <c r="D5783" s="475" t="s">
        <v>5728</v>
      </c>
      <c r="E5783" s="476" t="s">
        <v>34</v>
      </c>
      <c r="F5783" s="475" t="s">
        <v>34</v>
      </c>
      <c r="G5783" s="364">
        <v>87326</v>
      </c>
      <c r="H5783" s="475" t="s">
        <v>4911</v>
      </c>
      <c r="I5783" s="475" t="s">
        <v>1261</v>
      </c>
      <c r="J5783" s="475" t="s">
        <v>337</v>
      </c>
      <c r="K5783" s="365">
        <v>2394.94</v>
      </c>
      <c r="L5783" s="475" t="s">
        <v>141</v>
      </c>
      <c r="M5783" s="473"/>
    </row>
    <row r="5784" spans="1:13" ht="13.5">
      <c r="A5784" s="475" t="s">
        <v>5496</v>
      </c>
      <c r="B5784" s="475" t="s">
        <v>5726</v>
      </c>
      <c r="C5784" s="475" t="s">
        <v>5727</v>
      </c>
      <c r="D5784" s="475" t="s">
        <v>5728</v>
      </c>
      <c r="E5784" s="476" t="s">
        <v>34</v>
      </c>
      <c r="F5784" s="475" t="s">
        <v>34</v>
      </c>
      <c r="G5784" s="364">
        <v>87327</v>
      </c>
      <c r="H5784" s="475" t="s">
        <v>4912</v>
      </c>
      <c r="I5784" s="475" t="s">
        <v>1261</v>
      </c>
      <c r="J5784" s="475" t="s">
        <v>337</v>
      </c>
      <c r="K5784" s="365">
        <v>319.64999999999998</v>
      </c>
      <c r="L5784" s="475" t="s">
        <v>141</v>
      </c>
      <c r="M5784" s="473"/>
    </row>
    <row r="5785" spans="1:13" ht="13.5">
      <c r="A5785" s="475" t="s">
        <v>5496</v>
      </c>
      <c r="B5785" s="475" t="s">
        <v>5726</v>
      </c>
      <c r="C5785" s="475" t="s">
        <v>5727</v>
      </c>
      <c r="D5785" s="475" t="s">
        <v>5728</v>
      </c>
      <c r="E5785" s="476" t="s">
        <v>34</v>
      </c>
      <c r="F5785" s="475" t="s">
        <v>34</v>
      </c>
      <c r="G5785" s="364">
        <v>87328</v>
      </c>
      <c r="H5785" s="475" t="s">
        <v>4913</v>
      </c>
      <c r="I5785" s="475" t="s">
        <v>1261</v>
      </c>
      <c r="J5785" s="475" t="s">
        <v>337</v>
      </c>
      <c r="K5785" s="365">
        <v>289.55</v>
      </c>
      <c r="L5785" s="475" t="s">
        <v>141</v>
      </c>
      <c r="M5785" s="473"/>
    </row>
    <row r="5786" spans="1:13" ht="13.5">
      <c r="A5786" s="475" t="s">
        <v>5496</v>
      </c>
      <c r="B5786" s="475" t="s">
        <v>5726</v>
      </c>
      <c r="C5786" s="475" t="s">
        <v>5727</v>
      </c>
      <c r="D5786" s="475" t="s">
        <v>5728</v>
      </c>
      <c r="E5786" s="476" t="s">
        <v>34</v>
      </c>
      <c r="F5786" s="475" t="s">
        <v>34</v>
      </c>
      <c r="G5786" s="364">
        <v>87329</v>
      </c>
      <c r="H5786" s="475" t="s">
        <v>4914</v>
      </c>
      <c r="I5786" s="475" t="s">
        <v>1261</v>
      </c>
      <c r="J5786" s="475" t="s">
        <v>337</v>
      </c>
      <c r="K5786" s="365">
        <v>339.13</v>
      </c>
      <c r="L5786" s="475" t="s">
        <v>141</v>
      </c>
      <c r="M5786" s="473"/>
    </row>
    <row r="5787" spans="1:13" ht="13.5">
      <c r="A5787" s="475" t="s">
        <v>5496</v>
      </c>
      <c r="B5787" s="475" t="s">
        <v>5726</v>
      </c>
      <c r="C5787" s="475" t="s">
        <v>5727</v>
      </c>
      <c r="D5787" s="475" t="s">
        <v>5728</v>
      </c>
      <c r="E5787" s="476" t="s">
        <v>34</v>
      </c>
      <c r="F5787" s="475" t="s">
        <v>34</v>
      </c>
      <c r="G5787" s="364">
        <v>87330</v>
      </c>
      <c r="H5787" s="475" t="s">
        <v>4915</v>
      </c>
      <c r="I5787" s="475" t="s">
        <v>1261</v>
      </c>
      <c r="J5787" s="475" t="s">
        <v>337</v>
      </c>
      <c r="K5787" s="365">
        <v>306.25</v>
      </c>
      <c r="L5787" s="475" t="s">
        <v>141</v>
      </c>
      <c r="M5787" s="473"/>
    </row>
    <row r="5788" spans="1:13" ht="13.5">
      <c r="A5788" s="475" t="s">
        <v>5496</v>
      </c>
      <c r="B5788" s="475" t="s">
        <v>5726</v>
      </c>
      <c r="C5788" s="475" t="s">
        <v>5727</v>
      </c>
      <c r="D5788" s="475" t="s">
        <v>5728</v>
      </c>
      <c r="E5788" s="476" t="s">
        <v>34</v>
      </c>
      <c r="F5788" s="475" t="s">
        <v>34</v>
      </c>
      <c r="G5788" s="364">
        <v>87331</v>
      </c>
      <c r="H5788" s="475" t="s">
        <v>4916</v>
      </c>
      <c r="I5788" s="475" t="s">
        <v>1261</v>
      </c>
      <c r="J5788" s="475" t="s">
        <v>337</v>
      </c>
      <c r="K5788" s="365">
        <v>406.21</v>
      </c>
      <c r="L5788" s="475" t="s">
        <v>141</v>
      </c>
      <c r="M5788" s="473"/>
    </row>
    <row r="5789" spans="1:13" ht="13.5">
      <c r="A5789" s="475" t="s">
        <v>5496</v>
      </c>
      <c r="B5789" s="475" t="s">
        <v>5726</v>
      </c>
      <c r="C5789" s="475" t="s">
        <v>5727</v>
      </c>
      <c r="D5789" s="475" t="s">
        <v>5728</v>
      </c>
      <c r="E5789" s="476" t="s">
        <v>34</v>
      </c>
      <c r="F5789" s="475" t="s">
        <v>34</v>
      </c>
      <c r="G5789" s="364">
        <v>87332</v>
      </c>
      <c r="H5789" s="475" t="s">
        <v>4917</v>
      </c>
      <c r="I5789" s="475" t="s">
        <v>1261</v>
      </c>
      <c r="J5789" s="475" t="s">
        <v>337</v>
      </c>
      <c r="K5789" s="365">
        <v>373.74</v>
      </c>
      <c r="L5789" s="475" t="s">
        <v>141</v>
      </c>
      <c r="M5789" s="473"/>
    </row>
    <row r="5790" spans="1:13" ht="13.5">
      <c r="A5790" s="475" t="s">
        <v>5496</v>
      </c>
      <c r="B5790" s="475" t="s">
        <v>5726</v>
      </c>
      <c r="C5790" s="475" t="s">
        <v>5727</v>
      </c>
      <c r="D5790" s="475" t="s">
        <v>5728</v>
      </c>
      <c r="E5790" s="476" t="s">
        <v>34</v>
      </c>
      <c r="F5790" s="475" t="s">
        <v>34</v>
      </c>
      <c r="G5790" s="364">
        <v>87333</v>
      </c>
      <c r="H5790" s="475" t="s">
        <v>4918</v>
      </c>
      <c r="I5790" s="475" t="s">
        <v>1261</v>
      </c>
      <c r="J5790" s="475" t="s">
        <v>337</v>
      </c>
      <c r="K5790" s="365">
        <v>388.92</v>
      </c>
      <c r="L5790" s="475" t="s">
        <v>141</v>
      </c>
      <c r="M5790" s="473"/>
    </row>
    <row r="5791" spans="1:13" ht="13.5">
      <c r="A5791" s="475" t="s">
        <v>5496</v>
      </c>
      <c r="B5791" s="475" t="s">
        <v>5726</v>
      </c>
      <c r="C5791" s="475" t="s">
        <v>5727</v>
      </c>
      <c r="D5791" s="475" t="s">
        <v>5728</v>
      </c>
      <c r="E5791" s="476" t="s">
        <v>34</v>
      </c>
      <c r="F5791" s="475" t="s">
        <v>34</v>
      </c>
      <c r="G5791" s="364">
        <v>87334</v>
      </c>
      <c r="H5791" s="475" t="s">
        <v>4919</v>
      </c>
      <c r="I5791" s="475" t="s">
        <v>1261</v>
      </c>
      <c r="J5791" s="475" t="s">
        <v>337</v>
      </c>
      <c r="K5791" s="365">
        <v>365.32</v>
      </c>
      <c r="L5791" s="475" t="s">
        <v>141</v>
      </c>
      <c r="M5791" s="473"/>
    </row>
    <row r="5792" spans="1:13" ht="13.5">
      <c r="A5792" s="475" t="s">
        <v>5496</v>
      </c>
      <c r="B5792" s="475" t="s">
        <v>5726</v>
      </c>
      <c r="C5792" s="475" t="s">
        <v>5727</v>
      </c>
      <c r="D5792" s="475" t="s">
        <v>5728</v>
      </c>
      <c r="E5792" s="476" t="s">
        <v>34</v>
      </c>
      <c r="F5792" s="475" t="s">
        <v>34</v>
      </c>
      <c r="G5792" s="364">
        <v>87335</v>
      </c>
      <c r="H5792" s="475" t="s">
        <v>4920</v>
      </c>
      <c r="I5792" s="475" t="s">
        <v>1261</v>
      </c>
      <c r="J5792" s="475" t="s">
        <v>337</v>
      </c>
      <c r="K5792" s="365">
        <v>400.51</v>
      </c>
      <c r="L5792" s="475" t="s">
        <v>141</v>
      </c>
      <c r="M5792" s="473"/>
    </row>
    <row r="5793" spans="1:13" ht="13.5">
      <c r="A5793" s="475" t="s">
        <v>5496</v>
      </c>
      <c r="B5793" s="475" t="s">
        <v>5726</v>
      </c>
      <c r="C5793" s="475" t="s">
        <v>5727</v>
      </c>
      <c r="D5793" s="475" t="s">
        <v>5728</v>
      </c>
      <c r="E5793" s="476" t="s">
        <v>34</v>
      </c>
      <c r="F5793" s="475" t="s">
        <v>34</v>
      </c>
      <c r="G5793" s="364">
        <v>87336</v>
      </c>
      <c r="H5793" s="475" t="s">
        <v>4921</v>
      </c>
      <c r="I5793" s="475" t="s">
        <v>1261</v>
      </c>
      <c r="J5793" s="475" t="s">
        <v>337</v>
      </c>
      <c r="K5793" s="365">
        <v>383.73</v>
      </c>
      <c r="L5793" s="475" t="s">
        <v>141</v>
      </c>
      <c r="M5793" s="473"/>
    </row>
    <row r="5794" spans="1:13" ht="13.5">
      <c r="A5794" s="475" t="s">
        <v>5496</v>
      </c>
      <c r="B5794" s="475" t="s">
        <v>5726</v>
      </c>
      <c r="C5794" s="475" t="s">
        <v>5727</v>
      </c>
      <c r="D5794" s="475" t="s">
        <v>5728</v>
      </c>
      <c r="E5794" s="476" t="s">
        <v>34</v>
      </c>
      <c r="F5794" s="475" t="s">
        <v>34</v>
      </c>
      <c r="G5794" s="364">
        <v>87337</v>
      </c>
      <c r="H5794" s="475" t="s">
        <v>4922</v>
      </c>
      <c r="I5794" s="475" t="s">
        <v>1261</v>
      </c>
      <c r="J5794" s="475" t="s">
        <v>337</v>
      </c>
      <c r="K5794" s="365">
        <v>383.49</v>
      </c>
      <c r="L5794" s="475" t="s">
        <v>141</v>
      </c>
      <c r="M5794" s="473"/>
    </row>
    <row r="5795" spans="1:13" ht="13.5">
      <c r="A5795" s="475" t="s">
        <v>5496</v>
      </c>
      <c r="B5795" s="475" t="s">
        <v>5726</v>
      </c>
      <c r="C5795" s="475" t="s">
        <v>5727</v>
      </c>
      <c r="D5795" s="475" t="s">
        <v>5728</v>
      </c>
      <c r="E5795" s="476" t="s">
        <v>34</v>
      </c>
      <c r="F5795" s="475" t="s">
        <v>34</v>
      </c>
      <c r="G5795" s="364">
        <v>87338</v>
      </c>
      <c r="H5795" s="475" t="s">
        <v>4923</v>
      </c>
      <c r="I5795" s="475" t="s">
        <v>1261</v>
      </c>
      <c r="J5795" s="475" t="s">
        <v>337</v>
      </c>
      <c r="K5795" s="365">
        <v>379.8</v>
      </c>
      <c r="L5795" s="475" t="s">
        <v>141</v>
      </c>
      <c r="M5795" s="473"/>
    </row>
    <row r="5796" spans="1:13" ht="13.5">
      <c r="A5796" s="475" t="s">
        <v>5496</v>
      </c>
      <c r="B5796" s="475" t="s">
        <v>5726</v>
      </c>
      <c r="C5796" s="475" t="s">
        <v>5727</v>
      </c>
      <c r="D5796" s="475" t="s">
        <v>5728</v>
      </c>
      <c r="E5796" s="476" t="s">
        <v>34</v>
      </c>
      <c r="F5796" s="475" t="s">
        <v>34</v>
      </c>
      <c r="G5796" s="364">
        <v>87339</v>
      </c>
      <c r="H5796" s="475" t="s">
        <v>4924</v>
      </c>
      <c r="I5796" s="475" t="s">
        <v>1261</v>
      </c>
      <c r="J5796" s="475" t="s">
        <v>337</v>
      </c>
      <c r="K5796" s="365">
        <v>494.61</v>
      </c>
      <c r="L5796" s="475" t="s">
        <v>141</v>
      </c>
      <c r="M5796" s="473"/>
    </row>
    <row r="5797" spans="1:13" ht="13.5">
      <c r="A5797" s="475" t="s">
        <v>5496</v>
      </c>
      <c r="B5797" s="475" t="s">
        <v>5726</v>
      </c>
      <c r="C5797" s="475" t="s">
        <v>5727</v>
      </c>
      <c r="D5797" s="475" t="s">
        <v>5728</v>
      </c>
      <c r="E5797" s="476" t="s">
        <v>34</v>
      </c>
      <c r="F5797" s="475" t="s">
        <v>34</v>
      </c>
      <c r="G5797" s="364">
        <v>87340</v>
      </c>
      <c r="H5797" s="475" t="s">
        <v>4925</v>
      </c>
      <c r="I5797" s="475" t="s">
        <v>1261</v>
      </c>
      <c r="J5797" s="475" t="s">
        <v>337</v>
      </c>
      <c r="K5797" s="365">
        <v>420.34</v>
      </c>
      <c r="L5797" s="475" t="s">
        <v>141</v>
      </c>
      <c r="M5797" s="473"/>
    </row>
    <row r="5798" spans="1:13" ht="13.5">
      <c r="A5798" s="475" t="s">
        <v>5496</v>
      </c>
      <c r="B5798" s="475" t="s">
        <v>5726</v>
      </c>
      <c r="C5798" s="475" t="s">
        <v>5727</v>
      </c>
      <c r="D5798" s="475" t="s">
        <v>5728</v>
      </c>
      <c r="E5798" s="476" t="s">
        <v>34</v>
      </c>
      <c r="F5798" s="475" t="s">
        <v>34</v>
      </c>
      <c r="G5798" s="364">
        <v>87341</v>
      </c>
      <c r="H5798" s="475" t="s">
        <v>4926</v>
      </c>
      <c r="I5798" s="475" t="s">
        <v>1261</v>
      </c>
      <c r="J5798" s="475" t="s">
        <v>337</v>
      </c>
      <c r="K5798" s="365">
        <v>406.88</v>
      </c>
      <c r="L5798" s="475" t="s">
        <v>141</v>
      </c>
      <c r="M5798" s="473"/>
    </row>
    <row r="5799" spans="1:13" ht="13.5">
      <c r="A5799" s="475" t="s">
        <v>5496</v>
      </c>
      <c r="B5799" s="475" t="s">
        <v>5726</v>
      </c>
      <c r="C5799" s="475" t="s">
        <v>5727</v>
      </c>
      <c r="D5799" s="475" t="s">
        <v>5728</v>
      </c>
      <c r="E5799" s="476" t="s">
        <v>34</v>
      </c>
      <c r="F5799" s="475" t="s">
        <v>34</v>
      </c>
      <c r="G5799" s="364">
        <v>87342</v>
      </c>
      <c r="H5799" s="475" t="s">
        <v>4927</v>
      </c>
      <c r="I5799" s="475" t="s">
        <v>1261</v>
      </c>
      <c r="J5799" s="475" t="s">
        <v>337</v>
      </c>
      <c r="K5799" s="365">
        <v>439.06</v>
      </c>
      <c r="L5799" s="475" t="s">
        <v>141</v>
      </c>
      <c r="M5799" s="473"/>
    </row>
    <row r="5800" spans="1:13" ht="13.5">
      <c r="A5800" s="475" t="s">
        <v>5496</v>
      </c>
      <c r="B5800" s="475" t="s">
        <v>5726</v>
      </c>
      <c r="C5800" s="475" t="s">
        <v>5727</v>
      </c>
      <c r="D5800" s="475" t="s">
        <v>5728</v>
      </c>
      <c r="E5800" s="476" t="s">
        <v>34</v>
      </c>
      <c r="F5800" s="475" t="s">
        <v>34</v>
      </c>
      <c r="G5800" s="364">
        <v>87343</v>
      </c>
      <c r="H5800" s="475" t="s">
        <v>4928</v>
      </c>
      <c r="I5800" s="475" t="s">
        <v>1261</v>
      </c>
      <c r="J5800" s="475" t="s">
        <v>337</v>
      </c>
      <c r="K5800" s="365">
        <v>391.23</v>
      </c>
      <c r="L5800" s="475" t="s">
        <v>141</v>
      </c>
      <c r="M5800" s="473"/>
    </row>
    <row r="5801" spans="1:13" ht="13.5">
      <c r="A5801" s="475" t="s">
        <v>5496</v>
      </c>
      <c r="B5801" s="475" t="s">
        <v>5726</v>
      </c>
      <c r="C5801" s="475" t="s">
        <v>5727</v>
      </c>
      <c r="D5801" s="475" t="s">
        <v>5728</v>
      </c>
      <c r="E5801" s="476" t="s">
        <v>34</v>
      </c>
      <c r="F5801" s="475" t="s">
        <v>34</v>
      </c>
      <c r="G5801" s="364">
        <v>87344</v>
      </c>
      <c r="H5801" s="475" t="s">
        <v>4929</v>
      </c>
      <c r="I5801" s="475" t="s">
        <v>1261</v>
      </c>
      <c r="J5801" s="475" t="s">
        <v>337</v>
      </c>
      <c r="K5801" s="365">
        <v>372.29</v>
      </c>
      <c r="L5801" s="475" t="s">
        <v>141</v>
      </c>
      <c r="M5801" s="473"/>
    </row>
    <row r="5802" spans="1:13" ht="13.5">
      <c r="A5802" s="475" t="s">
        <v>5496</v>
      </c>
      <c r="B5802" s="475" t="s">
        <v>5726</v>
      </c>
      <c r="C5802" s="475" t="s">
        <v>5727</v>
      </c>
      <c r="D5802" s="475" t="s">
        <v>5728</v>
      </c>
      <c r="E5802" s="476" t="s">
        <v>34</v>
      </c>
      <c r="F5802" s="475" t="s">
        <v>34</v>
      </c>
      <c r="G5802" s="364">
        <v>87345</v>
      </c>
      <c r="H5802" s="475" t="s">
        <v>4930</v>
      </c>
      <c r="I5802" s="475" t="s">
        <v>1261</v>
      </c>
      <c r="J5802" s="475" t="s">
        <v>337</v>
      </c>
      <c r="K5802" s="365">
        <v>395.05</v>
      </c>
      <c r="L5802" s="475" t="s">
        <v>141</v>
      </c>
      <c r="M5802" s="473"/>
    </row>
    <row r="5803" spans="1:13" ht="13.5">
      <c r="A5803" s="475" t="s">
        <v>5496</v>
      </c>
      <c r="B5803" s="475" t="s">
        <v>5726</v>
      </c>
      <c r="C5803" s="475" t="s">
        <v>5727</v>
      </c>
      <c r="D5803" s="475" t="s">
        <v>5728</v>
      </c>
      <c r="E5803" s="476" t="s">
        <v>34</v>
      </c>
      <c r="F5803" s="475" t="s">
        <v>34</v>
      </c>
      <c r="G5803" s="364">
        <v>87346</v>
      </c>
      <c r="H5803" s="475" t="s">
        <v>4931</v>
      </c>
      <c r="I5803" s="475" t="s">
        <v>1261</v>
      </c>
      <c r="J5803" s="475" t="s">
        <v>337</v>
      </c>
      <c r="K5803" s="365">
        <v>362.36</v>
      </c>
      <c r="L5803" s="475" t="s">
        <v>141</v>
      </c>
      <c r="M5803" s="473"/>
    </row>
    <row r="5804" spans="1:13" ht="13.5">
      <c r="A5804" s="475" t="s">
        <v>5496</v>
      </c>
      <c r="B5804" s="475" t="s">
        <v>5726</v>
      </c>
      <c r="C5804" s="475" t="s">
        <v>5727</v>
      </c>
      <c r="D5804" s="475" t="s">
        <v>5728</v>
      </c>
      <c r="E5804" s="476" t="s">
        <v>34</v>
      </c>
      <c r="F5804" s="475" t="s">
        <v>34</v>
      </c>
      <c r="G5804" s="364">
        <v>87347</v>
      </c>
      <c r="H5804" s="475" t="s">
        <v>4932</v>
      </c>
      <c r="I5804" s="475" t="s">
        <v>1261</v>
      </c>
      <c r="J5804" s="475" t="s">
        <v>337</v>
      </c>
      <c r="K5804" s="365">
        <v>352.41</v>
      </c>
      <c r="L5804" s="475" t="s">
        <v>141</v>
      </c>
      <c r="M5804" s="473"/>
    </row>
    <row r="5805" spans="1:13" ht="13.5">
      <c r="A5805" s="475" t="s">
        <v>5496</v>
      </c>
      <c r="B5805" s="475" t="s">
        <v>5726</v>
      </c>
      <c r="C5805" s="475" t="s">
        <v>5727</v>
      </c>
      <c r="D5805" s="475" t="s">
        <v>5728</v>
      </c>
      <c r="E5805" s="476" t="s">
        <v>34</v>
      </c>
      <c r="F5805" s="475" t="s">
        <v>34</v>
      </c>
      <c r="G5805" s="364">
        <v>87348</v>
      </c>
      <c r="H5805" s="475" t="s">
        <v>4933</v>
      </c>
      <c r="I5805" s="475" t="s">
        <v>1261</v>
      </c>
      <c r="J5805" s="475" t="s">
        <v>337</v>
      </c>
      <c r="K5805" s="365">
        <v>373.87</v>
      </c>
      <c r="L5805" s="475" t="s">
        <v>141</v>
      </c>
      <c r="M5805" s="473"/>
    </row>
    <row r="5806" spans="1:13" ht="13.5">
      <c r="A5806" s="475" t="s">
        <v>5496</v>
      </c>
      <c r="B5806" s="475" t="s">
        <v>5726</v>
      </c>
      <c r="C5806" s="475" t="s">
        <v>5727</v>
      </c>
      <c r="D5806" s="475" t="s">
        <v>5728</v>
      </c>
      <c r="E5806" s="476" t="s">
        <v>34</v>
      </c>
      <c r="F5806" s="475" t="s">
        <v>34</v>
      </c>
      <c r="G5806" s="364">
        <v>87349</v>
      </c>
      <c r="H5806" s="475" t="s">
        <v>4934</v>
      </c>
      <c r="I5806" s="475" t="s">
        <v>1261</v>
      </c>
      <c r="J5806" s="475" t="s">
        <v>337</v>
      </c>
      <c r="K5806" s="365">
        <v>332.77</v>
      </c>
      <c r="L5806" s="475" t="s">
        <v>141</v>
      </c>
      <c r="M5806" s="473"/>
    </row>
    <row r="5807" spans="1:13" ht="13.5">
      <c r="A5807" s="475" t="s">
        <v>5496</v>
      </c>
      <c r="B5807" s="475" t="s">
        <v>5726</v>
      </c>
      <c r="C5807" s="475" t="s">
        <v>5727</v>
      </c>
      <c r="D5807" s="475" t="s">
        <v>5728</v>
      </c>
      <c r="E5807" s="476" t="s">
        <v>34</v>
      </c>
      <c r="F5807" s="475" t="s">
        <v>34</v>
      </c>
      <c r="G5807" s="364">
        <v>87350</v>
      </c>
      <c r="H5807" s="475" t="s">
        <v>4935</v>
      </c>
      <c r="I5807" s="475" t="s">
        <v>1261</v>
      </c>
      <c r="J5807" s="475" t="s">
        <v>337</v>
      </c>
      <c r="K5807" s="365">
        <v>337.87</v>
      </c>
      <c r="L5807" s="475" t="s">
        <v>141</v>
      </c>
      <c r="M5807" s="473"/>
    </row>
    <row r="5808" spans="1:13" ht="13.5">
      <c r="A5808" s="475" t="s">
        <v>5496</v>
      </c>
      <c r="B5808" s="475" t="s">
        <v>5726</v>
      </c>
      <c r="C5808" s="475" t="s">
        <v>5727</v>
      </c>
      <c r="D5808" s="475" t="s">
        <v>5728</v>
      </c>
      <c r="E5808" s="476" t="s">
        <v>34</v>
      </c>
      <c r="F5808" s="475" t="s">
        <v>34</v>
      </c>
      <c r="G5808" s="364">
        <v>87351</v>
      </c>
      <c r="H5808" s="475" t="s">
        <v>4936</v>
      </c>
      <c r="I5808" s="475" t="s">
        <v>1261</v>
      </c>
      <c r="J5808" s="475" t="s">
        <v>337</v>
      </c>
      <c r="K5808" s="365">
        <v>307.19</v>
      </c>
      <c r="L5808" s="475" t="s">
        <v>141</v>
      </c>
      <c r="M5808" s="473"/>
    </row>
    <row r="5809" spans="1:13" ht="13.5">
      <c r="A5809" s="475" t="s">
        <v>5496</v>
      </c>
      <c r="B5809" s="475" t="s">
        <v>5726</v>
      </c>
      <c r="C5809" s="475" t="s">
        <v>5727</v>
      </c>
      <c r="D5809" s="475" t="s">
        <v>5728</v>
      </c>
      <c r="E5809" s="476" t="s">
        <v>34</v>
      </c>
      <c r="F5809" s="475" t="s">
        <v>34</v>
      </c>
      <c r="G5809" s="364">
        <v>87352</v>
      </c>
      <c r="H5809" s="475" t="s">
        <v>4937</v>
      </c>
      <c r="I5809" s="475" t="s">
        <v>1261</v>
      </c>
      <c r="J5809" s="475" t="s">
        <v>337</v>
      </c>
      <c r="K5809" s="365">
        <v>399.93</v>
      </c>
      <c r="L5809" s="475" t="s">
        <v>141</v>
      </c>
      <c r="M5809" s="473"/>
    </row>
    <row r="5810" spans="1:13" ht="13.5">
      <c r="A5810" s="475" t="s">
        <v>5496</v>
      </c>
      <c r="B5810" s="475" t="s">
        <v>5726</v>
      </c>
      <c r="C5810" s="475" t="s">
        <v>5727</v>
      </c>
      <c r="D5810" s="475" t="s">
        <v>5728</v>
      </c>
      <c r="E5810" s="476" t="s">
        <v>34</v>
      </c>
      <c r="F5810" s="475" t="s">
        <v>34</v>
      </c>
      <c r="G5810" s="364">
        <v>87353</v>
      </c>
      <c r="H5810" s="475" t="s">
        <v>4938</v>
      </c>
      <c r="I5810" s="475" t="s">
        <v>1261</v>
      </c>
      <c r="J5810" s="475" t="s">
        <v>337</v>
      </c>
      <c r="K5810" s="365">
        <v>356.99</v>
      </c>
      <c r="L5810" s="475" t="s">
        <v>141</v>
      </c>
      <c r="M5810" s="473"/>
    </row>
    <row r="5811" spans="1:13" ht="13.5">
      <c r="A5811" s="475" t="s">
        <v>5496</v>
      </c>
      <c r="B5811" s="475" t="s">
        <v>5726</v>
      </c>
      <c r="C5811" s="475" t="s">
        <v>5727</v>
      </c>
      <c r="D5811" s="475" t="s">
        <v>5728</v>
      </c>
      <c r="E5811" s="476" t="s">
        <v>34</v>
      </c>
      <c r="F5811" s="475" t="s">
        <v>34</v>
      </c>
      <c r="G5811" s="364">
        <v>87354</v>
      </c>
      <c r="H5811" s="475" t="s">
        <v>4939</v>
      </c>
      <c r="I5811" s="475" t="s">
        <v>1261</v>
      </c>
      <c r="J5811" s="475" t="s">
        <v>337</v>
      </c>
      <c r="K5811" s="365">
        <v>337.99</v>
      </c>
      <c r="L5811" s="475" t="s">
        <v>141</v>
      </c>
      <c r="M5811" s="473"/>
    </row>
    <row r="5812" spans="1:13" ht="13.5">
      <c r="A5812" s="475" t="s">
        <v>5496</v>
      </c>
      <c r="B5812" s="475" t="s">
        <v>5726</v>
      </c>
      <c r="C5812" s="475" t="s">
        <v>5727</v>
      </c>
      <c r="D5812" s="475" t="s">
        <v>5728</v>
      </c>
      <c r="E5812" s="476" t="s">
        <v>34</v>
      </c>
      <c r="F5812" s="475" t="s">
        <v>34</v>
      </c>
      <c r="G5812" s="364">
        <v>87355</v>
      </c>
      <c r="H5812" s="475" t="s">
        <v>4940</v>
      </c>
      <c r="I5812" s="475" t="s">
        <v>1261</v>
      </c>
      <c r="J5812" s="475" t="s">
        <v>337</v>
      </c>
      <c r="K5812" s="365">
        <v>359.88</v>
      </c>
      <c r="L5812" s="475" t="s">
        <v>141</v>
      </c>
      <c r="M5812" s="473"/>
    </row>
    <row r="5813" spans="1:13" ht="13.5">
      <c r="A5813" s="475" t="s">
        <v>5496</v>
      </c>
      <c r="B5813" s="475" t="s">
        <v>5726</v>
      </c>
      <c r="C5813" s="475" t="s">
        <v>5727</v>
      </c>
      <c r="D5813" s="475" t="s">
        <v>5728</v>
      </c>
      <c r="E5813" s="476" t="s">
        <v>34</v>
      </c>
      <c r="F5813" s="475" t="s">
        <v>34</v>
      </c>
      <c r="G5813" s="364">
        <v>87356</v>
      </c>
      <c r="H5813" s="475" t="s">
        <v>4941</v>
      </c>
      <c r="I5813" s="475" t="s">
        <v>1261</v>
      </c>
      <c r="J5813" s="475" t="s">
        <v>337</v>
      </c>
      <c r="K5813" s="365">
        <v>325.16000000000003</v>
      </c>
      <c r="L5813" s="475" t="s">
        <v>141</v>
      </c>
      <c r="M5813" s="473"/>
    </row>
    <row r="5814" spans="1:13" ht="13.5">
      <c r="A5814" s="475" t="s">
        <v>5496</v>
      </c>
      <c r="B5814" s="475" t="s">
        <v>5726</v>
      </c>
      <c r="C5814" s="475" t="s">
        <v>5727</v>
      </c>
      <c r="D5814" s="475" t="s">
        <v>5728</v>
      </c>
      <c r="E5814" s="476" t="s">
        <v>34</v>
      </c>
      <c r="F5814" s="475" t="s">
        <v>34</v>
      </c>
      <c r="G5814" s="364">
        <v>87357</v>
      </c>
      <c r="H5814" s="475" t="s">
        <v>4942</v>
      </c>
      <c r="I5814" s="475" t="s">
        <v>1261</v>
      </c>
      <c r="J5814" s="475" t="s">
        <v>337</v>
      </c>
      <c r="K5814" s="365">
        <v>317.52999999999997</v>
      </c>
      <c r="L5814" s="475" t="s">
        <v>141</v>
      </c>
      <c r="M5814" s="473"/>
    </row>
    <row r="5815" spans="1:13" ht="13.5">
      <c r="A5815" s="475" t="s">
        <v>5496</v>
      </c>
      <c r="B5815" s="475" t="s">
        <v>5726</v>
      </c>
      <c r="C5815" s="475" t="s">
        <v>5727</v>
      </c>
      <c r="D5815" s="475" t="s">
        <v>5728</v>
      </c>
      <c r="E5815" s="476" t="s">
        <v>34</v>
      </c>
      <c r="F5815" s="475" t="s">
        <v>34</v>
      </c>
      <c r="G5815" s="364">
        <v>87358</v>
      </c>
      <c r="H5815" s="475" t="s">
        <v>4943</v>
      </c>
      <c r="I5815" s="475" t="s">
        <v>1261</v>
      </c>
      <c r="J5815" s="475" t="s">
        <v>337</v>
      </c>
      <c r="K5815" s="365">
        <v>2342.9499999999998</v>
      </c>
      <c r="L5815" s="475" t="s">
        <v>141</v>
      </c>
      <c r="M5815" s="473"/>
    </row>
    <row r="5816" spans="1:13" ht="13.5">
      <c r="A5816" s="475" t="s">
        <v>5496</v>
      </c>
      <c r="B5816" s="475" t="s">
        <v>5726</v>
      </c>
      <c r="C5816" s="475" t="s">
        <v>5727</v>
      </c>
      <c r="D5816" s="475" t="s">
        <v>5728</v>
      </c>
      <c r="E5816" s="476" t="s">
        <v>34</v>
      </c>
      <c r="F5816" s="475" t="s">
        <v>34</v>
      </c>
      <c r="G5816" s="364">
        <v>87359</v>
      </c>
      <c r="H5816" s="475" t="s">
        <v>4944</v>
      </c>
      <c r="I5816" s="475" t="s">
        <v>1261</v>
      </c>
      <c r="J5816" s="475" t="s">
        <v>337</v>
      </c>
      <c r="K5816" s="365">
        <v>2331.88</v>
      </c>
      <c r="L5816" s="475" t="s">
        <v>141</v>
      </c>
      <c r="M5816" s="473"/>
    </row>
    <row r="5817" spans="1:13" ht="13.5">
      <c r="A5817" s="475" t="s">
        <v>5496</v>
      </c>
      <c r="B5817" s="475" t="s">
        <v>5726</v>
      </c>
      <c r="C5817" s="475" t="s">
        <v>5727</v>
      </c>
      <c r="D5817" s="475" t="s">
        <v>5728</v>
      </c>
      <c r="E5817" s="476" t="s">
        <v>34</v>
      </c>
      <c r="F5817" s="475" t="s">
        <v>34</v>
      </c>
      <c r="G5817" s="364">
        <v>87360</v>
      </c>
      <c r="H5817" s="475" t="s">
        <v>4945</v>
      </c>
      <c r="I5817" s="475" t="s">
        <v>1261</v>
      </c>
      <c r="J5817" s="475" t="s">
        <v>337</v>
      </c>
      <c r="K5817" s="365">
        <v>2401.0300000000002</v>
      </c>
      <c r="L5817" s="475" t="s">
        <v>141</v>
      </c>
      <c r="M5817" s="473"/>
    </row>
    <row r="5818" spans="1:13" ht="13.5">
      <c r="A5818" s="475" t="s">
        <v>5496</v>
      </c>
      <c r="B5818" s="475" t="s">
        <v>5726</v>
      </c>
      <c r="C5818" s="475" t="s">
        <v>5727</v>
      </c>
      <c r="D5818" s="475" t="s">
        <v>5728</v>
      </c>
      <c r="E5818" s="476" t="s">
        <v>34</v>
      </c>
      <c r="F5818" s="475" t="s">
        <v>34</v>
      </c>
      <c r="G5818" s="364">
        <v>87361</v>
      </c>
      <c r="H5818" s="475" t="s">
        <v>4946</v>
      </c>
      <c r="I5818" s="475" t="s">
        <v>1261</v>
      </c>
      <c r="J5818" s="475" t="s">
        <v>337</v>
      </c>
      <c r="K5818" s="365">
        <v>2380.64</v>
      </c>
      <c r="L5818" s="475" t="s">
        <v>141</v>
      </c>
      <c r="M5818" s="473"/>
    </row>
    <row r="5819" spans="1:13" ht="13.5">
      <c r="A5819" s="475" t="s">
        <v>5496</v>
      </c>
      <c r="B5819" s="475" t="s">
        <v>5726</v>
      </c>
      <c r="C5819" s="475" t="s">
        <v>5727</v>
      </c>
      <c r="D5819" s="475" t="s">
        <v>5728</v>
      </c>
      <c r="E5819" s="476" t="s">
        <v>34</v>
      </c>
      <c r="F5819" s="475" t="s">
        <v>34</v>
      </c>
      <c r="G5819" s="364">
        <v>87362</v>
      </c>
      <c r="H5819" s="475" t="s">
        <v>4947</v>
      </c>
      <c r="I5819" s="475" t="s">
        <v>1261</v>
      </c>
      <c r="J5819" s="475" t="s">
        <v>337</v>
      </c>
      <c r="K5819" s="365">
        <v>2378.2199999999998</v>
      </c>
      <c r="L5819" s="475" t="s">
        <v>141</v>
      </c>
      <c r="M5819" s="473"/>
    </row>
    <row r="5820" spans="1:13" ht="13.5">
      <c r="A5820" s="475" t="s">
        <v>5496</v>
      </c>
      <c r="B5820" s="475" t="s">
        <v>5726</v>
      </c>
      <c r="C5820" s="475" t="s">
        <v>5727</v>
      </c>
      <c r="D5820" s="475" t="s">
        <v>5728</v>
      </c>
      <c r="E5820" s="476" t="s">
        <v>34</v>
      </c>
      <c r="F5820" s="475" t="s">
        <v>34</v>
      </c>
      <c r="G5820" s="364">
        <v>87363</v>
      </c>
      <c r="H5820" s="475" t="s">
        <v>4948</v>
      </c>
      <c r="I5820" s="475" t="s">
        <v>1261</v>
      </c>
      <c r="J5820" s="475" t="s">
        <v>337</v>
      </c>
      <c r="K5820" s="365">
        <v>2378.06</v>
      </c>
      <c r="L5820" s="475" t="s">
        <v>141</v>
      </c>
      <c r="M5820" s="473"/>
    </row>
    <row r="5821" spans="1:13" ht="13.5">
      <c r="A5821" s="475" t="s">
        <v>5496</v>
      </c>
      <c r="B5821" s="475" t="s">
        <v>5726</v>
      </c>
      <c r="C5821" s="475" t="s">
        <v>5727</v>
      </c>
      <c r="D5821" s="475" t="s">
        <v>5728</v>
      </c>
      <c r="E5821" s="476" t="s">
        <v>34</v>
      </c>
      <c r="F5821" s="475" t="s">
        <v>34</v>
      </c>
      <c r="G5821" s="364">
        <v>87364</v>
      </c>
      <c r="H5821" s="475" t="s">
        <v>4949</v>
      </c>
      <c r="I5821" s="475" t="s">
        <v>1261</v>
      </c>
      <c r="J5821" s="475" t="s">
        <v>337</v>
      </c>
      <c r="K5821" s="365">
        <v>2347.79</v>
      </c>
      <c r="L5821" s="475" t="s">
        <v>141</v>
      </c>
      <c r="M5821" s="473"/>
    </row>
    <row r="5822" spans="1:13" ht="13.5">
      <c r="A5822" s="475" t="s">
        <v>5496</v>
      </c>
      <c r="B5822" s="475" t="s">
        <v>5726</v>
      </c>
      <c r="C5822" s="475" t="s">
        <v>5727</v>
      </c>
      <c r="D5822" s="475" t="s">
        <v>5728</v>
      </c>
      <c r="E5822" s="476" t="s">
        <v>34</v>
      </c>
      <c r="F5822" s="475" t="s">
        <v>34</v>
      </c>
      <c r="G5822" s="364">
        <v>87365</v>
      </c>
      <c r="H5822" s="475" t="s">
        <v>4950</v>
      </c>
      <c r="I5822" s="475" t="s">
        <v>1261</v>
      </c>
      <c r="J5822" s="475" t="s">
        <v>337</v>
      </c>
      <c r="K5822" s="365">
        <v>388.51</v>
      </c>
      <c r="L5822" s="475" t="s">
        <v>141</v>
      </c>
      <c r="M5822" s="473"/>
    </row>
    <row r="5823" spans="1:13" ht="13.5">
      <c r="A5823" s="475" t="s">
        <v>5496</v>
      </c>
      <c r="B5823" s="475" t="s">
        <v>5726</v>
      </c>
      <c r="C5823" s="475" t="s">
        <v>5727</v>
      </c>
      <c r="D5823" s="475" t="s">
        <v>5728</v>
      </c>
      <c r="E5823" s="476" t="s">
        <v>34</v>
      </c>
      <c r="F5823" s="475" t="s">
        <v>34</v>
      </c>
      <c r="G5823" s="364">
        <v>87366</v>
      </c>
      <c r="H5823" s="475" t="s">
        <v>4951</v>
      </c>
      <c r="I5823" s="475" t="s">
        <v>1261</v>
      </c>
      <c r="J5823" s="475" t="s">
        <v>337</v>
      </c>
      <c r="K5823" s="365">
        <v>400.48</v>
      </c>
      <c r="L5823" s="475" t="s">
        <v>141</v>
      </c>
      <c r="M5823" s="473"/>
    </row>
    <row r="5824" spans="1:13" ht="13.5">
      <c r="A5824" s="475" t="s">
        <v>5496</v>
      </c>
      <c r="B5824" s="475" t="s">
        <v>5726</v>
      </c>
      <c r="C5824" s="475" t="s">
        <v>5727</v>
      </c>
      <c r="D5824" s="475" t="s">
        <v>5728</v>
      </c>
      <c r="E5824" s="476" t="s">
        <v>34</v>
      </c>
      <c r="F5824" s="475" t="s">
        <v>34</v>
      </c>
      <c r="G5824" s="364">
        <v>87367</v>
      </c>
      <c r="H5824" s="475" t="s">
        <v>4952</v>
      </c>
      <c r="I5824" s="475" t="s">
        <v>1261</v>
      </c>
      <c r="J5824" s="475" t="s">
        <v>337</v>
      </c>
      <c r="K5824" s="365">
        <v>471.2</v>
      </c>
      <c r="L5824" s="475" t="s">
        <v>141</v>
      </c>
      <c r="M5824" s="473"/>
    </row>
    <row r="5825" spans="1:13" ht="13.5">
      <c r="A5825" s="475" t="s">
        <v>5496</v>
      </c>
      <c r="B5825" s="475" t="s">
        <v>5726</v>
      </c>
      <c r="C5825" s="475" t="s">
        <v>5727</v>
      </c>
      <c r="D5825" s="475" t="s">
        <v>5728</v>
      </c>
      <c r="E5825" s="476" t="s">
        <v>34</v>
      </c>
      <c r="F5825" s="475" t="s">
        <v>34</v>
      </c>
      <c r="G5825" s="364">
        <v>87368</v>
      </c>
      <c r="H5825" s="475" t="s">
        <v>4953</v>
      </c>
      <c r="I5825" s="475" t="s">
        <v>1261</v>
      </c>
      <c r="J5825" s="475" t="s">
        <v>337</v>
      </c>
      <c r="K5825" s="365">
        <v>473.27</v>
      </c>
      <c r="L5825" s="475" t="s">
        <v>141</v>
      </c>
      <c r="M5825" s="473"/>
    </row>
    <row r="5826" spans="1:13" ht="13.5">
      <c r="A5826" s="475" t="s">
        <v>5496</v>
      </c>
      <c r="B5826" s="475" t="s">
        <v>5726</v>
      </c>
      <c r="C5826" s="475" t="s">
        <v>5727</v>
      </c>
      <c r="D5826" s="475" t="s">
        <v>5728</v>
      </c>
      <c r="E5826" s="476" t="s">
        <v>34</v>
      </c>
      <c r="F5826" s="475" t="s">
        <v>34</v>
      </c>
      <c r="G5826" s="364">
        <v>87369</v>
      </c>
      <c r="H5826" s="475" t="s">
        <v>4954</v>
      </c>
      <c r="I5826" s="475" t="s">
        <v>1261</v>
      </c>
      <c r="J5826" s="475" t="s">
        <v>337</v>
      </c>
      <c r="K5826" s="365">
        <v>489.66</v>
      </c>
      <c r="L5826" s="475" t="s">
        <v>141</v>
      </c>
      <c r="M5826" s="473"/>
    </row>
    <row r="5827" spans="1:13" ht="13.5">
      <c r="A5827" s="475" t="s">
        <v>5496</v>
      </c>
      <c r="B5827" s="475" t="s">
        <v>5726</v>
      </c>
      <c r="C5827" s="475" t="s">
        <v>5727</v>
      </c>
      <c r="D5827" s="475" t="s">
        <v>5728</v>
      </c>
      <c r="E5827" s="476" t="s">
        <v>34</v>
      </c>
      <c r="F5827" s="475" t="s">
        <v>34</v>
      </c>
      <c r="G5827" s="364">
        <v>87370</v>
      </c>
      <c r="H5827" s="475" t="s">
        <v>4955</v>
      </c>
      <c r="I5827" s="475" t="s">
        <v>1261</v>
      </c>
      <c r="J5827" s="475" t="s">
        <v>337</v>
      </c>
      <c r="K5827" s="365">
        <v>473.75</v>
      </c>
      <c r="L5827" s="475" t="s">
        <v>141</v>
      </c>
      <c r="M5827" s="473"/>
    </row>
    <row r="5828" spans="1:13" ht="13.5">
      <c r="A5828" s="475" t="s">
        <v>5496</v>
      </c>
      <c r="B5828" s="475" t="s">
        <v>5726</v>
      </c>
      <c r="C5828" s="475" t="s">
        <v>5727</v>
      </c>
      <c r="D5828" s="475" t="s">
        <v>5728</v>
      </c>
      <c r="E5828" s="476" t="s">
        <v>34</v>
      </c>
      <c r="F5828" s="475" t="s">
        <v>34</v>
      </c>
      <c r="G5828" s="364">
        <v>87371</v>
      </c>
      <c r="H5828" s="475" t="s">
        <v>4956</v>
      </c>
      <c r="I5828" s="475" t="s">
        <v>1261</v>
      </c>
      <c r="J5828" s="475" t="s">
        <v>337</v>
      </c>
      <c r="K5828" s="365">
        <v>474.71</v>
      </c>
      <c r="L5828" s="475" t="s">
        <v>141</v>
      </c>
      <c r="M5828" s="473"/>
    </row>
    <row r="5829" spans="1:13" ht="13.5">
      <c r="A5829" s="475" t="s">
        <v>5496</v>
      </c>
      <c r="B5829" s="475" t="s">
        <v>5726</v>
      </c>
      <c r="C5829" s="475" t="s">
        <v>5727</v>
      </c>
      <c r="D5829" s="475" t="s">
        <v>5728</v>
      </c>
      <c r="E5829" s="476" t="s">
        <v>34</v>
      </c>
      <c r="F5829" s="475" t="s">
        <v>34</v>
      </c>
      <c r="G5829" s="364">
        <v>87372</v>
      </c>
      <c r="H5829" s="475" t="s">
        <v>4957</v>
      </c>
      <c r="I5829" s="475" t="s">
        <v>1261</v>
      </c>
      <c r="J5829" s="475" t="s">
        <v>337</v>
      </c>
      <c r="K5829" s="365">
        <v>512.94000000000005</v>
      </c>
      <c r="L5829" s="475" t="s">
        <v>141</v>
      </c>
      <c r="M5829" s="473"/>
    </row>
    <row r="5830" spans="1:13" ht="13.5">
      <c r="A5830" s="475" t="s">
        <v>5496</v>
      </c>
      <c r="B5830" s="475" t="s">
        <v>5726</v>
      </c>
      <c r="C5830" s="475" t="s">
        <v>5727</v>
      </c>
      <c r="D5830" s="475" t="s">
        <v>5728</v>
      </c>
      <c r="E5830" s="476" t="s">
        <v>34</v>
      </c>
      <c r="F5830" s="475" t="s">
        <v>34</v>
      </c>
      <c r="G5830" s="364">
        <v>87373</v>
      </c>
      <c r="H5830" s="475" t="s">
        <v>4958</v>
      </c>
      <c r="I5830" s="475" t="s">
        <v>1261</v>
      </c>
      <c r="J5830" s="475" t="s">
        <v>337</v>
      </c>
      <c r="K5830" s="365">
        <v>477.99</v>
      </c>
      <c r="L5830" s="475" t="s">
        <v>141</v>
      </c>
      <c r="M5830" s="473"/>
    </row>
    <row r="5831" spans="1:13" ht="13.5">
      <c r="A5831" s="475" t="s">
        <v>5496</v>
      </c>
      <c r="B5831" s="475" t="s">
        <v>5726</v>
      </c>
      <c r="C5831" s="475" t="s">
        <v>5727</v>
      </c>
      <c r="D5831" s="475" t="s">
        <v>5728</v>
      </c>
      <c r="E5831" s="476" t="s">
        <v>34</v>
      </c>
      <c r="F5831" s="475" t="s">
        <v>34</v>
      </c>
      <c r="G5831" s="364">
        <v>87374</v>
      </c>
      <c r="H5831" s="475" t="s">
        <v>4959</v>
      </c>
      <c r="I5831" s="475" t="s">
        <v>1261</v>
      </c>
      <c r="J5831" s="475" t="s">
        <v>337</v>
      </c>
      <c r="K5831" s="365">
        <v>454.58</v>
      </c>
      <c r="L5831" s="475" t="s">
        <v>141</v>
      </c>
      <c r="M5831" s="473"/>
    </row>
    <row r="5832" spans="1:13" ht="13.5">
      <c r="A5832" s="475" t="s">
        <v>5496</v>
      </c>
      <c r="B5832" s="475" t="s">
        <v>5726</v>
      </c>
      <c r="C5832" s="475" t="s">
        <v>5727</v>
      </c>
      <c r="D5832" s="475" t="s">
        <v>5728</v>
      </c>
      <c r="E5832" s="476" t="s">
        <v>34</v>
      </c>
      <c r="F5832" s="475" t="s">
        <v>34</v>
      </c>
      <c r="G5832" s="364">
        <v>87375</v>
      </c>
      <c r="H5832" s="475" t="s">
        <v>4960</v>
      </c>
      <c r="I5832" s="475" t="s">
        <v>1261</v>
      </c>
      <c r="J5832" s="475" t="s">
        <v>337</v>
      </c>
      <c r="K5832" s="365">
        <v>433.89</v>
      </c>
      <c r="L5832" s="475" t="s">
        <v>141</v>
      </c>
      <c r="M5832" s="473"/>
    </row>
    <row r="5833" spans="1:13" ht="13.5">
      <c r="A5833" s="475" t="s">
        <v>5496</v>
      </c>
      <c r="B5833" s="475" t="s">
        <v>5726</v>
      </c>
      <c r="C5833" s="475" t="s">
        <v>5727</v>
      </c>
      <c r="D5833" s="475" t="s">
        <v>5728</v>
      </c>
      <c r="E5833" s="476" t="s">
        <v>34</v>
      </c>
      <c r="F5833" s="475" t="s">
        <v>34</v>
      </c>
      <c r="G5833" s="364">
        <v>87376</v>
      </c>
      <c r="H5833" s="475" t="s">
        <v>4961</v>
      </c>
      <c r="I5833" s="475" t="s">
        <v>1261</v>
      </c>
      <c r="J5833" s="475" t="s">
        <v>337</v>
      </c>
      <c r="K5833" s="365">
        <v>404.54</v>
      </c>
      <c r="L5833" s="475" t="s">
        <v>141</v>
      </c>
      <c r="M5833" s="473"/>
    </row>
    <row r="5834" spans="1:13" ht="13.5">
      <c r="A5834" s="475" t="s">
        <v>5496</v>
      </c>
      <c r="B5834" s="475" t="s">
        <v>5726</v>
      </c>
      <c r="C5834" s="475" t="s">
        <v>5727</v>
      </c>
      <c r="D5834" s="475" t="s">
        <v>5728</v>
      </c>
      <c r="E5834" s="476" t="s">
        <v>34</v>
      </c>
      <c r="F5834" s="475" t="s">
        <v>34</v>
      </c>
      <c r="G5834" s="364">
        <v>87377</v>
      </c>
      <c r="H5834" s="475" t="s">
        <v>4962</v>
      </c>
      <c r="I5834" s="475" t="s">
        <v>1261</v>
      </c>
      <c r="J5834" s="475" t="s">
        <v>337</v>
      </c>
      <c r="K5834" s="365">
        <v>442.98</v>
      </c>
      <c r="L5834" s="475" t="s">
        <v>141</v>
      </c>
      <c r="M5834" s="473"/>
    </row>
    <row r="5835" spans="1:13" ht="13.5">
      <c r="A5835" s="475" t="s">
        <v>5496</v>
      </c>
      <c r="B5835" s="475" t="s">
        <v>5726</v>
      </c>
      <c r="C5835" s="475" t="s">
        <v>5727</v>
      </c>
      <c r="D5835" s="475" t="s">
        <v>5728</v>
      </c>
      <c r="E5835" s="476" t="s">
        <v>34</v>
      </c>
      <c r="F5835" s="475" t="s">
        <v>34</v>
      </c>
      <c r="G5835" s="364">
        <v>87378</v>
      </c>
      <c r="H5835" s="475" t="s">
        <v>4963</v>
      </c>
      <c r="I5835" s="475" t="s">
        <v>1261</v>
      </c>
      <c r="J5835" s="475" t="s">
        <v>337</v>
      </c>
      <c r="K5835" s="365">
        <v>419.78</v>
      </c>
      <c r="L5835" s="475" t="s">
        <v>141</v>
      </c>
      <c r="M5835" s="473"/>
    </row>
    <row r="5836" spans="1:13" ht="13.5">
      <c r="A5836" s="475" t="s">
        <v>5496</v>
      </c>
      <c r="B5836" s="475" t="s">
        <v>5726</v>
      </c>
      <c r="C5836" s="475" t="s">
        <v>5727</v>
      </c>
      <c r="D5836" s="475" t="s">
        <v>5728</v>
      </c>
      <c r="E5836" s="476" t="s">
        <v>34</v>
      </c>
      <c r="F5836" s="475" t="s">
        <v>34</v>
      </c>
      <c r="G5836" s="364">
        <v>87379</v>
      </c>
      <c r="H5836" s="475" t="s">
        <v>4964</v>
      </c>
      <c r="I5836" s="475" t="s">
        <v>1261</v>
      </c>
      <c r="J5836" s="475" t="s">
        <v>337</v>
      </c>
      <c r="K5836" s="365">
        <v>2450.83</v>
      </c>
      <c r="L5836" s="475" t="s">
        <v>141</v>
      </c>
      <c r="M5836" s="473"/>
    </row>
    <row r="5837" spans="1:13" ht="13.5">
      <c r="A5837" s="475" t="s">
        <v>5496</v>
      </c>
      <c r="B5837" s="475" t="s">
        <v>5726</v>
      </c>
      <c r="C5837" s="475" t="s">
        <v>5727</v>
      </c>
      <c r="D5837" s="475" t="s">
        <v>5728</v>
      </c>
      <c r="E5837" s="476" t="s">
        <v>34</v>
      </c>
      <c r="F5837" s="475" t="s">
        <v>34</v>
      </c>
      <c r="G5837" s="364">
        <v>87380</v>
      </c>
      <c r="H5837" s="475" t="s">
        <v>4965</v>
      </c>
      <c r="I5837" s="475" t="s">
        <v>1261</v>
      </c>
      <c r="J5837" s="475" t="s">
        <v>337</v>
      </c>
      <c r="K5837" s="365">
        <v>2495.85</v>
      </c>
      <c r="L5837" s="475" t="s">
        <v>141</v>
      </c>
      <c r="M5837" s="473"/>
    </row>
    <row r="5838" spans="1:13" ht="13.5">
      <c r="A5838" s="475" t="s">
        <v>5496</v>
      </c>
      <c r="B5838" s="475" t="s">
        <v>5726</v>
      </c>
      <c r="C5838" s="475" t="s">
        <v>5727</v>
      </c>
      <c r="D5838" s="475" t="s">
        <v>5728</v>
      </c>
      <c r="E5838" s="476" t="s">
        <v>34</v>
      </c>
      <c r="F5838" s="475" t="s">
        <v>34</v>
      </c>
      <c r="G5838" s="364">
        <v>87381</v>
      </c>
      <c r="H5838" s="475" t="s">
        <v>4966</v>
      </c>
      <c r="I5838" s="475" t="s">
        <v>1261</v>
      </c>
      <c r="J5838" s="475" t="s">
        <v>337</v>
      </c>
      <c r="K5838" s="365">
        <v>2469.62</v>
      </c>
      <c r="L5838" s="475" t="s">
        <v>141</v>
      </c>
      <c r="M5838" s="473"/>
    </row>
    <row r="5839" spans="1:13" ht="13.5">
      <c r="A5839" s="475" t="s">
        <v>5496</v>
      </c>
      <c r="B5839" s="475" t="s">
        <v>5726</v>
      </c>
      <c r="C5839" s="475" t="s">
        <v>5727</v>
      </c>
      <c r="D5839" s="475" t="s">
        <v>5728</v>
      </c>
      <c r="E5839" s="476" t="s">
        <v>34</v>
      </c>
      <c r="F5839" s="475" t="s">
        <v>34</v>
      </c>
      <c r="G5839" s="364">
        <v>87382</v>
      </c>
      <c r="H5839" s="475" t="s">
        <v>4967</v>
      </c>
      <c r="I5839" s="475" t="s">
        <v>1261</v>
      </c>
      <c r="J5839" s="475" t="s">
        <v>337</v>
      </c>
      <c r="K5839" s="365">
        <v>703.31</v>
      </c>
      <c r="L5839" s="475" t="s">
        <v>141</v>
      </c>
      <c r="M5839" s="473"/>
    </row>
    <row r="5840" spans="1:13" ht="13.5">
      <c r="A5840" s="475" t="s">
        <v>5496</v>
      </c>
      <c r="B5840" s="475" t="s">
        <v>5726</v>
      </c>
      <c r="C5840" s="475" t="s">
        <v>5727</v>
      </c>
      <c r="D5840" s="475" t="s">
        <v>5728</v>
      </c>
      <c r="E5840" s="476" t="s">
        <v>34</v>
      </c>
      <c r="F5840" s="475" t="s">
        <v>34</v>
      </c>
      <c r="G5840" s="364">
        <v>87383</v>
      </c>
      <c r="H5840" s="475" t="s">
        <v>4968</v>
      </c>
      <c r="I5840" s="475" t="s">
        <v>1261</v>
      </c>
      <c r="J5840" s="475" t="s">
        <v>337</v>
      </c>
      <c r="K5840" s="365">
        <v>696.17</v>
      </c>
      <c r="L5840" s="475" t="s">
        <v>141</v>
      </c>
      <c r="M5840" s="473"/>
    </row>
    <row r="5841" spans="1:13" ht="13.5">
      <c r="A5841" s="475" t="s">
        <v>5496</v>
      </c>
      <c r="B5841" s="475" t="s">
        <v>5726</v>
      </c>
      <c r="C5841" s="475" t="s">
        <v>5727</v>
      </c>
      <c r="D5841" s="475" t="s">
        <v>5728</v>
      </c>
      <c r="E5841" s="476" t="s">
        <v>34</v>
      </c>
      <c r="F5841" s="475" t="s">
        <v>34</v>
      </c>
      <c r="G5841" s="364">
        <v>87384</v>
      </c>
      <c r="H5841" s="475" t="s">
        <v>4969</v>
      </c>
      <c r="I5841" s="475" t="s">
        <v>1261</v>
      </c>
      <c r="J5841" s="475" t="s">
        <v>337</v>
      </c>
      <c r="K5841" s="365">
        <v>689.93</v>
      </c>
      <c r="L5841" s="475" t="s">
        <v>141</v>
      </c>
      <c r="M5841" s="473"/>
    </row>
    <row r="5842" spans="1:13" ht="13.5">
      <c r="A5842" s="475" t="s">
        <v>5496</v>
      </c>
      <c r="B5842" s="475" t="s">
        <v>5726</v>
      </c>
      <c r="C5842" s="475" t="s">
        <v>5727</v>
      </c>
      <c r="D5842" s="475" t="s">
        <v>5728</v>
      </c>
      <c r="E5842" s="476" t="s">
        <v>34</v>
      </c>
      <c r="F5842" s="475" t="s">
        <v>34</v>
      </c>
      <c r="G5842" s="364">
        <v>87385</v>
      </c>
      <c r="H5842" s="475" t="s">
        <v>4970</v>
      </c>
      <c r="I5842" s="475" t="s">
        <v>1261</v>
      </c>
      <c r="J5842" s="475" t="s">
        <v>337</v>
      </c>
      <c r="K5842" s="365">
        <v>989.81</v>
      </c>
      <c r="L5842" s="475" t="s">
        <v>141</v>
      </c>
      <c r="M5842" s="473"/>
    </row>
    <row r="5843" spans="1:13" ht="13.5">
      <c r="A5843" s="475" t="s">
        <v>5496</v>
      </c>
      <c r="B5843" s="475" t="s">
        <v>5726</v>
      </c>
      <c r="C5843" s="475" t="s">
        <v>5727</v>
      </c>
      <c r="D5843" s="475" t="s">
        <v>5728</v>
      </c>
      <c r="E5843" s="476" t="s">
        <v>34</v>
      </c>
      <c r="F5843" s="475" t="s">
        <v>34</v>
      </c>
      <c r="G5843" s="364">
        <v>87386</v>
      </c>
      <c r="H5843" s="475" t="s">
        <v>4971</v>
      </c>
      <c r="I5843" s="475" t="s">
        <v>1261</v>
      </c>
      <c r="J5843" s="475" t="s">
        <v>337</v>
      </c>
      <c r="K5843" s="365">
        <v>981.16</v>
      </c>
      <c r="L5843" s="475" t="s">
        <v>141</v>
      </c>
      <c r="M5843" s="473"/>
    </row>
    <row r="5844" spans="1:13" ht="13.5">
      <c r="A5844" s="475" t="s">
        <v>5496</v>
      </c>
      <c r="B5844" s="475" t="s">
        <v>5726</v>
      </c>
      <c r="C5844" s="475" t="s">
        <v>5727</v>
      </c>
      <c r="D5844" s="475" t="s">
        <v>5728</v>
      </c>
      <c r="E5844" s="476" t="s">
        <v>34</v>
      </c>
      <c r="F5844" s="475" t="s">
        <v>34</v>
      </c>
      <c r="G5844" s="364">
        <v>87387</v>
      </c>
      <c r="H5844" s="475" t="s">
        <v>4972</v>
      </c>
      <c r="I5844" s="475" t="s">
        <v>1261</v>
      </c>
      <c r="J5844" s="475" t="s">
        <v>337</v>
      </c>
      <c r="K5844" s="365">
        <v>977.02</v>
      </c>
      <c r="L5844" s="475" t="s">
        <v>141</v>
      </c>
      <c r="M5844" s="473"/>
    </row>
    <row r="5845" spans="1:13" ht="13.5">
      <c r="A5845" s="475" t="s">
        <v>5496</v>
      </c>
      <c r="B5845" s="475" t="s">
        <v>5726</v>
      </c>
      <c r="C5845" s="475" t="s">
        <v>5727</v>
      </c>
      <c r="D5845" s="475" t="s">
        <v>5728</v>
      </c>
      <c r="E5845" s="476" t="s">
        <v>34</v>
      </c>
      <c r="F5845" s="475" t="s">
        <v>34</v>
      </c>
      <c r="G5845" s="364">
        <v>87388</v>
      </c>
      <c r="H5845" s="475" t="s">
        <v>4973</v>
      </c>
      <c r="I5845" s="475" t="s">
        <v>1261</v>
      </c>
      <c r="J5845" s="475" t="s">
        <v>337</v>
      </c>
      <c r="K5845" s="365">
        <v>2307.7399999999998</v>
      </c>
      <c r="L5845" s="475" t="s">
        <v>141</v>
      </c>
      <c r="M5845" s="473"/>
    </row>
    <row r="5846" spans="1:13" ht="13.5">
      <c r="A5846" s="475" t="s">
        <v>5496</v>
      </c>
      <c r="B5846" s="475" t="s">
        <v>5726</v>
      </c>
      <c r="C5846" s="475" t="s">
        <v>5727</v>
      </c>
      <c r="D5846" s="475" t="s">
        <v>5728</v>
      </c>
      <c r="E5846" s="476" t="s">
        <v>34</v>
      </c>
      <c r="F5846" s="475" t="s">
        <v>34</v>
      </c>
      <c r="G5846" s="364">
        <v>87389</v>
      </c>
      <c r="H5846" s="475" t="s">
        <v>4974</v>
      </c>
      <c r="I5846" s="475" t="s">
        <v>1261</v>
      </c>
      <c r="J5846" s="475" t="s">
        <v>337</v>
      </c>
      <c r="K5846" s="365">
        <v>2313.15</v>
      </c>
      <c r="L5846" s="475" t="s">
        <v>141</v>
      </c>
      <c r="M5846" s="473"/>
    </row>
    <row r="5847" spans="1:13" ht="13.5">
      <c r="A5847" s="475" t="s">
        <v>5496</v>
      </c>
      <c r="B5847" s="475" t="s">
        <v>5726</v>
      </c>
      <c r="C5847" s="475" t="s">
        <v>5727</v>
      </c>
      <c r="D5847" s="475" t="s">
        <v>5728</v>
      </c>
      <c r="E5847" s="476" t="s">
        <v>34</v>
      </c>
      <c r="F5847" s="475" t="s">
        <v>34</v>
      </c>
      <c r="G5847" s="364">
        <v>87390</v>
      </c>
      <c r="H5847" s="475" t="s">
        <v>4975</v>
      </c>
      <c r="I5847" s="475" t="s">
        <v>1261</v>
      </c>
      <c r="J5847" s="475" t="s">
        <v>337</v>
      </c>
      <c r="K5847" s="365">
        <v>2316.2399999999998</v>
      </c>
      <c r="L5847" s="475" t="s">
        <v>141</v>
      </c>
      <c r="M5847" s="473"/>
    </row>
    <row r="5848" spans="1:13" ht="13.5">
      <c r="A5848" s="475" t="s">
        <v>5496</v>
      </c>
      <c r="B5848" s="475" t="s">
        <v>5726</v>
      </c>
      <c r="C5848" s="475" t="s">
        <v>5727</v>
      </c>
      <c r="D5848" s="475" t="s">
        <v>5728</v>
      </c>
      <c r="E5848" s="476" t="s">
        <v>34</v>
      </c>
      <c r="F5848" s="475" t="s">
        <v>34</v>
      </c>
      <c r="G5848" s="364">
        <v>87391</v>
      </c>
      <c r="H5848" s="475" t="s">
        <v>4976</v>
      </c>
      <c r="I5848" s="475" t="s">
        <v>1261</v>
      </c>
      <c r="J5848" s="475" t="s">
        <v>337</v>
      </c>
      <c r="K5848" s="365">
        <v>3321.07</v>
      </c>
      <c r="L5848" s="475" t="s">
        <v>141</v>
      </c>
      <c r="M5848" s="473"/>
    </row>
    <row r="5849" spans="1:13" ht="13.5">
      <c r="A5849" s="475" t="s">
        <v>5496</v>
      </c>
      <c r="B5849" s="475" t="s">
        <v>5726</v>
      </c>
      <c r="C5849" s="475" t="s">
        <v>5727</v>
      </c>
      <c r="D5849" s="475" t="s">
        <v>5728</v>
      </c>
      <c r="E5849" s="476" t="s">
        <v>34</v>
      </c>
      <c r="F5849" s="475" t="s">
        <v>34</v>
      </c>
      <c r="G5849" s="364">
        <v>87393</v>
      </c>
      <c r="H5849" s="475" t="s">
        <v>4977</v>
      </c>
      <c r="I5849" s="475" t="s">
        <v>1261</v>
      </c>
      <c r="J5849" s="475" t="s">
        <v>337</v>
      </c>
      <c r="K5849" s="365">
        <v>3355.29</v>
      </c>
      <c r="L5849" s="475" t="s">
        <v>141</v>
      </c>
      <c r="M5849" s="473"/>
    </row>
    <row r="5850" spans="1:13" ht="13.5">
      <c r="A5850" s="475" t="s">
        <v>5496</v>
      </c>
      <c r="B5850" s="475" t="s">
        <v>5726</v>
      </c>
      <c r="C5850" s="475" t="s">
        <v>5727</v>
      </c>
      <c r="D5850" s="475" t="s">
        <v>5728</v>
      </c>
      <c r="E5850" s="476" t="s">
        <v>34</v>
      </c>
      <c r="F5850" s="475" t="s">
        <v>34</v>
      </c>
      <c r="G5850" s="364">
        <v>87394</v>
      </c>
      <c r="H5850" s="475" t="s">
        <v>4978</v>
      </c>
      <c r="I5850" s="475" t="s">
        <v>1261</v>
      </c>
      <c r="J5850" s="475" t="s">
        <v>337</v>
      </c>
      <c r="K5850" s="365">
        <v>3367.96</v>
      </c>
      <c r="L5850" s="475" t="s">
        <v>141</v>
      </c>
      <c r="M5850" s="473"/>
    </row>
    <row r="5851" spans="1:13" ht="13.5">
      <c r="A5851" s="475" t="s">
        <v>5496</v>
      </c>
      <c r="B5851" s="475" t="s">
        <v>5726</v>
      </c>
      <c r="C5851" s="475" t="s">
        <v>5727</v>
      </c>
      <c r="D5851" s="475" t="s">
        <v>5728</v>
      </c>
      <c r="E5851" s="476" t="s">
        <v>34</v>
      </c>
      <c r="F5851" s="475" t="s">
        <v>34</v>
      </c>
      <c r="G5851" s="364">
        <v>87395</v>
      </c>
      <c r="H5851" s="475" t="s">
        <v>4979</v>
      </c>
      <c r="I5851" s="475" t="s">
        <v>1261</v>
      </c>
      <c r="J5851" s="475" t="s">
        <v>337</v>
      </c>
      <c r="K5851" s="365">
        <v>2627.02</v>
      </c>
      <c r="L5851" s="475" t="s">
        <v>141</v>
      </c>
      <c r="M5851" s="473"/>
    </row>
    <row r="5852" spans="1:13" ht="13.5">
      <c r="A5852" s="475" t="s">
        <v>5496</v>
      </c>
      <c r="B5852" s="475" t="s">
        <v>5726</v>
      </c>
      <c r="C5852" s="475" t="s">
        <v>5727</v>
      </c>
      <c r="D5852" s="475" t="s">
        <v>5728</v>
      </c>
      <c r="E5852" s="476" t="s">
        <v>34</v>
      </c>
      <c r="F5852" s="475" t="s">
        <v>34</v>
      </c>
      <c r="G5852" s="364">
        <v>87396</v>
      </c>
      <c r="H5852" s="475" t="s">
        <v>4980</v>
      </c>
      <c r="I5852" s="475" t="s">
        <v>1261</v>
      </c>
      <c r="J5852" s="475" t="s">
        <v>337</v>
      </c>
      <c r="K5852" s="365">
        <v>2652.14</v>
      </c>
      <c r="L5852" s="475" t="s">
        <v>141</v>
      </c>
      <c r="M5852" s="473"/>
    </row>
    <row r="5853" spans="1:13" ht="13.5">
      <c r="A5853" s="475" t="s">
        <v>5496</v>
      </c>
      <c r="B5853" s="475" t="s">
        <v>5726</v>
      </c>
      <c r="C5853" s="475" t="s">
        <v>5727</v>
      </c>
      <c r="D5853" s="475" t="s">
        <v>5728</v>
      </c>
      <c r="E5853" s="476" t="s">
        <v>34</v>
      </c>
      <c r="F5853" s="475" t="s">
        <v>34</v>
      </c>
      <c r="G5853" s="364">
        <v>87397</v>
      </c>
      <c r="H5853" s="475" t="s">
        <v>4981</v>
      </c>
      <c r="I5853" s="475" t="s">
        <v>1261</v>
      </c>
      <c r="J5853" s="475" t="s">
        <v>337</v>
      </c>
      <c r="K5853" s="365">
        <v>2657.91</v>
      </c>
      <c r="L5853" s="475" t="s">
        <v>141</v>
      </c>
      <c r="M5853" s="473"/>
    </row>
    <row r="5854" spans="1:13" ht="13.5">
      <c r="A5854" s="475" t="s">
        <v>5496</v>
      </c>
      <c r="B5854" s="475" t="s">
        <v>5726</v>
      </c>
      <c r="C5854" s="475" t="s">
        <v>5727</v>
      </c>
      <c r="D5854" s="475" t="s">
        <v>5728</v>
      </c>
      <c r="E5854" s="476" t="s">
        <v>34</v>
      </c>
      <c r="F5854" s="475" t="s">
        <v>34</v>
      </c>
      <c r="G5854" s="364">
        <v>87398</v>
      </c>
      <c r="H5854" s="475" t="s">
        <v>4982</v>
      </c>
      <c r="I5854" s="475" t="s">
        <v>1261</v>
      </c>
      <c r="J5854" s="475" t="s">
        <v>337</v>
      </c>
      <c r="K5854" s="365">
        <v>838.47</v>
      </c>
      <c r="L5854" s="475" t="s">
        <v>141</v>
      </c>
      <c r="M5854" s="473"/>
    </row>
    <row r="5855" spans="1:13" ht="13.5">
      <c r="A5855" s="475" t="s">
        <v>5496</v>
      </c>
      <c r="B5855" s="475" t="s">
        <v>5726</v>
      </c>
      <c r="C5855" s="475" t="s">
        <v>5727</v>
      </c>
      <c r="D5855" s="475" t="s">
        <v>5728</v>
      </c>
      <c r="E5855" s="476" t="s">
        <v>34</v>
      </c>
      <c r="F5855" s="475" t="s">
        <v>34</v>
      </c>
      <c r="G5855" s="364">
        <v>87399</v>
      </c>
      <c r="H5855" s="475" t="s">
        <v>4983</v>
      </c>
      <c r="I5855" s="475" t="s">
        <v>1261</v>
      </c>
      <c r="J5855" s="475" t="s">
        <v>337</v>
      </c>
      <c r="K5855" s="365">
        <v>1136.67</v>
      </c>
      <c r="L5855" s="475" t="s">
        <v>141</v>
      </c>
      <c r="M5855" s="473"/>
    </row>
    <row r="5856" spans="1:13" ht="13.5">
      <c r="A5856" s="475" t="s">
        <v>5496</v>
      </c>
      <c r="B5856" s="475" t="s">
        <v>5726</v>
      </c>
      <c r="C5856" s="475" t="s">
        <v>5727</v>
      </c>
      <c r="D5856" s="475" t="s">
        <v>5728</v>
      </c>
      <c r="E5856" s="476" t="s">
        <v>34</v>
      </c>
      <c r="F5856" s="475" t="s">
        <v>34</v>
      </c>
      <c r="G5856" s="364">
        <v>87401</v>
      </c>
      <c r="H5856" s="475" t="s">
        <v>4984</v>
      </c>
      <c r="I5856" s="475" t="s">
        <v>1261</v>
      </c>
      <c r="J5856" s="475" t="s">
        <v>337</v>
      </c>
      <c r="K5856" s="365">
        <v>3530.13</v>
      </c>
      <c r="L5856" s="475" t="s">
        <v>141</v>
      </c>
      <c r="M5856" s="473"/>
    </row>
    <row r="5857" spans="1:13" ht="13.5">
      <c r="A5857" s="475" t="s">
        <v>5496</v>
      </c>
      <c r="B5857" s="475" t="s">
        <v>5726</v>
      </c>
      <c r="C5857" s="475" t="s">
        <v>5727</v>
      </c>
      <c r="D5857" s="475" t="s">
        <v>5728</v>
      </c>
      <c r="E5857" s="476" t="s">
        <v>34</v>
      </c>
      <c r="F5857" s="475" t="s">
        <v>34</v>
      </c>
      <c r="G5857" s="364">
        <v>87402</v>
      </c>
      <c r="H5857" s="475" t="s">
        <v>4985</v>
      </c>
      <c r="I5857" s="475" t="s">
        <v>1261</v>
      </c>
      <c r="J5857" s="475" t="s">
        <v>337</v>
      </c>
      <c r="K5857" s="365">
        <v>2831.88</v>
      </c>
      <c r="L5857" s="475" t="s">
        <v>141</v>
      </c>
      <c r="M5857" s="473"/>
    </row>
    <row r="5858" spans="1:13" ht="13.5">
      <c r="A5858" s="475" t="s">
        <v>5496</v>
      </c>
      <c r="B5858" s="475" t="s">
        <v>5726</v>
      </c>
      <c r="C5858" s="475" t="s">
        <v>5727</v>
      </c>
      <c r="D5858" s="475" t="s">
        <v>5728</v>
      </c>
      <c r="E5858" s="476" t="s">
        <v>34</v>
      </c>
      <c r="F5858" s="475" t="s">
        <v>34</v>
      </c>
      <c r="G5858" s="364">
        <v>87404</v>
      </c>
      <c r="H5858" s="475" t="s">
        <v>4986</v>
      </c>
      <c r="I5858" s="475" t="s">
        <v>1261</v>
      </c>
      <c r="J5858" s="475" t="s">
        <v>337</v>
      </c>
      <c r="K5858" s="365">
        <v>2401.37</v>
      </c>
      <c r="L5858" s="475" t="s">
        <v>141</v>
      </c>
      <c r="M5858" s="473"/>
    </row>
    <row r="5859" spans="1:13" ht="13.5">
      <c r="A5859" s="475" t="s">
        <v>5496</v>
      </c>
      <c r="B5859" s="475" t="s">
        <v>5726</v>
      </c>
      <c r="C5859" s="475" t="s">
        <v>5727</v>
      </c>
      <c r="D5859" s="475" t="s">
        <v>5728</v>
      </c>
      <c r="E5859" s="476" t="s">
        <v>34</v>
      </c>
      <c r="F5859" s="475" t="s">
        <v>34</v>
      </c>
      <c r="G5859" s="364">
        <v>87405</v>
      </c>
      <c r="H5859" s="475" t="s">
        <v>4987</v>
      </c>
      <c r="I5859" s="475" t="s">
        <v>1261</v>
      </c>
      <c r="J5859" s="475" t="s">
        <v>337</v>
      </c>
      <c r="K5859" s="365">
        <v>2398.91</v>
      </c>
      <c r="L5859" s="475" t="s">
        <v>141</v>
      </c>
      <c r="M5859" s="473"/>
    </row>
    <row r="5860" spans="1:13" ht="13.5">
      <c r="A5860" s="475" t="s">
        <v>5496</v>
      </c>
      <c r="B5860" s="475" t="s">
        <v>5726</v>
      </c>
      <c r="C5860" s="475" t="s">
        <v>5727</v>
      </c>
      <c r="D5860" s="475" t="s">
        <v>5728</v>
      </c>
      <c r="E5860" s="476" t="s">
        <v>34</v>
      </c>
      <c r="F5860" s="475" t="s">
        <v>34</v>
      </c>
      <c r="G5860" s="364">
        <v>87407</v>
      </c>
      <c r="H5860" s="475" t="s">
        <v>4988</v>
      </c>
      <c r="I5860" s="475" t="s">
        <v>1261</v>
      </c>
      <c r="J5860" s="475" t="s">
        <v>337</v>
      </c>
      <c r="K5860" s="365">
        <v>716</v>
      </c>
      <c r="L5860" s="475" t="s">
        <v>141</v>
      </c>
      <c r="M5860" s="473"/>
    </row>
    <row r="5861" spans="1:13" ht="13.5">
      <c r="A5861" s="475" t="s">
        <v>5496</v>
      </c>
      <c r="B5861" s="475" t="s">
        <v>5726</v>
      </c>
      <c r="C5861" s="475" t="s">
        <v>5727</v>
      </c>
      <c r="D5861" s="475" t="s">
        <v>5728</v>
      </c>
      <c r="E5861" s="476" t="s">
        <v>34</v>
      </c>
      <c r="F5861" s="475" t="s">
        <v>34</v>
      </c>
      <c r="G5861" s="364">
        <v>87408</v>
      </c>
      <c r="H5861" s="475" t="s">
        <v>4989</v>
      </c>
      <c r="I5861" s="475" t="s">
        <v>1261</v>
      </c>
      <c r="J5861" s="475" t="s">
        <v>337</v>
      </c>
      <c r="K5861" s="365">
        <v>704.01</v>
      </c>
      <c r="L5861" s="475" t="s">
        <v>141</v>
      </c>
      <c r="M5861" s="473"/>
    </row>
    <row r="5862" spans="1:13" ht="13.5">
      <c r="A5862" s="475" t="s">
        <v>5496</v>
      </c>
      <c r="B5862" s="475" t="s">
        <v>5726</v>
      </c>
      <c r="C5862" s="475" t="s">
        <v>5727</v>
      </c>
      <c r="D5862" s="475" t="s">
        <v>5728</v>
      </c>
      <c r="E5862" s="476" t="s">
        <v>34</v>
      </c>
      <c r="F5862" s="475" t="s">
        <v>34</v>
      </c>
      <c r="G5862" s="364">
        <v>87410</v>
      </c>
      <c r="H5862" s="475" t="s">
        <v>4990</v>
      </c>
      <c r="I5862" s="475" t="s">
        <v>1261</v>
      </c>
      <c r="J5862" s="475" t="s">
        <v>337</v>
      </c>
      <c r="K5862" s="365">
        <v>783.73</v>
      </c>
      <c r="L5862" s="475" t="s">
        <v>141</v>
      </c>
      <c r="M5862" s="473"/>
    </row>
    <row r="5863" spans="1:13" ht="13.5">
      <c r="A5863" s="475" t="s">
        <v>5496</v>
      </c>
      <c r="B5863" s="475" t="s">
        <v>5726</v>
      </c>
      <c r="C5863" s="475" t="s">
        <v>5727</v>
      </c>
      <c r="D5863" s="475" t="s">
        <v>5728</v>
      </c>
      <c r="E5863" s="476" t="s">
        <v>34</v>
      </c>
      <c r="F5863" s="475" t="s">
        <v>34</v>
      </c>
      <c r="G5863" s="364">
        <v>88626</v>
      </c>
      <c r="H5863" s="475" t="s">
        <v>4991</v>
      </c>
      <c r="I5863" s="475" t="s">
        <v>1261</v>
      </c>
      <c r="J5863" s="475" t="s">
        <v>337</v>
      </c>
      <c r="K5863" s="365">
        <v>349.73</v>
      </c>
      <c r="L5863" s="475" t="s">
        <v>141</v>
      </c>
      <c r="M5863" s="473"/>
    </row>
    <row r="5864" spans="1:13" ht="13.5">
      <c r="A5864" s="475" t="s">
        <v>5496</v>
      </c>
      <c r="B5864" s="475" t="s">
        <v>5726</v>
      </c>
      <c r="C5864" s="475" t="s">
        <v>5727</v>
      </c>
      <c r="D5864" s="475" t="s">
        <v>5728</v>
      </c>
      <c r="E5864" s="476" t="s">
        <v>34</v>
      </c>
      <c r="F5864" s="475" t="s">
        <v>34</v>
      </c>
      <c r="G5864" s="364">
        <v>88627</v>
      </c>
      <c r="H5864" s="475" t="s">
        <v>4992</v>
      </c>
      <c r="I5864" s="475" t="s">
        <v>1261</v>
      </c>
      <c r="J5864" s="475" t="s">
        <v>337</v>
      </c>
      <c r="K5864" s="365">
        <v>416.96</v>
      </c>
      <c r="L5864" s="475" t="s">
        <v>141</v>
      </c>
      <c r="M5864" s="473"/>
    </row>
    <row r="5865" spans="1:13" ht="13.5">
      <c r="A5865" s="475" t="s">
        <v>5496</v>
      </c>
      <c r="B5865" s="475" t="s">
        <v>5726</v>
      </c>
      <c r="C5865" s="475" t="s">
        <v>5727</v>
      </c>
      <c r="D5865" s="475" t="s">
        <v>5728</v>
      </c>
      <c r="E5865" s="476" t="s">
        <v>34</v>
      </c>
      <c r="F5865" s="475" t="s">
        <v>34</v>
      </c>
      <c r="G5865" s="364">
        <v>88628</v>
      </c>
      <c r="H5865" s="475" t="s">
        <v>4993</v>
      </c>
      <c r="I5865" s="475" t="s">
        <v>1261</v>
      </c>
      <c r="J5865" s="475" t="s">
        <v>337</v>
      </c>
      <c r="K5865" s="365">
        <v>334.54</v>
      </c>
      <c r="L5865" s="475" t="s">
        <v>141</v>
      </c>
      <c r="M5865" s="473"/>
    </row>
    <row r="5866" spans="1:13" ht="13.5">
      <c r="A5866" s="475" t="s">
        <v>5496</v>
      </c>
      <c r="B5866" s="475" t="s">
        <v>5726</v>
      </c>
      <c r="C5866" s="475" t="s">
        <v>5727</v>
      </c>
      <c r="D5866" s="475" t="s">
        <v>5728</v>
      </c>
      <c r="E5866" s="476" t="s">
        <v>34</v>
      </c>
      <c r="F5866" s="475" t="s">
        <v>34</v>
      </c>
      <c r="G5866" s="364">
        <v>88629</v>
      </c>
      <c r="H5866" s="475" t="s">
        <v>4994</v>
      </c>
      <c r="I5866" s="475" t="s">
        <v>1261</v>
      </c>
      <c r="J5866" s="475" t="s">
        <v>337</v>
      </c>
      <c r="K5866" s="365">
        <v>405.32</v>
      </c>
      <c r="L5866" s="475" t="s">
        <v>141</v>
      </c>
      <c r="M5866" s="473"/>
    </row>
    <row r="5867" spans="1:13" ht="13.5">
      <c r="A5867" s="475" t="s">
        <v>5496</v>
      </c>
      <c r="B5867" s="475" t="s">
        <v>5726</v>
      </c>
      <c r="C5867" s="475" t="s">
        <v>5727</v>
      </c>
      <c r="D5867" s="475" t="s">
        <v>5728</v>
      </c>
      <c r="E5867" s="476" t="s">
        <v>34</v>
      </c>
      <c r="F5867" s="475" t="s">
        <v>34</v>
      </c>
      <c r="G5867" s="364">
        <v>88630</v>
      </c>
      <c r="H5867" s="475" t="s">
        <v>4995</v>
      </c>
      <c r="I5867" s="475" t="s">
        <v>1261</v>
      </c>
      <c r="J5867" s="475" t="s">
        <v>337</v>
      </c>
      <c r="K5867" s="365">
        <v>305.47000000000003</v>
      </c>
      <c r="L5867" s="475" t="s">
        <v>141</v>
      </c>
      <c r="M5867" s="473"/>
    </row>
    <row r="5868" spans="1:13" ht="13.5">
      <c r="A5868" s="475" t="s">
        <v>5496</v>
      </c>
      <c r="B5868" s="475" t="s">
        <v>5726</v>
      </c>
      <c r="C5868" s="475" t="s">
        <v>5727</v>
      </c>
      <c r="D5868" s="475" t="s">
        <v>5728</v>
      </c>
      <c r="E5868" s="476" t="s">
        <v>34</v>
      </c>
      <c r="F5868" s="475" t="s">
        <v>34</v>
      </c>
      <c r="G5868" s="364">
        <v>88631</v>
      </c>
      <c r="H5868" s="475" t="s">
        <v>4996</v>
      </c>
      <c r="I5868" s="475" t="s">
        <v>1261</v>
      </c>
      <c r="J5868" s="475" t="s">
        <v>337</v>
      </c>
      <c r="K5868" s="365">
        <v>378.58</v>
      </c>
      <c r="L5868" s="475" t="s">
        <v>141</v>
      </c>
      <c r="M5868" s="473"/>
    </row>
    <row r="5869" spans="1:13" ht="13.5">
      <c r="A5869" s="475" t="s">
        <v>5496</v>
      </c>
      <c r="B5869" s="475" t="s">
        <v>5726</v>
      </c>
      <c r="C5869" s="475" t="s">
        <v>5727</v>
      </c>
      <c r="D5869" s="475" t="s">
        <v>5728</v>
      </c>
      <c r="E5869" s="476" t="s">
        <v>34</v>
      </c>
      <c r="F5869" s="475" t="s">
        <v>34</v>
      </c>
      <c r="G5869" s="364">
        <v>88715</v>
      </c>
      <c r="H5869" s="475" t="s">
        <v>4997</v>
      </c>
      <c r="I5869" s="475" t="s">
        <v>1261</v>
      </c>
      <c r="J5869" s="475" t="s">
        <v>337</v>
      </c>
      <c r="K5869" s="365">
        <v>387.14</v>
      </c>
      <c r="L5869" s="475" t="s">
        <v>141</v>
      </c>
      <c r="M5869" s="473"/>
    </row>
    <row r="5870" spans="1:13" ht="13.5">
      <c r="A5870" s="475" t="s">
        <v>5496</v>
      </c>
      <c r="B5870" s="475" t="s">
        <v>5726</v>
      </c>
      <c r="C5870" s="475" t="s">
        <v>5727</v>
      </c>
      <c r="D5870" s="475" t="s">
        <v>5728</v>
      </c>
      <c r="E5870" s="476" t="s">
        <v>34</v>
      </c>
      <c r="F5870" s="475" t="s">
        <v>34</v>
      </c>
      <c r="G5870" s="364">
        <v>95563</v>
      </c>
      <c r="H5870" s="475" t="s">
        <v>4998</v>
      </c>
      <c r="I5870" s="475" t="s">
        <v>1261</v>
      </c>
      <c r="J5870" s="475" t="s">
        <v>337</v>
      </c>
      <c r="K5870" s="365">
        <v>508.19</v>
      </c>
      <c r="L5870" s="475" t="s">
        <v>141</v>
      </c>
      <c r="M5870" s="473"/>
    </row>
    <row r="5871" spans="1:13" ht="13.5">
      <c r="A5871" s="475" t="s">
        <v>5496</v>
      </c>
      <c r="B5871" s="475" t="s">
        <v>5726</v>
      </c>
      <c r="C5871" s="475" t="s">
        <v>5727</v>
      </c>
      <c r="D5871" s="475" t="s">
        <v>5728</v>
      </c>
      <c r="E5871" s="476" t="s">
        <v>34</v>
      </c>
      <c r="F5871" s="475" t="s">
        <v>34</v>
      </c>
      <c r="G5871" s="364">
        <v>96920</v>
      </c>
      <c r="H5871" s="475" t="s">
        <v>5729</v>
      </c>
      <c r="I5871" s="475" t="s">
        <v>1261</v>
      </c>
      <c r="J5871" s="475" t="s">
        <v>337</v>
      </c>
      <c r="K5871" s="365">
        <v>423.1</v>
      </c>
      <c r="L5871" s="475" t="s">
        <v>141</v>
      </c>
      <c r="M5871" s="473"/>
    </row>
    <row r="5872" spans="1:13" ht="13.5">
      <c r="A5872" s="475" t="s">
        <v>5496</v>
      </c>
      <c r="B5872" s="475" t="s">
        <v>5726</v>
      </c>
      <c r="C5872" s="475" t="s">
        <v>5730</v>
      </c>
      <c r="D5872" s="475" t="s">
        <v>5731</v>
      </c>
      <c r="E5872" s="476" t="s">
        <v>34</v>
      </c>
      <c r="F5872" s="475" t="s">
        <v>34</v>
      </c>
      <c r="G5872" s="364">
        <v>92121</v>
      </c>
      <c r="H5872" s="475" t="s">
        <v>5000</v>
      </c>
      <c r="I5872" s="475" t="s">
        <v>1261</v>
      </c>
      <c r="J5872" s="475" t="s">
        <v>337</v>
      </c>
      <c r="K5872" s="365">
        <v>20.53</v>
      </c>
      <c r="L5872" s="475" t="s">
        <v>141</v>
      </c>
      <c r="M5872" s="473"/>
    </row>
    <row r="5873" spans="1:13" ht="13.5">
      <c r="A5873" s="475" t="s">
        <v>5496</v>
      </c>
      <c r="B5873" s="475" t="s">
        <v>5726</v>
      </c>
      <c r="C5873" s="475" t="s">
        <v>5730</v>
      </c>
      <c r="D5873" s="475" t="s">
        <v>5731</v>
      </c>
      <c r="E5873" s="476" t="s">
        <v>34</v>
      </c>
      <c r="F5873" s="475" t="s">
        <v>34</v>
      </c>
      <c r="G5873" s="364">
        <v>92122</v>
      </c>
      <c r="H5873" s="475" t="s">
        <v>5001</v>
      </c>
      <c r="I5873" s="475" t="s">
        <v>1261</v>
      </c>
      <c r="J5873" s="475" t="s">
        <v>363</v>
      </c>
      <c r="K5873" s="365">
        <v>34.43</v>
      </c>
      <c r="L5873" s="475" t="s">
        <v>141</v>
      </c>
      <c r="M5873" s="473"/>
    </row>
    <row r="5874" spans="1:13" ht="13.5">
      <c r="A5874" s="475" t="s">
        <v>5496</v>
      </c>
      <c r="B5874" s="475" t="s">
        <v>5726</v>
      </c>
      <c r="C5874" s="475" t="s">
        <v>5730</v>
      </c>
      <c r="D5874" s="475" t="s">
        <v>5731</v>
      </c>
      <c r="E5874" s="476" t="s">
        <v>34</v>
      </c>
      <c r="F5874" s="475" t="s">
        <v>34</v>
      </c>
      <c r="G5874" s="364">
        <v>92123</v>
      </c>
      <c r="H5874" s="475" t="s">
        <v>5002</v>
      </c>
      <c r="I5874" s="475" t="s">
        <v>1261</v>
      </c>
      <c r="J5874" s="475" t="s">
        <v>337</v>
      </c>
      <c r="K5874" s="365">
        <v>35.58</v>
      </c>
      <c r="L5874" s="475" t="s">
        <v>141</v>
      </c>
      <c r="M5874" s="473"/>
    </row>
    <row r="5875" spans="1:13" ht="13.5">
      <c r="A5875" s="475" t="s">
        <v>5496</v>
      </c>
      <c r="B5875" s="475" t="s">
        <v>5726</v>
      </c>
      <c r="C5875" s="475" t="s">
        <v>5730</v>
      </c>
      <c r="D5875" s="475" t="s">
        <v>5731</v>
      </c>
      <c r="E5875" s="476" t="s">
        <v>34</v>
      </c>
      <c r="F5875" s="475" t="s">
        <v>34</v>
      </c>
      <c r="G5875" s="364">
        <v>100195</v>
      </c>
      <c r="H5875" s="475" t="s">
        <v>15225</v>
      </c>
      <c r="I5875" s="475" t="s">
        <v>15226</v>
      </c>
      <c r="J5875" s="475" t="s">
        <v>363</v>
      </c>
      <c r="K5875" s="365">
        <v>0.52</v>
      </c>
      <c r="L5875" s="475" t="s">
        <v>141</v>
      </c>
      <c r="M5875" s="473"/>
    </row>
    <row r="5876" spans="1:13" ht="13.5">
      <c r="A5876" s="475" t="s">
        <v>5496</v>
      </c>
      <c r="B5876" s="475" t="s">
        <v>5726</v>
      </c>
      <c r="C5876" s="475" t="s">
        <v>5730</v>
      </c>
      <c r="D5876" s="475" t="s">
        <v>5731</v>
      </c>
      <c r="E5876" s="476" t="s">
        <v>34</v>
      </c>
      <c r="F5876" s="475" t="s">
        <v>34</v>
      </c>
      <c r="G5876" s="364">
        <v>100196</v>
      </c>
      <c r="H5876" s="475" t="s">
        <v>15227</v>
      </c>
      <c r="I5876" s="475" t="s">
        <v>15226</v>
      </c>
      <c r="J5876" s="475" t="s">
        <v>363</v>
      </c>
      <c r="K5876" s="365">
        <v>0.87</v>
      </c>
      <c r="L5876" s="475" t="s">
        <v>141</v>
      </c>
      <c r="M5876" s="473"/>
    </row>
    <row r="5877" spans="1:13" ht="13.5">
      <c r="A5877" s="475" t="s">
        <v>5496</v>
      </c>
      <c r="B5877" s="475" t="s">
        <v>5726</v>
      </c>
      <c r="C5877" s="475" t="s">
        <v>5730</v>
      </c>
      <c r="D5877" s="475" t="s">
        <v>5731</v>
      </c>
      <c r="E5877" s="476" t="s">
        <v>34</v>
      </c>
      <c r="F5877" s="475" t="s">
        <v>34</v>
      </c>
      <c r="G5877" s="364">
        <v>100197</v>
      </c>
      <c r="H5877" s="475" t="s">
        <v>15228</v>
      </c>
      <c r="I5877" s="475" t="s">
        <v>15226</v>
      </c>
      <c r="J5877" s="475" t="s">
        <v>363</v>
      </c>
      <c r="K5877" s="365">
        <v>1.31</v>
      </c>
      <c r="L5877" s="475" t="s">
        <v>141</v>
      </c>
      <c r="M5877" s="473"/>
    </row>
    <row r="5878" spans="1:13" ht="13.5">
      <c r="A5878" s="475" t="s">
        <v>5496</v>
      </c>
      <c r="B5878" s="475" t="s">
        <v>5726</v>
      </c>
      <c r="C5878" s="475" t="s">
        <v>5730</v>
      </c>
      <c r="D5878" s="475" t="s">
        <v>5731</v>
      </c>
      <c r="E5878" s="476" t="s">
        <v>34</v>
      </c>
      <c r="F5878" s="475" t="s">
        <v>34</v>
      </c>
      <c r="G5878" s="364">
        <v>100198</v>
      </c>
      <c r="H5878" s="475" t="s">
        <v>15229</v>
      </c>
      <c r="I5878" s="475" t="s">
        <v>15226</v>
      </c>
      <c r="J5878" s="475" t="s">
        <v>363</v>
      </c>
      <c r="K5878" s="365">
        <v>0.18</v>
      </c>
      <c r="L5878" s="475" t="s">
        <v>141</v>
      </c>
      <c r="M5878" s="473"/>
    </row>
    <row r="5879" spans="1:13" ht="13.5">
      <c r="A5879" s="475" t="s">
        <v>5496</v>
      </c>
      <c r="B5879" s="475" t="s">
        <v>5726</v>
      </c>
      <c r="C5879" s="475" t="s">
        <v>5730</v>
      </c>
      <c r="D5879" s="475" t="s">
        <v>5731</v>
      </c>
      <c r="E5879" s="476" t="s">
        <v>34</v>
      </c>
      <c r="F5879" s="475" t="s">
        <v>34</v>
      </c>
      <c r="G5879" s="364">
        <v>100199</v>
      </c>
      <c r="H5879" s="475" t="s">
        <v>15230</v>
      </c>
      <c r="I5879" s="475" t="s">
        <v>15226</v>
      </c>
      <c r="J5879" s="475" t="s">
        <v>363</v>
      </c>
      <c r="K5879" s="365">
        <v>0.22</v>
      </c>
      <c r="L5879" s="475" t="s">
        <v>141</v>
      </c>
      <c r="M5879" s="473"/>
    </row>
    <row r="5880" spans="1:13" ht="13.5">
      <c r="A5880" s="475" t="s">
        <v>5496</v>
      </c>
      <c r="B5880" s="475" t="s">
        <v>5726</v>
      </c>
      <c r="C5880" s="475" t="s">
        <v>5730</v>
      </c>
      <c r="D5880" s="475" t="s">
        <v>5731</v>
      </c>
      <c r="E5880" s="476" t="s">
        <v>34</v>
      </c>
      <c r="F5880" s="475" t="s">
        <v>34</v>
      </c>
      <c r="G5880" s="364">
        <v>100200</v>
      </c>
      <c r="H5880" s="475" t="s">
        <v>15231</v>
      </c>
      <c r="I5880" s="475" t="s">
        <v>15226</v>
      </c>
      <c r="J5880" s="475" t="s">
        <v>363</v>
      </c>
      <c r="K5880" s="365">
        <v>0.26</v>
      </c>
      <c r="L5880" s="475" t="s">
        <v>141</v>
      </c>
      <c r="M5880" s="473"/>
    </row>
    <row r="5881" spans="1:13" ht="13.5">
      <c r="A5881" s="475" t="s">
        <v>5496</v>
      </c>
      <c r="B5881" s="475" t="s">
        <v>5726</v>
      </c>
      <c r="C5881" s="475" t="s">
        <v>5730</v>
      </c>
      <c r="D5881" s="475" t="s">
        <v>5731</v>
      </c>
      <c r="E5881" s="476" t="s">
        <v>34</v>
      </c>
      <c r="F5881" s="475" t="s">
        <v>34</v>
      </c>
      <c r="G5881" s="364">
        <v>100201</v>
      </c>
      <c r="H5881" s="475" t="s">
        <v>15232</v>
      </c>
      <c r="I5881" s="475" t="s">
        <v>15226</v>
      </c>
      <c r="J5881" s="475" t="s">
        <v>363</v>
      </c>
      <c r="K5881" s="365">
        <v>0.53</v>
      </c>
      <c r="L5881" s="475" t="s">
        <v>141</v>
      </c>
      <c r="M5881" s="473"/>
    </row>
    <row r="5882" spans="1:13" ht="13.5">
      <c r="A5882" s="475" t="s">
        <v>5496</v>
      </c>
      <c r="B5882" s="475" t="s">
        <v>5726</v>
      </c>
      <c r="C5882" s="475" t="s">
        <v>5730</v>
      </c>
      <c r="D5882" s="475" t="s">
        <v>5731</v>
      </c>
      <c r="E5882" s="476" t="s">
        <v>34</v>
      </c>
      <c r="F5882" s="475" t="s">
        <v>34</v>
      </c>
      <c r="G5882" s="364">
        <v>100202</v>
      </c>
      <c r="H5882" s="475" t="s">
        <v>15233</v>
      </c>
      <c r="I5882" s="475" t="s">
        <v>15226</v>
      </c>
      <c r="J5882" s="475" t="s">
        <v>363</v>
      </c>
      <c r="K5882" s="365">
        <v>0.62</v>
      </c>
      <c r="L5882" s="475" t="s">
        <v>141</v>
      </c>
      <c r="M5882" s="473"/>
    </row>
    <row r="5883" spans="1:13" ht="13.5">
      <c r="A5883" s="475" t="s">
        <v>5496</v>
      </c>
      <c r="B5883" s="475" t="s">
        <v>5726</v>
      </c>
      <c r="C5883" s="475" t="s">
        <v>5730</v>
      </c>
      <c r="D5883" s="475" t="s">
        <v>5731</v>
      </c>
      <c r="E5883" s="476" t="s">
        <v>34</v>
      </c>
      <c r="F5883" s="475" t="s">
        <v>34</v>
      </c>
      <c r="G5883" s="364">
        <v>100203</v>
      </c>
      <c r="H5883" s="475" t="s">
        <v>15234</v>
      </c>
      <c r="I5883" s="475" t="s">
        <v>15226</v>
      </c>
      <c r="J5883" s="475" t="s">
        <v>363</v>
      </c>
      <c r="K5883" s="365">
        <v>0.74</v>
      </c>
      <c r="L5883" s="475" t="s">
        <v>141</v>
      </c>
      <c r="M5883" s="473"/>
    </row>
    <row r="5884" spans="1:13" ht="13.5">
      <c r="A5884" s="475" t="s">
        <v>5496</v>
      </c>
      <c r="B5884" s="475" t="s">
        <v>5726</v>
      </c>
      <c r="C5884" s="475" t="s">
        <v>5730</v>
      </c>
      <c r="D5884" s="475" t="s">
        <v>5731</v>
      </c>
      <c r="E5884" s="476" t="s">
        <v>34</v>
      </c>
      <c r="F5884" s="475" t="s">
        <v>34</v>
      </c>
      <c r="G5884" s="364">
        <v>100204</v>
      </c>
      <c r="H5884" s="475" t="s">
        <v>15235</v>
      </c>
      <c r="I5884" s="475" t="s">
        <v>15226</v>
      </c>
      <c r="J5884" s="475" t="s">
        <v>140</v>
      </c>
      <c r="K5884" s="365">
        <v>0.08</v>
      </c>
      <c r="L5884" s="475" t="s">
        <v>141</v>
      </c>
      <c r="M5884" s="473"/>
    </row>
    <row r="5885" spans="1:13" ht="13.5">
      <c r="A5885" s="475" t="s">
        <v>5496</v>
      </c>
      <c r="B5885" s="475" t="s">
        <v>5726</v>
      </c>
      <c r="C5885" s="475" t="s">
        <v>5730</v>
      </c>
      <c r="D5885" s="475" t="s">
        <v>5731</v>
      </c>
      <c r="E5885" s="476" t="s">
        <v>34</v>
      </c>
      <c r="F5885" s="475" t="s">
        <v>34</v>
      </c>
      <c r="G5885" s="364">
        <v>100205</v>
      </c>
      <c r="H5885" s="475" t="s">
        <v>15236</v>
      </c>
      <c r="I5885" s="475" t="s">
        <v>4060</v>
      </c>
      <c r="J5885" s="475" t="s">
        <v>363</v>
      </c>
      <c r="K5885" s="365">
        <v>980.88</v>
      </c>
      <c r="L5885" s="475" t="s">
        <v>141</v>
      </c>
      <c r="M5885" s="473"/>
    </row>
    <row r="5886" spans="1:13" ht="13.5">
      <c r="A5886" s="475" t="s">
        <v>5496</v>
      </c>
      <c r="B5886" s="475" t="s">
        <v>5726</v>
      </c>
      <c r="C5886" s="475" t="s">
        <v>5730</v>
      </c>
      <c r="D5886" s="475" t="s">
        <v>5731</v>
      </c>
      <c r="E5886" s="476" t="s">
        <v>34</v>
      </c>
      <c r="F5886" s="475" t="s">
        <v>34</v>
      </c>
      <c r="G5886" s="364">
        <v>100206</v>
      </c>
      <c r="H5886" s="475" t="s">
        <v>15237</v>
      </c>
      <c r="I5886" s="475" t="s">
        <v>4060</v>
      </c>
      <c r="J5886" s="475" t="s">
        <v>363</v>
      </c>
      <c r="K5886" s="365">
        <v>709.01</v>
      </c>
      <c r="L5886" s="475" t="s">
        <v>141</v>
      </c>
      <c r="M5886" s="473"/>
    </row>
    <row r="5887" spans="1:13" ht="13.5">
      <c r="A5887" s="475" t="s">
        <v>5496</v>
      </c>
      <c r="B5887" s="475" t="s">
        <v>5726</v>
      </c>
      <c r="C5887" s="475" t="s">
        <v>5730</v>
      </c>
      <c r="D5887" s="475" t="s">
        <v>5731</v>
      </c>
      <c r="E5887" s="476" t="s">
        <v>34</v>
      </c>
      <c r="F5887" s="475" t="s">
        <v>34</v>
      </c>
      <c r="G5887" s="364">
        <v>100207</v>
      </c>
      <c r="H5887" s="475" t="s">
        <v>15238</v>
      </c>
      <c r="I5887" s="475" t="s">
        <v>4060</v>
      </c>
      <c r="J5887" s="475" t="s">
        <v>140</v>
      </c>
      <c r="K5887" s="365">
        <v>271.24</v>
      </c>
      <c r="L5887" s="475" t="s">
        <v>141</v>
      </c>
      <c r="M5887" s="473"/>
    </row>
    <row r="5888" spans="1:13" ht="13.5">
      <c r="A5888" s="475" t="s">
        <v>5496</v>
      </c>
      <c r="B5888" s="475" t="s">
        <v>5726</v>
      </c>
      <c r="C5888" s="475" t="s">
        <v>5730</v>
      </c>
      <c r="D5888" s="475" t="s">
        <v>5731</v>
      </c>
      <c r="E5888" s="476" t="s">
        <v>34</v>
      </c>
      <c r="F5888" s="475" t="s">
        <v>34</v>
      </c>
      <c r="G5888" s="364">
        <v>100208</v>
      </c>
      <c r="H5888" s="475" t="s">
        <v>15239</v>
      </c>
      <c r="I5888" s="475" t="s">
        <v>15240</v>
      </c>
      <c r="J5888" s="475" t="s">
        <v>363</v>
      </c>
      <c r="K5888" s="365">
        <v>12.97</v>
      </c>
      <c r="L5888" s="475" t="s">
        <v>141</v>
      </c>
      <c r="M5888" s="473"/>
    </row>
    <row r="5889" spans="1:13" ht="13.5">
      <c r="A5889" s="475" t="s">
        <v>5496</v>
      </c>
      <c r="B5889" s="475" t="s">
        <v>5726</v>
      </c>
      <c r="C5889" s="475" t="s">
        <v>5730</v>
      </c>
      <c r="D5889" s="475" t="s">
        <v>5731</v>
      </c>
      <c r="E5889" s="476" t="s">
        <v>34</v>
      </c>
      <c r="F5889" s="475" t="s">
        <v>34</v>
      </c>
      <c r="G5889" s="364">
        <v>100209</v>
      </c>
      <c r="H5889" s="475" t="s">
        <v>15241</v>
      </c>
      <c r="I5889" s="475" t="s">
        <v>15240</v>
      </c>
      <c r="J5889" s="475" t="s">
        <v>363</v>
      </c>
      <c r="K5889" s="365">
        <v>6.48</v>
      </c>
      <c r="L5889" s="475" t="s">
        <v>141</v>
      </c>
      <c r="M5889" s="473"/>
    </row>
    <row r="5890" spans="1:13" ht="13.5">
      <c r="A5890" s="475" t="s">
        <v>5496</v>
      </c>
      <c r="B5890" s="475" t="s">
        <v>5726</v>
      </c>
      <c r="C5890" s="475" t="s">
        <v>5730</v>
      </c>
      <c r="D5890" s="475" t="s">
        <v>5731</v>
      </c>
      <c r="E5890" s="476" t="s">
        <v>34</v>
      </c>
      <c r="F5890" s="475" t="s">
        <v>34</v>
      </c>
      <c r="G5890" s="364">
        <v>100210</v>
      </c>
      <c r="H5890" s="475" t="s">
        <v>15242</v>
      </c>
      <c r="I5890" s="475" t="s">
        <v>15240</v>
      </c>
      <c r="J5890" s="475" t="s">
        <v>363</v>
      </c>
      <c r="K5890" s="365">
        <v>11.95</v>
      </c>
      <c r="L5890" s="475" t="s">
        <v>141</v>
      </c>
      <c r="M5890" s="473"/>
    </row>
    <row r="5891" spans="1:13" ht="13.5">
      <c r="A5891" s="475" t="s">
        <v>5496</v>
      </c>
      <c r="B5891" s="475" t="s">
        <v>5726</v>
      </c>
      <c r="C5891" s="475" t="s">
        <v>5730</v>
      </c>
      <c r="D5891" s="475" t="s">
        <v>5731</v>
      </c>
      <c r="E5891" s="476" t="s">
        <v>34</v>
      </c>
      <c r="F5891" s="475" t="s">
        <v>34</v>
      </c>
      <c r="G5891" s="364">
        <v>100211</v>
      </c>
      <c r="H5891" s="475" t="s">
        <v>15243</v>
      </c>
      <c r="I5891" s="475" t="s">
        <v>15240</v>
      </c>
      <c r="J5891" s="475" t="s">
        <v>363</v>
      </c>
      <c r="K5891" s="365">
        <v>4.6100000000000003</v>
      </c>
      <c r="L5891" s="475" t="s">
        <v>141</v>
      </c>
      <c r="M5891" s="473"/>
    </row>
    <row r="5892" spans="1:13" ht="13.5">
      <c r="A5892" s="475" t="s">
        <v>5496</v>
      </c>
      <c r="B5892" s="475" t="s">
        <v>5726</v>
      </c>
      <c r="C5892" s="475" t="s">
        <v>5730</v>
      </c>
      <c r="D5892" s="475" t="s">
        <v>5731</v>
      </c>
      <c r="E5892" s="476" t="s">
        <v>34</v>
      </c>
      <c r="F5892" s="475" t="s">
        <v>34</v>
      </c>
      <c r="G5892" s="364">
        <v>100212</v>
      </c>
      <c r="H5892" s="475" t="s">
        <v>15244</v>
      </c>
      <c r="I5892" s="475" t="s">
        <v>15240</v>
      </c>
      <c r="J5892" s="475" t="s">
        <v>363</v>
      </c>
      <c r="K5892" s="365">
        <v>5.09</v>
      </c>
      <c r="L5892" s="475" t="s">
        <v>141</v>
      </c>
      <c r="M5892" s="473"/>
    </row>
    <row r="5893" spans="1:13" ht="13.5">
      <c r="A5893" s="475" t="s">
        <v>5496</v>
      </c>
      <c r="B5893" s="475" t="s">
        <v>5726</v>
      </c>
      <c r="C5893" s="475" t="s">
        <v>5730</v>
      </c>
      <c r="D5893" s="475" t="s">
        <v>5731</v>
      </c>
      <c r="E5893" s="476" t="s">
        <v>34</v>
      </c>
      <c r="F5893" s="475" t="s">
        <v>34</v>
      </c>
      <c r="G5893" s="364">
        <v>100213</v>
      </c>
      <c r="H5893" s="475" t="s">
        <v>15245</v>
      </c>
      <c r="I5893" s="475" t="s">
        <v>15240</v>
      </c>
      <c r="J5893" s="475" t="s">
        <v>363</v>
      </c>
      <c r="K5893" s="365">
        <v>1.83</v>
      </c>
      <c r="L5893" s="475" t="s">
        <v>141</v>
      </c>
      <c r="M5893" s="473"/>
    </row>
    <row r="5894" spans="1:13" ht="13.5">
      <c r="A5894" s="475" t="s">
        <v>5496</v>
      </c>
      <c r="B5894" s="475" t="s">
        <v>5726</v>
      </c>
      <c r="C5894" s="475" t="s">
        <v>5730</v>
      </c>
      <c r="D5894" s="475" t="s">
        <v>5731</v>
      </c>
      <c r="E5894" s="476" t="s">
        <v>34</v>
      </c>
      <c r="F5894" s="475" t="s">
        <v>34</v>
      </c>
      <c r="G5894" s="364">
        <v>100214</v>
      </c>
      <c r="H5894" s="475" t="s">
        <v>15246</v>
      </c>
      <c r="I5894" s="475" t="s">
        <v>15240</v>
      </c>
      <c r="J5894" s="475" t="s">
        <v>363</v>
      </c>
      <c r="K5894" s="365">
        <v>2.81</v>
      </c>
      <c r="L5894" s="475" t="s">
        <v>141</v>
      </c>
      <c r="M5894" s="473"/>
    </row>
    <row r="5895" spans="1:13" ht="13.5">
      <c r="A5895" s="475" t="s">
        <v>5496</v>
      </c>
      <c r="B5895" s="475" t="s">
        <v>5726</v>
      </c>
      <c r="C5895" s="475" t="s">
        <v>5730</v>
      </c>
      <c r="D5895" s="475" t="s">
        <v>5731</v>
      </c>
      <c r="E5895" s="476" t="s">
        <v>34</v>
      </c>
      <c r="F5895" s="475" t="s">
        <v>34</v>
      </c>
      <c r="G5895" s="364">
        <v>100215</v>
      </c>
      <c r="H5895" s="475" t="s">
        <v>15247</v>
      </c>
      <c r="I5895" s="475" t="s">
        <v>15240</v>
      </c>
      <c r="J5895" s="475" t="s">
        <v>363</v>
      </c>
      <c r="K5895" s="365">
        <v>2.4</v>
      </c>
      <c r="L5895" s="475" t="s">
        <v>141</v>
      </c>
      <c r="M5895" s="473"/>
    </row>
    <row r="5896" spans="1:13" ht="13.5">
      <c r="A5896" s="475" t="s">
        <v>5496</v>
      </c>
      <c r="B5896" s="475" t="s">
        <v>5726</v>
      </c>
      <c r="C5896" s="475" t="s">
        <v>5730</v>
      </c>
      <c r="D5896" s="475" t="s">
        <v>5731</v>
      </c>
      <c r="E5896" s="476" t="s">
        <v>34</v>
      </c>
      <c r="F5896" s="475" t="s">
        <v>34</v>
      </c>
      <c r="G5896" s="364">
        <v>100216</v>
      </c>
      <c r="H5896" s="475" t="s">
        <v>15248</v>
      </c>
      <c r="I5896" s="475" t="s">
        <v>15240</v>
      </c>
      <c r="J5896" s="475" t="s">
        <v>363</v>
      </c>
      <c r="K5896" s="365">
        <v>0.64</v>
      </c>
      <c r="L5896" s="475" t="s">
        <v>141</v>
      </c>
      <c r="M5896" s="473"/>
    </row>
    <row r="5897" spans="1:13" ht="13.5">
      <c r="A5897" s="475" t="s">
        <v>5496</v>
      </c>
      <c r="B5897" s="475" t="s">
        <v>5726</v>
      </c>
      <c r="C5897" s="475" t="s">
        <v>5730</v>
      </c>
      <c r="D5897" s="475" t="s">
        <v>5731</v>
      </c>
      <c r="E5897" s="476" t="s">
        <v>34</v>
      </c>
      <c r="F5897" s="475" t="s">
        <v>34</v>
      </c>
      <c r="G5897" s="364">
        <v>100217</v>
      </c>
      <c r="H5897" s="475" t="s">
        <v>15249</v>
      </c>
      <c r="I5897" s="475" t="s">
        <v>15240</v>
      </c>
      <c r="J5897" s="475" t="s">
        <v>140</v>
      </c>
      <c r="K5897" s="365">
        <v>2.3199999999999998</v>
      </c>
      <c r="L5897" s="475" t="s">
        <v>141</v>
      </c>
      <c r="M5897" s="473"/>
    </row>
    <row r="5898" spans="1:13" ht="13.5">
      <c r="A5898" s="475" t="s">
        <v>5496</v>
      </c>
      <c r="B5898" s="475" t="s">
        <v>5726</v>
      </c>
      <c r="C5898" s="475" t="s">
        <v>5730</v>
      </c>
      <c r="D5898" s="475" t="s">
        <v>5731</v>
      </c>
      <c r="E5898" s="476" t="s">
        <v>34</v>
      </c>
      <c r="F5898" s="475" t="s">
        <v>34</v>
      </c>
      <c r="G5898" s="364">
        <v>100218</v>
      </c>
      <c r="H5898" s="475" t="s">
        <v>15250</v>
      </c>
      <c r="I5898" s="475" t="s">
        <v>15240</v>
      </c>
      <c r="J5898" s="475" t="s">
        <v>140</v>
      </c>
      <c r="K5898" s="365">
        <v>1.58</v>
      </c>
      <c r="L5898" s="475" t="s">
        <v>141</v>
      </c>
      <c r="M5898" s="473"/>
    </row>
    <row r="5899" spans="1:13" ht="13.5">
      <c r="A5899" s="475" t="s">
        <v>5496</v>
      </c>
      <c r="B5899" s="475" t="s">
        <v>5726</v>
      </c>
      <c r="C5899" s="475" t="s">
        <v>5730</v>
      </c>
      <c r="D5899" s="475" t="s">
        <v>5731</v>
      </c>
      <c r="E5899" s="476" t="s">
        <v>34</v>
      </c>
      <c r="F5899" s="475" t="s">
        <v>34</v>
      </c>
      <c r="G5899" s="364">
        <v>100219</v>
      </c>
      <c r="H5899" s="475" t="s">
        <v>15251</v>
      </c>
      <c r="I5899" s="475" t="s">
        <v>15240</v>
      </c>
      <c r="J5899" s="475" t="s">
        <v>140</v>
      </c>
      <c r="K5899" s="365">
        <v>0.35</v>
      </c>
      <c r="L5899" s="475" t="s">
        <v>141</v>
      </c>
      <c r="M5899" s="473"/>
    </row>
    <row r="5900" spans="1:13" ht="13.5">
      <c r="A5900" s="475" t="s">
        <v>5496</v>
      </c>
      <c r="B5900" s="475" t="s">
        <v>5726</v>
      </c>
      <c r="C5900" s="475" t="s">
        <v>5730</v>
      </c>
      <c r="D5900" s="475" t="s">
        <v>5731</v>
      </c>
      <c r="E5900" s="476" t="s">
        <v>34</v>
      </c>
      <c r="F5900" s="475" t="s">
        <v>34</v>
      </c>
      <c r="G5900" s="364">
        <v>100220</v>
      </c>
      <c r="H5900" s="475" t="s">
        <v>15252</v>
      </c>
      <c r="I5900" s="475" t="s">
        <v>15253</v>
      </c>
      <c r="J5900" s="475" t="s">
        <v>363</v>
      </c>
      <c r="K5900" s="365">
        <v>18.64</v>
      </c>
      <c r="L5900" s="475" t="s">
        <v>141</v>
      </c>
      <c r="M5900" s="473"/>
    </row>
    <row r="5901" spans="1:13" ht="13.5">
      <c r="A5901" s="475" t="s">
        <v>5496</v>
      </c>
      <c r="B5901" s="475" t="s">
        <v>5726</v>
      </c>
      <c r="C5901" s="475" t="s">
        <v>5730</v>
      </c>
      <c r="D5901" s="475" t="s">
        <v>5731</v>
      </c>
      <c r="E5901" s="476" t="s">
        <v>34</v>
      </c>
      <c r="F5901" s="475" t="s">
        <v>34</v>
      </c>
      <c r="G5901" s="364">
        <v>100221</v>
      </c>
      <c r="H5901" s="475" t="s">
        <v>15254</v>
      </c>
      <c r="I5901" s="475" t="s">
        <v>15253</v>
      </c>
      <c r="J5901" s="475" t="s">
        <v>363</v>
      </c>
      <c r="K5901" s="365">
        <v>21.13</v>
      </c>
      <c r="L5901" s="475" t="s">
        <v>141</v>
      </c>
      <c r="M5901" s="473"/>
    </row>
    <row r="5902" spans="1:13" ht="13.5">
      <c r="A5902" s="475" t="s">
        <v>5496</v>
      </c>
      <c r="B5902" s="475" t="s">
        <v>5726</v>
      </c>
      <c r="C5902" s="475" t="s">
        <v>5730</v>
      </c>
      <c r="D5902" s="475" t="s">
        <v>5731</v>
      </c>
      <c r="E5902" s="476" t="s">
        <v>34</v>
      </c>
      <c r="F5902" s="475" t="s">
        <v>34</v>
      </c>
      <c r="G5902" s="364">
        <v>100222</v>
      </c>
      <c r="H5902" s="475" t="s">
        <v>15255</v>
      </c>
      <c r="I5902" s="475" t="s">
        <v>15253</v>
      </c>
      <c r="J5902" s="475" t="s">
        <v>363</v>
      </c>
      <c r="K5902" s="365">
        <v>8</v>
      </c>
      <c r="L5902" s="475" t="s">
        <v>141</v>
      </c>
      <c r="M5902" s="473"/>
    </row>
    <row r="5903" spans="1:13" ht="13.5">
      <c r="A5903" s="475" t="s">
        <v>5496</v>
      </c>
      <c r="B5903" s="475" t="s">
        <v>5726</v>
      </c>
      <c r="C5903" s="475" t="s">
        <v>5730</v>
      </c>
      <c r="D5903" s="475" t="s">
        <v>5731</v>
      </c>
      <c r="E5903" s="476" t="s">
        <v>34</v>
      </c>
      <c r="F5903" s="475" t="s">
        <v>34</v>
      </c>
      <c r="G5903" s="364">
        <v>100223</v>
      </c>
      <c r="H5903" s="475" t="s">
        <v>15256</v>
      </c>
      <c r="I5903" s="475" t="s">
        <v>15253</v>
      </c>
      <c r="J5903" s="475" t="s">
        <v>363</v>
      </c>
      <c r="K5903" s="365">
        <v>3.74</v>
      </c>
      <c r="L5903" s="475" t="s">
        <v>141</v>
      </c>
      <c r="M5903" s="473"/>
    </row>
    <row r="5904" spans="1:13" ht="13.5">
      <c r="A5904" s="475" t="s">
        <v>5496</v>
      </c>
      <c r="B5904" s="475" t="s">
        <v>5726</v>
      </c>
      <c r="C5904" s="475" t="s">
        <v>5730</v>
      </c>
      <c r="D5904" s="475" t="s">
        <v>5731</v>
      </c>
      <c r="E5904" s="476" t="s">
        <v>34</v>
      </c>
      <c r="F5904" s="475" t="s">
        <v>34</v>
      </c>
      <c r="G5904" s="364">
        <v>100224</v>
      </c>
      <c r="H5904" s="475" t="s">
        <v>15257</v>
      </c>
      <c r="I5904" s="475" t="s">
        <v>15253</v>
      </c>
      <c r="J5904" s="475" t="s">
        <v>140</v>
      </c>
      <c r="K5904" s="365">
        <v>2.3199999999999998</v>
      </c>
      <c r="L5904" s="475" t="s">
        <v>141</v>
      </c>
      <c r="M5904" s="473"/>
    </row>
    <row r="5905" spans="1:13" ht="13.5">
      <c r="A5905" s="475" t="s">
        <v>5496</v>
      </c>
      <c r="B5905" s="475" t="s">
        <v>5726</v>
      </c>
      <c r="C5905" s="475" t="s">
        <v>5730</v>
      </c>
      <c r="D5905" s="475" t="s">
        <v>5731</v>
      </c>
      <c r="E5905" s="476" t="s">
        <v>34</v>
      </c>
      <c r="F5905" s="475" t="s">
        <v>34</v>
      </c>
      <c r="G5905" s="364">
        <v>100225</v>
      </c>
      <c r="H5905" s="475" t="s">
        <v>15258</v>
      </c>
      <c r="I5905" s="475" t="s">
        <v>15259</v>
      </c>
      <c r="J5905" s="475" t="s">
        <v>363</v>
      </c>
      <c r="K5905" s="365">
        <v>1.46</v>
      </c>
      <c r="L5905" s="475" t="s">
        <v>141</v>
      </c>
      <c r="M5905" s="473"/>
    </row>
    <row r="5906" spans="1:13" ht="13.5">
      <c r="A5906" s="475" t="s">
        <v>5496</v>
      </c>
      <c r="B5906" s="475" t="s">
        <v>5726</v>
      </c>
      <c r="C5906" s="475" t="s">
        <v>5730</v>
      </c>
      <c r="D5906" s="475" t="s">
        <v>5731</v>
      </c>
      <c r="E5906" s="476" t="s">
        <v>34</v>
      </c>
      <c r="F5906" s="475" t="s">
        <v>34</v>
      </c>
      <c r="G5906" s="364">
        <v>100226</v>
      </c>
      <c r="H5906" s="475" t="s">
        <v>15260</v>
      </c>
      <c r="I5906" s="475" t="s">
        <v>15259</v>
      </c>
      <c r="J5906" s="475" t="s">
        <v>363</v>
      </c>
      <c r="K5906" s="365">
        <v>0.46</v>
      </c>
      <c r="L5906" s="475" t="s">
        <v>141</v>
      </c>
      <c r="M5906" s="473"/>
    </row>
    <row r="5907" spans="1:13" ht="13.5">
      <c r="A5907" s="475" t="s">
        <v>5496</v>
      </c>
      <c r="B5907" s="475" t="s">
        <v>5726</v>
      </c>
      <c r="C5907" s="475" t="s">
        <v>5730</v>
      </c>
      <c r="D5907" s="475" t="s">
        <v>5731</v>
      </c>
      <c r="E5907" s="476" t="s">
        <v>34</v>
      </c>
      <c r="F5907" s="475" t="s">
        <v>34</v>
      </c>
      <c r="G5907" s="364">
        <v>100227</v>
      </c>
      <c r="H5907" s="475" t="s">
        <v>15261</v>
      </c>
      <c r="I5907" s="475" t="s">
        <v>15259</v>
      </c>
      <c r="J5907" s="475" t="s">
        <v>363</v>
      </c>
      <c r="K5907" s="365">
        <v>0.68</v>
      </c>
      <c r="L5907" s="475" t="s">
        <v>141</v>
      </c>
      <c r="M5907" s="473"/>
    </row>
    <row r="5908" spans="1:13" ht="13.5">
      <c r="A5908" s="475" t="s">
        <v>5496</v>
      </c>
      <c r="B5908" s="475" t="s">
        <v>5726</v>
      </c>
      <c r="C5908" s="475" t="s">
        <v>5730</v>
      </c>
      <c r="D5908" s="475" t="s">
        <v>5731</v>
      </c>
      <c r="E5908" s="476" t="s">
        <v>34</v>
      </c>
      <c r="F5908" s="475" t="s">
        <v>34</v>
      </c>
      <c r="G5908" s="364">
        <v>100228</v>
      </c>
      <c r="H5908" s="475" t="s">
        <v>15262</v>
      </c>
      <c r="I5908" s="475" t="s">
        <v>15259</v>
      </c>
      <c r="J5908" s="475" t="s">
        <v>140</v>
      </c>
      <c r="K5908" s="365">
        <v>0.23</v>
      </c>
      <c r="L5908" s="475" t="s">
        <v>141</v>
      </c>
      <c r="M5908" s="473"/>
    </row>
    <row r="5909" spans="1:13" ht="13.5">
      <c r="A5909" s="475" t="s">
        <v>5496</v>
      </c>
      <c r="B5909" s="475" t="s">
        <v>5726</v>
      </c>
      <c r="C5909" s="475" t="s">
        <v>5730</v>
      </c>
      <c r="D5909" s="475" t="s">
        <v>5731</v>
      </c>
      <c r="E5909" s="476" t="s">
        <v>34</v>
      </c>
      <c r="F5909" s="475" t="s">
        <v>34</v>
      </c>
      <c r="G5909" s="364">
        <v>100229</v>
      </c>
      <c r="H5909" s="475" t="s">
        <v>15263</v>
      </c>
      <c r="I5909" s="475" t="s">
        <v>315</v>
      </c>
      <c r="J5909" s="475" t="s">
        <v>363</v>
      </c>
      <c r="K5909" s="365">
        <v>0.01</v>
      </c>
      <c r="L5909" s="475" t="s">
        <v>141</v>
      </c>
      <c r="M5909" s="473"/>
    </row>
    <row r="5910" spans="1:13" ht="13.5">
      <c r="A5910" s="475" t="s">
        <v>5496</v>
      </c>
      <c r="B5910" s="475" t="s">
        <v>5726</v>
      </c>
      <c r="C5910" s="475" t="s">
        <v>5730</v>
      </c>
      <c r="D5910" s="475" t="s">
        <v>5731</v>
      </c>
      <c r="E5910" s="476" t="s">
        <v>34</v>
      </c>
      <c r="F5910" s="475" t="s">
        <v>34</v>
      </c>
      <c r="G5910" s="364">
        <v>100230</v>
      </c>
      <c r="H5910" s="475" t="s">
        <v>15264</v>
      </c>
      <c r="I5910" s="475" t="s">
        <v>315</v>
      </c>
      <c r="J5910" s="475" t="s">
        <v>363</v>
      </c>
      <c r="K5910" s="365">
        <v>0.01</v>
      </c>
      <c r="L5910" s="475" t="s">
        <v>141</v>
      </c>
      <c r="M5910" s="473"/>
    </row>
    <row r="5911" spans="1:13" ht="13.5">
      <c r="A5911" s="475" t="s">
        <v>5496</v>
      </c>
      <c r="B5911" s="475" t="s">
        <v>5726</v>
      </c>
      <c r="C5911" s="475" t="s">
        <v>5730</v>
      </c>
      <c r="D5911" s="475" t="s">
        <v>5731</v>
      </c>
      <c r="E5911" s="476" t="s">
        <v>34</v>
      </c>
      <c r="F5911" s="475" t="s">
        <v>34</v>
      </c>
      <c r="G5911" s="364">
        <v>100231</v>
      </c>
      <c r="H5911" s="475" t="s">
        <v>15265</v>
      </c>
      <c r="I5911" s="475" t="s">
        <v>315</v>
      </c>
      <c r="J5911" s="475" t="s">
        <v>363</v>
      </c>
      <c r="K5911" s="365">
        <v>0.02</v>
      </c>
      <c r="L5911" s="475" t="s">
        <v>141</v>
      </c>
      <c r="M5911" s="473"/>
    </row>
    <row r="5912" spans="1:13" ht="13.5">
      <c r="A5912" s="475" t="s">
        <v>5496</v>
      </c>
      <c r="B5912" s="475" t="s">
        <v>5726</v>
      </c>
      <c r="C5912" s="475" t="s">
        <v>5730</v>
      </c>
      <c r="D5912" s="475" t="s">
        <v>5731</v>
      </c>
      <c r="E5912" s="476" t="s">
        <v>34</v>
      </c>
      <c r="F5912" s="475" t="s">
        <v>34</v>
      </c>
      <c r="G5912" s="364">
        <v>100232</v>
      </c>
      <c r="H5912" s="475" t="s">
        <v>15266</v>
      </c>
      <c r="I5912" s="475" t="s">
        <v>171</v>
      </c>
      <c r="J5912" s="475" t="s">
        <v>363</v>
      </c>
      <c r="K5912" s="365">
        <v>0.24</v>
      </c>
      <c r="L5912" s="475" t="s">
        <v>141</v>
      </c>
      <c r="M5912" s="473"/>
    </row>
    <row r="5913" spans="1:13" ht="13.5">
      <c r="A5913" s="475" t="s">
        <v>5496</v>
      </c>
      <c r="B5913" s="475" t="s">
        <v>5726</v>
      </c>
      <c r="C5913" s="475" t="s">
        <v>5730</v>
      </c>
      <c r="D5913" s="475" t="s">
        <v>5731</v>
      </c>
      <c r="E5913" s="476" t="s">
        <v>34</v>
      </c>
      <c r="F5913" s="475" t="s">
        <v>34</v>
      </c>
      <c r="G5913" s="364">
        <v>100233</v>
      </c>
      <c r="H5913" s="475" t="s">
        <v>15267</v>
      </c>
      <c r="I5913" s="475" t="s">
        <v>171</v>
      </c>
      <c r="J5913" s="475" t="s">
        <v>363</v>
      </c>
      <c r="K5913" s="365">
        <v>0.12</v>
      </c>
      <c r="L5913" s="475" t="s">
        <v>141</v>
      </c>
      <c r="M5913" s="473"/>
    </row>
    <row r="5914" spans="1:13" ht="13.5">
      <c r="A5914" s="475" t="s">
        <v>5496</v>
      </c>
      <c r="B5914" s="475" t="s">
        <v>5726</v>
      </c>
      <c r="C5914" s="475" t="s">
        <v>5730</v>
      </c>
      <c r="D5914" s="475" t="s">
        <v>5731</v>
      </c>
      <c r="E5914" s="476" t="s">
        <v>34</v>
      </c>
      <c r="F5914" s="475" t="s">
        <v>34</v>
      </c>
      <c r="G5914" s="364">
        <v>100234</v>
      </c>
      <c r="H5914" s="475" t="s">
        <v>15268</v>
      </c>
      <c r="I5914" s="475" t="s">
        <v>322</v>
      </c>
      <c r="J5914" s="475" t="s">
        <v>363</v>
      </c>
      <c r="K5914" s="365">
        <v>0.36</v>
      </c>
      <c r="L5914" s="475" t="s">
        <v>141</v>
      </c>
      <c r="M5914" s="473"/>
    </row>
    <row r="5915" spans="1:13" ht="13.5">
      <c r="A5915" s="475" t="s">
        <v>5496</v>
      </c>
      <c r="B5915" s="475" t="s">
        <v>5726</v>
      </c>
      <c r="C5915" s="475" t="s">
        <v>5730</v>
      </c>
      <c r="D5915" s="475" t="s">
        <v>5731</v>
      </c>
      <c r="E5915" s="476" t="s">
        <v>34</v>
      </c>
      <c r="F5915" s="475" t="s">
        <v>34</v>
      </c>
      <c r="G5915" s="364">
        <v>100235</v>
      </c>
      <c r="H5915" s="475" t="s">
        <v>15269</v>
      </c>
      <c r="I5915" s="475" t="s">
        <v>4999</v>
      </c>
      <c r="J5915" s="475" t="s">
        <v>363</v>
      </c>
      <c r="K5915" s="365">
        <v>0.02</v>
      </c>
      <c r="L5915" s="475" t="s">
        <v>141</v>
      </c>
      <c r="M5915" s="473"/>
    </row>
    <row r="5916" spans="1:13" ht="13.5">
      <c r="A5916" s="475" t="s">
        <v>5496</v>
      </c>
      <c r="B5916" s="475" t="s">
        <v>5726</v>
      </c>
      <c r="C5916" s="475" t="s">
        <v>5730</v>
      </c>
      <c r="D5916" s="475" t="s">
        <v>5731</v>
      </c>
      <c r="E5916" s="476" t="s">
        <v>34</v>
      </c>
      <c r="F5916" s="475" t="s">
        <v>34</v>
      </c>
      <c r="G5916" s="364">
        <v>100236</v>
      </c>
      <c r="H5916" s="475" t="s">
        <v>15270</v>
      </c>
      <c r="I5916" s="475" t="s">
        <v>15271</v>
      </c>
      <c r="J5916" s="475" t="s">
        <v>363</v>
      </c>
      <c r="K5916" s="365">
        <v>1.85</v>
      </c>
      <c r="L5916" s="475" t="s">
        <v>141</v>
      </c>
      <c r="M5916" s="473"/>
    </row>
    <row r="5917" spans="1:13" ht="13.5">
      <c r="A5917" s="475" t="s">
        <v>5496</v>
      </c>
      <c r="B5917" s="475" t="s">
        <v>5726</v>
      </c>
      <c r="C5917" s="475" t="s">
        <v>5730</v>
      </c>
      <c r="D5917" s="475" t="s">
        <v>5731</v>
      </c>
      <c r="E5917" s="476" t="s">
        <v>34</v>
      </c>
      <c r="F5917" s="475" t="s">
        <v>34</v>
      </c>
      <c r="G5917" s="364">
        <v>100237</v>
      </c>
      <c r="H5917" s="475" t="s">
        <v>15272</v>
      </c>
      <c r="I5917" s="475" t="s">
        <v>15271</v>
      </c>
      <c r="J5917" s="475" t="s">
        <v>363</v>
      </c>
      <c r="K5917" s="365">
        <v>2.23</v>
      </c>
      <c r="L5917" s="475" t="s">
        <v>141</v>
      </c>
      <c r="M5917" s="473"/>
    </row>
    <row r="5918" spans="1:13" ht="13.5">
      <c r="A5918" s="475" t="s">
        <v>5496</v>
      </c>
      <c r="B5918" s="475" t="s">
        <v>5726</v>
      </c>
      <c r="C5918" s="475" t="s">
        <v>5730</v>
      </c>
      <c r="D5918" s="475" t="s">
        <v>5731</v>
      </c>
      <c r="E5918" s="476" t="s">
        <v>34</v>
      </c>
      <c r="F5918" s="475" t="s">
        <v>34</v>
      </c>
      <c r="G5918" s="364">
        <v>100238</v>
      </c>
      <c r="H5918" s="475" t="s">
        <v>15273</v>
      </c>
      <c r="I5918" s="475" t="s">
        <v>15271</v>
      </c>
      <c r="J5918" s="475" t="s">
        <v>363</v>
      </c>
      <c r="K5918" s="365">
        <v>3.56</v>
      </c>
      <c r="L5918" s="475" t="s">
        <v>141</v>
      </c>
      <c r="M5918" s="473"/>
    </row>
    <row r="5919" spans="1:13" ht="13.5">
      <c r="A5919" s="475" t="s">
        <v>5496</v>
      </c>
      <c r="B5919" s="475" t="s">
        <v>5726</v>
      </c>
      <c r="C5919" s="475" t="s">
        <v>5730</v>
      </c>
      <c r="D5919" s="475" t="s">
        <v>5731</v>
      </c>
      <c r="E5919" s="476" t="s">
        <v>34</v>
      </c>
      <c r="F5919" s="475" t="s">
        <v>34</v>
      </c>
      <c r="G5919" s="364">
        <v>100239</v>
      </c>
      <c r="H5919" s="475" t="s">
        <v>15274</v>
      </c>
      <c r="I5919" s="475" t="s">
        <v>15271</v>
      </c>
      <c r="J5919" s="475" t="s">
        <v>363</v>
      </c>
      <c r="K5919" s="365">
        <v>4.46</v>
      </c>
      <c r="L5919" s="475" t="s">
        <v>141</v>
      </c>
      <c r="M5919" s="473"/>
    </row>
    <row r="5920" spans="1:13" ht="13.5">
      <c r="A5920" s="475" t="s">
        <v>5496</v>
      </c>
      <c r="B5920" s="475" t="s">
        <v>5726</v>
      </c>
      <c r="C5920" s="475" t="s">
        <v>5730</v>
      </c>
      <c r="D5920" s="475" t="s">
        <v>5731</v>
      </c>
      <c r="E5920" s="476" t="s">
        <v>34</v>
      </c>
      <c r="F5920" s="475" t="s">
        <v>34</v>
      </c>
      <c r="G5920" s="364">
        <v>100240</v>
      </c>
      <c r="H5920" s="475" t="s">
        <v>15275</v>
      </c>
      <c r="I5920" s="475" t="s">
        <v>15271</v>
      </c>
      <c r="J5920" s="475" t="s">
        <v>363</v>
      </c>
      <c r="K5920" s="365">
        <v>2.67</v>
      </c>
      <c r="L5920" s="475" t="s">
        <v>141</v>
      </c>
      <c r="M5920" s="473"/>
    </row>
    <row r="5921" spans="1:13" ht="13.5">
      <c r="A5921" s="475" t="s">
        <v>5496</v>
      </c>
      <c r="B5921" s="475" t="s">
        <v>5726</v>
      </c>
      <c r="C5921" s="475" t="s">
        <v>5730</v>
      </c>
      <c r="D5921" s="475" t="s">
        <v>5731</v>
      </c>
      <c r="E5921" s="476" t="s">
        <v>34</v>
      </c>
      <c r="F5921" s="475" t="s">
        <v>34</v>
      </c>
      <c r="G5921" s="364">
        <v>100241</v>
      </c>
      <c r="H5921" s="475" t="s">
        <v>15276</v>
      </c>
      <c r="I5921" s="475" t="s">
        <v>15271</v>
      </c>
      <c r="J5921" s="475" t="s">
        <v>363</v>
      </c>
      <c r="K5921" s="365">
        <v>4.46</v>
      </c>
      <c r="L5921" s="475" t="s">
        <v>141</v>
      </c>
      <c r="M5921" s="473"/>
    </row>
    <row r="5922" spans="1:13" ht="13.5">
      <c r="A5922" s="475" t="s">
        <v>5496</v>
      </c>
      <c r="B5922" s="475" t="s">
        <v>5726</v>
      </c>
      <c r="C5922" s="475" t="s">
        <v>5730</v>
      </c>
      <c r="D5922" s="475" t="s">
        <v>5731</v>
      </c>
      <c r="E5922" s="476" t="s">
        <v>34</v>
      </c>
      <c r="F5922" s="475" t="s">
        <v>34</v>
      </c>
      <c r="G5922" s="364">
        <v>100242</v>
      </c>
      <c r="H5922" s="475" t="s">
        <v>15277</v>
      </c>
      <c r="I5922" s="475" t="s">
        <v>15271</v>
      </c>
      <c r="J5922" s="475" t="s">
        <v>363</v>
      </c>
      <c r="K5922" s="365">
        <v>13.17</v>
      </c>
      <c r="L5922" s="475" t="s">
        <v>141</v>
      </c>
      <c r="M5922" s="473"/>
    </row>
    <row r="5923" spans="1:13" ht="13.5">
      <c r="A5923" s="475" t="s">
        <v>5496</v>
      </c>
      <c r="B5923" s="475" t="s">
        <v>5726</v>
      </c>
      <c r="C5923" s="475" t="s">
        <v>5730</v>
      </c>
      <c r="D5923" s="475" t="s">
        <v>5731</v>
      </c>
      <c r="E5923" s="476" t="s">
        <v>34</v>
      </c>
      <c r="F5923" s="475" t="s">
        <v>34</v>
      </c>
      <c r="G5923" s="364">
        <v>100243</v>
      </c>
      <c r="H5923" s="475" t="s">
        <v>15278</v>
      </c>
      <c r="I5923" s="475" t="s">
        <v>15271</v>
      </c>
      <c r="J5923" s="475" t="s">
        <v>363</v>
      </c>
      <c r="K5923" s="365">
        <v>2.14</v>
      </c>
      <c r="L5923" s="475" t="s">
        <v>141</v>
      </c>
      <c r="M5923" s="473"/>
    </row>
    <row r="5924" spans="1:13" ht="13.5">
      <c r="A5924" s="475" t="s">
        <v>5496</v>
      </c>
      <c r="B5924" s="475" t="s">
        <v>5726</v>
      </c>
      <c r="C5924" s="475" t="s">
        <v>5730</v>
      </c>
      <c r="D5924" s="475" t="s">
        <v>5731</v>
      </c>
      <c r="E5924" s="476" t="s">
        <v>34</v>
      </c>
      <c r="F5924" s="475" t="s">
        <v>34</v>
      </c>
      <c r="G5924" s="364">
        <v>100244</v>
      </c>
      <c r="H5924" s="475" t="s">
        <v>15279</v>
      </c>
      <c r="I5924" s="475" t="s">
        <v>15271</v>
      </c>
      <c r="J5924" s="475" t="s">
        <v>363</v>
      </c>
      <c r="K5924" s="365">
        <v>2.67</v>
      </c>
      <c r="L5924" s="475" t="s">
        <v>141</v>
      </c>
      <c r="M5924" s="473"/>
    </row>
    <row r="5925" spans="1:13" ht="13.5">
      <c r="A5925" s="475" t="s">
        <v>5496</v>
      </c>
      <c r="B5925" s="475" t="s">
        <v>5726</v>
      </c>
      <c r="C5925" s="475" t="s">
        <v>5730</v>
      </c>
      <c r="D5925" s="475" t="s">
        <v>5731</v>
      </c>
      <c r="E5925" s="476" t="s">
        <v>34</v>
      </c>
      <c r="F5925" s="475" t="s">
        <v>34</v>
      </c>
      <c r="G5925" s="364">
        <v>100245</v>
      </c>
      <c r="H5925" s="475" t="s">
        <v>15280</v>
      </c>
      <c r="I5925" s="475" t="s">
        <v>15271</v>
      </c>
      <c r="J5925" s="475" t="s">
        <v>363</v>
      </c>
      <c r="K5925" s="365">
        <v>5.35</v>
      </c>
      <c r="L5925" s="475" t="s">
        <v>141</v>
      </c>
      <c r="M5925" s="473"/>
    </row>
    <row r="5926" spans="1:13" ht="13.5">
      <c r="A5926" s="475" t="s">
        <v>5496</v>
      </c>
      <c r="B5926" s="475" t="s">
        <v>5726</v>
      </c>
      <c r="C5926" s="475" t="s">
        <v>5730</v>
      </c>
      <c r="D5926" s="475" t="s">
        <v>5731</v>
      </c>
      <c r="E5926" s="476" t="s">
        <v>34</v>
      </c>
      <c r="F5926" s="475" t="s">
        <v>34</v>
      </c>
      <c r="G5926" s="364">
        <v>100246</v>
      </c>
      <c r="H5926" s="475" t="s">
        <v>15281</v>
      </c>
      <c r="I5926" s="475" t="s">
        <v>15271</v>
      </c>
      <c r="J5926" s="475" t="s">
        <v>363</v>
      </c>
      <c r="K5926" s="365">
        <v>1.78</v>
      </c>
      <c r="L5926" s="475" t="s">
        <v>141</v>
      </c>
      <c r="M5926" s="473"/>
    </row>
    <row r="5927" spans="1:13" ht="13.5">
      <c r="A5927" s="475" t="s">
        <v>5496</v>
      </c>
      <c r="B5927" s="475" t="s">
        <v>5726</v>
      </c>
      <c r="C5927" s="475" t="s">
        <v>5730</v>
      </c>
      <c r="D5927" s="475" t="s">
        <v>5731</v>
      </c>
      <c r="E5927" s="476" t="s">
        <v>34</v>
      </c>
      <c r="F5927" s="475" t="s">
        <v>34</v>
      </c>
      <c r="G5927" s="364">
        <v>100247</v>
      </c>
      <c r="H5927" s="475" t="s">
        <v>15282</v>
      </c>
      <c r="I5927" s="475" t="s">
        <v>15271</v>
      </c>
      <c r="J5927" s="475" t="s">
        <v>363</v>
      </c>
      <c r="K5927" s="365">
        <v>2.23</v>
      </c>
      <c r="L5927" s="475" t="s">
        <v>141</v>
      </c>
      <c r="M5927" s="473"/>
    </row>
    <row r="5928" spans="1:13" ht="13.5">
      <c r="A5928" s="475" t="s">
        <v>5496</v>
      </c>
      <c r="B5928" s="475" t="s">
        <v>5726</v>
      </c>
      <c r="C5928" s="475" t="s">
        <v>5730</v>
      </c>
      <c r="D5928" s="475" t="s">
        <v>5731</v>
      </c>
      <c r="E5928" s="476" t="s">
        <v>34</v>
      </c>
      <c r="F5928" s="475" t="s">
        <v>34</v>
      </c>
      <c r="G5928" s="364">
        <v>100248</v>
      </c>
      <c r="H5928" s="475" t="s">
        <v>15283</v>
      </c>
      <c r="I5928" s="475" t="s">
        <v>15271</v>
      </c>
      <c r="J5928" s="475" t="s">
        <v>363</v>
      </c>
      <c r="K5928" s="365">
        <v>8.7799999999999994</v>
      </c>
      <c r="L5928" s="475" t="s">
        <v>141</v>
      </c>
      <c r="M5928" s="473"/>
    </row>
    <row r="5929" spans="1:13" ht="13.5">
      <c r="A5929" s="475" t="s">
        <v>5496</v>
      </c>
      <c r="B5929" s="475" t="s">
        <v>5726</v>
      </c>
      <c r="C5929" s="475" t="s">
        <v>5730</v>
      </c>
      <c r="D5929" s="475" t="s">
        <v>5731</v>
      </c>
      <c r="E5929" s="476" t="s">
        <v>34</v>
      </c>
      <c r="F5929" s="475" t="s">
        <v>34</v>
      </c>
      <c r="G5929" s="364">
        <v>100249</v>
      </c>
      <c r="H5929" s="475" t="s">
        <v>15284</v>
      </c>
      <c r="I5929" s="475" t="s">
        <v>15271</v>
      </c>
      <c r="J5929" s="475" t="s">
        <v>363</v>
      </c>
      <c r="K5929" s="365">
        <v>1.78</v>
      </c>
      <c r="L5929" s="475" t="s">
        <v>141</v>
      </c>
      <c r="M5929" s="473"/>
    </row>
    <row r="5930" spans="1:13" ht="13.5">
      <c r="A5930" s="475" t="s">
        <v>5496</v>
      </c>
      <c r="B5930" s="475" t="s">
        <v>5726</v>
      </c>
      <c r="C5930" s="475" t="s">
        <v>5730</v>
      </c>
      <c r="D5930" s="475" t="s">
        <v>5731</v>
      </c>
      <c r="E5930" s="476" t="s">
        <v>34</v>
      </c>
      <c r="F5930" s="475" t="s">
        <v>34</v>
      </c>
      <c r="G5930" s="364">
        <v>100250</v>
      </c>
      <c r="H5930" s="475" t="s">
        <v>15285</v>
      </c>
      <c r="I5930" s="475" t="s">
        <v>15271</v>
      </c>
      <c r="J5930" s="475" t="s">
        <v>363</v>
      </c>
      <c r="K5930" s="365">
        <v>2.97</v>
      </c>
      <c r="L5930" s="475" t="s">
        <v>141</v>
      </c>
      <c r="M5930" s="473"/>
    </row>
    <row r="5931" spans="1:13" ht="13.5">
      <c r="A5931" s="475" t="s">
        <v>5496</v>
      </c>
      <c r="B5931" s="475" t="s">
        <v>5726</v>
      </c>
      <c r="C5931" s="475" t="s">
        <v>5730</v>
      </c>
      <c r="D5931" s="475" t="s">
        <v>5731</v>
      </c>
      <c r="E5931" s="476" t="s">
        <v>34</v>
      </c>
      <c r="F5931" s="475" t="s">
        <v>34</v>
      </c>
      <c r="G5931" s="364">
        <v>100251</v>
      </c>
      <c r="H5931" s="475" t="s">
        <v>15286</v>
      </c>
      <c r="I5931" s="475" t="s">
        <v>15271</v>
      </c>
      <c r="J5931" s="475" t="s">
        <v>363</v>
      </c>
      <c r="K5931" s="365">
        <v>8.7799999999999994</v>
      </c>
      <c r="L5931" s="475" t="s">
        <v>141</v>
      </c>
      <c r="M5931" s="473"/>
    </row>
    <row r="5932" spans="1:13" ht="13.5">
      <c r="A5932" s="475" t="s">
        <v>5496</v>
      </c>
      <c r="B5932" s="475" t="s">
        <v>5726</v>
      </c>
      <c r="C5932" s="475" t="s">
        <v>5730</v>
      </c>
      <c r="D5932" s="475" t="s">
        <v>5731</v>
      </c>
      <c r="E5932" s="476" t="s">
        <v>34</v>
      </c>
      <c r="F5932" s="475" t="s">
        <v>34</v>
      </c>
      <c r="G5932" s="364">
        <v>100252</v>
      </c>
      <c r="H5932" s="475" t="s">
        <v>15287</v>
      </c>
      <c r="I5932" s="475" t="s">
        <v>15271</v>
      </c>
      <c r="J5932" s="475" t="s">
        <v>363</v>
      </c>
      <c r="K5932" s="365">
        <v>13.17</v>
      </c>
      <c r="L5932" s="475" t="s">
        <v>141</v>
      </c>
      <c r="M5932" s="473"/>
    </row>
    <row r="5933" spans="1:13" ht="13.5">
      <c r="A5933" s="475" t="s">
        <v>5496</v>
      </c>
      <c r="B5933" s="475" t="s">
        <v>5726</v>
      </c>
      <c r="C5933" s="475" t="s">
        <v>5730</v>
      </c>
      <c r="D5933" s="475" t="s">
        <v>5731</v>
      </c>
      <c r="E5933" s="476" t="s">
        <v>34</v>
      </c>
      <c r="F5933" s="475" t="s">
        <v>34</v>
      </c>
      <c r="G5933" s="364">
        <v>100253</v>
      </c>
      <c r="H5933" s="475" t="s">
        <v>15288</v>
      </c>
      <c r="I5933" s="475" t="s">
        <v>15271</v>
      </c>
      <c r="J5933" s="475" t="s">
        <v>363</v>
      </c>
      <c r="K5933" s="365">
        <v>17.57</v>
      </c>
      <c r="L5933" s="475" t="s">
        <v>141</v>
      </c>
      <c r="M5933" s="473"/>
    </row>
    <row r="5934" spans="1:13" ht="13.5">
      <c r="A5934" s="475" t="s">
        <v>5496</v>
      </c>
      <c r="B5934" s="475" t="s">
        <v>5726</v>
      </c>
      <c r="C5934" s="475" t="s">
        <v>5730</v>
      </c>
      <c r="D5934" s="475" t="s">
        <v>5731</v>
      </c>
      <c r="E5934" s="476" t="s">
        <v>34</v>
      </c>
      <c r="F5934" s="475" t="s">
        <v>34</v>
      </c>
      <c r="G5934" s="364">
        <v>100254</v>
      </c>
      <c r="H5934" s="475" t="s">
        <v>15289</v>
      </c>
      <c r="I5934" s="475" t="s">
        <v>15271</v>
      </c>
      <c r="J5934" s="475" t="s">
        <v>363</v>
      </c>
      <c r="K5934" s="365">
        <v>26.35</v>
      </c>
      <c r="L5934" s="475" t="s">
        <v>141</v>
      </c>
      <c r="M5934" s="473"/>
    </row>
    <row r="5935" spans="1:13" ht="13.5">
      <c r="A5935" s="475" t="s">
        <v>5496</v>
      </c>
      <c r="B5935" s="475" t="s">
        <v>5726</v>
      </c>
      <c r="C5935" s="475" t="s">
        <v>5730</v>
      </c>
      <c r="D5935" s="475" t="s">
        <v>5731</v>
      </c>
      <c r="E5935" s="476" t="s">
        <v>34</v>
      </c>
      <c r="F5935" s="475" t="s">
        <v>34</v>
      </c>
      <c r="G5935" s="364">
        <v>100255</v>
      </c>
      <c r="H5935" s="475" t="s">
        <v>15290</v>
      </c>
      <c r="I5935" s="475" t="s">
        <v>15271</v>
      </c>
      <c r="J5935" s="475" t="s">
        <v>363</v>
      </c>
      <c r="K5935" s="365">
        <v>8.91</v>
      </c>
      <c r="L5935" s="475" t="s">
        <v>141</v>
      </c>
      <c r="M5935" s="473"/>
    </row>
    <row r="5936" spans="1:13" ht="13.5">
      <c r="A5936" s="475" t="s">
        <v>5496</v>
      </c>
      <c r="B5936" s="475" t="s">
        <v>5726</v>
      </c>
      <c r="C5936" s="475" t="s">
        <v>5730</v>
      </c>
      <c r="D5936" s="475" t="s">
        <v>5731</v>
      </c>
      <c r="E5936" s="476" t="s">
        <v>34</v>
      </c>
      <c r="F5936" s="475" t="s">
        <v>34</v>
      </c>
      <c r="G5936" s="364">
        <v>100256</v>
      </c>
      <c r="H5936" s="475" t="s">
        <v>15291</v>
      </c>
      <c r="I5936" s="475" t="s">
        <v>15271</v>
      </c>
      <c r="J5936" s="475" t="s">
        <v>363</v>
      </c>
      <c r="K5936" s="365">
        <v>5.94</v>
      </c>
      <c r="L5936" s="475" t="s">
        <v>141</v>
      </c>
      <c r="M5936" s="473"/>
    </row>
    <row r="5937" spans="1:13" ht="13.5">
      <c r="A5937" s="475" t="s">
        <v>5496</v>
      </c>
      <c r="B5937" s="475" t="s">
        <v>5726</v>
      </c>
      <c r="C5937" s="475" t="s">
        <v>5730</v>
      </c>
      <c r="D5937" s="475" t="s">
        <v>5731</v>
      </c>
      <c r="E5937" s="476" t="s">
        <v>34</v>
      </c>
      <c r="F5937" s="475" t="s">
        <v>34</v>
      </c>
      <c r="G5937" s="364">
        <v>100257</v>
      </c>
      <c r="H5937" s="475" t="s">
        <v>15292</v>
      </c>
      <c r="I5937" s="475" t="s">
        <v>15271</v>
      </c>
      <c r="J5937" s="475" t="s">
        <v>363</v>
      </c>
      <c r="K5937" s="365">
        <v>3.56</v>
      </c>
      <c r="L5937" s="475" t="s">
        <v>141</v>
      </c>
      <c r="M5937" s="473"/>
    </row>
    <row r="5938" spans="1:13" ht="13.5">
      <c r="A5938" s="475" t="s">
        <v>5496</v>
      </c>
      <c r="B5938" s="475" t="s">
        <v>5726</v>
      </c>
      <c r="C5938" s="475" t="s">
        <v>5730</v>
      </c>
      <c r="D5938" s="475" t="s">
        <v>5731</v>
      </c>
      <c r="E5938" s="476" t="s">
        <v>34</v>
      </c>
      <c r="F5938" s="475" t="s">
        <v>34</v>
      </c>
      <c r="G5938" s="364">
        <v>100258</v>
      </c>
      <c r="H5938" s="475" t="s">
        <v>15293</v>
      </c>
      <c r="I5938" s="475" t="s">
        <v>15271</v>
      </c>
      <c r="J5938" s="475" t="s">
        <v>363</v>
      </c>
      <c r="K5938" s="365">
        <v>8.91</v>
      </c>
      <c r="L5938" s="475" t="s">
        <v>141</v>
      </c>
      <c r="M5938" s="473"/>
    </row>
    <row r="5939" spans="1:13" ht="13.5">
      <c r="A5939" s="475" t="s">
        <v>5496</v>
      </c>
      <c r="B5939" s="475" t="s">
        <v>5726</v>
      </c>
      <c r="C5939" s="475" t="s">
        <v>5730</v>
      </c>
      <c r="D5939" s="475" t="s">
        <v>5731</v>
      </c>
      <c r="E5939" s="476" t="s">
        <v>34</v>
      </c>
      <c r="F5939" s="475" t="s">
        <v>34</v>
      </c>
      <c r="G5939" s="364">
        <v>100259</v>
      </c>
      <c r="H5939" s="475" t="s">
        <v>15294</v>
      </c>
      <c r="I5939" s="475" t="s">
        <v>15271</v>
      </c>
      <c r="J5939" s="475" t="s">
        <v>363</v>
      </c>
      <c r="K5939" s="365">
        <v>17.57</v>
      </c>
      <c r="L5939" s="475" t="s">
        <v>141</v>
      </c>
      <c r="M5939" s="473"/>
    </row>
    <row r="5940" spans="1:13" ht="13.5">
      <c r="A5940" s="475" t="s">
        <v>5496</v>
      </c>
      <c r="B5940" s="475" t="s">
        <v>5726</v>
      </c>
      <c r="C5940" s="475" t="s">
        <v>5730</v>
      </c>
      <c r="D5940" s="475" t="s">
        <v>5731</v>
      </c>
      <c r="E5940" s="476" t="s">
        <v>34</v>
      </c>
      <c r="F5940" s="475" t="s">
        <v>34</v>
      </c>
      <c r="G5940" s="364">
        <v>100260</v>
      </c>
      <c r="H5940" s="475" t="s">
        <v>15295</v>
      </c>
      <c r="I5940" s="475" t="s">
        <v>15226</v>
      </c>
      <c r="J5940" s="475" t="s">
        <v>363</v>
      </c>
      <c r="K5940" s="365">
        <v>5.79</v>
      </c>
      <c r="L5940" s="475" t="s">
        <v>141</v>
      </c>
      <c r="M5940" s="473"/>
    </row>
    <row r="5941" spans="1:13" ht="13.5">
      <c r="A5941" s="475" t="s">
        <v>5496</v>
      </c>
      <c r="B5941" s="475" t="s">
        <v>5726</v>
      </c>
      <c r="C5941" s="475" t="s">
        <v>5730</v>
      </c>
      <c r="D5941" s="475" t="s">
        <v>5731</v>
      </c>
      <c r="E5941" s="476" t="s">
        <v>34</v>
      </c>
      <c r="F5941" s="475" t="s">
        <v>34</v>
      </c>
      <c r="G5941" s="364">
        <v>100261</v>
      </c>
      <c r="H5941" s="475" t="s">
        <v>15296</v>
      </c>
      <c r="I5941" s="475" t="s">
        <v>15226</v>
      </c>
      <c r="J5941" s="475" t="s">
        <v>363</v>
      </c>
      <c r="K5941" s="365">
        <v>3.64</v>
      </c>
      <c r="L5941" s="475" t="s">
        <v>141</v>
      </c>
      <c r="M5941" s="473"/>
    </row>
    <row r="5942" spans="1:13" ht="13.5">
      <c r="A5942" s="475" t="s">
        <v>5496</v>
      </c>
      <c r="B5942" s="475" t="s">
        <v>5726</v>
      </c>
      <c r="C5942" s="475" t="s">
        <v>5730</v>
      </c>
      <c r="D5942" s="475" t="s">
        <v>5731</v>
      </c>
      <c r="E5942" s="476" t="s">
        <v>34</v>
      </c>
      <c r="F5942" s="475" t="s">
        <v>34</v>
      </c>
      <c r="G5942" s="364">
        <v>100262</v>
      </c>
      <c r="H5942" s="475" t="s">
        <v>15297</v>
      </c>
      <c r="I5942" s="475" t="s">
        <v>15226</v>
      </c>
      <c r="J5942" s="475" t="s">
        <v>363</v>
      </c>
      <c r="K5942" s="365">
        <v>2.25</v>
      </c>
      <c r="L5942" s="475" t="s">
        <v>141</v>
      </c>
      <c r="M5942" s="473"/>
    </row>
    <row r="5943" spans="1:13" ht="13.5">
      <c r="A5943" s="475" t="s">
        <v>5496</v>
      </c>
      <c r="B5943" s="475" t="s">
        <v>5726</v>
      </c>
      <c r="C5943" s="475" t="s">
        <v>5730</v>
      </c>
      <c r="D5943" s="475" t="s">
        <v>5731</v>
      </c>
      <c r="E5943" s="476" t="s">
        <v>34</v>
      </c>
      <c r="F5943" s="475" t="s">
        <v>34</v>
      </c>
      <c r="G5943" s="364">
        <v>100263</v>
      </c>
      <c r="H5943" s="475" t="s">
        <v>15298</v>
      </c>
      <c r="I5943" s="475" t="s">
        <v>15226</v>
      </c>
      <c r="J5943" s="475" t="s">
        <v>363</v>
      </c>
      <c r="K5943" s="365">
        <v>1.44</v>
      </c>
      <c r="L5943" s="475" t="s">
        <v>141</v>
      </c>
      <c r="M5943" s="473"/>
    </row>
    <row r="5944" spans="1:13" ht="13.5">
      <c r="A5944" s="475" t="s">
        <v>5496</v>
      </c>
      <c r="B5944" s="475" t="s">
        <v>5726</v>
      </c>
      <c r="C5944" s="475" t="s">
        <v>5730</v>
      </c>
      <c r="D5944" s="475" t="s">
        <v>5731</v>
      </c>
      <c r="E5944" s="476" t="s">
        <v>34</v>
      </c>
      <c r="F5944" s="475" t="s">
        <v>34</v>
      </c>
      <c r="G5944" s="364">
        <v>100264</v>
      </c>
      <c r="H5944" s="475" t="s">
        <v>15299</v>
      </c>
      <c r="I5944" s="475" t="s">
        <v>15253</v>
      </c>
      <c r="J5944" s="475" t="s">
        <v>363</v>
      </c>
      <c r="K5944" s="365">
        <v>26.31</v>
      </c>
      <c r="L5944" s="475" t="s">
        <v>141</v>
      </c>
      <c r="M5944" s="473"/>
    </row>
    <row r="5945" spans="1:13" ht="13.5">
      <c r="A5945" s="475" t="s">
        <v>5496</v>
      </c>
      <c r="B5945" s="475" t="s">
        <v>5726</v>
      </c>
      <c r="C5945" s="475" t="s">
        <v>5730</v>
      </c>
      <c r="D5945" s="475" t="s">
        <v>5731</v>
      </c>
      <c r="E5945" s="476" t="s">
        <v>34</v>
      </c>
      <c r="F5945" s="475" t="s">
        <v>34</v>
      </c>
      <c r="G5945" s="364">
        <v>100265</v>
      </c>
      <c r="H5945" s="475" t="s">
        <v>15300</v>
      </c>
      <c r="I5945" s="475" t="s">
        <v>322</v>
      </c>
      <c r="J5945" s="475" t="s">
        <v>363</v>
      </c>
      <c r="K5945" s="365">
        <v>0.55000000000000004</v>
      </c>
      <c r="L5945" s="475" t="s">
        <v>141</v>
      </c>
      <c r="M5945" s="473"/>
    </row>
    <row r="5946" spans="1:13" ht="13.5">
      <c r="A5946" s="475" t="s">
        <v>5496</v>
      </c>
      <c r="B5946" s="475" t="s">
        <v>5726</v>
      </c>
      <c r="C5946" s="475" t="s">
        <v>5730</v>
      </c>
      <c r="D5946" s="475" t="s">
        <v>5731</v>
      </c>
      <c r="E5946" s="476" t="s">
        <v>34</v>
      </c>
      <c r="F5946" s="475" t="s">
        <v>34</v>
      </c>
      <c r="G5946" s="364">
        <v>100266</v>
      </c>
      <c r="H5946" s="475" t="s">
        <v>15301</v>
      </c>
      <c r="I5946" s="475" t="s">
        <v>15240</v>
      </c>
      <c r="J5946" s="475" t="s">
        <v>363</v>
      </c>
      <c r="K5946" s="365">
        <v>55.92</v>
      </c>
      <c r="L5946" s="475" t="s">
        <v>141</v>
      </c>
      <c r="M5946" s="473"/>
    </row>
    <row r="5947" spans="1:13" ht="13.5">
      <c r="A5947" s="475" t="s">
        <v>5496</v>
      </c>
      <c r="B5947" s="475" t="s">
        <v>5726</v>
      </c>
      <c r="C5947" s="475" t="s">
        <v>5730</v>
      </c>
      <c r="D5947" s="475" t="s">
        <v>5731</v>
      </c>
      <c r="E5947" s="476" t="s">
        <v>34</v>
      </c>
      <c r="F5947" s="475" t="s">
        <v>34</v>
      </c>
      <c r="G5947" s="364">
        <v>100267</v>
      </c>
      <c r="H5947" s="475" t="s">
        <v>15302</v>
      </c>
      <c r="I5947" s="475" t="s">
        <v>171</v>
      </c>
      <c r="J5947" s="475" t="s">
        <v>363</v>
      </c>
      <c r="K5947" s="365">
        <v>1.1000000000000001</v>
      </c>
      <c r="L5947" s="475" t="s">
        <v>141</v>
      </c>
      <c r="M5947" s="473"/>
    </row>
    <row r="5948" spans="1:13" ht="13.5">
      <c r="A5948" s="475" t="s">
        <v>5496</v>
      </c>
      <c r="B5948" s="475" t="s">
        <v>5726</v>
      </c>
      <c r="C5948" s="475" t="s">
        <v>5730</v>
      </c>
      <c r="D5948" s="475" t="s">
        <v>5731</v>
      </c>
      <c r="E5948" s="476" t="s">
        <v>34</v>
      </c>
      <c r="F5948" s="475" t="s">
        <v>34</v>
      </c>
      <c r="G5948" s="364">
        <v>100268</v>
      </c>
      <c r="H5948" s="475" t="s">
        <v>15303</v>
      </c>
      <c r="I5948" s="475" t="s">
        <v>15240</v>
      </c>
      <c r="J5948" s="475" t="s">
        <v>363</v>
      </c>
      <c r="K5948" s="365">
        <v>55.92</v>
      </c>
      <c r="L5948" s="475" t="s">
        <v>141</v>
      </c>
      <c r="M5948" s="473"/>
    </row>
    <row r="5949" spans="1:13" ht="13.5">
      <c r="A5949" s="475" t="s">
        <v>5496</v>
      </c>
      <c r="B5949" s="475" t="s">
        <v>5726</v>
      </c>
      <c r="C5949" s="475" t="s">
        <v>5730</v>
      </c>
      <c r="D5949" s="475" t="s">
        <v>5731</v>
      </c>
      <c r="E5949" s="476" t="s">
        <v>34</v>
      </c>
      <c r="F5949" s="475" t="s">
        <v>34</v>
      </c>
      <c r="G5949" s="364">
        <v>100269</v>
      </c>
      <c r="H5949" s="475" t="s">
        <v>15304</v>
      </c>
      <c r="I5949" s="475" t="s">
        <v>171</v>
      </c>
      <c r="J5949" s="475" t="s">
        <v>363</v>
      </c>
      <c r="K5949" s="365">
        <v>1.1000000000000001</v>
      </c>
      <c r="L5949" s="475" t="s">
        <v>141</v>
      </c>
      <c r="M5949" s="473"/>
    </row>
    <row r="5950" spans="1:13" ht="13.5">
      <c r="A5950" s="475" t="s">
        <v>5496</v>
      </c>
      <c r="B5950" s="475" t="s">
        <v>5726</v>
      </c>
      <c r="C5950" s="475" t="s">
        <v>5730</v>
      </c>
      <c r="D5950" s="475" t="s">
        <v>5731</v>
      </c>
      <c r="E5950" s="476" t="s">
        <v>34</v>
      </c>
      <c r="F5950" s="475" t="s">
        <v>34</v>
      </c>
      <c r="G5950" s="364">
        <v>100270</v>
      </c>
      <c r="H5950" s="475" t="s">
        <v>15305</v>
      </c>
      <c r="I5950" s="475" t="s">
        <v>15240</v>
      </c>
      <c r="J5950" s="475" t="s">
        <v>363</v>
      </c>
      <c r="K5950" s="365">
        <v>41.92</v>
      </c>
      <c r="L5950" s="475" t="s">
        <v>141</v>
      </c>
      <c r="M5950" s="473"/>
    </row>
    <row r="5951" spans="1:13" ht="13.5">
      <c r="A5951" s="475" t="s">
        <v>5496</v>
      </c>
      <c r="B5951" s="475" t="s">
        <v>5726</v>
      </c>
      <c r="C5951" s="475" t="s">
        <v>5730</v>
      </c>
      <c r="D5951" s="475" t="s">
        <v>5731</v>
      </c>
      <c r="E5951" s="476" t="s">
        <v>34</v>
      </c>
      <c r="F5951" s="475" t="s">
        <v>34</v>
      </c>
      <c r="G5951" s="364">
        <v>100271</v>
      </c>
      <c r="H5951" s="475" t="s">
        <v>15306</v>
      </c>
      <c r="I5951" s="475" t="s">
        <v>15253</v>
      </c>
      <c r="J5951" s="475" t="s">
        <v>363</v>
      </c>
      <c r="K5951" s="365">
        <v>41.94</v>
      </c>
      <c r="L5951" s="475" t="s">
        <v>141</v>
      </c>
      <c r="M5951" s="473"/>
    </row>
    <row r="5952" spans="1:13" ht="13.5">
      <c r="A5952" s="475" t="s">
        <v>5496</v>
      </c>
      <c r="B5952" s="475" t="s">
        <v>5726</v>
      </c>
      <c r="C5952" s="475" t="s">
        <v>5730</v>
      </c>
      <c r="D5952" s="475" t="s">
        <v>5731</v>
      </c>
      <c r="E5952" s="476" t="s">
        <v>34</v>
      </c>
      <c r="F5952" s="475" t="s">
        <v>34</v>
      </c>
      <c r="G5952" s="364">
        <v>100272</v>
      </c>
      <c r="H5952" s="475" t="s">
        <v>15307</v>
      </c>
      <c r="I5952" s="475" t="s">
        <v>322</v>
      </c>
      <c r="J5952" s="475" t="s">
        <v>363</v>
      </c>
      <c r="K5952" s="365">
        <v>0.83</v>
      </c>
      <c r="L5952" s="475" t="s">
        <v>141</v>
      </c>
      <c r="M5952" s="473"/>
    </row>
    <row r="5953" spans="1:13" ht="13.5">
      <c r="A5953" s="475" t="s">
        <v>5496</v>
      </c>
      <c r="B5953" s="475" t="s">
        <v>5726</v>
      </c>
      <c r="C5953" s="475" t="s">
        <v>5730</v>
      </c>
      <c r="D5953" s="475" t="s">
        <v>5731</v>
      </c>
      <c r="E5953" s="476" t="s">
        <v>34</v>
      </c>
      <c r="F5953" s="475" t="s">
        <v>34</v>
      </c>
      <c r="G5953" s="364">
        <v>100273</v>
      </c>
      <c r="H5953" s="475" t="s">
        <v>15308</v>
      </c>
      <c r="I5953" s="475" t="s">
        <v>15226</v>
      </c>
      <c r="J5953" s="475" t="s">
        <v>363</v>
      </c>
      <c r="K5953" s="365">
        <v>2.1800000000000002</v>
      </c>
      <c r="L5953" s="475" t="s">
        <v>141</v>
      </c>
      <c r="M5953" s="473"/>
    </row>
    <row r="5954" spans="1:13" ht="13.5">
      <c r="A5954" s="475" t="s">
        <v>5496</v>
      </c>
      <c r="B5954" s="475" t="s">
        <v>5726</v>
      </c>
      <c r="C5954" s="475" t="s">
        <v>5730</v>
      </c>
      <c r="D5954" s="475" t="s">
        <v>5731</v>
      </c>
      <c r="E5954" s="476" t="s">
        <v>34</v>
      </c>
      <c r="F5954" s="475" t="s">
        <v>34</v>
      </c>
      <c r="G5954" s="364">
        <v>100274</v>
      </c>
      <c r="H5954" s="475" t="s">
        <v>15309</v>
      </c>
      <c r="I5954" s="475" t="s">
        <v>15253</v>
      </c>
      <c r="J5954" s="475" t="s">
        <v>363</v>
      </c>
      <c r="K5954" s="365">
        <v>18.649999999999999</v>
      </c>
      <c r="L5954" s="475" t="s">
        <v>141</v>
      </c>
      <c r="M5954" s="473"/>
    </row>
    <row r="5955" spans="1:13" ht="13.5">
      <c r="A5955" s="475" t="s">
        <v>5496</v>
      </c>
      <c r="B5955" s="475" t="s">
        <v>5726</v>
      </c>
      <c r="C5955" s="475" t="s">
        <v>5730</v>
      </c>
      <c r="D5955" s="475" t="s">
        <v>5731</v>
      </c>
      <c r="E5955" s="476" t="s">
        <v>34</v>
      </c>
      <c r="F5955" s="475" t="s">
        <v>34</v>
      </c>
      <c r="G5955" s="364">
        <v>100275</v>
      </c>
      <c r="H5955" s="475" t="s">
        <v>15310</v>
      </c>
      <c r="I5955" s="475" t="s">
        <v>15253</v>
      </c>
      <c r="J5955" s="475" t="s">
        <v>363</v>
      </c>
      <c r="K5955" s="365">
        <v>12.05</v>
      </c>
      <c r="L5955" s="475" t="s">
        <v>141</v>
      </c>
      <c r="M5955" s="473"/>
    </row>
    <row r="5956" spans="1:13" ht="13.5">
      <c r="A5956" s="475" t="s">
        <v>5496</v>
      </c>
      <c r="B5956" s="475" t="s">
        <v>5726</v>
      </c>
      <c r="C5956" s="475" t="s">
        <v>5730</v>
      </c>
      <c r="D5956" s="475" t="s">
        <v>5731</v>
      </c>
      <c r="E5956" s="476" t="s">
        <v>34</v>
      </c>
      <c r="F5956" s="475" t="s">
        <v>34</v>
      </c>
      <c r="G5956" s="364">
        <v>100276</v>
      </c>
      <c r="H5956" s="475" t="s">
        <v>15311</v>
      </c>
      <c r="I5956" s="475" t="s">
        <v>15253</v>
      </c>
      <c r="J5956" s="475" t="s">
        <v>363</v>
      </c>
      <c r="K5956" s="365">
        <v>22</v>
      </c>
      <c r="L5956" s="475" t="s">
        <v>141</v>
      </c>
      <c r="M5956" s="473"/>
    </row>
    <row r="5957" spans="1:13" ht="13.5">
      <c r="A5957" s="475" t="s">
        <v>5496</v>
      </c>
      <c r="B5957" s="475" t="s">
        <v>5726</v>
      </c>
      <c r="C5957" s="475" t="s">
        <v>5730</v>
      </c>
      <c r="D5957" s="475" t="s">
        <v>5731</v>
      </c>
      <c r="E5957" s="476" t="s">
        <v>34</v>
      </c>
      <c r="F5957" s="475" t="s">
        <v>34</v>
      </c>
      <c r="G5957" s="364">
        <v>100277</v>
      </c>
      <c r="H5957" s="475" t="s">
        <v>15312</v>
      </c>
      <c r="I5957" s="475" t="s">
        <v>15253</v>
      </c>
      <c r="J5957" s="475" t="s">
        <v>140</v>
      </c>
      <c r="K5957" s="365">
        <v>1.48</v>
      </c>
      <c r="L5957" s="475" t="s">
        <v>141</v>
      </c>
      <c r="M5957" s="473"/>
    </row>
    <row r="5958" spans="1:13" ht="13.5">
      <c r="A5958" s="475" t="s">
        <v>5496</v>
      </c>
      <c r="B5958" s="475" t="s">
        <v>5726</v>
      </c>
      <c r="C5958" s="475" t="s">
        <v>5730</v>
      </c>
      <c r="D5958" s="475" t="s">
        <v>5731</v>
      </c>
      <c r="E5958" s="476" t="s">
        <v>34</v>
      </c>
      <c r="F5958" s="475" t="s">
        <v>34</v>
      </c>
      <c r="G5958" s="364">
        <v>100278</v>
      </c>
      <c r="H5958" s="475" t="s">
        <v>15313</v>
      </c>
      <c r="I5958" s="475" t="s">
        <v>15240</v>
      </c>
      <c r="J5958" s="475" t="s">
        <v>363</v>
      </c>
      <c r="K5958" s="365">
        <v>26.75</v>
      </c>
      <c r="L5958" s="475" t="s">
        <v>141</v>
      </c>
      <c r="M5958" s="473"/>
    </row>
    <row r="5959" spans="1:13" ht="13.5">
      <c r="A5959" s="475" t="s">
        <v>5496</v>
      </c>
      <c r="B5959" s="475" t="s">
        <v>5726</v>
      </c>
      <c r="C5959" s="475" t="s">
        <v>5730</v>
      </c>
      <c r="D5959" s="475" t="s">
        <v>5731</v>
      </c>
      <c r="E5959" s="476" t="s">
        <v>34</v>
      </c>
      <c r="F5959" s="475" t="s">
        <v>34</v>
      </c>
      <c r="G5959" s="364">
        <v>100279</v>
      </c>
      <c r="H5959" s="475" t="s">
        <v>15314</v>
      </c>
      <c r="I5959" s="475" t="s">
        <v>171</v>
      </c>
      <c r="J5959" s="475" t="s">
        <v>363</v>
      </c>
      <c r="K5959" s="365">
        <v>0.51</v>
      </c>
      <c r="L5959" s="475" t="s">
        <v>141</v>
      </c>
      <c r="M5959" s="473"/>
    </row>
    <row r="5960" spans="1:13" ht="13.5">
      <c r="A5960" s="475" t="s">
        <v>5496</v>
      </c>
      <c r="B5960" s="475" t="s">
        <v>5726</v>
      </c>
      <c r="C5960" s="475" t="s">
        <v>5730</v>
      </c>
      <c r="D5960" s="475" t="s">
        <v>5731</v>
      </c>
      <c r="E5960" s="476" t="s">
        <v>34</v>
      </c>
      <c r="F5960" s="475" t="s">
        <v>34</v>
      </c>
      <c r="G5960" s="364">
        <v>100280</v>
      </c>
      <c r="H5960" s="475" t="s">
        <v>15315</v>
      </c>
      <c r="I5960" s="475" t="s">
        <v>15240</v>
      </c>
      <c r="J5960" s="475" t="s">
        <v>363</v>
      </c>
      <c r="K5960" s="365">
        <v>12.28</v>
      </c>
      <c r="L5960" s="475" t="s">
        <v>141</v>
      </c>
      <c r="M5960" s="473"/>
    </row>
    <row r="5961" spans="1:13" ht="13.5">
      <c r="A5961" s="475" t="s">
        <v>5496</v>
      </c>
      <c r="B5961" s="475" t="s">
        <v>5726</v>
      </c>
      <c r="C5961" s="475" t="s">
        <v>5730</v>
      </c>
      <c r="D5961" s="475" t="s">
        <v>5731</v>
      </c>
      <c r="E5961" s="476" t="s">
        <v>34</v>
      </c>
      <c r="F5961" s="475" t="s">
        <v>34</v>
      </c>
      <c r="G5961" s="364">
        <v>100281</v>
      </c>
      <c r="H5961" s="475" t="s">
        <v>15316</v>
      </c>
      <c r="I5961" s="475" t="s">
        <v>15240</v>
      </c>
      <c r="J5961" s="475" t="s">
        <v>140</v>
      </c>
      <c r="K5961" s="365">
        <v>2.84</v>
      </c>
      <c r="L5961" s="475" t="s">
        <v>141</v>
      </c>
      <c r="M5961" s="473"/>
    </row>
    <row r="5962" spans="1:13" ht="13.5">
      <c r="A5962" s="475" t="s">
        <v>5496</v>
      </c>
      <c r="B5962" s="475" t="s">
        <v>5726</v>
      </c>
      <c r="C5962" s="475" t="s">
        <v>5730</v>
      </c>
      <c r="D5962" s="475" t="s">
        <v>5731</v>
      </c>
      <c r="E5962" s="476" t="s">
        <v>34</v>
      </c>
      <c r="F5962" s="475" t="s">
        <v>34</v>
      </c>
      <c r="G5962" s="364">
        <v>100282</v>
      </c>
      <c r="H5962" s="475" t="s">
        <v>15317</v>
      </c>
      <c r="I5962" s="475" t="s">
        <v>15253</v>
      </c>
      <c r="J5962" s="475" t="s">
        <v>363</v>
      </c>
      <c r="K5962" s="365">
        <v>104.78</v>
      </c>
      <c r="L5962" s="475" t="s">
        <v>141</v>
      </c>
      <c r="M5962" s="473"/>
    </row>
    <row r="5963" spans="1:13" ht="13.5">
      <c r="A5963" s="475" t="s">
        <v>5496</v>
      </c>
      <c r="B5963" s="475" t="s">
        <v>5726</v>
      </c>
      <c r="C5963" s="475" t="s">
        <v>5730</v>
      </c>
      <c r="D5963" s="475" t="s">
        <v>5731</v>
      </c>
      <c r="E5963" s="476" t="s">
        <v>34</v>
      </c>
      <c r="F5963" s="475" t="s">
        <v>34</v>
      </c>
      <c r="G5963" s="364">
        <v>100283</v>
      </c>
      <c r="H5963" s="475" t="s">
        <v>15318</v>
      </c>
      <c r="I5963" s="475" t="s">
        <v>15253</v>
      </c>
      <c r="J5963" s="475" t="s">
        <v>363</v>
      </c>
      <c r="K5963" s="365">
        <v>16.920000000000002</v>
      </c>
      <c r="L5963" s="475" t="s">
        <v>141</v>
      </c>
      <c r="M5963" s="473"/>
    </row>
    <row r="5964" spans="1:13" ht="13.5">
      <c r="A5964" s="475" t="s">
        <v>5496</v>
      </c>
      <c r="B5964" s="475" t="s">
        <v>5726</v>
      </c>
      <c r="C5964" s="475" t="s">
        <v>5730</v>
      </c>
      <c r="D5964" s="475" t="s">
        <v>5731</v>
      </c>
      <c r="E5964" s="476" t="s">
        <v>34</v>
      </c>
      <c r="F5964" s="475" t="s">
        <v>34</v>
      </c>
      <c r="G5964" s="364">
        <v>100284</v>
      </c>
      <c r="H5964" s="475" t="s">
        <v>15319</v>
      </c>
      <c r="I5964" s="475" t="s">
        <v>15253</v>
      </c>
      <c r="J5964" s="475" t="s">
        <v>140</v>
      </c>
      <c r="K5964" s="365">
        <v>8.2899999999999991</v>
      </c>
      <c r="L5964" s="475" t="s">
        <v>141</v>
      </c>
      <c r="M5964" s="473"/>
    </row>
    <row r="5965" spans="1:13" ht="13.5">
      <c r="A5965" s="475" t="s">
        <v>5496</v>
      </c>
      <c r="B5965" s="475" t="s">
        <v>5726</v>
      </c>
      <c r="C5965" s="475" t="s">
        <v>5730</v>
      </c>
      <c r="D5965" s="475" t="s">
        <v>5731</v>
      </c>
      <c r="E5965" s="476" t="s">
        <v>34</v>
      </c>
      <c r="F5965" s="475" t="s">
        <v>34</v>
      </c>
      <c r="G5965" s="364">
        <v>100285</v>
      </c>
      <c r="H5965" s="475" t="s">
        <v>15320</v>
      </c>
      <c r="I5965" s="475" t="s">
        <v>15271</v>
      </c>
      <c r="J5965" s="475" t="s">
        <v>363</v>
      </c>
      <c r="K5965" s="365">
        <v>28.15</v>
      </c>
      <c r="L5965" s="475" t="s">
        <v>141</v>
      </c>
      <c r="M5965" s="473"/>
    </row>
    <row r="5966" spans="1:13" ht="13.5">
      <c r="A5966" s="475" t="s">
        <v>5496</v>
      </c>
      <c r="B5966" s="475" t="s">
        <v>5726</v>
      </c>
      <c r="C5966" s="475" t="s">
        <v>5730</v>
      </c>
      <c r="D5966" s="475" t="s">
        <v>5731</v>
      </c>
      <c r="E5966" s="476" t="s">
        <v>34</v>
      </c>
      <c r="F5966" s="475" t="s">
        <v>34</v>
      </c>
      <c r="G5966" s="364">
        <v>100286</v>
      </c>
      <c r="H5966" s="475" t="s">
        <v>15321</v>
      </c>
      <c r="I5966" s="475" t="s">
        <v>15271</v>
      </c>
      <c r="J5966" s="475" t="s">
        <v>363</v>
      </c>
      <c r="K5966" s="365">
        <v>9.17</v>
      </c>
      <c r="L5966" s="475" t="s">
        <v>141</v>
      </c>
      <c r="M5966" s="473"/>
    </row>
    <row r="5967" spans="1:13" ht="13.5">
      <c r="A5967" s="475" t="s">
        <v>5496</v>
      </c>
      <c r="B5967" s="475" t="s">
        <v>5726</v>
      </c>
      <c r="C5967" s="475" t="s">
        <v>5730</v>
      </c>
      <c r="D5967" s="475" t="s">
        <v>5731</v>
      </c>
      <c r="E5967" s="476" t="s">
        <v>34</v>
      </c>
      <c r="F5967" s="475" t="s">
        <v>34</v>
      </c>
      <c r="G5967" s="364">
        <v>100287</v>
      </c>
      <c r="H5967" s="475" t="s">
        <v>15322</v>
      </c>
      <c r="I5967" s="475" t="s">
        <v>15271</v>
      </c>
      <c r="J5967" s="475" t="s">
        <v>363</v>
      </c>
      <c r="K5967" s="365">
        <v>8.7799999999999994</v>
      </c>
      <c r="L5967" s="475" t="s">
        <v>141</v>
      </c>
      <c r="M5967" s="473"/>
    </row>
    <row r="5968" spans="1:13" ht="13.5">
      <c r="A5968" s="475" t="s">
        <v>5496</v>
      </c>
      <c r="B5968" s="475" t="s">
        <v>5726</v>
      </c>
      <c r="C5968" s="475" t="s">
        <v>5732</v>
      </c>
      <c r="D5968" s="475" t="s">
        <v>5733</v>
      </c>
      <c r="E5968" s="476" t="s">
        <v>34</v>
      </c>
      <c r="F5968" s="475" t="s">
        <v>34</v>
      </c>
      <c r="G5968" s="364">
        <v>84117</v>
      </c>
      <c r="H5968" s="475" t="s">
        <v>5003</v>
      </c>
      <c r="I5968" s="475" t="s">
        <v>322</v>
      </c>
      <c r="J5968" s="475" t="s">
        <v>337</v>
      </c>
      <c r="K5968" s="365">
        <v>17.88</v>
      </c>
      <c r="L5968" s="475" t="s">
        <v>141</v>
      </c>
      <c r="M5968" s="473"/>
    </row>
    <row r="5969" spans="1:13" ht="13.5">
      <c r="A5969" s="475" t="s">
        <v>5496</v>
      </c>
      <c r="B5969" s="475" t="s">
        <v>5726</v>
      </c>
      <c r="C5969" s="475" t="s">
        <v>5732</v>
      </c>
      <c r="D5969" s="475" t="s">
        <v>5733</v>
      </c>
      <c r="E5969" s="476" t="s">
        <v>34</v>
      </c>
      <c r="F5969" s="475" t="s">
        <v>34</v>
      </c>
      <c r="G5969" s="364">
        <v>84120</v>
      </c>
      <c r="H5969" s="475" t="s">
        <v>5004</v>
      </c>
      <c r="I5969" s="475" t="s">
        <v>322</v>
      </c>
      <c r="J5969" s="475" t="s">
        <v>337</v>
      </c>
      <c r="K5969" s="365">
        <v>12.61</v>
      </c>
      <c r="L5969" s="475" t="s">
        <v>141</v>
      </c>
      <c r="M5969" s="473"/>
    </row>
    <row r="5970" spans="1:13" ht="13.5">
      <c r="A5970" s="475" t="s">
        <v>5496</v>
      </c>
      <c r="B5970" s="475" t="s">
        <v>5726</v>
      </c>
      <c r="C5970" s="475" t="s">
        <v>5732</v>
      </c>
      <c r="D5970" s="475" t="s">
        <v>5733</v>
      </c>
      <c r="E5970" s="476" t="s">
        <v>34</v>
      </c>
      <c r="F5970" s="475" t="s">
        <v>34</v>
      </c>
      <c r="G5970" s="364">
        <v>99802</v>
      </c>
      <c r="H5970" s="475" t="s">
        <v>15323</v>
      </c>
      <c r="I5970" s="475" t="s">
        <v>322</v>
      </c>
      <c r="J5970" s="475" t="s">
        <v>363</v>
      </c>
      <c r="K5970" s="365">
        <v>0.35</v>
      </c>
      <c r="L5970" s="475" t="s">
        <v>141</v>
      </c>
      <c r="M5970" s="473"/>
    </row>
    <row r="5971" spans="1:13" ht="13.5">
      <c r="A5971" s="475" t="s">
        <v>5496</v>
      </c>
      <c r="B5971" s="475" t="s">
        <v>5726</v>
      </c>
      <c r="C5971" s="475" t="s">
        <v>5732</v>
      </c>
      <c r="D5971" s="475" t="s">
        <v>5733</v>
      </c>
      <c r="E5971" s="476" t="s">
        <v>34</v>
      </c>
      <c r="F5971" s="475" t="s">
        <v>34</v>
      </c>
      <c r="G5971" s="364">
        <v>99803</v>
      </c>
      <c r="H5971" s="475" t="s">
        <v>15324</v>
      </c>
      <c r="I5971" s="475" t="s">
        <v>322</v>
      </c>
      <c r="J5971" s="475" t="s">
        <v>363</v>
      </c>
      <c r="K5971" s="365">
        <v>1.39</v>
      </c>
      <c r="L5971" s="475" t="s">
        <v>141</v>
      </c>
      <c r="M5971" s="473"/>
    </row>
    <row r="5972" spans="1:13" ht="13.5">
      <c r="A5972" s="475" t="s">
        <v>5496</v>
      </c>
      <c r="B5972" s="475" t="s">
        <v>5726</v>
      </c>
      <c r="C5972" s="475" t="s">
        <v>5732</v>
      </c>
      <c r="D5972" s="475" t="s">
        <v>5733</v>
      </c>
      <c r="E5972" s="476" t="s">
        <v>34</v>
      </c>
      <c r="F5972" s="475" t="s">
        <v>34</v>
      </c>
      <c r="G5972" s="364">
        <v>99805</v>
      </c>
      <c r="H5972" s="475" t="s">
        <v>15325</v>
      </c>
      <c r="I5972" s="475" t="s">
        <v>322</v>
      </c>
      <c r="J5972" s="475" t="s">
        <v>337</v>
      </c>
      <c r="K5972" s="365">
        <v>7.25</v>
      </c>
      <c r="L5972" s="475" t="s">
        <v>141</v>
      </c>
      <c r="M5972" s="473"/>
    </row>
    <row r="5973" spans="1:13" ht="13.5">
      <c r="A5973" s="475" t="s">
        <v>5496</v>
      </c>
      <c r="B5973" s="475" t="s">
        <v>5726</v>
      </c>
      <c r="C5973" s="475" t="s">
        <v>5732</v>
      </c>
      <c r="D5973" s="475" t="s">
        <v>5733</v>
      </c>
      <c r="E5973" s="476" t="s">
        <v>34</v>
      </c>
      <c r="F5973" s="475" t="s">
        <v>34</v>
      </c>
      <c r="G5973" s="364">
        <v>99806</v>
      </c>
      <c r="H5973" s="475" t="s">
        <v>15326</v>
      </c>
      <c r="I5973" s="475" t="s">
        <v>322</v>
      </c>
      <c r="J5973" s="475" t="s">
        <v>363</v>
      </c>
      <c r="K5973" s="365">
        <v>0.56999999999999995</v>
      </c>
      <c r="L5973" s="475" t="s">
        <v>141</v>
      </c>
      <c r="M5973" s="473"/>
    </row>
    <row r="5974" spans="1:13" ht="13.5">
      <c r="A5974" s="475" t="s">
        <v>5496</v>
      </c>
      <c r="B5974" s="475" t="s">
        <v>5726</v>
      </c>
      <c r="C5974" s="475" t="s">
        <v>5732</v>
      </c>
      <c r="D5974" s="475" t="s">
        <v>5733</v>
      </c>
      <c r="E5974" s="476" t="s">
        <v>34</v>
      </c>
      <c r="F5974" s="475" t="s">
        <v>34</v>
      </c>
      <c r="G5974" s="364">
        <v>99808</v>
      </c>
      <c r="H5974" s="475" t="s">
        <v>15327</v>
      </c>
      <c r="I5974" s="475" t="s">
        <v>322</v>
      </c>
      <c r="J5974" s="475" t="s">
        <v>337</v>
      </c>
      <c r="K5974" s="365">
        <v>2.37</v>
      </c>
      <c r="L5974" s="475" t="s">
        <v>141</v>
      </c>
      <c r="M5974" s="473"/>
    </row>
    <row r="5975" spans="1:13" ht="13.5">
      <c r="A5975" s="475" t="s">
        <v>5496</v>
      </c>
      <c r="B5975" s="475" t="s">
        <v>5726</v>
      </c>
      <c r="C5975" s="475" t="s">
        <v>5732</v>
      </c>
      <c r="D5975" s="475" t="s">
        <v>5733</v>
      </c>
      <c r="E5975" s="476" t="s">
        <v>34</v>
      </c>
      <c r="F5975" s="475" t="s">
        <v>34</v>
      </c>
      <c r="G5975" s="364">
        <v>99809</v>
      </c>
      <c r="H5975" s="475" t="s">
        <v>15328</v>
      </c>
      <c r="I5975" s="475" t="s">
        <v>322</v>
      </c>
      <c r="J5975" s="475" t="s">
        <v>363</v>
      </c>
      <c r="K5975" s="365">
        <v>3.96</v>
      </c>
      <c r="L5975" s="475" t="s">
        <v>141</v>
      </c>
      <c r="M5975" s="473"/>
    </row>
    <row r="5976" spans="1:13" ht="13.5">
      <c r="A5976" s="475" t="s">
        <v>5496</v>
      </c>
      <c r="B5976" s="475" t="s">
        <v>5726</v>
      </c>
      <c r="C5976" s="475" t="s">
        <v>5732</v>
      </c>
      <c r="D5976" s="475" t="s">
        <v>5733</v>
      </c>
      <c r="E5976" s="476" t="s">
        <v>34</v>
      </c>
      <c r="F5976" s="475" t="s">
        <v>34</v>
      </c>
      <c r="G5976" s="364">
        <v>99811</v>
      </c>
      <c r="H5976" s="475" t="s">
        <v>15329</v>
      </c>
      <c r="I5976" s="475" t="s">
        <v>322</v>
      </c>
      <c r="J5976" s="475" t="s">
        <v>363</v>
      </c>
      <c r="K5976" s="365">
        <v>2.36</v>
      </c>
      <c r="L5976" s="475" t="s">
        <v>141</v>
      </c>
      <c r="M5976" s="473"/>
    </row>
    <row r="5977" spans="1:13" ht="13.5">
      <c r="A5977" s="475" t="s">
        <v>5496</v>
      </c>
      <c r="B5977" s="475" t="s">
        <v>5726</v>
      </c>
      <c r="C5977" s="475" t="s">
        <v>5732</v>
      </c>
      <c r="D5977" s="475" t="s">
        <v>5733</v>
      </c>
      <c r="E5977" s="476" t="s">
        <v>34</v>
      </c>
      <c r="F5977" s="475" t="s">
        <v>34</v>
      </c>
      <c r="G5977" s="364">
        <v>99812</v>
      </c>
      <c r="H5977" s="475" t="s">
        <v>15330</v>
      </c>
      <c r="I5977" s="475" t="s">
        <v>322</v>
      </c>
      <c r="J5977" s="475" t="s">
        <v>363</v>
      </c>
      <c r="K5977" s="365">
        <v>0.76</v>
      </c>
      <c r="L5977" s="475" t="s">
        <v>141</v>
      </c>
      <c r="M5977" s="473"/>
    </row>
    <row r="5978" spans="1:13" ht="13.5">
      <c r="A5978" s="475" t="s">
        <v>5496</v>
      </c>
      <c r="B5978" s="475" t="s">
        <v>5726</v>
      </c>
      <c r="C5978" s="475" t="s">
        <v>5732</v>
      </c>
      <c r="D5978" s="475" t="s">
        <v>5733</v>
      </c>
      <c r="E5978" s="476" t="s">
        <v>34</v>
      </c>
      <c r="F5978" s="475" t="s">
        <v>34</v>
      </c>
      <c r="G5978" s="364">
        <v>99814</v>
      </c>
      <c r="H5978" s="475" t="s">
        <v>15331</v>
      </c>
      <c r="I5978" s="475" t="s">
        <v>322</v>
      </c>
      <c r="J5978" s="475" t="s">
        <v>337</v>
      </c>
      <c r="K5978" s="365">
        <v>1.28</v>
      </c>
      <c r="L5978" s="475" t="s">
        <v>141</v>
      </c>
      <c r="M5978" s="473"/>
    </row>
    <row r="5979" spans="1:13" ht="13.5">
      <c r="A5979" s="475" t="s">
        <v>5496</v>
      </c>
      <c r="B5979" s="475" t="s">
        <v>5726</v>
      </c>
      <c r="C5979" s="475" t="s">
        <v>5732</v>
      </c>
      <c r="D5979" s="475" t="s">
        <v>5733</v>
      </c>
      <c r="E5979" s="476" t="s">
        <v>34</v>
      </c>
      <c r="F5979" s="475" t="s">
        <v>34</v>
      </c>
      <c r="G5979" s="364">
        <v>99822</v>
      </c>
      <c r="H5979" s="475" t="s">
        <v>15332</v>
      </c>
      <c r="I5979" s="475" t="s">
        <v>322</v>
      </c>
      <c r="J5979" s="475" t="s">
        <v>363</v>
      </c>
      <c r="K5979" s="365">
        <v>0.67</v>
      </c>
      <c r="L5979" s="475" t="s">
        <v>141</v>
      </c>
      <c r="M5979" s="473"/>
    </row>
    <row r="5980" spans="1:13" ht="13.5">
      <c r="A5980" s="475" t="s">
        <v>5496</v>
      </c>
      <c r="B5980" s="475" t="s">
        <v>5726</v>
      </c>
      <c r="C5980" s="475" t="s">
        <v>5732</v>
      </c>
      <c r="D5980" s="475" t="s">
        <v>5733</v>
      </c>
      <c r="E5980" s="476" t="s">
        <v>34</v>
      </c>
      <c r="F5980" s="475" t="s">
        <v>34</v>
      </c>
      <c r="G5980" s="364">
        <v>99826</v>
      </c>
      <c r="H5980" s="475" t="s">
        <v>15333</v>
      </c>
      <c r="I5980" s="475" t="s">
        <v>322</v>
      </c>
      <c r="J5980" s="475" t="s">
        <v>363</v>
      </c>
      <c r="K5980" s="365">
        <v>1.03</v>
      </c>
      <c r="L5980" s="475" t="s">
        <v>141</v>
      </c>
      <c r="M5980" s="473"/>
    </row>
    <row r="5981" spans="1:13" ht="13.5">
      <c r="A5981" s="475" t="s">
        <v>5496</v>
      </c>
      <c r="B5981" s="475" t="s">
        <v>5726</v>
      </c>
      <c r="C5981" s="475" t="s">
        <v>5734</v>
      </c>
      <c r="D5981" s="475" t="s">
        <v>5735</v>
      </c>
      <c r="E5981" s="476">
        <v>74163</v>
      </c>
      <c r="F5981" s="475" t="s">
        <v>5736</v>
      </c>
      <c r="G5981" s="364" t="s">
        <v>5005</v>
      </c>
      <c r="H5981" s="475" t="s">
        <v>5006</v>
      </c>
      <c r="I5981" s="475" t="s">
        <v>139</v>
      </c>
      <c r="J5981" s="475" t="s">
        <v>140</v>
      </c>
      <c r="K5981" s="365">
        <v>39.979999999999997</v>
      </c>
      <c r="L5981" s="475" t="s">
        <v>141</v>
      </c>
      <c r="M5981" s="473"/>
    </row>
    <row r="5982" spans="1:13" ht="13.5">
      <c r="A5982" s="475" t="s">
        <v>5496</v>
      </c>
      <c r="B5982" s="475" t="s">
        <v>5726</v>
      </c>
      <c r="C5982" s="475" t="s">
        <v>5734</v>
      </c>
      <c r="D5982" s="475" t="s">
        <v>5735</v>
      </c>
      <c r="E5982" s="476">
        <v>74163</v>
      </c>
      <c r="F5982" s="475" t="s">
        <v>5736</v>
      </c>
      <c r="G5982" s="364" t="s">
        <v>5007</v>
      </c>
      <c r="H5982" s="475" t="s">
        <v>5008</v>
      </c>
      <c r="I5982" s="475" t="s">
        <v>139</v>
      </c>
      <c r="J5982" s="475" t="s">
        <v>140</v>
      </c>
      <c r="K5982" s="365">
        <v>67.88</v>
      </c>
      <c r="L5982" s="475" t="s">
        <v>141</v>
      </c>
      <c r="M5982" s="473"/>
    </row>
    <row r="5983" spans="1:13" ht="13.5">
      <c r="A5983" s="475" t="s">
        <v>5496</v>
      </c>
      <c r="B5983" s="475" t="s">
        <v>5726</v>
      </c>
      <c r="C5983" s="475" t="s">
        <v>5734</v>
      </c>
      <c r="D5983" s="475" t="s">
        <v>5735</v>
      </c>
      <c r="E5983" s="476" t="s">
        <v>34</v>
      </c>
      <c r="F5983" s="475" t="s">
        <v>34</v>
      </c>
      <c r="G5983" s="364">
        <v>84127</v>
      </c>
      <c r="H5983" s="475" t="s">
        <v>5009</v>
      </c>
      <c r="I5983" s="475" t="s">
        <v>139</v>
      </c>
      <c r="J5983" s="475" t="s">
        <v>337</v>
      </c>
      <c r="K5983" s="365">
        <v>365.05</v>
      </c>
      <c r="L5983" s="475" t="s">
        <v>141</v>
      </c>
      <c r="M5983" s="473"/>
    </row>
    <row r="5984" spans="1:13" ht="13.5">
      <c r="A5984" s="475" t="s">
        <v>5496</v>
      </c>
      <c r="B5984" s="475" t="s">
        <v>5726</v>
      </c>
      <c r="C5984" s="475" t="s">
        <v>5737</v>
      </c>
      <c r="D5984" s="475" t="s">
        <v>5738</v>
      </c>
      <c r="E5984" s="476" t="s">
        <v>34</v>
      </c>
      <c r="F5984" s="475" t="s">
        <v>34</v>
      </c>
      <c r="G5984" s="364">
        <v>40841</v>
      </c>
      <c r="H5984" s="475" t="s">
        <v>5010</v>
      </c>
      <c r="I5984" s="475" t="s">
        <v>171</v>
      </c>
      <c r="J5984" s="475" t="s">
        <v>140</v>
      </c>
      <c r="K5984" s="365">
        <v>104.05</v>
      </c>
      <c r="L5984" s="475" t="s">
        <v>141</v>
      </c>
      <c r="M5984" s="473"/>
    </row>
    <row r="5985" spans="1:13" ht="13.5">
      <c r="A5985" s="475" t="s">
        <v>5496</v>
      </c>
      <c r="B5985" s="475" t="s">
        <v>5726</v>
      </c>
      <c r="C5985" s="475" t="s">
        <v>5739</v>
      </c>
      <c r="D5985" s="475" t="s">
        <v>5740</v>
      </c>
      <c r="E5985" s="476" t="s">
        <v>34</v>
      </c>
      <c r="F5985" s="475" t="s">
        <v>34</v>
      </c>
      <c r="G5985" s="364">
        <v>71516</v>
      </c>
      <c r="H5985" s="475" t="s">
        <v>5011</v>
      </c>
      <c r="I5985" s="475" t="s">
        <v>171</v>
      </c>
      <c r="J5985" s="475" t="s">
        <v>363</v>
      </c>
      <c r="K5985" s="365">
        <v>472.38</v>
      </c>
      <c r="L5985" s="475" t="s">
        <v>141</v>
      </c>
      <c r="M5985" s="473"/>
    </row>
    <row r="5986" spans="1:13" ht="13.5">
      <c r="A5986" s="475" t="s">
        <v>5496</v>
      </c>
      <c r="B5986" s="475" t="s">
        <v>5726</v>
      </c>
      <c r="C5986" s="475" t="s">
        <v>5739</v>
      </c>
      <c r="D5986" s="475" t="s">
        <v>5740</v>
      </c>
      <c r="E5986" s="476" t="s">
        <v>34</v>
      </c>
      <c r="F5986" s="475" t="s">
        <v>34</v>
      </c>
      <c r="G5986" s="364">
        <v>73361</v>
      </c>
      <c r="H5986" s="475" t="s">
        <v>5012</v>
      </c>
      <c r="I5986" s="475" t="s">
        <v>1261</v>
      </c>
      <c r="J5986" s="475" t="s">
        <v>140</v>
      </c>
      <c r="K5986" s="365">
        <v>370.16</v>
      </c>
      <c r="L5986" s="475" t="s">
        <v>141</v>
      </c>
      <c r="M5986" s="473"/>
    </row>
    <row r="5987" spans="1:13" ht="13.5">
      <c r="A5987" s="475" t="s">
        <v>5496</v>
      </c>
      <c r="B5987" s="475" t="s">
        <v>5726</v>
      </c>
      <c r="C5987" s="475" t="s">
        <v>5739</v>
      </c>
      <c r="D5987" s="475" t="s">
        <v>5740</v>
      </c>
      <c r="E5987" s="476" t="s">
        <v>34</v>
      </c>
      <c r="F5987" s="475" t="s">
        <v>34</v>
      </c>
      <c r="G5987" s="364">
        <v>73714</v>
      </c>
      <c r="H5987" s="475" t="s">
        <v>5013</v>
      </c>
      <c r="I5987" s="475" t="s">
        <v>171</v>
      </c>
      <c r="J5987" s="475" t="s">
        <v>140</v>
      </c>
      <c r="K5987" s="365">
        <v>1292.51</v>
      </c>
      <c r="L5987" s="475" t="s">
        <v>141</v>
      </c>
      <c r="M5987" s="473"/>
    </row>
    <row r="5988" spans="1:13" ht="13.5">
      <c r="A5988" s="475" t="s">
        <v>5496</v>
      </c>
      <c r="B5988" s="475" t="s">
        <v>5726</v>
      </c>
      <c r="C5988" s="475" t="s">
        <v>5739</v>
      </c>
      <c r="D5988" s="475" t="s">
        <v>5740</v>
      </c>
      <c r="E5988" s="476" t="s">
        <v>34</v>
      </c>
      <c r="F5988" s="475" t="s">
        <v>34</v>
      </c>
      <c r="G5988" s="364">
        <v>86957</v>
      </c>
      <c r="H5988" s="475" t="s">
        <v>5014</v>
      </c>
      <c r="I5988" s="475" t="s">
        <v>171</v>
      </c>
      <c r="J5988" s="475" t="s">
        <v>337</v>
      </c>
      <c r="K5988" s="365">
        <v>21.02</v>
      </c>
      <c r="L5988" s="475" t="s">
        <v>141</v>
      </c>
      <c r="M5988" s="473"/>
    </row>
    <row r="5989" spans="1:13" ht="13.5">
      <c r="A5989" s="475" t="s">
        <v>5496</v>
      </c>
      <c r="B5989" s="475" t="s">
        <v>5726</v>
      </c>
      <c r="C5989" s="475" t="s">
        <v>5739</v>
      </c>
      <c r="D5989" s="475" t="s">
        <v>5740</v>
      </c>
      <c r="E5989" s="476" t="s">
        <v>34</v>
      </c>
      <c r="F5989" s="475" t="s">
        <v>34</v>
      </c>
      <c r="G5989" s="364">
        <v>86958</v>
      </c>
      <c r="H5989" s="475" t="s">
        <v>5015</v>
      </c>
      <c r="I5989" s="475" t="s">
        <v>171</v>
      </c>
      <c r="J5989" s="475" t="s">
        <v>337</v>
      </c>
      <c r="K5989" s="365">
        <v>17.22</v>
      </c>
      <c r="L5989" s="475" t="s">
        <v>141</v>
      </c>
      <c r="M5989" s="473"/>
    </row>
    <row r="5990" spans="1:13" ht="13.5">
      <c r="A5990" s="475" t="s">
        <v>5496</v>
      </c>
      <c r="B5990" s="475" t="s">
        <v>5726</v>
      </c>
      <c r="C5990" s="475" t="s">
        <v>5739</v>
      </c>
      <c r="D5990" s="475" t="s">
        <v>5740</v>
      </c>
      <c r="E5990" s="476" t="s">
        <v>34</v>
      </c>
      <c r="F5990" s="475" t="s">
        <v>34</v>
      </c>
      <c r="G5990" s="364">
        <v>97010</v>
      </c>
      <c r="H5990" s="475" t="s">
        <v>5904</v>
      </c>
      <c r="I5990" s="475" t="s">
        <v>139</v>
      </c>
      <c r="J5990" s="475" t="s">
        <v>140</v>
      </c>
      <c r="K5990" s="365">
        <v>47.64</v>
      </c>
      <c r="L5990" s="475" t="s">
        <v>141</v>
      </c>
      <c r="M5990" s="473"/>
    </row>
    <row r="5991" spans="1:13" ht="13.5">
      <c r="A5991" s="475" t="s">
        <v>5496</v>
      </c>
      <c r="B5991" s="475" t="s">
        <v>5726</v>
      </c>
      <c r="C5991" s="475" t="s">
        <v>5739</v>
      </c>
      <c r="D5991" s="475" t="s">
        <v>5740</v>
      </c>
      <c r="E5991" s="476" t="s">
        <v>34</v>
      </c>
      <c r="F5991" s="475" t="s">
        <v>34</v>
      </c>
      <c r="G5991" s="364">
        <v>97011</v>
      </c>
      <c r="H5991" s="475" t="s">
        <v>5905</v>
      </c>
      <c r="I5991" s="475" t="s">
        <v>139</v>
      </c>
      <c r="J5991" s="475" t="s">
        <v>140</v>
      </c>
      <c r="K5991" s="365">
        <v>36.520000000000003</v>
      </c>
      <c r="L5991" s="475" t="s">
        <v>141</v>
      </c>
      <c r="M5991" s="473"/>
    </row>
    <row r="5992" spans="1:13" ht="13.5">
      <c r="A5992" s="475" t="s">
        <v>5496</v>
      </c>
      <c r="B5992" s="475" t="s">
        <v>5726</v>
      </c>
      <c r="C5992" s="475" t="s">
        <v>5739</v>
      </c>
      <c r="D5992" s="475" t="s">
        <v>5740</v>
      </c>
      <c r="E5992" s="476" t="s">
        <v>34</v>
      </c>
      <c r="F5992" s="475" t="s">
        <v>34</v>
      </c>
      <c r="G5992" s="364">
        <v>97012</v>
      </c>
      <c r="H5992" s="475" t="s">
        <v>5906</v>
      </c>
      <c r="I5992" s="475" t="s">
        <v>139</v>
      </c>
      <c r="J5992" s="475" t="s">
        <v>140</v>
      </c>
      <c r="K5992" s="365">
        <v>30.95</v>
      </c>
      <c r="L5992" s="475" t="s">
        <v>141</v>
      </c>
      <c r="M5992" s="473"/>
    </row>
    <row r="5993" spans="1:13" ht="13.5">
      <c r="A5993" s="475" t="s">
        <v>5496</v>
      </c>
      <c r="B5993" s="475" t="s">
        <v>5726</v>
      </c>
      <c r="C5993" s="475" t="s">
        <v>5739</v>
      </c>
      <c r="D5993" s="475" t="s">
        <v>5740</v>
      </c>
      <c r="E5993" s="476" t="s">
        <v>34</v>
      </c>
      <c r="F5993" s="475" t="s">
        <v>34</v>
      </c>
      <c r="G5993" s="364">
        <v>97013</v>
      </c>
      <c r="H5993" s="475" t="s">
        <v>5907</v>
      </c>
      <c r="I5993" s="475" t="s">
        <v>139</v>
      </c>
      <c r="J5993" s="475" t="s">
        <v>337</v>
      </c>
      <c r="K5993" s="365">
        <v>54.85</v>
      </c>
      <c r="L5993" s="475" t="s">
        <v>141</v>
      </c>
      <c r="M5993" s="473"/>
    </row>
    <row r="5994" spans="1:13" ht="13.5">
      <c r="A5994" s="475" t="s">
        <v>5496</v>
      </c>
      <c r="B5994" s="475" t="s">
        <v>5726</v>
      </c>
      <c r="C5994" s="475" t="s">
        <v>5739</v>
      </c>
      <c r="D5994" s="475" t="s">
        <v>5740</v>
      </c>
      <c r="E5994" s="476" t="s">
        <v>34</v>
      </c>
      <c r="F5994" s="475" t="s">
        <v>34</v>
      </c>
      <c r="G5994" s="364">
        <v>97014</v>
      </c>
      <c r="H5994" s="475" t="s">
        <v>5908</v>
      </c>
      <c r="I5994" s="475" t="s">
        <v>139</v>
      </c>
      <c r="J5994" s="475" t="s">
        <v>337</v>
      </c>
      <c r="K5994" s="365">
        <v>41.52</v>
      </c>
      <c r="L5994" s="475" t="s">
        <v>141</v>
      </c>
      <c r="M5994" s="473"/>
    </row>
    <row r="5995" spans="1:13" ht="13.5">
      <c r="A5995" s="475" t="s">
        <v>5496</v>
      </c>
      <c r="B5995" s="475" t="s">
        <v>5726</v>
      </c>
      <c r="C5995" s="475" t="s">
        <v>5739</v>
      </c>
      <c r="D5995" s="475" t="s">
        <v>5740</v>
      </c>
      <c r="E5995" s="476" t="s">
        <v>34</v>
      </c>
      <c r="F5995" s="475" t="s">
        <v>34</v>
      </c>
      <c r="G5995" s="364">
        <v>97015</v>
      </c>
      <c r="H5995" s="475" t="s">
        <v>5909</v>
      </c>
      <c r="I5995" s="475" t="s">
        <v>139</v>
      </c>
      <c r="J5995" s="475" t="s">
        <v>337</v>
      </c>
      <c r="K5995" s="365">
        <v>34.75</v>
      </c>
      <c r="L5995" s="475" t="s">
        <v>141</v>
      </c>
      <c r="M5995" s="473"/>
    </row>
    <row r="5996" spans="1:13" ht="13.5">
      <c r="A5996" s="475" t="s">
        <v>5496</v>
      </c>
      <c r="B5996" s="475" t="s">
        <v>5726</v>
      </c>
      <c r="C5996" s="475" t="s">
        <v>5739</v>
      </c>
      <c r="D5996" s="475" t="s">
        <v>5740</v>
      </c>
      <c r="E5996" s="476" t="s">
        <v>34</v>
      </c>
      <c r="F5996" s="475" t="s">
        <v>34</v>
      </c>
      <c r="G5996" s="364">
        <v>97016</v>
      </c>
      <c r="H5996" s="475" t="s">
        <v>5910</v>
      </c>
      <c r="I5996" s="475" t="s">
        <v>139</v>
      </c>
      <c r="J5996" s="475" t="s">
        <v>140</v>
      </c>
      <c r="K5996" s="365">
        <v>42.13</v>
      </c>
      <c r="L5996" s="475" t="s">
        <v>141</v>
      </c>
      <c r="M5996" s="473"/>
    </row>
    <row r="5997" spans="1:13" ht="13.5">
      <c r="A5997" s="475" t="s">
        <v>5496</v>
      </c>
      <c r="B5997" s="475" t="s">
        <v>5726</v>
      </c>
      <c r="C5997" s="475" t="s">
        <v>5739</v>
      </c>
      <c r="D5997" s="475" t="s">
        <v>5740</v>
      </c>
      <c r="E5997" s="476" t="s">
        <v>34</v>
      </c>
      <c r="F5997" s="475" t="s">
        <v>34</v>
      </c>
      <c r="G5997" s="364">
        <v>97017</v>
      </c>
      <c r="H5997" s="475" t="s">
        <v>5911</v>
      </c>
      <c r="I5997" s="475" t="s">
        <v>139</v>
      </c>
      <c r="J5997" s="475" t="s">
        <v>140</v>
      </c>
      <c r="K5997" s="365">
        <v>31.58</v>
      </c>
      <c r="L5997" s="475" t="s">
        <v>141</v>
      </c>
      <c r="M5997" s="473"/>
    </row>
    <row r="5998" spans="1:13" ht="13.5">
      <c r="A5998" s="475" t="s">
        <v>5496</v>
      </c>
      <c r="B5998" s="475" t="s">
        <v>5726</v>
      </c>
      <c r="C5998" s="475" t="s">
        <v>5739</v>
      </c>
      <c r="D5998" s="475" t="s">
        <v>5740</v>
      </c>
      <c r="E5998" s="476" t="s">
        <v>34</v>
      </c>
      <c r="F5998" s="475" t="s">
        <v>34</v>
      </c>
      <c r="G5998" s="364">
        <v>97018</v>
      </c>
      <c r="H5998" s="475" t="s">
        <v>5912</v>
      </c>
      <c r="I5998" s="475" t="s">
        <v>139</v>
      </c>
      <c r="J5998" s="475" t="s">
        <v>140</v>
      </c>
      <c r="K5998" s="365">
        <v>26.08</v>
      </c>
      <c r="L5998" s="475" t="s">
        <v>141</v>
      </c>
      <c r="M5998" s="473"/>
    </row>
    <row r="5999" spans="1:13" ht="13.5">
      <c r="A5999" s="475" t="s">
        <v>5496</v>
      </c>
      <c r="B5999" s="475" t="s">
        <v>5726</v>
      </c>
      <c r="C5999" s="475" t="s">
        <v>5739</v>
      </c>
      <c r="D5999" s="475" t="s">
        <v>5740</v>
      </c>
      <c r="E5999" s="476" t="s">
        <v>34</v>
      </c>
      <c r="F5999" s="475" t="s">
        <v>34</v>
      </c>
      <c r="G5999" s="364">
        <v>97031</v>
      </c>
      <c r="H5999" s="475" t="s">
        <v>5913</v>
      </c>
      <c r="I5999" s="475" t="s">
        <v>139</v>
      </c>
      <c r="J5999" s="475" t="s">
        <v>140</v>
      </c>
      <c r="K5999" s="365">
        <v>66.73</v>
      </c>
      <c r="L5999" s="475" t="s">
        <v>141</v>
      </c>
      <c r="M5999" s="473"/>
    </row>
    <row r="6000" spans="1:13" ht="13.5">
      <c r="A6000" s="475" t="s">
        <v>5496</v>
      </c>
      <c r="B6000" s="475" t="s">
        <v>5726</v>
      </c>
      <c r="C6000" s="475" t="s">
        <v>5739</v>
      </c>
      <c r="D6000" s="475" t="s">
        <v>5740</v>
      </c>
      <c r="E6000" s="476" t="s">
        <v>34</v>
      </c>
      <c r="F6000" s="475" t="s">
        <v>34</v>
      </c>
      <c r="G6000" s="364">
        <v>97032</v>
      </c>
      <c r="H6000" s="475" t="s">
        <v>7803</v>
      </c>
      <c r="I6000" s="475" t="s">
        <v>139</v>
      </c>
      <c r="J6000" s="475" t="s">
        <v>140</v>
      </c>
      <c r="K6000" s="365">
        <v>40.96</v>
      </c>
      <c r="L6000" s="475" t="s">
        <v>141</v>
      </c>
      <c r="M6000" s="473"/>
    </row>
    <row r="6001" spans="1:13" ht="13.5">
      <c r="A6001" s="475" t="s">
        <v>5496</v>
      </c>
      <c r="B6001" s="475" t="s">
        <v>5726</v>
      </c>
      <c r="C6001" s="475" t="s">
        <v>5739</v>
      </c>
      <c r="D6001" s="475" t="s">
        <v>5740</v>
      </c>
      <c r="E6001" s="476" t="s">
        <v>34</v>
      </c>
      <c r="F6001" s="475" t="s">
        <v>34</v>
      </c>
      <c r="G6001" s="364">
        <v>97033</v>
      </c>
      <c r="H6001" s="475" t="s">
        <v>6705</v>
      </c>
      <c r="I6001" s="475" t="s">
        <v>139</v>
      </c>
      <c r="J6001" s="475" t="s">
        <v>140</v>
      </c>
      <c r="K6001" s="365">
        <v>72.86</v>
      </c>
      <c r="L6001" s="475" t="s">
        <v>141</v>
      </c>
      <c r="M6001" s="473"/>
    </row>
    <row r="6002" spans="1:13" ht="13.5">
      <c r="A6002" s="475" t="s">
        <v>5496</v>
      </c>
      <c r="B6002" s="475" t="s">
        <v>5726</v>
      </c>
      <c r="C6002" s="475" t="s">
        <v>5739</v>
      </c>
      <c r="D6002" s="475" t="s">
        <v>5740</v>
      </c>
      <c r="E6002" s="476" t="s">
        <v>34</v>
      </c>
      <c r="F6002" s="475" t="s">
        <v>34</v>
      </c>
      <c r="G6002" s="364">
        <v>97034</v>
      </c>
      <c r="H6002" s="475" t="s">
        <v>6706</v>
      </c>
      <c r="I6002" s="475" t="s">
        <v>139</v>
      </c>
      <c r="J6002" s="475" t="s">
        <v>140</v>
      </c>
      <c r="K6002" s="365">
        <v>43.4</v>
      </c>
      <c r="L6002" s="475" t="s">
        <v>141</v>
      </c>
      <c r="M6002" s="473"/>
    </row>
    <row r="6003" spans="1:13" ht="13.5">
      <c r="A6003" s="475" t="s">
        <v>5496</v>
      </c>
      <c r="B6003" s="475" t="s">
        <v>5726</v>
      </c>
      <c r="C6003" s="475" t="s">
        <v>5739</v>
      </c>
      <c r="D6003" s="475" t="s">
        <v>5740</v>
      </c>
      <c r="E6003" s="476" t="s">
        <v>34</v>
      </c>
      <c r="F6003" s="475" t="s">
        <v>34</v>
      </c>
      <c r="G6003" s="364">
        <v>97039</v>
      </c>
      <c r="H6003" s="475" t="s">
        <v>5914</v>
      </c>
      <c r="I6003" s="475" t="s">
        <v>322</v>
      </c>
      <c r="J6003" s="475" t="s">
        <v>337</v>
      </c>
      <c r="K6003" s="365">
        <v>27.17</v>
      </c>
      <c r="L6003" s="475" t="s">
        <v>141</v>
      </c>
      <c r="M6003" s="473"/>
    </row>
    <row r="6004" spans="1:13" ht="13.5">
      <c r="A6004" s="475" t="s">
        <v>5496</v>
      </c>
      <c r="B6004" s="475" t="s">
        <v>5726</v>
      </c>
      <c r="C6004" s="475" t="s">
        <v>5739</v>
      </c>
      <c r="D6004" s="475" t="s">
        <v>5740</v>
      </c>
      <c r="E6004" s="476" t="s">
        <v>34</v>
      </c>
      <c r="F6004" s="475" t="s">
        <v>34</v>
      </c>
      <c r="G6004" s="364">
        <v>97040</v>
      </c>
      <c r="H6004" s="475" t="s">
        <v>5915</v>
      </c>
      <c r="I6004" s="475" t="s">
        <v>322</v>
      </c>
      <c r="J6004" s="475" t="s">
        <v>337</v>
      </c>
      <c r="K6004" s="365">
        <v>10.220000000000001</v>
      </c>
      <c r="L6004" s="475" t="s">
        <v>141</v>
      </c>
      <c r="M6004" s="473"/>
    </row>
    <row r="6005" spans="1:13" ht="13.5">
      <c r="A6005" s="475" t="s">
        <v>5496</v>
      </c>
      <c r="B6005" s="475" t="s">
        <v>5726</v>
      </c>
      <c r="C6005" s="475" t="s">
        <v>5739</v>
      </c>
      <c r="D6005" s="475" t="s">
        <v>5740</v>
      </c>
      <c r="E6005" s="476" t="s">
        <v>34</v>
      </c>
      <c r="F6005" s="475" t="s">
        <v>34</v>
      </c>
      <c r="G6005" s="364">
        <v>97041</v>
      </c>
      <c r="H6005" s="475" t="s">
        <v>5916</v>
      </c>
      <c r="I6005" s="475" t="s">
        <v>322</v>
      </c>
      <c r="J6005" s="475" t="s">
        <v>337</v>
      </c>
      <c r="K6005" s="365">
        <v>146.31</v>
      </c>
      <c r="L6005" s="475" t="s">
        <v>141</v>
      </c>
      <c r="M6005" s="473"/>
    </row>
    <row r="6006" spans="1:13" ht="13.5">
      <c r="A6006" s="475" t="s">
        <v>5496</v>
      </c>
      <c r="B6006" s="475" t="s">
        <v>5726</v>
      </c>
      <c r="C6006" s="475" t="s">
        <v>5739</v>
      </c>
      <c r="D6006" s="475" t="s">
        <v>5740</v>
      </c>
      <c r="E6006" s="476" t="s">
        <v>34</v>
      </c>
      <c r="F6006" s="475" t="s">
        <v>34</v>
      </c>
      <c r="G6006" s="364">
        <v>97046</v>
      </c>
      <c r="H6006" s="475" t="s">
        <v>6707</v>
      </c>
      <c r="I6006" s="475" t="s">
        <v>322</v>
      </c>
      <c r="J6006" s="475" t="s">
        <v>140</v>
      </c>
      <c r="K6006" s="365">
        <v>0.26</v>
      </c>
      <c r="L6006" s="475" t="s">
        <v>141</v>
      </c>
      <c r="M6006" s="473"/>
    </row>
    <row r="6007" spans="1:13" ht="13.5">
      <c r="A6007" s="475" t="s">
        <v>5496</v>
      </c>
      <c r="B6007" s="475" t="s">
        <v>5726</v>
      </c>
      <c r="C6007" s="475" t="s">
        <v>5739</v>
      </c>
      <c r="D6007" s="475" t="s">
        <v>5740</v>
      </c>
      <c r="E6007" s="476" t="s">
        <v>34</v>
      </c>
      <c r="F6007" s="475" t="s">
        <v>34</v>
      </c>
      <c r="G6007" s="364">
        <v>97047</v>
      </c>
      <c r="H6007" s="475" t="s">
        <v>6708</v>
      </c>
      <c r="I6007" s="475" t="s">
        <v>322</v>
      </c>
      <c r="J6007" s="475" t="s">
        <v>140</v>
      </c>
      <c r="K6007" s="365">
        <v>0.1</v>
      </c>
      <c r="L6007" s="475" t="s">
        <v>141</v>
      </c>
      <c r="M6007" s="473"/>
    </row>
    <row r="6008" spans="1:13" ht="13.5">
      <c r="A6008" s="475" t="s">
        <v>5496</v>
      </c>
      <c r="B6008" s="475" t="s">
        <v>5726</v>
      </c>
      <c r="C6008" s="475" t="s">
        <v>5739</v>
      </c>
      <c r="D6008" s="475" t="s">
        <v>5740</v>
      </c>
      <c r="E6008" s="476" t="s">
        <v>34</v>
      </c>
      <c r="F6008" s="475" t="s">
        <v>34</v>
      </c>
      <c r="G6008" s="364">
        <v>97048</v>
      </c>
      <c r="H6008" s="475" t="s">
        <v>6709</v>
      </c>
      <c r="I6008" s="475" t="s">
        <v>322</v>
      </c>
      <c r="J6008" s="475" t="s">
        <v>140</v>
      </c>
      <c r="K6008" s="365">
        <v>7.0000000000000007E-2</v>
      </c>
      <c r="L6008" s="475" t="s">
        <v>141</v>
      </c>
      <c r="M6008" s="473"/>
    </row>
    <row r="6009" spans="1:13" ht="13.5">
      <c r="A6009" s="475" t="s">
        <v>5496</v>
      </c>
      <c r="B6009" s="475" t="s">
        <v>5726</v>
      </c>
      <c r="C6009" s="475" t="s">
        <v>5739</v>
      </c>
      <c r="D6009" s="475" t="s">
        <v>5740</v>
      </c>
      <c r="E6009" s="476" t="s">
        <v>34</v>
      </c>
      <c r="F6009" s="475" t="s">
        <v>34</v>
      </c>
      <c r="G6009" s="364">
        <v>97051</v>
      </c>
      <c r="H6009" s="475" t="s">
        <v>6326</v>
      </c>
      <c r="I6009" s="475" t="s">
        <v>139</v>
      </c>
      <c r="J6009" s="475" t="s">
        <v>140</v>
      </c>
      <c r="K6009" s="365">
        <v>0.49</v>
      </c>
      <c r="L6009" s="475" t="s">
        <v>141</v>
      </c>
      <c r="M6009" s="473"/>
    </row>
    <row r="6010" spans="1:13" ht="13.5">
      <c r="A6010" s="475" t="s">
        <v>5496</v>
      </c>
      <c r="B6010" s="475" t="s">
        <v>5726</v>
      </c>
      <c r="C6010" s="475" t="s">
        <v>5739</v>
      </c>
      <c r="D6010" s="475" t="s">
        <v>5740</v>
      </c>
      <c r="E6010" s="476" t="s">
        <v>34</v>
      </c>
      <c r="F6010" s="475" t="s">
        <v>34</v>
      </c>
      <c r="G6010" s="364">
        <v>97053</v>
      </c>
      <c r="H6010" s="475" t="s">
        <v>6327</v>
      </c>
      <c r="I6010" s="475" t="s">
        <v>139</v>
      </c>
      <c r="J6010" s="475" t="s">
        <v>140</v>
      </c>
      <c r="K6010" s="365">
        <v>24.13</v>
      </c>
      <c r="L6010" s="475" t="s">
        <v>141</v>
      </c>
      <c r="M6010" s="473"/>
    </row>
    <row r="6011" spans="1:13" ht="13.5">
      <c r="A6011" s="475" t="s">
        <v>5496</v>
      </c>
      <c r="B6011" s="475" t="s">
        <v>5726</v>
      </c>
      <c r="C6011" s="475" t="s">
        <v>5739</v>
      </c>
      <c r="D6011" s="475" t="s">
        <v>5740</v>
      </c>
      <c r="E6011" s="476" t="s">
        <v>34</v>
      </c>
      <c r="F6011" s="475" t="s">
        <v>34</v>
      </c>
      <c r="G6011" s="364">
        <v>97062</v>
      </c>
      <c r="H6011" s="475" t="s">
        <v>5917</v>
      </c>
      <c r="I6011" s="475" t="s">
        <v>322</v>
      </c>
      <c r="J6011" s="475" t="s">
        <v>140</v>
      </c>
      <c r="K6011" s="365">
        <v>5.04</v>
      </c>
      <c r="L6011" s="475" t="s">
        <v>141</v>
      </c>
      <c r="M6011" s="473"/>
    </row>
    <row r="6012" spans="1:13" ht="13.5">
      <c r="A6012" s="475" t="s">
        <v>5496</v>
      </c>
      <c r="B6012" s="475" t="s">
        <v>5726</v>
      </c>
      <c r="C6012" s="475" t="s">
        <v>5739</v>
      </c>
      <c r="D6012" s="475" t="s">
        <v>5740</v>
      </c>
      <c r="E6012" s="476" t="s">
        <v>34</v>
      </c>
      <c r="F6012" s="475" t="s">
        <v>34</v>
      </c>
      <c r="G6012" s="364">
        <v>97063</v>
      </c>
      <c r="H6012" s="475" t="s">
        <v>5918</v>
      </c>
      <c r="I6012" s="475" t="s">
        <v>322</v>
      </c>
      <c r="J6012" s="475" t="s">
        <v>337</v>
      </c>
      <c r="K6012" s="365">
        <v>6.65</v>
      </c>
      <c r="L6012" s="475" t="s">
        <v>141</v>
      </c>
      <c r="M6012" s="473"/>
    </row>
    <row r="6013" spans="1:13" ht="13.5">
      <c r="A6013" s="475" t="s">
        <v>5496</v>
      </c>
      <c r="B6013" s="475" t="s">
        <v>5726</v>
      </c>
      <c r="C6013" s="475" t="s">
        <v>5739</v>
      </c>
      <c r="D6013" s="475" t="s">
        <v>5740</v>
      </c>
      <c r="E6013" s="476" t="s">
        <v>34</v>
      </c>
      <c r="F6013" s="475" t="s">
        <v>34</v>
      </c>
      <c r="G6013" s="364">
        <v>97064</v>
      </c>
      <c r="H6013" s="475" t="s">
        <v>5919</v>
      </c>
      <c r="I6013" s="475" t="s">
        <v>139</v>
      </c>
      <c r="J6013" s="475" t="s">
        <v>337</v>
      </c>
      <c r="K6013" s="365">
        <v>12.33</v>
      </c>
      <c r="L6013" s="475" t="s">
        <v>141</v>
      </c>
      <c r="M6013" s="473"/>
    </row>
    <row r="6014" spans="1:13" ht="13.5">
      <c r="A6014" s="475" t="s">
        <v>5496</v>
      </c>
      <c r="B6014" s="475" t="s">
        <v>5726</v>
      </c>
      <c r="C6014" s="475" t="s">
        <v>5739</v>
      </c>
      <c r="D6014" s="475" t="s">
        <v>5740</v>
      </c>
      <c r="E6014" s="476" t="s">
        <v>34</v>
      </c>
      <c r="F6014" s="475" t="s">
        <v>34</v>
      </c>
      <c r="G6014" s="364">
        <v>97065</v>
      </c>
      <c r="H6014" s="475" t="s">
        <v>5920</v>
      </c>
      <c r="I6014" s="475" t="s">
        <v>1261</v>
      </c>
      <c r="J6014" s="475" t="s">
        <v>337</v>
      </c>
      <c r="K6014" s="365">
        <v>4.32</v>
      </c>
      <c r="L6014" s="475" t="s">
        <v>141</v>
      </c>
      <c r="M6014" s="473"/>
    </row>
    <row r="6015" spans="1:13" ht="13.5">
      <c r="A6015" s="475" t="s">
        <v>5496</v>
      </c>
      <c r="B6015" s="475" t="s">
        <v>5726</v>
      </c>
      <c r="C6015" s="475" t="s">
        <v>5739</v>
      </c>
      <c r="D6015" s="475" t="s">
        <v>5740</v>
      </c>
      <c r="E6015" s="476" t="s">
        <v>34</v>
      </c>
      <c r="F6015" s="475" t="s">
        <v>34</v>
      </c>
      <c r="G6015" s="364">
        <v>97066</v>
      </c>
      <c r="H6015" s="475" t="s">
        <v>7804</v>
      </c>
      <c r="I6015" s="475" t="s">
        <v>322</v>
      </c>
      <c r="J6015" s="475" t="s">
        <v>337</v>
      </c>
      <c r="K6015" s="365">
        <v>49.98</v>
      </c>
      <c r="L6015" s="475" t="s">
        <v>141</v>
      </c>
      <c r="M6015" s="473"/>
    </row>
    <row r="6016" spans="1:13" ht="13.5">
      <c r="A6016" s="475" t="s">
        <v>5496</v>
      </c>
      <c r="B6016" s="475" t="s">
        <v>5726</v>
      </c>
      <c r="C6016" s="475" t="s">
        <v>5739</v>
      </c>
      <c r="D6016" s="475" t="s">
        <v>5740</v>
      </c>
      <c r="E6016" s="476" t="s">
        <v>34</v>
      </c>
      <c r="F6016" s="475" t="s">
        <v>34</v>
      </c>
      <c r="G6016" s="364">
        <v>97067</v>
      </c>
      <c r="H6016" s="475" t="s">
        <v>5921</v>
      </c>
      <c r="I6016" s="475" t="s">
        <v>139</v>
      </c>
      <c r="J6016" s="475" t="s">
        <v>337</v>
      </c>
      <c r="K6016" s="365">
        <v>567.84</v>
      </c>
      <c r="L6016" s="475" t="s">
        <v>141</v>
      </c>
      <c r="M6016" s="473"/>
    </row>
    <row r="6017" spans="1:13" ht="13.5">
      <c r="A6017" s="475" t="s">
        <v>5496</v>
      </c>
      <c r="B6017" s="475" t="s">
        <v>5726</v>
      </c>
      <c r="C6017" s="475" t="s">
        <v>5741</v>
      </c>
      <c r="D6017" s="475" t="s">
        <v>5742</v>
      </c>
      <c r="E6017" s="476">
        <v>73916</v>
      </c>
      <c r="F6017" s="475" t="s">
        <v>5743</v>
      </c>
      <c r="G6017" s="364" t="s">
        <v>5016</v>
      </c>
      <c r="H6017" s="475" t="s">
        <v>5017</v>
      </c>
      <c r="I6017" s="475" t="s">
        <v>171</v>
      </c>
      <c r="J6017" s="475" t="s">
        <v>337</v>
      </c>
      <c r="K6017" s="365">
        <v>93.99</v>
      </c>
      <c r="L6017" s="475" t="s">
        <v>141</v>
      </c>
      <c r="M6017" s="473"/>
    </row>
    <row r="6018" spans="1:13" ht="13.5">
      <c r="A6018" s="475" t="s">
        <v>5744</v>
      </c>
      <c r="B6018" s="475" t="s">
        <v>5745</v>
      </c>
      <c r="C6018" s="475" t="s">
        <v>5746</v>
      </c>
      <c r="D6018" s="475" t="s">
        <v>5747</v>
      </c>
      <c r="E6018" s="476" t="s">
        <v>34</v>
      </c>
      <c r="F6018" s="475" t="s">
        <v>34</v>
      </c>
      <c r="G6018" s="364">
        <v>73672</v>
      </c>
      <c r="H6018" s="475" t="s">
        <v>5018</v>
      </c>
      <c r="I6018" s="475" t="s">
        <v>322</v>
      </c>
      <c r="J6018" s="475" t="s">
        <v>140</v>
      </c>
      <c r="K6018" s="365">
        <v>0.33</v>
      </c>
      <c r="L6018" s="475" t="s">
        <v>141</v>
      </c>
      <c r="M6018" s="473"/>
    </row>
    <row r="6019" spans="1:13" ht="13.5">
      <c r="A6019" s="475" t="s">
        <v>5744</v>
      </c>
      <c r="B6019" s="475" t="s">
        <v>5745</v>
      </c>
      <c r="C6019" s="475" t="s">
        <v>5746</v>
      </c>
      <c r="D6019" s="475" t="s">
        <v>5747</v>
      </c>
      <c r="E6019" s="476">
        <v>73822</v>
      </c>
      <c r="F6019" s="475" t="s">
        <v>5748</v>
      </c>
      <c r="G6019" s="364" t="s">
        <v>5019</v>
      </c>
      <c r="H6019" s="475" t="s">
        <v>5020</v>
      </c>
      <c r="I6019" s="475" t="s">
        <v>322</v>
      </c>
      <c r="J6019" s="475" t="s">
        <v>140</v>
      </c>
      <c r="K6019" s="365">
        <v>0.47</v>
      </c>
      <c r="L6019" s="475" t="s">
        <v>141</v>
      </c>
      <c r="M6019" s="473"/>
    </row>
    <row r="6020" spans="1:13" ht="13.5">
      <c r="A6020" s="475" t="s">
        <v>5744</v>
      </c>
      <c r="B6020" s="475" t="s">
        <v>5745</v>
      </c>
      <c r="C6020" s="475" t="s">
        <v>5746</v>
      </c>
      <c r="D6020" s="475" t="s">
        <v>5747</v>
      </c>
      <c r="E6020" s="476">
        <v>73859</v>
      </c>
      <c r="F6020" s="475" t="s">
        <v>5749</v>
      </c>
      <c r="G6020" s="364" t="s">
        <v>5021</v>
      </c>
      <c r="H6020" s="475" t="s">
        <v>5022</v>
      </c>
      <c r="I6020" s="475" t="s">
        <v>322</v>
      </c>
      <c r="J6020" s="475" t="s">
        <v>140</v>
      </c>
      <c r="K6020" s="365">
        <v>0.12</v>
      </c>
      <c r="L6020" s="475" t="s">
        <v>141</v>
      </c>
      <c r="M6020" s="473"/>
    </row>
    <row r="6021" spans="1:13" ht="13.5">
      <c r="A6021" s="475" t="s">
        <v>5744</v>
      </c>
      <c r="B6021" s="475" t="s">
        <v>5745</v>
      </c>
      <c r="C6021" s="475" t="s">
        <v>5746</v>
      </c>
      <c r="D6021" s="475" t="s">
        <v>5747</v>
      </c>
      <c r="E6021" s="476">
        <v>73859</v>
      </c>
      <c r="F6021" s="475" t="s">
        <v>5749</v>
      </c>
      <c r="G6021" s="364" t="s">
        <v>5023</v>
      </c>
      <c r="H6021" s="475" t="s">
        <v>5024</v>
      </c>
      <c r="I6021" s="475" t="s">
        <v>322</v>
      </c>
      <c r="J6021" s="475" t="s">
        <v>363</v>
      </c>
      <c r="K6021" s="365">
        <v>1.1399999999999999</v>
      </c>
      <c r="L6021" s="475" t="s">
        <v>141</v>
      </c>
      <c r="M6021" s="473"/>
    </row>
    <row r="6022" spans="1:13" ht="13.5">
      <c r="A6022" s="475" t="s">
        <v>5744</v>
      </c>
      <c r="B6022" s="475" t="s">
        <v>5745</v>
      </c>
      <c r="C6022" s="475" t="s">
        <v>5746</v>
      </c>
      <c r="D6022" s="475" t="s">
        <v>5747</v>
      </c>
      <c r="E6022" s="476" t="s">
        <v>34</v>
      </c>
      <c r="F6022" s="475" t="s">
        <v>34</v>
      </c>
      <c r="G6022" s="364">
        <v>85331</v>
      </c>
      <c r="H6022" s="475" t="s">
        <v>5025</v>
      </c>
      <c r="I6022" s="475" t="s">
        <v>322</v>
      </c>
      <c r="J6022" s="475" t="s">
        <v>363</v>
      </c>
      <c r="K6022" s="365">
        <v>1.1100000000000001</v>
      </c>
      <c r="L6022" s="475" t="s">
        <v>141</v>
      </c>
      <c r="M6022" s="473"/>
    </row>
    <row r="6023" spans="1:13" ht="13.5">
      <c r="A6023" s="475" t="s">
        <v>5744</v>
      </c>
      <c r="B6023" s="475" t="s">
        <v>5745</v>
      </c>
      <c r="C6023" s="475" t="s">
        <v>5746</v>
      </c>
      <c r="D6023" s="475" t="s">
        <v>5747</v>
      </c>
      <c r="E6023" s="476" t="s">
        <v>34</v>
      </c>
      <c r="F6023" s="475" t="s">
        <v>34</v>
      </c>
      <c r="G6023" s="364">
        <v>85422</v>
      </c>
      <c r="H6023" s="475" t="s">
        <v>5026</v>
      </c>
      <c r="I6023" s="475" t="s">
        <v>322</v>
      </c>
      <c r="J6023" s="475" t="s">
        <v>363</v>
      </c>
      <c r="K6023" s="365">
        <v>5.74</v>
      </c>
      <c r="L6023" s="475" t="s">
        <v>141</v>
      </c>
      <c r="M6023" s="473"/>
    </row>
    <row r="6024" spans="1:13" ht="13.5">
      <c r="A6024" s="475" t="s">
        <v>5744</v>
      </c>
      <c r="B6024" s="475" t="s">
        <v>5745</v>
      </c>
      <c r="C6024" s="475" t="s">
        <v>5750</v>
      </c>
      <c r="D6024" s="475" t="s">
        <v>5751</v>
      </c>
      <c r="E6024" s="476">
        <v>74220</v>
      </c>
      <c r="F6024" s="475" t="s">
        <v>5752</v>
      </c>
      <c r="G6024" s="364" t="s">
        <v>5027</v>
      </c>
      <c r="H6024" s="475" t="s">
        <v>5028</v>
      </c>
      <c r="I6024" s="475" t="s">
        <v>322</v>
      </c>
      <c r="J6024" s="475" t="s">
        <v>337</v>
      </c>
      <c r="K6024" s="365">
        <v>48.19</v>
      </c>
      <c r="L6024" s="475" t="s">
        <v>141</v>
      </c>
      <c r="M6024" s="473"/>
    </row>
    <row r="6025" spans="1:13" ht="13.5">
      <c r="A6025" s="475" t="s">
        <v>5744</v>
      </c>
      <c r="B6025" s="475" t="s">
        <v>5745</v>
      </c>
      <c r="C6025" s="475" t="s">
        <v>5750</v>
      </c>
      <c r="D6025" s="475" t="s">
        <v>5751</v>
      </c>
      <c r="E6025" s="476">
        <v>74221</v>
      </c>
      <c r="F6025" s="475" t="s">
        <v>5753</v>
      </c>
      <c r="G6025" s="364" t="s">
        <v>5029</v>
      </c>
      <c r="H6025" s="475" t="s">
        <v>5030</v>
      </c>
      <c r="I6025" s="475" t="s">
        <v>139</v>
      </c>
      <c r="J6025" s="475" t="s">
        <v>140</v>
      </c>
      <c r="K6025" s="365">
        <v>2.4300000000000002</v>
      </c>
      <c r="L6025" s="475" t="s">
        <v>141</v>
      </c>
      <c r="M6025" s="473"/>
    </row>
    <row r="6026" spans="1:13" ht="13.5">
      <c r="A6026" s="475" t="s">
        <v>5744</v>
      </c>
      <c r="B6026" s="475" t="s">
        <v>5745</v>
      </c>
      <c r="C6026" s="475" t="s">
        <v>5754</v>
      </c>
      <c r="D6026" s="475" t="s">
        <v>5755</v>
      </c>
      <c r="E6026" s="476">
        <v>74219</v>
      </c>
      <c r="F6026" s="475" t="s">
        <v>5756</v>
      </c>
      <c r="G6026" s="364" t="s">
        <v>5031</v>
      </c>
      <c r="H6026" s="475" t="s">
        <v>5032</v>
      </c>
      <c r="I6026" s="475" t="s">
        <v>322</v>
      </c>
      <c r="J6026" s="475" t="s">
        <v>337</v>
      </c>
      <c r="K6026" s="365">
        <v>59.27</v>
      </c>
      <c r="L6026" s="475" t="s">
        <v>141</v>
      </c>
      <c r="M6026" s="473"/>
    </row>
    <row r="6027" spans="1:13" ht="13.5">
      <c r="A6027" s="475" t="s">
        <v>5744</v>
      </c>
      <c r="B6027" s="475" t="s">
        <v>5745</v>
      </c>
      <c r="C6027" s="475" t="s">
        <v>5754</v>
      </c>
      <c r="D6027" s="475" t="s">
        <v>5755</v>
      </c>
      <c r="E6027" s="476">
        <v>74219</v>
      </c>
      <c r="F6027" s="475" t="s">
        <v>5756</v>
      </c>
      <c r="G6027" s="364" t="s">
        <v>5033</v>
      </c>
      <c r="H6027" s="475" t="s">
        <v>5034</v>
      </c>
      <c r="I6027" s="475" t="s">
        <v>322</v>
      </c>
      <c r="J6027" s="475" t="s">
        <v>337</v>
      </c>
      <c r="K6027" s="365">
        <v>49.96</v>
      </c>
      <c r="L6027" s="475" t="s">
        <v>141</v>
      </c>
      <c r="M6027" s="473"/>
    </row>
    <row r="6028" spans="1:13" ht="13.5">
      <c r="A6028" s="475" t="s">
        <v>5744</v>
      </c>
      <c r="B6028" s="475" t="s">
        <v>5745</v>
      </c>
      <c r="C6028" s="475" t="s">
        <v>5754</v>
      </c>
      <c r="D6028" s="475" t="s">
        <v>5755</v>
      </c>
      <c r="E6028" s="476" t="s">
        <v>34</v>
      </c>
      <c r="F6028" s="475" t="s">
        <v>34</v>
      </c>
      <c r="G6028" s="364">
        <v>84126</v>
      </c>
      <c r="H6028" s="475" t="s">
        <v>5035</v>
      </c>
      <c r="I6028" s="475" t="s">
        <v>322</v>
      </c>
      <c r="J6028" s="475" t="s">
        <v>337</v>
      </c>
      <c r="K6028" s="365">
        <v>32.520000000000003</v>
      </c>
      <c r="L6028" s="475" t="s">
        <v>141</v>
      </c>
      <c r="M6028" s="473"/>
    </row>
    <row r="6029" spans="1:13" ht="13.5">
      <c r="A6029" s="475" t="s">
        <v>5744</v>
      </c>
      <c r="B6029" s="475" t="s">
        <v>5745</v>
      </c>
      <c r="C6029" s="475" t="s">
        <v>5757</v>
      </c>
      <c r="D6029" s="475" t="s">
        <v>5758</v>
      </c>
      <c r="E6029" s="476" t="s">
        <v>34</v>
      </c>
      <c r="F6029" s="475" t="s">
        <v>34</v>
      </c>
      <c r="G6029" s="364">
        <v>85421</v>
      </c>
      <c r="H6029" s="475" t="s">
        <v>5036</v>
      </c>
      <c r="I6029" s="475" t="s">
        <v>322</v>
      </c>
      <c r="J6029" s="475" t="s">
        <v>337</v>
      </c>
      <c r="K6029" s="365">
        <v>11.84</v>
      </c>
      <c r="L6029" s="475" t="s">
        <v>141</v>
      </c>
      <c r="M6029" s="473"/>
    </row>
    <row r="6030" spans="1:13" ht="13.5">
      <c r="A6030" s="475" t="s">
        <v>5744</v>
      </c>
      <c r="B6030" s="475" t="s">
        <v>5745</v>
      </c>
      <c r="C6030" s="475" t="s">
        <v>5757</v>
      </c>
      <c r="D6030" s="475" t="s">
        <v>5758</v>
      </c>
      <c r="E6030" s="476" t="s">
        <v>34</v>
      </c>
      <c r="F6030" s="475" t="s">
        <v>34</v>
      </c>
      <c r="G6030" s="364">
        <v>97621</v>
      </c>
      <c r="H6030" s="475" t="s">
        <v>6033</v>
      </c>
      <c r="I6030" s="475" t="s">
        <v>1261</v>
      </c>
      <c r="J6030" s="475" t="s">
        <v>363</v>
      </c>
      <c r="K6030" s="365">
        <v>77.38</v>
      </c>
      <c r="L6030" s="475" t="s">
        <v>141</v>
      </c>
      <c r="M6030" s="473"/>
    </row>
    <row r="6031" spans="1:13" ht="13.5">
      <c r="A6031" s="475" t="s">
        <v>5744</v>
      </c>
      <c r="B6031" s="475" t="s">
        <v>5745</v>
      </c>
      <c r="C6031" s="475" t="s">
        <v>5757</v>
      </c>
      <c r="D6031" s="475" t="s">
        <v>5758</v>
      </c>
      <c r="E6031" s="476" t="s">
        <v>34</v>
      </c>
      <c r="F6031" s="475" t="s">
        <v>34</v>
      </c>
      <c r="G6031" s="364">
        <v>97622</v>
      </c>
      <c r="H6031" s="475" t="s">
        <v>6034</v>
      </c>
      <c r="I6031" s="475" t="s">
        <v>1261</v>
      </c>
      <c r="J6031" s="475" t="s">
        <v>363</v>
      </c>
      <c r="K6031" s="365">
        <v>37.71</v>
      </c>
      <c r="L6031" s="475" t="s">
        <v>141</v>
      </c>
      <c r="M6031" s="473"/>
    </row>
    <row r="6032" spans="1:13" ht="13.5">
      <c r="A6032" s="475" t="s">
        <v>5744</v>
      </c>
      <c r="B6032" s="475" t="s">
        <v>5745</v>
      </c>
      <c r="C6032" s="475" t="s">
        <v>5757</v>
      </c>
      <c r="D6032" s="475" t="s">
        <v>5758</v>
      </c>
      <c r="E6032" s="476" t="s">
        <v>34</v>
      </c>
      <c r="F6032" s="475" t="s">
        <v>34</v>
      </c>
      <c r="G6032" s="364">
        <v>97623</v>
      </c>
      <c r="H6032" s="475" t="s">
        <v>6035</v>
      </c>
      <c r="I6032" s="475" t="s">
        <v>1261</v>
      </c>
      <c r="J6032" s="475" t="s">
        <v>363</v>
      </c>
      <c r="K6032" s="365">
        <v>115.52</v>
      </c>
      <c r="L6032" s="475" t="s">
        <v>141</v>
      </c>
      <c r="M6032" s="473"/>
    </row>
    <row r="6033" spans="1:13" ht="13.5">
      <c r="A6033" s="475" t="s">
        <v>5744</v>
      </c>
      <c r="B6033" s="475" t="s">
        <v>5745</v>
      </c>
      <c r="C6033" s="475" t="s">
        <v>5757</v>
      </c>
      <c r="D6033" s="475" t="s">
        <v>5758</v>
      </c>
      <c r="E6033" s="476" t="s">
        <v>34</v>
      </c>
      <c r="F6033" s="475" t="s">
        <v>34</v>
      </c>
      <c r="G6033" s="364">
        <v>97624</v>
      </c>
      <c r="H6033" s="475" t="s">
        <v>6036</v>
      </c>
      <c r="I6033" s="475" t="s">
        <v>1261</v>
      </c>
      <c r="J6033" s="475" t="s">
        <v>363</v>
      </c>
      <c r="K6033" s="365">
        <v>70.91</v>
      </c>
      <c r="L6033" s="475" t="s">
        <v>141</v>
      </c>
      <c r="M6033" s="473"/>
    </row>
    <row r="6034" spans="1:13" ht="13.5">
      <c r="A6034" s="475" t="s">
        <v>5744</v>
      </c>
      <c r="B6034" s="475" t="s">
        <v>5745</v>
      </c>
      <c r="C6034" s="475" t="s">
        <v>5757</v>
      </c>
      <c r="D6034" s="475" t="s">
        <v>5758</v>
      </c>
      <c r="E6034" s="476" t="s">
        <v>34</v>
      </c>
      <c r="F6034" s="475" t="s">
        <v>34</v>
      </c>
      <c r="G6034" s="364">
        <v>97625</v>
      </c>
      <c r="H6034" s="475" t="s">
        <v>6037</v>
      </c>
      <c r="I6034" s="475" t="s">
        <v>1261</v>
      </c>
      <c r="J6034" s="475" t="s">
        <v>140</v>
      </c>
      <c r="K6034" s="365">
        <v>37.39</v>
      </c>
      <c r="L6034" s="475" t="s">
        <v>141</v>
      </c>
      <c r="M6034" s="473"/>
    </row>
    <row r="6035" spans="1:13" ht="13.5">
      <c r="A6035" s="475" t="s">
        <v>5744</v>
      </c>
      <c r="B6035" s="475" t="s">
        <v>5745</v>
      </c>
      <c r="C6035" s="475" t="s">
        <v>5757</v>
      </c>
      <c r="D6035" s="475" t="s">
        <v>5758</v>
      </c>
      <c r="E6035" s="476" t="s">
        <v>34</v>
      </c>
      <c r="F6035" s="475" t="s">
        <v>34</v>
      </c>
      <c r="G6035" s="364">
        <v>97626</v>
      </c>
      <c r="H6035" s="475" t="s">
        <v>6038</v>
      </c>
      <c r="I6035" s="475" t="s">
        <v>1261</v>
      </c>
      <c r="J6035" s="475" t="s">
        <v>337</v>
      </c>
      <c r="K6035" s="365">
        <v>391.81</v>
      </c>
      <c r="L6035" s="475" t="s">
        <v>141</v>
      </c>
      <c r="M6035" s="473"/>
    </row>
    <row r="6036" spans="1:13" ht="13.5">
      <c r="A6036" s="475" t="s">
        <v>5744</v>
      </c>
      <c r="B6036" s="475" t="s">
        <v>5745</v>
      </c>
      <c r="C6036" s="475" t="s">
        <v>5757</v>
      </c>
      <c r="D6036" s="475" t="s">
        <v>5758</v>
      </c>
      <c r="E6036" s="476" t="s">
        <v>34</v>
      </c>
      <c r="F6036" s="475" t="s">
        <v>34</v>
      </c>
      <c r="G6036" s="364">
        <v>97627</v>
      </c>
      <c r="H6036" s="475" t="s">
        <v>6039</v>
      </c>
      <c r="I6036" s="475" t="s">
        <v>1261</v>
      </c>
      <c r="J6036" s="475" t="s">
        <v>140</v>
      </c>
      <c r="K6036" s="365">
        <v>181.38</v>
      </c>
      <c r="L6036" s="475" t="s">
        <v>141</v>
      </c>
      <c r="M6036" s="473"/>
    </row>
    <row r="6037" spans="1:13" ht="13.5">
      <c r="A6037" s="475" t="s">
        <v>5744</v>
      </c>
      <c r="B6037" s="475" t="s">
        <v>5745</v>
      </c>
      <c r="C6037" s="475" t="s">
        <v>5757</v>
      </c>
      <c r="D6037" s="475" t="s">
        <v>5758</v>
      </c>
      <c r="E6037" s="476" t="s">
        <v>34</v>
      </c>
      <c r="F6037" s="475" t="s">
        <v>34</v>
      </c>
      <c r="G6037" s="364">
        <v>97628</v>
      </c>
      <c r="H6037" s="475" t="s">
        <v>6040</v>
      </c>
      <c r="I6037" s="475" t="s">
        <v>1261</v>
      </c>
      <c r="J6037" s="475" t="s">
        <v>363</v>
      </c>
      <c r="K6037" s="365">
        <v>186.39</v>
      </c>
      <c r="L6037" s="475" t="s">
        <v>141</v>
      </c>
      <c r="M6037" s="473"/>
    </row>
    <row r="6038" spans="1:13" ht="13.5">
      <c r="A6038" s="475" t="s">
        <v>5744</v>
      </c>
      <c r="B6038" s="475" t="s">
        <v>5745</v>
      </c>
      <c r="C6038" s="475" t="s">
        <v>5757</v>
      </c>
      <c r="D6038" s="475" t="s">
        <v>5758</v>
      </c>
      <c r="E6038" s="476" t="s">
        <v>34</v>
      </c>
      <c r="F6038" s="475" t="s">
        <v>34</v>
      </c>
      <c r="G6038" s="364">
        <v>97629</v>
      </c>
      <c r="H6038" s="475" t="s">
        <v>6041</v>
      </c>
      <c r="I6038" s="475" t="s">
        <v>1261</v>
      </c>
      <c r="J6038" s="475" t="s">
        <v>140</v>
      </c>
      <c r="K6038" s="365">
        <v>85.51</v>
      </c>
      <c r="L6038" s="475" t="s">
        <v>141</v>
      </c>
      <c r="M6038" s="473"/>
    </row>
    <row r="6039" spans="1:13" ht="13.5">
      <c r="A6039" s="475" t="s">
        <v>5744</v>
      </c>
      <c r="B6039" s="475" t="s">
        <v>5745</v>
      </c>
      <c r="C6039" s="475" t="s">
        <v>5757</v>
      </c>
      <c r="D6039" s="475" t="s">
        <v>5758</v>
      </c>
      <c r="E6039" s="476" t="s">
        <v>34</v>
      </c>
      <c r="F6039" s="475" t="s">
        <v>34</v>
      </c>
      <c r="G6039" s="364">
        <v>97631</v>
      </c>
      <c r="H6039" s="475" t="s">
        <v>6042</v>
      </c>
      <c r="I6039" s="475" t="s">
        <v>322</v>
      </c>
      <c r="J6039" s="475" t="s">
        <v>363</v>
      </c>
      <c r="K6039" s="365">
        <v>2.23</v>
      </c>
      <c r="L6039" s="475" t="s">
        <v>141</v>
      </c>
      <c r="M6039" s="473"/>
    </row>
    <row r="6040" spans="1:13" ht="13.5">
      <c r="A6040" s="475" t="s">
        <v>5744</v>
      </c>
      <c r="B6040" s="475" t="s">
        <v>5745</v>
      </c>
      <c r="C6040" s="475" t="s">
        <v>5757</v>
      </c>
      <c r="D6040" s="475" t="s">
        <v>5758</v>
      </c>
      <c r="E6040" s="476" t="s">
        <v>34</v>
      </c>
      <c r="F6040" s="475" t="s">
        <v>34</v>
      </c>
      <c r="G6040" s="364">
        <v>97632</v>
      </c>
      <c r="H6040" s="475" t="s">
        <v>6043</v>
      </c>
      <c r="I6040" s="475" t="s">
        <v>139</v>
      </c>
      <c r="J6040" s="475" t="s">
        <v>337</v>
      </c>
      <c r="K6040" s="365">
        <v>1.74</v>
      </c>
      <c r="L6040" s="475" t="s">
        <v>141</v>
      </c>
      <c r="M6040" s="473"/>
    </row>
    <row r="6041" spans="1:13" ht="13.5">
      <c r="A6041" s="475" t="s">
        <v>5744</v>
      </c>
      <c r="B6041" s="475" t="s">
        <v>5745</v>
      </c>
      <c r="C6041" s="475" t="s">
        <v>5757</v>
      </c>
      <c r="D6041" s="475" t="s">
        <v>5758</v>
      </c>
      <c r="E6041" s="476" t="s">
        <v>34</v>
      </c>
      <c r="F6041" s="475" t="s">
        <v>34</v>
      </c>
      <c r="G6041" s="364">
        <v>97633</v>
      </c>
      <c r="H6041" s="475" t="s">
        <v>6044</v>
      </c>
      <c r="I6041" s="475" t="s">
        <v>322</v>
      </c>
      <c r="J6041" s="475" t="s">
        <v>337</v>
      </c>
      <c r="K6041" s="365">
        <v>15.23</v>
      </c>
      <c r="L6041" s="475" t="s">
        <v>141</v>
      </c>
      <c r="M6041" s="473"/>
    </row>
    <row r="6042" spans="1:13" ht="13.5">
      <c r="A6042" s="475" t="s">
        <v>5744</v>
      </c>
      <c r="B6042" s="475" t="s">
        <v>5745</v>
      </c>
      <c r="C6042" s="475" t="s">
        <v>5757</v>
      </c>
      <c r="D6042" s="475" t="s">
        <v>5758</v>
      </c>
      <c r="E6042" s="476" t="s">
        <v>34</v>
      </c>
      <c r="F6042" s="475" t="s">
        <v>34</v>
      </c>
      <c r="G6042" s="364">
        <v>97634</v>
      </c>
      <c r="H6042" s="475" t="s">
        <v>6045</v>
      </c>
      <c r="I6042" s="475" t="s">
        <v>322</v>
      </c>
      <c r="J6042" s="475" t="s">
        <v>140</v>
      </c>
      <c r="K6042" s="365">
        <v>8.27</v>
      </c>
      <c r="L6042" s="475" t="s">
        <v>141</v>
      </c>
      <c r="M6042" s="473"/>
    </row>
    <row r="6043" spans="1:13" ht="13.5">
      <c r="A6043" s="475" t="s">
        <v>5744</v>
      </c>
      <c r="B6043" s="475" t="s">
        <v>5745</v>
      </c>
      <c r="C6043" s="475" t="s">
        <v>5757</v>
      </c>
      <c r="D6043" s="475" t="s">
        <v>5758</v>
      </c>
      <c r="E6043" s="476" t="s">
        <v>34</v>
      </c>
      <c r="F6043" s="475" t="s">
        <v>34</v>
      </c>
      <c r="G6043" s="364">
        <v>97635</v>
      </c>
      <c r="H6043" s="475" t="s">
        <v>6046</v>
      </c>
      <c r="I6043" s="475" t="s">
        <v>322</v>
      </c>
      <c r="J6043" s="475" t="s">
        <v>337</v>
      </c>
      <c r="K6043" s="365">
        <v>10.59</v>
      </c>
      <c r="L6043" s="475" t="s">
        <v>141</v>
      </c>
      <c r="M6043" s="473"/>
    </row>
    <row r="6044" spans="1:13" ht="13.5">
      <c r="A6044" s="475" t="s">
        <v>5744</v>
      </c>
      <c r="B6044" s="475" t="s">
        <v>5745</v>
      </c>
      <c r="C6044" s="475" t="s">
        <v>5757</v>
      </c>
      <c r="D6044" s="475" t="s">
        <v>5758</v>
      </c>
      <c r="E6044" s="476" t="s">
        <v>34</v>
      </c>
      <c r="F6044" s="475" t="s">
        <v>34</v>
      </c>
      <c r="G6044" s="364">
        <v>97636</v>
      </c>
      <c r="H6044" s="475" t="s">
        <v>6047</v>
      </c>
      <c r="I6044" s="475" t="s">
        <v>322</v>
      </c>
      <c r="J6044" s="475" t="s">
        <v>140</v>
      </c>
      <c r="K6044" s="365">
        <v>8.99</v>
      </c>
      <c r="L6044" s="475" t="s">
        <v>141</v>
      </c>
      <c r="M6044" s="473"/>
    </row>
    <row r="6045" spans="1:13" ht="13.5">
      <c r="A6045" s="475" t="s">
        <v>5744</v>
      </c>
      <c r="B6045" s="475" t="s">
        <v>5745</v>
      </c>
      <c r="C6045" s="475" t="s">
        <v>5757</v>
      </c>
      <c r="D6045" s="475" t="s">
        <v>5758</v>
      </c>
      <c r="E6045" s="476" t="s">
        <v>34</v>
      </c>
      <c r="F6045" s="475" t="s">
        <v>34</v>
      </c>
      <c r="G6045" s="364">
        <v>97637</v>
      </c>
      <c r="H6045" s="475" t="s">
        <v>6048</v>
      </c>
      <c r="I6045" s="475" t="s">
        <v>322</v>
      </c>
      <c r="J6045" s="475" t="s">
        <v>337</v>
      </c>
      <c r="K6045" s="365">
        <v>1.75</v>
      </c>
      <c r="L6045" s="475" t="s">
        <v>141</v>
      </c>
      <c r="M6045" s="473"/>
    </row>
    <row r="6046" spans="1:13" ht="13.5">
      <c r="A6046" s="475" t="s">
        <v>5744</v>
      </c>
      <c r="B6046" s="475" t="s">
        <v>5745</v>
      </c>
      <c r="C6046" s="475" t="s">
        <v>5757</v>
      </c>
      <c r="D6046" s="475" t="s">
        <v>5758</v>
      </c>
      <c r="E6046" s="476" t="s">
        <v>34</v>
      </c>
      <c r="F6046" s="475" t="s">
        <v>34</v>
      </c>
      <c r="G6046" s="364">
        <v>97638</v>
      </c>
      <c r="H6046" s="475" t="s">
        <v>6049</v>
      </c>
      <c r="I6046" s="475" t="s">
        <v>322</v>
      </c>
      <c r="J6046" s="475" t="s">
        <v>337</v>
      </c>
      <c r="K6046" s="365">
        <v>5.09</v>
      </c>
      <c r="L6046" s="475" t="s">
        <v>141</v>
      </c>
      <c r="M6046" s="473"/>
    </row>
    <row r="6047" spans="1:13" ht="13.5">
      <c r="A6047" s="475" t="s">
        <v>5744</v>
      </c>
      <c r="B6047" s="475" t="s">
        <v>5745</v>
      </c>
      <c r="C6047" s="475" t="s">
        <v>5757</v>
      </c>
      <c r="D6047" s="475" t="s">
        <v>5758</v>
      </c>
      <c r="E6047" s="476" t="s">
        <v>34</v>
      </c>
      <c r="F6047" s="475" t="s">
        <v>34</v>
      </c>
      <c r="G6047" s="364">
        <v>97639</v>
      </c>
      <c r="H6047" s="475" t="s">
        <v>6050</v>
      </c>
      <c r="I6047" s="475" t="s">
        <v>322</v>
      </c>
      <c r="J6047" s="475" t="s">
        <v>363</v>
      </c>
      <c r="K6047" s="365">
        <v>13.5</v>
      </c>
      <c r="L6047" s="475" t="s">
        <v>141</v>
      </c>
      <c r="M6047" s="473"/>
    </row>
    <row r="6048" spans="1:13" ht="13.5">
      <c r="A6048" s="475" t="s">
        <v>5744</v>
      </c>
      <c r="B6048" s="475" t="s">
        <v>5745</v>
      </c>
      <c r="C6048" s="475" t="s">
        <v>5757</v>
      </c>
      <c r="D6048" s="475" t="s">
        <v>5758</v>
      </c>
      <c r="E6048" s="476" t="s">
        <v>34</v>
      </c>
      <c r="F6048" s="475" t="s">
        <v>34</v>
      </c>
      <c r="G6048" s="364">
        <v>97640</v>
      </c>
      <c r="H6048" s="475" t="s">
        <v>6051</v>
      </c>
      <c r="I6048" s="475" t="s">
        <v>322</v>
      </c>
      <c r="J6048" s="475" t="s">
        <v>337</v>
      </c>
      <c r="K6048" s="365">
        <v>1.1000000000000001</v>
      </c>
      <c r="L6048" s="475" t="s">
        <v>141</v>
      </c>
      <c r="M6048" s="473"/>
    </row>
    <row r="6049" spans="1:13" ht="13.5">
      <c r="A6049" s="475" t="s">
        <v>5744</v>
      </c>
      <c r="B6049" s="475" t="s">
        <v>5745</v>
      </c>
      <c r="C6049" s="475" t="s">
        <v>5757</v>
      </c>
      <c r="D6049" s="475" t="s">
        <v>5758</v>
      </c>
      <c r="E6049" s="476" t="s">
        <v>34</v>
      </c>
      <c r="F6049" s="475" t="s">
        <v>34</v>
      </c>
      <c r="G6049" s="364">
        <v>97641</v>
      </c>
      <c r="H6049" s="475" t="s">
        <v>6052</v>
      </c>
      <c r="I6049" s="475" t="s">
        <v>322</v>
      </c>
      <c r="J6049" s="475" t="s">
        <v>337</v>
      </c>
      <c r="K6049" s="365">
        <v>3.37</v>
      </c>
      <c r="L6049" s="475" t="s">
        <v>141</v>
      </c>
      <c r="M6049" s="473"/>
    </row>
    <row r="6050" spans="1:13" ht="13.5">
      <c r="A6050" s="475" t="s">
        <v>5744</v>
      </c>
      <c r="B6050" s="475" t="s">
        <v>5745</v>
      </c>
      <c r="C6050" s="475" t="s">
        <v>5757</v>
      </c>
      <c r="D6050" s="475" t="s">
        <v>5758</v>
      </c>
      <c r="E6050" s="476" t="s">
        <v>34</v>
      </c>
      <c r="F6050" s="475" t="s">
        <v>34</v>
      </c>
      <c r="G6050" s="364">
        <v>97642</v>
      </c>
      <c r="H6050" s="475" t="s">
        <v>6053</v>
      </c>
      <c r="I6050" s="475" t="s">
        <v>322</v>
      </c>
      <c r="J6050" s="475" t="s">
        <v>337</v>
      </c>
      <c r="K6050" s="365">
        <v>1.97</v>
      </c>
      <c r="L6050" s="475" t="s">
        <v>141</v>
      </c>
      <c r="M6050" s="473"/>
    </row>
    <row r="6051" spans="1:13" ht="13.5">
      <c r="A6051" s="475" t="s">
        <v>5744</v>
      </c>
      <c r="B6051" s="475" t="s">
        <v>5745</v>
      </c>
      <c r="C6051" s="475" t="s">
        <v>5757</v>
      </c>
      <c r="D6051" s="475" t="s">
        <v>5758</v>
      </c>
      <c r="E6051" s="476" t="s">
        <v>34</v>
      </c>
      <c r="F6051" s="475" t="s">
        <v>34</v>
      </c>
      <c r="G6051" s="364">
        <v>97643</v>
      </c>
      <c r="H6051" s="475" t="s">
        <v>6054</v>
      </c>
      <c r="I6051" s="475" t="s">
        <v>322</v>
      </c>
      <c r="J6051" s="475" t="s">
        <v>363</v>
      </c>
      <c r="K6051" s="365">
        <v>16.559999999999999</v>
      </c>
      <c r="L6051" s="475" t="s">
        <v>141</v>
      </c>
      <c r="M6051" s="473"/>
    </row>
    <row r="6052" spans="1:13" ht="13.5">
      <c r="A6052" s="475" t="s">
        <v>5744</v>
      </c>
      <c r="B6052" s="475" t="s">
        <v>5745</v>
      </c>
      <c r="C6052" s="475" t="s">
        <v>5757</v>
      </c>
      <c r="D6052" s="475" t="s">
        <v>5758</v>
      </c>
      <c r="E6052" s="476" t="s">
        <v>34</v>
      </c>
      <c r="F6052" s="475" t="s">
        <v>34</v>
      </c>
      <c r="G6052" s="364">
        <v>97644</v>
      </c>
      <c r="H6052" s="475" t="s">
        <v>6055</v>
      </c>
      <c r="I6052" s="475" t="s">
        <v>322</v>
      </c>
      <c r="J6052" s="475" t="s">
        <v>363</v>
      </c>
      <c r="K6052" s="365">
        <v>6.23</v>
      </c>
      <c r="L6052" s="475" t="s">
        <v>141</v>
      </c>
      <c r="M6052" s="473"/>
    </row>
    <row r="6053" spans="1:13" ht="13.5">
      <c r="A6053" s="475" t="s">
        <v>5744</v>
      </c>
      <c r="B6053" s="475" t="s">
        <v>5745</v>
      </c>
      <c r="C6053" s="475" t="s">
        <v>5757</v>
      </c>
      <c r="D6053" s="475" t="s">
        <v>5758</v>
      </c>
      <c r="E6053" s="476" t="s">
        <v>34</v>
      </c>
      <c r="F6053" s="475" t="s">
        <v>34</v>
      </c>
      <c r="G6053" s="364">
        <v>97645</v>
      </c>
      <c r="H6053" s="475" t="s">
        <v>6056</v>
      </c>
      <c r="I6053" s="475" t="s">
        <v>322</v>
      </c>
      <c r="J6053" s="475" t="s">
        <v>337</v>
      </c>
      <c r="K6053" s="365">
        <v>18.3</v>
      </c>
      <c r="L6053" s="475" t="s">
        <v>141</v>
      </c>
      <c r="M6053" s="473"/>
    </row>
    <row r="6054" spans="1:13" ht="13.5">
      <c r="A6054" s="475" t="s">
        <v>5744</v>
      </c>
      <c r="B6054" s="475" t="s">
        <v>5745</v>
      </c>
      <c r="C6054" s="475" t="s">
        <v>5757</v>
      </c>
      <c r="D6054" s="475" t="s">
        <v>5758</v>
      </c>
      <c r="E6054" s="476" t="s">
        <v>34</v>
      </c>
      <c r="F6054" s="475" t="s">
        <v>34</v>
      </c>
      <c r="G6054" s="364">
        <v>97647</v>
      </c>
      <c r="H6054" s="475" t="s">
        <v>6057</v>
      </c>
      <c r="I6054" s="475" t="s">
        <v>322</v>
      </c>
      <c r="J6054" s="475" t="s">
        <v>337</v>
      </c>
      <c r="K6054" s="365">
        <v>2.39</v>
      </c>
      <c r="L6054" s="475" t="s">
        <v>141</v>
      </c>
      <c r="M6054" s="473"/>
    </row>
    <row r="6055" spans="1:13" ht="13.5">
      <c r="A6055" s="475" t="s">
        <v>5744</v>
      </c>
      <c r="B6055" s="475" t="s">
        <v>5745</v>
      </c>
      <c r="C6055" s="475" t="s">
        <v>5757</v>
      </c>
      <c r="D6055" s="475" t="s">
        <v>5758</v>
      </c>
      <c r="E6055" s="476" t="s">
        <v>34</v>
      </c>
      <c r="F6055" s="475" t="s">
        <v>34</v>
      </c>
      <c r="G6055" s="364">
        <v>97648</v>
      </c>
      <c r="H6055" s="475" t="s">
        <v>6058</v>
      </c>
      <c r="I6055" s="475" t="s">
        <v>322</v>
      </c>
      <c r="J6055" s="475" t="s">
        <v>337</v>
      </c>
      <c r="K6055" s="365">
        <v>1.38</v>
      </c>
      <c r="L6055" s="475" t="s">
        <v>141</v>
      </c>
      <c r="M6055" s="473"/>
    </row>
    <row r="6056" spans="1:13" ht="13.5">
      <c r="A6056" s="475" t="s">
        <v>5744</v>
      </c>
      <c r="B6056" s="475" t="s">
        <v>5745</v>
      </c>
      <c r="C6056" s="475" t="s">
        <v>5757</v>
      </c>
      <c r="D6056" s="475" t="s">
        <v>5758</v>
      </c>
      <c r="E6056" s="476" t="s">
        <v>34</v>
      </c>
      <c r="F6056" s="475" t="s">
        <v>34</v>
      </c>
      <c r="G6056" s="364">
        <v>97649</v>
      </c>
      <c r="H6056" s="475" t="s">
        <v>6059</v>
      </c>
      <c r="I6056" s="475" t="s">
        <v>322</v>
      </c>
      <c r="J6056" s="475" t="s">
        <v>140</v>
      </c>
      <c r="K6056" s="365">
        <v>2.96</v>
      </c>
      <c r="L6056" s="475" t="s">
        <v>141</v>
      </c>
      <c r="M6056" s="473"/>
    </row>
    <row r="6057" spans="1:13" ht="13.5">
      <c r="A6057" s="475" t="s">
        <v>5744</v>
      </c>
      <c r="B6057" s="475" t="s">
        <v>5745</v>
      </c>
      <c r="C6057" s="475" t="s">
        <v>5757</v>
      </c>
      <c r="D6057" s="475" t="s">
        <v>5758</v>
      </c>
      <c r="E6057" s="476" t="s">
        <v>34</v>
      </c>
      <c r="F6057" s="475" t="s">
        <v>34</v>
      </c>
      <c r="G6057" s="364">
        <v>97650</v>
      </c>
      <c r="H6057" s="475" t="s">
        <v>6060</v>
      </c>
      <c r="I6057" s="475" t="s">
        <v>322</v>
      </c>
      <c r="J6057" s="475" t="s">
        <v>337</v>
      </c>
      <c r="K6057" s="365">
        <v>5.15</v>
      </c>
      <c r="L6057" s="475" t="s">
        <v>141</v>
      </c>
      <c r="M6057" s="473"/>
    </row>
    <row r="6058" spans="1:13" ht="13.5">
      <c r="A6058" s="475" t="s">
        <v>5744</v>
      </c>
      <c r="B6058" s="475" t="s">
        <v>5745</v>
      </c>
      <c r="C6058" s="475" t="s">
        <v>5757</v>
      </c>
      <c r="D6058" s="475" t="s">
        <v>5758</v>
      </c>
      <c r="E6058" s="476" t="s">
        <v>34</v>
      </c>
      <c r="F6058" s="475" t="s">
        <v>34</v>
      </c>
      <c r="G6058" s="364">
        <v>97651</v>
      </c>
      <c r="H6058" s="475" t="s">
        <v>6061</v>
      </c>
      <c r="I6058" s="475" t="s">
        <v>171</v>
      </c>
      <c r="J6058" s="475" t="s">
        <v>337</v>
      </c>
      <c r="K6058" s="365">
        <v>57.04</v>
      </c>
      <c r="L6058" s="475" t="s">
        <v>141</v>
      </c>
      <c r="M6058" s="473"/>
    </row>
    <row r="6059" spans="1:13" ht="13.5">
      <c r="A6059" s="475" t="s">
        <v>5744</v>
      </c>
      <c r="B6059" s="475" t="s">
        <v>5745</v>
      </c>
      <c r="C6059" s="475" t="s">
        <v>5757</v>
      </c>
      <c r="D6059" s="475" t="s">
        <v>5758</v>
      </c>
      <c r="E6059" s="476" t="s">
        <v>34</v>
      </c>
      <c r="F6059" s="475" t="s">
        <v>34</v>
      </c>
      <c r="G6059" s="364">
        <v>97652</v>
      </c>
      <c r="H6059" s="475" t="s">
        <v>6062</v>
      </c>
      <c r="I6059" s="475" t="s">
        <v>171</v>
      </c>
      <c r="J6059" s="475" t="s">
        <v>337</v>
      </c>
      <c r="K6059" s="365">
        <v>129.32</v>
      </c>
      <c r="L6059" s="475" t="s">
        <v>141</v>
      </c>
      <c r="M6059" s="473"/>
    </row>
    <row r="6060" spans="1:13" ht="13.5">
      <c r="A6060" s="475" t="s">
        <v>5744</v>
      </c>
      <c r="B6060" s="475" t="s">
        <v>5745</v>
      </c>
      <c r="C6060" s="475" t="s">
        <v>5757</v>
      </c>
      <c r="D6060" s="475" t="s">
        <v>5758</v>
      </c>
      <c r="E6060" s="476" t="s">
        <v>34</v>
      </c>
      <c r="F6060" s="475" t="s">
        <v>34</v>
      </c>
      <c r="G6060" s="364">
        <v>97653</v>
      </c>
      <c r="H6060" s="475" t="s">
        <v>6063</v>
      </c>
      <c r="I6060" s="475" t="s">
        <v>171</v>
      </c>
      <c r="J6060" s="475" t="s">
        <v>140</v>
      </c>
      <c r="K6060" s="365">
        <v>82.22</v>
      </c>
      <c r="L6060" s="475" t="s">
        <v>141</v>
      </c>
      <c r="M6060" s="473"/>
    </row>
    <row r="6061" spans="1:13" ht="13.5">
      <c r="A6061" s="475" t="s">
        <v>5744</v>
      </c>
      <c r="B6061" s="475" t="s">
        <v>5745</v>
      </c>
      <c r="C6061" s="475" t="s">
        <v>5757</v>
      </c>
      <c r="D6061" s="475" t="s">
        <v>5758</v>
      </c>
      <c r="E6061" s="476" t="s">
        <v>34</v>
      </c>
      <c r="F6061" s="475" t="s">
        <v>34</v>
      </c>
      <c r="G6061" s="364">
        <v>97654</v>
      </c>
      <c r="H6061" s="475" t="s">
        <v>6064</v>
      </c>
      <c r="I6061" s="475" t="s">
        <v>171</v>
      </c>
      <c r="J6061" s="475" t="s">
        <v>140</v>
      </c>
      <c r="K6061" s="365">
        <v>102.01</v>
      </c>
      <c r="L6061" s="475" t="s">
        <v>141</v>
      </c>
      <c r="M6061" s="473"/>
    </row>
    <row r="6062" spans="1:13" ht="13.5">
      <c r="A6062" s="475" t="s">
        <v>5744</v>
      </c>
      <c r="B6062" s="475" t="s">
        <v>5745</v>
      </c>
      <c r="C6062" s="475" t="s">
        <v>5757</v>
      </c>
      <c r="D6062" s="475" t="s">
        <v>5758</v>
      </c>
      <c r="E6062" s="476" t="s">
        <v>34</v>
      </c>
      <c r="F6062" s="475" t="s">
        <v>34</v>
      </c>
      <c r="G6062" s="364">
        <v>97655</v>
      </c>
      <c r="H6062" s="475" t="s">
        <v>6065</v>
      </c>
      <c r="I6062" s="475" t="s">
        <v>322</v>
      </c>
      <c r="J6062" s="475" t="s">
        <v>140</v>
      </c>
      <c r="K6062" s="365">
        <v>14.7</v>
      </c>
      <c r="L6062" s="475" t="s">
        <v>141</v>
      </c>
      <c r="M6062" s="473"/>
    </row>
    <row r="6063" spans="1:13" ht="13.5">
      <c r="A6063" s="475" t="s">
        <v>5744</v>
      </c>
      <c r="B6063" s="475" t="s">
        <v>5745</v>
      </c>
      <c r="C6063" s="475" t="s">
        <v>5757</v>
      </c>
      <c r="D6063" s="475" t="s">
        <v>5758</v>
      </c>
      <c r="E6063" s="476" t="s">
        <v>34</v>
      </c>
      <c r="F6063" s="475" t="s">
        <v>34</v>
      </c>
      <c r="G6063" s="364">
        <v>97656</v>
      </c>
      <c r="H6063" s="475" t="s">
        <v>6066</v>
      </c>
      <c r="I6063" s="475" t="s">
        <v>171</v>
      </c>
      <c r="J6063" s="475" t="s">
        <v>140</v>
      </c>
      <c r="K6063" s="365">
        <v>147.79</v>
      </c>
      <c r="L6063" s="475" t="s">
        <v>141</v>
      </c>
      <c r="M6063" s="473"/>
    </row>
    <row r="6064" spans="1:13" ht="13.5">
      <c r="A6064" s="475" t="s">
        <v>5744</v>
      </c>
      <c r="B6064" s="475" t="s">
        <v>5745</v>
      </c>
      <c r="C6064" s="475" t="s">
        <v>5757</v>
      </c>
      <c r="D6064" s="475" t="s">
        <v>5758</v>
      </c>
      <c r="E6064" s="476" t="s">
        <v>34</v>
      </c>
      <c r="F6064" s="475" t="s">
        <v>34</v>
      </c>
      <c r="G6064" s="364">
        <v>97657</v>
      </c>
      <c r="H6064" s="475" t="s">
        <v>6067</v>
      </c>
      <c r="I6064" s="475" t="s">
        <v>171</v>
      </c>
      <c r="J6064" s="475" t="s">
        <v>140</v>
      </c>
      <c r="K6064" s="365">
        <v>292.95</v>
      </c>
      <c r="L6064" s="475" t="s">
        <v>141</v>
      </c>
      <c r="M6064" s="473"/>
    </row>
    <row r="6065" spans="1:13" ht="13.5">
      <c r="A6065" s="475" t="s">
        <v>5744</v>
      </c>
      <c r="B6065" s="475" t="s">
        <v>5745</v>
      </c>
      <c r="C6065" s="475" t="s">
        <v>5757</v>
      </c>
      <c r="D6065" s="475" t="s">
        <v>5758</v>
      </c>
      <c r="E6065" s="476" t="s">
        <v>34</v>
      </c>
      <c r="F6065" s="475" t="s">
        <v>34</v>
      </c>
      <c r="G6065" s="364">
        <v>97658</v>
      </c>
      <c r="H6065" s="475" t="s">
        <v>6068</v>
      </c>
      <c r="I6065" s="475" t="s">
        <v>171</v>
      </c>
      <c r="J6065" s="475" t="s">
        <v>140</v>
      </c>
      <c r="K6065" s="365">
        <v>118.08</v>
      </c>
      <c r="L6065" s="475" t="s">
        <v>141</v>
      </c>
      <c r="M6065" s="473"/>
    </row>
    <row r="6066" spans="1:13" ht="13.5">
      <c r="A6066" s="475" t="s">
        <v>5744</v>
      </c>
      <c r="B6066" s="475" t="s">
        <v>5745</v>
      </c>
      <c r="C6066" s="475" t="s">
        <v>5757</v>
      </c>
      <c r="D6066" s="475" t="s">
        <v>5758</v>
      </c>
      <c r="E6066" s="476" t="s">
        <v>34</v>
      </c>
      <c r="F6066" s="475" t="s">
        <v>34</v>
      </c>
      <c r="G6066" s="364">
        <v>97659</v>
      </c>
      <c r="H6066" s="475" t="s">
        <v>6069</v>
      </c>
      <c r="I6066" s="475" t="s">
        <v>171</v>
      </c>
      <c r="J6066" s="475" t="s">
        <v>140</v>
      </c>
      <c r="K6066" s="365">
        <v>159.83000000000001</v>
      </c>
      <c r="L6066" s="475" t="s">
        <v>141</v>
      </c>
      <c r="M6066" s="473"/>
    </row>
    <row r="6067" spans="1:13" ht="13.5">
      <c r="A6067" s="475" t="s">
        <v>5744</v>
      </c>
      <c r="B6067" s="475" t="s">
        <v>5745</v>
      </c>
      <c r="C6067" s="475" t="s">
        <v>5757</v>
      </c>
      <c r="D6067" s="475" t="s">
        <v>5758</v>
      </c>
      <c r="E6067" s="476" t="s">
        <v>34</v>
      </c>
      <c r="F6067" s="475" t="s">
        <v>34</v>
      </c>
      <c r="G6067" s="364">
        <v>97660</v>
      </c>
      <c r="H6067" s="475" t="s">
        <v>6070</v>
      </c>
      <c r="I6067" s="475" t="s">
        <v>171</v>
      </c>
      <c r="J6067" s="475" t="s">
        <v>363</v>
      </c>
      <c r="K6067" s="365">
        <v>0.44</v>
      </c>
      <c r="L6067" s="475" t="s">
        <v>141</v>
      </c>
      <c r="M6067" s="473"/>
    </row>
    <row r="6068" spans="1:13" ht="13.5">
      <c r="A6068" s="475" t="s">
        <v>5744</v>
      </c>
      <c r="B6068" s="475" t="s">
        <v>5745</v>
      </c>
      <c r="C6068" s="475" t="s">
        <v>5757</v>
      </c>
      <c r="D6068" s="475" t="s">
        <v>5758</v>
      </c>
      <c r="E6068" s="476" t="s">
        <v>34</v>
      </c>
      <c r="F6068" s="475" t="s">
        <v>34</v>
      </c>
      <c r="G6068" s="364">
        <v>97661</v>
      </c>
      <c r="H6068" s="475" t="s">
        <v>6071</v>
      </c>
      <c r="I6068" s="475" t="s">
        <v>139</v>
      </c>
      <c r="J6068" s="475" t="s">
        <v>363</v>
      </c>
      <c r="K6068" s="365">
        <v>0.44</v>
      </c>
      <c r="L6068" s="475" t="s">
        <v>141</v>
      </c>
      <c r="M6068" s="473"/>
    </row>
    <row r="6069" spans="1:13" ht="13.5">
      <c r="A6069" s="475" t="s">
        <v>5744</v>
      </c>
      <c r="B6069" s="475" t="s">
        <v>5745</v>
      </c>
      <c r="C6069" s="475" t="s">
        <v>5757</v>
      </c>
      <c r="D6069" s="475" t="s">
        <v>5758</v>
      </c>
      <c r="E6069" s="476" t="s">
        <v>34</v>
      </c>
      <c r="F6069" s="475" t="s">
        <v>34</v>
      </c>
      <c r="G6069" s="364">
        <v>97662</v>
      </c>
      <c r="H6069" s="475" t="s">
        <v>6072</v>
      </c>
      <c r="I6069" s="475" t="s">
        <v>139</v>
      </c>
      <c r="J6069" s="475" t="s">
        <v>363</v>
      </c>
      <c r="K6069" s="365">
        <v>0.33</v>
      </c>
      <c r="L6069" s="475" t="s">
        <v>141</v>
      </c>
      <c r="M6069" s="473"/>
    </row>
    <row r="6070" spans="1:13" ht="13.5">
      <c r="A6070" s="475" t="s">
        <v>5744</v>
      </c>
      <c r="B6070" s="475" t="s">
        <v>5745</v>
      </c>
      <c r="C6070" s="475" t="s">
        <v>5757</v>
      </c>
      <c r="D6070" s="475" t="s">
        <v>5758</v>
      </c>
      <c r="E6070" s="476" t="s">
        <v>34</v>
      </c>
      <c r="F6070" s="475" t="s">
        <v>34</v>
      </c>
      <c r="G6070" s="364">
        <v>97663</v>
      </c>
      <c r="H6070" s="475" t="s">
        <v>6073</v>
      </c>
      <c r="I6070" s="475" t="s">
        <v>171</v>
      </c>
      <c r="J6070" s="475" t="s">
        <v>363</v>
      </c>
      <c r="K6070" s="365">
        <v>8.25</v>
      </c>
      <c r="L6070" s="475" t="s">
        <v>141</v>
      </c>
      <c r="M6070" s="473"/>
    </row>
    <row r="6071" spans="1:13" ht="13.5">
      <c r="A6071" s="475" t="s">
        <v>5744</v>
      </c>
      <c r="B6071" s="475" t="s">
        <v>5745</v>
      </c>
      <c r="C6071" s="475" t="s">
        <v>5757</v>
      </c>
      <c r="D6071" s="475" t="s">
        <v>5758</v>
      </c>
      <c r="E6071" s="476" t="s">
        <v>34</v>
      </c>
      <c r="F6071" s="475" t="s">
        <v>34</v>
      </c>
      <c r="G6071" s="364">
        <v>97664</v>
      </c>
      <c r="H6071" s="475" t="s">
        <v>6074</v>
      </c>
      <c r="I6071" s="475" t="s">
        <v>171</v>
      </c>
      <c r="J6071" s="475" t="s">
        <v>363</v>
      </c>
      <c r="K6071" s="365">
        <v>1.02</v>
      </c>
      <c r="L6071" s="475" t="s">
        <v>141</v>
      </c>
      <c r="M6071" s="473"/>
    </row>
    <row r="6072" spans="1:13" ht="13.5">
      <c r="A6072" s="475" t="s">
        <v>5744</v>
      </c>
      <c r="B6072" s="475" t="s">
        <v>5745</v>
      </c>
      <c r="C6072" s="475" t="s">
        <v>5757</v>
      </c>
      <c r="D6072" s="475" t="s">
        <v>5758</v>
      </c>
      <c r="E6072" s="476" t="s">
        <v>34</v>
      </c>
      <c r="F6072" s="475" t="s">
        <v>34</v>
      </c>
      <c r="G6072" s="364">
        <v>97665</v>
      </c>
      <c r="H6072" s="475" t="s">
        <v>6075</v>
      </c>
      <c r="I6072" s="475" t="s">
        <v>171</v>
      </c>
      <c r="J6072" s="475" t="s">
        <v>363</v>
      </c>
      <c r="K6072" s="365">
        <v>0.86</v>
      </c>
      <c r="L6072" s="475" t="s">
        <v>141</v>
      </c>
      <c r="M6072" s="473"/>
    </row>
    <row r="6073" spans="1:13" ht="13.5">
      <c r="A6073" s="475" t="s">
        <v>5744</v>
      </c>
      <c r="B6073" s="475" t="s">
        <v>5745</v>
      </c>
      <c r="C6073" s="475" t="s">
        <v>5757</v>
      </c>
      <c r="D6073" s="475" t="s">
        <v>5758</v>
      </c>
      <c r="E6073" s="476" t="s">
        <v>34</v>
      </c>
      <c r="F6073" s="475" t="s">
        <v>34</v>
      </c>
      <c r="G6073" s="364">
        <v>97666</v>
      </c>
      <c r="H6073" s="475" t="s">
        <v>6076</v>
      </c>
      <c r="I6073" s="475" t="s">
        <v>171</v>
      </c>
      <c r="J6073" s="475" t="s">
        <v>363</v>
      </c>
      <c r="K6073" s="365">
        <v>6.02</v>
      </c>
      <c r="L6073" s="475" t="s">
        <v>141</v>
      </c>
      <c r="M6073" s="473"/>
    </row>
    <row r="6074" spans="1:13" ht="13.5">
      <c r="A6074" s="475" t="s">
        <v>5744</v>
      </c>
      <c r="B6074" s="475" t="s">
        <v>5745</v>
      </c>
      <c r="C6074" s="475" t="s">
        <v>5759</v>
      </c>
      <c r="D6074" s="475" t="s">
        <v>5760</v>
      </c>
      <c r="E6074" s="476" t="s">
        <v>34</v>
      </c>
      <c r="F6074" s="475" t="s">
        <v>34</v>
      </c>
      <c r="G6074" s="364">
        <v>85423</v>
      </c>
      <c r="H6074" s="475" t="s">
        <v>5037</v>
      </c>
      <c r="I6074" s="475" t="s">
        <v>322</v>
      </c>
      <c r="J6074" s="475" t="s">
        <v>140</v>
      </c>
      <c r="K6074" s="365">
        <v>6.65</v>
      </c>
      <c r="L6074" s="475" t="s">
        <v>141</v>
      </c>
      <c r="M6074" s="473"/>
    </row>
    <row r="6075" spans="1:13" ht="13.5">
      <c r="A6075" s="475" t="s">
        <v>5744</v>
      </c>
      <c r="B6075" s="475" t="s">
        <v>5745</v>
      </c>
      <c r="C6075" s="475" t="s">
        <v>5759</v>
      </c>
      <c r="D6075" s="475" t="s">
        <v>5760</v>
      </c>
      <c r="E6075" s="476" t="s">
        <v>34</v>
      </c>
      <c r="F6075" s="475" t="s">
        <v>34</v>
      </c>
      <c r="G6075" s="364">
        <v>85424</v>
      </c>
      <c r="H6075" s="475" t="s">
        <v>5038</v>
      </c>
      <c r="I6075" s="475" t="s">
        <v>322</v>
      </c>
      <c r="J6075" s="475" t="s">
        <v>140</v>
      </c>
      <c r="K6075" s="365">
        <v>19.899999999999999</v>
      </c>
      <c r="L6075" s="475" t="s">
        <v>141</v>
      </c>
      <c r="M6075" s="473"/>
    </row>
    <row r="6076" spans="1:13" ht="13.5">
      <c r="A6076" s="475" t="s">
        <v>5761</v>
      </c>
      <c r="B6076" s="475" t="s">
        <v>5762</v>
      </c>
      <c r="C6076" s="475" t="s">
        <v>5763</v>
      </c>
      <c r="D6076" s="475" t="s">
        <v>5764</v>
      </c>
      <c r="E6076" s="476" t="s">
        <v>34</v>
      </c>
      <c r="F6076" s="475" t="s">
        <v>34</v>
      </c>
      <c r="G6076" s="364">
        <v>95967</v>
      </c>
      <c r="H6076" s="475" t="s">
        <v>5039</v>
      </c>
      <c r="I6076" s="475" t="s">
        <v>67</v>
      </c>
      <c r="J6076" s="475" t="s">
        <v>337</v>
      </c>
      <c r="K6076" s="365">
        <v>101.74</v>
      </c>
      <c r="L6076" s="475" t="s">
        <v>141</v>
      </c>
      <c r="M6076" s="473"/>
    </row>
    <row r="6077" spans="1:13" ht="13.5">
      <c r="A6077" s="475" t="s">
        <v>5761</v>
      </c>
      <c r="B6077" s="475" t="s">
        <v>5762</v>
      </c>
      <c r="C6077" s="475" t="s">
        <v>5765</v>
      </c>
      <c r="D6077" s="475" t="s">
        <v>5766</v>
      </c>
      <c r="E6077" s="476" t="s">
        <v>34</v>
      </c>
      <c r="F6077" s="475" t="s">
        <v>34</v>
      </c>
      <c r="G6077" s="364">
        <v>99058</v>
      </c>
      <c r="H6077" s="475" t="s">
        <v>7805</v>
      </c>
      <c r="I6077" s="475" t="s">
        <v>171</v>
      </c>
      <c r="J6077" s="475" t="s">
        <v>140</v>
      </c>
      <c r="K6077" s="365">
        <v>6.2</v>
      </c>
      <c r="L6077" s="475" t="s">
        <v>141</v>
      </c>
      <c r="M6077" s="473"/>
    </row>
    <row r="6078" spans="1:13" ht="13.5">
      <c r="A6078" s="475" t="s">
        <v>5761</v>
      </c>
      <c r="B6078" s="475" t="s">
        <v>5762</v>
      </c>
      <c r="C6078" s="475" t="s">
        <v>5765</v>
      </c>
      <c r="D6078" s="475" t="s">
        <v>5766</v>
      </c>
      <c r="E6078" s="476" t="s">
        <v>34</v>
      </c>
      <c r="F6078" s="475" t="s">
        <v>34</v>
      </c>
      <c r="G6078" s="364">
        <v>99059</v>
      </c>
      <c r="H6078" s="475" t="s">
        <v>7806</v>
      </c>
      <c r="I6078" s="475" t="s">
        <v>139</v>
      </c>
      <c r="J6078" s="475" t="s">
        <v>337</v>
      </c>
      <c r="K6078" s="365">
        <v>36.86</v>
      </c>
      <c r="L6078" s="475" t="s">
        <v>141</v>
      </c>
      <c r="M6078" s="473"/>
    </row>
    <row r="6079" spans="1:13" ht="13.5">
      <c r="A6079" s="475" t="s">
        <v>5761</v>
      </c>
      <c r="B6079" s="475" t="s">
        <v>5762</v>
      </c>
      <c r="C6079" s="475" t="s">
        <v>5765</v>
      </c>
      <c r="D6079" s="475" t="s">
        <v>5766</v>
      </c>
      <c r="E6079" s="476" t="s">
        <v>34</v>
      </c>
      <c r="F6079" s="475" t="s">
        <v>34</v>
      </c>
      <c r="G6079" s="364">
        <v>99060</v>
      </c>
      <c r="H6079" s="475" t="s">
        <v>7807</v>
      </c>
      <c r="I6079" s="475" t="s">
        <v>171</v>
      </c>
      <c r="J6079" s="475" t="s">
        <v>337</v>
      </c>
      <c r="K6079" s="365">
        <v>97.17</v>
      </c>
      <c r="L6079" s="475" t="s">
        <v>141</v>
      </c>
      <c r="M6079" s="473"/>
    </row>
    <row r="6080" spans="1:13" ht="13.5">
      <c r="A6080" s="475" t="s">
        <v>5761</v>
      </c>
      <c r="B6080" s="475" t="s">
        <v>5762</v>
      </c>
      <c r="C6080" s="475" t="s">
        <v>5765</v>
      </c>
      <c r="D6080" s="475" t="s">
        <v>5766</v>
      </c>
      <c r="E6080" s="476" t="s">
        <v>34</v>
      </c>
      <c r="F6080" s="475" t="s">
        <v>34</v>
      </c>
      <c r="G6080" s="364">
        <v>99061</v>
      </c>
      <c r="H6080" s="475" t="s">
        <v>7808</v>
      </c>
      <c r="I6080" s="475" t="s">
        <v>171</v>
      </c>
      <c r="J6080" s="475" t="s">
        <v>337</v>
      </c>
      <c r="K6080" s="365">
        <v>64.14</v>
      </c>
      <c r="L6080" s="475" t="s">
        <v>141</v>
      </c>
      <c r="M6080" s="473"/>
    </row>
    <row r="6081" spans="1:13" ht="13.5">
      <c r="A6081" s="475" t="s">
        <v>5761</v>
      </c>
      <c r="B6081" s="475" t="s">
        <v>5762</v>
      </c>
      <c r="C6081" s="475" t="s">
        <v>5765</v>
      </c>
      <c r="D6081" s="475" t="s">
        <v>5766</v>
      </c>
      <c r="E6081" s="476" t="s">
        <v>34</v>
      </c>
      <c r="F6081" s="475" t="s">
        <v>34</v>
      </c>
      <c r="G6081" s="364">
        <v>99062</v>
      </c>
      <c r="H6081" s="475" t="s">
        <v>7809</v>
      </c>
      <c r="I6081" s="475" t="s">
        <v>171</v>
      </c>
      <c r="J6081" s="475" t="s">
        <v>337</v>
      </c>
      <c r="K6081" s="365">
        <v>1.78</v>
      </c>
      <c r="L6081" s="475" t="s">
        <v>141</v>
      </c>
      <c r="M6081" s="473"/>
    </row>
    <row r="6082" spans="1:13" ht="13.5">
      <c r="A6082" s="475" t="s">
        <v>5761</v>
      </c>
      <c r="B6082" s="475" t="s">
        <v>5762</v>
      </c>
      <c r="C6082" s="475" t="s">
        <v>5765</v>
      </c>
      <c r="D6082" s="475" t="s">
        <v>5766</v>
      </c>
      <c r="E6082" s="476" t="s">
        <v>34</v>
      </c>
      <c r="F6082" s="475" t="s">
        <v>34</v>
      </c>
      <c r="G6082" s="364">
        <v>99063</v>
      </c>
      <c r="H6082" s="475" t="s">
        <v>7810</v>
      </c>
      <c r="I6082" s="475" t="s">
        <v>139</v>
      </c>
      <c r="J6082" s="475" t="s">
        <v>337</v>
      </c>
      <c r="K6082" s="365">
        <v>3.2</v>
      </c>
      <c r="L6082" s="475" t="s">
        <v>141</v>
      </c>
      <c r="M6082" s="473"/>
    </row>
    <row r="6083" spans="1:13" ht="13.5">
      <c r="A6083" s="475" t="s">
        <v>5761</v>
      </c>
      <c r="B6083" s="475" t="s">
        <v>5762</v>
      </c>
      <c r="C6083" s="475" t="s">
        <v>5765</v>
      </c>
      <c r="D6083" s="475" t="s">
        <v>5766</v>
      </c>
      <c r="E6083" s="476" t="s">
        <v>34</v>
      </c>
      <c r="F6083" s="475" t="s">
        <v>34</v>
      </c>
      <c r="G6083" s="364">
        <v>99064</v>
      </c>
      <c r="H6083" s="475" t="s">
        <v>7811</v>
      </c>
      <c r="I6083" s="475" t="s">
        <v>139</v>
      </c>
      <c r="J6083" s="475" t="s">
        <v>140</v>
      </c>
      <c r="K6083" s="365">
        <v>0.31</v>
      </c>
      <c r="L6083" s="475" t="s">
        <v>141</v>
      </c>
      <c r="M6083" s="473"/>
    </row>
    <row r="6084" spans="1:13" ht="13.5">
      <c r="A6084" s="475" t="s">
        <v>5761</v>
      </c>
      <c r="B6084" s="475" t="s">
        <v>5762</v>
      </c>
      <c r="C6084" s="475" t="s">
        <v>5767</v>
      </c>
      <c r="D6084" s="475" t="s">
        <v>5768</v>
      </c>
      <c r="E6084" s="476" t="s">
        <v>34</v>
      </c>
      <c r="F6084" s="475" t="s">
        <v>34</v>
      </c>
      <c r="G6084" s="364">
        <v>78472</v>
      </c>
      <c r="H6084" s="475" t="s">
        <v>5040</v>
      </c>
      <c r="I6084" s="475" t="s">
        <v>322</v>
      </c>
      <c r="J6084" s="475" t="s">
        <v>337</v>
      </c>
      <c r="K6084" s="365">
        <v>0.3</v>
      </c>
      <c r="L6084" s="475" t="s">
        <v>141</v>
      </c>
      <c r="M6084" s="473"/>
    </row>
    <row r="6085" spans="1:13" ht="13.5">
      <c r="A6085" s="475" t="s">
        <v>5769</v>
      </c>
      <c r="B6085" s="475" t="s">
        <v>5770</v>
      </c>
      <c r="C6085" s="475" t="s">
        <v>5771</v>
      </c>
      <c r="D6085" s="475" t="s">
        <v>5772</v>
      </c>
      <c r="E6085" s="476" t="s">
        <v>34</v>
      </c>
      <c r="F6085" s="475" t="s">
        <v>34</v>
      </c>
      <c r="G6085" s="364">
        <v>93588</v>
      </c>
      <c r="H6085" s="475" t="s">
        <v>5041</v>
      </c>
      <c r="I6085" s="475" t="s">
        <v>4060</v>
      </c>
      <c r="J6085" s="475" t="s">
        <v>140</v>
      </c>
      <c r="K6085" s="365">
        <v>1.56</v>
      </c>
      <c r="L6085" s="475" t="s">
        <v>141</v>
      </c>
      <c r="M6085" s="473"/>
    </row>
    <row r="6086" spans="1:13" ht="13.5">
      <c r="A6086" s="475" t="s">
        <v>5769</v>
      </c>
      <c r="B6086" s="475" t="s">
        <v>5770</v>
      </c>
      <c r="C6086" s="475" t="s">
        <v>5771</v>
      </c>
      <c r="D6086" s="475" t="s">
        <v>5772</v>
      </c>
      <c r="E6086" s="476" t="s">
        <v>34</v>
      </c>
      <c r="F6086" s="475" t="s">
        <v>34</v>
      </c>
      <c r="G6086" s="364">
        <v>93589</v>
      </c>
      <c r="H6086" s="475" t="s">
        <v>5042</v>
      </c>
      <c r="I6086" s="475" t="s">
        <v>4060</v>
      </c>
      <c r="J6086" s="475" t="s">
        <v>140</v>
      </c>
      <c r="K6086" s="365">
        <v>1.19</v>
      </c>
      <c r="L6086" s="475" t="s">
        <v>141</v>
      </c>
      <c r="M6086" s="473"/>
    </row>
    <row r="6087" spans="1:13" ht="13.5">
      <c r="A6087" s="475" t="s">
        <v>5769</v>
      </c>
      <c r="B6087" s="475" t="s">
        <v>5770</v>
      </c>
      <c r="C6087" s="475" t="s">
        <v>5771</v>
      </c>
      <c r="D6087" s="475" t="s">
        <v>5772</v>
      </c>
      <c r="E6087" s="476" t="s">
        <v>34</v>
      </c>
      <c r="F6087" s="475" t="s">
        <v>34</v>
      </c>
      <c r="G6087" s="364">
        <v>93590</v>
      </c>
      <c r="H6087" s="475" t="s">
        <v>5043</v>
      </c>
      <c r="I6087" s="475" t="s">
        <v>4060</v>
      </c>
      <c r="J6087" s="475" t="s">
        <v>140</v>
      </c>
      <c r="K6087" s="365">
        <v>0.79</v>
      </c>
      <c r="L6087" s="475" t="s">
        <v>141</v>
      </c>
      <c r="M6087" s="473"/>
    </row>
    <row r="6088" spans="1:13" ht="13.5">
      <c r="A6088" s="475" t="s">
        <v>5769</v>
      </c>
      <c r="B6088" s="475" t="s">
        <v>5770</v>
      </c>
      <c r="C6088" s="475" t="s">
        <v>5771</v>
      </c>
      <c r="D6088" s="475" t="s">
        <v>5772</v>
      </c>
      <c r="E6088" s="476" t="s">
        <v>34</v>
      </c>
      <c r="F6088" s="475" t="s">
        <v>34</v>
      </c>
      <c r="G6088" s="364">
        <v>93591</v>
      </c>
      <c r="H6088" s="475" t="s">
        <v>5044</v>
      </c>
      <c r="I6088" s="475" t="s">
        <v>4060</v>
      </c>
      <c r="J6088" s="475" t="s">
        <v>140</v>
      </c>
      <c r="K6088" s="365">
        <v>1.36</v>
      </c>
      <c r="L6088" s="475" t="s">
        <v>141</v>
      </c>
      <c r="M6088" s="473"/>
    </row>
    <row r="6089" spans="1:13" ht="13.5">
      <c r="A6089" s="475" t="s">
        <v>5769</v>
      </c>
      <c r="B6089" s="475" t="s">
        <v>5770</v>
      </c>
      <c r="C6089" s="475" t="s">
        <v>5771</v>
      </c>
      <c r="D6089" s="475" t="s">
        <v>5772</v>
      </c>
      <c r="E6089" s="476" t="s">
        <v>34</v>
      </c>
      <c r="F6089" s="475" t="s">
        <v>34</v>
      </c>
      <c r="G6089" s="364">
        <v>93592</v>
      </c>
      <c r="H6089" s="475" t="s">
        <v>5045</v>
      </c>
      <c r="I6089" s="475" t="s">
        <v>4060</v>
      </c>
      <c r="J6089" s="475" t="s">
        <v>140</v>
      </c>
      <c r="K6089" s="365">
        <v>1.03</v>
      </c>
      <c r="L6089" s="475" t="s">
        <v>141</v>
      </c>
      <c r="M6089" s="473"/>
    </row>
    <row r="6090" spans="1:13" ht="13.5">
      <c r="A6090" s="475" t="s">
        <v>5769</v>
      </c>
      <c r="B6090" s="475" t="s">
        <v>5770</v>
      </c>
      <c r="C6090" s="475" t="s">
        <v>5771</v>
      </c>
      <c r="D6090" s="475" t="s">
        <v>5772</v>
      </c>
      <c r="E6090" s="476" t="s">
        <v>34</v>
      </c>
      <c r="F6090" s="475" t="s">
        <v>34</v>
      </c>
      <c r="G6090" s="364">
        <v>93593</v>
      </c>
      <c r="H6090" s="475" t="s">
        <v>5046</v>
      </c>
      <c r="I6090" s="475" t="s">
        <v>4060</v>
      </c>
      <c r="J6090" s="475" t="s">
        <v>140</v>
      </c>
      <c r="K6090" s="365">
        <v>0.69</v>
      </c>
      <c r="L6090" s="475" t="s">
        <v>141</v>
      </c>
      <c r="M6090" s="473"/>
    </row>
    <row r="6091" spans="1:13" ht="13.5">
      <c r="A6091" s="475" t="s">
        <v>5769</v>
      </c>
      <c r="B6091" s="475" t="s">
        <v>5770</v>
      </c>
      <c r="C6091" s="475" t="s">
        <v>5771</v>
      </c>
      <c r="D6091" s="475" t="s">
        <v>5772</v>
      </c>
      <c r="E6091" s="476" t="s">
        <v>34</v>
      </c>
      <c r="F6091" s="475" t="s">
        <v>34</v>
      </c>
      <c r="G6091" s="364">
        <v>93594</v>
      </c>
      <c r="H6091" s="475" t="s">
        <v>6152</v>
      </c>
      <c r="I6091" s="475" t="s">
        <v>4049</v>
      </c>
      <c r="J6091" s="475" t="s">
        <v>140</v>
      </c>
      <c r="K6091" s="365">
        <v>1.04</v>
      </c>
      <c r="L6091" s="475" t="s">
        <v>141</v>
      </c>
      <c r="M6091" s="473"/>
    </row>
    <row r="6092" spans="1:13" ht="13.5">
      <c r="A6092" s="475" t="s">
        <v>5769</v>
      </c>
      <c r="B6092" s="475" t="s">
        <v>5770</v>
      </c>
      <c r="C6092" s="475" t="s">
        <v>5771</v>
      </c>
      <c r="D6092" s="475" t="s">
        <v>5772</v>
      </c>
      <c r="E6092" s="476" t="s">
        <v>34</v>
      </c>
      <c r="F6092" s="475" t="s">
        <v>34</v>
      </c>
      <c r="G6092" s="364">
        <v>93595</v>
      </c>
      <c r="H6092" s="475" t="s">
        <v>6153</v>
      </c>
      <c r="I6092" s="475" t="s">
        <v>4049</v>
      </c>
      <c r="J6092" s="475" t="s">
        <v>140</v>
      </c>
      <c r="K6092" s="365">
        <v>0.79</v>
      </c>
      <c r="L6092" s="475" t="s">
        <v>141</v>
      </c>
      <c r="M6092" s="473"/>
    </row>
    <row r="6093" spans="1:13" ht="13.5">
      <c r="A6093" s="475" t="s">
        <v>5769</v>
      </c>
      <c r="B6093" s="475" t="s">
        <v>5770</v>
      </c>
      <c r="C6093" s="475" t="s">
        <v>5771</v>
      </c>
      <c r="D6093" s="475" t="s">
        <v>5772</v>
      </c>
      <c r="E6093" s="476" t="s">
        <v>34</v>
      </c>
      <c r="F6093" s="475" t="s">
        <v>34</v>
      </c>
      <c r="G6093" s="364">
        <v>93596</v>
      </c>
      <c r="H6093" s="475" t="s">
        <v>6154</v>
      </c>
      <c r="I6093" s="475" t="s">
        <v>4049</v>
      </c>
      <c r="J6093" s="475" t="s">
        <v>140</v>
      </c>
      <c r="K6093" s="365">
        <v>0.53</v>
      </c>
      <c r="L6093" s="475" t="s">
        <v>141</v>
      </c>
      <c r="M6093" s="473"/>
    </row>
    <row r="6094" spans="1:13" ht="13.5">
      <c r="A6094" s="475" t="s">
        <v>5769</v>
      </c>
      <c r="B6094" s="475" t="s">
        <v>5770</v>
      </c>
      <c r="C6094" s="475" t="s">
        <v>5771</v>
      </c>
      <c r="D6094" s="475" t="s">
        <v>5772</v>
      </c>
      <c r="E6094" s="476" t="s">
        <v>34</v>
      </c>
      <c r="F6094" s="475" t="s">
        <v>34</v>
      </c>
      <c r="G6094" s="364">
        <v>93597</v>
      </c>
      <c r="H6094" s="475" t="s">
        <v>6155</v>
      </c>
      <c r="I6094" s="475" t="s">
        <v>4049</v>
      </c>
      <c r="J6094" s="475" t="s">
        <v>140</v>
      </c>
      <c r="K6094" s="365">
        <v>0.9</v>
      </c>
      <c r="L6094" s="475" t="s">
        <v>141</v>
      </c>
      <c r="M6094" s="473"/>
    </row>
    <row r="6095" spans="1:13" ht="13.5">
      <c r="A6095" s="475" t="s">
        <v>5769</v>
      </c>
      <c r="B6095" s="475" t="s">
        <v>5770</v>
      </c>
      <c r="C6095" s="475" t="s">
        <v>5771</v>
      </c>
      <c r="D6095" s="475" t="s">
        <v>5772</v>
      </c>
      <c r="E6095" s="476" t="s">
        <v>34</v>
      </c>
      <c r="F6095" s="475" t="s">
        <v>34</v>
      </c>
      <c r="G6095" s="364">
        <v>93598</v>
      </c>
      <c r="H6095" s="475" t="s">
        <v>6156</v>
      </c>
      <c r="I6095" s="475" t="s">
        <v>4049</v>
      </c>
      <c r="J6095" s="475" t="s">
        <v>140</v>
      </c>
      <c r="K6095" s="365">
        <v>0.69</v>
      </c>
      <c r="L6095" s="475" t="s">
        <v>141</v>
      </c>
      <c r="M6095" s="473"/>
    </row>
    <row r="6096" spans="1:13" ht="13.5">
      <c r="A6096" s="475" t="s">
        <v>5769</v>
      </c>
      <c r="B6096" s="475" t="s">
        <v>5770</v>
      </c>
      <c r="C6096" s="475" t="s">
        <v>5771</v>
      </c>
      <c r="D6096" s="475" t="s">
        <v>5772</v>
      </c>
      <c r="E6096" s="476" t="s">
        <v>34</v>
      </c>
      <c r="F6096" s="475" t="s">
        <v>34</v>
      </c>
      <c r="G6096" s="364">
        <v>93599</v>
      </c>
      <c r="H6096" s="475" t="s">
        <v>6157</v>
      </c>
      <c r="I6096" s="475" t="s">
        <v>4049</v>
      </c>
      <c r="J6096" s="475" t="s">
        <v>140</v>
      </c>
      <c r="K6096" s="365">
        <v>0.46</v>
      </c>
      <c r="L6096" s="475" t="s">
        <v>141</v>
      </c>
      <c r="M6096" s="473"/>
    </row>
    <row r="6097" spans="1:13" ht="13.5">
      <c r="A6097" s="475" t="s">
        <v>5769</v>
      </c>
      <c r="B6097" s="475" t="s">
        <v>5770</v>
      </c>
      <c r="C6097" s="475" t="s">
        <v>5771</v>
      </c>
      <c r="D6097" s="475" t="s">
        <v>5772</v>
      </c>
      <c r="E6097" s="476" t="s">
        <v>34</v>
      </c>
      <c r="F6097" s="475" t="s">
        <v>34</v>
      </c>
      <c r="G6097" s="364">
        <v>95425</v>
      </c>
      <c r="H6097" s="475" t="s">
        <v>5047</v>
      </c>
      <c r="I6097" s="475" t="s">
        <v>4060</v>
      </c>
      <c r="J6097" s="475" t="s">
        <v>140</v>
      </c>
      <c r="K6097" s="365">
        <v>1.17</v>
      </c>
      <c r="L6097" s="475" t="s">
        <v>141</v>
      </c>
      <c r="M6097" s="473"/>
    </row>
    <row r="6098" spans="1:13" ht="13.5">
      <c r="A6098" s="475" t="s">
        <v>5769</v>
      </c>
      <c r="B6098" s="475" t="s">
        <v>5770</v>
      </c>
      <c r="C6098" s="475" t="s">
        <v>5771</v>
      </c>
      <c r="D6098" s="475" t="s">
        <v>5772</v>
      </c>
      <c r="E6098" s="476" t="s">
        <v>34</v>
      </c>
      <c r="F6098" s="475" t="s">
        <v>34</v>
      </c>
      <c r="G6098" s="364">
        <v>95426</v>
      </c>
      <c r="H6098" s="475" t="s">
        <v>5048</v>
      </c>
      <c r="I6098" s="475" t="s">
        <v>4060</v>
      </c>
      <c r="J6098" s="475" t="s">
        <v>140</v>
      </c>
      <c r="K6098" s="365">
        <v>0.89</v>
      </c>
      <c r="L6098" s="475" t="s">
        <v>141</v>
      </c>
      <c r="M6098" s="473"/>
    </row>
    <row r="6099" spans="1:13" ht="13.5">
      <c r="A6099" s="475" t="s">
        <v>5769</v>
      </c>
      <c r="B6099" s="475" t="s">
        <v>5770</v>
      </c>
      <c r="C6099" s="475" t="s">
        <v>5771</v>
      </c>
      <c r="D6099" s="475" t="s">
        <v>5772</v>
      </c>
      <c r="E6099" s="476" t="s">
        <v>34</v>
      </c>
      <c r="F6099" s="475" t="s">
        <v>34</v>
      </c>
      <c r="G6099" s="364">
        <v>95427</v>
      </c>
      <c r="H6099" s="475" t="s">
        <v>5049</v>
      </c>
      <c r="I6099" s="475" t="s">
        <v>4060</v>
      </c>
      <c r="J6099" s="475" t="s">
        <v>140</v>
      </c>
      <c r="K6099" s="365">
        <v>0.59</v>
      </c>
      <c r="L6099" s="475" t="s">
        <v>141</v>
      </c>
      <c r="M6099" s="473"/>
    </row>
    <row r="6100" spans="1:13" ht="13.5">
      <c r="A6100" s="475" t="s">
        <v>5769</v>
      </c>
      <c r="B6100" s="475" t="s">
        <v>5770</v>
      </c>
      <c r="C6100" s="475" t="s">
        <v>5771</v>
      </c>
      <c r="D6100" s="475" t="s">
        <v>5772</v>
      </c>
      <c r="E6100" s="476" t="s">
        <v>34</v>
      </c>
      <c r="F6100" s="475" t="s">
        <v>34</v>
      </c>
      <c r="G6100" s="364">
        <v>95428</v>
      </c>
      <c r="H6100" s="475" t="s">
        <v>6158</v>
      </c>
      <c r="I6100" s="475" t="s">
        <v>4049</v>
      </c>
      <c r="J6100" s="475" t="s">
        <v>140</v>
      </c>
      <c r="K6100" s="365">
        <v>0.78</v>
      </c>
      <c r="L6100" s="475" t="s">
        <v>141</v>
      </c>
      <c r="M6100" s="473"/>
    </row>
    <row r="6101" spans="1:13" ht="13.5">
      <c r="A6101" s="475" t="s">
        <v>5769</v>
      </c>
      <c r="B6101" s="475" t="s">
        <v>5770</v>
      </c>
      <c r="C6101" s="475" t="s">
        <v>5771</v>
      </c>
      <c r="D6101" s="475" t="s">
        <v>5772</v>
      </c>
      <c r="E6101" s="476" t="s">
        <v>34</v>
      </c>
      <c r="F6101" s="475" t="s">
        <v>34</v>
      </c>
      <c r="G6101" s="364">
        <v>95429</v>
      </c>
      <c r="H6101" s="475" t="s">
        <v>6159</v>
      </c>
      <c r="I6101" s="475" t="s">
        <v>4049</v>
      </c>
      <c r="J6101" s="475" t="s">
        <v>140</v>
      </c>
      <c r="K6101" s="365">
        <v>0.59</v>
      </c>
      <c r="L6101" s="475" t="s">
        <v>141</v>
      </c>
      <c r="M6101" s="473"/>
    </row>
    <row r="6102" spans="1:13" ht="13.5">
      <c r="A6102" s="475" t="s">
        <v>5769</v>
      </c>
      <c r="B6102" s="475" t="s">
        <v>5770</v>
      </c>
      <c r="C6102" s="475" t="s">
        <v>5771</v>
      </c>
      <c r="D6102" s="475" t="s">
        <v>5772</v>
      </c>
      <c r="E6102" s="476" t="s">
        <v>34</v>
      </c>
      <c r="F6102" s="475" t="s">
        <v>34</v>
      </c>
      <c r="G6102" s="364">
        <v>95430</v>
      </c>
      <c r="H6102" s="475" t="s">
        <v>6160</v>
      </c>
      <c r="I6102" s="475" t="s">
        <v>4049</v>
      </c>
      <c r="J6102" s="475" t="s">
        <v>140</v>
      </c>
      <c r="K6102" s="365">
        <v>0.39</v>
      </c>
      <c r="L6102" s="475" t="s">
        <v>141</v>
      </c>
      <c r="M6102" s="473"/>
    </row>
    <row r="6103" spans="1:13" ht="13.5">
      <c r="A6103" s="475" t="s">
        <v>5769</v>
      </c>
      <c r="B6103" s="475" t="s">
        <v>5770</v>
      </c>
      <c r="C6103" s="475" t="s">
        <v>5771</v>
      </c>
      <c r="D6103" s="475" t="s">
        <v>5772</v>
      </c>
      <c r="E6103" s="476" t="s">
        <v>34</v>
      </c>
      <c r="F6103" s="475" t="s">
        <v>34</v>
      </c>
      <c r="G6103" s="364">
        <v>95875</v>
      </c>
      <c r="H6103" s="475" t="s">
        <v>5050</v>
      </c>
      <c r="I6103" s="475" t="s">
        <v>4060</v>
      </c>
      <c r="J6103" s="475" t="s">
        <v>140</v>
      </c>
      <c r="K6103" s="365">
        <v>1.1200000000000001</v>
      </c>
      <c r="L6103" s="475" t="s">
        <v>141</v>
      </c>
      <c r="M6103" s="473"/>
    </row>
    <row r="6104" spans="1:13" ht="13.5">
      <c r="A6104" s="475" t="s">
        <v>5769</v>
      </c>
      <c r="B6104" s="475" t="s">
        <v>5770</v>
      </c>
      <c r="C6104" s="475" t="s">
        <v>5771</v>
      </c>
      <c r="D6104" s="475" t="s">
        <v>5772</v>
      </c>
      <c r="E6104" s="476" t="s">
        <v>34</v>
      </c>
      <c r="F6104" s="475" t="s">
        <v>34</v>
      </c>
      <c r="G6104" s="364">
        <v>95876</v>
      </c>
      <c r="H6104" s="475" t="s">
        <v>5051</v>
      </c>
      <c r="I6104" s="475" t="s">
        <v>4060</v>
      </c>
      <c r="J6104" s="475" t="s">
        <v>140</v>
      </c>
      <c r="K6104" s="365">
        <v>0.97</v>
      </c>
      <c r="L6104" s="475" t="s">
        <v>141</v>
      </c>
      <c r="M6104" s="473"/>
    </row>
    <row r="6105" spans="1:13" ht="13.5">
      <c r="A6105" s="475" t="s">
        <v>5769</v>
      </c>
      <c r="B6105" s="475" t="s">
        <v>5770</v>
      </c>
      <c r="C6105" s="475" t="s">
        <v>5771</v>
      </c>
      <c r="D6105" s="475" t="s">
        <v>5772</v>
      </c>
      <c r="E6105" s="476" t="s">
        <v>34</v>
      </c>
      <c r="F6105" s="475" t="s">
        <v>34</v>
      </c>
      <c r="G6105" s="364">
        <v>95877</v>
      </c>
      <c r="H6105" s="475" t="s">
        <v>5052</v>
      </c>
      <c r="I6105" s="475" t="s">
        <v>4060</v>
      </c>
      <c r="J6105" s="475" t="s">
        <v>140</v>
      </c>
      <c r="K6105" s="365">
        <v>0.84</v>
      </c>
      <c r="L6105" s="475" t="s">
        <v>141</v>
      </c>
      <c r="M6105" s="473"/>
    </row>
    <row r="6106" spans="1:13" ht="13.5">
      <c r="A6106" s="475" t="s">
        <v>5769</v>
      </c>
      <c r="B6106" s="475" t="s">
        <v>5770</v>
      </c>
      <c r="C6106" s="475" t="s">
        <v>5771</v>
      </c>
      <c r="D6106" s="475" t="s">
        <v>5772</v>
      </c>
      <c r="E6106" s="476" t="s">
        <v>34</v>
      </c>
      <c r="F6106" s="475" t="s">
        <v>34</v>
      </c>
      <c r="G6106" s="364">
        <v>95878</v>
      </c>
      <c r="H6106" s="475" t="s">
        <v>6161</v>
      </c>
      <c r="I6106" s="475" t="s">
        <v>4049</v>
      </c>
      <c r="J6106" s="475" t="s">
        <v>140</v>
      </c>
      <c r="K6106" s="365">
        <v>0.74</v>
      </c>
      <c r="L6106" s="475" t="s">
        <v>141</v>
      </c>
      <c r="M6106" s="473"/>
    </row>
    <row r="6107" spans="1:13" ht="13.5">
      <c r="A6107" s="475" t="s">
        <v>5769</v>
      </c>
      <c r="B6107" s="475" t="s">
        <v>5770</v>
      </c>
      <c r="C6107" s="475" t="s">
        <v>5771</v>
      </c>
      <c r="D6107" s="475" t="s">
        <v>5772</v>
      </c>
      <c r="E6107" s="476" t="s">
        <v>34</v>
      </c>
      <c r="F6107" s="475" t="s">
        <v>34</v>
      </c>
      <c r="G6107" s="364">
        <v>95879</v>
      </c>
      <c r="H6107" s="475" t="s">
        <v>6162</v>
      </c>
      <c r="I6107" s="475" t="s">
        <v>4049</v>
      </c>
      <c r="J6107" s="475" t="s">
        <v>140</v>
      </c>
      <c r="K6107" s="365">
        <v>0.64</v>
      </c>
      <c r="L6107" s="475" t="s">
        <v>141</v>
      </c>
      <c r="M6107" s="473"/>
    </row>
    <row r="6108" spans="1:13" ht="13.5">
      <c r="A6108" s="475" t="s">
        <v>5769</v>
      </c>
      <c r="B6108" s="475" t="s">
        <v>5770</v>
      </c>
      <c r="C6108" s="475" t="s">
        <v>5771</v>
      </c>
      <c r="D6108" s="475" t="s">
        <v>5772</v>
      </c>
      <c r="E6108" s="476" t="s">
        <v>34</v>
      </c>
      <c r="F6108" s="475" t="s">
        <v>34</v>
      </c>
      <c r="G6108" s="364">
        <v>95880</v>
      </c>
      <c r="H6108" s="475" t="s">
        <v>6163</v>
      </c>
      <c r="I6108" s="475" t="s">
        <v>4049</v>
      </c>
      <c r="J6108" s="475" t="s">
        <v>140</v>
      </c>
      <c r="K6108" s="365">
        <v>0.56000000000000005</v>
      </c>
      <c r="L6108" s="475" t="s">
        <v>141</v>
      </c>
      <c r="M6108" s="473"/>
    </row>
    <row r="6109" spans="1:13" ht="13.5">
      <c r="A6109" s="475" t="s">
        <v>5769</v>
      </c>
      <c r="B6109" s="475" t="s">
        <v>5770</v>
      </c>
      <c r="C6109" s="475" t="s">
        <v>5773</v>
      </c>
      <c r="D6109" s="475" t="s">
        <v>5774</v>
      </c>
      <c r="E6109" s="476" t="s">
        <v>34</v>
      </c>
      <c r="F6109" s="475" t="s">
        <v>34</v>
      </c>
      <c r="G6109" s="364">
        <v>93176</v>
      </c>
      <c r="H6109" s="475" t="s">
        <v>5053</v>
      </c>
      <c r="I6109" s="475" t="s">
        <v>4049</v>
      </c>
      <c r="J6109" s="475" t="s">
        <v>140</v>
      </c>
      <c r="K6109" s="365">
        <v>0.45</v>
      </c>
      <c r="L6109" s="475" t="s">
        <v>141</v>
      </c>
      <c r="M6109" s="473"/>
    </row>
    <row r="6110" spans="1:13" ht="13.5">
      <c r="A6110" s="475" t="s">
        <v>5769</v>
      </c>
      <c r="B6110" s="475" t="s">
        <v>5770</v>
      </c>
      <c r="C6110" s="475" t="s">
        <v>5773</v>
      </c>
      <c r="D6110" s="475" t="s">
        <v>5774</v>
      </c>
      <c r="E6110" s="476" t="s">
        <v>34</v>
      </c>
      <c r="F6110" s="475" t="s">
        <v>34</v>
      </c>
      <c r="G6110" s="364">
        <v>93177</v>
      </c>
      <c r="H6110" s="475" t="s">
        <v>5054</v>
      </c>
      <c r="I6110" s="475" t="s">
        <v>4049</v>
      </c>
      <c r="J6110" s="475" t="s">
        <v>140</v>
      </c>
      <c r="K6110" s="365">
        <v>1.6</v>
      </c>
      <c r="L6110" s="475" t="s">
        <v>141</v>
      </c>
      <c r="M6110" s="473"/>
    </row>
    <row r="6111" spans="1:13" ht="13.5">
      <c r="A6111" s="475" t="s">
        <v>5769</v>
      </c>
      <c r="B6111" s="475" t="s">
        <v>5770</v>
      </c>
      <c r="C6111" s="475" t="s">
        <v>5773</v>
      </c>
      <c r="D6111" s="475" t="s">
        <v>5774</v>
      </c>
      <c r="E6111" s="476" t="s">
        <v>34</v>
      </c>
      <c r="F6111" s="475" t="s">
        <v>34</v>
      </c>
      <c r="G6111" s="364">
        <v>93178</v>
      </c>
      <c r="H6111" s="475" t="s">
        <v>5055</v>
      </c>
      <c r="I6111" s="475" t="s">
        <v>4049</v>
      </c>
      <c r="J6111" s="475" t="s">
        <v>140</v>
      </c>
      <c r="K6111" s="365">
        <v>0.52</v>
      </c>
      <c r="L6111" s="475" t="s">
        <v>141</v>
      </c>
      <c r="M6111" s="473"/>
    </row>
    <row r="6112" spans="1:13" ht="13.5">
      <c r="A6112" s="475" t="s">
        <v>5769</v>
      </c>
      <c r="B6112" s="475" t="s">
        <v>5770</v>
      </c>
      <c r="C6112" s="475" t="s">
        <v>5773</v>
      </c>
      <c r="D6112" s="475" t="s">
        <v>5774</v>
      </c>
      <c r="E6112" s="476" t="s">
        <v>34</v>
      </c>
      <c r="F6112" s="475" t="s">
        <v>34</v>
      </c>
      <c r="G6112" s="364">
        <v>93179</v>
      </c>
      <c r="H6112" s="475" t="s">
        <v>5056</v>
      </c>
      <c r="I6112" s="475" t="s">
        <v>4049</v>
      </c>
      <c r="J6112" s="475" t="s">
        <v>140</v>
      </c>
      <c r="K6112" s="365">
        <v>1.78</v>
      </c>
      <c r="L6112" s="475" t="s">
        <v>141</v>
      </c>
      <c r="M6112" s="473"/>
    </row>
    <row r="6113" spans="1:13" ht="13.5">
      <c r="A6113" s="475" t="s">
        <v>5775</v>
      </c>
      <c r="B6113" s="475" t="s">
        <v>5776</v>
      </c>
      <c r="C6113" s="475" t="s">
        <v>5777</v>
      </c>
      <c r="D6113" s="475" t="s">
        <v>5778</v>
      </c>
      <c r="E6113" s="476">
        <v>74038</v>
      </c>
      <c r="F6113" s="475" t="s">
        <v>5779</v>
      </c>
      <c r="G6113" s="364" t="s">
        <v>5057</v>
      </c>
      <c r="H6113" s="475" t="s">
        <v>5058</v>
      </c>
      <c r="I6113" s="475" t="s">
        <v>139</v>
      </c>
      <c r="J6113" s="475" t="s">
        <v>140</v>
      </c>
      <c r="K6113" s="365">
        <v>27.25</v>
      </c>
      <c r="L6113" s="475" t="s">
        <v>141</v>
      </c>
      <c r="M6113" s="473"/>
    </row>
    <row r="6114" spans="1:13" ht="13.5">
      <c r="A6114" s="475" t="s">
        <v>5775</v>
      </c>
      <c r="B6114" s="475" t="s">
        <v>5776</v>
      </c>
      <c r="C6114" s="475" t="s">
        <v>5777</v>
      </c>
      <c r="D6114" s="475" t="s">
        <v>5778</v>
      </c>
      <c r="E6114" s="476">
        <v>74039</v>
      </c>
      <c r="F6114" s="475" t="s">
        <v>5780</v>
      </c>
      <c r="G6114" s="364" t="s">
        <v>5059</v>
      </c>
      <c r="H6114" s="475" t="s">
        <v>5060</v>
      </c>
      <c r="I6114" s="475" t="s">
        <v>139</v>
      </c>
      <c r="J6114" s="475" t="s">
        <v>140</v>
      </c>
      <c r="K6114" s="365">
        <v>27.25</v>
      </c>
      <c r="L6114" s="475" t="s">
        <v>141</v>
      </c>
      <c r="M6114" s="473"/>
    </row>
    <row r="6115" spans="1:13" ht="13.5">
      <c r="A6115" s="475" t="s">
        <v>5775</v>
      </c>
      <c r="B6115" s="475" t="s">
        <v>5776</v>
      </c>
      <c r="C6115" s="475" t="s">
        <v>5777</v>
      </c>
      <c r="D6115" s="475" t="s">
        <v>5778</v>
      </c>
      <c r="E6115" s="476">
        <v>74142</v>
      </c>
      <c r="F6115" s="475" t="s">
        <v>5781</v>
      </c>
      <c r="G6115" s="364" t="s">
        <v>5061</v>
      </c>
      <c r="H6115" s="475" t="s">
        <v>5062</v>
      </c>
      <c r="I6115" s="475" t="s">
        <v>139</v>
      </c>
      <c r="J6115" s="475" t="s">
        <v>337</v>
      </c>
      <c r="K6115" s="365">
        <v>44</v>
      </c>
      <c r="L6115" s="475" t="s">
        <v>141</v>
      </c>
      <c r="M6115" s="473"/>
    </row>
    <row r="6116" spans="1:13" ht="13.5">
      <c r="A6116" s="475" t="s">
        <v>5775</v>
      </c>
      <c r="B6116" s="475" t="s">
        <v>5776</v>
      </c>
      <c r="C6116" s="475" t="s">
        <v>5777</v>
      </c>
      <c r="D6116" s="475" t="s">
        <v>5778</v>
      </c>
      <c r="E6116" s="476">
        <v>74142</v>
      </c>
      <c r="F6116" s="475" t="s">
        <v>5781</v>
      </c>
      <c r="G6116" s="364" t="s">
        <v>5063</v>
      </c>
      <c r="H6116" s="475" t="s">
        <v>5064</v>
      </c>
      <c r="I6116" s="475" t="s">
        <v>139</v>
      </c>
      <c r="J6116" s="475" t="s">
        <v>337</v>
      </c>
      <c r="K6116" s="365">
        <v>23.13</v>
      </c>
      <c r="L6116" s="475" t="s">
        <v>141</v>
      </c>
      <c r="M6116" s="473"/>
    </row>
    <row r="6117" spans="1:13" ht="13.5">
      <c r="A6117" s="475" t="s">
        <v>5775</v>
      </c>
      <c r="B6117" s="475" t="s">
        <v>5776</v>
      </c>
      <c r="C6117" s="475" t="s">
        <v>5777</v>
      </c>
      <c r="D6117" s="475" t="s">
        <v>5778</v>
      </c>
      <c r="E6117" s="476">
        <v>74142</v>
      </c>
      <c r="F6117" s="475" t="s">
        <v>5781</v>
      </c>
      <c r="G6117" s="364" t="s">
        <v>5065</v>
      </c>
      <c r="H6117" s="475" t="s">
        <v>5066</v>
      </c>
      <c r="I6117" s="475" t="s">
        <v>139</v>
      </c>
      <c r="J6117" s="475" t="s">
        <v>337</v>
      </c>
      <c r="K6117" s="365">
        <v>34.369999999999997</v>
      </c>
      <c r="L6117" s="475" t="s">
        <v>141</v>
      </c>
      <c r="M6117" s="473"/>
    </row>
    <row r="6118" spans="1:13" ht="13.5">
      <c r="A6118" s="475" t="s">
        <v>5775</v>
      </c>
      <c r="B6118" s="475" t="s">
        <v>5776</v>
      </c>
      <c r="C6118" s="475" t="s">
        <v>5777</v>
      </c>
      <c r="D6118" s="475" t="s">
        <v>5778</v>
      </c>
      <c r="E6118" s="476">
        <v>74142</v>
      </c>
      <c r="F6118" s="475" t="s">
        <v>5781</v>
      </c>
      <c r="G6118" s="364" t="s">
        <v>5067</v>
      </c>
      <c r="H6118" s="475" t="s">
        <v>5068</v>
      </c>
      <c r="I6118" s="475" t="s">
        <v>139</v>
      </c>
      <c r="J6118" s="475" t="s">
        <v>337</v>
      </c>
      <c r="K6118" s="365">
        <v>55.15</v>
      </c>
      <c r="L6118" s="475" t="s">
        <v>141</v>
      </c>
      <c r="M6118" s="473"/>
    </row>
    <row r="6119" spans="1:13" ht="13.5">
      <c r="A6119" s="475" t="s">
        <v>5775</v>
      </c>
      <c r="B6119" s="475" t="s">
        <v>5776</v>
      </c>
      <c r="C6119" s="475" t="s">
        <v>5777</v>
      </c>
      <c r="D6119" s="475" t="s">
        <v>5778</v>
      </c>
      <c r="E6119" s="476">
        <v>74143</v>
      </c>
      <c r="F6119" s="475" t="s">
        <v>5782</v>
      </c>
      <c r="G6119" s="364" t="s">
        <v>5069</v>
      </c>
      <c r="H6119" s="475" t="s">
        <v>5070</v>
      </c>
      <c r="I6119" s="475" t="s">
        <v>139</v>
      </c>
      <c r="J6119" s="475" t="s">
        <v>337</v>
      </c>
      <c r="K6119" s="365">
        <v>53.54</v>
      </c>
      <c r="L6119" s="475" t="s">
        <v>141</v>
      </c>
      <c r="M6119" s="473"/>
    </row>
    <row r="6120" spans="1:13" ht="13.5">
      <c r="A6120" s="475" t="s">
        <v>5775</v>
      </c>
      <c r="B6120" s="475" t="s">
        <v>5776</v>
      </c>
      <c r="C6120" s="475" t="s">
        <v>5777</v>
      </c>
      <c r="D6120" s="475" t="s">
        <v>5778</v>
      </c>
      <c r="E6120" s="476">
        <v>74143</v>
      </c>
      <c r="F6120" s="475" t="s">
        <v>5782</v>
      </c>
      <c r="G6120" s="364" t="s">
        <v>5071</v>
      </c>
      <c r="H6120" s="475" t="s">
        <v>5072</v>
      </c>
      <c r="I6120" s="475" t="s">
        <v>139</v>
      </c>
      <c r="J6120" s="475" t="s">
        <v>337</v>
      </c>
      <c r="K6120" s="365">
        <v>51.13</v>
      </c>
      <c r="L6120" s="475" t="s">
        <v>141</v>
      </c>
      <c r="M6120" s="473"/>
    </row>
    <row r="6121" spans="1:13" ht="13.5">
      <c r="A6121" s="475" t="s">
        <v>5775</v>
      </c>
      <c r="B6121" s="475" t="s">
        <v>5776</v>
      </c>
      <c r="C6121" s="475" t="s">
        <v>5777</v>
      </c>
      <c r="D6121" s="475" t="s">
        <v>5778</v>
      </c>
      <c r="E6121" s="476" t="s">
        <v>34</v>
      </c>
      <c r="F6121" s="475" t="s">
        <v>34</v>
      </c>
      <c r="G6121" s="364">
        <v>85171</v>
      </c>
      <c r="H6121" s="475" t="s">
        <v>5073</v>
      </c>
      <c r="I6121" s="475" t="s">
        <v>139</v>
      </c>
      <c r="J6121" s="475" t="s">
        <v>337</v>
      </c>
      <c r="K6121" s="365">
        <v>3.69</v>
      </c>
      <c r="L6121" s="475" t="s">
        <v>141</v>
      </c>
      <c r="M6121" s="473"/>
    </row>
    <row r="6122" spans="1:13" ht="13.5">
      <c r="A6122" s="475" t="s">
        <v>5775</v>
      </c>
      <c r="B6122" s="475" t="s">
        <v>5776</v>
      </c>
      <c r="C6122" s="475" t="s">
        <v>5783</v>
      </c>
      <c r="D6122" s="475" t="s">
        <v>5784</v>
      </c>
      <c r="E6122" s="476">
        <v>73787</v>
      </c>
      <c r="F6122" s="475" t="s">
        <v>5783</v>
      </c>
      <c r="G6122" s="364" t="s">
        <v>5074</v>
      </c>
      <c r="H6122" s="475" t="s">
        <v>5075</v>
      </c>
      <c r="I6122" s="475" t="s">
        <v>322</v>
      </c>
      <c r="J6122" s="475" t="s">
        <v>337</v>
      </c>
      <c r="K6122" s="365">
        <v>181.65</v>
      </c>
      <c r="L6122" s="475" t="s">
        <v>141</v>
      </c>
      <c r="M6122" s="473"/>
    </row>
    <row r="6123" spans="1:13" ht="13.5">
      <c r="A6123" s="475" t="s">
        <v>5775</v>
      </c>
      <c r="B6123" s="475" t="s">
        <v>5776</v>
      </c>
      <c r="C6123" s="475" t="s">
        <v>5783</v>
      </c>
      <c r="D6123" s="475" t="s">
        <v>5784</v>
      </c>
      <c r="E6123" s="476">
        <v>74244</v>
      </c>
      <c r="F6123" s="475" t="s">
        <v>5785</v>
      </c>
      <c r="G6123" s="364" t="s">
        <v>5076</v>
      </c>
      <c r="H6123" s="475" t="s">
        <v>5077</v>
      </c>
      <c r="I6123" s="475" t="s">
        <v>322</v>
      </c>
      <c r="J6123" s="475" t="s">
        <v>337</v>
      </c>
      <c r="K6123" s="365">
        <v>119.84</v>
      </c>
      <c r="L6123" s="475" t="s">
        <v>141</v>
      </c>
      <c r="M6123" s="473"/>
    </row>
    <row r="6124" spans="1:13" ht="13.5">
      <c r="A6124" s="475" t="s">
        <v>5775</v>
      </c>
      <c r="B6124" s="475" t="s">
        <v>5776</v>
      </c>
      <c r="C6124" s="475" t="s">
        <v>5786</v>
      </c>
      <c r="D6124" s="475" t="s">
        <v>5787</v>
      </c>
      <c r="E6124" s="476">
        <v>73788</v>
      </c>
      <c r="F6124" s="475" t="s">
        <v>5788</v>
      </c>
      <c r="G6124" s="364" t="s">
        <v>5078</v>
      </c>
      <c r="H6124" s="475" t="s">
        <v>5079</v>
      </c>
      <c r="I6124" s="475" t="s">
        <v>171</v>
      </c>
      <c r="J6124" s="475" t="s">
        <v>337</v>
      </c>
      <c r="K6124" s="365">
        <v>103.34</v>
      </c>
      <c r="L6124" s="475" t="s">
        <v>141</v>
      </c>
      <c r="M6124" s="473"/>
    </row>
    <row r="6125" spans="1:13" ht="13.5">
      <c r="A6125" s="475" t="s">
        <v>5775</v>
      </c>
      <c r="B6125" s="475" t="s">
        <v>5776</v>
      </c>
      <c r="C6125" s="475" t="s">
        <v>5786</v>
      </c>
      <c r="D6125" s="475" t="s">
        <v>5787</v>
      </c>
      <c r="E6125" s="476" t="s">
        <v>34</v>
      </c>
      <c r="F6125" s="475" t="s">
        <v>34</v>
      </c>
      <c r="G6125" s="364">
        <v>98509</v>
      </c>
      <c r="H6125" s="475" t="s">
        <v>6710</v>
      </c>
      <c r="I6125" s="475" t="s">
        <v>171</v>
      </c>
      <c r="J6125" s="475" t="s">
        <v>337</v>
      </c>
      <c r="K6125" s="365">
        <v>31.68</v>
      </c>
      <c r="L6125" s="475" t="s">
        <v>141</v>
      </c>
      <c r="M6125" s="473"/>
    </row>
    <row r="6126" spans="1:13" ht="13.5">
      <c r="A6126" s="475" t="s">
        <v>5775</v>
      </c>
      <c r="B6126" s="475" t="s">
        <v>5776</v>
      </c>
      <c r="C6126" s="475" t="s">
        <v>5786</v>
      </c>
      <c r="D6126" s="475" t="s">
        <v>5787</v>
      </c>
      <c r="E6126" s="476" t="s">
        <v>34</v>
      </c>
      <c r="F6126" s="475" t="s">
        <v>34</v>
      </c>
      <c r="G6126" s="364">
        <v>98510</v>
      </c>
      <c r="H6126" s="475" t="s">
        <v>6711</v>
      </c>
      <c r="I6126" s="475" t="s">
        <v>171</v>
      </c>
      <c r="J6126" s="475" t="s">
        <v>337</v>
      </c>
      <c r="K6126" s="365">
        <v>49.34</v>
      </c>
      <c r="L6126" s="475" t="s">
        <v>141</v>
      </c>
      <c r="M6126" s="473"/>
    </row>
    <row r="6127" spans="1:13" ht="13.5">
      <c r="A6127" s="475" t="s">
        <v>5775</v>
      </c>
      <c r="B6127" s="475" t="s">
        <v>5776</v>
      </c>
      <c r="C6127" s="475" t="s">
        <v>5786</v>
      </c>
      <c r="D6127" s="475" t="s">
        <v>5787</v>
      </c>
      <c r="E6127" s="476" t="s">
        <v>34</v>
      </c>
      <c r="F6127" s="475" t="s">
        <v>34</v>
      </c>
      <c r="G6127" s="364">
        <v>98511</v>
      </c>
      <c r="H6127" s="475" t="s">
        <v>6712</v>
      </c>
      <c r="I6127" s="475" t="s">
        <v>171</v>
      </c>
      <c r="J6127" s="475" t="s">
        <v>337</v>
      </c>
      <c r="K6127" s="365">
        <v>92.71</v>
      </c>
      <c r="L6127" s="475" t="s">
        <v>141</v>
      </c>
      <c r="M6127" s="473"/>
    </row>
    <row r="6128" spans="1:13" ht="13.5">
      <c r="A6128" s="475" t="s">
        <v>5775</v>
      </c>
      <c r="B6128" s="475" t="s">
        <v>5776</v>
      </c>
      <c r="C6128" s="475" t="s">
        <v>5786</v>
      </c>
      <c r="D6128" s="475" t="s">
        <v>5787</v>
      </c>
      <c r="E6128" s="476" t="s">
        <v>34</v>
      </c>
      <c r="F6128" s="475" t="s">
        <v>34</v>
      </c>
      <c r="G6128" s="364">
        <v>98516</v>
      </c>
      <c r="H6128" s="475" t="s">
        <v>6713</v>
      </c>
      <c r="I6128" s="475" t="s">
        <v>171</v>
      </c>
      <c r="J6128" s="475" t="s">
        <v>140</v>
      </c>
      <c r="K6128" s="365">
        <v>225.86</v>
      </c>
      <c r="L6128" s="475" t="s">
        <v>141</v>
      </c>
      <c r="M6128" s="473"/>
    </row>
    <row r="6129" spans="1:13" ht="13.5">
      <c r="A6129" s="475" t="s">
        <v>5775</v>
      </c>
      <c r="B6129" s="475" t="s">
        <v>5776</v>
      </c>
      <c r="C6129" s="475" t="s">
        <v>5786</v>
      </c>
      <c r="D6129" s="475" t="s">
        <v>5787</v>
      </c>
      <c r="E6129" s="476" t="s">
        <v>34</v>
      </c>
      <c r="F6129" s="475" t="s">
        <v>34</v>
      </c>
      <c r="G6129" s="364">
        <v>98519</v>
      </c>
      <c r="H6129" s="475" t="s">
        <v>6714</v>
      </c>
      <c r="I6129" s="475" t="s">
        <v>322</v>
      </c>
      <c r="J6129" s="475" t="s">
        <v>337</v>
      </c>
      <c r="K6129" s="365">
        <v>1.43</v>
      </c>
      <c r="L6129" s="475" t="s">
        <v>141</v>
      </c>
      <c r="M6129" s="473"/>
    </row>
    <row r="6130" spans="1:13" ht="13.5">
      <c r="A6130" s="475" t="s">
        <v>5775</v>
      </c>
      <c r="B6130" s="475" t="s">
        <v>5776</v>
      </c>
      <c r="C6130" s="475" t="s">
        <v>5786</v>
      </c>
      <c r="D6130" s="475" t="s">
        <v>5787</v>
      </c>
      <c r="E6130" s="476" t="s">
        <v>34</v>
      </c>
      <c r="F6130" s="475" t="s">
        <v>34</v>
      </c>
      <c r="G6130" s="364">
        <v>98520</v>
      </c>
      <c r="H6130" s="475" t="s">
        <v>6715</v>
      </c>
      <c r="I6130" s="475" t="s">
        <v>322</v>
      </c>
      <c r="J6130" s="475" t="s">
        <v>337</v>
      </c>
      <c r="K6130" s="365">
        <v>3.54</v>
      </c>
      <c r="L6130" s="475" t="s">
        <v>141</v>
      </c>
      <c r="M6130" s="473"/>
    </row>
    <row r="6131" spans="1:13" ht="13.5">
      <c r="A6131" s="475" t="s">
        <v>5775</v>
      </c>
      <c r="B6131" s="475" t="s">
        <v>5776</v>
      </c>
      <c r="C6131" s="475" t="s">
        <v>5786</v>
      </c>
      <c r="D6131" s="475" t="s">
        <v>5787</v>
      </c>
      <c r="E6131" s="476" t="s">
        <v>34</v>
      </c>
      <c r="F6131" s="475" t="s">
        <v>34</v>
      </c>
      <c r="G6131" s="364">
        <v>98521</v>
      </c>
      <c r="H6131" s="475" t="s">
        <v>6716</v>
      </c>
      <c r="I6131" s="475" t="s">
        <v>322</v>
      </c>
      <c r="J6131" s="475" t="s">
        <v>337</v>
      </c>
      <c r="K6131" s="365">
        <v>0.26</v>
      </c>
      <c r="L6131" s="475" t="s">
        <v>141</v>
      </c>
      <c r="M6131" s="473"/>
    </row>
    <row r="6132" spans="1:13" ht="13.5">
      <c r="A6132" s="475" t="s">
        <v>5775</v>
      </c>
      <c r="B6132" s="475" t="s">
        <v>5776</v>
      </c>
      <c r="C6132" s="475" t="s">
        <v>5786</v>
      </c>
      <c r="D6132" s="475" t="s">
        <v>5787</v>
      </c>
      <c r="E6132" s="476" t="s">
        <v>34</v>
      </c>
      <c r="F6132" s="475" t="s">
        <v>34</v>
      </c>
      <c r="G6132" s="364">
        <v>98522</v>
      </c>
      <c r="H6132" s="475" t="s">
        <v>6717</v>
      </c>
      <c r="I6132" s="475" t="s">
        <v>139</v>
      </c>
      <c r="J6132" s="475" t="s">
        <v>337</v>
      </c>
      <c r="K6132" s="365">
        <v>115.72</v>
      </c>
      <c r="L6132" s="475" t="s">
        <v>141</v>
      </c>
      <c r="M6132" s="473"/>
    </row>
    <row r="6133" spans="1:13" ht="13.5">
      <c r="A6133" s="475" t="s">
        <v>5775</v>
      </c>
      <c r="B6133" s="475" t="s">
        <v>5776</v>
      </c>
      <c r="C6133" s="475" t="s">
        <v>5786</v>
      </c>
      <c r="D6133" s="475" t="s">
        <v>5787</v>
      </c>
      <c r="E6133" s="476" t="s">
        <v>34</v>
      </c>
      <c r="F6133" s="475" t="s">
        <v>34</v>
      </c>
      <c r="G6133" s="364">
        <v>98524</v>
      </c>
      <c r="H6133" s="475" t="s">
        <v>6718</v>
      </c>
      <c r="I6133" s="475" t="s">
        <v>322</v>
      </c>
      <c r="J6133" s="475" t="s">
        <v>337</v>
      </c>
      <c r="K6133" s="365">
        <v>2.36</v>
      </c>
      <c r="L6133" s="475" t="s">
        <v>141</v>
      </c>
      <c r="M6133" s="473"/>
    </row>
    <row r="6134" spans="1:13" ht="13.5">
      <c r="A6134" s="475" t="s">
        <v>5775</v>
      </c>
      <c r="B6134" s="475" t="s">
        <v>5776</v>
      </c>
      <c r="C6134" s="475" t="s">
        <v>5789</v>
      </c>
      <c r="D6134" s="475" t="s">
        <v>5790</v>
      </c>
      <c r="E6134" s="476" t="s">
        <v>34</v>
      </c>
      <c r="F6134" s="475" t="s">
        <v>34</v>
      </c>
      <c r="G6134" s="364">
        <v>85179</v>
      </c>
      <c r="H6134" s="475" t="s">
        <v>5080</v>
      </c>
      <c r="I6134" s="475" t="s">
        <v>322</v>
      </c>
      <c r="J6134" s="475" t="s">
        <v>337</v>
      </c>
      <c r="K6134" s="365">
        <v>12.1</v>
      </c>
      <c r="L6134" s="475" t="s">
        <v>141</v>
      </c>
      <c r="M6134" s="473"/>
    </row>
    <row r="6135" spans="1:13" ht="13.5">
      <c r="A6135" s="475" t="s">
        <v>5775</v>
      </c>
      <c r="B6135" s="475" t="s">
        <v>5776</v>
      </c>
      <c r="C6135" s="475" t="s">
        <v>5789</v>
      </c>
      <c r="D6135" s="475" t="s">
        <v>5790</v>
      </c>
      <c r="E6135" s="476" t="s">
        <v>34</v>
      </c>
      <c r="F6135" s="475" t="s">
        <v>34</v>
      </c>
      <c r="G6135" s="364">
        <v>85180</v>
      </c>
      <c r="H6135" s="475" t="s">
        <v>5081</v>
      </c>
      <c r="I6135" s="475" t="s">
        <v>322</v>
      </c>
      <c r="J6135" s="475" t="s">
        <v>337</v>
      </c>
      <c r="K6135" s="365">
        <v>12.1</v>
      </c>
      <c r="L6135" s="475" t="s">
        <v>141</v>
      </c>
      <c r="M6135" s="473"/>
    </row>
    <row r="6136" spans="1:13" ht="13.5">
      <c r="A6136" s="475" t="s">
        <v>5775</v>
      </c>
      <c r="B6136" s="475" t="s">
        <v>5776</v>
      </c>
      <c r="C6136" s="475" t="s">
        <v>5789</v>
      </c>
      <c r="D6136" s="475" t="s">
        <v>5790</v>
      </c>
      <c r="E6136" s="476" t="s">
        <v>34</v>
      </c>
      <c r="F6136" s="475" t="s">
        <v>34</v>
      </c>
      <c r="G6136" s="364">
        <v>98503</v>
      </c>
      <c r="H6136" s="475" t="s">
        <v>6719</v>
      </c>
      <c r="I6136" s="475" t="s">
        <v>322</v>
      </c>
      <c r="J6136" s="475" t="s">
        <v>337</v>
      </c>
      <c r="K6136" s="365">
        <v>12.24</v>
      </c>
      <c r="L6136" s="475" t="s">
        <v>141</v>
      </c>
      <c r="M6136" s="473"/>
    </row>
    <row r="6137" spans="1:13" ht="13.5">
      <c r="A6137" s="475" t="s">
        <v>5775</v>
      </c>
      <c r="B6137" s="475" t="s">
        <v>5776</v>
      </c>
      <c r="C6137" s="475" t="s">
        <v>5789</v>
      </c>
      <c r="D6137" s="475" t="s">
        <v>5790</v>
      </c>
      <c r="E6137" s="476" t="s">
        <v>34</v>
      </c>
      <c r="F6137" s="475" t="s">
        <v>34</v>
      </c>
      <c r="G6137" s="364">
        <v>98504</v>
      </c>
      <c r="H6137" s="475" t="s">
        <v>6720</v>
      </c>
      <c r="I6137" s="475" t="s">
        <v>322</v>
      </c>
      <c r="J6137" s="475" t="s">
        <v>337</v>
      </c>
      <c r="K6137" s="365">
        <v>7.24</v>
      </c>
      <c r="L6137" s="475" t="s">
        <v>141</v>
      </c>
      <c r="M6137" s="473"/>
    </row>
    <row r="6138" spans="1:13" ht="13.5">
      <c r="A6138" s="475" t="s">
        <v>5775</v>
      </c>
      <c r="B6138" s="475" t="s">
        <v>5776</v>
      </c>
      <c r="C6138" s="475" t="s">
        <v>5789</v>
      </c>
      <c r="D6138" s="475" t="s">
        <v>5790</v>
      </c>
      <c r="E6138" s="476" t="s">
        <v>34</v>
      </c>
      <c r="F6138" s="475" t="s">
        <v>34</v>
      </c>
      <c r="G6138" s="364">
        <v>98505</v>
      </c>
      <c r="H6138" s="475" t="s">
        <v>6721</v>
      </c>
      <c r="I6138" s="475" t="s">
        <v>322</v>
      </c>
      <c r="J6138" s="475" t="s">
        <v>337</v>
      </c>
      <c r="K6138" s="365">
        <v>45.75</v>
      </c>
      <c r="L6138" s="475" t="s">
        <v>141</v>
      </c>
      <c r="M6138" s="473"/>
    </row>
    <row r="6139" spans="1:13" ht="13.5">
      <c r="A6139" s="475" t="s">
        <v>5775</v>
      </c>
      <c r="B6139" s="475" t="s">
        <v>5776</v>
      </c>
      <c r="C6139" s="475" t="s">
        <v>5791</v>
      </c>
      <c r="D6139" s="475" t="s">
        <v>5792</v>
      </c>
      <c r="E6139" s="476" t="s">
        <v>34</v>
      </c>
      <c r="F6139" s="475" t="s">
        <v>34</v>
      </c>
      <c r="G6139" s="364">
        <v>85184</v>
      </c>
      <c r="H6139" s="475" t="s">
        <v>5082</v>
      </c>
      <c r="I6139" s="475" t="s">
        <v>322</v>
      </c>
      <c r="J6139" s="475" t="s">
        <v>363</v>
      </c>
      <c r="K6139" s="365">
        <v>3.59</v>
      </c>
      <c r="L6139" s="475" t="s">
        <v>141</v>
      </c>
      <c r="M6139" s="473"/>
    </row>
    <row r="6140" spans="1:13" ht="13.5">
      <c r="A6140" s="475" t="s">
        <v>5775</v>
      </c>
      <c r="B6140" s="475" t="s">
        <v>5776</v>
      </c>
      <c r="C6140" s="475" t="s">
        <v>5791</v>
      </c>
      <c r="D6140" s="475" t="s">
        <v>5792</v>
      </c>
      <c r="E6140" s="476" t="s">
        <v>34</v>
      </c>
      <c r="F6140" s="475" t="s">
        <v>34</v>
      </c>
      <c r="G6140" s="364">
        <v>85185</v>
      </c>
      <c r="H6140" s="475" t="s">
        <v>5083</v>
      </c>
      <c r="I6140" s="475" t="s">
        <v>322</v>
      </c>
      <c r="J6140" s="475" t="s">
        <v>337</v>
      </c>
      <c r="K6140" s="365">
        <v>4.66</v>
      </c>
      <c r="L6140" s="475" t="s">
        <v>141</v>
      </c>
      <c r="M6140" s="473"/>
    </row>
    <row r="6141" spans="1:13" ht="13.5">
      <c r="A6141" s="475" t="s">
        <v>5775</v>
      </c>
      <c r="B6141" s="475" t="s">
        <v>5776</v>
      </c>
      <c r="C6141" s="475" t="s">
        <v>5791</v>
      </c>
      <c r="D6141" s="475" t="s">
        <v>5792</v>
      </c>
      <c r="E6141" s="476" t="s">
        <v>34</v>
      </c>
      <c r="F6141" s="475" t="s">
        <v>34</v>
      </c>
      <c r="G6141" s="364">
        <v>98525</v>
      </c>
      <c r="H6141" s="475" t="s">
        <v>6722</v>
      </c>
      <c r="I6141" s="475" t="s">
        <v>322</v>
      </c>
      <c r="J6141" s="475" t="s">
        <v>140</v>
      </c>
      <c r="K6141" s="365">
        <v>0.25</v>
      </c>
      <c r="L6141" s="475" t="s">
        <v>141</v>
      </c>
      <c r="M6141" s="473"/>
    </row>
    <row r="6142" spans="1:13" ht="13.5">
      <c r="A6142" s="475" t="s">
        <v>5775</v>
      </c>
      <c r="B6142" s="475" t="s">
        <v>5776</v>
      </c>
      <c r="C6142" s="475" t="s">
        <v>5791</v>
      </c>
      <c r="D6142" s="475" t="s">
        <v>5792</v>
      </c>
      <c r="E6142" s="476" t="s">
        <v>34</v>
      </c>
      <c r="F6142" s="475" t="s">
        <v>34</v>
      </c>
      <c r="G6142" s="364">
        <v>98526</v>
      </c>
      <c r="H6142" s="475" t="s">
        <v>6723</v>
      </c>
      <c r="I6142" s="475" t="s">
        <v>171</v>
      </c>
      <c r="J6142" s="475" t="s">
        <v>140</v>
      </c>
      <c r="K6142" s="365">
        <v>53.79</v>
      </c>
      <c r="L6142" s="475" t="s">
        <v>141</v>
      </c>
      <c r="M6142" s="473"/>
    </row>
    <row r="6143" spans="1:13" ht="13.5">
      <c r="A6143" s="475" t="s">
        <v>5775</v>
      </c>
      <c r="B6143" s="475" t="s">
        <v>5776</v>
      </c>
      <c r="C6143" s="475" t="s">
        <v>5791</v>
      </c>
      <c r="D6143" s="475" t="s">
        <v>5792</v>
      </c>
      <c r="E6143" s="476" t="s">
        <v>34</v>
      </c>
      <c r="F6143" s="475" t="s">
        <v>34</v>
      </c>
      <c r="G6143" s="364">
        <v>98527</v>
      </c>
      <c r="H6143" s="475" t="s">
        <v>6724</v>
      </c>
      <c r="I6143" s="475" t="s">
        <v>171</v>
      </c>
      <c r="J6143" s="475" t="s">
        <v>140</v>
      </c>
      <c r="K6143" s="365">
        <v>115.82</v>
      </c>
      <c r="L6143" s="475" t="s">
        <v>141</v>
      </c>
      <c r="M6143" s="473"/>
    </row>
    <row r="6144" spans="1:13" ht="13.5">
      <c r="A6144" s="475" t="s">
        <v>5775</v>
      </c>
      <c r="B6144" s="475" t="s">
        <v>5776</v>
      </c>
      <c r="C6144" s="475" t="s">
        <v>5791</v>
      </c>
      <c r="D6144" s="475" t="s">
        <v>5792</v>
      </c>
      <c r="E6144" s="476" t="s">
        <v>34</v>
      </c>
      <c r="F6144" s="475" t="s">
        <v>34</v>
      </c>
      <c r="G6144" s="364">
        <v>98528</v>
      </c>
      <c r="H6144" s="475" t="s">
        <v>6725</v>
      </c>
      <c r="I6144" s="475" t="s">
        <v>171</v>
      </c>
      <c r="J6144" s="475" t="s">
        <v>140</v>
      </c>
      <c r="K6144" s="365">
        <v>169.38</v>
      </c>
      <c r="L6144" s="475" t="s">
        <v>141</v>
      </c>
      <c r="M6144" s="473"/>
    </row>
    <row r="6145" spans="1:13" ht="13.5">
      <c r="A6145" s="475" t="s">
        <v>5775</v>
      </c>
      <c r="B6145" s="475" t="s">
        <v>5776</v>
      </c>
      <c r="C6145" s="475" t="s">
        <v>5791</v>
      </c>
      <c r="D6145" s="475" t="s">
        <v>5792</v>
      </c>
      <c r="E6145" s="476" t="s">
        <v>34</v>
      </c>
      <c r="F6145" s="475" t="s">
        <v>34</v>
      </c>
      <c r="G6145" s="364">
        <v>98529</v>
      </c>
      <c r="H6145" s="475" t="s">
        <v>6726</v>
      </c>
      <c r="I6145" s="475" t="s">
        <v>171</v>
      </c>
      <c r="J6145" s="475" t="s">
        <v>337</v>
      </c>
      <c r="K6145" s="365">
        <v>50.97</v>
      </c>
      <c r="L6145" s="475" t="s">
        <v>141</v>
      </c>
      <c r="M6145" s="473"/>
    </row>
    <row r="6146" spans="1:13" ht="13.5">
      <c r="A6146" s="475" t="s">
        <v>5775</v>
      </c>
      <c r="B6146" s="475" t="s">
        <v>5776</v>
      </c>
      <c r="C6146" s="475" t="s">
        <v>5791</v>
      </c>
      <c r="D6146" s="475" t="s">
        <v>5792</v>
      </c>
      <c r="E6146" s="476" t="s">
        <v>34</v>
      </c>
      <c r="F6146" s="475" t="s">
        <v>34</v>
      </c>
      <c r="G6146" s="364">
        <v>98530</v>
      </c>
      <c r="H6146" s="475" t="s">
        <v>6727</v>
      </c>
      <c r="I6146" s="475" t="s">
        <v>171</v>
      </c>
      <c r="J6146" s="475" t="s">
        <v>337</v>
      </c>
      <c r="K6146" s="365">
        <v>90.8</v>
      </c>
      <c r="L6146" s="475" t="s">
        <v>141</v>
      </c>
      <c r="M6146" s="473"/>
    </row>
    <row r="6147" spans="1:13" ht="13.5">
      <c r="A6147" s="475" t="s">
        <v>5775</v>
      </c>
      <c r="B6147" s="475" t="s">
        <v>5776</v>
      </c>
      <c r="C6147" s="475" t="s">
        <v>5791</v>
      </c>
      <c r="D6147" s="475" t="s">
        <v>5792</v>
      </c>
      <c r="E6147" s="476" t="s">
        <v>34</v>
      </c>
      <c r="F6147" s="475" t="s">
        <v>34</v>
      </c>
      <c r="G6147" s="364">
        <v>98531</v>
      </c>
      <c r="H6147" s="475" t="s">
        <v>6728</v>
      </c>
      <c r="I6147" s="475" t="s">
        <v>171</v>
      </c>
      <c r="J6147" s="475" t="s">
        <v>140</v>
      </c>
      <c r="K6147" s="365">
        <v>191.37</v>
      </c>
      <c r="L6147" s="475" t="s">
        <v>141</v>
      </c>
      <c r="M6147" s="473"/>
    </row>
    <row r="6148" spans="1:13" ht="13.5">
      <c r="A6148" s="475" t="s">
        <v>5775</v>
      </c>
      <c r="B6148" s="475" t="s">
        <v>5776</v>
      </c>
      <c r="C6148" s="475" t="s">
        <v>5791</v>
      </c>
      <c r="D6148" s="475" t="s">
        <v>5792</v>
      </c>
      <c r="E6148" s="476" t="s">
        <v>34</v>
      </c>
      <c r="F6148" s="475" t="s">
        <v>34</v>
      </c>
      <c r="G6148" s="364">
        <v>98532</v>
      </c>
      <c r="H6148" s="475" t="s">
        <v>6729</v>
      </c>
      <c r="I6148" s="475" t="s">
        <v>171</v>
      </c>
      <c r="J6148" s="475" t="s">
        <v>140</v>
      </c>
      <c r="K6148" s="365">
        <v>65.37</v>
      </c>
      <c r="L6148" s="475" t="s">
        <v>141</v>
      </c>
      <c r="M6148" s="473"/>
    </row>
    <row r="6149" spans="1:13" ht="13.5">
      <c r="A6149" s="475" t="s">
        <v>5775</v>
      </c>
      <c r="B6149" s="475" t="s">
        <v>5776</v>
      </c>
      <c r="C6149" s="475" t="s">
        <v>5791</v>
      </c>
      <c r="D6149" s="475" t="s">
        <v>5792</v>
      </c>
      <c r="E6149" s="476" t="s">
        <v>34</v>
      </c>
      <c r="F6149" s="475" t="s">
        <v>34</v>
      </c>
      <c r="G6149" s="364">
        <v>98533</v>
      </c>
      <c r="H6149" s="475" t="s">
        <v>6730</v>
      </c>
      <c r="I6149" s="475" t="s">
        <v>171</v>
      </c>
      <c r="J6149" s="475" t="s">
        <v>140</v>
      </c>
      <c r="K6149" s="365">
        <v>178.86</v>
      </c>
      <c r="L6149" s="475" t="s">
        <v>141</v>
      </c>
      <c r="M6149" s="473"/>
    </row>
    <row r="6150" spans="1:13" ht="13.5">
      <c r="A6150" s="475" t="s">
        <v>5775</v>
      </c>
      <c r="B6150" s="475" t="s">
        <v>5776</v>
      </c>
      <c r="C6150" s="475" t="s">
        <v>5791</v>
      </c>
      <c r="D6150" s="475" t="s">
        <v>5792</v>
      </c>
      <c r="E6150" s="476" t="s">
        <v>34</v>
      </c>
      <c r="F6150" s="475" t="s">
        <v>34</v>
      </c>
      <c r="G6150" s="364">
        <v>98534</v>
      </c>
      <c r="H6150" s="475" t="s">
        <v>6731</v>
      </c>
      <c r="I6150" s="475" t="s">
        <v>171</v>
      </c>
      <c r="J6150" s="475" t="s">
        <v>140</v>
      </c>
      <c r="K6150" s="365">
        <v>458.45</v>
      </c>
      <c r="L6150" s="475" t="s">
        <v>141</v>
      </c>
      <c r="M6150" s="473"/>
    </row>
    <row r="6151" spans="1:13" ht="13.5">
      <c r="A6151" s="475" t="s">
        <v>5775</v>
      </c>
      <c r="B6151" s="475" t="s">
        <v>5776</v>
      </c>
      <c r="C6151" s="475" t="s">
        <v>5791</v>
      </c>
      <c r="D6151" s="475" t="s">
        <v>5792</v>
      </c>
      <c r="E6151" s="476" t="s">
        <v>34</v>
      </c>
      <c r="F6151" s="475" t="s">
        <v>34</v>
      </c>
      <c r="G6151" s="364">
        <v>98535</v>
      </c>
      <c r="H6151" s="475" t="s">
        <v>6732</v>
      </c>
      <c r="I6151" s="475" t="s">
        <v>171</v>
      </c>
      <c r="J6151" s="475" t="s">
        <v>140</v>
      </c>
      <c r="K6151" s="365">
        <v>725.23</v>
      </c>
      <c r="L6151" s="475" t="s">
        <v>141</v>
      </c>
      <c r="M6151" s="473"/>
    </row>
    <row r="6152" spans="1:13" ht="13.5">
      <c r="A6152" s="475" t="s">
        <v>5496</v>
      </c>
      <c r="B6152" s="475" t="s">
        <v>5726</v>
      </c>
      <c r="C6152" s="475" t="s">
        <v>5739</v>
      </c>
      <c r="D6152" s="475" t="s">
        <v>5740</v>
      </c>
      <c r="E6152" s="476" t="s">
        <v>34</v>
      </c>
      <c r="F6152" s="475" t="s">
        <v>34</v>
      </c>
      <c r="G6152" s="364">
        <v>88238</v>
      </c>
      <c r="H6152" s="475" t="s">
        <v>5085</v>
      </c>
      <c r="I6152" s="475" t="s">
        <v>67</v>
      </c>
      <c r="J6152" s="475" t="s">
        <v>337</v>
      </c>
      <c r="K6152" s="365">
        <v>15.03</v>
      </c>
      <c r="L6152" s="475" t="s">
        <v>5084</v>
      </c>
      <c r="M6152" s="473"/>
    </row>
    <row r="6153" spans="1:13" ht="13.5">
      <c r="A6153" s="475" t="s">
        <v>5496</v>
      </c>
      <c r="B6153" s="475" t="s">
        <v>5726</v>
      </c>
      <c r="C6153" s="475" t="s">
        <v>5739</v>
      </c>
      <c r="D6153" s="475" t="s">
        <v>5740</v>
      </c>
      <c r="E6153" s="476" t="s">
        <v>34</v>
      </c>
      <c r="F6153" s="475" t="s">
        <v>34</v>
      </c>
      <c r="G6153" s="364">
        <v>88239</v>
      </c>
      <c r="H6153" s="475" t="s">
        <v>5086</v>
      </c>
      <c r="I6153" s="475" t="s">
        <v>67</v>
      </c>
      <c r="J6153" s="475" t="s">
        <v>337</v>
      </c>
      <c r="K6153" s="365">
        <v>16.239999999999998</v>
      </c>
      <c r="L6153" s="475" t="s">
        <v>5084</v>
      </c>
      <c r="M6153" s="473"/>
    </row>
    <row r="6154" spans="1:13" ht="13.5">
      <c r="A6154" s="475" t="s">
        <v>5496</v>
      </c>
      <c r="B6154" s="475" t="s">
        <v>5726</v>
      </c>
      <c r="C6154" s="475" t="s">
        <v>5739</v>
      </c>
      <c r="D6154" s="475" t="s">
        <v>5740</v>
      </c>
      <c r="E6154" s="476" t="s">
        <v>34</v>
      </c>
      <c r="F6154" s="475" t="s">
        <v>34</v>
      </c>
      <c r="G6154" s="364">
        <v>88240</v>
      </c>
      <c r="H6154" s="475" t="s">
        <v>5087</v>
      </c>
      <c r="I6154" s="475" t="s">
        <v>67</v>
      </c>
      <c r="J6154" s="475" t="s">
        <v>337</v>
      </c>
      <c r="K6154" s="365">
        <v>11.91</v>
      </c>
      <c r="L6154" s="475" t="s">
        <v>5084</v>
      </c>
      <c r="M6154" s="473"/>
    </row>
    <row r="6155" spans="1:13" ht="13.5">
      <c r="A6155" s="475" t="s">
        <v>5496</v>
      </c>
      <c r="B6155" s="475" t="s">
        <v>5726</v>
      </c>
      <c r="C6155" s="475" t="s">
        <v>5739</v>
      </c>
      <c r="D6155" s="475" t="s">
        <v>5740</v>
      </c>
      <c r="E6155" s="476" t="s">
        <v>34</v>
      </c>
      <c r="F6155" s="475" t="s">
        <v>34</v>
      </c>
      <c r="G6155" s="364">
        <v>88241</v>
      </c>
      <c r="H6155" s="475" t="s">
        <v>5088</v>
      </c>
      <c r="I6155" s="475" t="s">
        <v>67</v>
      </c>
      <c r="J6155" s="475" t="s">
        <v>337</v>
      </c>
      <c r="K6155" s="365">
        <v>15.35</v>
      </c>
      <c r="L6155" s="475" t="s">
        <v>5084</v>
      </c>
      <c r="M6155" s="473"/>
    </row>
    <row r="6156" spans="1:13" ht="13.5">
      <c r="A6156" s="475" t="s">
        <v>5496</v>
      </c>
      <c r="B6156" s="475" t="s">
        <v>5726</v>
      </c>
      <c r="C6156" s="475" t="s">
        <v>5739</v>
      </c>
      <c r="D6156" s="475" t="s">
        <v>5740</v>
      </c>
      <c r="E6156" s="476" t="s">
        <v>34</v>
      </c>
      <c r="F6156" s="475" t="s">
        <v>34</v>
      </c>
      <c r="G6156" s="364">
        <v>88242</v>
      </c>
      <c r="H6156" s="475" t="s">
        <v>5089</v>
      </c>
      <c r="I6156" s="475" t="s">
        <v>67</v>
      </c>
      <c r="J6156" s="475" t="s">
        <v>337</v>
      </c>
      <c r="K6156" s="365">
        <v>14.38</v>
      </c>
      <c r="L6156" s="475" t="s">
        <v>5084</v>
      </c>
      <c r="M6156" s="473"/>
    </row>
    <row r="6157" spans="1:13" ht="13.5">
      <c r="A6157" s="475" t="s">
        <v>5496</v>
      </c>
      <c r="B6157" s="475" t="s">
        <v>5726</v>
      </c>
      <c r="C6157" s="475" t="s">
        <v>5739</v>
      </c>
      <c r="D6157" s="475" t="s">
        <v>5740</v>
      </c>
      <c r="E6157" s="476" t="s">
        <v>34</v>
      </c>
      <c r="F6157" s="475" t="s">
        <v>34</v>
      </c>
      <c r="G6157" s="364">
        <v>88243</v>
      </c>
      <c r="H6157" s="475" t="s">
        <v>102</v>
      </c>
      <c r="I6157" s="475" t="s">
        <v>67</v>
      </c>
      <c r="J6157" s="475" t="s">
        <v>337</v>
      </c>
      <c r="K6157" s="365">
        <v>16.93</v>
      </c>
      <c r="L6157" s="475" t="s">
        <v>5084</v>
      </c>
      <c r="M6157" s="473"/>
    </row>
    <row r="6158" spans="1:13" ht="13.5">
      <c r="A6158" s="475" t="s">
        <v>5496</v>
      </c>
      <c r="B6158" s="475" t="s">
        <v>5726</v>
      </c>
      <c r="C6158" s="475" t="s">
        <v>5739</v>
      </c>
      <c r="D6158" s="475" t="s">
        <v>5740</v>
      </c>
      <c r="E6158" s="476" t="s">
        <v>34</v>
      </c>
      <c r="F6158" s="475" t="s">
        <v>34</v>
      </c>
      <c r="G6158" s="364">
        <v>88245</v>
      </c>
      <c r="H6158" s="475" t="s">
        <v>70</v>
      </c>
      <c r="I6158" s="475" t="s">
        <v>67</v>
      </c>
      <c r="J6158" s="475" t="s">
        <v>337</v>
      </c>
      <c r="K6158" s="365">
        <v>19.16</v>
      </c>
      <c r="L6158" s="475" t="s">
        <v>5084</v>
      </c>
      <c r="M6158" s="473"/>
    </row>
    <row r="6159" spans="1:13" ht="13.5">
      <c r="A6159" s="475" t="s">
        <v>5496</v>
      </c>
      <c r="B6159" s="475" t="s">
        <v>5726</v>
      </c>
      <c r="C6159" s="475" t="s">
        <v>5739</v>
      </c>
      <c r="D6159" s="475" t="s">
        <v>5740</v>
      </c>
      <c r="E6159" s="476" t="s">
        <v>34</v>
      </c>
      <c r="F6159" s="475" t="s">
        <v>34</v>
      </c>
      <c r="G6159" s="364">
        <v>88246</v>
      </c>
      <c r="H6159" s="475" t="s">
        <v>72</v>
      </c>
      <c r="I6159" s="475" t="s">
        <v>67</v>
      </c>
      <c r="J6159" s="475" t="s">
        <v>337</v>
      </c>
      <c r="K6159" s="365">
        <v>15.11</v>
      </c>
      <c r="L6159" s="475" t="s">
        <v>5084</v>
      </c>
      <c r="M6159" s="473"/>
    </row>
    <row r="6160" spans="1:13" ht="13.5">
      <c r="A6160" s="475" t="s">
        <v>5496</v>
      </c>
      <c r="B6160" s="475" t="s">
        <v>5726</v>
      </c>
      <c r="C6160" s="475" t="s">
        <v>5739</v>
      </c>
      <c r="D6160" s="475" t="s">
        <v>5740</v>
      </c>
      <c r="E6160" s="476" t="s">
        <v>34</v>
      </c>
      <c r="F6160" s="475" t="s">
        <v>34</v>
      </c>
      <c r="G6160" s="364">
        <v>88247</v>
      </c>
      <c r="H6160" s="475" t="s">
        <v>74</v>
      </c>
      <c r="I6160" s="475" t="s">
        <v>67</v>
      </c>
      <c r="J6160" s="475" t="s">
        <v>337</v>
      </c>
      <c r="K6160" s="365">
        <v>15.34</v>
      </c>
      <c r="L6160" s="475" t="s">
        <v>5084</v>
      </c>
      <c r="M6160" s="473"/>
    </row>
    <row r="6161" spans="1:13" ht="13.5">
      <c r="A6161" s="475" t="s">
        <v>5496</v>
      </c>
      <c r="B6161" s="475" t="s">
        <v>5726</v>
      </c>
      <c r="C6161" s="475" t="s">
        <v>5739</v>
      </c>
      <c r="D6161" s="475" t="s">
        <v>5740</v>
      </c>
      <c r="E6161" s="476" t="s">
        <v>34</v>
      </c>
      <c r="F6161" s="475" t="s">
        <v>34</v>
      </c>
      <c r="G6161" s="364">
        <v>88248</v>
      </c>
      <c r="H6161" s="475" t="s">
        <v>76</v>
      </c>
      <c r="I6161" s="475" t="s">
        <v>67</v>
      </c>
      <c r="J6161" s="475" t="s">
        <v>337</v>
      </c>
      <c r="K6161" s="365">
        <v>14.85</v>
      </c>
      <c r="L6161" s="475" t="s">
        <v>5084</v>
      </c>
      <c r="M6161" s="473"/>
    </row>
    <row r="6162" spans="1:13" ht="13.5">
      <c r="A6162" s="475" t="s">
        <v>5496</v>
      </c>
      <c r="B6162" s="475" t="s">
        <v>5726</v>
      </c>
      <c r="C6162" s="475" t="s">
        <v>5739</v>
      </c>
      <c r="D6162" s="475" t="s">
        <v>5740</v>
      </c>
      <c r="E6162" s="476" t="s">
        <v>34</v>
      </c>
      <c r="F6162" s="475" t="s">
        <v>34</v>
      </c>
      <c r="G6162" s="364">
        <v>88249</v>
      </c>
      <c r="H6162" s="475" t="s">
        <v>5090</v>
      </c>
      <c r="I6162" s="475" t="s">
        <v>67</v>
      </c>
      <c r="J6162" s="475" t="s">
        <v>337</v>
      </c>
      <c r="K6162" s="365">
        <v>30.15</v>
      </c>
      <c r="L6162" s="475" t="s">
        <v>5084</v>
      </c>
      <c r="M6162" s="473"/>
    </row>
    <row r="6163" spans="1:13" ht="13.5">
      <c r="A6163" s="475" t="s">
        <v>5496</v>
      </c>
      <c r="B6163" s="475" t="s">
        <v>5726</v>
      </c>
      <c r="C6163" s="475" t="s">
        <v>5739</v>
      </c>
      <c r="D6163" s="475" t="s">
        <v>5740</v>
      </c>
      <c r="E6163" s="476" t="s">
        <v>34</v>
      </c>
      <c r="F6163" s="475" t="s">
        <v>34</v>
      </c>
      <c r="G6163" s="364">
        <v>88250</v>
      </c>
      <c r="H6163" s="475" t="s">
        <v>5091</v>
      </c>
      <c r="I6163" s="475" t="s">
        <v>67</v>
      </c>
      <c r="J6163" s="475" t="s">
        <v>337</v>
      </c>
      <c r="K6163" s="365">
        <v>13.55</v>
      </c>
      <c r="L6163" s="475" t="s">
        <v>5084</v>
      </c>
      <c r="M6163" s="473"/>
    </row>
    <row r="6164" spans="1:13" ht="13.5">
      <c r="A6164" s="475" t="s">
        <v>5496</v>
      </c>
      <c r="B6164" s="475" t="s">
        <v>5726</v>
      </c>
      <c r="C6164" s="475" t="s">
        <v>5739</v>
      </c>
      <c r="D6164" s="475" t="s">
        <v>5740</v>
      </c>
      <c r="E6164" s="476" t="s">
        <v>34</v>
      </c>
      <c r="F6164" s="475" t="s">
        <v>34</v>
      </c>
      <c r="G6164" s="364">
        <v>88251</v>
      </c>
      <c r="H6164" s="475" t="s">
        <v>78</v>
      </c>
      <c r="I6164" s="475" t="s">
        <v>67</v>
      </c>
      <c r="J6164" s="475" t="s">
        <v>337</v>
      </c>
      <c r="K6164" s="365">
        <v>15.72</v>
      </c>
      <c r="L6164" s="475" t="s">
        <v>5084</v>
      </c>
      <c r="M6164" s="473"/>
    </row>
    <row r="6165" spans="1:13" ht="13.5">
      <c r="A6165" s="475" t="s">
        <v>5496</v>
      </c>
      <c r="B6165" s="475" t="s">
        <v>5726</v>
      </c>
      <c r="C6165" s="475" t="s">
        <v>5739</v>
      </c>
      <c r="D6165" s="475" t="s">
        <v>5740</v>
      </c>
      <c r="E6165" s="476" t="s">
        <v>34</v>
      </c>
      <c r="F6165" s="475" t="s">
        <v>34</v>
      </c>
      <c r="G6165" s="364">
        <v>88252</v>
      </c>
      <c r="H6165" s="475" t="s">
        <v>5092</v>
      </c>
      <c r="I6165" s="475" t="s">
        <v>67</v>
      </c>
      <c r="J6165" s="475" t="s">
        <v>337</v>
      </c>
      <c r="K6165" s="365">
        <v>14.95</v>
      </c>
      <c r="L6165" s="475" t="s">
        <v>5084</v>
      </c>
      <c r="M6165" s="473"/>
    </row>
    <row r="6166" spans="1:13" ht="13.5">
      <c r="A6166" s="475" t="s">
        <v>5496</v>
      </c>
      <c r="B6166" s="475" t="s">
        <v>5726</v>
      </c>
      <c r="C6166" s="475" t="s">
        <v>5739</v>
      </c>
      <c r="D6166" s="475" t="s">
        <v>5740</v>
      </c>
      <c r="E6166" s="476" t="s">
        <v>34</v>
      </c>
      <c r="F6166" s="475" t="s">
        <v>34</v>
      </c>
      <c r="G6166" s="364">
        <v>88253</v>
      </c>
      <c r="H6166" s="475" t="s">
        <v>5093</v>
      </c>
      <c r="I6166" s="475" t="s">
        <v>67</v>
      </c>
      <c r="J6166" s="475" t="s">
        <v>337</v>
      </c>
      <c r="K6166" s="365">
        <v>10.18</v>
      </c>
      <c r="L6166" s="475" t="s">
        <v>5084</v>
      </c>
      <c r="M6166" s="473"/>
    </row>
    <row r="6167" spans="1:13" ht="13.5">
      <c r="A6167" s="475" t="s">
        <v>5496</v>
      </c>
      <c r="B6167" s="475" t="s">
        <v>5726</v>
      </c>
      <c r="C6167" s="475" t="s">
        <v>5739</v>
      </c>
      <c r="D6167" s="475" t="s">
        <v>5740</v>
      </c>
      <c r="E6167" s="476" t="s">
        <v>34</v>
      </c>
      <c r="F6167" s="475" t="s">
        <v>34</v>
      </c>
      <c r="G6167" s="364">
        <v>88255</v>
      </c>
      <c r="H6167" s="475" t="s">
        <v>5094</v>
      </c>
      <c r="I6167" s="475" t="s">
        <v>67</v>
      </c>
      <c r="J6167" s="475" t="s">
        <v>337</v>
      </c>
      <c r="K6167" s="365">
        <v>32.76</v>
      </c>
      <c r="L6167" s="475" t="s">
        <v>5084</v>
      </c>
      <c r="M6167" s="473"/>
    </row>
    <row r="6168" spans="1:13" ht="13.5">
      <c r="A6168" s="475" t="s">
        <v>5496</v>
      </c>
      <c r="B6168" s="475" t="s">
        <v>5726</v>
      </c>
      <c r="C6168" s="475" t="s">
        <v>5739</v>
      </c>
      <c r="D6168" s="475" t="s">
        <v>5740</v>
      </c>
      <c r="E6168" s="476" t="s">
        <v>34</v>
      </c>
      <c r="F6168" s="475" t="s">
        <v>34</v>
      </c>
      <c r="G6168" s="364">
        <v>88256</v>
      </c>
      <c r="H6168" s="475" t="s">
        <v>80</v>
      </c>
      <c r="I6168" s="475" t="s">
        <v>67</v>
      </c>
      <c r="J6168" s="475" t="s">
        <v>337</v>
      </c>
      <c r="K6168" s="365">
        <v>19.2</v>
      </c>
      <c r="L6168" s="475" t="s">
        <v>5084</v>
      </c>
      <c r="M6168" s="473"/>
    </row>
    <row r="6169" spans="1:13" ht="13.5">
      <c r="A6169" s="475" t="s">
        <v>5496</v>
      </c>
      <c r="B6169" s="475" t="s">
        <v>5726</v>
      </c>
      <c r="C6169" s="475" t="s">
        <v>5739</v>
      </c>
      <c r="D6169" s="475" t="s">
        <v>5740</v>
      </c>
      <c r="E6169" s="476" t="s">
        <v>34</v>
      </c>
      <c r="F6169" s="475" t="s">
        <v>34</v>
      </c>
      <c r="G6169" s="364">
        <v>88257</v>
      </c>
      <c r="H6169" s="475" t="s">
        <v>5095</v>
      </c>
      <c r="I6169" s="475" t="s">
        <v>67</v>
      </c>
      <c r="J6169" s="475" t="s">
        <v>337</v>
      </c>
      <c r="K6169" s="365">
        <v>14.34</v>
      </c>
      <c r="L6169" s="475" t="s">
        <v>5084</v>
      </c>
      <c r="M6169" s="473"/>
    </row>
    <row r="6170" spans="1:13" ht="13.5">
      <c r="A6170" s="475" t="s">
        <v>5496</v>
      </c>
      <c r="B6170" s="475" t="s">
        <v>5726</v>
      </c>
      <c r="C6170" s="475" t="s">
        <v>5739</v>
      </c>
      <c r="D6170" s="475" t="s">
        <v>5740</v>
      </c>
      <c r="E6170" s="476" t="s">
        <v>34</v>
      </c>
      <c r="F6170" s="475" t="s">
        <v>34</v>
      </c>
      <c r="G6170" s="364">
        <v>88258</v>
      </c>
      <c r="H6170" s="475" t="s">
        <v>5096</v>
      </c>
      <c r="I6170" s="475" t="s">
        <v>67</v>
      </c>
      <c r="J6170" s="475" t="s">
        <v>337</v>
      </c>
      <c r="K6170" s="365">
        <v>24.23</v>
      </c>
      <c r="L6170" s="475" t="s">
        <v>5084</v>
      </c>
      <c r="M6170" s="473"/>
    </row>
    <row r="6171" spans="1:13" ht="13.5">
      <c r="A6171" s="475" t="s">
        <v>5496</v>
      </c>
      <c r="B6171" s="475" t="s">
        <v>5726</v>
      </c>
      <c r="C6171" s="475" t="s">
        <v>5739</v>
      </c>
      <c r="D6171" s="475" t="s">
        <v>5740</v>
      </c>
      <c r="E6171" s="476" t="s">
        <v>34</v>
      </c>
      <c r="F6171" s="475" t="s">
        <v>34</v>
      </c>
      <c r="G6171" s="364">
        <v>88259</v>
      </c>
      <c r="H6171" s="475" t="s">
        <v>5097</v>
      </c>
      <c r="I6171" s="475" t="s">
        <v>67</v>
      </c>
      <c r="J6171" s="475" t="s">
        <v>337</v>
      </c>
      <c r="K6171" s="365">
        <v>22.19</v>
      </c>
      <c r="L6171" s="475" t="s">
        <v>5084</v>
      </c>
      <c r="M6171" s="473"/>
    </row>
    <row r="6172" spans="1:13" ht="13.5">
      <c r="A6172" s="475" t="s">
        <v>5496</v>
      </c>
      <c r="B6172" s="475" t="s">
        <v>5726</v>
      </c>
      <c r="C6172" s="475" t="s">
        <v>5739</v>
      </c>
      <c r="D6172" s="475" t="s">
        <v>5740</v>
      </c>
      <c r="E6172" s="476" t="s">
        <v>34</v>
      </c>
      <c r="F6172" s="475" t="s">
        <v>34</v>
      </c>
      <c r="G6172" s="364">
        <v>88260</v>
      </c>
      <c r="H6172" s="475" t="s">
        <v>5098</v>
      </c>
      <c r="I6172" s="475" t="s">
        <v>67</v>
      </c>
      <c r="J6172" s="475" t="s">
        <v>337</v>
      </c>
      <c r="K6172" s="365">
        <v>18.14</v>
      </c>
      <c r="L6172" s="475" t="s">
        <v>5084</v>
      </c>
      <c r="M6172" s="473"/>
    </row>
    <row r="6173" spans="1:13" ht="13.5">
      <c r="A6173" s="475" t="s">
        <v>5496</v>
      </c>
      <c r="B6173" s="475" t="s">
        <v>5726</v>
      </c>
      <c r="C6173" s="475" t="s">
        <v>5739</v>
      </c>
      <c r="D6173" s="475" t="s">
        <v>5740</v>
      </c>
      <c r="E6173" s="476" t="s">
        <v>34</v>
      </c>
      <c r="F6173" s="475" t="s">
        <v>34</v>
      </c>
      <c r="G6173" s="364">
        <v>88261</v>
      </c>
      <c r="H6173" s="475" t="s">
        <v>5099</v>
      </c>
      <c r="I6173" s="475" t="s">
        <v>67</v>
      </c>
      <c r="J6173" s="475" t="s">
        <v>337</v>
      </c>
      <c r="K6173" s="365">
        <v>19.16</v>
      </c>
      <c r="L6173" s="475" t="s">
        <v>5084</v>
      </c>
      <c r="M6173" s="473"/>
    </row>
    <row r="6174" spans="1:13" ht="13.5">
      <c r="A6174" s="475" t="s">
        <v>5496</v>
      </c>
      <c r="B6174" s="475" t="s">
        <v>5726</v>
      </c>
      <c r="C6174" s="475" t="s">
        <v>5739</v>
      </c>
      <c r="D6174" s="475" t="s">
        <v>5740</v>
      </c>
      <c r="E6174" s="476" t="s">
        <v>34</v>
      </c>
      <c r="F6174" s="475" t="s">
        <v>34</v>
      </c>
      <c r="G6174" s="364">
        <v>88262</v>
      </c>
      <c r="H6174" s="475" t="s">
        <v>83</v>
      </c>
      <c r="I6174" s="475" t="s">
        <v>67</v>
      </c>
      <c r="J6174" s="475" t="s">
        <v>363</v>
      </c>
      <c r="K6174" s="365">
        <v>19.12</v>
      </c>
      <c r="L6174" s="475" t="s">
        <v>5084</v>
      </c>
      <c r="M6174" s="473"/>
    </row>
    <row r="6175" spans="1:13" ht="13.5">
      <c r="A6175" s="475" t="s">
        <v>5496</v>
      </c>
      <c r="B6175" s="475" t="s">
        <v>5726</v>
      </c>
      <c r="C6175" s="475" t="s">
        <v>5739</v>
      </c>
      <c r="D6175" s="475" t="s">
        <v>5740</v>
      </c>
      <c r="E6175" s="476" t="s">
        <v>34</v>
      </c>
      <c r="F6175" s="475" t="s">
        <v>34</v>
      </c>
      <c r="G6175" s="364">
        <v>88263</v>
      </c>
      <c r="H6175" s="475" t="s">
        <v>5100</v>
      </c>
      <c r="I6175" s="475" t="s">
        <v>67</v>
      </c>
      <c r="J6175" s="475" t="s">
        <v>337</v>
      </c>
      <c r="K6175" s="365">
        <v>13.01</v>
      </c>
      <c r="L6175" s="475" t="s">
        <v>5084</v>
      </c>
      <c r="M6175" s="473"/>
    </row>
    <row r="6176" spans="1:13" ht="13.5">
      <c r="A6176" s="475" t="s">
        <v>5496</v>
      </c>
      <c r="B6176" s="475" t="s">
        <v>5726</v>
      </c>
      <c r="C6176" s="475" t="s">
        <v>5739</v>
      </c>
      <c r="D6176" s="475" t="s">
        <v>5740</v>
      </c>
      <c r="E6176" s="476" t="s">
        <v>34</v>
      </c>
      <c r="F6176" s="475" t="s">
        <v>34</v>
      </c>
      <c r="G6176" s="364">
        <v>88264</v>
      </c>
      <c r="H6176" s="475" t="s">
        <v>84</v>
      </c>
      <c r="I6176" s="475" t="s">
        <v>67</v>
      </c>
      <c r="J6176" s="475" t="s">
        <v>363</v>
      </c>
      <c r="K6176" s="365">
        <v>19.48</v>
      </c>
      <c r="L6176" s="475" t="s">
        <v>5084</v>
      </c>
      <c r="M6176" s="473"/>
    </row>
    <row r="6177" spans="1:13" ht="13.5">
      <c r="A6177" s="475" t="s">
        <v>5496</v>
      </c>
      <c r="B6177" s="475" t="s">
        <v>5726</v>
      </c>
      <c r="C6177" s="475" t="s">
        <v>5739</v>
      </c>
      <c r="D6177" s="475" t="s">
        <v>5740</v>
      </c>
      <c r="E6177" s="476" t="s">
        <v>34</v>
      </c>
      <c r="F6177" s="475" t="s">
        <v>34</v>
      </c>
      <c r="G6177" s="364">
        <v>88265</v>
      </c>
      <c r="H6177" s="475" t="s">
        <v>5101</v>
      </c>
      <c r="I6177" s="475" t="s">
        <v>67</v>
      </c>
      <c r="J6177" s="475" t="s">
        <v>337</v>
      </c>
      <c r="K6177" s="365">
        <v>19.48</v>
      </c>
      <c r="L6177" s="475" t="s">
        <v>5084</v>
      </c>
      <c r="M6177" s="473"/>
    </row>
    <row r="6178" spans="1:13" ht="13.5">
      <c r="A6178" s="475" t="s">
        <v>5496</v>
      </c>
      <c r="B6178" s="475" t="s">
        <v>5726</v>
      </c>
      <c r="C6178" s="475" t="s">
        <v>5739</v>
      </c>
      <c r="D6178" s="475" t="s">
        <v>5740</v>
      </c>
      <c r="E6178" s="476" t="s">
        <v>34</v>
      </c>
      <c r="F6178" s="475" t="s">
        <v>34</v>
      </c>
      <c r="G6178" s="364">
        <v>88266</v>
      </c>
      <c r="H6178" s="475" t="s">
        <v>5102</v>
      </c>
      <c r="I6178" s="475" t="s">
        <v>67</v>
      </c>
      <c r="J6178" s="475" t="s">
        <v>337</v>
      </c>
      <c r="K6178" s="365">
        <v>26</v>
      </c>
      <c r="L6178" s="475" t="s">
        <v>5084</v>
      </c>
      <c r="M6178" s="473"/>
    </row>
    <row r="6179" spans="1:13" ht="13.5">
      <c r="A6179" s="475" t="s">
        <v>5496</v>
      </c>
      <c r="B6179" s="475" t="s">
        <v>5726</v>
      </c>
      <c r="C6179" s="475" t="s">
        <v>5739</v>
      </c>
      <c r="D6179" s="475" t="s">
        <v>5740</v>
      </c>
      <c r="E6179" s="476" t="s">
        <v>34</v>
      </c>
      <c r="F6179" s="475" t="s">
        <v>34</v>
      </c>
      <c r="G6179" s="364">
        <v>88267</v>
      </c>
      <c r="H6179" s="475" t="s">
        <v>86</v>
      </c>
      <c r="I6179" s="475" t="s">
        <v>67</v>
      </c>
      <c r="J6179" s="475" t="s">
        <v>363</v>
      </c>
      <c r="K6179" s="365">
        <v>18.86</v>
      </c>
      <c r="L6179" s="475" t="s">
        <v>5084</v>
      </c>
      <c r="M6179" s="473"/>
    </row>
    <row r="6180" spans="1:13" ht="13.5">
      <c r="A6180" s="475" t="s">
        <v>5496</v>
      </c>
      <c r="B6180" s="475" t="s">
        <v>5726</v>
      </c>
      <c r="C6180" s="475" t="s">
        <v>5739</v>
      </c>
      <c r="D6180" s="475" t="s">
        <v>5740</v>
      </c>
      <c r="E6180" s="476" t="s">
        <v>34</v>
      </c>
      <c r="F6180" s="475" t="s">
        <v>34</v>
      </c>
      <c r="G6180" s="364">
        <v>88268</v>
      </c>
      <c r="H6180" s="475" t="s">
        <v>5103</v>
      </c>
      <c r="I6180" s="475" t="s">
        <v>67</v>
      </c>
      <c r="J6180" s="475" t="s">
        <v>337</v>
      </c>
      <c r="K6180" s="365">
        <v>19.84</v>
      </c>
      <c r="L6180" s="475" t="s">
        <v>5084</v>
      </c>
      <c r="M6180" s="473"/>
    </row>
    <row r="6181" spans="1:13" ht="13.5">
      <c r="A6181" s="475" t="s">
        <v>5496</v>
      </c>
      <c r="B6181" s="475" t="s">
        <v>5726</v>
      </c>
      <c r="C6181" s="475" t="s">
        <v>5739</v>
      </c>
      <c r="D6181" s="475" t="s">
        <v>5740</v>
      </c>
      <c r="E6181" s="476" t="s">
        <v>34</v>
      </c>
      <c r="F6181" s="475" t="s">
        <v>34</v>
      </c>
      <c r="G6181" s="364">
        <v>88269</v>
      </c>
      <c r="H6181" s="475" t="s">
        <v>87</v>
      </c>
      <c r="I6181" s="475" t="s">
        <v>67</v>
      </c>
      <c r="J6181" s="475" t="s">
        <v>337</v>
      </c>
      <c r="K6181" s="365">
        <v>19.16</v>
      </c>
      <c r="L6181" s="475" t="s">
        <v>5084</v>
      </c>
      <c r="M6181" s="473"/>
    </row>
    <row r="6182" spans="1:13" ht="13.5">
      <c r="A6182" s="475" t="s">
        <v>5496</v>
      </c>
      <c r="B6182" s="475" t="s">
        <v>5726</v>
      </c>
      <c r="C6182" s="475" t="s">
        <v>5739</v>
      </c>
      <c r="D6182" s="475" t="s">
        <v>5740</v>
      </c>
      <c r="E6182" s="476" t="s">
        <v>34</v>
      </c>
      <c r="F6182" s="475" t="s">
        <v>34</v>
      </c>
      <c r="G6182" s="364">
        <v>88270</v>
      </c>
      <c r="H6182" s="475" t="s">
        <v>103</v>
      </c>
      <c r="I6182" s="475" t="s">
        <v>67</v>
      </c>
      <c r="J6182" s="475" t="s">
        <v>337</v>
      </c>
      <c r="K6182" s="365">
        <v>19.27</v>
      </c>
      <c r="L6182" s="475" t="s">
        <v>5084</v>
      </c>
      <c r="M6182" s="473"/>
    </row>
    <row r="6183" spans="1:13" ht="13.5">
      <c r="A6183" s="475" t="s">
        <v>5496</v>
      </c>
      <c r="B6183" s="475" t="s">
        <v>5726</v>
      </c>
      <c r="C6183" s="475" t="s">
        <v>5739</v>
      </c>
      <c r="D6183" s="475" t="s">
        <v>5740</v>
      </c>
      <c r="E6183" s="476" t="s">
        <v>34</v>
      </c>
      <c r="F6183" s="475" t="s">
        <v>34</v>
      </c>
      <c r="G6183" s="364">
        <v>88272</v>
      </c>
      <c r="H6183" s="475" t="s">
        <v>5104</v>
      </c>
      <c r="I6183" s="475" t="s">
        <v>67</v>
      </c>
      <c r="J6183" s="475" t="s">
        <v>337</v>
      </c>
      <c r="K6183" s="365">
        <v>19.510000000000002</v>
      </c>
      <c r="L6183" s="475" t="s">
        <v>5084</v>
      </c>
      <c r="M6183" s="473"/>
    </row>
    <row r="6184" spans="1:13" ht="13.5">
      <c r="A6184" s="475" t="s">
        <v>5496</v>
      </c>
      <c r="B6184" s="475" t="s">
        <v>5726</v>
      </c>
      <c r="C6184" s="475" t="s">
        <v>5739</v>
      </c>
      <c r="D6184" s="475" t="s">
        <v>5740</v>
      </c>
      <c r="E6184" s="476" t="s">
        <v>34</v>
      </c>
      <c r="F6184" s="475" t="s">
        <v>34</v>
      </c>
      <c r="G6184" s="364">
        <v>88273</v>
      </c>
      <c r="H6184" s="475" t="s">
        <v>5105</v>
      </c>
      <c r="I6184" s="475" t="s">
        <v>67</v>
      </c>
      <c r="J6184" s="475" t="s">
        <v>337</v>
      </c>
      <c r="K6184" s="365">
        <v>19.46</v>
      </c>
      <c r="L6184" s="475" t="s">
        <v>5084</v>
      </c>
      <c r="M6184" s="473"/>
    </row>
    <row r="6185" spans="1:13" ht="13.5">
      <c r="A6185" s="475" t="s">
        <v>5496</v>
      </c>
      <c r="B6185" s="475" t="s">
        <v>5726</v>
      </c>
      <c r="C6185" s="475" t="s">
        <v>5739</v>
      </c>
      <c r="D6185" s="475" t="s">
        <v>5740</v>
      </c>
      <c r="E6185" s="476" t="s">
        <v>34</v>
      </c>
      <c r="F6185" s="475" t="s">
        <v>34</v>
      </c>
      <c r="G6185" s="364">
        <v>88274</v>
      </c>
      <c r="H6185" s="475" t="s">
        <v>5106</v>
      </c>
      <c r="I6185" s="475" t="s">
        <v>67</v>
      </c>
      <c r="J6185" s="475" t="s">
        <v>337</v>
      </c>
      <c r="K6185" s="365">
        <v>16.170000000000002</v>
      </c>
      <c r="L6185" s="475" t="s">
        <v>5084</v>
      </c>
      <c r="M6185" s="473"/>
    </row>
    <row r="6186" spans="1:13" ht="13.5">
      <c r="A6186" s="475" t="s">
        <v>5496</v>
      </c>
      <c r="B6186" s="475" t="s">
        <v>5726</v>
      </c>
      <c r="C6186" s="475" t="s">
        <v>5739</v>
      </c>
      <c r="D6186" s="475" t="s">
        <v>5740</v>
      </c>
      <c r="E6186" s="476" t="s">
        <v>34</v>
      </c>
      <c r="F6186" s="475" t="s">
        <v>34</v>
      </c>
      <c r="G6186" s="364">
        <v>88275</v>
      </c>
      <c r="H6186" s="475" t="s">
        <v>5107</v>
      </c>
      <c r="I6186" s="475" t="s">
        <v>67</v>
      </c>
      <c r="J6186" s="475" t="s">
        <v>337</v>
      </c>
      <c r="K6186" s="365">
        <v>20.14</v>
      </c>
      <c r="L6186" s="475" t="s">
        <v>5084</v>
      </c>
      <c r="M6186" s="473"/>
    </row>
    <row r="6187" spans="1:13" ht="13.5">
      <c r="A6187" s="475" t="s">
        <v>5496</v>
      </c>
      <c r="B6187" s="475" t="s">
        <v>5726</v>
      </c>
      <c r="C6187" s="475" t="s">
        <v>5739</v>
      </c>
      <c r="D6187" s="475" t="s">
        <v>5740</v>
      </c>
      <c r="E6187" s="476" t="s">
        <v>34</v>
      </c>
      <c r="F6187" s="475" t="s">
        <v>34</v>
      </c>
      <c r="G6187" s="364">
        <v>88277</v>
      </c>
      <c r="H6187" s="475" t="s">
        <v>5108</v>
      </c>
      <c r="I6187" s="475" t="s">
        <v>67</v>
      </c>
      <c r="J6187" s="475" t="s">
        <v>337</v>
      </c>
      <c r="K6187" s="365">
        <v>15.25</v>
      </c>
      <c r="L6187" s="475" t="s">
        <v>5084</v>
      </c>
      <c r="M6187" s="473"/>
    </row>
    <row r="6188" spans="1:13" ht="13.5">
      <c r="A6188" s="475" t="s">
        <v>5496</v>
      </c>
      <c r="B6188" s="475" t="s">
        <v>5726</v>
      </c>
      <c r="C6188" s="475" t="s">
        <v>5739</v>
      </c>
      <c r="D6188" s="475" t="s">
        <v>5740</v>
      </c>
      <c r="E6188" s="476" t="s">
        <v>34</v>
      </c>
      <c r="F6188" s="475" t="s">
        <v>34</v>
      </c>
      <c r="G6188" s="364">
        <v>88278</v>
      </c>
      <c r="H6188" s="475" t="s">
        <v>5109</v>
      </c>
      <c r="I6188" s="475" t="s">
        <v>67</v>
      </c>
      <c r="J6188" s="475" t="s">
        <v>337</v>
      </c>
      <c r="K6188" s="365">
        <v>14.76</v>
      </c>
      <c r="L6188" s="475" t="s">
        <v>5084</v>
      </c>
      <c r="M6188" s="473"/>
    </row>
    <row r="6189" spans="1:13" ht="13.5">
      <c r="A6189" s="475" t="s">
        <v>5496</v>
      </c>
      <c r="B6189" s="475" t="s">
        <v>5726</v>
      </c>
      <c r="C6189" s="475" t="s">
        <v>5739</v>
      </c>
      <c r="D6189" s="475" t="s">
        <v>5740</v>
      </c>
      <c r="E6189" s="476" t="s">
        <v>34</v>
      </c>
      <c r="F6189" s="475" t="s">
        <v>34</v>
      </c>
      <c r="G6189" s="364">
        <v>88279</v>
      </c>
      <c r="H6189" s="475" t="s">
        <v>5110</v>
      </c>
      <c r="I6189" s="475" t="s">
        <v>67</v>
      </c>
      <c r="J6189" s="475" t="s">
        <v>337</v>
      </c>
      <c r="K6189" s="365">
        <v>20.149999999999999</v>
      </c>
      <c r="L6189" s="475" t="s">
        <v>5084</v>
      </c>
      <c r="M6189" s="473"/>
    </row>
    <row r="6190" spans="1:13" ht="13.5">
      <c r="A6190" s="475" t="s">
        <v>5496</v>
      </c>
      <c r="B6190" s="475" t="s">
        <v>5726</v>
      </c>
      <c r="C6190" s="475" t="s">
        <v>5739</v>
      </c>
      <c r="D6190" s="475" t="s">
        <v>5740</v>
      </c>
      <c r="E6190" s="476" t="s">
        <v>34</v>
      </c>
      <c r="F6190" s="475" t="s">
        <v>34</v>
      </c>
      <c r="G6190" s="364">
        <v>88281</v>
      </c>
      <c r="H6190" s="475" t="s">
        <v>5111</v>
      </c>
      <c r="I6190" s="475" t="s">
        <v>67</v>
      </c>
      <c r="J6190" s="475" t="s">
        <v>337</v>
      </c>
      <c r="K6190" s="365">
        <v>15.25</v>
      </c>
      <c r="L6190" s="475" t="s">
        <v>5084</v>
      </c>
      <c r="M6190" s="473"/>
    </row>
    <row r="6191" spans="1:13" ht="13.5">
      <c r="A6191" s="475" t="s">
        <v>5496</v>
      </c>
      <c r="B6191" s="475" t="s">
        <v>5726</v>
      </c>
      <c r="C6191" s="475" t="s">
        <v>5739</v>
      </c>
      <c r="D6191" s="475" t="s">
        <v>5740</v>
      </c>
      <c r="E6191" s="476" t="s">
        <v>34</v>
      </c>
      <c r="F6191" s="475" t="s">
        <v>34</v>
      </c>
      <c r="G6191" s="364">
        <v>88282</v>
      </c>
      <c r="H6191" s="475" t="s">
        <v>104</v>
      </c>
      <c r="I6191" s="475" t="s">
        <v>67</v>
      </c>
      <c r="J6191" s="475" t="s">
        <v>337</v>
      </c>
      <c r="K6191" s="365">
        <v>15.88</v>
      </c>
      <c r="L6191" s="475" t="s">
        <v>5084</v>
      </c>
      <c r="M6191" s="473"/>
    </row>
    <row r="6192" spans="1:13" ht="13.5">
      <c r="A6192" s="475" t="s">
        <v>5496</v>
      </c>
      <c r="B6192" s="475" t="s">
        <v>5726</v>
      </c>
      <c r="C6192" s="475" t="s">
        <v>5739</v>
      </c>
      <c r="D6192" s="475" t="s">
        <v>5740</v>
      </c>
      <c r="E6192" s="476" t="s">
        <v>34</v>
      </c>
      <c r="F6192" s="475" t="s">
        <v>34</v>
      </c>
      <c r="G6192" s="364">
        <v>88283</v>
      </c>
      <c r="H6192" s="475" t="s">
        <v>5112</v>
      </c>
      <c r="I6192" s="475" t="s">
        <v>67</v>
      </c>
      <c r="J6192" s="475" t="s">
        <v>337</v>
      </c>
      <c r="K6192" s="365">
        <v>19.64</v>
      </c>
      <c r="L6192" s="475" t="s">
        <v>5084</v>
      </c>
      <c r="M6192" s="473"/>
    </row>
    <row r="6193" spans="1:13" ht="13.5">
      <c r="A6193" s="475" t="s">
        <v>5496</v>
      </c>
      <c r="B6193" s="475" t="s">
        <v>5726</v>
      </c>
      <c r="C6193" s="475" t="s">
        <v>5739</v>
      </c>
      <c r="D6193" s="475" t="s">
        <v>5740</v>
      </c>
      <c r="E6193" s="476" t="s">
        <v>34</v>
      </c>
      <c r="F6193" s="475" t="s">
        <v>34</v>
      </c>
      <c r="G6193" s="364">
        <v>88284</v>
      </c>
      <c r="H6193" s="475" t="s">
        <v>5113</v>
      </c>
      <c r="I6193" s="475" t="s">
        <v>67</v>
      </c>
      <c r="J6193" s="475" t="s">
        <v>337</v>
      </c>
      <c r="K6193" s="365">
        <v>15.03</v>
      </c>
      <c r="L6193" s="475" t="s">
        <v>5084</v>
      </c>
      <c r="M6193" s="473"/>
    </row>
    <row r="6194" spans="1:13" ht="13.5">
      <c r="A6194" s="475" t="s">
        <v>5496</v>
      </c>
      <c r="B6194" s="475" t="s">
        <v>5726</v>
      </c>
      <c r="C6194" s="475" t="s">
        <v>5739</v>
      </c>
      <c r="D6194" s="475" t="s">
        <v>5740</v>
      </c>
      <c r="E6194" s="476" t="s">
        <v>34</v>
      </c>
      <c r="F6194" s="475" t="s">
        <v>34</v>
      </c>
      <c r="G6194" s="364">
        <v>88285</v>
      </c>
      <c r="H6194" s="475" t="s">
        <v>5114</v>
      </c>
      <c r="I6194" s="475" t="s">
        <v>67</v>
      </c>
      <c r="J6194" s="475" t="s">
        <v>337</v>
      </c>
      <c r="K6194" s="365">
        <v>14.95</v>
      </c>
      <c r="L6194" s="475" t="s">
        <v>5084</v>
      </c>
      <c r="M6194" s="473"/>
    </row>
    <row r="6195" spans="1:13" ht="13.5">
      <c r="A6195" s="475" t="s">
        <v>5496</v>
      </c>
      <c r="B6195" s="475" t="s">
        <v>5726</v>
      </c>
      <c r="C6195" s="475" t="s">
        <v>5739</v>
      </c>
      <c r="D6195" s="475" t="s">
        <v>5740</v>
      </c>
      <c r="E6195" s="476" t="s">
        <v>34</v>
      </c>
      <c r="F6195" s="475" t="s">
        <v>34</v>
      </c>
      <c r="G6195" s="364">
        <v>88286</v>
      </c>
      <c r="H6195" s="475" t="s">
        <v>5115</v>
      </c>
      <c r="I6195" s="475" t="s">
        <v>67</v>
      </c>
      <c r="J6195" s="475" t="s">
        <v>337</v>
      </c>
      <c r="K6195" s="365">
        <v>15.12</v>
      </c>
      <c r="L6195" s="475" t="s">
        <v>5084</v>
      </c>
      <c r="M6195" s="473"/>
    </row>
    <row r="6196" spans="1:13" ht="13.5">
      <c r="A6196" s="475" t="s">
        <v>5496</v>
      </c>
      <c r="B6196" s="475" t="s">
        <v>5726</v>
      </c>
      <c r="C6196" s="475" t="s">
        <v>5739</v>
      </c>
      <c r="D6196" s="475" t="s">
        <v>5740</v>
      </c>
      <c r="E6196" s="476" t="s">
        <v>34</v>
      </c>
      <c r="F6196" s="475" t="s">
        <v>34</v>
      </c>
      <c r="G6196" s="364">
        <v>88288</v>
      </c>
      <c r="H6196" s="475" t="s">
        <v>5116</v>
      </c>
      <c r="I6196" s="475" t="s">
        <v>67</v>
      </c>
      <c r="J6196" s="475" t="s">
        <v>337</v>
      </c>
      <c r="K6196" s="365">
        <v>11.63</v>
      </c>
      <c r="L6196" s="475" t="s">
        <v>5084</v>
      </c>
      <c r="M6196" s="473"/>
    </row>
    <row r="6197" spans="1:13" ht="13.5">
      <c r="A6197" s="475" t="s">
        <v>5496</v>
      </c>
      <c r="B6197" s="475" t="s">
        <v>5726</v>
      </c>
      <c r="C6197" s="475" t="s">
        <v>5739</v>
      </c>
      <c r="D6197" s="475" t="s">
        <v>5740</v>
      </c>
      <c r="E6197" s="476" t="s">
        <v>34</v>
      </c>
      <c r="F6197" s="475" t="s">
        <v>34</v>
      </c>
      <c r="G6197" s="364">
        <v>88291</v>
      </c>
      <c r="H6197" s="475" t="s">
        <v>5117</v>
      </c>
      <c r="I6197" s="475" t="s">
        <v>67</v>
      </c>
      <c r="J6197" s="475" t="s">
        <v>337</v>
      </c>
      <c r="K6197" s="365">
        <v>14.81</v>
      </c>
      <c r="L6197" s="475" t="s">
        <v>5084</v>
      </c>
      <c r="M6197" s="473"/>
    </row>
    <row r="6198" spans="1:13" ht="13.5">
      <c r="A6198" s="475" t="s">
        <v>5496</v>
      </c>
      <c r="B6198" s="475" t="s">
        <v>5726</v>
      </c>
      <c r="C6198" s="475" t="s">
        <v>5739</v>
      </c>
      <c r="D6198" s="475" t="s">
        <v>5740</v>
      </c>
      <c r="E6198" s="476" t="s">
        <v>34</v>
      </c>
      <c r="F6198" s="475" t="s">
        <v>34</v>
      </c>
      <c r="G6198" s="364">
        <v>88292</v>
      </c>
      <c r="H6198" s="475" t="s">
        <v>5118</v>
      </c>
      <c r="I6198" s="475" t="s">
        <v>67</v>
      </c>
      <c r="J6198" s="475" t="s">
        <v>337</v>
      </c>
      <c r="K6198" s="365">
        <v>15.06</v>
      </c>
      <c r="L6198" s="475" t="s">
        <v>5084</v>
      </c>
      <c r="M6198" s="473"/>
    </row>
    <row r="6199" spans="1:13" ht="13.5">
      <c r="A6199" s="475" t="s">
        <v>5496</v>
      </c>
      <c r="B6199" s="475" t="s">
        <v>5726</v>
      </c>
      <c r="C6199" s="475" t="s">
        <v>5739</v>
      </c>
      <c r="D6199" s="475" t="s">
        <v>5740</v>
      </c>
      <c r="E6199" s="476" t="s">
        <v>34</v>
      </c>
      <c r="F6199" s="475" t="s">
        <v>34</v>
      </c>
      <c r="G6199" s="364">
        <v>88293</v>
      </c>
      <c r="H6199" s="475" t="s">
        <v>5119</v>
      </c>
      <c r="I6199" s="475" t="s">
        <v>67</v>
      </c>
      <c r="J6199" s="475" t="s">
        <v>337</v>
      </c>
      <c r="K6199" s="365">
        <v>17.149999999999999</v>
      </c>
      <c r="L6199" s="475" t="s">
        <v>5084</v>
      </c>
      <c r="M6199" s="473"/>
    </row>
    <row r="6200" spans="1:13" ht="13.5">
      <c r="A6200" s="475" t="s">
        <v>5496</v>
      </c>
      <c r="B6200" s="475" t="s">
        <v>5726</v>
      </c>
      <c r="C6200" s="475" t="s">
        <v>5739</v>
      </c>
      <c r="D6200" s="475" t="s">
        <v>5740</v>
      </c>
      <c r="E6200" s="476" t="s">
        <v>34</v>
      </c>
      <c r="F6200" s="475" t="s">
        <v>34</v>
      </c>
      <c r="G6200" s="364">
        <v>88294</v>
      </c>
      <c r="H6200" s="475" t="s">
        <v>106</v>
      </c>
      <c r="I6200" s="475" t="s">
        <v>67</v>
      </c>
      <c r="J6200" s="475" t="s">
        <v>363</v>
      </c>
      <c r="K6200" s="365">
        <v>18.37</v>
      </c>
      <c r="L6200" s="475" t="s">
        <v>5084</v>
      </c>
      <c r="M6200" s="473"/>
    </row>
    <row r="6201" spans="1:13" ht="13.5">
      <c r="A6201" s="475" t="s">
        <v>5496</v>
      </c>
      <c r="B6201" s="475" t="s">
        <v>5726</v>
      </c>
      <c r="C6201" s="475" t="s">
        <v>5739</v>
      </c>
      <c r="D6201" s="475" t="s">
        <v>5740</v>
      </c>
      <c r="E6201" s="476" t="s">
        <v>34</v>
      </c>
      <c r="F6201" s="475" t="s">
        <v>34</v>
      </c>
      <c r="G6201" s="364">
        <v>88295</v>
      </c>
      <c r="H6201" s="475" t="s">
        <v>5120</v>
      </c>
      <c r="I6201" s="475" t="s">
        <v>67</v>
      </c>
      <c r="J6201" s="475" t="s">
        <v>337</v>
      </c>
      <c r="K6201" s="365">
        <v>15.12</v>
      </c>
      <c r="L6201" s="475" t="s">
        <v>5084</v>
      </c>
      <c r="M6201" s="473"/>
    </row>
    <row r="6202" spans="1:13" ht="13.5">
      <c r="A6202" s="475" t="s">
        <v>5496</v>
      </c>
      <c r="B6202" s="475" t="s">
        <v>5726</v>
      </c>
      <c r="C6202" s="475" t="s">
        <v>5739</v>
      </c>
      <c r="D6202" s="475" t="s">
        <v>5740</v>
      </c>
      <c r="E6202" s="476" t="s">
        <v>34</v>
      </c>
      <c r="F6202" s="475" t="s">
        <v>34</v>
      </c>
      <c r="G6202" s="364">
        <v>88296</v>
      </c>
      <c r="H6202" s="475" t="s">
        <v>5121</v>
      </c>
      <c r="I6202" s="475" t="s">
        <v>67</v>
      </c>
      <c r="J6202" s="475" t="s">
        <v>337</v>
      </c>
      <c r="K6202" s="365">
        <v>15.12</v>
      </c>
      <c r="L6202" s="475" t="s">
        <v>5084</v>
      </c>
      <c r="M6202" s="473"/>
    </row>
    <row r="6203" spans="1:13" ht="13.5">
      <c r="A6203" s="475" t="s">
        <v>5496</v>
      </c>
      <c r="B6203" s="475" t="s">
        <v>5726</v>
      </c>
      <c r="C6203" s="475" t="s">
        <v>5739</v>
      </c>
      <c r="D6203" s="475" t="s">
        <v>5740</v>
      </c>
      <c r="E6203" s="476" t="s">
        <v>34</v>
      </c>
      <c r="F6203" s="475" t="s">
        <v>34</v>
      </c>
      <c r="G6203" s="364">
        <v>88297</v>
      </c>
      <c r="H6203" s="475" t="s">
        <v>107</v>
      </c>
      <c r="I6203" s="475" t="s">
        <v>67</v>
      </c>
      <c r="J6203" s="475" t="s">
        <v>337</v>
      </c>
      <c r="K6203" s="365">
        <v>15.09</v>
      </c>
      <c r="L6203" s="475" t="s">
        <v>5084</v>
      </c>
      <c r="M6203" s="473"/>
    </row>
    <row r="6204" spans="1:13" ht="13.5">
      <c r="A6204" s="475" t="s">
        <v>5496</v>
      </c>
      <c r="B6204" s="475" t="s">
        <v>5726</v>
      </c>
      <c r="C6204" s="475" t="s">
        <v>5739</v>
      </c>
      <c r="D6204" s="475" t="s">
        <v>5740</v>
      </c>
      <c r="E6204" s="476" t="s">
        <v>34</v>
      </c>
      <c r="F6204" s="475" t="s">
        <v>34</v>
      </c>
      <c r="G6204" s="364">
        <v>88298</v>
      </c>
      <c r="H6204" s="475" t="s">
        <v>5122</v>
      </c>
      <c r="I6204" s="475" t="s">
        <v>67</v>
      </c>
      <c r="J6204" s="475" t="s">
        <v>337</v>
      </c>
      <c r="K6204" s="365">
        <v>15.35</v>
      </c>
      <c r="L6204" s="475" t="s">
        <v>5084</v>
      </c>
      <c r="M6204" s="473"/>
    </row>
    <row r="6205" spans="1:13" ht="13.5">
      <c r="A6205" s="475" t="s">
        <v>5496</v>
      </c>
      <c r="B6205" s="475" t="s">
        <v>5726</v>
      </c>
      <c r="C6205" s="475" t="s">
        <v>5739</v>
      </c>
      <c r="D6205" s="475" t="s">
        <v>5740</v>
      </c>
      <c r="E6205" s="476" t="s">
        <v>34</v>
      </c>
      <c r="F6205" s="475" t="s">
        <v>34</v>
      </c>
      <c r="G6205" s="364">
        <v>88299</v>
      </c>
      <c r="H6205" s="475" t="s">
        <v>5123</v>
      </c>
      <c r="I6205" s="475" t="s">
        <v>67</v>
      </c>
      <c r="J6205" s="475" t="s">
        <v>337</v>
      </c>
      <c r="K6205" s="365">
        <v>17.350000000000001</v>
      </c>
      <c r="L6205" s="475" t="s">
        <v>5084</v>
      </c>
      <c r="M6205" s="473"/>
    </row>
    <row r="6206" spans="1:13" ht="13.5">
      <c r="A6206" s="475" t="s">
        <v>5496</v>
      </c>
      <c r="B6206" s="475" t="s">
        <v>5726</v>
      </c>
      <c r="C6206" s="475" t="s">
        <v>5739</v>
      </c>
      <c r="D6206" s="475" t="s">
        <v>5740</v>
      </c>
      <c r="E6206" s="476" t="s">
        <v>34</v>
      </c>
      <c r="F6206" s="475" t="s">
        <v>34</v>
      </c>
      <c r="G6206" s="364">
        <v>88300</v>
      </c>
      <c r="H6206" s="475" t="s">
        <v>5124</v>
      </c>
      <c r="I6206" s="475" t="s">
        <v>67</v>
      </c>
      <c r="J6206" s="475" t="s">
        <v>337</v>
      </c>
      <c r="K6206" s="365">
        <v>20.239999999999998</v>
      </c>
      <c r="L6206" s="475" t="s">
        <v>5084</v>
      </c>
      <c r="M6206" s="473"/>
    </row>
    <row r="6207" spans="1:13" ht="13.5">
      <c r="A6207" s="475" t="s">
        <v>5496</v>
      </c>
      <c r="B6207" s="475" t="s">
        <v>5726</v>
      </c>
      <c r="C6207" s="475" t="s">
        <v>5739</v>
      </c>
      <c r="D6207" s="475" t="s">
        <v>5740</v>
      </c>
      <c r="E6207" s="476" t="s">
        <v>34</v>
      </c>
      <c r="F6207" s="475" t="s">
        <v>34</v>
      </c>
      <c r="G6207" s="364">
        <v>88301</v>
      </c>
      <c r="H6207" s="475" t="s">
        <v>108</v>
      </c>
      <c r="I6207" s="475" t="s">
        <v>67</v>
      </c>
      <c r="J6207" s="475" t="s">
        <v>337</v>
      </c>
      <c r="K6207" s="365">
        <v>16.53</v>
      </c>
      <c r="L6207" s="475" t="s">
        <v>5084</v>
      </c>
      <c r="M6207" s="473"/>
    </row>
    <row r="6208" spans="1:13" ht="13.5">
      <c r="A6208" s="475" t="s">
        <v>5496</v>
      </c>
      <c r="B6208" s="475" t="s">
        <v>5726</v>
      </c>
      <c r="C6208" s="475" t="s">
        <v>5739</v>
      </c>
      <c r="D6208" s="475" t="s">
        <v>5740</v>
      </c>
      <c r="E6208" s="476" t="s">
        <v>34</v>
      </c>
      <c r="F6208" s="475" t="s">
        <v>34</v>
      </c>
      <c r="G6208" s="364">
        <v>88302</v>
      </c>
      <c r="H6208" s="475" t="s">
        <v>109</v>
      </c>
      <c r="I6208" s="475" t="s">
        <v>67</v>
      </c>
      <c r="J6208" s="475" t="s">
        <v>337</v>
      </c>
      <c r="K6208" s="365">
        <v>17.760000000000002</v>
      </c>
      <c r="L6208" s="475" t="s">
        <v>5084</v>
      </c>
      <c r="M6208" s="473"/>
    </row>
    <row r="6209" spans="1:13" ht="13.5">
      <c r="A6209" s="475" t="s">
        <v>5496</v>
      </c>
      <c r="B6209" s="475" t="s">
        <v>5726</v>
      </c>
      <c r="C6209" s="475" t="s">
        <v>5739</v>
      </c>
      <c r="D6209" s="475" t="s">
        <v>5740</v>
      </c>
      <c r="E6209" s="476" t="s">
        <v>34</v>
      </c>
      <c r="F6209" s="475" t="s">
        <v>34</v>
      </c>
      <c r="G6209" s="364">
        <v>88303</v>
      </c>
      <c r="H6209" s="475" t="s">
        <v>110</v>
      </c>
      <c r="I6209" s="475" t="s">
        <v>67</v>
      </c>
      <c r="J6209" s="475" t="s">
        <v>337</v>
      </c>
      <c r="K6209" s="365">
        <v>15.12</v>
      </c>
      <c r="L6209" s="475" t="s">
        <v>5084</v>
      </c>
      <c r="M6209" s="473"/>
    </row>
    <row r="6210" spans="1:13" ht="13.5">
      <c r="A6210" s="475" t="s">
        <v>5496</v>
      </c>
      <c r="B6210" s="475" t="s">
        <v>5726</v>
      </c>
      <c r="C6210" s="475" t="s">
        <v>5739</v>
      </c>
      <c r="D6210" s="475" t="s">
        <v>5740</v>
      </c>
      <c r="E6210" s="476" t="s">
        <v>34</v>
      </c>
      <c r="F6210" s="475" t="s">
        <v>34</v>
      </c>
      <c r="G6210" s="364">
        <v>88304</v>
      </c>
      <c r="H6210" s="475" t="s">
        <v>5125</v>
      </c>
      <c r="I6210" s="475" t="s">
        <v>67</v>
      </c>
      <c r="J6210" s="475" t="s">
        <v>337</v>
      </c>
      <c r="K6210" s="365">
        <v>15.92</v>
      </c>
      <c r="L6210" s="475" t="s">
        <v>5084</v>
      </c>
      <c r="M6210" s="473"/>
    </row>
    <row r="6211" spans="1:13" ht="13.5">
      <c r="A6211" s="475" t="s">
        <v>5496</v>
      </c>
      <c r="B6211" s="475" t="s">
        <v>5726</v>
      </c>
      <c r="C6211" s="475" t="s">
        <v>5739</v>
      </c>
      <c r="D6211" s="475" t="s">
        <v>5740</v>
      </c>
      <c r="E6211" s="476" t="s">
        <v>34</v>
      </c>
      <c r="F6211" s="475" t="s">
        <v>34</v>
      </c>
      <c r="G6211" s="364">
        <v>88306</v>
      </c>
      <c r="H6211" s="475" t="s">
        <v>5126</v>
      </c>
      <c r="I6211" s="475" t="s">
        <v>67</v>
      </c>
      <c r="J6211" s="475" t="s">
        <v>337</v>
      </c>
      <c r="K6211" s="365">
        <v>19.489999999999998</v>
      </c>
      <c r="L6211" s="475" t="s">
        <v>5084</v>
      </c>
      <c r="M6211" s="473"/>
    </row>
    <row r="6212" spans="1:13" ht="13.5">
      <c r="A6212" s="475" t="s">
        <v>5496</v>
      </c>
      <c r="B6212" s="475" t="s">
        <v>5726</v>
      </c>
      <c r="C6212" s="475" t="s">
        <v>5739</v>
      </c>
      <c r="D6212" s="475" t="s">
        <v>5740</v>
      </c>
      <c r="E6212" s="476" t="s">
        <v>34</v>
      </c>
      <c r="F6212" s="475" t="s">
        <v>34</v>
      </c>
      <c r="G6212" s="364">
        <v>88307</v>
      </c>
      <c r="H6212" s="475" t="s">
        <v>5127</v>
      </c>
      <c r="I6212" s="475" t="s">
        <v>67</v>
      </c>
      <c r="J6212" s="475" t="s">
        <v>337</v>
      </c>
      <c r="K6212" s="365">
        <v>16.350000000000001</v>
      </c>
      <c r="L6212" s="475" t="s">
        <v>5084</v>
      </c>
      <c r="M6212" s="473"/>
    </row>
    <row r="6213" spans="1:13" ht="13.5">
      <c r="A6213" s="475" t="s">
        <v>5496</v>
      </c>
      <c r="B6213" s="475" t="s">
        <v>5726</v>
      </c>
      <c r="C6213" s="475" t="s">
        <v>5739</v>
      </c>
      <c r="D6213" s="475" t="s">
        <v>5740</v>
      </c>
      <c r="E6213" s="476" t="s">
        <v>34</v>
      </c>
      <c r="F6213" s="475" t="s">
        <v>34</v>
      </c>
      <c r="G6213" s="364">
        <v>88308</v>
      </c>
      <c r="H6213" s="475" t="s">
        <v>5128</v>
      </c>
      <c r="I6213" s="475" t="s">
        <v>67</v>
      </c>
      <c r="J6213" s="475" t="s">
        <v>337</v>
      </c>
      <c r="K6213" s="365">
        <v>20.45</v>
      </c>
      <c r="L6213" s="475" t="s">
        <v>5084</v>
      </c>
      <c r="M6213" s="473"/>
    </row>
    <row r="6214" spans="1:13" ht="13.5">
      <c r="A6214" s="475" t="s">
        <v>5496</v>
      </c>
      <c r="B6214" s="475" t="s">
        <v>5726</v>
      </c>
      <c r="C6214" s="475" t="s">
        <v>5739</v>
      </c>
      <c r="D6214" s="475" t="s">
        <v>5740</v>
      </c>
      <c r="E6214" s="476" t="s">
        <v>34</v>
      </c>
      <c r="F6214" s="475" t="s">
        <v>34</v>
      </c>
      <c r="G6214" s="364">
        <v>88309</v>
      </c>
      <c r="H6214" s="475" t="s">
        <v>90</v>
      </c>
      <c r="I6214" s="475" t="s">
        <v>67</v>
      </c>
      <c r="J6214" s="475" t="s">
        <v>363</v>
      </c>
      <c r="K6214" s="365">
        <v>19.27</v>
      </c>
      <c r="L6214" s="475" t="s">
        <v>5084</v>
      </c>
      <c r="M6214" s="473"/>
    </row>
    <row r="6215" spans="1:13" ht="13.5">
      <c r="A6215" s="475" t="s">
        <v>5496</v>
      </c>
      <c r="B6215" s="475" t="s">
        <v>5726</v>
      </c>
      <c r="C6215" s="475" t="s">
        <v>5739</v>
      </c>
      <c r="D6215" s="475" t="s">
        <v>5740</v>
      </c>
      <c r="E6215" s="476" t="s">
        <v>34</v>
      </c>
      <c r="F6215" s="475" t="s">
        <v>34</v>
      </c>
      <c r="G6215" s="364">
        <v>88310</v>
      </c>
      <c r="H6215" s="475" t="s">
        <v>92</v>
      </c>
      <c r="I6215" s="475" t="s">
        <v>67</v>
      </c>
      <c r="J6215" s="475" t="s">
        <v>363</v>
      </c>
      <c r="K6215" s="365">
        <v>20.39</v>
      </c>
      <c r="L6215" s="475" t="s">
        <v>5084</v>
      </c>
      <c r="M6215" s="473"/>
    </row>
    <row r="6216" spans="1:13" ht="13.5">
      <c r="A6216" s="475" t="s">
        <v>5496</v>
      </c>
      <c r="B6216" s="475" t="s">
        <v>5726</v>
      </c>
      <c r="C6216" s="475" t="s">
        <v>5739</v>
      </c>
      <c r="D6216" s="475" t="s">
        <v>5740</v>
      </c>
      <c r="E6216" s="476" t="s">
        <v>34</v>
      </c>
      <c r="F6216" s="475" t="s">
        <v>34</v>
      </c>
      <c r="G6216" s="364">
        <v>88311</v>
      </c>
      <c r="H6216" s="475" t="s">
        <v>5129</v>
      </c>
      <c r="I6216" s="475" t="s">
        <v>67</v>
      </c>
      <c r="J6216" s="475" t="s">
        <v>337</v>
      </c>
      <c r="K6216" s="365">
        <v>21.47</v>
      </c>
      <c r="L6216" s="475" t="s">
        <v>5084</v>
      </c>
      <c r="M6216" s="473"/>
    </row>
    <row r="6217" spans="1:13" ht="13.5">
      <c r="A6217" s="475" t="s">
        <v>5496</v>
      </c>
      <c r="B6217" s="475" t="s">
        <v>5726</v>
      </c>
      <c r="C6217" s="475" t="s">
        <v>5739</v>
      </c>
      <c r="D6217" s="475" t="s">
        <v>5740</v>
      </c>
      <c r="E6217" s="476" t="s">
        <v>34</v>
      </c>
      <c r="F6217" s="475" t="s">
        <v>34</v>
      </c>
      <c r="G6217" s="364">
        <v>88312</v>
      </c>
      <c r="H6217" s="475" t="s">
        <v>5130</v>
      </c>
      <c r="I6217" s="475" t="s">
        <v>67</v>
      </c>
      <c r="J6217" s="475" t="s">
        <v>337</v>
      </c>
      <c r="K6217" s="365">
        <v>21.42</v>
      </c>
      <c r="L6217" s="475" t="s">
        <v>5084</v>
      </c>
      <c r="M6217" s="473"/>
    </row>
    <row r="6218" spans="1:13" ht="13.5">
      <c r="A6218" s="475" t="s">
        <v>5496</v>
      </c>
      <c r="B6218" s="475" t="s">
        <v>5726</v>
      </c>
      <c r="C6218" s="475" t="s">
        <v>5739</v>
      </c>
      <c r="D6218" s="475" t="s">
        <v>5740</v>
      </c>
      <c r="E6218" s="476" t="s">
        <v>34</v>
      </c>
      <c r="F6218" s="475" t="s">
        <v>34</v>
      </c>
      <c r="G6218" s="364">
        <v>88313</v>
      </c>
      <c r="H6218" s="475" t="s">
        <v>5131</v>
      </c>
      <c r="I6218" s="475" t="s">
        <v>67</v>
      </c>
      <c r="J6218" s="475" t="s">
        <v>337</v>
      </c>
      <c r="K6218" s="365">
        <v>13.9</v>
      </c>
      <c r="L6218" s="475" t="s">
        <v>5084</v>
      </c>
      <c r="M6218" s="473"/>
    </row>
    <row r="6219" spans="1:13" ht="13.5">
      <c r="A6219" s="475" t="s">
        <v>5496</v>
      </c>
      <c r="B6219" s="475" t="s">
        <v>5726</v>
      </c>
      <c r="C6219" s="475" t="s">
        <v>5739</v>
      </c>
      <c r="D6219" s="475" t="s">
        <v>5740</v>
      </c>
      <c r="E6219" s="476" t="s">
        <v>34</v>
      </c>
      <c r="F6219" s="475" t="s">
        <v>34</v>
      </c>
      <c r="G6219" s="364">
        <v>88314</v>
      </c>
      <c r="H6219" s="475" t="s">
        <v>111</v>
      </c>
      <c r="I6219" s="475" t="s">
        <v>67</v>
      </c>
      <c r="J6219" s="475" t="s">
        <v>337</v>
      </c>
      <c r="K6219" s="365">
        <v>13.5</v>
      </c>
      <c r="L6219" s="475" t="s">
        <v>5084</v>
      </c>
      <c r="M6219" s="473"/>
    </row>
    <row r="6220" spans="1:13" ht="13.5">
      <c r="A6220" s="475" t="s">
        <v>5496</v>
      </c>
      <c r="B6220" s="475" t="s">
        <v>5726</v>
      </c>
      <c r="C6220" s="475" t="s">
        <v>5739</v>
      </c>
      <c r="D6220" s="475" t="s">
        <v>5740</v>
      </c>
      <c r="E6220" s="476" t="s">
        <v>34</v>
      </c>
      <c r="F6220" s="475" t="s">
        <v>34</v>
      </c>
      <c r="G6220" s="364">
        <v>88315</v>
      </c>
      <c r="H6220" s="475" t="s">
        <v>112</v>
      </c>
      <c r="I6220" s="475" t="s">
        <v>67</v>
      </c>
      <c r="J6220" s="475" t="s">
        <v>337</v>
      </c>
      <c r="K6220" s="365">
        <v>19.16</v>
      </c>
      <c r="L6220" s="475" t="s">
        <v>5084</v>
      </c>
      <c r="M6220" s="473"/>
    </row>
    <row r="6221" spans="1:13" ht="13.5">
      <c r="A6221" s="475" t="s">
        <v>5496</v>
      </c>
      <c r="B6221" s="475" t="s">
        <v>5726</v>
      </c>
      <c r="C6221" s="475" t="s">
        <v>5739</v>
      </c>
      <c r="D6221" s="475" t="s">
        <v>5740</v>
      </c>
      <c r="E6221" s="476" t="s">
        <v>34</v>
      </c>
      <c r="F6221" s="475" t="s">
        <v>34</v>
      </c>
      <c r="G6221" s="364">
        <v>88316</v>
      </c>
      <c r="H6221" s="475" t="s">
        <v>66</v>
      </c>
      <c r="I6221" s="475" t="s">
        <v>67</v>
      </c>
      <c r="J6221" s="475" t="s">
        <v>363</v>
      </c>
      <c r="K6221" s="365">
        <v>14.36</v>
      </c>
      <c r="L6221" s="475" t="s">
        <v>5084</v>
      </c>
      <c r="M6221" s="473"/>
    </row>
    <row r="6222" spans="1:13" ht="13.5">
      <c r="A6222" s="475" t="s">
        <v>5496</v>
      </c>
      <c r="B6222" s="475" t="s">
        <v>5726</v>
      </c>
      <c r="C6222" s="475" t="s">
        <v>5739</v>
      </c>
      <c r="D6222" s="475" t="s">
        <v>5740</v>
      </c>
      <c r="E6222" s="476" t="s">
        <v>34</v>
      </c>
      <c r="F6222" s="475" t="s">
        <v>34</v>
      </c>
      <c r="G6222" s="364">
        <v>88317</v>
      </c>
      <c r="H6222" s="475" t="s">
        <v>5132</v>
      </c>
      <c r="I6222" s="475" t="s">
        <v>67</v>
      </c>
      <c r="J6222" s="475" t="s">
        <v>363</v>
      </c>
      <c r="K6222" s="365">
        <v>19.93</v>
      </c>
      <c r="L6222" s="475" t="s">
        <v>5084</v>
      </c>
      <c r="M6222" s="473"/>
    </row>
    <row r="6223" spans="1:13" ht="13.5">
      <c r="A6223" s="475" t="s">
        <v>5496</v>
      </c>
      <c r="B6223" s="475" t="s">
        <v>5726</v>
      </c>
      <c r="C6223" s="475" t="s">
        <v>5739</v>
      </c>
      <c r="D6223" s="475" t="s">
        <v>5740</v>
      </c>
      <c r="E6223" s="476" t="s">
        <v>34</v>
      </c>
      <c r="F6223" s="475" t="s">
        <v>34</v>
      </c>
      <c r="G6223" s="364">
        <v>88318</v>
      </c>
      <c r="H6223" s="475" t="s">
        <v>5133</v>
      </c>
      <c r="I6223" s="475" t="s">
        <v>67</v>
      </c>
      <c r="J6223" s="475" t="s">
        <v>337</v>
      </c>
      <c r="K6223" s="365">
        <v>21.52</v>
      </c>
      <c r="L6223" s="475" t="s">
        <v>5084</v>
      </c>
      <c r="M6223" s="473"/>
    </row>
    <row r="6224" spans="1:13" ht="13.5">
      <c r="A6224" s="475" t="s">
        <v>5496</v>
      </c>
      <c r="B6224" s="475" t="s">
        <v>5726</v>
      </c>
      <c r="C6224" s="475" t="s">
        <v>5739</v>
      </c>
      <c r="D6224" s="475" t="s">
        <v>5740</v>
      </c>
      <c r="E6224" s="476" t="s">
        <v>34</v>
      </c>
      <c r="F6224" s="475" t="s">
        <v>34</v>
      </c>
      <c r="G6224" s="364">
        <v>88320</v>
      </c>
      <c r="H6224" s="475" t="s">
        <v>5134</v>
      </c>
      <c r="I6224" s="475" t="s">
        <v>67</v>
      </c>
      <c r="J6224" s="475" t="s">
        <v>337</v>
      </c>
      <c r="K6224" s="365">
        <v>22.22</v>
      </c>
      <c r="L6224" s="475" t="s">
        <v>5084</v>
      </c>
      <c r="M6224" s="473"/>
    </row>
    <row r="6225" spans="1:13" ht="13.5">
      <c r="A6225" s="475" t="s">
        <v>5496</v>
      </c>
      <c r="B6225" s="475" t="s">
        <v>5726</v>
      </c>
      <c r="C6225" s="475" t="s">
        <v>5739</v>
      </c>
      <c r="D6225" s="475" t="s">
        <v>5740</v>
      </c>
      <c r="E6225" s="476" t="s">
        <v>34</v>
      </c>
      <c r="F6225" s="475" t="s">
        <v>34</v>
      </c>
      <c r="G6225" s="364">
        <v>88321</v>
      </c>
      <c r="H6225" s="475" t="s">
        <v>5135</v>
      </c>
      <c r="I6225" s="475" t="s">
        <v>67</v>
      </c>
      <c r="J6225" s="475" t="s">
        <v>337</v>
      </c>
      <c r="K6225" s="365">
        <v>45.4</v>
      </c>
      <c r="L6225" s="475" t="s">
        <v>5084</v>
      </c>
      <c r="M6225" s="473"/>
    </row>
    <row r="6226" spans="1:13" ht="13.5">
      <c r="A6226" s="475" t="s">
        <v>5496</v>
      </c>
      <c r="B6226" s="475" t="s">
        <v>5726</v>
      </c>
      <c r="C6226" s="475" t="s">
        <v>5739</v>
      </c>
      <c r="D6226" s="475" t="s">
        <v>5740</v>
      </c>
      <c r="E6226" s="476" t="s">
        <v>34</v>
      </c>
      <c r="F6226" s="475" t="s">
        <v>34</v>
      </c>
      <c r="G6226" s="364">
        <v>88322</v>
      </c>
      <c r="H6226" s="475" t="s">
        <v>5136</v>
      </c>
      <c r="I6226" s="475" t="s">
        <v>67</v>
      </c>
      <c r="J6226" s="475" t="s">
        <v>337</v>
      </c>
      <c r="K6226" s="365">
        <v>22.79</v>
      </c>
      <c r="L6226" s="475" t="s">
        <v>5084</v>
      </c>
      <c r="M6226" s="473"/>
    </row>
    <row r="6227" spans="1:13" ht="13.5">
      <c r="A6227" s="475" t="s">
        <v>5496</v>
      </c>
      <c r="B6227" s="475" t="s">
        <v>5726</v>
      </c>
      <c r="C6227" s="475" t="s">
        <v>5739</v>
      </c>
      <c r="D6227" s="475" t="s">
        <v>5740</v>
      </c>
      <c r="E6227" s="476" t="s">
        <v>34</v>
      </c>
      <c r="F6227" s="475" t="s">
        <v>34</v>
      </c>
      <c r="G6227" s="364">
        <v>88323</v>
      </c>
      <c r="H6227" s="475" t="s">
        <v>94</v>
      </c>
      <c r="I6227" s="475" t="s">
        <v>67</v>
      </c>
      <c r="J6227" s="475" t="s">
        <v>337</v>
      </c>
      <c r="K6227" s="365">
        <v>20.37</v>
      </c>
      <c r="L6227" s="475" t="s">
        <v>5084</v>
      </c>
      <c r="M6227" s="473"/>
    </row>
    <row r="6228" spans="1:13" ht="13.5">
      <c r="A6228" s="475" t="s">
        <v>5496</v>
      </c>
      <c r="B6228" s="475" t="s">
        <v>5726</v>
      </c>
      <c r="C6228" s="475" t="s">
        <v>5739</v>
      </c>
      <c r="D6228" s="475" t="s">
        <v>5740</v>
      </c>
      <c r="E6228" s="476" t="s">
        <v>34</v>
      </c>
      <c r="F6228" s="475" t="s">
        <v>34</v>
      </c>
      <c r="G6228" s="364">
        <v>88324</v>
      </c>
      <c r="H6228" s="475" t="s">
        <v>105</v>
      </c>
      <c r="I6228" s="475" t="s">
        <v>67</v>
      </c>
      <c r="J6228" s="475" t="s">
        <v>337</v>
      </c>
      <c r="K6228" s="365">
        <v>15.08</v>
      </c>
      <c r="L6228" s="475" t="s">
        <v>5084</v>
      </c>
      <c r="M6228" s="473"/>
    </row>
    <row r="6229" spans="1:13" ht="13.5">
      <c r="A6229" s="475" t="s">
        <v>5496</v>
      </c>
      <c r="B6229" s="475" t="s">
        <v>5726</v>
      </c>
      <c r="C6229" s="475" t="s">
        <v>5739</v>
      </c>
      <c r="D6229" s="475" t="s">
        <v>5740</v>
      </c>
      <c r="E6229" s="476" t="s">
        <v>34</v>
      </c>
      <c r="F6229" s="475" t="s">
        <v>34</v>
      </c>
      <c r="G6229" s="364">
        <v>88325</v>
      </c>
      <c r="H6229" s="475" t="s">
        <v>97</v>
      </c>
      <c r="I6229" s="475" t="s">
        <v>67</v>
      </c>
      <c r="J6229" s="475" t="s">
        <v>337</v>
      </c>
      <c r="K6229" s="365">
        <v>17.95</v>
      </c>
      <c r="L6229" s="475" t="s">
        <v>5084</v>
      </c>
      <c r="M6229" s="473"/>
    </row>
    <row r="6230" spans="1:13" ht="13.5">
      <c r="A6230" s="475" t="s">
        <v>5496</v>
      </c>
      <c r="B6230" s="475" t="s">
        <v>5726</v>
      </c>
      <c r="C6230" s="475" t="s">
        <v>5739</v>
      </c>
      <c r="D6230" s="475" t="s">
        <v>5740</v>
      </c>
      <c r="E6230" s="476" t="s">
        <v>34</v>
      </c>
      <c r="F6230" s="475" t="s">
        <v>34</v>
      </c>
      <c r="G6230" s="364">
        <v>88326</v>
      </c>
      <c r="H6230" s="475" t="s">
        <v>5137</v>
      </c>
      <c r="I6230" s="475" t="s">
        <v>67</v>
      </c>
      <c r="J6230" s="475" t="s">
        <v>337</v>
      </c>
      <c r="K6230" s="365">
        <v>18.02</v>
      </c>
      <c r="L6230" s="475" t="s">
        <v>5084</v>
      </c>
      <c r="M6230" s="473"/>
    </row>
    <row r="6231" spans="1:13" ht="13.5">
      <c r="A6231" s="475" t="s">
        <v>5496</v>
      </c>
      <c r="B6231" s="475" t="s">
        <v>5726</v>
      </c>
      <c r="C6231" s="475" t="s">
        <v>5739</v>
      </c>
      <c r="D6231" s="475" t="s">
        <v>5740</v>
      </c>
      <c r="E6231" s="476" t="s">
        <v>34</v>
      </c>
      <c r="F6231" s="475" t="s">
        <v>34</v>
      </c>
      <c r="G6231" s="364">
        <v>88377</v>
      </c>
      <c r="H6231" s="475" t="s">
        <v>98</v>
      </c>
      <c r="I6231" s="475" t="s">
        <v>67</v>
      </c>
      <c r="J6231" s="475" t="s">
        <v>337</v>
      </c>
      <c r="K6231" s="365">
        <v>14.46</v>
      </c>
      <c r="L6231" s="475" t="s">
        <v>5084</v>
      </c>
      <c r="M6231" s="473"/>
    </row>
    <row r="6232" spans="1:13" ht="13.5">
      <c r="A6232" s="475" t="s">
        <v>5496</v>
      </c>
      <c r="B6232" s="475" t="s">
        <v>5726</v>
      </c>
      <c r="C6232" s="475" t="s">
        <v>5739</v>
      </c>
      <c r="D6232" s="475" t="s">
        <v>5740</v>
      </c>
      <c r="E6232" s="476" t="s">
        <v>34</v>
      </c>
      <c r="F6232" s="475" t="s">
        <v>34</v>
      </c>
      <c r="G6232" s="364">
        <v>88441</v>
      </c>
      <c r="H6232" s="475" t="s">
        <v>5138</v>
      </c>
      <c r="I6232" s="475" t="s">
        <v>67</v>
      </c>
      <c r="J6232" s="475" t="s">
        <v>337</v>
      </c>
      <c r="K6232" s="365">
        <v>18.649999999999999</v>
      </c>
      <c r="L6232" s="475" t="s">
        <v>5084</v>
      </c>
      <c r="M6232" s="473"/>
    </row>
    <row r="6233" spans="1:13" ht="13.5">
      <c r="A6233" s="475" t="s">
        <v>5496</v>
      </c>
      <c r="B6233" s="475" t="s">
        <v>5726</v>
      </c>
      <c r="C6233" s="475" t="s">
        <v>5739</v>
      </c>
      <c r="D6233" s="475" t="s">
        <v>5740</v>
      </c>
      <c r="E6233" s="476" t="s">
        <v>34</v>
      </c>
      <c r="F6233" s="475" t="s">
        <v>34</v>
      </c>
      <c r="G6233" s="364">
        <v>88597</v>
      </c>
      <c r="H6233" s="475" t="s">
        <v>5139</v>
      </c>
      <c r="I6233" s="475" t="s">
        <v>67</v>
      </c>
      <c r="J6233" s="475" t="s">
        <v>337</v>
      </c>
      <c r="K6233" s="365">
        <v>26.26</v>
      </c>
      <c r="L6233" s="475" t="s">
        <v>5084</v>
      </c>
      <c r="M6233" s="473"/>
    </row>
    <row r="6234" spans="1:13" ht="13.5">
      <c r="A6234" s="475" t="s">
        <v>5496</v>
      </c>
      <c r="B6234" s="475" t="s">
        <v>5726</v>
      </c>
      <c r="C6234" s="475" t="s">
        <v>5739</v>
      </c>
      <c r="D6234" s="475" t="s">
        <v>5740</v>
      </c>
      <c r="E6234" s="476" t="s">
        <v>34</v>
      </c>
      <c r="F6234" s="475" t="s">
        <v>34</v>
      </c>
      <c r="G6234" s="364">
        <v>90766</v>
      </c>
      <c r="H6234" s="475" t="s">
        <v>5140</v>
      </c>
      <c r="I6234" s="475" t="s">
        <v>67</v>
      </c>
      <c r="J6234" s="475" t="s">
        <v>363</v>
      </c>
      <c r="K6234" s="365">
        <v>27.92</v>
      </c>
      <c r="L6234" s="475" t="s">
        <v>5084</v>
      </c>
      <c r="M6234" s="473"/>
    </row>
    <row r="6235" spans="1:13" ht="13.5">
      <c r="A6235" s="475" t="s">
        <v>5496</v>
      </c>
      <c r="B6235" s="475" t="s">
        <v>5726</v>
      </c>
      <c r="C6235" s="475" t="s">
        <v>5739</v>
      </c>
      <c r="D6235" s="475" t="s">
        <v>5740</v>
      </c>
      <c r="E6235" s="476" t="s">
        <v>34</v>
      </c>
      <c r="F6235" s="475" t="s">
        <v>34</v>
      </c>
      <c r="G6235" s="364">
        <v>90767</v>
      </c>
      <c r="H6235" s="475" t="s">
        <v>5141</v>
      </c>
      <c r="I6235" s="475" t="s">
        <v>67</v>
      </c>
      <c r="J6235" s="475" t="s">
        <v>337</v>
      </c>
      <c r="K6235" s="365">
        <v>32.950000000000003</v>
      </c>
      <c r="L6235" s="475" t="s">
        <v>5084</v>
      </c>
      <c r="M6235" s="473"/>
    </row>
    <row r="6236" spans="1:13" ht="13.5">
      <c r="A6236" s="475" t="s">
        <v>5496</v>
      </c>
      <c r="B6236" s="475" t="s">
        <v>5726</v>
      </c>
      <c r="C6236" s="475" t="s">
        <v>5739</v>
      </c>
      <c r="D6236" s="475" t="s">
        <v>5740</v>
      </c>
      <c r="E6236" s="476" t="s">
        <v>34</v>
      </c>
      <c r="F6236" s="475" t="s">
        <v>34</v>
      </c>
      <c r="G6236" s="364">
        <v>90768</v>
      </c>
      <c r="H6236" s="475" t="s">
        <v>5142</v>
      </c>
      <c r="I6236" s="475" t="s">
        <v>67</v>
      </c>
      <c r="J6236" s="475" t="s">
        <v>337</v>
      </c>
      <c r="K6236" s="365">
        <v>53.75</v>
      </c>
      <c r="L6236" s="475" t="s">
        <v>5084</v>
      </c>
      <c r="M6236" s="473"/>
    </row>
    <row r="6237" spans="1:13" ht="13.5">
      <c r="A6237" s="475" t="s">
        <v>5496</v>
      </c>
      <c r="B6237" s="475" t="s">
        <v>5726</v>
      </c>
      <c r="C6237" s="475" t="s">
        <v>5739</v>
      </c>
      <c r="D6237" s="475" t="s">
        <v>5740</v>
      </c>
      <c r="E6237" s="476" t="s">
        <v>34</v>
      </c>
      <c r="F6237" s="475" t="s">
        <v>34</v>
      </c>
      <c r="G6237" s="364">
        <v>90769</v>
      </c>
      <c r="H6237" s="475" t="s">
        <v>5143</v>
      </c>
      <c r="I6237" s="475" t="s">
        <v>67</v>
      </c>
      <c r="J6237" s="475" t="s">
        <v>337</v>
      </c>
      <c r="K6237" s="365">
        <v>75.95</v>
      </c>
      <c r="L6237" s="475" t="s">
        <v>5084</v>
      </c>
      <c r="M6237" s="473"/>
    </row>
    <row r="6238" spans="1:13" ht="13.5">
      <c r="A6238" s="475" t="s">
        <v>5496</v>
      </c>
      <c r="B6238" s="475" t="s">
        <v>5726</v>
      </c>
      <c r="C6238" s="475" t="s">
        <v>5739</v>
      </c>
      <c r="D6238" s="475" t="s">
        <v>5740</v>
      </c>
      <c r="E6238" s="476" t="s">
        <v>34</v>
      </c>
      <c r="F6238" s="475" t="s">
        <v>34</v>
      </c>
      <c r="G6238" s="364">
        <v>90770</v>
      </c>
      <c r="H6238" s="475" t="s">
        <v>5144</v>
      </c>
      <c r="I6238" s="475" t="s">
        <v>67</v>
      </c>
      <c r="J6238" s="475" t="s">
        <v>337</v>
      </c>
      <c r="K6238" s="365">
        <v>100.12</v>
      </c>
      <c r="L6238" s="475" t="s">
        <v>5084</v>
      </c>
      <c r="M6238" s="473"/>
    </row>
    <row r="6239" spans="1:13" ht="13.5">
      <c r="A6239" s="475" t="s">
        <v>5496</v>
      </c>
      <c r="B6239" s="475" t="s">
        <v>5726</v>
      </c>
      <c r="C6239" s="475" t="s">
        <v>5739</v>
      </c>
      <c r="D6239" s="475" t="s">
        <v>5740</v>
      </c>
      <c r="E6239" s="476" t="s">
        <v>34</v>
      </c>
      <c r="F6239" s="475" t="s">
        <v>34</v>
      </c>
      <c r="G6239" s="364">
        <v>90771</v>
      </c>
      <c r="H6239" s="475" t="s">
        <v>5145</v>
      </c>
      <c r="I6239" s="475" t="s">
        <v>67</v>
      </c>
      <c r="J6239" s="475" t="s">
        <v>337</v>
      </c>
      <c r="K6239" s="365">
        <v>27.74</v>
      </c>
      <c r="L6239" s="475" t="s">
        <v>5084</v>
      </c>
      <c r="M6239" s="473"/>
    </row>
    <row r="6240" spans="1:13" ht="13.5">
      <c r="A6240" s="475" t="s">
        <v>5496</v>
      </c>
      <c r="B6240" s="475" t="s">
        <v>5726</v>
      </c>
      <c r="C6240" s="475" t="s">
        <v>5739</v>
      </c>
      <c r="D6240" s="475" t="s">
        <v>5740</v>
      </c>
      <c r="E6240" s="476" t="s">
        <v>34</v>
      </c>
      <c r="F6240" s="475" t="s">
        <v>34</v>
      </c>
      <c r="G6240" s="364">
        <v>90772</v>
      </c>
      <c r="H6240" s="475" t="s">
        <v>5146</v>
      </c>
      <c r="I6240" s="475" t="s">
        <v>67</v>
      </c>
      <c r="J6240" s="475" t="s">
        <v>337</v>
      </c>
      <c r="K6240" s="365">
        <v>24.14</v>
      </c>
      <c r="L6240" s="475" t="s">
        <v>5084</v>
      </c>
      <c r="M6240" s="473"/>
    </row>
    <row r="6241" spans="1:13" ht="13.5">
      <c r="A6241" s="475" t="s">
        <v>5496</v>
      </c>
      <c r="B6241" s="475" t="s">
        <v>5726</v>
      </c>
      <c r="C6241" s="475" t="s">
        <v>5739</v>
      </c>
      <c r="D6241" s="475" t="s">
        <v>5740</v>
      </c>
      <c r="E6241" s="476" t="s">
        <v>34</v>
      </c>
      <c r="F6241" s="475" t="s">
        <v>34</v>
      </c>
      <c r="G6241" s="364">
        <v>90773</v>
      </c>
      <c r="H6241" s="475" t="s">
        <v>5147</v>
      </c>
      <c r="I6241" s="475" t="s">
        <v>67</v>
      </c>
      <c r="J6241" s="475" t="s">
        <v>337</v>
      </c>
      <c r="K6241" s="365">
        <v>14.75</v>
      </c>
      <c r="L6241" s="475" t="s">
        <v>5084</v>
      </c>
      <c r="M6241" s="473"/>
    </row>
    <row r="6242" spans="1:13" ht="13.5">
      <c r="A6242" s="475" t="s">
        <v>5496</v>
      </c>
      <c r="B6242" s="475" t="s">
        <v>5726</v>
      </c>
      <c r="C6242" s="475" t="s">
        <v>5739</v>
      </c>
      <c r="D6242" s="475" t="s">
        <v>5740</v>
      </c>
      <c r="E6242" s="476" t="s">
        <v>34</v>
      </c>
      <c r="F6242" s="475" t="s">
        <v>34</v>
      </c>
      <c r="G6242" s="364">
        <v>90775</v>
      </c>
      <c r="H6242" s="475" t="s">
        <v>5148</v>
      </c>
      <c r="I6242" s="475" t="s">
        <v>67</v>
      </c>
      <c r="J6242" s="475" t="s">
        <v>337</v>
      </c>
      <c r="K6242" s="365">
        <v>20.29</v>
      </c>
      <c r="L6242" s="475" t="s">
        <v>5084</v>
      </c>
      <c r="M6242" s="473"/>
    </row>
    <row r="6243" spans="1:13" ht="13.5">
      <c r="A6243" s="475" t="s">
        <v>5496</v>
      </c>
      <c r="B6243" s="475" t="s">
        <v>5726</v>
      </c>
      <c r="C6243" s="475" t="s">
        <v>5739</v>
      </c>
      <c r="D6243" s="475" t="s">
        <v>5740</v>
      </c>
      <c r="E6243" s="476" t="s">
        <v>34</v>
      </c>
      <c r="F6243" s="475" t="s">
        <v>34</v>
      </c>
      <c r="G6243" s="364">
        <v>90776</v>
      </c>
      <c r="H6243" s="475" t="s">
        <v>5149</v>
      </c>
      <c r="I6243" s="475" t="s">
        <v>67</v>
      </c>
      <c r="J6243" s="475" t="s">
        <v>363</v>
      </c>
      <c r="K6243" s="365">
        <v>18.84</v>
      </c>
      <c r="L6243" s="475" t="s">
        <v>5084</v>
      </c>
      <c r="M6243" s="473"/>
    </row>
    <row r="6244" spans="1:13" ht="13.5">
      <c r="A6244" s="475" t="s">
        <v>5496</v>
      </c>
      <c r="B6244" s="475" t="s">
        <v>5726</v>
      </c>
      <c r="C6244" s="475" t="s">
        <v>5739</v>
      </c>
      <c r="D6244" s="475" t="s">
        <v>5740</v>
      </c>
      <c r="E6244" s="476" t="s">
        <v>34</v>
      </c>
      <c r="F6244" s="475" t="s">
        <v>34</v>
      </c>
      <c r="G6244" s="364">
        <v>90777</v>
      </c>
      <c r="H6244" s="475" t="s">
        <v>5150</v>
      </c>
      <c r="I6244" s="475" t="s">
        <v>67</v>
      </c>
      <c r="J6244" s="475" t="s">
        <v>363</v>
      </c>
      <c r="K6244" s="365">
        <v>72.959999999999994</v>
      </c>
      <c r="L6244" s="475" t="s">
        <v>5084</v>
      </c>
      <c r="M6244" s="473"/>
    </row>
    <row r="6245" spans="1:13" ht="13.5">
      <c r="A6245" s="475" t="s">
        <v>5496</v>
      </c>
      <c r="B6245" s="475" t="s">
        <v>5726</v>
      </c>
      <c r="C6245" s="475" t="s">
        <v>5739</v>
      </c>
      <c r="D6245" s="475" t="s">
        <v>5740</v>
      </c>
      <c r="E6245" s="476" t="s">
        <v>34</v>
      </c>
      <c r="F6245" s="475" t="s">
        <v>34</v>
      </c>
      <c r="G6245" s="364">
        <v>90778</v>
      </c>
      <c r="H6245" s="475" t="s">
        <v>5151</v>
      </c>
      <c r="I6245" s="475" t="s">
        <v>67</v>
      </c>
      <c r="J6245" s="475" t="s">
        <v>337</v>
      </c>
      <c r="K6245" s="365">
        <v>82.9</v>
      </c>
      <c r="L6245" s="475" t="s">
        <v>5084</v>
      </c>
      <c r="M6245" s="473"/>
    </row>
    <row r="6246" spans="1:13" ht="13.5">
      <c r="A6246" s="475" t="s">
        <v>5496</v>
      </c>
      <c r="B6246" s="475" t="s">
        <v>5726</v>
      </c>
      <c r="C6246" s="475" t="s">
        <v>5739</v>
      </c>
      <c r="D6246" s="475" t="s">
        <v>5740</v>
      </c>
      <c r="E6246" s="476" t="s">
        <v>34</v>
      </c>
      <c r="F6246" s="475" t="s">
        <v>34</v>
      </c>
      <c r="G6246" s="364">
        <v>90779</v>
      </c>
      <c r="H6246" s="475" t="s">
        <v>5152</v>
      </c>
      <c r="I6246" s="475" t="s">
        <v>67</v>
      </c>
      <c r="J6246" s="475" t="s">
        <v>337</v>
      </c>
      <c r="K6246" s="365">
        <v>112.98</v>
      </c>
      <c r="L6246" s="475" t="s">
        <v>5084</v>
      </c>
      <c r="M6246" s="473"/>
    </row>
    <row r="6247" spans="1:13" ht="13.5">
      <c r="A6247" s="475" t="s">
        <v>5496</v>
      </c>
      <c r="B6247" s="475" t="s">
        <v>5726</v>
      </c>
      <c r="C6247" s="475" t="s">
        <v>5739</v>
      </c>
      <c r="D6247" s="475" t="s">
        <v>5740</v>
      </c>
      <c r="E6247" s="476" t="s">
        <v>34</v>
      </c>
      <c r="F6247" s="475" t="s">
        <v>34</v>
      </c>
      <c r="G6247" s="364">
        <v>90780</v>
      </c>
      <c r="H6247" s="475" t="s">
        <v>5153</v>
      </c>
      <c r="I6247" s="475" t="s">
        <v>67</v>
      </c>
      <c r="J6247" s="475" t="s">
        <v>337</v>
      </c>
      <c r="K6247" s="365">
        <v>22.31</v>
      </c>
      <c r="L6247" s="475" t="s">
        <v>5084</v>
      </c>
      <c r="M6247" s="473"/>
    </row>
    <row r="6248" spans="1:13" ht="13.5">
      <c r="A6248" s="475" t="s">
        <v>5496</v>
      </c>
      <c r="B6248" s="475" t="s">
        <v>5726</v>
      </c>
      <c r="C6248" s="475" t="s">
        <v>5739</v>
      </c>
      <c r="D6248" s="475" t="s">
        <v>5740</v>
      </c>
      <c r="E6248" s="476" t="s">
        <v>34</v>
      </c>
      <c r="F6248" s="475" t="s">
        <v>34</v>
      </c>
      <c r="G6248" s="364">
        <v>90781</v>
      </c>
      <c r="H6248" s="475" t="s">
        <v>5154</v>
      </c>
      <c r="I6248" s="475" t="s">
        <v>67</v>
      </c>
      <c r="J6248" s="475" t="s">
        <v>363</v>
      </c>
      <c r="K6248" s="365">
        <v>18.27</v>
      </c>
      <c r="L6248" s="475" t="s">
        <v>5084</v>
      </c>
      <c r="M6248" s="473"/>
    </row>
    <row r="6249" spans="1:13" ht="13.5">
      <c r="A6249" s="475" t="s">
        <v>5496</v>
      </c>
      <c r="B6249" s="475" t="s">
        <v>5726</v>
      </c>
      <c r="C6249" s="475" t="s">
        <v>5739</v>
      </c>
      <c r="D6249" s="475" t="s">
        <v>5740</v>
      </c>
      <c r="E6249" s="476" t="s">
        <v>34</v>
      </c>
      <c r="F6249" s="475" t="s">
        <v>34</v>
      </c>
      <c r="G6249" s="364">
        <v>91677</v>
      </c>
      <c r="H6249" s="475" t="s">
        <v>5155</v>
      </c>
      <c r="I6249" s="475" t="s">
        <v>67</v>
      </c>
      <c r="J6249" s="475" t="s">
        <v>337</v>
      </c>
      <c r="K6249" s="365">
        <v>86.76</v>
      </c>
      <c r="L6249" s="475" t="s">
        <v>5084</v>
      </c>
      <c r="M6249" s="473"/>
    </row>
    <row r="6250" spans="1:13" ht="13.5">
      <c r="A6250" s="475" t="s">
        <v>5496</v>
      </c>
      <c r="B6250" s="475" t="s">
        <v>5726</v>
      </c>
      <c r="C6250" s="475" t="s">
        <v>5739</v>
      </c>
      <c r="D6250" s="475" t="s">
        <v>5740</v>
      </c>
      <c r="E6250" s="476" t="s">
        <v>34</v>
      </c>
      <c r="F6250" s="475" t="s">
        <v>34</v>
      </c>
      <c r="G6250" s="364">
        <v>91678</v>
      </c>
      <c r="H6250" s="475" t="s">
        <v>5156</v>
      </c>
      <c r="I6250" s="475" t="s">
        <v>67</v>
      </c>
      <c r="J6250" s="475" t="s">
        <v>337</v>
      </c>
      <c r="K6250" s="365">
        <v>79.8</v>
      </c>
      <c r="L6250" s="475" t="s">
        <v>5084</v>
      </c>
      <c r="M6250" s="473"/>
    </row>
    <row r="6251" spans="1:13" ht="13.5">
      <c r="A6251" s="475" t="s">
        <v>5496</v>
      </c>
      <c r="B6251" s="475" t="s">
        <v>5726</v>
      </c>
      <c r="C6251" s="475" t="s">
        <v>5739</v>
      </c>
      <c r="D6251" s="475" t="s">
        <v>5740</v>
      </c>
      <c r="E6251" s="476" t="s">
        <v>34</v>
      </c>
      <c r="F6251" s="475" t="s">
        <v>34</v>
      </c>
      <c r="G6251" s="364">
        <v>93558</v>
      </c>
      <c r="H6251" s="475" t="s">
        <v>5157</v>
      </c>
      <c r="I6251" s="475" t="s">
        <v>336</v>
      </c>
      <c r="J6251" s="475" t="s">
        <v>337</v>
      </c>
      <c r="K6251" s="365">
        <v>3311.45</v>
      </c>
      <c r="L6251" s="475" t="s">
        <v>5084</v>
      </c>
      <c r="M6251" s="473"/>
    </row>
    <row r="6252" spans="1:13" ht="13.5">
      <c r="A6252" s="475" t="s">
        <v>5496</v>
      </c>
      <c r="B6252" s="475" t="s">
        <v>5726</v>
      </c>
      <c r="C6252" s="475" t="s">
        <v>5739</v>
      </c>
      <c r="D6252" s="475" t="s">
        <v>5740</v>
      </c>
      <c r="E6252" s="476" t="s">
        <v>34</v>
      </c>
      <c r="F6252" s="475" t="s">
        <v>34</v>
      </c>
      <c r="G6252" s="364">
        <v>93559</v>
      </c>
      <c r="H6252" s="475" t="s">
        <v>5139</v>
      </c>
      <c r="I6252" s="475" t="s">
        <v>336</v>
      </c>
      <c r="J6252" s="475" t="s">
        <v>337</v>
      </c>
      <c r="K6252" s="365">
        <v>3161.5</v>
      </c>
      <c r="L6252" s="475" t="s">
        <v>5084</v>
      </c>
      <c r="M6252" s="473"/>
    </row>
    <row r="6253" spans="1:13" ht="13.5">
      <c r="A6253" s="475" t="s">
        <v>5496</v>
      </c>
      <c r="B6253" s="475" t="s">
        <v>5726</v>
      </c>
      <c r="C6253" s="475" t="s">
        <v>5739</v>
      </c>
      <c r="D6253" s="475" t="s">
        <v>5740</v>
      </c>
      <c r="E6253" s="476" t="s">
        <v>34</v>
      </c>
      <c r="F6253" s="475" t="s">
        <v>34</v>
      </c>
      <c r="G6253" s="364">
        <v>93560</v>
      </c>
      <c r="H6253" s="475" t="s">
        <v>5147</v>
      </c>
      <c r="I6253" s="475" t="s">
        <v>336</v>
      </c>
      <c r="J6253" s="475" t="s">
        <v>337</v>
      </c>
      <c r="K6253" s="365">
        <v>1946.97</v>
      </c>
      <c r="L6253" s="475" t="s">
        <v>5084</v>
      </c>
      <c r="M6253" s="473"/>
    </row>
    <row r="6254" spans="1:13" ht="13.5">
      <c r="A6254" s="475" t="s">
        <v>5496</v>
      </c>
      <c r="B6254" s="475" t="s">
        <v>5726</v>
      </c>
      <c r="C6254" s="475" t="s">
        <v>5739</v>
      </c>
      <c r="D6254" s="475" t="s">
        <v>5740</v>
      </c>
      <c r="E6254" s="476" t="s">
        <v>34</v>
      </c>
      <c r="F6254" s="475" t="s">
        <v>34</v>
      </c>
      <c r="G6254" s="364">
        <v>93561</v>
      </c>
      <c r="H6254" s="475" t="s">
        <v>5148</v>
      </c>
      <c r="I6254" s="475" t="s">
        <v>336</v>
      </c>
      <c r="J6254" s="475" t="s">
        <v>337</v>
      </c>
      <c r="K6254" s="365">
        <v>2661.76</v>
      </c>
      <c r="L6254" s="475" t="s">
        <v>5084</v>
      </c>
      <c r="M6254" s="473"/>
    </row>
    <row r="6255" spans="1:13" ht="13.5">
      <c r="A6255" s="475" t="s">
        <v>5496</v>
      </c>
      <c r="B6255" s="475" t="s">
        <v>5726</v>
      </c>
      <c r="C6255" s="475" t="s">
        <v>5739</v>
      </c>
      <c r="D6255" s="475" t="s">
        <v>5740</v>
      </c>
      <c r="E6255" s="476" t="s">
        <v>34</v>
      </c>
      <c r="F6255" s="475" t="s">
        <v>34</v>
      </c>
      <c r="G6255" s="364">
        <v>93562</v>
      </c>
      <c r="H6255" s="475" t="s">
        <v>5145</v>
      </c>
      <c r="I6255" s="475" t="s">
        <v>336</v>
      </c>
      <c r="J6255" s="475" t="s">
        <v>337</v>
      </c>
      <c r="K6255" s="365">
        <v>3316.88</v>
      </c>
      <c r="L6255" s="475" t="s">
        <v>5084</v>
      </c>
      <c r="M6255" s="473"/>
    </row>
    <row r="6256" spans="1:13" ht="13.5">
      <c r="A6256" s="475" t="s">
        <v>5496</v>
      </c>
      <c r="B6256" s="475" t="s">
        <v>5726</v>
      </c>
      <c r="C6256" s="475" t="s">
        <v>5739</v>
      </c>
      <c r="D6256" s="475" t="s">
        <v>5740</v>
      </c>
      <c r="E6256" s="476" t="s">
        <v>34</v>
      </c>
      <c r="F6256" s="475" t="s">
        <v>34</v>
      </c>
      <c r="G6256" s="364">
        <v>93563</v>
      </c>
      <c r="H6256" s="475" t="s">
        <v>5140</v>
      </c>
      <c r="I6256" s="475" t="s">
        <v>336</v>
      </c>
      <c r="J6256" s="475" t="s">
        <v>337</v>
      </c>
      <c r="K6256" s="365">
        <v>5023.2</v>
      </c>
      <c r="L6256" s="475" t="s">
        <v>5084</v>
      </c>
      <c r="M6256" s="473"/>
    </row>
    <row r="6257" spans="1:13" ht="13.5">
      <c r="A6257" s="475" t="s">
        <v>5496</v>
      </c>
      <c r="B6257" s="475" t="s">
        <v>5726</v>
      </c>
      <c r="C6257" s="475" t="s">
        <v>5739</v>
      </c>
      <c r="D6257" s="475" t="s">
        <v>5740</v>
      </c>
      <c r="E6257" s="476" t="s">
        <v>34</v>
      </c>
      <c r="F6257" s="475" t="s">
        <v>34</v>
      </c>
      <c r="G6257" s="364">
        <v>93564</v>
      </c>
      <c r="H6257" s="475" t="s">
        <v>5141</v>
      </c>
      <c r="I6257" s="475" t="s">
        <v>336</v>
      </c>
      <c r="J6257" s="475" t="s">
        <v>337</v>
      </c>
      <c r="K6257" s="365">
        <v>5905.68</v>
      </c>
      <c r="L6257" s="475" t="s">
        <v>5084</v>
      </c>
      <c r="M6257" s="473"/>
    </row>
    <row r="6258" spans="1:13" ht="13.5">
      <c r="A6258" s="475" t="s">
        <v>5496</v>
      </c>
      <c r="B6258" s="475" t="s">
        <v>5726</v>
      </c>
      <c r="C6258" s="475" t="s">
        <v>5739</v>
      </c>
      <c r="D6258" s="475" t="s">
        <v>5740</v>
      </c>
      <c r="E6258" s="476" t="s">
        <v>34</v>
      </c>
      <c r="F6258" s="475" t="s">
        <v>34</v>
      </c>
      <c r="G6258" s="364">
        <v>93565</v>
      </c>
      <c r="H6258" s="475" t="s">
        <v>5150</v>
      </c>
      <c r="I6258" s="475" t="s">
        <v>336</v>
      </c>
      <c r="J6258" s="475" t="s">
        <v>337</v>
      </c>
      <c r="K6258" s="365">
        <v>12978.2</v>
      </c>
      <c r="L6258" s="475" t="s">
        <v>5084</v>
      </c>
      <c r="M6258" s="473"/>
    </row>
    <row r="6259" spans="1:13" ht="13.5">
      <c r="A6259" s="475" t="s">
        <v>5496</v>
      </c>
      <c r="B6259" s="475" t="s">
        <v>5726</v>
      </c>
      <c r="C6259" s="475" t="s">
        <v>5739</v>
      </c>
      <c r="D6259" s="475" t="s">
        <v>5740</v>
      </c>
      <c r="E6259" s="476" t="s">
        <v>34</v>
      </c>
      <c r="F6259" s="475" t="s">
        <v>34</v>
      </c>
      <c r="G6259" s="364">
        <v>93566</v>
      </c>
      <c r="H6259" s="475" t="s">
        <v>5146</v>
      </c>
      <c r="I6259" s="475" t="s">
        <v>336</v>
      </c>
      <c r="J6259" s="475" t="s">
        <v>337</v>
      </c>
      <c r="K6259" s="365">
        <v>4351.16</v>
      </c>
      <c r="L6259" s="475" t="s">
        <v>5084</v>
      </c>
      <c r="M6259" s="473"/>
    </row>
    <row r="6260" spans="1:13" ht="13.5">
      <c r="A6260" s="475" t="s">
        <v>5496</v>
      </c>
      <c r="B6260" s="475" t="s">
        <v>5726</v>
      </c>
      <c r="C6260" s="475" t="s">
        <v>5739</v>
      </c>
      <c r="D6260" s="475" t="s">
        <v>5740</v>
      </c>
      <c r="E6260" s="476" t="s">
        <v>34</v>
      </c>
      <c r="F6260" s="475" t="s">
        <v>34</v>
      </c>
      <c r="G6260" s="364">
        <v>93567</v>
      </c>
      <c r="H6260" s="475" t="s">
        <v>5151</v>
      </c>
      <c r="I6260" s="475" t="s">
        <v>336</v>
      </c>
      <c r="J6260" s="475" t="s">
        <v>337</v>
      </c>
      <c r="K6260" s="365">
        <v>14746.82</v>
      </c>
      <c r="L6260" s="475" t="s">
        <v>5084</v>
      </c>
      <c r="M6260" s="473"/>
    </row>
    <row r="6261" spans="1:13" ht="13.5">
      <c r="A6261" s="475" t="s">
        <v>5496</v>
      </c>
      <c r="B6261" s="475" t="s">
        <v>5726</v>
      </c>
      <c r="C6261" s="475" t="s">
        <v>5739</v>
      </c>
      <c r="D6261" s="475" t="s">
        <v>5740</v>
      </c>
      <c r="E6261" s="476" t="s">
        <v>34</v>
      </c>
      <c r="F6261" s="475" t="s">
        <v>34</v>
      </c>
      <c r="G6261" s="364">
        <v>93568</v>
      </c>
      <c r="H6261" s="475" t="s">
        <v>5152</v>
      </c>
      <c r="I6261" s="475" t="s">
        <v>336</v>
      </c>
      <c r="J6261" s="475" t="s">
        <v>337</v>
      </c>
      <c r="K6261" s="365">
        <v>20091.97</v>
      </c>
      <c r="L6261" s="475" t="s">
        <v>5084</v>
      </c>
      <c r="M6261" s="473"/>
    </row>
    <row r="6262" spans="1:13" ht="13.5">
      <c r="A6262" s="475" t="s">
        <v>5496</v>
      </c>
      <c r="B6262" s="475" t="s">
        <v>5726</v>
      </c>
      <c r="C6262" s="475" t="s">
        <v>5739</v>
      </c>
      <c r="D6262" s="475" t="s">
        <v>5740</v>
      </c>
      <c r="E6262" s="476" t="s">
        <v>34</v>
      </c>
      <c r="F6262" s="475" t="s">
        <v>34</v>
      </c>
      <c r="G6262" s="364">
        <v>93569</v>
      </c>
      <c r="H6262" s="475" t="s">
        <v>5158</v>
      </c>
      <c r="I6262" s="475" t="s">
        <v>336</v>
      </c>
      <c r="J6262" s="475" t="s">
        <v>337</v>
      </c>
      <c r="K6262" s="365">
        <v>9576.5</v>
      </c>
      <c r="L6262" s="475" t="s">
        <v>5084</v>
      </c>
      <c r="M6262" s="473"/>
    </row>
    <row r="6263" spans="1:13" ht="13.5">
      <c r="A6263" s="475" t="s">
        <v>5496</v>
      </c>
      <c r="B6263" s="475" t="s">
        <v>5726</v>
      </c>
      <c r="C6263" s="475" t="s">
        <v>5739</v>
      </c>
      <c r="D6263" s="475" t="s">
        <v>5740</v>
      </c>
      <c r="E6263" s="476" t="s">
        <v>34</v>
      </c>
      <c r="F6263" s="475" t="s">
        <v>34</v>
      </c>
      <c r="G6263" s="364">
        <v>93570</v>
      </c>
      <c r="H6263" s="475" t="s">
        <v>5159</v>
      </c>
      <c r="I6263" s="475" t="s">
        <v>336</v>
      </c>
      <c r="J6263" s="475" t="s">
        <v>337</v>
      </c>
      <c r="K6263" s="365">
        <v>13526.41</v>
      </c>
      <c r="L6263" s="475" t="s">
        <v>5084</v>
      </c>
      <c r="M6263" s="473"/>
    </row>
    <row r="6264" spans="1:13" ht="13.5">
      <c r="A6264" s="475" t="s">
        <v>5496</v>
      </c>
      <c r="B6264" s="475" t="s">
        <v>5726</v>
      </c>
      <c r="C6264" s="475" t="s">
        <v>5739</v>
      </c>
      <c r="D6264" s="475" t="s">
        <v>5740</v>
      </c>
      <c r="E6264" s="476" t="s">
        <v>34</v>
      </c>
      <c r="F6264" s="475" t="s">
        <v>34</v>
      </c>
      <c r="G6264" s="364">
        <v>93571</v>
      </c>
      <c r="H6264" s="475" t="s">
        <v>5160</v>
      </c>
      <c r="I6264" s="475" t="s">
        <v>336</v>
      </c>
      <c r="J6264" s="475" t="s">
        <v>337</v>
      </c>
      <c r="K6264" s="365">
        <v>17824.740000000002</v>
      </c>
      <c r="L6264" s="475" t="s">
        <v>5084</v>
      </c>
      <c r="M6264" s="473"/>
    </row>
    <row r="6265" spans="1:13" ht="13.5">
      <c r="A6265" s="475" t="s">
        <v>5496</v>
      </c>
      <c r="B6265" s="475" t="s">
        <v>5726</v>
      </c>
      <c r="C6265" s="475" t="s">
        <v>5739</v>
      </c>
      <c r="D6265" s="475" t="s">
        <v>5740</v>
      </c>
      <c r="E6265" s="476" t="s">
        <v>34</v>
      </c>
      <c r="F6265" s="475" t="s">
        <v>34</v>
      </c>
      <c r="G6265" s="364">
        <v>93572</v>
      </c>
      <c r="H6265" s="475" t="s">
        <v>5161</v>
      </c>
      <c r="I6265" s="475" t="s">
        <v>336</v>
      </c>
      <c r="J6265" s="475" t="s">
        <v>337</v>
      </c>
      <c r="K6265" s="365">
        <v>3403.49</v>
      </c>
      <c r="L6265" s="475" t="s">
        <v>5084</v>
      </c>
      <c r="M6265" s="473"/>
    </row>
    <row r="6266" spans="1:13" ht="13.5">
      <c r="A6266" s="475" t="s">
        <v>5496</v>
      </c>
      <c r="B6266" s="475" t="s">
        <v>5726</v>
      </c>
      <c r="C6266" s="475" t="s">
        <v>5739</v>
      </c>
      <c r="D6266" s="475" t="s">
        <v>5740</v>
      </c>
      <c r="E6266" s="476" t="s">
        <v>34</v>
      </c>
      <c r="F6266" s="475" t="s">
        <v>34</v>
      </c>
      <c r="G6266" s="364">
        <v>94295</v>
      </c>
      <c r="H6266" s="475" t="s">
        <v>5153</v>
      </c>
      <c r="I6266" s="475" t="s">
        <v>336</v>
      </c>
      <c r="J6266" s="475" t="s">
        <v>337</v>
      </c>
      <c r="K6266" s="365">
        <v>3976.23</v>
      </c>
      <c r="L6266" s="475" t="s">
        <v>5084</v>
      </c>
      <c r="M6266" s="473"/>
    </row>
    <row r="6267" spans="1:13" ht="13.5">
      <c r="A6267" s="475" t="s">
        <v>5496</v>
      </c>
      <c r="B6267" s="475" t="s">
        <v>5726</v>
      </c>
      <c r="C6267" s="475" t="s">
        <v>5739</v>
      </c>
      <c r="D6267" s="475" t="s">
        <v>5740</v>
      </c>
      <c r="E6267" s="476" t="s">
        <v>34</v>
      </c>
      <c r="F6267" s="475" t="s">
        <v>34</v>
      </c>
      <c r="G6267" s="364">
        <v>94296</v>
      </c>
      <c r="H6267" s="475" t="s">
        <v>5154</v>
      </c>
      <c r="I6267" s="475" t="s">
        <v>336</v>
      </c>
      <c r="J6267" s="475" t="s">
        <v>337</v>
      </c>
      <c r="K6267" s="365">
        <v>3421.44</v>
      </c>
      <c r="L6267" s="475" t="s">
        <v>5084</v>
      </c>
      <c r="M6267" s="473"/>
    </row>
    <row r="6268" spans="1:13" ht="13.5">
      <c r="A6268" s="475" t="s">
        <v>5496</v>
      </c>
      <c r="B6268" s="475" t="s">
        <v>5726</v>
      </c>
      <c r="C6268" s="475" t="s">
        <v>5739</v>
      </c>
      <c r="D6268" s="475" t="s">
        <v>5740</v>
      </c>
      <c r="E6268" s="476" t="s">
        <v>34</v>
      </c>
      <c r="F6268" s="475" t="s">
        <v>34</v>
      </c>
      <c r="G6268" s="364">
        <v>95308</v>
      </c>
      <c r="H6268" s="475" t="s">
        <v>5162</v>
      </c>
      <c r="I6268" s="475" t="s">
        <v>67</v>
      </c>
      <c r="J6268" s="475" t="s">
        <v>337</v>
      </c>
      <c r="K6268" s="365">
        <v>0.08</v>
      </c>
      <c r="L6268" s="475" t="s">
        <v>5084</v>
      </c>
      <c r="M6268" s="473"/>
    </row>
    <row r="6269" spans="1:13" ht="13.5">
      <c r="A6269" s="475" t="s">
        <v>5496</v>
      </c>
      <c r="B6269" s="475" t="s">
        <v>5726</v>
      </c>
      <c r="C6269" s="475" t="s">
        <v>5739</v>
      </c>
      <c r="D6269" s="475" t="s">
        <v>5740</v>
      </c>
      <c r="E6269" s="476" t="s">
        <v>34</v>
      </c>
      <c r="F6269" s="475" t="s">
        <v>34</v>
      </c>
      <c r="G6269" s="364">
        <v>95309</v>
      </c>
      <c r="H6269" s="475" t="s">
        <v>121</v>
      </c>
      <c r="I6269" s="475" t="s">
        <v>67</v>
      </c>
      <c r="J6269" s="475" t="s">
        <v>337</v>
      </c>
      <c r="K6269" s="365">
        <v>0.12</v>
      </c>
      <c r="L6269" s="475" t="s">
        <v>5084</v>
      </c>
      <c r="M6269" s="473"/>
    </row>
    <row r="6270" spans="1:13" ht="13.5">
      <c r="A6270" s="475" t="s">
        <v>5496</v>
      </c>
      <c r="B6270" s="475" t="s">
        <v>5726</v>
      </c>
      <c r="C6270" s="475" t="s">
        <v>5739</v>
      </c>
      <c r="D6270" s="475" t="s">
        <v>5740</v>
      </c>
      <c r="E6270" s="476" t="s">
        <v>34</v>
      </c>
      <c r="F6270" s="475" t="s">
        <v>34</v>
      </c>
      <c r="G6270" s="364">
        <v>95310</v>
      </c>
      <c r="H6270" s="475" t="s">
        <v>5163</v>
      </c>
      <c r="I6270" s="475" t="s">
        <v>67</v>
      </c>
      <c r="J6270" s="475" t="s">
        <v>337</v>
      </c>
      <c r="K6270" s="365">
        <v>0.06</v>
      </c>
      <c r="L6270" s="475" t="s">
        <v>5084</v>
      </c>
      <c r="M6270" s="473"/>
    </row>
    <row r="6271" spans="1:13" ht="13.5">
      <c r="A6271" s="475" t="s">
        <v>5496</v>
      </c>
      <c r="B6271" s="475" t="s">
        <v>5726</v>
      </c>
      <c r="C6271" s="475" t="s">
        <v>5739</v>
      </c>
      <c r="D6271" s="475" t="s">
        <v>5740</v>
      </c>
      <c r="E6271" s="476" t="s">
        <v>34</v>
      </c>
      <c r="F6271" s="475" t="s">
        <v>34</v>
      </c>
      <c r="G6271" s="364">
        <v>95311</v>
      </c>
      <c r="H6271" s="475" t="s">
        <v>5164</v>
      </c>
      <c r="I6271" s="475" t="s">
        <v>67</v>
      </c>
      <c r="J6271" s="475" t="s">
        <v>337</v>
      </c>
      <c r="K6271" s="365">
        <v>0.09</v>
      </c>
      <c r="L6271" s="475" t="s">
        <v>5084</v>
      </c>
      <c r="M6271" s="473"/>
    </row>
    <row r="6272" spans="1:13" ht="13.5">
      <c r="A6272" s="475" t="s">
        <v>5496</v>
      </c>
      <c r="B6272" s="475" t="s">
        <v>5726</v>
      </c>
      <c r="C6272" s="475" t="s">
        <v>5739</v>
      </c>
      <c r="D6272" s="475" t="s">
        <v>5740</v>
      </c>
      <c r="E6272" s="476" t="s">
        <v>34</v>
      </c>
      <c r="F6272" s="475" t="s">
        <v>34</v>
      </c>
      <c r="G6272" s="364">
        <v>95312</v>
      </c>
      <c r="H6272" s="475" t="s">
        <v>5165</v>
      </c>
      <c r="I6272" s="475" t="s">
        <v>67</v>
      </c>
      <c r="J6272" s="475" t="s">
        <v>337</v>
      </c>
      <c r="K6272" s="365">
        <v>0.1</v>
      </c>
      <c r="L6272" s="475" t="s">
        <v>5084</v>
      </c>
      <c r="M6272" s="473"/>
    </row>
    <row r="6273" spans="1:13" ht="13.5">
      <c r="A6273" s="475" t="s">
        <v>5496</v>
      </c>
      <c r="B6273" s="475" t="s">
        <v>5726</v>
      </c>
      <c r="C6273" s="475" t="s">
        <v>5739</v>
      </c>
      <c r="D6273" s="475" t="s">
        <v>5740</v>
      </c>
      <c r="E6273" s="476" t="s">
        <v>34</v>
      </c>
      <c r="F6273" s="475" t="s">
        <v>34</v>
      </c>
      <c r="G6273" s="364">
        <v>95313</v>
      </c>
      <c r="H6273" s="475" t="s">
        <v>71</v>
      </c>
      <c r="I6273" s="475" t="s">
        <v>67</v>
      </c>
      <c r="J6273" s="475" t="s">
        <v>337</v>
      </c>
      <c r="K6273" s="365">
        <v>0.1</v>
      </c>
      <c r="L6273" s="475" t="s">
        <v>5084</v>
      </c>
      <c r="M6273" s="473"/>
    </row>
    <row r="6274" spans="1:13" ht="13.5">
      <c r="A6274" s="475" t="s">
        <v>5496</v>
      </c>
      <c r="B6274" s="475" t="s">
        <v>5726</v>
      </c>
      <c r="C6274" s="475" t="s">
        <v>5739</v>
      </c>
      <c r="D6274" s="475" t="s">
        <v>5740</v>
      </c>
      <c r="E6274" s="476" t="s">
        <v>34</v>
      </c>
      <c r="F6274" s="475" t="s">
        <v>34</v>
      </c>
      <c r="G6274" s="364">
        <v>95314</v>
      </c>
      <c r="H6274" s="475" t="s">
        <v>113</v>
      </c>
      <c r="I6274" s="475" t="s">
        <v>67</v>
      </c>
      <c r="J6274" s="475" t="s">
        <v>337</v>
      </c>
      <c r="K6274" s="365">
        <v>0.12</v>
      </c>
      <c r="L6274" s="475" t="s">
        <v>5084</v>
      </c>
      <c r="M6274" s="473"/>
    </row>
    <row r="6275" spans="1:13" ht="13.5">
      <c r="A6275" s="475" t="s">
        <v>5496</v>
      </c>
      <c r="B6275" s="475" t="s">
        <v>5726</v>
      </c>
      <c r="C6275" s="475" t="s">
        <v>5739</v>
      </c>
      <c r="D6275" s="475" t="s">
        <v>5740</v>
      </c>
      <c r="E6275" s="476" t="s">
        <v>34</v>
      </c>
      <c r="F6275" s="475" t="s">
        <v>34</v>
      </c>
      <c r="G6275" s="364">
        <v>95315</v>
      </c>
      <c r="H6275" s="475" t="s">
        <v>73</v>
      </c>
      <c r="I6275" s="475" t="s">
        <v>67</v>
      </c>
      <c r="J6275" s="475" t="s">
        <v>337</v>
      </c>
      <c r="K6275" s="365">
        <v>0.12</v>
      </c>
      <c r="L6275" s="475" t="s">
        <v>5084</v>
      </c>
      <c r="M6275" s="473"/>
    </row>
    <row r="6276" spans="1:13" ht="13.5">
      <c r="A6276" s="475" t="s">
        <v>5496</v>
      </c>
      <c r="B6276" s="475" t="s">
        <v>5726</v>
      </c>
      <c r="C6276" s="475" t="s">
        <v>5739</v>
      </c>
      <c r="D6276" s="475" t="s">
        <v>5740</v>
      </c>
      <c r="E6276" s="476" t="s">
        <v>34</v>
      </c>
      <c r="F6276" s="475" t="s">
        <v>34</v>
      </c>
      <c r="G6276" s="364">
        <v>95316</v>
      </c>
      <c r="H6276" s="475" t="s">
        <v>75</v>
      </c>
      <c r="I6276" s="475" t="s">
        <v>67</v>
      </c>
      <c r="J6276" s="475" t="s">
        <v>337</v>
      </c>
      <c r="K6276" s="365">
        <v>0.28000000000000003</v>
      </c>
      <c r="L6276" s="475" t="s">
        <v>5084</v>
      </c>
      <c r="M6276" s="473"/>
    </row>
    <row r="6277" spans="1:13" ht="13.5">
      <c r="A6277" s="475" t="s">
        <v>5496</v>
      </c>
      <c r="B6277" s="475" t="s">
        <v>5726</v>
      </c>
      <c r="C6277" s="475" t="s">
        <v>5739</v>
      </c>
      <c r="D6277" s="475" t="s">
        <v>5740</v>
      </c>
      <c r="E6277" s="476" t="s">
        <v>34</v>
      </c>
      <c r="F6277" s="475" t="s">
        <v>34</v>
      </c>
      <c r="G6277" s="364">
        <v>95317</v>
      </c>
      <c r="H6277" s="475" t="s">
        <v>77</v>
      </c>
      <c r="I6277" s="475" t="s">
        <v>67</v>
      </c>
      <c r="J6277" s="475" t="s">
        <v>337</v>
      </c>
      <c r="K6277" s="365">
        <v>0.13</v>
      </c>
      <c r="L6277" s="475" t="s">
        <v>5084</v>
      </c>
      <c r="M6277" s="473"/>
    </row>
    <row r="6278" spans="1:13" ht="13.5">
      <c r="A6278" s="475" t="s">
        <v>5496</v>
      </c>
      <c r="B6278" s="475" t="s">
        <v>5726</v>
      </c>
      <c r="C6278" s="475" t="s">
        <v>5739</v>
      </c>
      <c r="D6278" s="475" t="s">
        <v>5740</v>
      </c>
      <c r="E6278" s="476" t="s">
        <v>34</v>
      </c>
      <c r="F6278" s="475" t="s">
        <v>34</v>
      </c>
      <c r="G6278" s="364">
        <v>95318</v>
      </c>
      <c r="H6278" s="475" t="s">
        <v>5166</v>
      </c>
      <c r="I6278" s="475" t="s">
        <v>67</v>
      </c>
      <c r="J6278" s="475" t="s">
        <v>337</v>
      </c>
      <c r="K6278" s="365">
        <v>0.16</v>
      </c>
      <c r="L6278" s="475" t="s">
        <v>5084</v>
      </c>
      <c r="M6278" s="473"/>
    </row>
    <row r="6279" spans="1:13" ht="13.5">
      <c r="A6279" s="475" t="s">
        <v>5496</v>
      </c>
      <c r="B6279" s="475" t="s">
        <v>5726</v>
      </c>
      <c r="C6279" s="475" t="s">
        <v>5739</v>
      </c>
      <c r="D6279" s="475" t="s">
        <v>5740</v>
      </c>
      <c r="E6279" s="476" t="s">
        <v>34</v>
      </c>
      <c r="F6279" s="475" t="s">
        <v>34</v>
      </c>
      <c r="G6279" s="364">
        <v>95319</v>
      </c>
      <c r="H6279" s="475" t="s">
        <v>5167</v>
      </c>
      <c r="I6279" s="475" t="s">
        <v>67</v>
      </c>
      <c r="J6279" s="475" t="s">
        <v>337</v>
      </c>
      <c r="K6279" s="365">
        <v>0.08</v>
      </c>
      <c r="L6279" s="475" t="s">
        <v>5084</v>
      </c>
      <c r="M6279" s="473"/>
    </row>
    <row r="6280" spans="1:13" ht="13.5">
      <c r="A6280" s="475" t="s">
        <v>5496</v>
      </c>
      <c r="B6280" s="475" t="s">
        <v>5726</v>
      </c>
      <c r="C6280" s="475" t="s">
        <v>5739</v>
      </c>
      <c r="D6280" s="475" t="s">
        <v>5740</v>
      </c>
      <c r="E6280" s="476" t="s">
        <v>34</v>
      </c>
      <c r="F6280" s="475" t="s">
        <v>34</v>
      </c>
      <c r="G6280" s="364">
        <v>95320</v>
      </c>
      <c r="H6280" s="475" t="s">
        <v>79</v>
      </c>
      <c r="I6280" s="475" t="s">
        <v>67</v>
      </c>
      <c r="J6280" s="475" t="s">
        <v>337</v>
      </c>
      <c r="K6280" s="365">
        <v>0.09</v>
      </c>
      <c r="L6280" s="475" t="s">
        <v>5084</v>
      </c>
      <c r="M6280" s="473"/>
    </row>
    <row r="6281" spans="1:13" ht="13.5">
      <c r="A6281" s="475" t="s">
        <v>5496</v>
      </c>
      <c r="B6281" s="475" t="s">
        <v>5726</v>
      </c>
      <c r="C6281" s="475" t="s">
        <v>5739</v>
      </c>
      <c r="D6281" s="475" t="s">
        <v>5740</v>
      </c>
      <c r="E6281" s="476" t="s">
        <v>34</v>
      </c>
      <c r="F6281" s="475" t="s">
        <v>34</v>
      </c>
      <c r="G6281" s="364">
        <v>95321</v>
      </c>
      <c r="H6281" s="475" t="s">
        <v>5168</v>
      </c>
      <c r="I6281" s="475" t="s">
        <v>67</v>
      </c>
      <c r="J6281" s="475" t="s">
        <v>337</v>
      </c>
      <c r="K6281" s="365">
        <v>0.08</v>
      </c>
      <c r="L6281" s="475" t="s">
        <v>5084</v>
      </c>
      <c r="M6281" s="473"/>
    </row>
    <row r="6282" spans="1:13" ht="13.5">
      <c r="A6282" s="475" t="s">
        <v>5496</v>
      </c>
      <c r="B6282" s="475" t="s">
        <v>5726</v>
      </c>
      <c r="C6282" s="475" t="s">
        <v>5739</v>
      </c>
      <c r="D6282" s="475" t="s">
        <v>5740</v>
      </c>
      <c r="E6282" s="476" t="s">
        <v>34</v>
      </c>
      <c r="F6282" s="475" t="s">
        <v>34</v>
      </c>
      <c r="G6282" s="364">
        <v>95322</v>
      </c>
      <c r="H6282" s="475" t="s">
        <v>5169</v>
      </c>
      <c r="I6282" s="475" t="s">
        <v>67</v>
      </c>
      <c r="J6282" s="475" t="s">
        <v>337</v>
      </c>
      <c r="K6282" s="365">
        <v>0.03</v>
      </c>
      <c r="L6282" s="475" t="s">
        <v>5084</v>
      </c>
      <c r="M6282" s="473"/>
    </row>
    <row r="6283" spans="1:13" ht="13.5">
      <c r="A6283" s="475" t="s">
        <v>5496</v>
      </c>
      <c r="B6283" s="475" t="s">
        <v>5726</v>
      </c>
      <c r="C6283" s="475" t="s">
        <v>5739</v>
      </c>
      <c r="D6283" s="475" t="s">
        <v>5740</v>
      </c>
      <c r="E6283" s="476" t="s">
        <v>34</v>
      </c>
      <c r="F6283" s="475" t="s">
        <v>34</v>
      </c>
      <c r="G6283" s="364">
        <v>95323</v>
      </c>
      <c r="H6283" s="475" t="s">
        <v>5170</v>
      </c>
      <c r="I6283" s="475" t="s">
        <v>67</v>
      </c>
      <c r="J6283" s="475" t="s">
        <v>337</v>
      </c>
      <c r="K6283" s="365">
        <v>0.18</v>
      </c>
      <c r="L6283" s="475" t="s">
        <v>5084</v>
      </c>
      <c r="M6283" s="473"/>
    </row>
    <row r="6284" spans="1:13" ht="13.5">
      <c r="A6284" s="475" t="s">
        <v>5496</v>
      </c>
      <c r="B6284" s="475" t="s">
        <v>5726</v>
      </c>
      <c r="C6284" s="475" t="s">
        <v>5739</v>
      </c>
      <c r="D6284" s="475" t="s">
        <v>5740</v>
      </c>
      <c r="E6284" s="476" t="s">
        <v>34</v>
      </c>
      <c r="F6284" s="475" t="s">
        <v>34</v>
      </c>
      <c r="G6284" s="364">
        <v>95324</v>
      </c>
      <c r="H6284" s="475" t="s">
        <v>81</v>
      </c>
      <c r="I6284" s="475" t="s">
        <v>67</v>
      </c>
      <c r="J6284" s="475" t="s">
        <v>337</v>
      </c>
      <c r="K6284" s="365">
        <v>0.16</v>
      </c>
      <c r="L6284" s="475" t="s">
        <v>5084</v>
      </c>
      <c r="M6284" s="473"/>
    </row>
    <row r="6285" spans="1:13" ht="13.5">
      <c r="A6285" s="475" t="s">
        <v>5496</v>
      </c>
      <c r="B6285" s="475" t="s">
        <v>5726</v>
      </c>
      <c r="C6285" s="475" t="s">
        <v>5739</v>
      </c>
      <c r="D6285" s="475" t="s">
        <v>5740</v>
      </c>
      <c r="E6285" s="476" t="s">
        <v>34</v>
      </c>
      <c r="F6285" s="475" t="s">
        <v>34</v>
      </c>
      <c r="G6285" s="364">
        <v>95325</v>
      </c>
      <c r="H6285" s="475" t="s">
        <v>5171</v>
      </c>
      <c r="I6285" s="475" t="s">
        <v>67</v>
      </c>
      <c r="J6285" s="475" t="s">
        <v>337</v>
      </c>
      <c r="K6285" s="365">
        <v>0.13</v>
      </c>
      <c r="L6285" s="475" t="s">
        <v>5084</v>
      </c>
      <c r="M6285" s="473"/>
    </row>
    <row r="6286" spans="1:13" ht="13.5">
      <c r="A6286" s="475" t="s">
        <v>5496</v>
      </c>
      <c r="B6286" s="475" t="s">
        <v>5726</v>
      </c>
      <c r="C6286" s="475" t="s">
        <v>5739</v>
      </c>
      <c r="D6286" s="475" t="s">
        <v>5740</v>
      </c>
      <c r="E6286" s="476" t="s">
        <v>34</v>
      </c>
      <c r="F6286" s="475" t="s">
        <v>34</v>
      </c>
      <c r="G6286" s="364">
        <v>95326</v>
      </c>
      <c r="H6286" s="475" t="s">
        <v>5172</v>
      </c>
      <c r="I6286" s="475" t="s">
        <v>67</v>
      </c>
      <c r="J6286" s="475" t="s">
        <v>337</v>
      </c>
      <c r="K6286" s="365">
        <v>7.0000000000000007E-2</v>
      </c>
      <c r="L6286" s="475" t="s">
        <v>5084</v>
      </c>
      <c r="M6286" s="473"/>
    </row>
    <row r="6287" spans="1:13" ht="13.5">
      <c r="A6287" s="475" t="s">
        <v>5496</v>
      </c>
      <c r="B6287" s="475" t="s">
        <v>5726</v>
      </c>
      <c r="C6287" s="475" t="s">
        <v>5739</v>
      </c>
      <c r="D6287" s="475" t="s">
        <v>5740</v>
      </c>
      <c r="E6287" s="476" t="s">
        <v>34</v>
      </c>
      <c r="F6287" s="475" t="s">
        <v>34</v>
      </c>
      <c r="G6287" s="364">
        <v>95327</v>
      </c>
      <c r="H6287" s="475" t="s">
        <v>5173</v>
      </c>
      <c r="I6287" s="475" t="s">
        <v>67</v>
      </c>
      <c r="J6287" s="475" t="s">
        <v>337</v>
      </c>
      <c r="K6287" s="365">
        <v>0.19</v>
      </c>
      <c r="L6287" s="475" t="s">
        <v>5084</v>
      </c>
      <c r="M6287" s="473"/>
    </row>
    <row r="6288" spans="1:13" ht="13.5">
      <c r="A6288" s="475" t="s">
        <v>5496</v>
      </c>
      <c r="B6288" s="475" t="s">
        <v>5726</v>
      </c>
      <c r="C6288" s="475" t="s">
        <v>5739</v>
      </c>
      <c r="D6288" s="475" t="s">
        <v>5740</v>
      </c>
      <c r="E6288" s="476" t="s">
        <v>34</v>
      </c>
      <c r="F6288" s="475" t="s">
        <v>34</v>
      </c>
      <c r="G6288" s="364">
        <v>95328</v>
      </c>
      <c r="H6288" s="475" t="s">
        <v>5174</v>
      </c>
      <c r="I6288" s="475" t="s">
        <v>67</v>
      </c>
      <c r="J6288" s="475" t="s">
        <v>337</v>
      </c>
      <c r="K6288" s="365">
        <v>0.11</v>
      </c>
      <c r="L6288" s="475" t="s">
        <v>5084</v>
      </c>
      <c r="M6288" s="473"/>
    </row>
    <row r="6289" spans="1:13" ht="13.5">
      <c r="A6289" s="475" t="s">
        <v>5496</v>
      </c>
      <c r="B6289" s="475" t="s">
        <v>5726</v>
      </c>
      <c r="C6289" s="475" t="s">
        <v>5739</v>
      </c>
      <c r="D6289" s="475" t="s">
        <v>5740</v>
      </c>
      <c r="E6289" s="476" t="s">
        <v>34</v>
      </c>
      <c r="F6289" s="475" t="s">
        <v>34</v>
      </c>
      <c r="G6289" s="364">
        <v>95329</v>
      </c>
      <c r="H6289" s="475" t="s">
        <v>82</v>
      </c>
      <c r="I6289" s="475" t="s">
        <v>67</v>
      </c>
      <c r="J6289" s="475" t="s">
        <v>337</v>
      </c>
      <c r="K6289" s="365">
        <v>0.16</v>
      </c>
      <c r="L6289" s="475" t="s">
        <v>5084</v>
      </c>
      <c r="M6289" s="473"/>
    </row>
    <row r="6290" spans="1:13" ht="13.5">
      <c r="A6290" s="475" t="s">
        <v>5496</v>
      </c>
      <c r="B6290" s="475" t="s">
        <v>5726</v>
      </c>
      <c r="C6290" s="475" t="s">
        <v>5739</v>
      </c>
      <c r="D6290" s="475" t="s">
        <v>5740</v>
      </c>
      <c r="E6290" s="476" t="s">
        <v>34</v>
      </c>
      <c r="F6290" s="475" t="s">
        <v>34</v>
      </c>
      <c r="G6290" s="364">
        <v>95330</v>
      </c>
      <c r="H6290" s="475" t="s">
        <v>5175</v>
      </c>
      <c r="I6290" s="475" t="s">
        <v>67</v>
      </c>
      <c r="J6290" s="475" t="s">
        <v>363</v>
      </c>
      <c r="K6290" s="365">
        <v>0.12</v>
      </c>
      <c r="L6290" s="475" t="s">
        <v>5084</v>
      </c>
      <c r="M6290" s="473"/>
    </row>
    <row r="6291" spans="1:13" ht="13.5">
      <c r="A6291" s="475" t="s">
        <v>5496</v>
      </c>
      <c r="B6291" s="475" t="s">
        <v>5726</v>
      </c>
      <c r="C6291" s="475" t="s">
        <v>5739</v>
      </c>
      <c r="D6291" s="475" t="s">
        <v>5740</v>
      </c>
      <c r="E6291" s="476" t="s">
        <v>34</v>
      </c>
      <c r="F6291" s="475" t="s">
        <v>34</v>
      </c>
      <c r="G6291" s="364">
        <v>95331</v>
      </c>
      <c r="H6291" s="475" t="s">
        <v>5176</v>
      </c>
      <c r="I6291" s="475" t="s">
        <v>67</v>
      </c>
      <c r="J6291" s="475" t="s">
        <v>337</v>
      </c>
      <c r="K6291" s="365">
        <v>7.0000000000000007E-2</v>
      </c>
      <c r="L6291" s="475" t="s">
        <v>5084</v>
      </c>
      <c r="M6291" s="473"/>
    </row>
    <row r="6292" spans="1:13" ht="13.5">
      <c r="A6292" s="475" t="s">
        <v>5496</v>
      </c>
      <c r="B6292" s="475" t="s">
        <v>5726</v>
      </c>
      <c r="C6292" s="475" t="s">
        <v>5739</v>
      </c>
      <c r="D6292" s="475" t="s">
        <v>5740</v>
      </c>
      <c r="E6292" s="476" t="s">
        <v>34</v>
      </c>
      <c r="F6292" s="475" t="s">
        <v>34</v>
      </c>
      <c r="G6292" s="364">
        <v>95332</v>
      </c>
      <c r="H6292" s="475" t="s">
        <v>85</v>
      </c>
      <c r="I6292" s="475" t="s">
        <v>67</v>
      </c>
      <c r="J6292" s="475" t="s">
        <v>363</v>
      </c>
      <c r="K6292" s="365">
        <v>0.4</v>
      </c>
      <c r="L6292" s="475" t="s">
        <v>5084</v>
      </c>
      <c r="M6292" s="473"/>
    </row>
    <row r="6293" spans="1:13" ht="13.5">
      <c r="A6293" s="475" t="s">
        <v>5496</v>
      </c>
      <c r="B6293" s="475" t="s">
        <v>5726</v>
      </c>
      <c r="C6293" s="475" t="s">
        <v>5739</v>
      </c>
      <c r="D6293" s="475" t="s">
        <v>5740</v>
      </c>
      <c r="E6293" s="476" t="s">
        <v>34</v>
      </c>
      <c r="F6293" s="475" t="s">
        <v>34</v>
      </c>
      <c r="G6293" s="364">
        <v>95333</v>
      </c>
      <c r="H6293" s="475" t="s">
        <v>5177</v>
      </c>
      <c r="I6293" s="475" t="s">
        <v>67</v>
      </c>
      <c r="J6293" s="475" t="s">
        <v>337</v>
      </c>
      <c r="K6293" s="365">
        <v>0.4</v>
      </c>
      <c r="L6293" s="475" t="s">
        <v>5084</v>
      </c>
      <c r="M6293" s="473"/>
    </row>
    <row r="6294" spans="1:13" ht="13.5">
      <c r="A6294" s="475" t="s">
        <v>5496</v>
      </c>
      <c r="B6294" s="475" t="s">
        <v>5726</v>
      </c>
      <c r="C6294" s="475" t="s">
        <v>5739</v>
      </c>
      <c r="D6294" s="475" t="s">
        <v>5740</v>
      </c>
      <c r="E6294" s="476" t="s">
        <v>34</v>
      </c>
      <c r="F6294" s="475" t="s">
        <v>34</v>
      </c>
      <c r="G6294" s="364">
        <v>95334</v>
      </c>
      <c r="H6294" s="475" t="s">
        <v>5178</v>
      </c>
      <c r="I6294" s="475" t="s">
        <v>67</v>
      </c>
      <c r="J6294" s="475" t="s">
        <v>337</v>
      </c>
      <c r="K6294" s="365">
        <v>0.49</v>
      </c>
      <c r="L6294" s="475" t="s">
        <v>5084</v>
      </c>
      <c r="M6294" s="473"/>
    </row>
    <row r="6295" spans="1:13" ht="13.5">
      <c r="A6295" s="475" t="s">
        <v>5496</v>
      </c>
      <c r="B6295" s="475" t="s">
        <v>5726</v>
      </c>
      <c r="C6295" s="475" t="s">
        <v>5739</v>
      </c>
      <c r="D6295" s="475" t="s">
        <v>5740</v>
      </c>
      <c r="E6295" s="476" t="s">
        <v>34</v>
      </c>
      <c r="F6295" s="475" t="s">
        <v>34</v>
      </c>
      <c r="G6295" s="364">
        <v>95335</v>
      </c>
      <c r="H6295" s="475" t="s">
        <v>88</v>
      </c>
      <c r="I6295" s="475" t="s">
        <v>67</v>
      </c>
      <c r="J6295" s="475" t="s">
        <v>363</v>
      </c>
      <c r="K6295" s="365">
        <v>0.19</v>
      </c>
      <c r="L6295" s="475" t="s">
        <v>5084</v>
      </c>
      <c r="M6295" s="473"/>
    </row>
    <row r="6296" spans="1:13" ht="13.5">
      <c r="A6296" s="475" t="s">
        <v>5496</v>
      </c>
      <c r="B6296" s="475" t="s">
        <v>5726</v>
      </c>
      <c r="C6296" s="475" t="s">
        <v>5739</v>
      </c>
      <c r="D6296" s="475" t="s">
        <v>5740</v>
      </c>
      <c r="E6296" s="476" t="s">
        <v>34</v>
      </c>
      <c r="F6296" s="475" t="s">
        <v>34</v>
      </c>
      <c r="G6296" s="364">
        <v>95336</v>
      </c>
      <c r="H6296" s="475" t="s">
        <v>5179</v>
      </c>
      <c r="I6296" s="475" t="s">
        <v>67</v>
      </c>
      <c r="J6296" s="475" t="s">
        <v>337</v>
      </c>
      <c r="K6296" s="365">
        <v>0.13</v>
      </c>
      <c r="L6296" s="475" t="s">
        <v>5084</v>
      </c>
      <c r="M6296" s="473"/>
    </row>
    <row r="6297" spans="1:13" ht="13.5">
      <c r="A6297" s="475" t="s">
        <v>5496</v>
      </c>
      <c r="B6297" s="475" t="s">
        <v>5726</v>
      </c>
      <c r="C6297" s="475" t="s">
        <v>5739</v>
      </c>
      <c r="D6297" s="475" t="s">
        <v>5740</v>
      </c>
      <c r="E6297" s="476" t="s">
        <v>34</v>
      </c>
      <c r="F6297" s="475" t="s">
        <v>34</v>
      </c>
      <c r="G6297" s="364">
        <v>95337</v>
      </c>
      <c r="H6297" s="475" t="s">
        <v>89</v>
      </c>
      <c r="I6297" s="475" t="s">
        <v>67</v>
      </c>
      <c r="J6297" s="475" t="s">
        <v>337</v>
      </c>
      <c r="K6297" s="365">
        <v>0.12</v>
      </c>
      <c r="L6297" s="475" t="s">
        <v>5084</v>
      </c>
      <c r="M6297" s="473"/>
    </row>
    <row r="6298" spans="1:13" ht="13.5">
      <c r="A6298" s="475" t="s">
        <v>5496</v>
      </c>
      <c r="B6298" s="475" t="s">
        <v>5726</v>
      </c>
      <c r="C6298" s="475" t="s">
        <v>5739</v>
      </c>
      <c r="D6298" s="475" t="s">
        <v>5740</v>
      </c>
      <c r="E6298" s="476" t="s">
        <v>34</v>
      </c>
      <c r="F6298" s="475" t="s">
        <v>34</v>
      </c>
      <c r="G6298" s="364">
        <v>95338</v>
      </c>
      <c r="H6298" s="475" t="s">
        <v>114</v>
      </c>
      <c r="I6298" s="475" t="s">
        <v>67</v>
      </c>
      <c r="J6298" s="475" t="s">
        <v>337</v>
      </c>
      <c r="K6298" s="365">
        <v>0.23</v>
      </c>
      <c r="L6298" s="475" t="s">
        <v>5084</v>
      </c>
      <c r="M6298" s="473"/>
    </row>
    <row r="6299" spans="1:13" ht="13.5">
      <c r="A6299" s="475" t="s">
        <v>5496</v>
      </c>
      <c r="B6299" s="475" t="s">
        <v>5726</v>
      </c>
      <c r="C6299" s="475" t="s">
        <v>5739</v>
      </c>
      <c r="D6299" s="475" t="s">
        <v>5740</v>
      </c>
      <c r="E6299" s="476" t="s">
        <v>34</v>
      </c>
      <c r="F6299" s="475" t="s">
        <v>34</v>
      </c>
      <c r="G6299" s="364">
        <v>95339</v>
      </c>
      <c r="H6299" s="475" t="s">
        <v>5180</v>
      </c>
      <c r="I6299" s="475" t="s">
        <v>67</v>
      </c>
      <c r="J6299" s="475" t="s">
        <v>337</v>
      </c>
      <c r="K6299" s="365">
        <v>0.18</v>
      </c>
      <c r="L6299" s="475" t="s">
        <v>5084</v>
      </c>
      <c r="M6299" s="473"/>
    </row>
    <row r="6300" spans="1:13" ht="13.5">
      <c r="A6300" s="475" t="s">
        <v>5496</v>
      </c>
      <c r="B6300" s="475" t="s">
        <v>5726</v>
      </c>
      <c r="C6300" s="475" t="s">
        <v>5739</v>
      </c>
      <c r="D6300" s="475" t="s">
        <v>5740</v>
      </c>
      <c r="E6300" s="476" t="s">
        <v>34</v>
      </c>
      <c r="F6300" s="475" t="s">
        <v>34</v>
      </c>
      <c r="G6300" s="364">
        <v>95340</v>
      </c>
      <c r="H6300" s="475" t="s">
        <v>5181</v>
      </c>
      <c r="I6300" s="475" t="s">
        <v>67</v>
      </c>
      <c r="J6300" s="475" t="s">
        <v>337</v>
      </c>
      <c r="K6300" s="365">
        <v>0.16</v>
      </c>
      <c r="L6300" s="475" t="s">
        <v>5084</v>
      </c>
      <c r="M6300" s="473"/>
    </row>
    <row r="6301" spans="1:13" ht="13.5">
      <c r="A6301" s="475" t="s">
        <v>5496</v>
      </c>
      <c r="B6301" s="475" t="s">
        <v>5726</v>
      </c>
      <c r="C6301" s="475" t="s">
        <v>5739</v>
      </c>
      <c r="D6301" s="475" t="s">
        <v>5740</v>
      </c>
      <c r="E6301" s="476" t="s">
        <v>34</v>
      </c>
      <c r="F6301" s="475" t="s">
        <v>34</v>
      </c>
      <c r="G6301" s="364">
        <v>95341</v>
      </c>
      <c r="H6301" s="475" t="s">
        <v>5182</v>
      </c>
      <c r="I6301" s="475" t="s">
        <v>67</v>
      </c>
      <c r="J6301" s="475" t="s">
        <v>337</v>
      </c>
      <c r="K6301" s="365">
        <v>0.12</v>
      </c>
      <c r="L6301" s="475" t="s">
        <v>5084</v>
      </c>
      <c r="M6301" s="473"/>
    </row>
    <row r="6302" spans="1:13" ht="13.5">
      <c r="A6302" s="475" t="s">
        <v>5496</v>
      </c>
      <c r="B6302" s="475" t="s">
        <v>5726</v>
      </c>
      <c r="C6302" s="475" t="s">
        <v>5739</v>
      </c>
      <c r="D6302" s="475" t="s">
        <v>5740</v>
      </c>
      <c r="E6302" s="476" t="s">
        <v>34</v>
      </c>
      <c r="F6302" s="475" t="s">
        <v>34</v>
      </c>
      <c r="G6302" s="364">
        <v>95342</v>
      </c>
      <c r="H6302" s="475" t="s">
        <v>5183</v>
      </c>
      <c r="I6302" s="475" t="s">
        <v>67</v>
      </c>
      <c r="J6302" s="475" t="s">
        <v>337</v>
      </c>
      <c r="K6302" s="365">
        <v>0.1</v>
      </c>
      <c r="L6302" s="475" t="s">
        <v>5084</v>
      </c>
      <c r="M6302" s="473"/>
    </row>
    <row r="6303" spans="1:13" ht="13.5">
      <c r="A6303" s="475" t="s">
        <v>5496</v>
      </c>
      <c r="B6303" s="475" t="s">
        <v>5726</v>
      </c>
      <c r="C6303" s="475" t="s">
        <v>5739</v>
      </c>
      <c r="D6303" s="475" t="s">
        <v>5740</v>
      </c>
      <c r="E6303" s="476" t="s">
        <v>34</v>
      </c>
      <c r="F6303" s="475" t="s">
        <v>34</v>
      </c>
      <c r="G6303" s="364">
        <v>95343</v>
      </c>
      <c r="H6303" s="475" t="s">
        <v>5184</v>
      </c>
      <c r="I6303" s="475" t="s">
        <v>67</v>
      </c>
      <c r="J6303" s="475" t="s">
        <v>337</v>
      </c>
      <c r="K6303" s="365">
        <v>0.12</v>
      </c>
      <c r="L6303" s="475" t="s">
        <v>5084</v>
      </c>
      <c r="M6303" s="473"/>
    </row>
    <row r="6304" spans="1:13" ht="13.5">
      <c r="A6304" s="475" t="s">
        <v>5496</v>
      </c>
      <c r="B6304" s="475" t="s">
        <v>5726</v>
      </c>
      <c r="C6304" s="475" t="s">
        <v>5739</v>
      </c>
      <c r="D6304" s="475" t="s">
        <v>5740</v>
      </c>
      <c r="E6304" s="476" t="s">
        <v>34</v>
      </c>
      <c r="F6304" s="475" t="s">
        <v>34</v>
      </c>
      <c r="G6304" s="364">
        <v>95344</v>
      </c>
      <c r="H6304" s="475" t="s">
        <v>5185</v>
      </c>
      <c r="I6304" s="475" t="s">
        <v>67</v>
      </c>
      <c r="J6304" s="475" t="s">
        <v>337</v>
      </c>
      <c r="K6304" s="365">
        <v>0.09</v>
      </c>
      <c r="L6304" s="475" t="s">
        <v>5084</v>
      </c>
      <c r="M6304" s="473"/>
    </row>
    <row r="6305" spans="1:13" ht="13.5">
      <c r="A6305" s="475" t="s">
        <v>5496</v>
      </c>
      <c r="B6305" s="475" t="s">
        <v>5726</v>
      </c>
      <c r="C6305" s="475" t="s">
        <v>5739</v>
      </c>
      <c r="D6305" s="475" t="s">
        <v>5740</v>
      </c>
      <c r="E6305" s="476" t="s">
        <v>34</v>
      </c>
      <c r="F6305" s="475" t="s">
        <v>34</v>
      </c>
      <c r="G6305" s="364">
        <v>95345</v>
      </c>
      <c r="H6305" s="475" t="s">
        <v>5186</v>
      </c>
      <c r="I6305" s="475" t="s">
        <v>67</v>
      </c>
      <c r="J6305" s="475" t="s">
        <v>337</v>
      </c>
      <c r="K6305" s="365">
        <v>0.35</v>
      </c>
      <c r="L6305" s="475" t="s">
        <v>5084</v>
      </c>
      <c r="M6305" s="473"/>
    </row>
    <row r="6306" spans="1:13" ht="13.5">
      <c r="A6306" s="475" t="s">
        <v>5496</v>
      </c>
      <c r="B6306" s="475" t="s">
        <v>5726</v>
      </c>
      <c r="C6306" s="475" t="s">
        <v>5739</v>
      </c>
      <c r="D6306" s="475" t="s">
        <v>5740</v>
      </c>
      <c r="E6306" s="476" t="s">
        <v>34</v>
      </c>
      <c r="F6306" s="475" t="s">
        <v>34</v>
      </c>
      <c r="G6306" s="364">
        <v>95346</v>
      </c>
      <c r="H6306" s="475" t="s">
        <v>5187</v>
      </c>
      <c r="I6306" s="475" t="s">
        <v>67</v>
      </c>
      <c r="J6306" s="475" t="s">
        <v>337</v>
      </c>
      <c r="K6306" s="365">
        <v>0.04</v>
      </c>
      <c r="L6306" s="475" t="s">
        <v>5084</v>
      </c>
      <c r="M6306" s="473"/>
    </row>
    <row r="6307" spans="1:13" ht="13.5">
      <c r="A6307" s="475" t="s">
        <v>5496</v>
      </c>
      <c r="B6307" s="475" t="s">
        <v>5726</v>
      </c>
      <c r="C6307" s="475" t="s">
        <v>5739</v>
      </c>
      <c r="D6307" s="475" t="s">
        <v>5740</v>
      </c>
      <c r="E6307" s="476" t="s">
        <v>34</v>
      </c>
      <c r="F6307" s="475" t="s">
        <v>34</v>
      </c>
      <c r="G6307" s="364">
        <v>95347</v>
      </c>
      <c r="H6307" s="475" t="s">
        <v>5188</v>
      </c>
      <c r="I6307" s="475" t="s">
        <v>67</v>
      </c>
      <c r="J6307" s="475" t="s">
        <v>337</v>
      </c>
      <c r="K6307" s="365">
        <v>0.04</v>
      </c>
      <c r="L6307" s="475" t="s">
        <v>5084</v>
      </c>
      <c r="M6307" s="473"/>
    </row>
    <row r="6308" spans="1:13" ht="13.5">
      <c r="A6308" s="475" t="s">
        <v>5496</v>
      </c>
      <c r="B6308" s="475" t="s">
        <v>5726</v>
      </c>
      <c r="C6308" s="475" t="s">
        <v>5739</v>
      </c>
      <c r="D6308" s="475" t="s">
        <v>5740</v>
      </c>
      <c r="E6308" s="476" t="s">
        <v>34</v>
      </c>
      <c r="F6308" s="475" t="s">
        <v>34</v>
      </c>
      <c r="G6308" s="364">
        <v>95348</v>
      </c>
      <c r="H6308" s="475" t="s">
        <v>5189</v>
      </c>
      <c r="I6308" s="475" t="s">
        <v>67</v>
      </c>
      <c r="J6308" s="475" t="s">
        <v>337</v>
      </c>
      <c r="K6308" s="365">
        <v>0.06</v>
      </c>
      <c r="L6308" s="475" t="s">
        <v>5084</v>
      </c>
      <c r="M6308" s="473"/>
    </row>
    <row r="6309" spans="1:13" ht="13.5">
      <c r="A6309" s="475" t="s">
        <v>5496</v>
      </c>
      <c r="B6309" s="475" t="s">
        <v>5726</v>
      </c>
      <c r="C6309" s="475" t="s">
        <v>5739</v>
      </c>
      <c r="D6309" s="475" t="s">
        <v>5740</v>
      </c>
      <c r="E6309" s="476" t="s">
        <v>34</v>
      </c>
      <c r="F6309" s="475" t="s">
        <v>34</v>
      </c>
      <c r="G6309" s="364">
        <v>95349</v>
      </c>
      <c r="H6309" s="475" t="s">
        <v>5190</v>
      </c>
      <c r="I6309" s="475" t="s">
        <v>67</v>
      </c>
      <c r="J6309" s="475" t="s">
        <v>337</v>
      </c>
      <c r="K6309" s="365">
        <v>0.04</v>
      </c>
      <c r="L6309" s="475" t="s">
        <v>5084</v>
      </c>
      <c r="M6309" s="473"/>
    </row>
    <row r="6310" spans="1:13" ht="13.5">
      <c r="A6310" s="475" t="s">
        <v>5496</v>
      </c>
      <c r="B6310" s="475" t="s">
        <v>5726</v>
      </c>
      <c r="C6310" s="475" t="s">
        <v>5739</v>
      </c>
      <c r="D6310" s="475" t="s">
        <v>5740</v>
      </c>
      <c r="E6310" s="476" t="s">
        <v>34</v>
      </c>
      <c r="F6310" s="475" t="s">
        <v>34</v>
      </c>
      <c r="G6310" s="364">
        <v>95350</v>
      </c>
      <c r="H6310" s="475" t="s">
        <v>5191</v>
      </c>
      <c r="I6310" s="475" t="s">
        <v>67</v>
      </c>
      <c r="J6310" s="475" t="s">
        <v>337</v>
      </c>
      <c r="K6310" s="365">
        <v>0.04</v>
      </c>
      <c r="L6310" s="475" t="s">
        <v>5084</v>
      </c>
      <c r="M6310" s="473"/>
    </row>
    <row r="6311" spans="1:13" ht="13.5">
      <c r="A6311" s="475" t="s">
        <v>5496</v>
      </c>
      <c r="B6311" s="475" t="s">
        <v>5726</v>
      </c>
      <c r="C6311" s="475" t="s">
        <v>5739</v>
      </c>
      <c r="D6311" s="475" t="s">
        <v>5740</v>
      </c>
      <c r="E6311" s="476" t="s">
        <v>34</v>
      </c>
      <c r="F6311" s="475" t="s">
        <v>34</v>
      </c>
      <c r="G6311" s="364">
        <v>95351</v>
      </c>
      <c r="H6311" s="475" t="s">
        <v>5192</v>
      </c>
      <c r="I6311" s="475" t="s">
        <v>67</v>
      </c>
      <c r="J6311" s="475" t="s">
        <v>337</v>
      </c>
      <c r="K6311" s="365">
        <v>0.13</v>
      </c>
      <c r="L6311" s="475" t="s">
        <v>5084</v>
      </c>
      <c r="M6311" s="473"/>
    </row>
    <row r="6312" spans="1:13" ht="13.5">
      <c r="A6312" s="475" t="s">
        <v>5496</v>
      </c>
      <c r="B6312" s="475" t="s">
        <v>5726</v>
      </c>
      <c r="C6312" s="475" t="s">
        <v>5739</v>
      </c>
      <c r="D6312" s="475" t="s">
        <v>5740</v>
      </c>
      <c r="E6312" s="476" t="s">
        <v>34</v>
      </c>
      <c r="F6312" s="475" t="s">
        <v>34</v>
      </c>
      <c r="G6312" s="364">
        <v>95352</v>
      </c>
      <c r="H6312" s="475" t="s">
        <v>5193</v>
      </c>
      <c r="I6312" s="475" t="s">
        <v>67</v>
      </c>
      <c r="J6312" s="475" t="s">
        <v>337</v>
      </c>
      <c r="K6312" s="365">
        <v>0.04</v>
      </c>
      <c r="L6312" s="475" t="s">
        <v>5084</v>
      </c>
      <c r="M6312" s="473"/>
    </row>
    <row r="6313" spans="1:13" ht="13.5">
      <c r="A6313" s="475" t="s">
        <v>5496</v>
      </c>
      <c r="B6313" s="475" t="s">
        <v>5726</v>
      </c>
      <c r="C6313" s="475" t="s">
        <v>5739</v>
      </c>
      <c r="D6313" s="475" t="s">
        <v>5740</v>
      </c>
      <c r="E6313" s="476" t="s">
        <v>34</v>
      </c>
      <c r="F6313" s="475" t="s">
        <v>34</v>
      </c>
      <c r="G6313" s="364">
        <v>95354</v>
      </c>
      <c r="H6313" s="475" t="s">
        <v>5194</v>
      </c>
      <c r="I6313" s="475" t="s">
        <v>67</v>
      </c>
      <c r="J6313" s="475" t="s">
        <v>337</v>
      </c>
      <c r="K6313" s="365">
        <v>0.06</v>
      </c>
      <c r="L6313" s="475" t="s">
        <v>5084</v>
      </c>
      <c r="M6313" s="473"/>
    </row>
    <row r="6314" spans="1:13" ht="13.5">
      <c r="A6314" s="475" t="s">
        <v>5496</v>
      </c>
      <c r="B6314" s="475" t="s">
        <v>5726</v>
      </c>
      <c r="C6314" s="475" t="s">
        <v>5739</v>
      </c>
      <c r="D6314" s="475" t="s">
        <v>5740</v>
      </c>
      <c r="E6314" s="476" t="s">
        <v>34</v>
      </c>
      <c r="F6314" s="475" t="s">
        <v>34</v>
      </c>
      <c r="G6314" s="364">
        <v>95355</v>
      </c>
      <c r="H6314" s="475" t="s">
        <v>5195</v>
      </c>
      <c r="I6314" s="475" t="s">
        <v>67</v>
      </c>
      <c r="J6314" s="475" t="s">
        <v>337</v>
      </c>
      <c r="K6314" s="365">
        <v>0.06</v>
      </c>
      <c r="L6314" s="475" t="s">
        <v>5084</v>
      </c>
      <c r="M6314" s="473"/>
    </row>
    <row r="6315" spans="1:13" ht="13.5">
      <c r="A6315" s="475" t="s">
        <v>5496</v>
      </c>
      <c r="B6315" s="475" t="s">
        <v>5726</v>
      </c>
      <c r="C6315" s="475" t="s">
        <v>5739</v>
      </c>
      <c r="D6315" s="475" t="s">
        <v>5740</v>
      </c>
      <c r="E6315" s="476" t="s">
        <v>34</v>
      </c>
      <c r="F6315" s="475" t="s">
        <v>34</v>
      </c>
      <c r="G6315" s="364">
        <v>95356</v>
      </c>
      <c r="H6315" s="475" t="s">
        <v>5196</v>
      </c>
      <c r="I6315" s="475" t="s">
        <v>67</v>
      </c>
      <c r="J6315" s="475" t="s">
        <v>337</v>
      </c>
      <c r="K6315" s="365">
        <v>0.08</v>
      </c>
      <c r="L6315" s="475" t="s">
        <v>5084</v>
      </c>
      <c r="M6315" s="473"/>
    </row>
    <row r="6316" spans="1:13" ht="13.5">
      <c r="A6316" s="475" t="s">
        <v>5496</v>
      </c>
      <c r="B6316" s="475" t="s">
        <v>5726</v>
      </c>
      <c r="C6316" s="475" t="s">
        <v>5739</v>
      </c>
      <c r="D6316" s="475" t="s">
        <v>5740</v>
      </c>
      <c r="E6316" s="476" t="s">
        <v>34</v>
      </c>
      <c r="F6316" s="475" t="s">
        <v>34</v>
      </c>
      <c r="G6316" s="364">
        <v>95357</v>
      </c>
      <c r="H6316" s="475" t="s">
        <v>115</v>
      </c>
      <c r="I6316" s="475" t="s">
        <v>67</v>
      </c>
      <c r="J6316" s="475" t="s">
        <v>363</v>
      </c>
      <c r="K6316" s="365">
        <v>0.12</v>
      </c>
      <c r="L6316" s="475" t="s">
        <v>5084</v>
      </c>
      <c r="M6316" s="473"/>
    </row>
    <row r="6317" spans="1:13" ht="13.5">
      <c r="A6317" s="475" t="s">
        <v>5496</v>
      </c>
      <c r="B6317" s="475" t="s">
        <v>5726</v>
      </c>
      <c r="C6317" s="475" t="s">
        <v>5739</v>
      </c>
      <c r="D6317" s="475" t="s">
        <v>5740</v>
      </c>
      <c r="E6317" s="476" t="s">
        <v>34</v>
      </c>
      <c r="F6317" s="475" t="s">
        <v>34</v>
      </c>
      <c r="G6317" s="364">
        <v>95358</v>
      </c>
      <c r="H6317" s="475" t="s">
        <v>5197</v>
      </c>
      <c r="I6317" s="475" t="s">
        <v>67</v>
      </c>
      <c r="J6317" s="475" t="s">
        <v>337</v>
      </c>
      <c r="K6317" s="365">
        <v>0.13</v>
      </c>
      <c r="L6317" s="475" t="s">
        <v>5084</v>
      </c>
      <c r="M6317" s="473"/>
    </row>
    <row r="6318" spans="1:13" ht="13.5">
      <c r="A6318" s="475" t="s">
        <v>5496</v>
      </c>
      <c r="B6318" s="475" t="s">
        <v>5726</v>
      </c>
      <c r="C6318" s="475" t="s">
        <v>5739</v>
      </c>
      <c r="D6318" s="475" t="s">
        <v>5740</v>
      </c>
      <c r="E6318" s="476" t="s">
        <v>34</v>
      </c>
      <c r="F6318" s="475" t="s">
        <v>34</v>
      </c>
      <c r="G6318" s="364">
        <v>95359</v>
      </c>
      <c r="H6318" s="475" t="s">
        <v>5198</v>
      </c>
      <c r="I6318" s="475" t="s">
        <v>67</v>
      </c>
      <c r="J6318" s="475" t="s">
        <v>337</v>
      </c>
      <c r="K6318" s="365">
        <v>0.13</v>
      </c>
      <c r="L6318" s="475" t="s">
        <v>5084</v>
      </c>
      <c r="M6318" s="473"/>
    </row>
    <row r="6319" spans="1:13" ht="13.5">
      <c r="A6319" s="475" t="s">
        <v>5496</v>
      </c>
      <c r="B6319" s="475" t="s">
        <v>5726</v>
      </c>
      <c r="C6319" s="475" t="s">
        <v>5739</v>
      </c>
      <c r="D6319" s="475" t="s">
        <v>5740</v>
      </c>
      <c r="E6319" s="476" t="s">
        <v>34</v>
      </c>
      <c r="F6319" s="475" t="s">
        <v>34</v>
      </c>
      <c r="G6319" s="364">
        <v>95360</v>
      </c>
      <c r="H6319" s="475" t="s">
        <v>122</v>
      </c>
      <c r="I6319" s="475" t="s">
        <v>67</v>
      </c>
      <c r="J6319" s="475" t="s">
        <v>337</v>
      </c>
      <c r="K6319" s="365">
        <v>0.09</v>
      </c>
      <c r="L6319" s="475" t="s">
        <v>5084</v>
      </c>
      <c r="M6319" s="473"/>
    </row>
    <row r="6320" spans="1:13" ht="13.5">
      <c r="A6320" s="475" t="s">
        <v>5496</v>
      </c>
      <c r="B6320" s="475" t="s">
        <v>5726</v>
      </c>
      <c r="C6320" s="475" t="s">
        <v>5739</v>
      </c>
      <c r="D6320" s="475" t="s">
        <v>5740</v>
      </c>
      <c r="E6320" s="476" t="s">
        <v>34</v>
      </c>
      <c r="F6320" s="475" t="s">
        <v>34</v>
      </c>
      <c r="G6320" s="364">
        <v>95361</v>
      </c>
      <c r="H6320" s="475" t="s">
        <v>5199</v>
      </c>
      <c r="I6320" s="475" t="s">
        <v>67</v>
      </c>
      <c r="J6320" s="475" t="s">
        <v>337</v>
      </c>
      <c r="K6320" s="365">
        <v>7.0000000000000007E-2</v>
      </c>
      <c r="L6320" s="475" t="s">
        <v>5084</v>
      </c>
      <c r="M6320" s="473"/>
    </row>
    <row r="6321" spans="1:13" ht="13.5">
      <c r="A6321" s="475" t="s">
        <v>5496</v>
      </c>
      <c r="B6321" s="475" t="s">
        <v>5726</v>
      </c>
      <c r="C6321" s="475" t="s">
        <v>5739</v>
      </c>
      <c r="D6321" s="475" t="s">
        <v>5740</v>
      </c>
      <c r="E6321" s="476" t="s">
        <v>34</v>
      </c>
      <c r="F6321" s="475" t="s">
        <v>34</v>
      </c>
      <c r="G6321" s="364">
        <v>95362</v>
      </c>
      <c r="H6321" s="475" t="s">
        <v>5200</v>
      </c>
      <c r="I6321" s="475" t="s">
        <v>67</v>
      </c>
      <c r="J6321" s="475" t="s">
        <v>337</v>
      </c>
      <c r="K6321" s="365">
        <v>0.08</v>
      </c>
      <c r="L6321" s="475" t="s">
        <v>5084</v>
      </c>
      <c r="M6321" s="473"/>
    </row>
    <row r="6322" spans="1:13" ht="13.5">
      <c r="A6322" s="475" t="s">
        <v>5496</v>
      </c>
      <c r="B6322" s="475" t="s">
        <v>5726</v>
      </c>
      <c r="C6322" s="475" t="s">
        <v>5739</v>
      </c>
      <c r="D6322" s="475" t="s">
        <v>5740</v>
      </c>
      <c r="E6322" s="476" t="s">
        <v>34</v>
      </c>
      <c r="F6322" s="475" t="s">
        <v>34</v>
      </c>
      <c r="G6322" s="364">
        <v>95363</v>
      </c>
      <c r="H6322" s="475" t="s">
        <v>5201</v>
      </c>
      <c r="I6322" s="475" t="s">
        <v>67</v>
      </c>
      <c r="J6322" s="475" t="s">
        <v>337</v>
      </c>
      <c r="K6322" s="365">
        <v>0.1</v>
      </c>
      <c r="L6322" s="475" t="s">
        <v>5084</v>
      </c>
      <c r="M6322" s="473"/>
    </row>
    <row r="6323" spans="1:13" ht="13.5">
      <c r="A6323" s="475" t="s">
        <v>5496</v>
      </c>
      <c r="B6323" s="475" t="s">
        <v>5726</v>
      </c>
      <c r="C6323" s="475" t="s">
        <v>5739</v>
      </c>
      <c r="D6323" s="475" t="s">
        <v>5740</v>
      </c>
      <c r="E6323" s="476" t="s">
        <v>34</v>
      </c>
      <c r="F6323" s="475" t="s">
        <v>34</v>
      </c>
      <c r="G6323" s="364">
        <v>95364</v>
      </c>
      <c r="H6323" s="475" t="s">
        <v>116</v>
      </c>
      <c r="I6323" s="475" t="s">
        <v>67</v>
      </c>
      <c r="J6323" s="475" t="s">
        <v>337</v>
      </c>
      <c r="K6323" s="365">
        <v>7.0000000000000007E-2</v>
      </c>
      <c r="L6323" s="475" t="s">
        <v>5084</v>
      </c>
      <c r="M6323" s="473"/>
    </row>
    <row r="6324" spans="1:13" ht="13.5">
      <c r="A6324" s="475" t="s">
        <v>5496</v>
      </c>
      <c r="B6324" s="475" t="s">
        <v>5726</v>
      </c>
      <c r="C6324" s="475" t="s">
        <v>5739</v>
      </c>
      <c r="D6324" s="475" t="s">
        <v>5740</v>
      </c>
      <c r="E6324" s="476" t="s">
        <v>34</v>
      </c>
      <c r="F6324" s="475" t="s">
        <v>34</v>
      </c>
      <c r="G6324" s="364">
        <v>95365</v>
      </c>
      <c r="H6324" s="475" t="s">
        <v>117</v>
      </c>
      <c r="I6324" s="475" t="s">
        <v>67</v>
      </c>
      <c r="J6324" s="475" t="s">
        <v>337</v>
      </c>
      <c r="K6324" s="365">
        <v>0.08</v>
      </c>
      <c r="L6324" s="475" t="s">
        <v>5084</v>
      </c>
      <c r="M6324" s="473"/>
    </row>
    <row r="6325" spans="1:13" ht="13.5">
      <c r="A6325" s="475" t="s">
        <v>5496</v>
      </c>
      <c r="B6325" s="475" t="s">
        <v>5726</v>
      </c>
      <c r="C6325" s="475" t="s">
        <v>5739</v>
      </c>
      <c r="D6325" s="475" t="s">
        <v>5740</v>
      </c>
      <c r="E6325" s="476" t="s">
        <v>34</v>
      </c>
      <c r="F6325" s="475" t="s">
        <v>34</v>
      </c>
      <c r="G6325" s="364">
        <v>95366</v>
      </c>
      <c r="H6325" s="475" t="s">
        <v>118</v>
      </c>
      <c r="I6325" s="475" t="s">
        <v>67</v>
      </c>
      <c r="J6325" s="475" t="s">
        <v>337</v>
      </c>
      <c r="K6325" s="365">
        <v>0.06</v>
      </c>
      <c r="L6325" s="475" t="s">
        <v>5084</v>
      </c>
      <c r="M6325" s="473"/>
    </row>
    <row r="6326" spans="1:13" ht="13.5">
      <c r="A6326" s="475" t="s">
        <v>5496</v>
      </c>
      <c r="B6326" s="475" t="s">
        <v>5726</v>
      </c>
      <c r="C6326" s="475" t="s">
        <v>5739</v>
      </c>
      <c r="D6326" s="475" t="s">
        <v>5740</v>
      </c>
      <c r="E6326" s="476" t="s">
        <v>34</v>
      </c>
      <c r="F6326" s="475" t="s">
        <v>34</v>
      </c>
      <c r="G6326" s="364">
        <v>95367</v>
      </c>
      <c r="H6326" s="475" t="s">
        <v>5202</v>
      </c>
      <c r="I6326" s="475" t="s">
        <v>67</v>
      </c>
      <c r="J6326" s="475" t="s">
        <v>337</v>
      </c>
      <c r="K6326" s="365">
        <v>7.0000000000000007E-2</v>
      </c>
      <c r="L6326" s="475" t="s">
        <v>5084</v>
      </c>
      <c r="M6326" s="473"/>
    </row>
    <row r="6327" spans="1:13" ht="13.5">
      <c r="A6327" s="475" t="s">
        <v>5496</v>
      </c>
      <c r="B6327" s="475" t="s">
        <v>5726</v>
      </c>
      <c r="C6327" s="475" t="s">
        <v>5739</v>
      </c>
      <c r="D6327" s="475" t="s">
        <v>5740</v>
      </c>
      <c r="E6327" s="476" t="s">
        <v>34</v>
      </c>
      <c r="F6327" s="475" t="s">
        <v>34</v>
      </c>
      <c r="G6327" s="364">
        <v>95368</v>
      </c>
      <c r="H6327" s="475" t="s">
        <v>5203</v>
      </c>
      <c r="I6327" s="475" t="s">
        <v>67</v>
      </c>
      <c r="J6327" s="475" t="s">
        <v>337</v>
      </c>
      <c r="K6327" s="365">
        <v>0.13</v>
      </c>
      <c r="L6327" s="475" t="s">
        <v>5084</v>
      </c>
      <c r="M6327" s="473"/>
    </row>
    <row r="6328" spans="1:13" ht="13.5">
      <c r="A6328" s="475" t="s">
        <v>5496</v>
      </c>
      <c r="B6328" s="475" t="s">
        <v>5726</v>
      </c>
      <c r="C6328" s="475" t="s">
        <v>5739</v>
      </c>
      <c r="D6328" s="475" t="s">
        <v>5740</v>
      </c>
      <c r="E6328" s="476" t="s">
        <v>34</v>
      </c>
      <c r="F6328" s="475" t="s">
        <v>34</v>
      </c>
      <c r="G6328" s="364">
        <v>95369</v>
      </c>
      <c r="H6328" s="475" t="s">
        <v>5204</v>
      </c>
      <c r="I6328" s="475" t="s">
        <v>67</v>
      </c>
      <c r="J6328" s="475" t="s">
        <v>337</v>
      </c>
      <c r="K6328" s="365">
        <v>7.0000000000000007E-2</v>
      </c>
      <c r="L6328" s="475" t="s">
        <v>5084</v>
      </c>
      <c r="M6328" s="473"/>
    </row>
    <row r="6329" spans="1:13" ht="13.5">
      <c r="A6329" s="475" t="s">
        <v>5496</v>
      </c>
      <c r="B6329" s="475" t="s">
        <v>5726</v>
      </c>
      <c r="C6329" s="475" t="s">
        <v>5739</v>
      </c>
      <c r="D6329" s="475" t="s">
        <v>5740</v>
      </c>
      <c r="E6329" s="476" t="s">
        <v>34</v>
      </c>
      <c r="F6329" s="475" t="s">
        <v>34</v>
      </c>
      <c r="G6329" s="364">
        <v>95370</v>
      </c>
      <c r="H6329" s="475" t="s">
        <v>5205</v>
      </c>
      <c r="I6329" s="475" t="s">
        <v>67</v>
      </c>
      <c r="J6329" s="475" t="s">
        <v>337</v>
      </c>
      <c r="K6329" s="365">
        <v>0.17</v>
      </c>
      <c r="L6329" s="475" t="s">
        <v>5084</v>
      </c>
      <c r="M6329" s="473"/>
    </row>
    <row r="6330" spans="1:13" ht="13.5">
      <c r="A6330" s="475" t="s">
        <v>5496</v>
      </c>
      <c r="B6330" s="475" t="s">
        <v>5726</v>
      </c>
      <c r="C6330" s="475" t="s">
        <v>5739</v>
      </c>
      <c r="D6330" s="475" t="s">
        <v>5740</v>
      </c>
      <c r="E6330" s="476" t="s">
        <v>34</v>
      </c>
      <c r="F6330" s="475" t="s">
        <v>34</v>
      </c>
      <c r="G6330" s="364">
        <v>95371</v>
      </c>
      <c r="H6330" s="475" t="s">
        <v>91</v>
      </c>
      <c r="I6330" s="475" t="s">
        <v>67</v>
      </c>
      <c r="J6330" s="475" t="s">
        <v>363</v>
      </c>
      <c r="K6330" s="365">
        <v>0.23</v>
      </c>
      <c r="L6330" s="475" t="s">
        <v>5084</v>
      </c>
      <c r="M6330" s="473"/>
    </row>
    <row r="6331" spans="1:13" ht="13.5">
      <c r="A6331" s="475" t="s">
        <v>5496</v>
      </c>
      <c r="B6331" s="475" t="s">
        <v>5726</v>
      </c>
      <c r="C6331" s="475" t="s">
        <v>5739</v>
      </c>
      <c r="D6331" s="475" t="s">
        <v>5740</v>
      </c>
      <c r="E6331" s="476" t="s">
        <v>34</v>
      </c>
      <c r="F6331" s="475" t="s">
        <v>34</v>
      </c>
      <c r="G6331" s="364">
        <v>95372</v>
      </c>
      <c r="H6331" s="475" t="s">
        <v>93</v>
      </c>
      <c r="I6331" s="475" t="s">
        <v>67</v>
      </c>
      <c r="J6331" s="475" t="s">
        <v>363</v>
      </c>
      <c r="K6331" s="365">
        <v>0.16</v>
      </c>
      <c r="L6331" s="475" t="s">
        <v>5084</v>
      </c>
      <c r="M6331" s="473"/>
    </row>
    <row r="6332" spans="1:13" ht="13.5">
      <c r="A6332" s="475" t="s">
        <v>5496</v>
      </c>
      <c r="B6332" s="475" t="s">
        <v>5726</v>
      </c>
      <c r="C6332" s="475" t="s">
        <v>5739</v>
      </c>
      <c r="D6332" s="475" t="s">
        <v>5740</v>
      </c>
      <c r="E6332" s="476" t="s">
        <v>34</v>
      </c>
      <c r="F6332" s="475" t="s">
        <v>34</v>
      </c>
      <c r="G6332" s="364">
        <v>95373</v>
      </c>
      <c r="H6332" s="475" t="s">
        <v>5206</v>
      </c>
      <c r="I6332" s="475" t="s">
        <v>67</v>
      </c>
      <c r="J6332" s="475" t="s">
        <v>337</v>
      </c>
      <c r="K6332" s="365">
        <v>0.17</v>
      </c>
      <c r="L6332" s="475" t="s">
        <v>5084</v>
      </c>
      <c r="M6332" s="473"/>
    </row>
    <row r="6333" spans="1:13" ht="13.5">
      <c r="A6333" s="475" t="s">
        <v>5496</v>
      </c>
      <c r="B6333" s="475" t="s">
        <v>5726</v>
      </c>
      <c r="C6333" s="475" t="s">
        <v>5739</v>
      </c>
      <c r="D6333" s="475" t="s">
        <v>5740</v>
      </c>
      <c r="E6333" s="476" t="s">
        <v>34</v>
      </c>
      <c r="F6333" s="475" t="s">
        <v>34</v>
      </c>
      <c r="G6333" s="364">
        <v>95374</v>
      </c>
      <c r="H6333" s="475" t="s">
        <v>5207</v>
      </c>
      <c r="I6333" s="475" t="s">
        <v>67</v>
      </c>
      <c r="J6333" s="475" t="s">
        <v>337</v>
      </c>
      <c r="K6333" s="365">
        <v>0.17</v>
      </c>
      <c r="L6333" s="475" t="s">
        <v>5084</v>
      </c>
      <c r="M6333" s="473"/>
    </row>
    <row r="6334" spans="1:13" ht="13.5">
      <c r="A6334" s="475" t="s">
        <v>5496</v>
      </c>
      <c r="B6334" s="475" t="s">
        <v>5726</v>
      </c>
      <c r="C6334" s="475" t="s">
        <v>5739</v>
      </c>
      <c r="D6334" s="475" t="s">
        <v>5740</v>
      </c>
      <c r="E6334" s="476" t="s">
        <v>34</v>
      </c>
      <c r="F6334" s="475" t="s">
        <v>34</v>
      </c>
      <c r="G6334" s="364">
        <v>95375</v>
      </c>
      <c r="H6334" s="475" t="s">
        <v>5208</v>
      </c>
      <c r="I6334" s="475" t="s">
        <v>67</v>
      </c>
      <c r="J6334" s="475" t="s">
        <v>337</v>
      </c>
      <c r="K6334" s="365">
        <v>0.15</v>
      </c>
      <c r="L6334" s="475" t="s">
        <v>5084</v>
      </c>
      <c r="M6334" s="473"/>
    </row>
    <row r="6335" spans="1:13" ht="13.5">
      <c r="A6335" s="475" t="s">
        <v>5496</v>
      </c>
      <c r="B6335" s="475" t="s">
        <v>5726</v>
      </c>
      <c r="C6335" s="475" t="s">
        <v>5739</v>
      </c>
      <c r="D6335" s="475" t="s">
        <v>5740</v>
      </c>
      <c r="E6335" s="476" t="s">
        <v>34</v>
      </c>
      <c r="F6335" s="475" t="s">
        <v>34</v>
      </c>
      <c r="G6335" s="364">
        <v>95376</v>
      </c>
      <c r="H6335" s="475" t="s">
        <v>119</v>
      </c>
      <c r="I6335" s="475" t="s">
        <v>67</v>
      </c>
      <c r="J6335" s="475" t="s">
        <v>337</v>
      </c>
      <c r="K6335" s="365">
        <v>0.03</v>
      </c>
      <c r="L6335" s="475" t="s">
        <v>5084</v>
      </c>
      <c r="M6335" s="473"/>
    </row>
    <row r="6336" spans="1:13" ht="13.5">
      <c r="A6336" s="475" t="s">
        <v>5496</v>
      </c>
      <c r="B6336" s="475" t="s">
        <v>5726</v>
      </c>
      <c r="C6336" s="475" t="s">
        <v>5739</v>
      </c>
      <c r="D6336" s="475" t="s">
        <v>5740</v>
      </c>
      <c r="E6336" s="476" t="s">
        <v>34</v>
      </c>
      <c r="F6336" s="475" t="s">
        <v>34</v>
      </c>
      <c r="G6336" s="364">
        <v>95377</v>
      </c>
      <c r="H6336" s="475" t="s">
        <v>123</v>
      </c>
      <c r="I6336" s="475" t="s">
        <v>67</v>
      </c>
      <c r="J6336" s="475" t="s">
        <v>337</v>
      </c>
      <c r="K6336" s="365">
        <v>0.12</v>
      </c>
      <c r="L6336" s="475" t="s">
        <v>5084</v>
      </c>
      <c r="M6336" s="473"/>
    </row>
    <row r="6337" spans="1:13" ht="13.5">
      <c r="A6337" s="475" t="s">
        <v>5496</v>
      </c>
      <c r="B6337" s="475" t="s">
        <v>5726</v>
      </c>
      <c r="C6337" s="475" t="s">
        <v>5739</v>
      </c>
      <c r="D6337" s="475" t="s">
        <v>5740</v>
      </c>
      <c r="E6337" s="476" t="s">
        <v>34</v>
      </c>
      <c r="F6337" s="475" t="s">
        <v>34</v>
      </c>
      <c r="G6337" s="364">
        <v>95378</v>
      </c>
      <c r="H6337" s="475" t="s">
        <v>69</v>
      </c>
      <c r="I6337" s="475" t="s">
        <v>67</v>
      </c>
      <c r="J6337" s="475" t="s">
        <v>363</v>
      </c>
      <c r="K6337" s="365">
        <v>0.15</v>
      </c>
      <c r="L6337" s="475" t="s">
        <v>5084</v>
      </c>
      <c r="M6337" s="473"/>
    </row>
    <row r="6338" spans="1:13" ht="13.5">
      <c r="A6338" s="475" t="s">
        <v>5496</v>
      </c>
      <c r="B6338" s="475" t="s">
        <v>5726</v>
      </c>
      <c r="C6338" s="475" t="s">
        <v>5739</v>
      </c>
      <c r="D6338" s="475" t="s">
        <v>5740</v>
      </c>
      <c r="E6338" s="476" t="s">
        <v>34</v>
      </c>
      <c r="F6338" s="475" t="s">
        <v>34</v>
      </c>
      <c r="G6338" s="364">
        <v>95379</v>
      </c>
      <c r="H6338" s="475" t="s">
        <v>5209</v>
      </c>
      <c r="I6338" s="475" t="s">
        <v>67</v>
      </c>
      <c r="J6338" s="475" t="s">
        <v>363</v>
      </c>
      <c r="K6338" s="365">
        <v>0.12</v>
      </c>
      <c r="L6338" s="475" t="s">
        <v>5084</v>
      </c>
      <c r="M6338" s="473"/>
    </row>
    <row r="6339" spans="1:13" ht="13.5">
      <c r="A6339" s="475" t="s">
        <v>5496</v>
      </c>
      <c r="B6339" s="475" t="s">
        <v>5726</v>
      </c>
      <c r="C6339" s="475" t="s">
        <v>5739</v>
      </c>
      <c r="D6339" s="475" t="s">
        <v>5740</v>
      </c>
      <c r="E6339" s="476" t="s">
        <v>34</v>
      </c>
      <c r="F6339" s="475" t="s">
        <v>34</v>
      </c>
      <c r="G6339" s="364">
        <v>95380</v>
      </c>
      <c r="H6339" s="475" t="s">
        <v>5210</v>
      </c>
      <c r="I6339" s="475" t="s">
        <v>67</v>
      </c>
      <c r="J6339" s="475" t="s">
        <v>337</v>
      </c>
      <c r="K6339" s="365">
        <v>0.14000000000000001</v>
      </c>
      <c r="L6339" s="475" t="s">
        <v>5084</v>
      </c>
      <c r="M6339" s="473"/>
    </row>
    <row r="6340" spans="1:13" ht="13.5">
      <c r="A6340" s="475" t="s">
        <v>5496</v>
      </c>
      <c r="B6340" s="475" t="s">
        <v>5726</v>
      </c>
      <c r="C6340" s="475" t="s">
        <v>5739</v>
      </c>
      <c r="D6340" s="475" t="s">
        <v>5740</v>
      </c>
      <c r="E6340" s="476" t="s">
        <v>34</v>
      </c>
      <c r="F6340" s="475" t="s">
        <v>34</v>
      </c>
      <c r="G6340" s="364">
        <v>95382</v>
      </c>
      <c r="H6340" s="475" t="s">
        <v>5211</v>
      </c>
      <c r="I6340" s="475" t="s">
        <v>67</v>
      </c>
      <c r="J6340" s="475" t="s">
        <v>337</v>
      </c>
      <c r="K6340" s="365">
        <v>0.15</v>
      </c>
      <c r="L6340" s="475" t="s">
        <v>5084</v>
      </c>
      <c r="M6340" s="473"/>
    </row>
    <row r="6341" spans="1:13" ht="13.5">
      <c r="A6341" s="475" t="s">
        <v>5496</v>
      </c>
      <c r="B6341" s="475" t="s">
        <v>5726</v>
      </c>
      <c r="C6341" s="475" t="s">
        <v>5739</v>
      </c>
      <c r="D6341" s="475" t="s">
        <v>5740</v>
      </c>
      <c r="E6341" s="476" t="s">
        <v>34</v>
      </c>
      <c r="F6341" s="475" t="s">
        <v>34</v>
      </c>
      <c r="G6341" s="364">
        <v>95383</v>
      </c>
      <c r="H6341" s="475" t="s">
        <v>5212</v>
      </c>
      <c r="I6341" s="475" t="s">
        <v>67</v>
      </c>
      <c r="J6341" s="475" t="s">
        <v>337</v>
      </c>
      <c r="K6341" s="365">
        <v>0.27</v>
      </c>
      <c r="L6341" s="475" t="s">
        <v>5084</v>
      </c>
      <c r="M6341" s="473"/>
    </row>
    <row r="6342" spans="1:13" ht="13.5">
      <c r="A6342" s="475" t="s">
        <v>5496</v>
      </c>
      <c r="B6342" s="475" t="s">
        <v>5726</v>
      </c>
      <c r="C6342" s="475" t="s">
        <v>5739</v>
      </c>
      <c r="D6342" s="475" t="s">
        <v>5740</v>
      </c>
      <c r="E6342" s="476" t="s">
        <v>34</v>
      </c>
      <c r="F6342" s="475" t="s">
        <v>34</v>
      </c>
      <c r="G6342" s="364">
        <v>95384</v>
      </c>
      <c r="H6342" s="475" t="s">
        <v>5213</v>
      </c>
      <c r="I6342" s="475" t="s">
        <v>67</v>
      </c>
      <c r="J6342" s="475" t="s">
        <v>337</v>
      </c>
      <c r="K6342" s="365">
        <v>0.16</v>
      </c>
      <c r="L6342" s="475" t="s">
        <v>5084</v>
      </c>
      <c r="M6342" s="473"/>
    </row>
    <row r="6343" spans="1:13" ht="13.5">
      <c r="A6343" s="475" t="s">
        <v>5496</v>
      </c>
      <c r="B6343" s="475" t="s">
        <v>5726</v>
      </c>
      <c r="C6343" s="475" t="s">
        <v>5739</v>
      </c>
      <c r="D6343" s="475" t="s">
        <v>5740</v>
      </c>
      <c r="E6343" s="476" t="s">
        <v>34</v>
      </c>
      <c r="F6343" s="475" t="s">
        <v>34</v>
      </c>
      <c r="G6343" s="364">
        <v>95385</v>
      </c>
      <c r="H6343" s="475" t="s">
        <v>95</v>
      </c>
      <c r="I6343" s="475" t="s">
        <v>67</v>
      </c>
      <c r="J6343" s="475" t="s">
        <v>337</v>
      </c>
      <c r="K6343" s="365">
        <v>0.13</v>
      </c>
      <c r="L6343" s="475" t="s">
        <v>5084</v>
      </c>
      <c r="M6343" s="473"/>
    </row>
    <row r="6344" spans="1:13" ht="13.5">
      <c r="A6344" s="475" t="s">
        <v>5496</v>
      </c>
      <c r="B6344" s="475" t="s">
        <v>5726</v>
      </c>
      <c r="C6344" s="475" t="s">
        <v>5739</v>
      </c>
      <c r="D6344" s="475" t="s">
        <v>5740</v>
      </c>
      <c r="E6344" s="476" t="s">
        <v>34</v>
      </c>
      <c r="F6344" s="475" t="s">
        <v>34</v>
      </c>
      <c r="G6344" s="364">
        <v>95386</v>
      </c>
      <c r="H6344" s="475" t="s">
        <v>120</v>
      </c>
      <c r="I6344" s="475" t="s">
        <v>67</v>
      </c>
      <c r="J6344" s="475" t="s">
        <v>337</v>
      </c>
      <c r="K6344" s="365">
        <v>0.09</v>
      </c>
      <c r="L6344" s="475" t="s">
        <v>5084</v>
      </c>
      <c r="M6344" s="473"/>
    </row>
    <row r="6345" spans="1:13" ht="13.5">
      <c r="A6345" s="475" t="s">
        <v>5496</v>
      </c>
      <c r="B6345" s="475" t="s">
        <v>5726</v>
      </c>
      <c r="C6345" s="475" t="s">
        <v>5739</v>
      </c>
      <c r="D6345" s="475" t="s">
        <v>5740</v>
      </c>
      <c r="E6345" s="476" t="s">
        <v>34</v>
      </c>
      <c r="F6345" s="475" t="s">
        <v>34</v>
      </c>
      <c r="G6345" s="364">
        <v>95387</v>
      </c>
      <c r="H6345" s="475" t="s">
        <v>96</v>
      </c>
      <c r="I6345" s="475" t="s">
        <v>67</v>
      </c>
      <c r="J6345" s="475" t="s">
        <v>337</v>
      </c>
      <c r="K6345" s="365">
        <v>0.14000000000000001</v>
      </c>
      <c r="L6345" s="475" t="s">
        <v>5084</v>
      </c>
      <c r="M6345" s="473"/>
    </row>
    <row r="6346" spans="1:13" ht="13.5">
      <c r="A6346" s="475" t="s">
        <v>5496</v>
      </c>
      <c r="B6346" s="475" t="s">
        <v>5726</v>
      </c>
      <c r="C6346" s="475" t="s">
        <v>5739</v>
      </c>
      <c r="D6346" s="475" t="s">
        <v>5740</v>
      </c>
      <c r="E6346" s="476" t="s">
        <v>34</v>
      </c>
      <c r="F6346" s="475" t="s">
        <v>34</v>
      </c>
      <c r="G6346" s="364">
        <v>95388</v>
      </c>
      <c r="H6346" s="475" t="s">
        <v>5214</v>
      </c>
      <c r="I6346" s="475" t="s">
        <v>67</v>
      </c>
      <c r="J6346" s="475" t="s">
        <v>337</v>
      </c>
      <c r="K6346" s="365">
        <v>0.05</v>
      </c>
      <c r="L6346" s="475" t="s">
        <v>5084</v>
      </c>
      <c r="M6346" s="473"/>
    </row>
    <row r="6347" spans="1:13" ht="13.5">
      <c r="A6347" s="475" t="s">
        <v>5496</v>
      </c>
      <c r="B6347" s="475" t="s">
        <v>5726</v>
      </c>
      <c r="C6347" s="475" t="s">
        <v>5739</v>
      </c>
      <c r="D6347" s="475" t="s">
        <v>5740</v>
      </c>
      <c r="E6347" s="476" t="s">
        <v>34</v>
      </c>
      <c r="F6347" s="475" t="s">
        <v>34</v>
      </c>
      <c r="G6347" s="364">
        <v>95389</v>
      </c>
      <c r="H6347" s="475" t="s">
        <v>99</v>
      </c>
      <c r="I6347" s="475" t="s">
        <v>67</v>
      </c>
      <c r="J6347" s="475" t="s">
        <v>337</v>
      </c>
      <c r="K6347" s="365">
        <v>0.06</v>
      </c>
      <c r="L6347" s="475" t="s">
        <v>5084</v>
      </c>
      <c r="M6347" s="473"/>
    </row>
    <row r="6348" spans="1:13" ht="13.5">
      <c r="A6348" s="475" t="s">
        <v>5496</v>
      </c>
      <c r="B6348" s="475" t="s">
        <v>5726</v>
      </c>
      <c r="C6348" s="475" t="s">
        <v>5739</v>
      </c>
      <c r="D6348" s="475" t="s">
        <v>5740</v>
      </c>
      <c r="E6348" s="476" t="s">
        <v>34</v>
      </c>
      <c r="F6348" s="475" t="s">
        <v>34</v>
      </c>
      <c r="G6348" s="364">
        <v>95390</v>
      </c>
      <c r="H6348" s="475" t="s">
        <v>5215</v>
      </c>
      <c r="I6348" s="475" t="s">
        <v>67</v>
      </c>
      <c r="J6348" s="475" t="s">
        <v>337</v>
      </c>
      <c r="K6348" s="365">
        <v>0.05</v>
      </c>
      <c r="L6348" s="475" t="s">
        <v>5084</v>
      </c>
      <c r="M6348" s="473"/>
    </row>
    <row r="6349" spans="1:13" ht="13.5">
      <c r="A6349" s="475" t="s">
        <v>5496</v>
      </c>
      <c r="B6349" s="475" t="s">
        <v>5726</v>
      </c>
      <c r="C6349" s="475" t="s">
        <v>5739</v>
      </c>
      <c r="D6349" s="475" t="s">
        <v>5740</v>
      </c>
      <c r="E6349" s="476" t="s">
        <v>34</v>
      </c>
      <c r="F6349" s="475" t="s">
        <v>34</v>
      </c>
      <c r="G6349" s="364">
        <v>95391</v>
      </c>
      <c r="H6349" s="475" t="s">
        <v>5216</v>
      </c>
      <c r="I6349" s="475" t="s">
        <v>67</v>
      </c>
      <c r="J6349" s="475" t="s">
        <v>337</v>
      </c>
      <c r="K6349" s="365">
        <v>0.08</v>
      </c>
      <c r="L6349" s="475" t="s">
        <v>5084</v>
      </c>
      <c r="M6349" s="473"/>
    </row>
    <row r="6350" spans="1:13" ht="13.5">
      <c r="A6350" s="475" t="s">
        <v>5496</v>
      </c>
      <c r="B6350" s="475" t="s">
        <v>5726</v>
      </c>
      <c r="C6350" s="475" t="s">
        <v>5739</v>
      </c>
      <c r="D6350" s="475" t="s">
        <v>5740</v>
      </c>
      <c r="E6350" s="476" t="s">
        <v>34</v>
      </c>
      <c r="F6350" s="475" t="s">
        <v>34</v>
      </c>
      <c r="G6350" s="364">
        <v>95392</v>
      </c>
      <c r="H6350" s="475" t="s">
        <v>5217</v>
      </c>
      <c r="I6350" s="475" t="s">
        <v>67</v>
      </c>
      <c r="J6350" s="475" t="s">
        <v>363</v>
      </c>
      <c r="K6350" s="365">
        <v>0.09</v>
      </c>
      <c r="L6350" s="475" t="s">
        <v>5084</v>
      </c>
      <c r="M6350" s="473"/>
    </row>
    <row r="6351" spans="1:13" ht="13.5">
      <c r="A6351" s="475" t="s">
        <v>5496</v>
      </c>
      <c r="B6351" s="475" t="s">
        <v>5726</v>
      </c>
      <c r="C6351" s="475" t="s">
        <v>5739</v>
      </c>
      <c r="D6351" s="475" t="s">
        <v>5740</v>
      </c>
      <c r="E6351" s="476" t="s">
        <v>34</v>
      </c>
      <c r="F6351" s="475" t="s">
        <v>34</v>
      </c>
      <c r="G6351" s="364">
        <v>95393</v>
      </c>
      <c r="H6351" s="475" t="s">
        <v>5218</v>
      </c>
      <c r="I6351" s="475" t="s">
        <v>67</v>
      </c>
      <c r="J6351" s="475" t="s">
        <v>337</v>
      </c>
      <c r="K6351" s="365">
        <v>0.47</v>
      </c>
      <c r="L6351" s="475" t="s">
        <v>5084</v>
      </c>
      <c r="M6351" s="473"/>
    </row>
    <row r="6352" spans="1:13" ht="13.5">
      <c r="A6352" s="475" t="s">
        <v>5496</v>
      </c>
      <c r="B6352" s="475" t="s">
        <v>5726</v>
      </c>
      <c r="C6352" s="475" t="s">
        <v>5739</v>
      </c>
      <c r="D6352" s="475" t="s">
        <v>5740</v>
      </c>
      <c r="E6352" s="476" t="s">
        <v>34</v>
      </c>
      <c r="F6352" s="475" t="s">
        <v>34</v>
      </c>
      <c r="G6352" s="364">
        <v>95394</v>
      </c>
      <c r="H6352" s="475" t="s">
        <v>5219</v>
      </c>
      <c r="I6352" s="475" t="s">
        <v>67</v>
      </c>
      <c r="J6352" s="475" t="s">
        <v>337</v>
      </c>
      <c r="K6352" s="365">
        <v>0.35</v>
      </c>
      <c r="L6352" s="475" t="s">
        <v>5084</v>
      </c>
      <c r="M6352" s="473"/>
    </row>
    <row r="6353" spans="1:13" ht="13.5">
      <c r="A6353" s="475" t="s">
        <v>5496</v>
      </c>
      <c r="B6353" s="475" t="s">
        <v>5726</v>
      </c>
      <c r="C6353" s="475" t="s">
        <v>5739</v>
      </c>
      <c r="D6353" s="475" t="s">
        <v>5740</v>
      </c>
      <c r="E6353" s="476" t="s">
        <v>34</v>
      </c>
      <c r="F6353" s="475" t="s">
        <v>34</v>
      </c>
      <c r="G6353" s="364">
        <v>95395</v>
      </c>
      <c r="H6353" s="475" t="s">
        <v>5220</v>
      </c>
      <c r="I6353" s="475" t="s">
        <v>67</v>
      </c>
      <c r="J6353" s="475" t="s">
        <v>337</v>
      </c>
      <c r="K6353" s="365">
        <v>0.49</v>
      </c>
      <c r="L6353" s="475" t="s">
        <v>5084</v>
      </c>
      <c r="M6353" s="473"/>
    </row>
    <row r="6354" spans="1:13" ht="13.5">
      <c r="A6354" s="475" t="s">
        <v>5496</v>
      </c>
      <c r="B6354" s="475" t="s">
        <v>5726</v>
      </c>
      <c r="C6354" s="475" t="s">
        <v>5739</v>
      </c>
      <c r="D6354" s="475" t="s">
        <v>5740</v>
      </c>
      <c r="E6354" s="476" t="s">
        <v>34</v>
      </c>
      <c r="F6354" s="475" t="s">
        <v>34</v>
      </c>
      <c r="G6354" s="364">
        <v>95396</v>
      </c>
      <c r="H6354" s="475" t="s">
        <v>5221</v>
      </c>
      <c r="I6354" s="475" t="s">
        <v>67</v>
      </c>
      <c r="J6354" s="475" t="s">
        <v>337</v>
      </c>
      <c r="K6354" s="365">
        <v>0.66</v>
      </c>
      <c r="L6354" s="475" t="s">
        <v>5084</v>
      </c>
      <c r="M6354" s="473"/>
    </row>
    <row r="6355" spans="1:13" ht="13.5">
      <c r="A6355" s="475" t="s">
        <v>5496</v>
      </c>
      <c r="B6355" s="475" t="s">
        <v>5726</v>
      </c>
      <c r="C6355" s="475" t="s">
        <v>5739</v>
      </c>
      <c r="D6355" s="475" t="s">
        <v>5740</v>
      </c>
      <c r="E6355" s="476" t="s">
        <v>34</v>
      </c>
      <c r="F6355" s="475" t="s">
        <v>34</v>
      </c>
      <c r="G6355" s="364">
        <v>95397</v>
      </c>
      <c r="H6355" s="475" t="s">
        <v>5222</v>
      </c>
      <c r="I6355" s="475" t="s">
        <v>67</v>
      </c>
      <c r="J6355" s="475" t="s">
        <v>337</v>
      </c>
      <c r="K6355" s="365">
        <v>0.09</v>
      </c>
      <c r="L6355" s="475" t="s">
        <v>5084</v>
      </c>
      <c r="M6355" s="473"/>
    </row>
    <row r="6356" spans="1:13" ht="13.5">
      <c r="A6356" s="475" t="s">
        <v>5496</v>
      </c>
      <c r="B6356" s="475" t="s">
        <v>5726</v>
      </c>
      <c r="C6356" s="475" t="s">
        <v>5739</v>
      </c>
      <c r="D6356" s="475" t="s">
        <v>5740</v>
      </c>
      <c r="E6356" s="476" t="s">
        <v>34</v>
      </c>
      <c r="F6356" s="475" t="s">
        <v>34</v>
      </c>
      <c r="G6356" s="364">
        <v>95398</v>
      </c>
      <c r="H6356" s="475" t="s">
        <v>5223</v>
      </c>
      <c r="I6356" s="475" t="s">
        <v>67</v>
      </c>
      <c r="J6356" s="475" t="s">
        <v>337</v>
      </c>
      <c r="K6356" s="365">
        <v>7.0000000000000007E-2</v>
      </c>
      <c r="L6356" s="475" t="s">
        <v>5084</v>
      </c>
      <c r="M6356" s="473"/>
    </row>
    <row r="6357" spans="1:13" ht="13.5">
      <c r="A6357" s="475" t="s">
        <v>5496</v>
      </c>
      <c r="B6357" s="475" t="s">
        <v>5726</v>
      </c>
      <c r="C6357" s="475" t="s">
        <v>5739</v>
      </c>
      <c r="D6357" s="475" t="s">
        <v>5740</v>
      </c>
      <c r="E6357" s="476" t="s">
        <v>34</v>
      </c>
      <c r="F6357" s="475" t="s">
        <v>34</v>
      </c>
      <c r="G6357" s="364">
        <v>95399</v>
      </c>
      <c r="H6357" s="475" t="s">
        <v>5224</v>
      </c>
      <c r="I6357" s="475" t="s">
        <v>67</v>
      </c>
      <c r="J6357" s="475" t="s">
        <v>337</v>
      </c>
      <c r="K6357" s="365">
        <v>0.04</v>
      </c>
      <c r="L6357" s="475" t="s">
        <v>5084</v>
      </c>
      <c r="M6357" s="473"/>
    </row>
    <row r="6358" spans="1:13" ht="13.5">
      <c r="A6358" s="475" t="s">
        <v>5496</v>
      </c>
      <c r="B6358" s="475" t="s">
        <v>5726</v>
      </c>
      <c r="C6358" s="475" t="s">
        <v>5739</v>
      </c>
      <c r="D6358" s="475" t="s">
        <v>5740</v>
      </c>
      <c r="E6358" s="476" t="s">
        <v>34</v>
      </c>
      <c r="F6358" s="475" t="s">
        <v>34</v>
      </c>
      <c r="G6358" s="364">
        <v>95400</v>
      </c>
      <c r="H6358" s="475" t="s">
        <v>5225</v>
      </c>
      <c r="I6358" s="475" t="s">
        <v>67</v>
      </c>
      <c r="J6358" s="475" t="s">
        <v>337</v>
      </c>
      <c r="K6358" s="365">
        <v>7.0000000000000007E-2</v>
      </c>
      <c r="L6358" s="475" t="s">
        <v>5084</v>
      </c>
      <c r="M6358" s="473"/>
    </row>
    <row r="6359" spans="1:13" ht="13.5">
      <c r="A6359" s="475" t="s">
        <v>5496</v>
      </c>
      <c r="B6359" s="475" t="s">
        <v>5726</v>
      </c>
      <c r="C6359" s="475" t="s">
        <v>5739</v>
      </c>
      <c r="D6359" s="475" t="s">
        <v>5740</v>
      </c>
      <c r="E6359" s="476" t="s">
        <v>34</v>
      </c>
      <c r="F6359" s="475" t="s">
        <v>34</v>
      </c>
      <c r="G6359" s="364">
        <v>95401</v>
      </c>
      <c r="H6359" s="475" t="s">
        <v>5226</v>
      </c>
      <c r="I6359" s="475" t="s">
        <v>67</v>
      </c>
      <c r="J6359" s="475" t="s">
        <v>363</v>
      </c>
      <c r="K6359" s="365">
        <v>0.23</v>
      </c>
      <c r="L6359" s="475" t="s">
        <v>5084</v>
      </c>
      <c r="M6359" s="473"/>
    </row>
    <row r="6360" spans="1:13" ht="13.5">
      <c r="A6360" s="475" t="s">
        <v>5496</v>
      </c>
      <c r="B6360" s="475" t="s">
        <v>5726</v>
      </c>
      <c r="C6360" s="475" t="s">
        <v>5739</v>
      </c>
      <c r="D6360" s="475" t="s">
        <v>5740</v>
      </c>
      <c r="E6360" s="476" t="s">
        <v>34</v>
      </c>
      <c r="F6360" s="475" t="s">
        <v>34</v>
      </c>
      <c r="G6360" s="364">
        <v>95402</v>
      </c>
      <c r="H6360" s="475" t="s">
        <v>5227</v>
      </c>
      <c r="I6360" s="475" t="s">
        <v>67</v>
      </c>
      <c r="J6360" s="475" t="s">
        <v>363</v>
      </c>
      <c r="K6360" s="365">
        <v>0.84</v>
      </c>
      <c r="L6360" s="475" t="s">
        <v>5084</v>
      </c>
      <c r="M6360" s="473"/>
    </row>
    <row r="6361" spans="1:13" ht="13.5">
      <c r="A6361" s="475" t="s">
        <v>5496</v>
      </c>
      <c r="B6361" s="475" t="s">
        <v>5726</v>
      </c>
      <c r="C6361" s="475" t="s">
        <v>5739</v>
      </c>
      <c r="D6361" s="475" t="s">
        <v>5740</v>
      </c>
      <c r="E6361" s="476" t="s">
        <v>34</v>
      </c>
      <c r="F6361" s="475" t="s">
        <v>34</v>
      </c>
      <c r="G6361" s="364">
        <v>95403</v>
      </c>
      <c r="H6361" s="475" t="s">
        <v>5228</v>
      </c>
      <c r="I6361" s="475" t="s">
        <v>67</v>
      </c>
      <c r="J6361" s="475" t="s">
        <v>337</v>
      </c>
      <c r="K6361" s="365">
        <v>0.96</v>
      </c>
      <c r="L6361" s="475" t="s">
        <v>5084</v>
      </c>
      <c r="M6361" s="473"/>
    </row>
    <row r="6362" spans="1:13" ht="13.5">
      <c r="A6362" s="475" t="s">
        <v>5496</v>
      </c>
      <c r="B6362" s="475" t="s">
        <v>5726</v>
      </c>
      <c r="C6362" s="475" t="s">
        <v>5739</v>
      </c>
      <c r="D6362" s="475" t="s">
        <v>5740</v>
      </c>
      <c r="E6362" s="476" t="s">
        <v>34</v>
      </c>
      <c r="F6362" s="475" t="s">
        <v>34</v>
      </c>
      <c r="G6362" s="364">
        <v>95404</v>
      </c>
      <c r="H6362" s="475" t="s">
        <v>5229</v>
      </c>
      <c r="I6362" s="475" t="s">
        <v>67</v>
      </c>
      <c r="J6362" s="475" t="s">
        <v>337</v>
      </c>
      <c r="K6362" s="365">
        <v>1.31</v>
      </c>
      <c r="L6362" s="475" t="s">
        <v>5084</v>
      </c>
      <c r="M6362" s="473"/>
    </row>
    <row r="6363" spans="1:13" ht="13.5">
      <c r="A6363" s="475" t="s">
        <v>5496</v>
      </c>
      <c r="B6363" s="475" t="s">
        <v>5726</v>
      </c>
      <c r="C6363" s="475" t="s">
        <v>5739</v>
      </c>
      <c r="D6363" s="475" t="s">
        <v>5740</v>
      </c>
      <c r="E6363" s="476" t="s">
        <v>34</v>
      </c>
      <c r="F6363" s="475" t="s">
        <v>34</v>
      </c>
      <c r="G6363" s="364">
        <v>95405</v>
      </c>
      <c r="H6363" s="475" t="s">
        <v>5230</v>
      </c>
      <c r="I6363" s="475" t="s">
        <v>67</v>
      </c>
      <c r="J6363" s="475" t="s">
        <v>337</v>
      </c>
      <c r="K6363" s="365">
        <v>0.35</v>
      </c>
      <c r="L6363" s="475" t="s">
        <v>5084</v>
      </c>
      <c r="M6363" s="473"/>
    </row>
    <row r="6364" spans="1:13" ht="13.5">
      <c r="A6364" s="475" t="s">
        <v>5496</v>
      </c>
      <c r="B6364" s="475" t="s">
        <v>5726</v>
      </c>
      <c r="C6364" s="475" t="s">
        <v>5739</v>
      </c>
      <c r="D6364" s="475" t="s">
        <v>5740</v>
      </c>
      <c r="E6364" s="476" t="s">
        <v>34</v>
      </c>
      <c r="F6364" s="475" t="s">
        <v>34</v>
      </c>
      <c r="G6364" s="364">
        <v>95406</v>
      </c>
      <c r="H6364" s="475" t="s">
        <v>5231</v>
      </c>
      <c r="I6364" s="475" t="s">
        <v>67</v>
      </c>
      <c r="J6364" s="475" t="s">
        <v>363</v>
      </c>
      <c r="K6364" s="365">
        <v>0.09</v>
      </c>
      <c r="L6364" s="475" t="s">
        <v>5084</v>
      </c>
      <c r="M6364" s="473"/>
    </row>
    <row r="6365" spans="1:13" ht="13.5">
      <c r="A6365" s="475" t="s">
        <v>5496</v>
      </c>
      <c r="B6365" s="475" t="s">
        <v>5726</v>
      </c>
      <c r="C6365" s="475" t="s">
        <v>5739</v>
      </c>
      <c r="D6365" s="475" t="s">
        <v>5740</v>
      </c>
      <c r="E6365" s="476" t="s">
        <v>34</v>
      </c>
      <c r="F6365" s="475" t="s">
        <v>34</v>
      </c>
      <c r="G6365" s="364">
        <v>95407</v>
      </c>
      <c r="H6365" s="475" t="s">
        <v>5232</v>
      </c>
      <c r="I6365" s="475" t="s">
        <v>67</v>
      </c>
      <c r="J6365" s="475" t="s">
        <v>337</v>
      </c>
      <c r="K6365" s="365">
        <v>2.29</v>
      </c>
      <c r="L6365" s="475" t="s">
        <v>5084</v>
      </c>
      <c r="M6365" s="473"/>
    </row>
    <row r="6366" spans="1:13" ht="13.5">
      <c r="A6366" s="475" t="s">
        <v>5496</v>
      </c>
      <c r="B6366" s="475" t="s">
        <v>5726</v>
      </c>
      <c r="C6366" s="475" t="s">
        <v>5739</v>
      </c>
      <c r="D6366" s="475" t="s">
        <v>5740</v>
      </c>
      <c r="E6366" s="476" t="s">
        <v>34</v>
      </c>
      <c r="F6366" s="475" t="s">
        <v>34</v>
      </c>
      <c r="G6366" s="364">
        <v>95408</v>
      </c>
      <c r="H6366" s="475" t="s">
        <v>5233</v>
      </c>
      <c r="I6366" s="475" t="s">
        <v>336</v>
      </c>
      <c r="J6366" s="475" t="s">
        <v>337</v>
      </c>
      <c r="K6366" s="365">
        <v>7.48</v>
      </c>
      <c r="L6366" s="475" t="s">
        <v>5084</v>
      </c>
      <c r="M6366" s="473"/>
    </row>
    <row r="6367" spans="1:13" ht="13.5">
      <c r="A6367" s="475" t="s">
        <v>5496</v>
      </c>
      <c r="B6367" s="475" t="s">
        <v>5726</v>
      </c>
      <c r="C6367" s="475" t="s">
        <v>5739</v>
      </c>
      <c r="D6367" s="475" t="s">
        <v>5740</v>
      </c>
      <c r="E6367" s="476" t="s">
        <v>34</v>
      </c>
      <c r="F6367" s="475" t="s">
        <v>34</v>
      </c>
      <c r="G6367" s="364">
        <v>95409</v>
      </c>
      <c r="H6367" s="475" t="s">
        <v>5234</v>
      </c>
      <c r="I6367" s="475" t="s">
        <v>336</v>
      </c>
      <c r="J6367" s="475" t="s">
        <v>337</v>
      </c>
      <c r="K6367" s="365">
        <v>7.05</v>
      </c>
      <c r="L6367" s="475" t="s">
        <v>5084</v>
      </c>
      <c r="M6367" s="473"/>
    </row>
    <row r="6368" spans="1:13" ht="13.5">
      <c r="A6368" s="475" t="s">
        <v>5496</v>
      </c>
      <c r="B6368" s="475" t="s">
        <v>5726</v>
      </c>
      <c r="C6368" s="475" t="s">
        <v>5739</v>
      </c>
      <c r="D6368" s="475" t="s">
        <v>5740</v>
      </c>
      <c r="E6368" s="476" t="s">
        <v>34</v>
      </c>
      <c r="F6368" s="475" t="s">
        <v>34</v>
      </c>
      <c r="G6368" s="364">
        <v>95410</v>
      </c>
      <c r="H6368" s="475" t="s">
        <v>5235</v>
      </c>
      <c r="I6368" s="475" t="s">
        <v>336</v>
      </c>
      <c r="J6368" s="475" t="s">
        <v>337</v>
      </c>
      <c r="K6368" s="365">
        <v>3.3</v>
      </c>
      <c r="L6368" s="475" t="s">
        <v>5084</v>
      </c>
      <c r="M6368" s="473"/>
    </row>
    <row r="6369" spans="1:13" ht="13.5">
      <c r="A6369" s="475" t="s">
        <v>5496</v>
      </c>
      <c r="B6369" s="475" t="s">
        <v>5726</v>
      </c>
      <c r="C6369" s="475" t="s">
        <v>5739</v>
      </c>
      <c r="D6369" s="475" t="s">
        <v>5740</v>
      </c>
      <c r="E6369" s="476" t="s">
        <v>34</v>
      </c>
      <c r="F6369" s="475" t="s">
        <v>34</v>
      </c>
      <c r="G6369" s="364">
        <v>95411</v>
      </c>
      <c r="H6369" s="475" t="s">
        <v>5236</v>
      </c>
      <c r="I6369" s="475" t="s">
        <v>336</v>
      </c>
      <c r="J6369" s="475" t="s">
        <v>337</v>
      </c>
      <c r="K6369" s="365">
        <v>6.3</v>
      </c>
      <c r="L6369" s="475" t="s">
        <v>5084</v>
      </c>
      <c r="M6369" s="473"/>
    </row>
    <row r="6370" spans="1:13" ht="13.5">
      <c r="A6370" s="475" t="s">
        <v>5496</v>
      </c>
      <c r="B6370" s="475" t="s">
        <v>5726</v>
      </c>
      <c r="C6370" s="475" t="s">
        <v>5739</v>
      </c>
      <c r="D6370" s="475" t="s">
        <v>5740</v>
      </c>
      <c r="E6370" s="476" t="s">
        <v>34</v>
      </c>
      <c r="F6370" s="475" t="s">
        <v>34</v>
      </c>
      <c r="G6370" s="364">
        <v>95412</v>
      </c>
      <c r="H6370" s="475" t="s">
        <v>5237</v>
      </c>
      <c r="I6370" s="475" t="s">
        <v>336</v>
      </c>
      <c r="J6370" s="475" t="s">
        <v>337</v>
      </c>
      <c r="K6370" s="365">
        <v>7.53</v>
      </c>
      <c r="L6370" s="475" t="s">
        <v>5084</v>
      </c>
      <c r="M6370" s="473"/>
    </row>
    <row r="6371" spans="1:13" ht="13.5">
      <c r="A6371" s="475" t="s">
        <v>5496</v>
      </c>
      <c r="B6371" s="475" t="s">
        <v>5726</v>
      </c>
      <c r="C6371" s="475" t="s">
        <v>5739</v>
      </c>
      <c r="D6371" s="475" t="s">
        <v>5740</v>
      </c>
      <c r="E6371" s="476" t="s">
        <v>34</v>
      </c>
      <c r="F6371" s="475" t="s">
        <v>34</v>
      </c>
      <c r="G6371" s="364">
        <v>95413</v>
      </c>
      <c r="H6371" s="475" t="s">
        <v>5238</v>
      </c>
      <c r="I6371" s="475" t="s">
        <v>336</v>
      </c>
      <c r="J6371" s="475" t="s">
        <v>337</v>
      </c>
      <c r="K6371" s="365">
        <v>12.78</v>
      </c>
      <c r="L6371" s="475" t="s">
        <v>5084</v>
      </c>
      <c r="M6371" s="473"/>
    </row>
    <row r="6372" spans="1:13" ht="13.5">
      <c r="A6372" s="475" t="s">
        <v>5496</v>
      </c>
      <c r="B6372" s="475" t="s">
        <v>5726</v>
      </c>
      <c r="C6372" s="475" t="s">
        <v>5739</v>
      </c>
      <c r="D6372" s="475" t="s">
        <v>5740</v>
      </c>
      <c r="E6372" s="476" t="s">
        <v>34</v>
      </c>
      <c r="F6372" s="475" t="s">
        <v>34</v>
      </c>
      <c r="G6372" s="364">
        <v>95414</v>
      </c>
      <c r="H6372" s="475" t="s">
        <v>5239</v>
      </c>
      <c r="I6372" s="475" t="s">
        <v>336</v>
      </c>
      <c r="J6372" s="475" t="s">
        <v>337</v>
      </c>
      <c r="K6372" s="365">
        <v>64.41</v>
      </c>
      <c r="L6372" s="475" t="s">
        <v>5084</v>
      </c>
      <c r="M6372" s="473"/>
    </row>
    <row r="6373" spans="1:13" ht="13.5">
      <c r="A6373" s="475" t="s">
        <v>5496</v>
      </c>
      <c r="B6373" s="475" t="s">
        <v>5726</v>
      </c>
      <c r="C6373" s="475" t="s">
        <v>5739</v>
      </c>
      <c r="D6373" s="475" t="s">
        <v>5740</v>
      </c>
      <c r="E6373" s="476" t="s">
        <v>34</v>
      </c>
      <c r="F6373" s="475" t="s">
        <v>34</v>
      </c>
      <c r="G6373" s="364">
        <v>95415</v>
      </c>
      <c r="H6373" s="475" t="s">
        <v>5240</v>
      </c>
      <c r="I6373" s="475" t="s">
        <v>336</v>
      </c>
      <c r="J6373" s="475" t="s">
        <v>337</v>
      </c>
      <c r="K6373" s="365">
        <v>115.4</v>
      </c>
      <c r="L6373" s="475" t="s">
        <v>5084</v>
      </c>
      <c r="M6373" s="473"/>
    </row>
    <row r="6374" spans="1:13" ht="13.5">
      <c r="A6374" s="475" t="s">
        <v>5496</v>
      </c>
      <c r="B6374" s="475" t="s">
        <v>5726</v>
      </c>
      <c r="C6374" s="475" t="s">
        <v>5739</v>
      </c>
      <c r="D6374" s="475" t="s">
        <v>5740</v>
      </c>
      <c r="E6374" s="476" t="s">
        <v>34</v>
      </c>
      <c r="F6374" s="475" t="s">
        <v>34</v>
      </c>
      <c r="G6374" s="364">
        <v>95416</v>
      </c>
      <c r="H6374" s="475" t="s">
        <v>5241</v>
      </c>
      <c r="I6374" s="475" t="s">
        <v>336</v>
      </c>
      <c r="J6374" s="475" t="s">
        <v>337</v>
      </c>
      <c r="K6374" s="365">
        <v>10.7</v>
      </c>
      <c r="L6374" s="475" t="s">
        <v>5084</v>
      </c>
      <c r="M6374" s="473"/>
    </row>
    <row r="6375" spans="1:13" ht="13.5">
      <c r="A6375" s="475" t="s">
        <v>5496</v>
      </c>
      <c r="B6375" s="475" t="s">
        <v>5726</v>
      </c>
      <c r="C6375" s="475" t="s">
        <v>5739</v>
      </c>
      <c r="D6375" s="475" t="s">
        <v>5740</v>
      </c>
      <c r="E6375" s="476" t="s">
        <v>34</v>
      </c>
      <c r="F6375" s="475" t="s">
        <v>34</v>
      </c>
      <c r="G6375" s="364">
        <v>95417</v>
      </c>
      <c r="H6375" s="475" t="s">
        <v>5242</v>
      </c>
      <c r="I6375" s="475" t="s">
        <v>336</v>
      </c>
      <c r="J6375" s="475" t="s">
        <v>337</v>
      </c>
      <c r="K6375" s="365">
        <v>131.35</v>
      </c>
      <c r="L6375" s="475" t="s">
        <v>5084</v>
      </c>
      <c r="M6375" s="473"/>
    </row>
    <row r="6376" spans="1:13" ht="13.5">
      <c r="A6376" s="475" t="s">
        <v>5496</v>
      </c>
      <c r="B6376" s="475" t="s">
        <v>5726</v>
      </c>
      <c r="C6376" s="475" t="s">
        <v>5739</v>
      </c>
      <c r="D6376" s="475" t="s">
        <v>5740</v>
      </c>
      <c r="E6376" s="476" t="s">
        <v>34</v>
      </c>
      <c r="F6376" s="475" t="s">
        <v>34</v>
      </c>
      <c r="G6376" s="364">
        <v>95418</v>
      </c>
      <c r="H6376" s="475" t="s">
        <v>5243</v>
      </c>
      <c r="I6376" s="475" t="s">
        <v>336</v>
      </c>
      <c r="J6376" s="475" t="s">
        <v>337</v>
      </c>
      <c r="K6376" s="365">
        <v>179.55</v>
      </c>
      <c r="L6376" s="475" t="s">
        <v>5084</v>
      </c>
      <c r="M6376" s="473"/>
    </row>
    <row r="6377" spans="1:13" ht="13.5">
      <c r="A6377" s="475" t="s">
        <v>5496</v>
      </c>
      <c r="B6377" s="475" t="s">
        <v>5726</v>
      </c>
      <c r="C6377" s="475" t="s">
        <v>5739</v>
      </c>
      <c r="D6377" s="475" t="s">
        <v>5740</v>
      </c>
      <c r="E6377" s="476" t="s">
        <v>34</v>
      </c>
      <c r="F6377" s="475" t="s">
        <v>34</v>
      </c>
      <c r="G6377" s="364">
        <v>95419</v>
      </c>
      <c r="H6377" s="475" t="s">
        <v>5244</v>
      </c>
      <c r="I6377" s="475" t="s">
        <v>336</v>
      </c>
      <c r="J6377" s="475" t="s">
        <v>337</v>
      </c>
      <c r="K6377" s="365">
        <v>47.67</v>
      </c>
      <c r="L6377" s="475" t="s">
        <v>5084</v>
      </c>
      <c r="M6377" s="473"/>
    </row>
    <row r="6378" spans="1:13" ht="13.5">
      <c r="A6378" s="475" t="s">
        <v>5496</v>
      </c>
      <c r="B6378" s="475" t="s">
        <v>5726</v>
      </c>
      <c r="C6378" s="475" t="s">
        <v>5739</v>
      </c>
      <c r="D6378" s="475" t="s">
        <v>5740</v>
      </c>
      <c r="E6378" s="476" t="s">
        <v>34</v>
      </c>
      <c r="F6378" s="475" t="s">
        <v>34</v>
      </c>
      <c r="G6378" s="364">
        <v>95420</v>
      </c>
      <c r="H6378" s="475" t="s">
        <v>5245</v>
      </c>
      <c r="I6378" s="475" t="s">
        <v>336</v>
      </c>
      <c r="J6378" s="475" t="s">
        <v>337</v>
      </c>
      <c r="K6378" s="365">
        <v>67.709999999999994</v>
      </c>
      <c r="L6378" s="475" t="s">
        <v>5084</v>
      </c>
      <c r="M6378" s="473"/>
    </row>
    <row r="6379" spans="1:13" ht="13.5">
      <c r="A6379" s="475" t="s">
        <v>5496</v>
      </c>
      <c r="B6379" s="475" t="s">
        <v>5726</v>
      </c>
      <c r="C6379" s="475" t="s">
        <v>5739</v>
      </c>
      <c r="D6379" s="475" t="s">
        <v>5740</v>
      </c>
      <c r="E6379" s="476" t="s">
        <v>34</v>
      </c>
      <c r="F6379" s="475" t="s">
        <v>34</v>
      </c>
      <c r="G6379" s="364">
        <v>95421</v>
      </c>
      <c r="H6379" s="475" t="s">
        <v>5246</v>
      </c>
      <c r="I6379" s="475" t="s">
        <v>336</v>
      </c>
      <c r="J6379" s="475" t="s">
        <v>337</v>
      </c>
      <c r="K6379" s="365">
        <v>89.52</v>
      </c>
      <c r="L6379" s="475" t="s">
        <v>5084</v>
      </c>
      <c r="M6379" s="473"/>
    </row>
    <row r="6380" spans="1:13" ht="13.5">
      <c r="A6380" s="475" t="s">
        <v>5496</v>
      </c>
      <c r="B6380" s="475" t="s">
        <v>5726</v>
      </c>
      <c r="C6380" s="475" t="s">
        <v>5739</v>
      </c>
      <c r="D6380" s="475" t="s">
        <v>5740</v>
      </c>
      <c r="E6380" s="476" t="s">
        <v>34</v>
      </c>
      <c r="F6380" s="475" t="s">
        <v>34</v>
      </c>
      <c r="G6380" s="364">
        <v>95422</v>
      </c>
      <c r="H6380" s="475" t="s">
        <v>5247</v>
      </c>
      <c r="I6380" s="475" t="s">
        <v>336</v>
      </c>
      <c r="J6380" s="475" t="s">
        <v>337</v>
      </c>
      <c r="K6380" s="365">
        <v>31.38</v>
      </c>
      <c r="L6380" s="475" t="s">
        <v>5084</v>
      </c>
      <c r="M6380" s="473"/>
    </row>
    <row r="6381" spans="1:13" ht="13.5">
      <c r="A6381" s="475" t="s">
        <v>5496</v>
      </c>
      <c r="B6381" s="475" t="s">
        <v>5726</v>
      </c>
      <c r="C6381" s="475" t="s">
        <v>5739</v>
      </c>
      <c r="D6381" s="475" t="s">
        <v>5740</v>
      </c>
      <c r="E6381" s="476" t="s">
        <v>34</v>
      </c>
      <c r="F6381" s="475" t="s">
        <v>34</v>
      </c>
      <c r="G6381" s="364">
        <v>95423</v>
      </c>
      <c r="H6381" s="475" t="s">
        <v>5248</v>
      </c>
      <c r="I6381" s="475" t="s">
        <v>336</v>
      </c>
      <c r="J6381" s="475" t="s">
        <v>337</v>
      </c>
      <c r="K6381" s="365">
        <v>47.62</v>
      </c>
      <c r="L6381" s="475" t="s">
        <v>5084</v>
      </c>
      <c r="M6381" s="473"/>
    </row>
    <row r="6382" spans="1:13" ht="13.5">
      <c r="A6382" s="475" t="s">
        <v>5496</v>
      </c>
      <c r="B6382" s="475" t="s">
        <v>5726</v>
      </c>
      <c r="C6382" s="475" t="s">
        <v>5739</v>
      </c>
      <c r="D6382" s="475" t="s">
        <v>5740</v>
      </c>
      <c r="E6382" s="476" t="s">
        <v>34</v>
      </c>
      <c r="F6382" s="475" t="s">
        <v>34</v>
      </c>
      <c r="G6382" s="364">
        <v>95424</v>
      </c>
      <c r="H6382" s="475" t="s">
        <v>5249</v>
      </c>
      <c r="I6382" s="475" t="s">
        <v>336</v>
      </c>
      <c r="J6382" s="475" t="s">
        <v>337</v>
      </c>
      <c r="K6382" s="365">
        <v>12.9</v>
      </c>
      <c r="L6382" s="475" t="s">
        <v>5084</v>
      </c>
      <c r="M6382" s="473"/>
    </row>
    <row r="6383" spans="1:13" ht="13.5">
      <c r="A6383" s="475" t="s">
        <v>5496</v>
      </c>
      <c r="B6383" s="475" t="s">
        <v>5726</v>
      </c>
      <c r="C6383" s="475" t="s">
        <v>5739</v>
      </c>
      <c r="D6383" s="475" t="s">
        <v>5740</v>
      </c>
      <c r="E6383" s="476" t="s">
        <v>34</v>
      </c>
      <c r="F6383" s="475" t="s">
        <v>34</v>
      </c>
      <c r="G6383" s="364">
        <v>100288</v>
      </c>
      <c r="H6383" s="475" t="s">
        <v>15334</v>
      </c>
      <c r="I6383" s="475" t="s">
        <v>67</v>
      </c>
      <c r="J6383" s="475" t="s">
        <v>337</v>
      </c>
      <c r="K6383" s="365">
        <v>0.03</v>
      </c>
      <c r="L6383" s="475" t="s">
        <v>5084</v>
      </c>
      <c r="M6383" s="473"/>
    </row>
    <row r="6384" spans="1:13" ht="13.5">
      <c r="A6384" s="475" t="s">
        <v>5496</v>
      </c>
      <c r="B6384" s="475" t="s">
        <v>5726</v>
      </c>
      <c r="C6384" s="475" t="s">
        <v>5739</v>
      </c>
      <c r="D6384" s="475" t="s">
        <v>5740</v>
      </c>
      <c r="E6384" s="476" t="s">
        <v>34</v>
      </c>
      <c r="F6384" s="475" t="s">
        <v>34</v>
      </c>
      <c r="G6384" s="364">
        <v>100289</v>
      </c>
      <c r="H6384" s="475" t="s">
        <v>15335</v>
      </c>
      <c r="I6384" s="475" t="s">
        <v>67</v>
      </c>
      <c r="J6384" s="475" t="s">
        <v>337</v>
      </c>
      <c r="K6384" s="365">
        <v>14.61</v>
      </c>
      <c r="L6384" s="475" t="s">
        <v>5084</v>
      </c>
      <c r="M6384" s="473"/>
    </row>
    <row r="6385" spans="1:13" ht="13.5">
      <c r="A6385" s="475" t="s">
        <v>5496</v>
      </c>
      <c r="B6385" s="475" t="s">
        <v>5726</v>
      </c>
      <c r="C6385" s="475" t="s">
        <v>5739</v>
      </c>
      <c r="D6385" s="475" t="s">
        <v>5740</v>
      </c>
      <c r="E6385" s="476" t="s">
        <v>34</v>
      </c>
      <c r="F6385" s="475" t="s">
        <v>34</v>
      </c>
      <c r="G6385" s="364">
        <v>100290</v>
      </c>
      <c r="H6385" s="475" t="s">
        <v>15336</v>
      </c>
      <c r="I6385" s="475" t="s">
        <v>67</v>
      </c>
      <c r="J6385" s="475" t="s">
        <v>337</v>
      </c>
      <c r="K6385" s="365">
        <v>7.0000000000000007E-2</v>
      </c>
      <c r="L6385" s="475" t="s">
        <v>5084</v>
      </c>
      <c r="M6385" s="473"/>
    </row>
    <row r="6386" spans="1:13" ht="13.5">
      <c r="A6386" s="475" t="s">
        <v>5496</v>
      </c>
      <c r="B6386" s="475" t="s">
        <v>5726</v>
      </c>
      <c r="C6386" s="475" t="s">
        <v>5739</v>
      </c>
      <c r="D6386" s="475" t="s">
        <v>5740</v>
      </c>
      <c r="E6386" s="476" t="s">
        <v>34</v>
      </c>
      <c r="F6386" s="475" t="s">
        <v>34</v>
      </c>
      <c r="G6386" s="364">
        <v>100291</v>
      </c>
      <c r="H6386" s="475" t="s">
        <v>15337</v>
      </c>
      <c r="I6386" s="475" t="s">
        <v>67</v>
      </c>
      <c r="J6386" s="475" t="s">
        <v>337</v>
      </c>
      <c r="K6386" s="365">
        <v>0.11</v>
      </c>
      <c r="L6386" s="475" t="s">
        <v>5084</v>
      </c>
      <c r="M6386" s="473"/>
    </row>
    <row r="6387" spans="1:13" ht="13.5">
      <c r="A6387" s="475" t="s">
        <v>5496</v>
      </c>
      <c r="B6387" s="475" t="s">
        <v>5726</v>
      </c>
      <c r="C6387" s="475" t="s">
        <v>5739</v>
      </c>
      <c r="D6387" s="475" t="s">
        <v>5740</v>
      </c>
      <c r="E6387" s="476" t="s">
        <v>34</v>
      </c>
      <c r="F6387" s="475" t="s">
        <v>34</v>
      </c>
      <c r="G6387" s="364">
        <v>100292</v>
      </c>
      <c r="H6387" s="475" t="s">
        <v>15338</v>
      </c>
      <c r="I6387" s="475" t="s">
        <v>67</v>
      </c>
      <c r="J6387" s="475" t="s">
        <v>337</v>
      </c>
      <c r="K6387" s="365">
        <v>1.24</v>
      </c>
      <c r="L6387" s="475" t="s">
        <v>5084</v>
      </c>
      <c r="M6387" s="473"/>
    </row>
    <row r="6388" spans="1:13" ht="13.5">
      <c r="A6388" s="475" t="s">
        <v>5496</v>
      </c>
      <c r="B6388" s="475" t="s">
        <v>5726</v>
      </c>
      <c r="C6388" s="475" t="s">
        <v>5739</v>
      </c>
      <c r="D6388" s="475" t="s">
        <v>5740</v>
      </c>
      <c r="E6388" s="476" t="s">
        <v>34</v>
      </c>
      <c r="F6388" s="475" t="s">
        <v>34</v>
      </c>
      <c r="G6388" s="364">
        <v>100293</v>
      </c>
      <c r="H6388" s="475" t="s">
        <v>15339</v>
      </c>
      <c r="I6388" s="475" t="s">
        <v>67</v>
      </c>
      <c r="J6388" s="475" t="s">
        <v>337</v>
      </c>
      <c r="K6388" s="365">
        <v>0.11</v>
      </c>
      <c r="L6388" s="475" t="s">
        <v>5084</v>
      </c>
      <c r="M6388" s="473"/>
    </row>
    <row r="6389" spans="1:13" ht="13.5">
      <c r="A6389" s="475" t="s">
        <v>5496</v>
      </c>
      <c r="B6389" s="475" t="s">
        <v>5726</v>
      </c>
      <c r="C6389" s="475" t="s">
        <v>5739</v>
      </c>
      <c r="D6389" s="475" t="s">
        <v>5740</v>
      </c>
      <c r="E6389" s="476" t="s">
        <v>34</v>
      </c>
      <c r="F6389" s="475" t="s">
        <v>34</v>
      </c>
      <c r="G6389" s="364">
        <v>100294</v>
      </c>
      <c r="H6389" s="475" t="s">
        <v>15340</v>
      </c>
      <c r="I6389" s="475" t="s">
        <v>67</v>
      </c>
      <c r="J6389" s="475" t="s">
        <v>337</v>
      </c>
      <c r="K6389" s="365">
        <v>0.38</v>
      </c>
      <c r="L6389" s="475" t="s">
        <v>5084</v>
      </c>
      <c r="M6389" s="473"/>
    </row>
    <row r="6390" spans="1:13" ht="13.5">
      <c r="A6390" s="475" t="s">
        <v>5496</v>
      </c>
      <c r="B6390" s="475" t="s">
        <v>5726</v>
      </c>
      <c r="C6390" s="475" t="s">
        <v>5739</v>
      </c>
      <c r="D6390" s="475" t="s">
        <v>5740</v>
      </c>
      <c r="E6390" s="476" t="s">
        <v>34</v>
      </c>
      <c r="F6390" s="475" t="s">
        <v>34</v>
      </c>
      <c r="G6390" s="364">
        <v>100295</v>
      </c>
      <c r="H6390" s="475" t="s">
        <v>15341</v>
      </c>
      <c r="I6390" s="475" t="s">
        <v>67</v>
      </c>
      <c r="J6390" s="475" t="s">
        <v>337</v>
      </c>
      <c r="K6390" s="365">
        <v>0.38</v>
      </c>
      <c r="L6390" s="475" t="s">
        <v>5084</v>
      </c>
      <c r="M6390" s="473"/>
    </row>
    <row r="6391" spans="1:13" ht="13.5">
      <c r="A6391" s="475" t="s">
        <v>5496</v>
      </c>
      <c r="B6391" s="475" t="s">
        <v>5726</v>
      </c>
      <c r="C6391" s="475" t="s">
        <v>5739</v>
      </c>
      <c r="D6391" s="475" t="s">
        <v>5740</v>
      </c>
      <c r="E6391" s="476" t="s">
        <v>34</v>
      </c>
      <c r="F6391" s="475" t="s">
        <v>34</v>
      </c>
      <c r="G6391" s="364">
        <v>100296</v>
      </c>
      <c r="H6391" s="475" t="s">
        <v>15342</v>
      </c>
      <c r="I6391" s="475" t="s">
        <v>67</v>
      </c>
      <c r="J6391" s="475" t="s">
        <v>337</v>
      </c>
      <c r="K6391" s="365">
        <v>0.85</v>
      </c>
      <c r="L6391" s="475" t="s">
        <v>5084</v>
      </c>
      <c r="M6391" s="473"/>
    </row>
    <row r="6392" spans="1:13" ht="13.5">
      <c r="A6392" s="475" t="s">
        <v>5496</v>
      </c>
      <c r="B6392" s="475" t="s">
        <v>5726</v>
      </c>
      <c r="C6392" s="475" t="s">
        <v>5739</v>
      </c>
      <c r="D6392" s="475" t="s">
        <v>5740</v>
      </c>
      <c r="E6392" s="476" t="s">
        <v>34</v>
      </c>
      <c r="F6392" s="475" t="s">
        <v>34</v>
      </c>
      <c r="G6392" s="364">
        <v>100297</v>
      </c>
      <c r="H6392" s="475" t="s">
        <v>15343</v>
      </c>
      <c r="I6392" s="475" t="s">
        <v>67</v>
      </c>
      <c r="J6392" s="475" t="s">
        <v>337</v>
      </c>
      <c r="K6392" s="365">
        <v>0.96</v>
      </c>
      <c r="L6392" s="475" t="s">
        <v>5084</v>
      </c>
      <c r="M6392" s="473"/>
    </row>
    <row r="6393" spans="1:13" ht="13.5">
      <c r="A6393" s="475" t="s">
        <v>5496</v>
      </c>
      <c r="B6393" s="475" t="s">
        <v>5726</v>
      </c>
      <c r="C6393" s="475" t="s">
        <v>5739</v>
      </c>
      <c r="D6393" s="475" t="s">
        <v>5740</v>
      </c>
      <c r="E6393" s="476" t="s">
        <v>34</v>
      </c>
      <c r="F6393" s="475" t="s">
        <v>34</v>
      </c>
      <c r="G6393" s="364">
        <v>100298</v>
      </c>
      <c r="H6393" s="475" t="s">
        <v>15344</v>
      </c>
      <c r="I6393" s="475" t="s">
        <v>67</v>
      </c>
      <c r="J6393" s="475" t="s">
        <v>337</v>
      </c>
      <c r="K6393" s="365">
        <v>0.47</v>
      </c>
      <c r="L6393" s="475" t="s">
        <v>5084</v>
      </c>
      <c r="M6393" s="473"/>
    </row>
    <row r="6394" spans="1:13" ht="13.5">
      <c r="A6394" s="475" t="s">
        <v>5496</v>
      </c>
      <c r="B6394" s="475" t="s">
        <v>5726</v>
      </c>
      <c r="C6394" s="475" t="s">
        <v>5739</v>
      </c>
      <c r="D6394" s="475" t="s">
        <v>5740</v>
      </c>
      <c r="E6394" s="476" t="s">
        <v>34</v>
      </c>
      <c r="F6394" s="475" t="s">
        <v>34</v>
      </c>
      <c r="G6394" s="364">
        <v>100299</v>
      </c>
      <c r="H6394" s="475" t="s">
        <v>15345</v>
      </c>
      <c r="I6394" s="475" t="s">
        <v>67</v>
      </c>
      <c r="J6394" s="475" t="s">
        <v>337</v>
      </c>
      <c r="K6394" s="365">
        <v>0.13</v>
      </c>
      <c r="L6394" s="475" t="s">
        <v>5084</v>
      </c>
      <c r="M6394" s="473"/>
    </row>
    <row r="6395" spans="1:13" ht="13.5">
      <c r="A6395" s="475" t="s">
        <v>5496</v>
      </c>
      <c r="B6395" s="475" t="s">
        <v>5726</v>
      </c>
      <c r="C6395" s="475" t="s">
        <v>5739</v>
      </c>
      <c r="D6395" s="475" t="s">
        <v>5740</v>
      </c>
      <c r="E6395" s="476" t="s">
        <v>34</v>
      </c>
      <c r="F6395" s="475" t="s">
        <v>34</v>
      </c>
      <c r="G6395" s="364">
        <v>100300</v>
      </c>
      <c r="H6395" s="475" t="s">
        <v>15346</v>
      </c>
      <c r="I6395" s="475" t="s">
        <v>67</v>
      </c>
      <c r="J6395" s="475" t="s">
        <v>337</v>
      </c>
      <c r="K6395" s="365">
        <v>22.47</v>
      </c>
      <c r="L6395" s="475" t="s">
        <v>5084</v>
      </c>
      <c r="M6395" s="473"/>
    </row>
    <row r="6396" spans="1:13" ht="13.5">
      <c r="A6396" s="475" t="s">
        <v>5496</v>
      </c>
      <c r="B6396" s="475" t="s">
        <v>5726</v>
      </c>
      <c r="C6396" s="475" t="s">
        <v>5739</v>
      </c>
      <c r="D6396" s="475" t="s">
        <v>5740</v>
      </c>
      <c r="E6396" s="476" t="s">
        <v>34</v>
      </c>
      <c r="F6396" s="475" t="s">
        <v>34</v>
      </c>
      <c r="G6396" s="364">
        <v>100301</v>
      </c>
      <c r="H6396" s="475" t="s">
        <v>15347</v>
      </c>
      <c r="I6396" s="475" t="s">
        <v>67</v>
      </c>
      <c r="J6396" s="475" t="s">
        <v>337</v>
      </c>
      <c r="K6396" s="365">
        <v>16.559999999999999</v>
      </c>
      <c r="L6396" s="475" t="s">
        <v>5084</v>
      </c>
      <c r="M6396" s="473"/>
    </row>
    <row r="6397" spans="1:13" ht="13.5">
      <c r="A6397" s="475" t="s">
        <v>5496</v>
      </c>
      <c r="B6397" s="475" t="s">
        <v>5726</v>
      </c>
      <c r="C6397" s="475" t="s">
        <v>5739</v>
      </c>
      <c r="D6397" s="475" t="s">
        <v>5740</v>
      </c>
      <c r="E6397" s="476" t="s">
        <v>34</v>
      </c>
      <c r="F6397" s="475" t="s">
        <v>34</v>
      </c>
      <c r="G6397" s="364">
        <v>100302</v>
      </c>
      <c r="H6397" s="475" t="s">
        <v>15348</v>
      </c>
      <c r="I6397" s="475" t="s">
        <v>67</v>
      </c>
      <c r="J6397" s="475" t="s">
        <v>337</v>
      </c>
      <c r="K6397" s="365">
        <v>106.51</v>
      </c>
      <c r="L6397" s="475" t="s">
        <v>5084</v>
      </c>
      <c r="M6397" s="473"/>
    </row>
    <row r="6398" spans="1:13" ht="13.5">
      <c r="A6398" s="475" t="s">
        <v>5496</v>
      </c>
      <c r="B6398" s="475" t="s">
        <v>5726</v>
      </c>
      <c r="C6398" s="475" t="s">
        <v>5739</v>
      </c>
      <c r="D6398" s="475" t="s">
        <v>5740</v>
      </c>
      <c r="E6398" s="476" t="s">
        <v>34</v>
      </c>
      <c r="F6398" s="475" t="s">
        <v>34</v>
      </c>
      <c r="G6398" s="364">
        <v>100303</v>
      </c>
      <c r="H6398" s="475" t="s">
        <v>15349</v>
      </c>
      <c r="I6398" s="475" t="s">
        <v>67</v>
      </c>
      <c r="J6398" s="475" t="s">
        <v>337</v>
      </c>
      <c r="K6398" s="365">
        <v>15.48</v>
      </c>
      <c r="L6398" s="475" t="s">
        <v>5084</v>
      </c>
      <c r="M6398" s="473"/>
    </row>
    <row r="6399" spans="1:13" ht="13.5">
      <c r="A6399" s="475" t="s">
        <v>5496</v>
      </c>
      <c r="B6399" s="475" t="s">
        <v>5726</v>
      </c>
      <c r="C6399" s="475" t="s">
        <v>5739</v>
      </c>
      <c r="D6399" s="475" t="s">
        <v>5740</v>
      </c>
      <c r="E6399" s="476" t="s">
        <v>34</v>
      </c>
      <c r="F6399" s="475" t="s">
        <v>34</v>
      </c>
      <c r="G6399" s="364">
        <v>100304</v>
      </c>
      <c r="H6399" s="475" t="s">
        <v>15350</v>
      </c>
      <c r="I6399" s="475" t="s">
        <v>67</v>
      </c>
      <c r="J6399" s="475" t="s">
        <v>337</v>
      </c>
      <c r="K6399" s="365">
        <v>59.43</v>
      </c>
      <c r="L6399" s="475" t="s">
        <v>5084</v>
      </c>
      <c r="M6399" s="473"/>
    </row>
    <row r="6400" spans="1:13" ht="13.5">
      <c r="A6400" s="475" t="s">
        <v>5496</v>
      </c>
      <c r="B6400" s="475" t="s">
        <v>5726</v>
      </c>
      <c r="C6400" s="475" t="s">
        <v>5739</v>
      </c>
      <c r="D6400" s="475" t="s">
        <v>5740</v>
      </c>
      <c r="E6400" s="476" t="s">
        <v>34</v>
      </c>
      <c r="F6400" s="475" t="s">
        <v>34</v>
      </c>
      <c r="G6400" s="364">
        <v>100305</v>
      </c>
      <c r="H6400" s="475" t="s">
        <v>15351</v>
      </c>
      <c r="I6400" s="475" t="s">
        <v>67</v>
      </c>
      <c r="J6400" s="475" t="s">
        <v>337</v>
      </c>
      <c r="K6400" s="365">
        <v>74</v>
      </c>
      <c r="L6400" s="475" t="s">
        <v>5084</v>
      </c>
      <c r="M6400" s="473"/>
    </row>
    <row r="6401" spans="1:13" ht="13.5">
      <c r="A6401" s="475" t="s">
        <v>5496</v>
      </c>
      <c r="B6401" s="475" t="s">
        <v>5726</v>
      </c>
      <c r="C6401" s="475" t="s">
        <v>5739</v>
      </c>
      <c r="D6401" s="475" t="s">
        <v>5740</v>
      </c>
      <c r="E6401" s="476" t="s">
        <v>34</v>
      </c>
      <c r="F6401" s="475" t="s">
        <v>34</v>
      </c>
      <c r="G6401" s="364">
        <v>100306</v>
      </c>
      <c r="H6401" s="475" t="s">
        <v>15352</v>
      </c>
      <c r="I6401" s="475" t="s">
        <v>67</v>
      </c>
      <c r="J6401" s="475" t="s">
        <v>337</v>
      </c>
      <c r="K6401" s="365">
        <v>83.36</v>
      </c>
      <c r="L6401" s="475" t="s">
        <v>5084</v>
      </c>
      <c r="M6401" s="473"/>
    </row>
    <row r="6402" spans="1:13" ht="13.5">
      <c r="A6402" s="475" t="s">
        <v>5496</v>
      </c>
      <c r="B6402" s="475" t="s">
        <v>5726</v>
      </c>
      <c r="C6402" s="475" t="s">
        <v>5739</v>
      </c>
      <c r="D6402" s="475" t="s">
        <v>5740</v>
      </c>
      <c r="E6402" s="476" t="s">
        <v>34</v>
      </c>
      <c r="F6402" s="475" t="s">
        <v>34</v>
      </c>
      <c r="G6402" s="364">
        <v>100307</v>
      </c>
      <c r="H6402" s="475" t="s">
        <v>15353</v>
      </c>
      <c r="I6402" s="475" t="s">
        <v>67</v>
      </c>
      <c r="J6402" s="475" t="s">
        <v>337</v>
      </c>
      <c r="K6402" s="365">
        <v>18.72</v>
      </c>
      <c r="L6402" s="475" t="s">
        <v>5084</v>
      </c>
      <c r="M6402" s="473"/>
    </row>
    <row r="6403" spans="1:13" ht="13.5">
      <c r="A6403" s="475" t="s">
        <v>5496</v>
      </c>
      <c r="B6403" s="475" t="s">
        <v>5726</v>
      </c>
      <c r="C6403" s="475" t="s">
        <v>5739</v>
      </c>
      <c r="D6403" s="475" t="s">
        <v>5740</v>
      </c>
      <c r="E6403" s="476" t="s">
        <v>34</v>
      </c>
      <c r="F6403" s="475" t="s">
        <v>34</v>
      </c>
      <c r="G6403" s="364">
        <v>100308</v>
      </c>
      <c r="H6403" s="475" t="s">
        <v>15354</v>
      </c>
      <c r="I6403" s="475" t="s">
        <v>67</v>
      </c>
      <c r="J6403" s="475" t="s">
        <v>337</v>
      </c>
      <c r="K6403" s="365">
        <v>21.75</v>
      </c>
      <c r="L6403" s="475" t="s">
        <v>5084</v>
      </c>
      <c r="M6403" s="473"/>
    </row>
    <row r="6404" spans="1:13" ht="13.5">
      <c r="A6404" s="475" t="s">
        <v>5496</v>
      </c>
      <c r="B6404" s="475" t="s">
        <v>5726</v>
      </c>
      <c r="C6404" s="475" t="s">
        <v>5739</v>
      </c>
      <c r="D6404" s="475" t="s">
        <v>5740</v>
      </c>
      <c r="E6404" s="476" t="s">
        <v>34</v>
      </c>
      <c r="F6404" s="475" t="s">
        <v>34</v>
      </c>
      <c r="G6404" s="364">
        <v>100309</v>
      </c>
      <c r="H6404" s="475" t="s">
        <v>15355</v>
      </c>
      <c r="I6404" s="475" t="s">
        <v>67</v>
      </c>
      <c r="J6404" s="475" t="s">
        <v>337</v>
      </c>
      <c r="K6404" s="365">
        <v>38.57</v>
      </c>
      <c r="L6404" s="475" t="s">
        <v>5084</v>
      </c>
      <c r="M6404" s="473"/>
    </row>
    <row r="6405" spans="1:13" ht="13.5">
      <c r="A6405" s="475" t="s">
        <v>5496</v>
      </c>
      <c r="B6405" s="475" t="s">
        <v>5726</v>
      </c>
      <c r="C6405" s="475" t="s">
        <v>5739</v>
      </c>
      <c r="D6405" s="475" t="s">
        <v>5740</v>
      </c>
      <c r="E6405" s="476" t="s">
        <v>34</v>
      </c>
      <c r="F6405" s="475" t="s">
        <v>34</v>
      </c>
      <c r="G6405" s="364">
        <v>100310</v>
      </c>
      <c r="H6405" s="475" t="s">
        <v>15356</v>
      </c>
      <c r="I6405" s="475" t="s">
        <v>336</v>
      </c>
      <c r="J6405" s="475" t="s">
        <v>337</v>
      </c>
      <c r="K6405" s="365">
        <v>9.7899999999999991</v>
      </c>
      <c r="L6405" s="475" t="s">
        <v>5084</v>
      </c>
      <c r="M6405" s="473"/>
    </row>
    <row r="6406" spans="1:13" ht="13.5">
      <c r="A6406" s="475" t="s">
        <v>5496</v>
      </c>
      <c r="B6406" s="475" t="s">
        <v>5726</v>
      </c>
      <c r="C6406" s="475" t="s">
        <v>5739</v>
      </c>
      <c r="D6406" s="475" t="s">
        <v>5740</v>
      </c>
      <c r="E6406" s="476" t="s">
        <v>34</v>
      </c>
      <c r="F6406" s="475" t="s">
        <v>34</v>
      </c>
      <c r="G6406" s="364">
        <v>100311</v>
      </c>
      <c r="H6406" s="475" t="s">
        <v>15357</v>
      </c>
      <c r="I6406" s="475" t="s">
        <v>336</v>
      </c>
      <c r="J6406" s="475" t="s">
        <v>337</v>
      </c>
      <c r="K6406" s="365">
        <v>169.16</v>
      </c>
      <c r="L6406" s="475" t="s">
        <v>5084</v>
      </c>
      <c r="M6406" s="473"/>
    </row>
    <row r="6407" spans="1:13" ht="13.5">
      <c r="A6407" s="475" t="s">
        <v>5496</v>
      </c>
      <c r="B6407" s="475" t="s">
        <v>5726</v>
      </c>
      <c r="C6407" s="475" t="s">
        <v>5739</v>
      </c>
      <c r="D6407" s="475" t="s">
        <v>5740</v>
      </c>
      <c r="E6407" s="476" t="s">
        <v>34</v>
      </c>
      <c r="F6407" s="475" t="s">
        <v>34</v>
      </c>
      <c r="G6407" s="364">
        <v>100312</v>
      </c>
      <c r="H6407" s="475" t="s">
        <v>15358</v>
      </c>
      <c r="I6407" s="475" t="s">
        <v>336</v>
      </c>
      <c r="J6407" s="475" t="s">
        <v>337</v>
      </c>
      <c r="K6407" s="365">
        <v>52.81</v>
      </c>
      <c r="L6407" s="475" t="s">
        <v>5084</v>
      </c>
      <c r="M6407" s="473"/>
    </row>
    <row r="6408" spans="1:13" ht="13.5">
      <c r="A6408" s="475" t="s">
        <v>5496</v>
      </c>
      <c r="B6408" s="475" t="s">
        <v>5726</v>
      </c>
      <c r="C6408" s="475" t="s">
        <v>5739</v>
      </c>
      <c r="D6408" s="475" t="s">
        <v>5740</v>
      </c>
      <c r="E6408" s="476" t="s">
        <v>34</v>
      </c>
      <c r="F6408" s="475" t="s">
        <v>34</v>
      </c>
      <c r="G6408" s="364">
        <v>100313</v>
      </c>
      <c r="H6408" s="475" t="s">
        <v>15359</v>
      </c>
      <c r="I6408" s="475" t="s">
        <v>336</v>
      </c>
      <c r="J6408" s="475" t="s">
        <v>337</v>
      </c>
      <c r="K6408" s="365">
        <v>117.08</v>
      </c>
      <c r="L6408" s="475" t="s">
        <v>5084</v>
      </c>
      <c r="M6408" s="473"/>
    </row>
    <row r="6409" spans="1:13" ht="13.5">
      <c r="A6409" s="475" t="s">
        <v>5496</v>
      </c>
      <c r="B6409" s="475" t="s">
        <v>5726</v>
      </c>
      <c r="C6409" s="475" t="s">
        <v>5739</v>
      </c>
      <c r="D6409" s="475" t="s">
        <v>5740</v>
      </c>
      <c r="E6409" s="476" t="s">
        <v>34</v>
      </c>
      <c r="F6409" s="475" t="s">
        <v>34</v>
      </c>
      <c r="G6409" s="364">
        <v>100314</v>
      </c>
      <c r="H6409" s="475" t="s">
        <v>15360</v>
      </c>
      <c r="I6409" s="475" t="s">
        <v>336</v>
      </c>
      <c r="J6409" s="475" t="s">
        <v>337</v>
      </c>
      <c r="K6409" s="365">
        <v>132.09</v>
      </c>
      <c r="L6409" s="475" t="s">
        <v>5084</v>
      </c>
      <c r="M6409" s="473"/>
    </row>
    <row r="6410" spans="1:13" ht="13.5">
      <c r="A6410" s="475" t="s">
        <v>5496</v>
      </c>
      <c r="B6410" s="475" t="s">
        <v>5726</v>
      </c>
      <c r="C6410" s="475" t="s">
        <v>5739</v>
      </c>
      <c r="D6410" s="475" t="s">
        <v>5740</v>
      </c>
      <c r="E6410" s="476" t="s">
        <v>34</v>
      </c>
      <c r="F6410" s="475" t="s">
        <v>34</v>
      </c>
      <c r="G6410" s="364">
        <v>100315</v>
      </c>
      <c r="H6410" s="475" t="s">
        <v>15361</v>
      </c>
      <c r="I6410" s="475" t="s">
        <v>336</v>
      </c>
      <c r="J6410" s="475" t="s">
        <v>337</v>
      </c>
      <c r="K6410" s="365">
        <v>18.64</v>
      </c>
      <c r="L6410" s="475" t="s">
        <v>5084</v>
      </c>
      <c r="M6410" s="473"/>
    </row>
    <row r="6411" spans="1:13" ht="13.5">
      <c r="A6411" s="475" t="s">
        <v>5496</v>
      </c>
      <c r="B6411" s="475" t="s">
        <v>5726</v>
      </c>
      <c r="C6411" s="475" t="s">
        <v>5739</v>
      </c>
      <c r="D6411" s="475" t="s">
        <v>5740</v>
      </c>
      <c r="E6411" s="476" t="s">
        <v>34</v>
      </c>
      <c r="F6411" s="475" t="s">
        <v>34</v>
      </c>
      <c r="G6411" s="364">
        <v>100316</v>
      </c>
      <c r="H6411" s="475" t="s">
        <v>15346</v>
      </c>
      <c r="I6411" s="475" t="s">
        <v>336</v>
      </c>
      <c r="J6411" s="475" t="s">
        <v>337</v>
      </c>
      <c r="K6411" s="365">
        <v>4056.19</v>
      </c>
      <c r="L6411" s="475" t="s">
        <v>5084</v>
      </c>
      <c r="M6411" s="473"/>
    </row>
    <row r="6412" spans="1:13" ht="13.5">
      <c r="A6412" s="475" t="s">
        <v>5496</v>
      </c>
      <c r="B6412" s="475" t="s">
        <v>5726</v>
      </c>
      <c r="C6412" s="475" t="s">
        <v>5739</v>
      </c>
      <c r="D6412" s="475" t="s">
        <v>5740</v>
      </c>
      <c r="E6412" s="476" t="s">
        <v>34</v>
      </c>
      <c r="F6412" s="475" t="s">
        <v>34</v>
      </c>
      <c r="G6412" s="364">
        <v>100317</v>
      </c>
      <c r="H6412" s="475" t="s">
        <v>15362</v>
      </c>
      <c r="I6412" s="475" t="s">
        <v>336</v>
      </c>
      <c r="J6412" s="475" t="s">
        <v>337</v>
      </c>
      <c r="K6412" s="365">
        <v>18940.400000000001</v>
      </c>
      <c r="L6412" s="475" t="s">
        <v>5084</v>
      </c>
      <c r="M6412" s="473"/>
    </row>
    <row r="6413" spans="1:13" ht="13.5">
      <c r="A6413" s="475" t="s">
        <v>5496</v>
      </c>
      <c r="B6413" s="475" t="s">
        <v>5726</v>
      </c>
      <c r="C6413" s="475" t="s">
        <v>5739</v>
      </c>
      <c r="D6413" s="475" t="s">
        <v>5740</v>
      </c>
      <c r="E6413" s="476" t="s">
        <v>34</v>
      </c>
      <c r="F6413" s="475" t="s">
        <v>34</v>
      </c>
      <c r="G6413" s="364">
        <v>100318</v>
      </c>
      <c r="H6413" s="475" t="s">
        <v>15350</v>
      </c>
      <c r="I6413" s="475" t="s">
        <v>336</v>
      </c>
      <c r="J6413" s="475" t="s">
        <v>337</v>
      </c>
      <c r="K6413" s="365">
        <v>10590.16</v>
      </c>
      <c r="L6413" s="475" t="s">
        <v>5084</v>
      </c>
      <c r="M6413" s="473"/>
    </row>
    <row r="6414" spans="1:13" ht="13.5">
      <c r="A6414" s="475" t="s">
        <v>5496</v>
      </c>
      <c r="B6414" s="475" t="s">
        <v>5726</v>
      </c>
      <c r="C6414" s="475" t="s">
        <v>5739</v>
      </c>
      <c r="D6414" s="475" t="s">
        <v>5740</v>
      </c>
      <c r="E6414" s="476" t="s">
        <v>34</v>
      </c>
      <c r="F6414" s="475" t="s">
        <v>34</v>
      </c>
      <c r="G6414" s="364">
        <v>100319</v>
      </c>
      <c r="H6414" s="475" t="s">
        <v>15351</v>
      </c>
      <c r="I6414" s="475" t="s">
        <v>336</v>
      </c>
      <c r="J6414" s="475" t="s">
        <v>337</v>
      </c>
      <c r="K6414" s="365">
        <v>13164.87</v>
      </c>
      <c r="L6414" s="475" t="s">
        <v>5084</v>
      </c>
      <c r="M6414" s="473"/>
    </row>
    <row r="6415" spans="1:13" ht="13.5">
      <c r="A6415" s="475" t="s">
        <v>5496</v>
      </c>
      <c r="B6415" s="475" t="s">
        <v>5726</v>
      </c>
      <c r="C6415" s="475" t="s">
        <v>5739</v>
      </c>
      <c r="D6415" s="475" t="s">
        <v>5740</v>
      </c>
      <c r="E6415" s="476" t="s">
        <v>34</v>
      </c>
      <c r="F6415" s="475" t="s">
        <v>34</v>
      </c>
      <c r="G6415" s="364">
        <v>100320</v>
      </c>
      <c r="H6415" s="475" t="s">
        <v>15352</v>
      </c>
      <c r="I6415" s="475" t="s">
        <v>336</v>
      </c>
      <c r="J6415" s="475" t="s">
        <v>337</v>
      </c>
      <c r="K6415" s="365">
        <v>14829.34</v>
      </c>
      <c r="L6415" s="475" t="s">
        <v>5084</v>
      </c>
      <c r="M6415" s="473"/>
    </row>
    <row r="6416" spans="1:13" ht="13.5">
      <c r="A6416" s="475" t="s">
        <v>5496</v>
      </c>
      <c r="B6416" s="475" t="s">
        <v>5726</v>
      </c>
      <c r="C6416" s="475" t="s">
        <v>5739</v>
      </c>
      <c r="D6416" s="475" t="s">
        <v>5740</v>
      </c>
      <c r="E6416" s="476" t="s">
        <v>34</v>
      </c>
      <c r="F6416" s="475" t="s">
        <v>34</v>
      </c>
      <c r="G6416" s="364">
        <v>100321</v>
      </c>
      <c r="H6416" s="475" t="s">
        <v>15363</v>
      </c>
      <c r="I6416" s="475" t="s">
        <v>336</v>
      </c>
      <c r="J6416" s="475" t="s">
        <v>337</v>
      </c>
      <c r="K6416" s="365">
        <v>6920.82</v>
      </c>
      <c r="L6416" s="475" t="s">
        <v>5084</v>
      </c>
      <c r="M6416" s="473"/>
    </row>
    <row r="6417" spans="1:12" ht="13.5">
      <c r="A6417" s="362"/>
      <c r="B6417" s="362"/>
      <c r="C6417" s="362"/>
      <c r="D6417" s="362"/>
      <c r="E6417" s="363"/>
      <c r="F6417" s="362"/>
      <c r="G6417" s="364"/>
      <c r="H6417" s="362"/>
      <c r="I6417" s="362"/>
      <c r="J6417" s="362"/>
      <c r="K6417" s="365"/>
      <c r="L6417" s="362"/>
    </row>
    <row r="6418" spans="1:12" ht="13.5">
      <c r="A6418" s="362"/>
      <c r="B6418" s="362"/>
      <c r="C6418" s="362"/>
      <c r="D6418" s="362"/>
      <c r="E6418" s="363"/>
      <c r="F6418" s="362"/>
      <c r="G6418" s="364"/>
      <c r="H6418" s="362"/>
      <c r="I6418" s="362"/>
      <c r="J6418" s="362"/>
      <c r="K6418" s="365"/>
      <c r="L6418" s="362"/>
    </row>
    <row r="6419" spans="1:12" ht="13.5">
      <c r="A6419" s="362"/>
      <c r="B6419" s="362"/>
      <c r="C6419" s="362"/>
      <c r="D6419" s="362"/>
      <c r="E6419" s="363"/>
      <c r="F6419" s="362"/>
      <c r="G6419" s="364"/>
      <c r="H6419" s="362"/>
      <c r="I6419" s="362"/>
      <c r="J6419" s="362"/>
      <c r="K6419" s="365"/>
      <c r="L6419" s="362"/>
    </row>
    <row r="6420" spans="1:12" ht="13.5">
      <c r="A6420" s="362"/>
      <c r="B6420" s="362"/>
      <c r="C6420" s="362"/>
      <c r="D6420" s="362"/>
      <c r="E6420" s="363"/>
      <c r="F6420" s="362"/>
      <c r="G6420" s="364"/>
      <c r="H6420" s="362"/>
      <c r="I6420" s="362"/>
      <c r="J6420" s="362"/>
      <c r="K6420" s="365"/>
      <c r="L6420" s="362"/>
    </row>
    <row r="6421" spans="1:12" ht="13.5">
      <c r="A6421" s="362"/>
      <c r="B6421" s="362"/>
      <c r="C6421" s="362"/>
      <c r="D6421" s="362"/>
      <c r="E6421" s="363"/>
      <c r="F6421" s="362"/>
      <c r="G6421" s="364"/>
      <c r="H6421" s="362"/>
      <c r="I6421" s="362"/>
      <c r="J6421" s="362"/>
      <c r="K6421" s="365"/>
      <c r="L6421" s="362"/>
    </row>
    <row r="6422" spans="1:12" ht="13.5">
      <c r="A6422" s="362"/>
      <c r="B6422" s="362"/>
      <c r="C6422" s="362"/>
      <c r="D6422" s="362"/>
      <c r="E6422" s="363"/>
      <c r="F6422" s="362"/>
      <c r="G6422" s="364"/>
      <c r="H6422" s="362"/>
      <c r="I6422" s="362"/>
      <c r="J6422" s="362"/>
      <c r="K6422" s="365"/>
      <c r="L6422" s="362"/>
    </row>
    <row r="6423" spans="1:12" ht="13.5">
      <c r="A6423" s="362"/>
      <c r="B6423" s="362"/>
      <c r="C6423" s="362"/>
      <c r="D6423" s="362"/>
      <c r="E6423" s="363"/>
      <c r="F6423" s="362"/>
      <c r="G6423" s="364"/>
      <c r="H6423" s="362"/>
      <c r="I6423" s="362"/>
      <c r="J6423" s="362"/>
      <c r="K6423" s="365"/>
      <c r="L6423" s="362"/>
    </row>
    <row r="6424" spans="1:12" ht="13.5">
      <c r="A6424" s="362"/>
      <c r="B6424" s="362"/>
      <c r="C6424" s="362"/>
      <c r="D6424" s="362"/>
      <c r="E6424" s="363"/>
      <c r="F6424" s="362"/>
      <c r="G6424" s="364"/>
      <c r="H6424" s="362"/>
      <c r="I6424" s="362"/>
      <c r="J6424" s="362"/>
      <c r="K6424" s="365"/>
      <c r="L6424" s="362"/>
    </row>
    <row r="6425" spans="1:12" ht="13.5">
      <c r="A6425" s="362"/>
      <c r="B6425" s="362"/>
      <c r="C6425" s="362"/>
      <c r="D6425" s="362"/>
      <c r="E6425" s="363"/>
      <c r="F6425" s="362"/>
      <c r="G6425" s="364"/>
      <c r="H6425" s="362"/>
      <c r="I6425" s="362"/>
      <c r="J6425" s="362"/>
      <c r="K6425" s="365"/>
      <c r="L6425" s="362"/>
    </row>
    <row r="6426" spans="1:12" ht="13.5">
      <c r="A6426" s="362"/>
      <c r="B6426" s="362"/>
      <c r="C6426" s="362"/>
      <c r="D6426" s="362"/>
      <c r="E6426" s="363"/>
      <c r="F6426" s="362"/>
      <c r="G6426" s="364"/>
      <c r="H6426" s="362"/>
      <c r="I6426" s="362"/>
      <c r="J6426" s="362"/>
      <c r="K6426" s="365"/>
      <c r="L6426" s="362"/>
    </row>
    <row r="6427" spans="1:12" ht="13.5">
      <c r="A6427" s="362"/>
      <c r="B6427" s="362"/>
      <c r="C6427" s="362"/>
      <c r="D6427" s="362"/>
      <c r="E6427" s="363"/>
      <c r="F6427" s="362"/>
      <c r="G6427" s="364"/>
      <c r="H6427" s="362"/>
      <c r="I6427" s="362"/>
      <c r="J6427" s="362"/>
      <c r="K6427" s="365"/>
      <c r="L6427" s="362"/>
    </row>
    <row r="6428" spans="1:12" ht="13.5">
      <c r="A6428" s="362"/>
      <c r="B6428" s="362"/>
      <c r="C6428" s="362"/>
      <c r="D6428" s="362"/>
      <c r="E6428" s="363"/>
      <c r="F6428" s="362"/>
      <c r="G6428" s="364"/>
      <c r="H6428" s="362"/>
      <c r="I6428" s="362"/>
      <c r="J6428" s="362"/>
      <c r="K6428" s="365"/>
      <c r="L6428" s="362"/>
    </row>
    <row r="6429" spans="1:12" ht="13.5">
      <c r="A6429" s="362"/>
      <c r="B6429" s="362"/>
      <c r="C6429" s="362"/>
      <c r="D6429" s="362"/>
      <c r="E6429" s="363"/>
      <c r="F6429" s="362"/>
      <c r="G6429" s="364"/>
      <c r="H6429" s="362"/>
      <c r="I6429" s="362"/>
      <c r="J6429" s="362"/>
      <c r="K6429" s="365"/>
      <c r="L6429" s="362"/>
    </row>
    <row r="6430" spans="1:12" ht="13.5">
      <c r="A6430" s="362"/>
      <c r="B6430" s="362"/>
      <c r="C6430" s="362"/>
      <c r="D6430" s="362"/>
      <c r="E6430" s="363"/>
      <c r="F6430" s="362"/>
      <c r="G6430" s="364"/>
      <c r="H6430" s="362"/>
      <c r="I6430" s="362"/>
      <c r="J6430" s="362"/>
      <c r="K6430" s="365"/>
      <c r="L6430" s="362"/>
    </row>
    <row r="6431" spans="1:12" ht="13.5">
      <c r="A6431" s="362"/>
      <c r="B6431" s="362"/>
      <c r="C6431" s="362"/>
      <c r="D6431" s="362"/>
      <c r="E6431" s="363"/>
      <c r="F6431" s="362"/>
      <c r="G6431" s="364"/>
      <c r="H6431" s="362"/>
      <c r="I6431" s="362"/>
      <c r="J6431" s="362"/>
      <c r="K6431" s="365"/>
      <c r="L6431" s="362"/>
    </row>
    <row r="6432" spans="1:12" ht="13.5">
      <c r="A6432" s="362"/>
      <c r="B6432" s="362"/>
      <c r="C6432" s="362"/>
      <c r="D6432" s="362"/>
      <c r="E6432" s="363"/>
      <c r="F6432" s="362"/>
      <c r="G6432" s="364"/>
      <c r="H6432" s="362"/>
      <c r="I6432" s="362"/>
      <c r="J6432" s="362"/>
      <c r="K6432" s="365"/>
      <c r="L6432" s="362"/>
    </row>
    <row r="6433" spans="1:12" ht="13.5">
      <c r="A6433" s="362"/>
      <c r="B6433" s="362"/>
      <c r="C6433" s="362"/>
      <c r="D6433" s="362"/>
      <c r="E6433" s="363"/>
      <c r="F6433" s="362"/>
      <c r="G6433" s="364"/>
      <c r="H6433" s="362"/>
      <c r="I6433" s="362"/>
      <c r="J6433" s="362"/>
      <c r="K6433" s="365"/>
      <c r="L6433" s="362"/>
    </row>
    <row r="6434" spans="1:12" ht="13.5">
      <c r="A6434" s="362"/>
      <c r="B6434" s="362"/>
      <c r="C6434" s="362"/>
      <c r="D6434" s="362"/>
      <c r="E6434" s="363"/>
      <c r="F6434" s="362"/>
      <c r="G6434" s="364"/>
      <c r="H6434" s="362"/>
      <c r="I6434" s="362"/>
      <c r="J6434" s="362"/>
      <c r="K6434" s="365"/>
      <c r="L6434" s="362"/>
    </row>
    <row r="6435" spans="1:12" ht="13.5">
      <c r="A6435" s="362"/>
      <c r="B6435" s="362"/>
      <c r="C6435" s="362"/>
      <c r="D6435" s="362"/>
      <c r="E6435" s="363"/>
      <c r="F6435" s="362"/>
      <c r="G6435" s="364"/>
      <c r="H6435" s="362"/>
      <c r="I6435" s="362"/>
      <c r="J6435" s="362"/>
      <c r="K6435" s="365"/>
      <c r="L6435" s="362"/>
    </row>
    <row r="6436" spans="1:12" ht="13.5">
      <c r="A6436" s="362"/>
      <c r="B6436" s="362"/>
      <c r="C6436" s="362"/>
      <c r="D6436" s="362"/>
      <c r="E6436" s="363"/>
      <c r="F6436" s="362"/>
      <c r="G6436" s="364"/>
      <c r="H6436" s="362"/>
      <c r="I6436" s="362"/>
      <c r="J6436" s="362"/>
      <c r="K6436" s="365"/>
      <c r="L6436" s="362"/>
    </row>
    <row r="6437" spans="1:12" ht="13.5">
      <c r="A6437" s="362"/>
      <c r="B6437" s="362"/>
      <c r="C6437" s="362"/>
      <c r="D6437" s="362"/>
      <c r="E6437" s="363"/>
      <c r="F6437" s="362"/>
      <c r="G6437" s="364"/>
      <c r="H6437" s="362"/>
      <c r="I6437" s="362"/>
      <c r="J6437" s="362"/>
      <c r="K6437" s="365"/>
      <c r="L6437" s="362"/>
    </row>
    <row r="6438" spans="1:12" ht="13.5">
      <c r="A6438" s="362"/>
      <c r="B6438" s="362"/>
      <c r="C6438" s="362"/>
      <c r="D6438" s="362"/>
      <c r="E6438" s="363"/>
      <c r="F6438" s="362"/>
      <c r="G6438" s="364"/>
      <c r="H6438" s="362"/>
      <c r="I6438" s="362"/>
      <c r="J6438" s="362"/>
      <c r="K6438" s="365"/>
      <c r="L6438" s="362"/>
    </row>
    <row r="6439" spans="1:12" ht="13.5">
      <c r="A6439" s="362"/>
      <c r="B6439" s="362"/>
      <c r="C6439" s="362"/>
      <c r="D6439" s="362"/>
      <c r="E6439" s="363"/>
      <c r="F6439" s="362"/>
      <c r="G6439" s="364"/>
      <c r="H6439" s="362"/>
      <c r="I6439" s="362"/>
      <c r="J6439" s="362"/>
      <c r="K6439" s="365"/>
      <c r="L6439" s="362"/>
    </row>
    <row r="6440" spans="1:12" ht="13.5">
      <c r="A6440" s="362"/>
      <c r="B6440" s="362"/>
      <c r="C6440" s="362"/>
      <c r="D6440" s="362"/>
      <c r="E6440" s="363"/>
      <c r="F6440" s="362"/>
      <c r="G6440" s="364"/>
      <c r="H6440" s="362"/>
      <c r="I6440" s="362"/>
      <c r="J6440" s="362"/>
      <c r="K6440" s="365"/>
      <c r="L6440" s="362"/>
    </row>
    <row r="6441" spans="1:12" ht="13.5">
      <c r="A6441" s="362"/>
      <c r="B6441" s="362"/>
      <c r="C6441" s="362"/>
      <c r="D6441" s="362"/>
      <c r="E6441" s="363"/>
      <c r="F6441" s="362"/>
      <c r="G6441" s="364"/>
      <c r="H6441" s="362"/>
      <c r="I6441" s="362"/>
      <c r="J6441" s="362"/>
      <c r="K6441" s="365"/>
      <c r="L6441" s="362"/>
    </row>
    <row r="6442" spans="1:12" ht="13.5">
      <c r="A6442" s="362"/>
      <c r="B6442" s="362"/>
      <c r="C6442" s="362"/>
      <c r="D6442" s="362"/>
      <c r="E6442" s="363"/>
      <c r="F6442" s="362"/>
      <c r="G6442" s="364"/>
      <c r="H6442" s="362"/>
      <c r="I6442" s="362"/>
      <c r="J6442" s="362"/>
      <c r="K6442" s="365"/>
      <c r="L6442" s="362"/>
    </row>
    <row r="6443" spans="1:12" ht="13.5">
      <c r="A6443" s="362"/>
      <c r="B6443" s="362"/>
      <c r="C6443" s="362"/>
      <c r="D6443" s="362"/>
      <c r="E6443" s="363"/>
      <c r="F6443" s="362"/>
      <c r="G6443" s="364"/>
      <c r="H6443" s="362"/>
      <c r="I6443" s="362"/>
      <c r="J6443" s="362"/>
      <c r="K6443" s="365"/>
      <c r="L6443" s="362"/>
    </row>
    <row r="6444" spans="1:12" ht="13.5">
      <c r="A6444" s="362"/>
      <c r="B6444" s="362"/>
      <c r="C6444" s="362"/>
      <c r="D6444" s="362"/>
      <c r="E6444" s="363"/>
      <c r="F6444" s="362"/>
      <c r="G6444" s="364"/>
      <c r="H6444" s="362"/>
      <c r="I6444" s="362"/>
      <c r="J6444" s="362"/>
      <c r="K6444" s="365"/>
      <c r="L6444" s="362"/>
    </row>
    <row r="6445" spans="1:12" ht="13.5">
      <c r="A6445" s="362"/>
      <c r="B6445" s="362"/>
      <c r="C6445" s="362"/>
      <c r="D6445" s="362"/>
      <c r="E6445" s="363"/>
      <c r="F6445" s="362"/>
      <c r="G6445" s="364"/>
      <c r="H6445" s="362"/>
      <c r="I6445" s="362"/>
      <c r="J6445" s="362"/>
      <c r="K6445" s="365"/>
      <c r="L6445" s="362"/>
    </row>
    <row r="6446" spans="1:12" ht="13.5">
      <c r="A6446" s="362"/>
      <c r="B6446" s="362"/>
      <c r="C6446" s="362"/>
      <c r="D6446" s="362"/>
      <c r="E6446" s="363"/>
      <c r="F6446" s="362"/>
      <c r="G6446" s="364"/>
      <c r="H6446" s="362"/>
      <c r="I6446" s="362"/>
      <c r="J6446" s="362"/>
      <c r="K6446" s="365"/>
      <c r="L6446" s="362"/>
    </row>
    <row r="6447" spans="1:12" ht="13.5">
      <c r="A6447" s="362"/>
      <c r="B6447" s="362"/>
      <c r="C6447" s="362"/>
      <c r="D6447" s="362"/>
      <c r="E6447" s="363"/>
      <c r="F6447" s="362"/>
      <c r="G6447" s="364"/>
      <c r="H6447" s="362"/>
      <c r="I6447" s="362"/>
      <c r="J6447" s="362"/>
      <c r="K6447" s="365"/>
      <c r="L6447" s="362"/>
    </row>
    <row r="6448" spans="1:12" ht="13.5">
      <c r="A6448" s="362"/>
      <c r="B6448" s="362"/>
      <c r="C6448" s="362"/>
      <c r="D6448" s="362"/>
      <c r="E6448" s="363"/>
      <c r="F6448" s="362"/>
      <c r="G6448" s="364"/>
      <c r="H6448" s="362"/>
      <c r="I6448" s="362"/>
      <c r="J6448" s="362"/>
      <c r="K6448" s="365"/>
      <c r="L6448" s="362"/>
    </row>
    <row r="6449" spans="1:12" ht="13.5">
      <c r="A6449" s="362"/>
      <c r="B6449" s="362"/>
      <c r="C6449" s="362"/>
      <c r="D6449" s="362"/>
      <c r="E6449" s="363"/>
      <c r="F6449" s="362"/>
      <c r="G6449" s="364"/>
      <c r="H6449" s="362"/>
      <c r="I6449" s="362"/>
      <c r="J6449" s="362"/>
      <c r="K6449" s="365"/>
      <c r="L6449" s="362"/>
    </row>
    <row r="6450" spans="1:12" ht="13.5">
      <c r="A6450" s="362"/>
      <c r="B6450" s="362"/>
      <c r="C6450" s="362"/>
      <c r="D6450" s="362"/>
      <c r="E6450" s="363"/>
      <c r="F6450" s="362"/>
      <c r="G6450" s="364"/>
      <c r="H6450" s="362"/>
      <c r="I6450" s="362"/>
      <c r="J6450" s="362"/>
      <c r="K6450" s="365"/>
      <c r="L6450" s="362"/>
    </row>
    <row r="6451" spans="1:12" ht="13.5">
      <c r="A6451" s="362"/>
      <c r="B6451" s="362"/>
      <c r="C6451" s="362"/>
      <c r="D6451" s="362"/>
      <c r="E6451" s="363"/>
      <c r="F6451" s="362"/>
      <c r="G6451" s="364"/>
      <c r="H6451" s="362"/>
      <c r="I6451" s="362"/>
      <c r="J6451" s="362"/>
      <c r="K6451" s="365"/>
      <c r="L6451" s="362"/>
    </row>
    <row r="6452" spans="1:12" ht="13.5">
      <c r="A6452" s="362"/>
      <c r="B6452" s="362"/>
      <c r="C6452" s="362"/>
      <c r="D6452" s="362"/>
      <c r="E6452" s="363"/>
      <c r="F6452" s="362"/>
      <c r="G6452" s="364"/>
      <c r="H6452" s="362"/>
      <c r="I6452" s="362"/>
      <c r="J6452" s="362"/>
      <c r="K6452" s="365"/>
      <c r="L6452" s="362"/>
    </row>
    <row r="6453" spans="1:12" ht="13.5">
      <c r="A6453" s="362"/>
      <c r="B6453" s="362"/>
      <c r="C6453" s="362"/>
      <c r="D6453" s="362"/>
      <c r="E6453" s="363"/>
      <c r="F6453" s="362"/>
      <c r="G6453" s="364"/>
      <c r="H6453" s="362"/>
      <c r="I6453" s="362"/>
      <c r="J6453" s="362"/>
      <c r="K6453" s="365"/>
      <c r="L6453" s="362"/>
    </row>
    <row r="6454" spans="1:12" ht="13.5">
      <c r="A6454" s="362"/>
      <c r="B6454" s="362"/>
      <c r="C6454" s="362"/>
      <c r="D6454" s="362"/>
      <c r="E6454" s="363"/>
      <c r="F6454" s="362"/>
      <c r="G6454" s="364"/>
      <c r="H6454" s="362"/>
      <c r="I6454" s="362"/>
      <c r="J6454" s="362"/>
      <c r="K6454" s="365"/>
      <c r="L6454" s="362"/>
    </row>
    <row r="6455" spans="1:12" ht="13.5">
      <c r="A6455" s="362"/>
      <c r="B6455" s="362"/>
      <c r="C6455" s="362"/>
      <c r="D6455" s="362"/>
      <c r="E6455" s="363"/>
      <c r="F6455" s="362"/>
      <c r="G6455" s="364"/>
      <c r="H6455" s="362"/>
      <c r="I6455" s="362"/>
      <c r="J6455" s="362"/>
      <c r="K6455" s="365"/>
      <c r="L6455" s="362"/>
    </row>
    <row r="6456" spans="1:12" ht="13.5">
      <c r="A6456" s="362"/>
      <c r="B6456" s="362"/>
      <c r="C6456" s="362"/>
      <c r="D6456" s="362"/>
      <c r="E6456" s="363"/>
      <c r="F6456" s="362"/>
      <c r="G6456" s="364"/>
      <c r="H6456" s="362"/>
      <c r="I6456" s="362"/>
      <c r="J6456" s="362"/>
      <c r="K6456" s="365"/>
      <c r="L6456" s="362"/>
    </row>
    <row r="6457" spans="1:12" ht="13.5">
      <c r="A6457" s="362"/>
      <c r="B6457" s="362"/>
      <c r="C6457" s="362"/>
      <c r="D6457" s="362"/>
      <c r="E6457" s="363"/>
      <c r="F6457" s="362"/>
      <c r="G6457" s="364"/>
      <c r="H6457" s="362"/>
      <c r="I6457" s="362"/>
      <c r="J6457" s="362"/>
      <c r="K6457" s="365"/>
      <c r="L6457" s="362"/>
    </row>
    <row r="6458" spans="1:12" ht="13.5">
      <c r="A6458" s="362"/>
      <c r="B6458" s="362"/>
      <c r="C6458" s="362"/>
      <c r="D6458" s="362"/>
      <c r="E6458" s="363"/>
      <c r="F6458" s="362"/>
      <c r="G6458" s="364"/>
      <c r="H6458" s="362"/>
      <c r="I6458" s="362"/>
      <c r="J6458" s="362"/>
      <c r="K6458" s="365"/>
      <c r="L6458" s="362"/>
    </row>
    <row r="6459" spans="1:12" ht="13.5">
      <c r="A6459" s="362"/>
      <c r="B6459" s="362"/>
      <c r="C6459" s="362"/>
      <c r="D6459" s="362"/>
      <c r="E6459" s="363"/>
      <c r="F6459" s="362"/>
      <c r="G6459" s="364"/>
      <c r="H6459" s="362"/>
      <c r="I6459" s="362"/>
      <c r="J6459" s="362"/>
      <c r="K6459" s="365"/>
      <c r="L6459" s="362"/>
    </row>
    <row r="6460" spans="1:12" ht="13.5">
      <c r="A6460" s="362"/>
      <c r="B6460" s="362"/>
      <c r="C6460" s="362"/>
      <c r="D6460" s="362"/>
      <c r="E6460" s="363"/>
      <c r="F6460" s="362"/>
      <c r="G6460" s="364"/>
      <c r="H6460" s="362"/>
      <c r="I6460" s="362"/>
      <c r="J6460" s="362"/>
      <c r="K6460" s="365"/>
      <c r="L6460" s="362"/>
    </row>
    <row r="6461" spans="1:12" ht="13.5">
      <c r="A6461" s="362"/>
      <c r="B6461" s="362"/>
      <c r="C6461" s="362"/>
      <c r="D6461" s="362"/>
      <c r="E6461" s="363"/>
      <c r="F6461" s="362"/>
      <c r="G6461" s="364"/>
      <c r="H6461" s="362"/>
      <c r="I6461" s="362"/>
      <c r="J6461" s="362"/>
      <c r="K6461" s="365"/>
      <c r="L6461" s="362"/>
    </row>
    <row r="6462" spans="1:12" ht="13.5">
      <c r="A6462" s="362"/>
      <c r="B6462" s="362"/>
      <c r="C6462" s="362"/>
      <c r="D6462" s="362"/>
      <c r="E6462" s="363"/>
      <c r="F6462" s="362"/>
      <c r="G6462" s="364"/>
      <c r="H6462" s="362"/>
      <c r="I6462" s="362"/>
      <c r="J6462" s="362"/>
      <c r="K6462" s="365"/>
      <c r="L6462" s="362"/>
    </row>
    <row r="6463" spans="1:12" ht="13.5">
      <c r="A6463" s="362"/>
      <c r="B6463" s="362"/>
      <c r="C6463" s="362"/>
      <c r="D6463" s="362"/>
      <c r="E6463" s="363"/>
      <c r="F6463" s="362"/>
      <c r="G6463" s="364"/>
      <c r="H6463" s="362"/>
      <c r="I6463" s="362"/>
      <c r="J6463" s="362"/>
      <c r="K6463" s="365"/>
      <c r="L6463" s="362"/>
    </row>
    <row r="6464" spans="1:12" ht="13.5">
      <c r="A6464" s="362"/>
      <c r="B6464" s="362"/>
      <c r="C6464" s="362"/>
      <c r="D6464" s="362"/>
      <c r="E6464" s="363"/>
      <c r="F6464" s="362"/>
      <c r="G6464" s="364"/>
      <c r="H6464" s="362"/>
      <c r="I6464" s="362"/>
      <c r="J6464" s="362"/>
      <c r="K6464" s="365"/>
      <c r="L6464" s="362"/>
    </row>
    <row r="6465" spans="1:12" ht="13.5">
      <c r="A6465" s="362"/>
      <c r="B6465" s="362"/>
      <c r="C6465" s="362"/>
      <c r="D6465" s="362"/>
      <c r="E6465" s="363"/>
      <c r="F6465" s="362"/>
      <c r="G6465" s="364"/>
      <c r="H6465" s="362"/>
      <c r="I6465" s="362"/>
      <c r="J6465" s="362"/>
      <c r="K6465" s="365"/>
      <c r="L6465" s="362"/>
    </row>
    <row r="6466" spans="1:12" ht="13.5">
      <c r="A6466" s="362"/>
      <c r="B6466" s="362"/>
      <c r="C6466" s="362"/>
      <c r="D6466" s="362"/>
      <c r="E6466" s="363"/>
      <c r="F6466" s="362"/>
      <c r="G6466" s="364"/>
      <c r="H6466" s="362"/>
      <c r="I6466" s="362"/>
      <c r="J6466" s="362"/>
      <c r="K6466" s="365"/>
      <c r="L6466" s="362"/>
    </row>
    <row r="6467" spans="1:12" ht="13.5">
      <c r="A6467" s="362"/>
      <c r="B6467" s="362"/>
      <c r="C6467" s="362"/>
      <c r="D6467" s="362"/>
      <c r="E6467" s="363"/>
      <c r="F6467" s="362"/>
      <c r="G6467" s="364"/>
      <c r="H6467" s="362"/>
      <c r="I6467" s="362"/>
      <c r="J6467" s="362"/>
      <c r="K6467" s="365"/>
      <c r="L6467" s="362"/>
    </row>
    <row r="6468" spans="1:12" ht="13.5">
      <c r="A6468" s="362"/>
      <c r="B6468" s="362"/>
      <c r="C6468" s="362"/>
      <c r="D6468" s="362"/>
      <c r="E6468" s="363"/>
      <c r="F6468" s="362"/>
      <c r="G6468" s="364"/>
      <c r="H6468" s="362"/>
      <c r="I6468" s="362"/>
      <c r="J6468" s="362"/>
      <c r="K6468" s="365"/>
      <c r="L6468" s="362"/>
    </row>
    <row r="6469" spans="1:12" ht="13.5">
      <c r="A6469" s="362"/>
      <c r="B6469" s="362"/>
      <c r="C6469" s="362"/>
      <c r="D6469" s="362"/>
      <c r="E6469" s="363"/>
      <c r="F6469" s="362"/>
      <c r="G6469" s="364"/>
      <c r="H6469" s="362"/>
      <c r="I6469" s="362"/>
      <c r="J6469" s="362"/>
      <c r="K6469" s="365"/>
      <c r="L6469" s="362"/>
    </row>
    <row r="6470" spans="1:12" ht="13.5">
      <c r="A6470" s="362"/>
      <c r="B6470" s="362"/>
      <c r="C6470" s="362"/>
      <c r="D6470" s="362"/>
      <c r="E6470" s="363"/>
      <c r="F6470" s="362"/>
      <c r="G6470" s="364"/>
      <c r="H6470" s="362"/>
      <c r="I6470" s="362"/>
      <c r="J6470" s="362"/>
      <c r="K6470" s="365"/>
      <c r="L6470" s="362"/>
    </row>
    <row r="6471" spans="1:12" ht="13.5">
      <c r="A6471" s="362"/>
      <c r="B6471" s="362"/>
      <c r="C6471" s="362"/>
      <c r="D6471" s="362"/>
      <c r="E6471" s="363"/>
      <c r="F6471" s="362"/>
      <c r="G6471" s="364"/>
      <c r="H6471" s="362"/>
      <c r="I6471" s="362"/>
      <c r="J6471" s="362"/>
      <c r="K6471" s="365"/>
      <c r="L6471" s="362"/>
    </row>
    <row r="6472" spans="1:12" ht="13.5">
      <c r="A6472" s="362"/>
      <c r="B6472" s="362"/>
      <c r="C6472" s="362"/>
      <c r="D6472" s="362"/>
      <c r="E6472" s="363"/>
      <c r="F6472" s="362"/>
      <c r="G6472" s="364"/>
      <c r="H6472" s="362"/>
      <c r="I6472" s="362"/>
      <c r="J6472" s="362"/>
      <c r="K6472" s="365"/>
      <c r="L6472" s="362"/>
    </row>
    <row r="6473" spans="1:12" ht="13.5">
      <c r="A6473" s="362"/>
      <c r="B6473" s="362"/>
      <c r="C6473" s="362"/>
      <c r="D6473" s="362"/>
      <c r="E6473" s="363"/>
      <c r="F6473" s="362"/>
      <c r="G6473" s="364"/>
      <c r="H6473" s="362"/>
      <c r="I6473" s="362"/>
      <c r="J6473" s="362"/>
      <c r="K6473" s="365"/>
      <c r="L6473" s="362"/>
    </row>
    <row r="6474" spans="1:12" ht="13.5">
      <c r="A6474" s="362"/>
      <c r="B6474" s="362"/>
      <c r="C6474" s="362"/>
      <c r="D6474" s="362"/>
      <c r="E6474" s="363"/>
      <c r="F6474" s="362"/>
      <c r="G6474" s="364"/>
      <c r="H6474" s="362"/>
      <c r="I6474" s="362"/>
      <c r="J6474" s="362"/>
      <c r="K6474" s="365"/>
      <c r="L6474" s="362"/>
    </row>
    <row r="6475" spans="1:12" ht="13.5">
      <c r="A6475" s="362"/>
      <c r="B6475" s="362"/>
      <c r="C6475" s="362"/>
      <c r="D6475" s="362"/>
      <c r="E6475" s="363"/>
      <c r="F6475" s="362"/>
      <c r="G6475" s="364"/>
      <c r="H6475" s="362"/>
      <c r="I6475" s="362"/>
      <c r="J6475" s="362"/>
      <c r="K6475" s="365"/>
      <c r="L6475" s="362"/>
    </row>
    <row r="6476" spans="1:12" ht="13.5">
      <c r="A6476" s="362"/>
      <c r="B6476" s="362"/>
      <c r="C6476" s="362"/>
      <c r="D6476" s="362"/>
      <c r="E6476" s="363"/>
      <c r="F6476" s="362"/>
      <c r="G6476" s="364"/>
      <c r="H6476" s="362"/>
      <c r="I6476" s="362"/>
      <c r="J6476" s="362"/>
      <c r="K6476" s="365"/>
      <c r="L6476" s="362"/>
    </row>
    <row r="6477" spans="1:12" ht="13.5">
      <c r="A6477" s="362"/>
      <c r="B6477" s="362"/>
      <c r="C6477" s="362"/>
      <c r="D6477" s="362"/>
      <c r="E6477" s="363"/>
      <c r="F6477" s="362"/>
      <c r="G6477" s="364"/>
      <c r="H6477" s="362"/>
      <c r="I6477" s="362"/>
      <c r="J6477" s="362"/>
      <c r="K6477" s="365"/>
      <c r="L6477" s="362"/>
    </row>
    <row r="6478" spans="1:12" ht="13.5">
      <c r="A6478" s="362"/>
      <c r="B6478" s="362"/>
      <c r="C6478" s="362"/>
      <c r="D6478" s="362"/>
      <c r="E6478" s="363"/>
      <c r="F6478" s="362"/>
      <c r="G6478" s="364"/>
      <c r="H6478" s="362"/>
      <c r="I6478" s="362"/>
      <c r="J6478" s="362"/>
      <c r="K6478" s="365"/>
      <c r="L6478" s="362"/>
    </row>
    <row r="6479" spans="1:12" ht="13.5">
      <c r="A6479" s="362"/>
      <c r="B6479" s="362"/>
      <c r="C6479" s="362"/>
      <c r="D6479" s="362"/>
      <c r="E6479" s="363"/>
      <c r="F6479" s="362"/>
      <c r="G6479" s="364"/>
      <c r="H6479" s="362"/>
      <c r="I6479" s="362"/>
      <c r="J6479" s="362"/>
      <c r="K6479" s="365"/>
      <c r="L6479" s="362"/>
    </row>
    <row r="6480" spans="1:12" ht="13.5">
      <c r="A6480" s="362"/>
      <c r="B6480" s="362"/>
      <c r="C6480" s="362"/>
      <c r="D6480" s="362"/>
      <c r="E6480" s="363"/>
      <c r="F6480" s="362"/>
      <c r="G6480" s="364"/>
      <c r="H6480" s="362"/>
      <c r="I6480" s="362"/>
      <c r="J6480" s="362"/>
      <c r="K6480" s="365"/>
      <c r="L6480" s="362"/>
    </row>
    <row r="6481" spans="1:12" ht="13.5">
      <c r="A6481" s="362"/>
      <c r="B6481" s="362"/>
      <c r="C6481" s="362"/>
      <c r="D6481" s="362"/>
      <c r="E6481" s="363"/>
      <c r="F6481" s="362"/>
      <c r="G6481" s="364"/>
      <c r="H6481" s="362"/>
      <c r="I6481" s="362"/>
      <c r="J6481" s="362"/>
      <c r="K6481" s="365"/>
      <c r="L6481" s="362"/>
    </row>
    <row r="6482" spans="1:12" ht="13.5">
      <c r="A6482" s="362"/>
      <c r="B6482" s="362"/>
      <c r="C6482" s="362"/>
      <c r="D6482" s="362"/>
      <c r="E6482" s="363"/>
      <c r="F6482" s="362"/>
      <c r="G6482" s="364"/>
      <c r="H6482" s="362"/>
      <c r="I6482" s="362"/>
      <c r="J6482" s="362"/>
      <c r="K6482" s="365"/>
      <c r="L6482" s="362"/>
    </row>
    <row r="6483" spans="1:12" ht="13.5">
      <c r="A6483" s="362"/>
      <c r="B6483" s="362"/>
      <c r="C6483" s="362"/>
      <c r="D6483" s="362"/>
      <c r="E6483" s="363"/>
      <c r="F6483" s="362"/>
      <c r="G6483" s="364"/>
      <c r="H6483" s="362"/>
      <c r="I6483" s="362"/>
      <c r="J6483" s="362"/>
      <c r="K6483" s="365"/>
      <c r="L6483" s="362"/>
    </row>
    <row r="6484" spans="1:12" ht="13.5">
      <c r="A6484" s="362"/>
      <c r="B6484" s="362"/>
      <c r="C6484" s="362"/>
      <c r="D6484" s="362"/>
      <c r="E6484" s="363"/>
      <c r="F6484" s="362"/>
      <c r="G6484" s="364"/>
      <c r="H6484" s="362"/>
      <c r="I6484" s="362"/>
      <c r="J6484" s="362"/>
      <c r="K6484" s="365"/>
      <c r="L6484" s="362"/>
    </row>
    <row r="6485" spans="1:12" ht="13.5">
      <c r="A6485" s="362"/>
      <c r="B6485" s="362"/>
      <c r="C6485" s="362"/>
      <c r="D6485" s="362"/>
      <c r="E6485" s="363"/>
      <c r="F6485" s="362"/>
      <c r="G6485" s="364"/>
      <c r="H6485" s="362"/>
      <c r="I6485" s="362"/>
      <c r="J6485" s="362"/>
      <c r="K6485" s="365"/>
      <c r="L6485" s="362"/>
    </row>
    <row r="6486" spans="1:12" ht="13.5">
      <c r="A6486" s="362"/>
      <c r="B6486" s="362"/>
      <c r="C6486" s="362"/>
      <c r="D6486" s="362"/>
      <c r="E6486" s="363"/>
      <c r="F6486" s="362"/>
      <c r="G6486" s="364"/>
      <c r="H6486" s="362"/>
      <c r="I6486" s="362"/>
      <c r="J6486" s="362"/>
      <c r="K6486" s="365"/>
      <c r="L6486" s="362"/>
    </row>
    <row r="6487" spans="1:12" ht="13.5">
      <c r="A6487" s="362"/>
      <c r="B6487" s="362"/>
      <c r="C6487" s="362"/>
      <c r="D6487" s="362"/>
      <c r="E6487" s="363"/>
      <c r="F6487" s="362"/>
      <c r="G6487" s="364"/>
      <c r="H6487" s="362"/>
      <c r="I6487" s="362"/>
      <c r="J6487" s="362"/>
      <c r="K6487" s="365"/>
      <c r="L6487" s="362"/>
    </row>
    <row r="6488" spans="1:12" ht="13.5">
      <c r="A6488" s="362"/>
      <c r="B6488" s="362"/>
      <c r="C6488" s="362"/>
      <c r="D6488" s="362"/>
      <c r="E6488" s="363"/>
      <c r="F6488" s="362"/>
      <c r="G6488" s="364"/>
      <c r="H6488" s="362"/>
      <c r="I6488" s="362"/>
      <c r="J6488" s="362"/>
      <c r="K6488" s="365"/>
      <c r="L6488" s="362"/>
    </row>
    <row r="6489" spans="1:12" ht="13.5">
      <c r="A6489" s="362"/>
      <c r="B6489" s="362"/>
      <c r="C6489" s="362"/>
      <c r="D6489" s="362"/>
      <c r="E6489" s="363"/>
      <c r="F6489" s="362"/>
      <c r="G6489" s="364"/>
      <c r="H6489" s="362"/>
      <c r="I6489" s="362"/>
      <c r="J6489" s="362"/>
      <c r="K6489" s="365"/>
      <c r="L6489" s="362"/>
    </row>
    <row r="6490" spans="1:12" ht="13.5">
      <c r="A6490" s="362"/>
      <c r="B6490" s="362"/>
      <c r="C6490" s="362"/>
      <c r="D6490" s="362"/>
      <c r="E6490" s="363"/>
      <c r="F6490" s="362"/>
      <c r="G6490" s="364"/>
      <c r="H6490" s="362"/>
      <c r="I6490" s="362"/>
      <c r="J6490" s="362"/>
      <c r="K6490" s="365"/>
      <c r="L6490" s="362"/>
    </row>
    <row r="6491" spans="1:12" ht="13.5">
      <c r="A6491" s="362"/>
      <c r="B6491" s="362"/>
      <c r="C6491" s="362"/>
      <c r="D6491" s="362"/>
      <c r="E6491" s="363"/>
      <c r="F6491" s="362"/>
      <c r="G6491" s="364"/>
      <c r="H6491" s="362"/>
      <c r="I6491" s="362"/>
      <c r="J6491" s="362"/>
      <c r="K6491" s="365"/>
      <c r="L6491" s="362"/>
    </row>
    <row r="6492" spans="1:12" ht="13.5">
      <c r="A6492" s="362"/>
      <c r="B6492" s="362"/>
      <c r="C6492" s="362"/>
      <c r="D6492" s="362"/>
      <c r="E6492" s="363"/>
      <c r="F6492" s="362"/>
      <c r="G6492" s="364"/>
      <c r="H6492" s="362"/>
      <c r="I6492" s="362"/>
      <c r="J6492" s="362"/>
      <c r="K6492" s="365"/>
      <c r="L6492" s="362"/>
    </row>
    <row r="6493" spans="1:12" ht="13.5">
      <c r="A6493" s="362"/>
      <c r="B6493" s="362"/>
      <c r="C6493" s="362"/>
      <c r="D6493" s="362"/>
      <c r="E6493" s="363"/>
      <c r="F6493" s="362"/>
      <c r="G6493" s="364"/>
      <c r="H6493" s="362"/>
      <c r="I6493" s="362"/>
      <c r="J6493" s="362"/>
      <c r="K6493" s="365"/>
      <c r="L6493" s="362"/>
    </row>
    <row r="6494" spans="1:12" ht="13.5">
      <c r="A6494" s="362"/>
      <c r="B6494" s="362"/>
      <c r="C6494" s="362"/>
      <c r="D6494" s="362"/>
      <c r="E6494" s="363"/>
      <c r="F6494" s="362"/>
      <c r="G6494" s="364"/>
      <c r="H6494" s="362"/>
      <c r="I6494" s="362"/>
      <c r="J6494" s="362"/>
      <c r="K6494" s="365"/>
      <c r="L6494" s="362"/>
    </row>
    <row r="6495" spans="1:12" ht="13.5">
      <c r="A6495" s="362"/>
      <c r="B6495" s="362"/>
      <c r="C6495" s="362"/>
      <c r="D6495" s="362"/>
      <c r="E6495" s="363"/>
      <c r="F6495" s="362"/>
      <c r="G6495" s="364"/>
      <c r="H6495" s="362"/>
      <c r="I6495" s="362"/>
      <c r="J6495" s="362"/>
      <c r="K6495" s="365"/>
      <c r="L6495" s="362"/>
    </row>
    <row r="6496" spans="1:12" ht="13.5">
      <c r="A6496" s="362"/>
      <c r="B6496" s="362"/>
      <c r="C6496" s="362"/>
      <c r="D6496" s="362"/>
      <c r="E6496" s="363"/>
      <c r="F6496" s="362"/>
      <c r="G6496" s="364"/>
      <c r="H6496" s="362"/>
      <c r="I6496" s="362"/>
      <c r="J6496" s="362"/>
      <c r="K6496" s="365"/>
      <c r="L6496" s="362"/>
    </row>
    <row r="6497" spans="1:12" ht="13.5">
      <c r="A6497" s="362"/>
      <c r="B6497" s="362"/>
      <c r="C6497" s="362"/>
      <c r="D6497" s="362"/>
      <c r="E6497" s="363"/>
      <c r="F6497" s="362"/>
      <c r="G6497" s="364"/>
      <c r="H6497" s="362"/>
      <c r="I6497" s="362"/>
      <c r="J6497" s="362"/>
      <c r="K6497" s="365"/>
      <c r="L6497" s="362"/>
    </row>
    <row r="6498" spans="1:12" ht="13.5">
      <c r="A6498" s="362"/>
      <c r="B6498" s="362"/>
      <c r="C6498" s="362"/>
      <c r="D6498" s="362"/>
      <c r="E6498" s="363"/>
      <c r="F6498" s="362"/>
      <c r="G6498" s="364"/>
      <c r="H6498" s="362"/>
      <c r="I6498" s="362"/>
      <c r="J6498" s="362"/>
      <c r="K6498" s="365"/>
      <c r="L6498" s="362"/>
    </row>
    <row r="6499" spans="1:12" ht="13.5">
      <c r="A6499" s="362"/>
      <c r="B6499" s="362"/>
      <c r="C6499" s="362"/>
      <c r="D6499" s="362"/>
      <c r="E6499" s="363"/>
      <c r="F6499" s="362"/>
      <c r="G6499" s="364"/>
      <c r="H6499" s="362"/>
      <c r="I6499" s="362"/>
      <c r="J6499" s="362"/>
      <c r="K6499" s="365"/>
      <c r="L6499" s="362"/>
    </row>
    <row r="6500" spans="1:12" ht="13.5">
      <c r="A6500" s="362"/>
      <c r="B6500" s="362"/>
      <c r="C6500" s="362"/>
      <c r="D6500" s="362"/>
      <c r="E6500" s="363"/>
      <c r="F6500" s="362"/>
      <c r="G6500" s="364"/>
      <c r="H6500" s="362"/>
      <c r="I6500" s="362"/>
      <c r="J6500" s="362"/>
      <c r="K6500" s="365"/>
      <c r="L6500" s="362"/>
    </row>
    <row r="6501" spans="1:12" ht="13.5">
      <c r="A6501" s="362"/>
      <c r="B6501" s="362"/>
      <c r="C6501" s="362"/>
      <c r="D6501" s="362"/>
      <c r="E6501" s="363"/>
      <c r="F6501" s="362"/>
      <c r="G6501" s="364"/>
      <c r="H6501" s="362"/>
      <c r="I6501" s="362"/>
      <c r="J6501" s="362"/>
      <c r="K6501" s="365"/>
      <c r="L6501" s="362"/>
    </row>
    <row r="6502" spans="1:12" ht="13.5">
      <c r="A6502" s="362"/>
      <c r="B6502" s="362"/>
      <c r="C6502" s="362"/>
      <c r="D6502" s="362"/>
      <c r="E6502" s="363"/>
      <c r="F6502" s="362"/>
      <c r="G6502" s="364"/>
      <c r="H6502" s="362"/>
      <c r="I6502" s="362"/>
      <c r="J6502" s="362"/>
      <c r="K6502" s="365"/>
      <c r="L6502" s="362"/>
    </row>
    <row r="6503" spans="1:12" ht="13.5">
      <c r="A6503" s="362"/>
      <c r="B6503" s="362"/>
      <c r="C6503" s="362"/>
      <c r="D6503" s="362"/>
      <c r="E6503" s="363"/>
      <c r="F6503" s="362"/>
      <c r="G6503" s="364"/>
      <c r="H6503" s="362"/>
      <c r="I6503" s="362"/>
      <c r="J6503" s="362"/>
      <c r="K6503" s="365"/>
      <c r="L6503" s="362"/>
    </row>
    <row r="6504" spans="1:12" ht="13.5">
      <c r="A6504" s="362"/>
      <c r="B6504" s="362"/>
      <c r="C6504" s="362"/>
      <c r="D6504" s="362"/>
      <c r="E6504" s="363"/>
      <c r="F6504" s="362"/>
      <c r="G6504" s="364"/>
      <c r="H6504" s="362"/>
      <c r="I6504" s="362"/>
      <c r="J6504" s="362"/>
      <c r="K6504" s="365"/>
      <c r="L6504" s="362"/>
    </row>
    <row r="6505" spans="1:12" ht="13.5">
      <c r="A6505" s="362"/>
      <c r="B6505" s="362"/>
      <c r="C6505" s="362"/>
      <c r="D6505" s="362"/>
      <c r="E6505" s="363"/>
      <c r="F6505" s="362"/>
      <c r="G6505" s="364"/>
      <c r="H6505" s="362"/>
      <c r="I6505" s="362"/>
      <c r="J6505" s="362"/>
      <c r="K6505" s="365"/>
      <c r="L6505" s="362"/>
    </row>
    <row r="6506" spans="1:12" ht="13.5">
      <c r="A6506" s="362"/>
      <c r="B6506" s="362"/>
      <c r="C6506" s="362"/>
      <c r="D6506" s="362"/>
      <c r="E6506" s="363"/>
      <c r="F6506" s="362"/>
      <c r="G6506" s="364"/>
      <c r="H6506" s="362"/>
      <c r="I6506" s="362"/>
      <c r="J6506" s="362"/>
      <c r="K6506" s="365"/>
      <c r="L6506" s="362"/>
    </row>
    <row r="6507" spans="1:12" ht="13.5">
      <c r="A6507" s="362"/>
      <c r="B6507" s="362"/>
      <c r="C6507" s="362"/>
      <c r="D6507" s="362"/>
      <c r="E6507" s="363"/>
      <c r="F6507" s="362"/>
      <c r="G6507" s="364"/>
      <c r="H6507" s="362"/>
      <c r="I6507" s="362"/>
      <c r="J6507" s="362"/>
      <c r="K6507" s="365"/>
      <c r="L6507" s="362"/>
    </row>
    <row r="6508" spans="1:12" ht="13.5">
      <c r="A6508" s="362"/>
      <c r="B6508" s="362"/>
      <c r="C6508" s="362"/>
      <c r="D6508" s="362"/>
      <c r="E6508" s="363"/>
      <c r="F6508" s="362"/>
      <c r="G6508" s="364"/>
      <c r="H6508" s="362"/>
      <c r="I6508" s="362"/>
      <c r="J6508" s="362"/>
      <c r="K6508" s="365"/>
      <c r="L6508" s="362"/>
    </row>
    <row r="6509" spans="1:12" ht="13.5">
      <c r="A6509" s="362"/>
      <c r="B6509" s="362"/>
      <c r="C6509" s="362"/>
      <c r="D6509" s="362"/>
      <c r="E6509" s="363"/>
      <c r="F6509" s="362"/>
      <c r="G6509" s="364"/>
      <c r="H6509" s="362"/>
      <c r="I6509" s="362"/>
      <c r="J6509" s="362"/>
      <c r="K6509" s="365"/>
      <c r="L6509" s="362"/>
    </row>
  </sheetData>
  <mergeCells count="3">
    <mergeCell ref="A1:M1"/>
    <mergeCell ref="A2:M2"/>
    <mergeCell ref="A3:M3"/>
  </mergeCells>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dimension ref="A1:N97"/>
  <sheetViews>
    <sheetView view="pageLayout" topLeftCell="A118" zoomScaleNormal="145" zoomScaleSheetLayoutView="115" workbookViewId="0">
      <selection activeCell="E25" sqref="E25"/>
    </sheetView>
  </sheetViews>
  <sheetFormatPr defaultRowHeight="12.75"/>
  <cols>
    <col min="1" max="1" width="10.5703125" style="286" customWidth="1"/>
    <col min="2" max="2" width="37.5703125" style="290" customWidth="1"/>
    <col min="3" max="3" width="10" style="289" customWidth="1"/>
    <col min="4" max="6" width="11.5703125" style="288" customWidth="1"/>
    <col min="7" max="7" width="9.140625" style="289"/>
    <col min="8" max="13" width="9.140625" style="287"/>
    <col min="14" max="16384" width="9.140625" style="286"/>
  </cols>
  <sheetData>
    <row r="1" spans="1:14" s="183" customFormat="1" ht="15">
      <c r="A1" s="140"/>
      <c r="B1" s="140"/>
      <c r="C1" s="441"/>
      <c r="D1" s="39"/>
      <c r="E1" s="45"/>
      <c r="F1" s="40"/>
      <c r="G1" s="141"/>
      <c r="H1" s="426"/>
      <c r="I1" s="141"/>
      <c r="J1" s="429"/>
      <c r="K1" s="382"/>
      <c r="L1" s="383"/>
      <c r="M1" s="1"/>
      <c r="N1" s="1"/>
    </row>
    <row r="2" spans="1:14" s="183" customFormat="1">
      <c r="A2" s="706" t="s">
        <v>35</v>
      </c>
      <c r="B2" s="706"/>
      <c r="C2" s="706"/>
      <c r="D2" s="706"/>
      <c r="E2" s="706"/>
      <c r="F2" s="706"/>
      <c r="G2" s="706"/>
      <c r="H2" s="706"/>
      <c r="I2" s="439"/>
      <c r="J2" s="439"/>
      <c r="K2" s="439"/>
      <c r="L2" s="17"/>
      <c r="M2" s="17"/>
      <c r="N2" s="18"/>
    </row>
    <row r="3" spans="1:14" s="183" customFormat="1">
      <c r="A3" s="706" t="s">
        <v>36</v>
      </c>
      <c r="B3" s="706"/>
      <c r="C3" s="706"/>
      <c r="D3" s="706"/>
      <c r="E3" s="706"/>
      <c r="F3" s="706"/>
      <c r="G3" s="706"/>
      <c r="H3" s="706"/>
      <c r="I3" s="439"/>
      <c r="J3" s="439"/>
      <c r="K3" s="439"/>
      <c r="L3" s="17"/>
      <c r="M3" s="17"/>
      <c r="N3" s="18"/>
    </row>
    <row r="4" spans="1:14" s="183" customFormat="1">
      <c r="A4" s="706" t="s">
        <v>5924</v>
      </c>
      <c r="B4" s="706"/>
      <c r="C4" s="706"/>
      <c r="D4" s="706"/>
      <c r="E4" s="706"/>
      <c r="F4" s="706"/>
      <c r="G4" s="706"/>
      <c r="H4" s="706"/>
      <c r="I4" s="439"/>
      <c r="J4" s="439"/>
      <c r="K4" s="439"/>
      <c r="L4" s="17"/>
      <c r="M4" s="17"/>
      <c r="N4" s="18"/>
    </row>
    <row r="5" spans="1:14" s="183" customFormat="1" ht="15">
      <c r="A5" s="33"/>
      <c r="B5" s="33"/>
      <c r="C5" s="33"/>
      <c r="D5" s="34" t="s">
        <v>29</v>
      </c>
      <c r="E5" s="186"/>
      <c r="F5" s="424"/>
      <c r="G5" s="41"/>
      <c r="H5" s="148"/>
      <c r="I5" s="41"/>
      <c r="J5" s="428"/>
      <c r="K5" s="384"/>
      <c r="L5" s="17"/>
      <c r="M5" s="17"/>
      <c r="N5" s="18"/>
    </row>
    <row r="6" spans="1:14" s="183" customFormat="1" ht="15">
      <c r="A6" s="33"/>
      <c r="B6" s="33"/>
      <c r="C6" s="33"/>
      <c r="D6" s="34"/>
      <c r="E6" s="186"/>
      <c r="F6" s="42"/>
      <c r="G6" s="141"/>
      <c r="H6" s="426"/>
      <c r="I6" s="141"/>
      <c r="J6" s="429"/>
      <c r="K6" s="382"/>
      <c r="L6" s="383"/>
      <c r="M6" s="1"/>
      <c r="N6" s="1"/>
    </row>
    <row r="7" spans="1:14" s="183" customFormat="1" ht="15.75">
      <c r="A7" s="749" t="s">
        <v>9605</v>
      </c>
      <c r="B7" s="749"/>
      <c r="C7" s="749"/>
      <c r="D7" s="749"/>
      <c r="E7" s="749"/>
      <c r="F7" s="749"/>
      <c r="G7" s="749"/>
      <c r="H7" s="749"/>
      <c r="I7" s="437"/>
      <c r="J7" s="437"/>
      <c r="K7" s="437"/>
      <c r="L7" s="17"/>
      <c r="M7" s="17"/>
      <c r="N7" s="18"/>
    </row>
    <row r="8" spans="1:14" s="183" customFormat="1" ht="15">
      <c r="A8" s="33"/>
      <c r="B8" s="33"/>
      <c r="C8" s="33"/>
      <c r="D8" s="34"/>
      <c r="E8" s="186"/>
      <c r="F8" s="424"/>
      <c r="G8" s="41"/>
      <c r="H8" s="148"/>
      <c r="I8" s="41"/>
      <c r="J8" s="428"/>
      <c r="K8" s="384"/>
      <c r="L8" s="17"/>
      <c r="M8" s="17"/>
      <c r="N8" s="18"/>
    </row>
    <row r="9" spans="1:14" s="4" customFormat="1">
      <c r="A9" s="438" t="s">
        <v>5251</v>
      </c>
      <c r="B9" s="705" t="str">
        <f>'Orç - Canteiro e Adm'!B9:J9</f>
        <v>Construção do edifício UEP-FCE</v>
      </c>
      <c r="C9" s="705"/>
      <c r="D9" s="705"/>
      <c r="E9" s="705"/>
      <c r="F9" s="705"/>
      <c r="G9" s="705"/>
      <c r="H9" s="705"/>
      <c r="I9" s="440"/>
      <c r="J9" s="440"/>
      <c r="K9" s="384"/>
      <c r="L9" s="384"/>
      <c r="M9" s="1"/>
      <c r="N9" s="1"/>
    </row>
    <row r="10" spans="1:14" s="183" customFormat="1">
      <c r="A10" s="438" t="s">
        <v>131</v>
      </c>
      <c r="B10" s="705" t="str">
        <f>'Orç - Canteiro e Adm'!B10:J10</f>
        <v>QNN 14, Área Especial, Campus UnB Ceilândia, RA IX</v>
      </c>
      <c r="C10" s="705"/>
      <c r="D10" s="705"/>
      <c r="E10" s="705"/>
      <c r="F10" s="705"/>
      <c r="G10" s="705"/>
      <c r="H10" s="705"/>
      <c r="I10" s="440"/>
      <c r="J10" s="440"/>
      <c r="K10" s="384"/>
      <c r="L10" s="384"/>
      <c r="M10" s="1"/>
      <c r="N10" s="1"/>
    </row>
    <row r="11" spans="1:14" s="183" customFormat="1">
      <c r="A11" s="438" t="s">
        <v>5252</v>
      </c>
      <c r="B11" s="705" t="str">
        <f>'Orç - Canteiro e Adm'!B11:J11</f>
        <v>Agosto de 2019</v>
      </c>
      <c r="C11" s="705"/>
      <c r="D11" s="705"/>
      <c r="E11" s="705"/>
      <c r="F11" s="705"/>
      <c r="G11" s="705"/>
      <c r="H11" s="705"/>
      <c r="I11" s="440"/>
      <c r="J11" s="440"/>
      <c r="K11" s="384"/>
      <c r="L11" s="384"/>
      <c r="M11" s="1"/>
      <c r="N11" s="1"/>
    </row>
    <row r="12" spans="1:14" s="176" customFormat="1">
      <c r="A12" s="425"/>
      <c r="B12" s="746"/>
      <c r="C12" s="746"/>
      <c r="D12" s="746"/>
      <c r="E12" s="746"/>
      <c r="F12" s="746"/>
      <c r="G12" s="746"/>
      <c r="H12" s="746"/>
      <c r="I12" s="746"/>
      <c r="J12" s="746"/>
      <c r="K12" s="425"/>
    </row>
    <row r="13" spans="1:14">
      <c r="B13" s="443" t="s">
        <v>8158</v>
      </c>
      <c r="C13" s="444" t="s">
        <v>8844</v>
      </c>
      <c r="D13" s="444" t="s">
        <v>7837</v>
      </c>
      <c r="E13" s="444" t="s">
        <v>7838</v>
      </c>
      <c r="F13" s="444" t="s">
        <v>6877</v>
      </c>
      <c r="G13" s="444" t="s">
        <v>8845</v>
      </c>
    </row>
    <row r="14" spans="1:14" ht="22.5">
      <c r="B14" s="291" t="s">
        <v>7020</v>
      </c>
      <c r="C14" s="442"/>
      <c r="D14" s="293">
        <f>235.64+0.96</f>
        <v>236.6</v>
      </c>
      <c r="E14" s="293">
        <f>0.96+157.32</f>
        <v>158.28</v>
      </c>
      <c r="F14" s="293">
        <v>3</v>
      </c>
      <c r="G14" s="292">
        <f>F14+E14+D14</f>
        <v>397.88</v>
      </c>
    </row>
    <row r="15" spans="1:14" s="346" customFormat="1" ht="22.5">
      <c r="A15" s="286"/>
      <c r="B15" s="291" t="s">
        <v>7021</v>
      </c>
      <c r="C15" s="442">
        <v>10.11</v>
      </c>
      <c r="D15" s="293">
        <f>98.67</f>
        <v>98.67</v>
      </c>
      <c r="E15" s="293">
        <v>79.09</v>
      </c>
      <c r="F15" s="293"/>
      <c r="G15" s="292">
        <f t="shared" ref="G15:G72" si="0">F15+E15+D15</f>
        <v>177.76</v>
      </c>
      <c r="H15" s="287"/>
      <c r="I15" s="345"/>
      <c r="J15" s="345"/>
      <c r="K15" s="345"/>
      <c r="L15" s="345"/>
      <c r="M15" s="345"/>
    </row>
    <row r="16" spans="1:14" ht="22.5">
      <c r="B16" s="291" t="s">
        <v>7022</v>
      </c>
      <c r="C16" s="442"/>
      <c r="D16" s="293">
        <v>66.319999999999993</v>
      </c>
      <c r="E16" s="293">
        <v>47.8</v>
      </c>
      <c r="F16" s="293"/>
      <c r="G16" s="292">
        <f t="shared" si="0"/>
        <v>114.11999999999999</v>
      </c>
    </row>
    <row r="17" spans="1:13" s="346" customFormat="1" ht="22.5">
      <c r="A17" s="286"/>
      <c r="B17" s="291" t="s">
        <v>7023</v>
      </c>
      <c r="C17" s="442">
        <v>25.16</v>
      </c>
      <c r="D17" s="293">
        <f>29.25+39.03-25.16</f>
        <v>43.120000000000005</v>
      </c>
      <c r="E17" s="293">
        <f>65.49+3.75</f>
        <v>69.239999999999995</v>
      </c>
      <c r="F17" s="293">
        <f>25.72+12.1+1</f>
        <v>38.82</v>
      </c>
      <c r="G17" s="292">
        <f t="shared" si="0"/>
        <v>151.18</v>
      </c>
      <c r="H17" s="287"/>
      <c r="I17" s="345"/>
      <c r="J17" s="345"/>
      <c r="K17" s="345"/>
      <c r="L17" s="345"/>
      <c r="M17" s="345"/>
    </row>
    <row r="18" spans="1:13" ht="22.5">
      <c r="B18" s="291" t="s">
        <v>7024</v>
      </c>
      <c r="C18" s="442"/>
      <c r="D18" s="293">
        <v>13.99</v>
      </c>
      <c r="E18" s="293">
        <v>17.149999999999999</v>
      </c>
      <c r="F18" s="293"/>
      <c r="G18" s="292">
        <f t="shared" si="0"/>
        <v>31.14</v>
      </c>
    </row>
    <row r="19" spans="1:13" ht="22.5">
      <c r="B19" s="291" t="s">
        <v>7025</v>
      </c>
      <c r="C19" s="442"/>
      <c r="D19" s="293">
        <v>0.82</v>
      </c>
      <c r="E19" s="293">
        <v>10.210000000000001</v>
      </c>
      <c r="F19" s="293">
        <v>42.01</v>
      </c>
      <c r="G19" s="292">
        <f t="shared" si="0"/>
        <v>53.04</v>
      </c>
    </row>
    <row r="20" spans="1:13" s="346" customFormat="1" ht="33.75">
      <c r="A20" s="286"/>
      <c r="B20" s="291" t="s">
        <v>7843</v>
      </c>
      <c r="C20" s="442">
        <v>2</v>
      </c>
      <c r="D20" s="293">
        <v>1</v>
      </c>
      <c r="E20" s="293"/>
      <c r="F20" s="293"/>
      <c r="G20" s="292">
        <f t="shared" si="0"/>
        <v>1</v>
      </c>
      <c r="H20" s="287"/>
      <c r="I20" s="345"/>
      <c r="J20" s="345"/>
      <c r="K20" s="345"/>
      <c r="L20" s="345"/>
      <c r="M20" s="345"/>
    </row>
    <row r="21" spans="1:13" s="346" customFormat="1" ht="33.75">
      <c r="A21" s="286"/>
      <c r="B21" s="291" t="s">
        <v>7026</v>
      </c>
      <c r="C21" s="442">
        <v>2</v>
      </c>
      <c r="D21" s="293"/>
      <c r="E21" s="293"/>
      <c r="F21" s="293">
        <f>3+1</f>
        <v>4</v>
      </c>
      <c r="G21" s="292">
        <f t="shared" si="0"/>
        <v>4</v>
      </c>
      <c r="H21" s="287"/>
      <c r="I21" s="345"/>
      <c r="J21" s="345"/>
      <c r="K21" s="345"/>
      <c r="L21" s="345"/>
      <c r="M21" s="345"/>
    </row>
    <row r="22" spans="1:13" ht="33.75">
      <c r="B22" s="291" t="s">
        <v>7027</v>
      </c>
      <c r="C22" s="442"/>
      <c r="D22" s="293">
        <v>0</v>
      </c>
      <c r="E22" s="293"/>
      <c r="F22" s="293">
        <v>5</v>
      </c>
      <c r="G22" s="292">
        <f t="shared" si="0"/>
        <v>5</v>
      </c>
    </row>
    <row r="23" spans="1:13" ht="22.5">
      <c r="B23" s="291" t="s">
        <v>7028</v>
      </c>
      <c r="C23" s="442"/>
      <c r="D23" s="293">
        <v>30</v>
      </c>
      <c r="E23" s="293">
        <v>33</v>
      </c>
      <c r="F23" s="293"/>
      <c r="G23" s="292">
        <f t="shared" si="0"/>
        <v>63</v>
      </c>
    </row>
    <row r="24" spans="1:13" s="346" customFormat="1" ht="22.5">
      <c r="A24" s="286"/>
      <c r="B24" s="291" t="s">
        <v>7029</v>
      </c>
      <c r="C24" s="442">
        <v>1</v>
      </c>
      <c r="D24" s="293">
        <v>12</v>
      </c>
      <c r="E24" s="293">
        <v>8</v>
      </c>
      <c r="F24" s="293"/>
      <c r="G24" s="292">
        <f t="shared" si="0"/>
        <v>20</v>
      </c>
      <c r="H24" s="287"/>
      <c r="I24" s="345"/>
      <c r="J24" s="345"/>
      <c r="K24" s="345"/>
      <c r="L24" s="345"/>
      <c r="M24" s="345"/>
    </row>
    <row r="25" spans="1:13" s="346" customFormat="1" ht="33.75">
      <c r="A25" s="286"/>
      <c r="B25" s="291" t="s">
        <v>7030</v>
      </c>
      <c r="C25" s="442">
        <v>8</v>
      </c>
      <c r="D25" s="293">
        <v>9</v>
      </c>
      <c r="E25" s="293">
        <v>9</v>
      </c>
      <c r="F25" s="293">
        <f>2+2</f>
        <v>4</v>
      </c>
      <c r="G25" s="292">
        <f t="shared" si="0"/>
        <v>22</v>
      </c>
      <c r="H25" s="287"/>
      <c r="I25" s="345"/>
      <c r="J25" s="345"/>
      <c r="K25" s="345"/>
      <c r="L25" s="345"/>
      <c r="M25" s="345"/>
    </row>
    <row r="26" spans="1:13" ht="33.75">
      <c r="B26" s="291" t="s">
        <v>7852</v>
      </c>
      <c r="C26" s="442"/>
      <c r="D26" s="293">
        <f>9+8</f>
        <v>17</v>
      </c>
      <c r="E26" s="293">
        <v>9</v>
      </c>
      <c r="F26" s="293">
        <v>10</v>
      </c>
      <c r="G26" s="292">
        <f t="shared" si="0"/>
        <v>36</v>
      </c>
    </row>
    <row r="27" spans="1:13">
      <c r="B27" s="291" t="s">
        <v>7031</v>
      </c>
      <c r="C27" s="442"/>
      <c r="D27" s="293">
        <v>1</v>
      </c>
      <c r="E27" s="293">
        <v>2</v>
      </c>
      <c r="F27" s="293"/>
      <c r="G27" s="292">
        <f t="shared" si="0"/>
        <v>3</v>
      </c>
    </row>
    <row r="28" spans="1:13">
      <c r="B28" s="291" t="s">
        <v>7032</v>
      </c>
      <c r="C28" s="442"/>
      <c r="D28" s="293">
        <v>3</v>
      </c>
      <c r="E28" s="293">
        <v>3</v>
      </c>
      <c r="F28" s="293"/>
      <c r="G28" s="292">
        <f t="shared" si="0"/>
        <v>6</v>
      </c>
    </row>
    <row r="29" spans="1:13">
      <c r="B29" s="291" t="s">
        <v>7033</v>
      </c>
      <c r="C29" s="442"/>
      <c r="D29" s="293">
        <v>1</v>
      </c>
      <c r="E29" s="293">
        <v>1</v>
      </c>
      <c r="F29" s="293"/>
      <c r="G29" s="292">
        <f t="shared" si="0"/>
        <v>2</v>
      </c>
    </row>
    <row r="30" spans="1:13">
      <c r="B30" s="291" t="s">
        <v>7034</v>
      </c>
      <c r="C30" s="442"/>
      <c r="D30" s="293">
        <v>9</v>
      </c>
      <c r="E30" s="293">
        <v>11</v>
      </c>
      <c r="F30" s="293"/>
      <c r="G30" s="292">
        <f t="shared" si="0"/>
        <v>20</v>
      </c>
    </row>
    <row r="31" spans="1:13">
      <c r="B31" s="291" t="s">
        <v>7035</v>
      </c>
      <c r="C31" s="442"/>
      <c r="D31" s="293">
        <v>1</v>
      </c>
      <c r="E31" s="293">
        <v>1</v>
      </c>
      <c r="F31" s="293"/>
      <c r="G31" s="292">
        <f t="shared" si="0"/>
        <v>2</v>
      </c>
    </row>
    <row r="32" spans="1:13">
      <c r="B32" s="291" t="s">
        <v>7036</v>
      </c>
      <c r="C32" s="442"/>
      <c r="D32" s="293">
        <v>2</v>
      </c>
      <c r="E32" s="293"/>
      <c r="F32" s="293"/>
      <c r="G32" s="292">
        <f t="shared" si="0"/>
        <v>2</v>
      </c>
    </row>
    <row r="33" spans="1:13">
      <c r="B33" s="291" t="s">
        <v>7037</v>
      </c>
      <c r="C33" s="442"/>
      <c r="D33" s="293">
        <v>1</v>
      </c>
      <c r="E33" s="293"/>
      <c r="F33" s="293"/>
      <c r="G33" s="292">
        <f t="shared" si="0"/>
        <v>1</v>
      </c>
    </row>
    <row r="34" spans="1:13">
      <c r="B34" s="291" t="s">
        <v>7038</v>
      </c>
      <c r="C34" s="442"/>
      <c r="D34" s="293">
        <v>0</v>
      </c>
      <c r="E34" s="293">
        <f>1+2</f>
        <v>3</v>
      </c>
      <c r="F34" s="293"/>
      <c r="G34" s="292">
        <f t="shared" si="0"/>
        <v>3</v>
      </c>
    </row>
    <row r="35" spans="1:13">
      <c r="B35" s="291" t="s">
        <v>7046</v>
      </c>
      <c r="C35" s="442"/>
      <c r="D35" s="293">
        <v>44</v>
      </c>
      <c r="E35" s="293"/>
      <c r="F35" s="293"/>
      <c r="G35" s="292">
        <f t="shared" si="0"/>
        <v>44</v>
      </c>
    </row>
    <row r="36" spans="1:13" ht="22.5">
      <c r="B36" s="291" t="s">
        <v>7049</v>
      </c>
      <c r="C36" s="442"/>
      <c r="D36" s="293">
        <v>1</v>
      </c>
      <c r="E36" s="293"/>
      <c r="F36" s="293"/>
      <c r="G36" s="292">
        <f t="shared" si="0"/>
        <v>1</v>
      </c>
    </row>
    <row r="37" spans="1:13" ht="22.5">
      <c r="B37" s="291" t="s">
        <v>7050</v>
      </c>
      <c r="C37" s="442"/>
      <c r="D37" s="293">
        <v>0</v>
      </c>
      <c r="E37" s="293"/>
      <c r="F37" s="293">
        <v>2</v>
      </c>
      <c r="G37" s="292">
        <f t="shared" si="0"/>
        <v>2</v>
      </c>
    </row>
    <row r="38" spans="1:13" s="346" customFormat="1" ht="22.5">
      <c r="A38" s="286"/>
      <c r="B38" s="291" t="s">
        <v>7842</v>
      </c>
      <c r="C38" s="442">
        <v>1</v>
      </c>
      <c r="D38" s="293"/>
      <c r="E38" s="293"/>
      <c r="F38" s="293"/>
      <c r="G38" s="292">
        <f t="shared" si="0"/>
        <v>0</v>
      </c>
      <c r="H38" s="287"/>
      <c r="I38" s="345"/>
      <c r="J38" s="345"/>
      <c r="K38" s="345"/>
      <c r="L38" s="345"/>
      <c r="M38" s="345"/>
    </row>
    <row r="39" spans="1:13" ht="22.5">
      <c r="B39" s="291" t="s">
        <v>7051</v>
      </c>
      <c r="C39" s="442"/>
      <c r="D39" s="293">
        <v>116</v>
      </c>
      <c r="E39" s="293">
        <v>48</v>
      </c>
      <c r="F39" s="293">
        <v>1</v>
      </c>
      <c r="G39" s="292">
        <f t="shared" si="0"/>
        <v>165</v>
      </c>
    </row>
    <row r="40" spans="1:13" s="346" customFormat="1" ht="22.5">
      <c r="A40" s="286"/>
      <c r="B40" s="291" t="s">
        <v>7052</v>
      </c>
      <c r="C40" s="442">
        <v>4</v>
      </c>
      <c r="D40" s="293">
        <v>17</v>
      </c>
      <c r="E40" s="293">
        <v>11</v>
      </c>
      <c r="F40" s="293"/>
      <c r="G40" s="292">
        <f t="shared" si="0"/>
        <v>28</v>
      </c>
      <c r="H40" s="287"/>
      <c r="I40" s="345"/>
      <c r="J40" s="345"/>
      <c r="K40" s="345"/>
      <c r="L40" s="345"/>
      <c r="M40" s="345"/>
    </row>
    <row r="41" spans="1:13" ht="22.5">
      <c r="B41" s="291" t="s">
        <v>7053</v>
      </c>
      <c r="C41" s="442"/>
      <c r="D41" s="293">
        <v>3</v>
      </c>
      <c r="E41" s="293">
        <v>3</v>
      </c>
      <c r="F41" s="293"/>
      <c r="G41" s="292">
        <f t="shared" si="0"/>
        <v>6</v>
      </c>
    </row>
    <row r="42" spans="1:13" s="346" customFormat="1" ht="22.5">
      <c r="A42" s="286"/>
      <c r="B42" s="291" t="s">
        <v>7054</v>
      </c>
      <c r="C42" s="442">
        <v>4</v>
      </c>
      <c r="D42" s="293">
        <v>16</v>
      </c>
      <c r="E42" s="293">
        <v>18</v>
      </c>
      <c r="F42" s="293">
        <f>10+5</f>
        <v>15</v>
      </c>
      <c r="G42" s="292">
        <f t="shared" si="0"/>
        <v>49</v>
      </c>
      <c r="H42" s="287"/>
      <c r="I42" s="345"/>
      <c r="J42" s="345"/>
      <c r="K42" s="345"/>
      <c r="L42" s="345"/>
      <c r="M42" s="345"/>
    </row>
    <row r="43" spans="1:13" ht="22.5">
      <c r="B43" s="291" t="s">
        <v>7055</v>
      </c>
      <c r="C43" s="442"/>
      <c r="D43" s="293">
        <v>1</v>
      </c>
      <c r="E43" s="293">
        <v>2</v>
      </c>
      <c r="F43" s="293"/>
      <c r="G43" s="292">
        <f t="shared" si="0"/>
        <v>3</v>
      </c>
    </row>
    <row r="44" spans="1:13" ht="22.5">
      <c r="B44" s="291" t="s">
        <v>7056</v>
      </c>
      <c r="C44" s="442"/>
      <c r="D44" s="293">
        <v>1</v>
      </c>
      <c r="E44" s="293">
        <v>1</v>
      </c>
      <c r="F44" s="293">
        <v>13</v>
      </c>
      <c r="G44" s="292">
        <f t="shared" si="0"/>
        <v>15</v>
      </c>
    </row>
    <row r="45" spans="1:13" ht="22.5">
      <c r="B45" s="291" t="s">
        <v>7057</v>
      </c>
      <c r="C45" s="442"/>
      <c r="D45" s="293">
        <v>0</v>
      </c>
      <c r="E45" s="293"/>
      <c r="F45" s="293">
        <v>2</v>
      </c>
      <c r="G45" s="292">
        <f t="shared" si="0"/>
        <v>2</v>
      </c>
    </row>
    <row r="46" spans="1:13" ht="22.5">
      <c r="B46" s="291" t="s">
        <v>7058</v>
      </c>
      <c r="C46" s="442"/>
      <c r="D46" s="293">
        <v>1</v>
      </c>
      <c r="E46" s="293">
        <v>1</v>
      </c>
      <c r="F46" s="293"/>
      <c r="G46" s="292">
        <v>5</v>
      </c>
    </row>
    <row r="47" spans="1:13" ht="22.5">
      <c r="B47" s="291" t="s">
        <v>7059</v>
      </c>
      <c r="C47" s="442"/>
      <c r="D47" s="293">
        <v>34</v>
      </c>
      <c r="E47" s="293">
        <v>20</v>
      </c>
      <c r="F47" s="293">
        <v>1</v>
      </c>
      <c r="G47" s="292">
        <f t="shared" si="0"/>
        <v>55</v>
      </c>
    </row>
    <row r="48" spans="1:13" ht="22.5">
      <c r="B48" s="291" t="s">
        <v>7060</v>
      </c>
      <c r="C48" s="442"/>
      <c r="D48" s="293">
        <v>7</v>
      </c>
      <c r="E48" s="293">
        <v>3</v>
      </c>
      <c r="F48" s="293"/>
      <c r="G48" s="292">
        <f t="shared" si="0"/>
        <v>10</v>
      </c>
    </row>
    <row r="49" spans="1:13" ht="22.5">
      <c r="B49" s="291" t="s">
        <v>7061</v>
      </c>
      <c r="C49" s="442"/>
      <c r="D49" s="293">
        <f>49+3</f>
        <v>52</v>
      </c>
      <c r="E49" s="293"/>
      <c r="F49" s="293"/>
      <c r="G49" s="292">
        <f t="shared" si="0"/>
        <v>52</v>
      </c>
    </row>
    <row r="50" spans="1:13" ht="22.5">
      <c r="B50" s="291" t="s">
        <v>7062</v>
      </c>
      <c r="C50" s="442"/>
      <c r="D50" s="293">
        <v>0</v>
      </c>
      <c r="E50" s="293">
        <f>12+4</f>
        <v>16</v>
      </c>
      <c r="F50" s="293"/>
      <c r="G50" s="292">
        <f t="shared" si="0"/>
        <v>16</v>
      </c>
    </row>
    <row r="51" spans="1:13" ht="22.5">
      <c r="B51" s="291" t="s">
        <v>7067</v>
      </c>
      <c r="C51" s="442"/>
      <c r="D51" s="293">
        <f>1+16</f>
        <v>17</v>
      </c>
      <c r="E51" s="293">
        <v>3</v>
      </c>
      <c r="F51" s="293"/>
      <c r="G51" s="292">
        <f t="shared" si="0"/>
        <v>20</v>
      </c>
    </row>
    <row r="52" spans="1:13" ht="22.5">
      <c r="B52" s="291" t="s">
        <v>7850</v>
      </c>
      <c r="C52" s="442"/>
      <c r="D52" s="293">
        <v>7</v>
      </c>
      <c r="E52" s="293"/>
      <c r="F52" s="293"/>
      <c r="G52" s="292">
        <f t="shared" si="0"/>
        <v>7</v>
      </c>
    </row>
    <row r="53" spans="1:13" ht="22.5">
      <c r="B53" s="291" t="s">
        <v>7068</v>
      </c>
      <c r="C53" s="442"/>
      <c r="D53" s="293">
        <v>0</v>
      </c>
      <c r="E53" s="293"/>
      <c r="F53" s="293">
        <v>1</v>
      </c>
      <c r="G53" s="292">
        <f t="shared" si="0"/>
        <v>1</v>
      </c>
    </row>
    <row r="54" spans="1:13" ht="22.5">
      <c r="B54" s="291" t="s">
        <v>7069</v>
      </c>
      <c r="C54" s="442"/>
      <c r="D54" s="293">
        <v>3</v>
      </c>
      <c r="E54" s="293"/>
      <c r="F54" s="293"/>
      <c r="G54" s="292">
        <f t="shared" si="0"/>
        <v>3</v>
      </c>
    </row>
    <row r="55" spans="1:13" ht="22.5">
      <c r="B55" s="291" t="s">
        <v>7070</v>
      </c>
      <c r="C55" s="442"/>
      <c r="D55" s="293">
        <v>2</v>
      </c>
      <c r="E55" s="293">
        <v>5</v>
      </c>
      <c r="F55" s="293"/>
      <c r="G55" s="292">
        <f t="shared" si="0"/>
        <v>7</v>
      </c>
    </row>
    <row r="56" spans="1:13" s="346" customFormat="1" ht="22.5">
      <c r="A56" s="286"/>
      <c r="B56" s="291" t="s">
        <v>7071</v>
      </c>
      <c r="C56" s="442">
        <v>2</v>
      </c>
      <c r="D56" s="293"/>
      <c r="E56" s="293"/>
      <c r="F56" s="293"/>
      <c r="G56" s="292">
        <f t="shared" si="0"/>
        <v>0</v>
      </c>
      <c r="H56" s="287"/>
      <c r="I56" s="345"/>
      <c r="J56" s="345"/>
      <c r="K56" s="345"/>
      <c r="L56" s="345"/>
      <c r="M56" s="345"/>
    </row>
    <row r="57" spans="1:13" ht="22.5">
      <c r="B57" s="291" t="s">
        <v>7072</v>
      </c>
      <c r="C57" s="442"/>
      <c r="D57" s="293">
        <v>1</v>
      </c>
      <c r="E57" s="293">
        <v>1</v>
      </c>
      <c r="F57" s="293"/>
      <c r="G57" s="292">
        <f t="shared" si="0"/>
        <v>2</v>
      </c>
    </row>
    <row r="58" spans="1:13" ht="22.5">
      <c r="B58" s="291" t="s">
        <v>7073</v>
      </c>
      <c r="C58" s="442"/>
      <c r="D58" s="293">
        <v>1</v>
      </c>
      <c r="E58" s="293">
        <f>3+1</f>
        <v>4</v>
      </c>
      <c r="F58" s="293"/>
      <c r="G58" s="292">
        <f t="shared" si="0"/>
        <v>5</v>
      </c>
    </row>
    <row r="59" spans="1:13" ht="22.5">
      <c r="B59" s="291" t="s">
        <v>7075</v>
      </c>
      <c r="C59" s="442"/>
      <c r="D59" s="293">
        <v>67</v>
      </c>
      <c r="E59" s="293">
        <v>44</v>
      </c>
      <c r="F59" s="293"/>
      <c r="G59" s="292">
        <f t="shared" si="0"/>
        <v>111</v>
      </c>
    </row>
    <row r="60" spans="1:13" s="346" customFormat="1" ht="22.5">
      <c r="A60" s="286"/>
      <c r="B60" s="291" t="s">
        <v>7076</v>
      </c>
      <c r="C60" s="442">
        <v>1</v>
      </c>
      <c r="D60" s="293">
        <v>5</v>
      </c>
      <c r="E60" s="293">
        <v>7</v>
      </c>
      <c r="F60" s="293"/>
      <c r="G60" s="292">
        <f t="shared" si="0"/>
        <v>12</v>
      </c>
      <c r="H60" s="287"/>
      <c r="I60" s="345"/>
      <c r="J60" s="345"/>
      <c r="K60" s="345"/>
      <c r="L60" s="345"/>
      <c r="M60" s="345"/>
    </row>
    <row r="61" spans="1:13" ht="22.5">
      <c r="B61" s="291" t="s">
        <v>7077</v>
      </c>
      <c r="C61" s="442"/>
      <c r="D61" s="293">
        <v>11</v>
      </c>
      <c r="E61" s="293">
        <v>6</v>
      </c>
      <c r="F61" s="293"/>
      <c r="G61" s="292">
        <f t="shared" si="0"/>
        <v>17</v>
      </c>
    </row>
    <row r="62" spans="1:13" s="346" customFormat="1" ht="22.5">
      <c r="A62" s="286"/>
      <c r="B62" s="291" t="s">
        <v>7078</v>
      </c>
      <c r="C62" s="442">
        <v>5</v>
      </c>
      <c r="D62" s="293">
        <v>1</v>
      </c>
      <c r="E62" s="293">
        <v>2</v>
      </c>
      <c r="F62" s="293">
        <f>1+2</f>
        <v>3</v>
      </c>
      <c r="G62" s="292">
        <f t="shared" si="0"/>
        <v>6</v>
      </c>
      <c r="H62" s="287"/>
      <c r="I62" s="345"/>
      <c r="J62" s="345"/>
      <c r="K62" s="345"/>
      <c r="L62" s="345"/>
      <c r="M62" s="345"/>
    </row>
    <row r="63" spans="1:13" ht="22.5">
      <c r="B63" s="291" t="s">
        <v>7079</v>
      </c>
      <c r="C63" s="442"/>
      <c r="D63" s="293">
        <v>8</v>
      </c>
      <c r="E63" s="293">
        <v>7</v>
      </c>
      <c r="F63" s="293"/>
      <c r="G63" s="292">
        <f t="shared" si="0"/>
        <v>15</v>
      </c>
    </row>
    <row r="64" spans="1:13" ht="22.5">
      <c r="B64" s="291" t="s">
        <v>7080</v>
      </c>
      <c r="C64" s="442"/>
      <c r="D64" s="293">
        <v>0</v>
      </c>
      <c r="E64" s="293">
        <v>1</v>
      </c>
      <c r="F64" s="293">
        <v>3</v>
      </c>
      <c r="G64" s="292">
        <f t="shared" si="0"/>
        <v>4</v>
      </c>
    </row>
    <row r="65" spans="2:7" ht="22.5">
      <c r="B65" s="291" t="s">
        <v>7081</v>
      </c>
      <c r="C65" s="442"/>
      <c r="D65" s="293">
        <v>14</v>
      </c>
      <c r="E65" s="293">
        <v>7</v>
      </c>
      <c r="F65" s="293"/>
      <c r="G65" s="292">
        <f t="shared" si="0"/>
        <v>21</v>
      </c>
    </row>
    <row r="66" spans="2:7" ht="22.5">
      <c r="B66" s="291" t="s">
        <v>7082</v>
      </c>
      <c r="C66" s="442"/>
      <c r="D66" s="293">
        <v>4</v>
      </c>
      <c r="E66" s="293">
        <v>3</v>
      </c>
      <c r="F66" s="293"/>
      <c r="G66" s="292">
        <f t="shared" si="0"/>
        <v>7</v>
      </c>
    </row>
    <row r="67" spans="2:7" ht="22.5">
      <c r="B67" s="291" t="s">
        <v>7083</v>
      </c>
      <c r="C67" s="442"/>
      <c r="D67" s="293">
        <v>0</v>
      </c>
      <c r="E67" s="293">
        <v>1</v>
      </c>
      <c r="F67" s="293"/>
      <c r="G67" s="292">
        <f t="shared" si="0"/>
        <v>1</v>
      </c>
    </row>
    <row r="68" spans="2:7" ht="33.75">
      <c r="B68" s="291" t="s">
        <v>7084</v>
      </c>
      <c r="C68" s="442"/>
      <c r="D68" s="293">
        <v>10</v>
      </c>
      <c r="E68" s="293">
        <v>16</v>
      </c>
      <c r="F68" s="293"/>
      <c r="G68" s="292">
        <f t="shared" si="0"/>
        <v>26</v>
      </c>
    </row>
    <row r="69" spans="2:7" ht="22.5">
      <c r="B69" s="291" t="s">
        <v>7851</v>
      </c>
      <c r="C69" s="442"/>
      <c r="D69" s="293">
        <v>0</v>
      </c>
      <c r="E69" s="293">
        <v>1</v>
      </c>
      <c r="F69" s="293"/>
      <c r="G69" s="292">
        <f t="shared" si="0"/>
        <v>1</v>
      </c>
    </row>
    <row r="70" spans="2:7" ht="22.5">
      <c r="B70" s="291" t="s">
        <v>7085</v>
      </c>
      <c r="C70" s="442"/>
      <c r="D70" s="293">
        <v>1</v>
      </c>
      <c r="E70" s="293">
        <v>5</v>
      </c>
      <c r="F70" s="293"/>
      <c r="G70" s="292">
        <f t="shared" si="0"/>
        <v>6</v>
      </c>
    </row>
    <row r="71" spans="2:7" ht="22.5">
      <c r="B71" s="291" t="s">
        <v>7086</v>
      </c>
      <c r="C71" s="442"/>
      <c r="D71" s="293">
        <v>1</v>
      </c>
      <c r="E71" s="293"/>
      <c r="F71" s="293"/>
      <c r="G71" s="292">
        <f t="shared" si="0"/>
        <v>1</v>
      </c>
    </row>
    <row r="72" spans="2:7" ht="22.5">
      <c r="B72" s="291" t="s">
        <v>7846</v>
      </c>
      <c r="C72" s="442"/>
      <c r="D72" s="293">
        <v>7</v>
      </c>
      <c r="E72" s="293">
        <v>7</v>
      </c>
      <c r="F72" s="293"/>
      <c r="G72" s="292">
        <f t="shared" si="0"/>
        <v>14</v>
      </c>
    </row>
    <row r="73" spans="2:7" ht="22.5">
      <c r="B73" s="291" t="s">
        <v>7847</v>
      </c>
      <c r="C73" s="442"/>
      <c r="D73" s="293">
        <v>2</v>
      </c>
      <c r="E73" s="293">
        <v>2</v>
      </c>
      <c r="F73" s="293"/>
      <c r="G73" s="292">
        <f t="shared" ref="G73:G97" si="1">F73+E73+D73</f>
        <v>4</v>
      </c>
    </row>
    <row r="74" spans="2:7">
      <c r="B74" s="291" t="s">
        <v>7848</v>
      </c>
      <c r="C74" s="442"/>
      <c r="D74" s="293">
        <v>12</v>
      </c>
      <c r="E74" s="293">
        <v>13</v>
      </c>
      <c r="F74" s="293"/>
      <c r="G74" s="292">
        <f t="shared" si="1"/>
        <v>25</v>
      </c>
    </row>
    <row r="75" spans="2:7" ht="22.5">
      <c r="B75" s="291" t="s">
        <v>7849</v>
      </c>
      <c r="C75" s="442"/>
      <c r="D75" s="293">
        <v>9</v>
      </c>
      <c r="E75" s="293">
        <v>9</v>
      </c>
      <c r="F75" s="293"/>
      <c r="G75" s="292">
        <f t="shared" si="1"/>
        <v>18</v>
      </c>
    </row>
    <row r="76" spans="2:7" ht="33.75">
      <c r="B76" s="291" t="s">
        <v>7091</v>
      </c>
      <c r="C76" s="442"/>
      <c r="D76" s="293">
        <v>3</v>
      </c>
      <c r="E76" s="293">
        <v>3</v>
      </c>
      <c r="F76" s="293"/>
      <c r="G76" s="292">
        <f t="shared" si="1"/>
        <v>6</v>
      </c>
    </row>
    <row r="77" spans="2:7" ht="22.5">
      <c r="B77" s="291" t="s">
        <v>7096</v>
      </c>
      <c r="C77" s="442"/>
      <c r="D77" s="293">
        <v>0</v>
      </c>
      <c r="E77" s="293">
        <v>1</v>
      </c>
      <c r="F77" s="293"/>
      <c r="G77" s="292">
        <f t="shared" si="1"/>
        <v>1</v>
      </c>
    </row>
    <row r="78" spans="2:7">
      <c r="B78" s="291" t="s">
        <v>7845</v>
      </c>
      <c r="C78" s="442"/>
      <c r="D78" s="293">
        <v>2</v>
      </c>
      <c r="E78" s="293">
        <v>2</v>
      </c>
      <c r="F78" s="293"/>
      <c r="G78" s="292">
        <f t="shared" si="1"/>
        <v>4</v>
      </c>
    </row>
    <row r="79" spans="2:7" ht="22.5">
      <c r="B79" s="291" t="s">
        <v>7097</v>
      </c>
      <c r="C79" s="442"/>
      <c r="D79" s="293">
        <f>10</f>
        <v>10</v>
      </c>
      <c r="E79" s="293">
        <v>10</v>
      </c>
      <c r="F79" s="293"/>
      <c r="G79" s="292">
        <f t="shared" si="1"/>
        <v>20</v>
      </c>
    </row>
    <row r="80" spans="2:7" ht="33.75">
      <c r="B80" s="291" t="s">
        <v>7098</v>
      </c>
      <c r="C80" s="442"/>
      <c r="D80" s="293">
        <f>26+1</f>
        <v>27</v>
      </c>
      <c r="E80" s="293">
        <v>18</v>
      </c>
      <c r="F80" s="293"/>
      <c r="G80" s="292">
        <f t="shared" si="1"/>
        <v>45</v>
      </c>
    </row>
    <row r="81" spans="1:13" ht="22.5">
      <c r="B81" s="291" t="s">
        <v>7099</v>
      </c>
      <c r="C81" s="442"/>
      <c r="D81" s="293">
        <v>2</v>
      </c>
      <c r="E81" s="293"/>
      <c r="F81" s="293"/>
      <c r="G81" s="292">
        <f t="shared" si="1"/>
        <v>2</v>
      </c>
    </row>
    <row r="82" spans="1:13">
      <c r="B82" s="291" t="s">
        <v>7100</v>
      </c>
      <c r="C82" s="442"/>
      <c r="D82" s="293">
        <f>3+6</f>
        <v>9</v>
      </c>
      <c r="E82" s="293"/>
      <c r="F82" s="293"/>
      <c r="G82" s="292">
        <f t="shared" si="1"/>
        <v>9</v>
      </c>
    </row>
    <row r="83" spans="1:13" ht="22.5">
      <c r="B83" s="291" t="s">
        <v>7101</v>
      </c>
      <c r="C83" s="442"/>
      <c r="D83" s="293">
        <v>8</v>
      </c>
      <c r="E83" s="293">
        <v>1</v>
      </c>
      <c r="F83" s="293"/>
      <c r="G83" s="292">
        <f t="shared" si="1"/>
        <v>9</v>
      </c>
    </row>
    <row r="84" spans="1:13" ht="33.75">
      <c r="B84" s="291" t="s">
        <v>7102</v>
      </c>
      <c r="C84" s="442"/>
      <c r="D84" s="293">
        <v>2</v>
      </c>
      <c r="E84" s="293">
        <v>5</v>
      </c>
      <c r="F84" s="293"/>
      <c r="G84" s="292">
        <f t="shared" si="1"/>
        <v>7</v>
      </c>
    </row>
    <row r="85" spans="1:13" s="346" customFormat="1">
      <c r="A85" s="286"/>
      <c r="B85" s="291" t="s">
        <v>7840</v>
      </c>
      <c r="C85" s="442">
        <v>1</v>
      </c>
      <c r="D85" s="293"/>
      <c r="E85" s="293"/>
      <c r="F85" s="293"/>
      <c r="G85" s="292">
        <f t="shared" si="1"/>
        <v>0</v>
      </c>
      <c r="H85" s="287"/>
      <c r="I85" s="345"/>
      <c r="J85" s="345"/>
      <c r="K85" s="345"/>
      <c r="L85" s="345"/>
      <c r="M85" s="345"/>
    </row>
    <row r="86" spans="1:13" ht="33.75">
      <c r="B86" s="291" t="s">
        <v>7103</v>
      </c>
      <c r="C86" s="442"/>
      <c r="D86" s="293">
        <v>14</v>
      </c>
      <c r="E86" s="293">
        <v>13</v>
      </c>
      <c r="F86" s="293"/>
      <c r="G86" s="292">
        <f t="shared" si="1"/>
        <v>27</v>
      </c>
    </row>
    <row r="87" spans="1:13" ht="33.75">
      <c r="B87" s="291" t="s">
        <v>7104</v>
      </c>
      <c r="C87" s="442"/>
      <c r="D87" s="293">
        <f>5+1</f>
        <v>6</v>
      </c>
      <c r="E87" s="293">
        <v>5</v>
      </c>
      <c r="F87" s="293"/>
      <c r="G87" s="292">
        <f t="shared" si="1"/>
        <v>11</v>
      </c>
    </row>
    <row r="88" spans="1:13" s="346" customFormat="1" ht="33.75">
      <c r="A88" s="286"/>
      <c r="B88" s="291" t="s">
        <v>7841</v>
      </c>
      <c r="C88" s="442">
        <v>4</v>
      </c>
      <c r="D88" s="293"/>
      <c r="E88" s="293"/>
      <c r="F88" s="293"/>
      <c r="G88" s="292">
        <f t="shared" si="1"/>
        <v>0</v>
      </c>
      <c r="H88" s="287"/>
      <c r="I88" s="345"/>
      <c r="J88" s="345"/>
      <c r="K88" s="345"/>
      <c r="L88" s="345"/>
      <c r="M88" s="345"/>
    </row>
    <row r="89" spans="1:13" ht="22.5">
      <c r="B89" s="291" t="s">
        <v>7105</v>
      </c>
      <c r="C89" s="442"/>
      <c r="D89" s="293">
        <v>0</v>
      </c>
      <c r="E89" s="293"/>
      <c r="F89" s="293">
        <v>5</v>
      </c>
      <c r="G89" s="292">
        <f t="shared" si="1"/>
        <v>5</v>
      </c>
    </row>
    <row r="90" spans="1:13" ht="22.5">
      <c r="B90" s="291" t="s">
        <v>7106</v>
      </c>
      <c r="C90" s="442"/>
      <c r="D90" s="293">
        <v>0</v>
      </c>
      <c r="E90" s="293"/>
      <c r="F90" s="293">
        <f>1+1</f>
        <v>2</v>
      </c>
      <c r="G90" s="292">
        <f t="shared" si="1"/>
        <v>2</v>
      </c>
    </row>
    <row r="91" spans="1:13" ht="22.5">
      <c r="B91" s="291" t="s">
        <v>7107</v>
      </c>
      <c r="C91" s="442"/>
      <c r="D91" s="293">
        <v>2</v>
      </c>
      <c r="E91" s="293"/>
      <c r="F91" s="293"/>
      <c r="G91" s="292">
        <f t="shared" si="1"/>
        <v>2</v>
      </c>
    </row>
    <row r="92" spans="1:13" ht="22.5">
      <c r="B92" s="291" t="s">
        <v>7108</v>
      </c>
      <c r="C92" s="442"/>
      <c r="D92" s="293">
        <v>7</v>
      </c>
      <c r="E92" s="293">
        <v>3</v>
      </c>
      <c r="F92" s="293"/>
      <c r="G92" s="292">
        <f t="shared" si="1"/>
        <v>10</v>
      </c>
    </row>
    <row r="93" spans="1:13" ht="22.5">
      <c r="B93" s="291" t="s">
        <v>7109</v>
      </c>
      <c r="C93" s="442"/>
      <c r="D93" s="293">
        <v>9</v>
      </c>
      <c r="E93" s="293">
        <v>9</v>
      </c>
      <c r="F93" s="293"/>
      <c r="G93" s="292">
        <f t="shared" si="1"/>
        <v>18</v>
      </c>
    </row>
    <row r="94" spans="1:13">
      <c r="B94" s="291" t="s">
        <v>7126</v>
      </c>
      <c r="C94" s="442"/>
      <c r="D94" s="293">
        <v>2</v>
      </c>
      <c r="E94" s="293"/>
      <c r="F94" s="293"/>
      <c r="G94" s="292">
        <f t="shared" si="1"/>
        <v>2</v>
      </c>
    </row>
    <row r="95" spans="1:13">
      <c r="B95" s="291" t="s">
        <v>7839</v>
      </c>
      <c r="C95" s="442"/>
      <c r="D95" s="293">
        <v>1</v>
      </c>
      <c r="E95" s="293"/>
      <c r="F95" s="293"/>
      <c r="G95" s="292">
        <f t="shared" si="1"/>
        <v>1</v>
      </c>
    </row>
    <row r="96" spans="1:13">
      <c r="B96" s="291" t="s">
        <v>7131</v>
      </c>
      <c r="C96" s="442"/>
      <c r="D96" s="293">
        <v>1</v>
      </c>
      <c r="E96" s="293"/>
      <c r="F96" s="293"/>
      <c r="G96" s="292">
        <f t="shared" si="1"/>
        <v>1</v>
      </c>
    </row>
    <row r="97" spans="2:7">
      <c r="B97" s="294" t="s">
        <v>7844</v>
      </c>
      <c r="C97" s="292"/>
      <c r="D97" s="293">
        <v>2</v>
      </c>
      <c r="E97" s="293">
        <v>2</v>
      </c>
      <c r="F97" s="293"/>
      <c r="G97" s="292">
        <f t="shared" si="1"/>
        <v>4</v>
      </c>
    </row>
  </sheetData>
  <mergeCells count="8">
    <mergeCell ref="B12:J12"/>
    <mergeCell ref="A2:H2"/>
    <mergeCell ref="A3:H3"/>
    <mergeCell ref="A4:H4"/>
    <mergeCell ref="A7:H7"/>
    <mergeCell ref="B9:H9"/>
    <mergeCell ref="B10:H10"/>
    <mergeCell ref="B11:H11"/>
  </mergeCells>
  <pageMargins left="0.51181102362204722" right="0.51181102362204722" top="0.78740157480314965" bottom="0.78740157480314965" header="0.31496062992125984" footer="0.31496062992125984"/>
  <pageSetup paperSize="9" scale="84" firstPageNumber="206" orientation="portrait" useFirstPageNumber="1" r:id="rId1"/>
  <headerFooter>
    <oddFooter>&amp;CEng. Civil Daniele Firme Miranda
CREA: 24.965/D-DF
ART nº 0720190034483&amp;RPágina &amp;P de 208</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8">
    <pageSetUpPr fitToPage="1"/>
  </sheetPr>
  <dimension ref="A1:P27"/>
  <sheetViews>
    <sheetView zoomScaleNormal="100" zoomScaleSheetLayoutView="100" zoomScalePageLayoutView="85" workbookViewId="0">
      <selection activeCell="G17" sqref="G17:G21"/>
    </sheetView>
  </sheetViews>
  <sheetFormatPr defaultRowHeight="12.75"/>
  <cols>
    <col min="1" max="1" width="13" style="8" customWidth="1"/>
    <col min="2" max="2" width="10.5703125" style="8" customWidth="1"/>
    <col min="3" max="3" width="9.42578125" style="8" customWidth="1"/>
    <col min="4" max="4" width="41.5703125" style="9" customWidth="1"/>
    <col min="5" max="5" width="10.5703125" style="192" bestFit="1" customWidth="1"/>
    <col min="6" max="6" width="9.5703125" style="335" customWidth="1"/>
    <col min="7" max="7" width="15.85546875" style="359" bestFit="1" customWidth="1"/>
    <col min="8" max="8" width="15.85546875" style="10" bestFit="1" customWidth="1"/>
    <col min="9" max="10" width="17.85546875" style="117" customWidth="1"/>
    <col min="11" max="11" width="17.85546875" style="340" customWidth="1"/>
    <col min="12" max="12" width="96.140625" style="334" bestFit="1" customWidth="1"/>
    <col min="13" max="13" width="10.140625" style="183" bestFit="1" customWidth="1"/>
    <col min="14" max="16384" width="9.140625" style="183"/>
  </cols>
  <sheetData>
    <row r="1" spans="1:16" ht="15">
      <c r="A1" s="140"/>
      <c r="B1" s="140"/>
      <c r="C1" s="140"/>
      <c r="D1" s="39"/>
      <c r="E1" s="45"/>
      <c r="F1" s="40"/>
      <c r="G1" s="347"/>
      <c r="H1" s="146"/>
      <c r="I1" s="116"/>
      <c r="J1" s="116"/>
      <c r="K1" s="1"/>
      <c r="L1" s="1"/>
    </row>
    <row r="2" spans="1:16" ht="15">
      <c r="A2" s="685" t="s">
        <v>35</v>
      </c>
      <c r="B2" s="685"/>
      <c r="C2" s="685"/>
      <c r="D2" s="685"/>
      <c r="E2" s="685"/>
      <c r="F2" s="685"/>
      <c r="G2" s="685"/>
      <c r="H2" s="685"/>
      <c r="I2" s="44"/>
      <c r="J2" s="44"/>
      <c r="K2" s="17"/>
      <c r="L2" s="18"/>
    </row>
    <row r="3" spans="1:16" ht="15">
      <c r="A3" s="685" t="s">
        <v>36</v>
      </c>
      <c r="B3" s="685"/>
      <c r="C3" s="685"/>
      <c r="D3" s="685"/>
      <c r="E3" s="685"/>
      <c r="F3" s="685"/>
      <c r="G3" s="685"/>
      <c r="H3" s="685"/>
      <c r="I3" s="44"/>
      <c r="J3" s="44"/>
      <c r="K3" s="17"/>
      <c r="L3" s="18"/>
    </row>
    <row r="4" spans="1:16" ht="15">
      <c r="A4" s="685" t="s">
        <v>5924</v>
      </c>
      <c r="B4" s="685"/>
      <c r="C4" s="685"/>
      <c r="D4" s="685"/>
      <c r="E4" s="685"/>
      <c r="F4" s="685"/>
      <c r="G4" s="685"/>
      <c r="H4" s="685"/>
      <c r="I4" s="44"/>
      <c r="J4" s="44"/>
      <c r="K4" s="17"/>
      <c r="L4" s="18"/>
    </row>
    <row r="5" spans="1:16" ht="15">
      <c r="A5" s="33"/>
      <c r="B5" s="33"/>
      <c r="C5" s="33"/>
      <c r="D5" s="34" t="s">
        <v>29</v>
      </c>
      <c r="E5" s="186"/>
      <c r="F5" s="409"/>
      <c r="G5" s="348"/>
      <c r="H5" s="35"/>
      <c r="I5" s="44"/>
      <c r="J5" s="44"/>
      <c r="K5" s="17"/>
      <c r="L5" s="18"/>
    </row>
    <row r="6" spans="1:16" ht="15">
      <c r="A6" s="33"/>
      <c r="B6" s="33"/>
      <c r="C6" s="33"/>
      <c r="D6" s="34"/>
      <c r="E6" s="186"/>
      <c r="F6" s="42"/>
      <c r="G6" s="347"/>
      <c r="H6" s="146"/>
      <c r="I6" s="116"/>
      <c r="J6" s="116"/>
      <c r="K6" s="1"/>
      <c r="L6" s="1"/>
    </row>
    <row r="7" spans="1:16" ht="21">
      <c r="A7" s="689" t="s">
        <v>9598</v>
      </c>
      <c r="B7" s="689"/>
      <c r="C7" s="689"/>
      <c r="D7" s="689"/>
      <c r="E7" s="689"/>
      <c r="F7" s="689"/>
      <c r="G7" s="689"/>
      <c r="H7" s="689"/>
      <c r="I7" s="44"/>
      <c r="J7" s="44"/>
      <c r="K7" s="17"/>
      <c r="L7" s="18"/>
    </row>
    <row r="8" spans="1:16" ht="15">
      <c r="A8" s="33"/>
      <c r="B8" s="33"/>
      <c r="C8" s="33"/>
      <c r="D8" s="34"/>
      <c r="E8" s="186"/>
      <c r="F8" s="409"/>
      <c r="G8" s="348"/>
      <c r="H8" s="35"/>
      <c r="I8" s="44"/>
      <c r="J8" s="44"/>
      <c r="K8" s="17"/>
      <c r="L8" s="18"/>
    </row>
    <row r="9" spans="1:16" s="4" customFormat="1" ht="15">
      <c r="A9" s="43" t="s">
        <v>5251</v>
      </c>
      <c r="B9" s="691" t="str">
        <f>'Orç - Canteiro e Adm'!B9:J9</f>
        <v>Construção do edifício UEP-FCE</v>
      </c>
      <c r="C9" s="691"/>
      <c r="D9" s="691"/>
      <c r="E9" s="691"/>
      <c r="F9" s="691"/>
      <c r="G9" s="691"/>
      <c r="H9" s="691"/>
      <c r="I9" s="44"/>
      <c r="J9" s="44"/>
      <c r="K9" s="1"/>
      <c r="L9" s="1"/>
    </row>
    <row r="10" spans="1:16" ht="15">
      <c r="A10" s="43" t="s">
        <v>131</v>
      </c>
      <c r="B10" s="691" t="str">
        <f>'Orç - Canteiro e Adm'!B10:J10</f>
        <v>QNN 14, Área Especial, Campus UnB Ceilândia, RA IX</v>
      </c>
      <c r="C10" s="691"/>
      <c r="D10" s="691"/>
      <c r="E10" s="691"/>
      <c r="F10" s="691"/>
      <c r="G10" s="691"/>
      <c r="H10" s="691"/>
      <c r="I10" s="44"/>
      <c r="J10" s="44"/>
      <c r="K10" s="1"/>
      <c r="L10" s="1"/>
    </row>
    <row r="11" spans="1:16" ht="15">
      <c r="A11" s="43" t="s">
        <v>5252</v>
      </c>
      <c r="B11" s="690" t="str">
        <f>'Orç - Canteiro e Adm'!B11:J11</f>
        <v>Agosto de 2019</v>
      </c>
      <c r="C11" s="691"/>
      <c r="D11" s="691"/>
      <c r="E11" s="691"/>
      <c r="F11" s="691"/>
      <c r="G11" s="691"/>
      <c r="H11" s="691"/>
      <c r="I11" s="44"/>
      <c r="J11" s="44"/>
      <c r="K11" s="1"/>
      <c r="L11" s="1"/>
    </row>
    <row r="12" spans="1:16" ht="30" customHeight="1">
      <c r="A12" s="43" t="s">
        <v>5253</v>
      </c>
      <c r="B12" s="691" t="str">
        <f>'Orç - Canteiro e Adm'!B12:J12</f>
        <v>SINAPI 07/2019; ORSE 06/2019; CPOS 07/2019; SBC 07/2017; SEINFRA 12/2018</v>
      </c>
      <c r="C12" s="691"/>
      <c r="D12" s="691"/>
      <c r="E12" s="691"/>
      <c r="F12" s="691"/>
      <c r="G12" s="691"/>
      <c r="H12" s="691"/>
      <c r="I12" s="116"/>
      <c r="J12" s="116"/>
      <c r="K12" s="1"/>
      <c r="L12" s="1"/>
    </row>
    <row r="13" spans="1:16" ht="15">
      <c r="A13" s="145" t="s">
        <v>132</v>
      </c>
      <c r="B13" s="21">
        <v>0.26929999999999998</v>
      </c>
      <c r="C13" s="144" t="s">
        <v>5813</v>
      </c>
      <c r="D13" s="183"/>
      <c r="E13" s="187"/>
      <c r="F13" s="183"/>
      <c r="G13" s="349"/>
      <c r="H13" s="183"/>
      <c r="I13" s="116"/>
      <c r="J13" s="116"/>
      <c r="K13" s="1"/>
      <c r="L13" s="1"/>
    </row>
    <row r="14" spans="1:16" ht="15">
      <c r="A14" s="145"/>
      <c r="B14" s="21">
        <v>0.20930000000000001</v>
      </c>
      <c r="C14" s="144" t="s">
        <v>5814</v>
      </c>
      <c r="D14" s="183"/>
      <c r="E14" s="188"/>
      <c r="F14" s="410"/>
      <c r="G14" s="350"/>
      <c r="H14" s="410"/>
      <c r="I14" s="116"/>
      <c r="J14" s="116"/>
      <c r="K14" s="1"/>
      <c r="L14" s="1"/>
    </row>
    <row r="15" spans="1:16" ht="15">
      <c r="A15" s="145"/>
      <c r="B15" s="145"/>
      <c r="C15" s="691" t="s">
        <v>5254</v>
      </c>
      <c r="D15" s="691"/>
      <c r="E15" s="691"/>
      <c r="F15" s="691"/>
      <c r="G15" s="691"/>
      <c r="H15" s="691"/>
      <c r="I15" s="116"/>
      <c r="J15" s="116"/>
      <c r="K15" s="1"/>
      <c r="L15" s="1"/>
    </row>
    <row r="16" spans="1:16" ht="15">
      <c r="A16" s="145"/>
      <c r="B16" s="33"/>
      <c r="C16" s="33"/>
      <c r="D16" s="412"/>
      <c r="E16" s="186"/>
      <c r="F16" s="15"/>
      <c r="G16" s="347"/>
      <c r="H16" s="146"/>
      <c r="I16" s="116"/>
      <c r="J16" s="116"/>
      <c r="K16" s="1"/>
      <c r="L16" s="1"/>
      <c r="P16" s="183" t="e">
        <f>(#REF!-#REF!)/2</f>
        <v>#REF!</v>
      </c>
    </row>
    <row r="17" spans="1:16" ht="28.5" customHeight="1">
      <c r="A17" s="16"/>
      <c r="B17" s="16"/>
      <c r="C17" s="16"/>
      <c r="D17" s="413" t="s">
        <v>9599</v>
      </c>
      <c r="E17" s="413"/>
      <c r="F17" s="413"/>
      <c r="G17" s="418">
        <f>'Orç - Canteiro e Adm'!J110</f>
        <v>794153.39999999991</v>
      </c>
      <c r="H17" s="12"/>
      <c r="I17" s="118"/>
      <c r="J17" s="118"/>
      <c r="K17" s="25"/>
      <c r="L17" s="7"/>
    </row>
    <row r="18" spans="1:16" ht="28.5" customHeight="1">
      <c r="A18" s="16"/>
      <c r="B18" s="16"/>
      <c r="C18" s="16"/>
      <c r="D18" s="414" t="s">
        <v>7965</v>
      </c>
      <c r="E18" s="414"/>
      <c r="F18" s="414"/>
      <c r="G18" s="418">
        <f>'Orç - Prédio'!J753</f>
        <v>6102277.1999999993</v>
      </c>
      <c r="H18" s="12"/>
      <c r="I18" s="118"/>
      <c r="J18" s="118"/>
      <c r="K18" s="25"/>
      <c r="L18" s="7"/>
    </row>
    <row r="19" spans="1:16" ht="28.5" customHeight="1">
      <c r="A19" s="16"/>
      <c r="B19" s="16"/>
      <c r="C19" s="16"/>
      <c r="D19" s="413" t="s">
        <v>9147</v>
      </c>
      <c r="E19" s="413"/>
      <c r="F19" s="413"/>
      <c r="G19" s="418">
        <f>'Orç - Reservatório'!J140</f>
        <v>104422.12</v>
      </c>
      <c r="H19" s="12"/>
      <c r="I19" s="118"/>
      <c r="J19" s="118"/>
      <c r="K19" s="25"/>
      <c r="L19" s="7"/>
    </row>
    <row r="20" spans="1:16" ht="28.5" customHeight="1">
      <c r="A20" s="16"/>
      <c r="B20" s="16"/>
      <c r="C20" s="16"/>
      <c r="D20" s="414" t="s">
        <v>9459</v>
      </c>
      <c r="E20" s="414"/>
      <c r="F20" s="414"/>
      <c r="G20" s="418">
        <f>'Orç - Urbanização'!J159</f>
        <v>696115.46000000008</v>
      </c>
      <c r="H20" s="12"/>
      <c r="I20" s="118"/>
      <c r="J20" s="118"/>
      <c r="K20" s="25"/>
      <c r="L20" s="7"/>
    </row>
    <row r="21" spans="1:16" s="423" customFormat="1" ht="28.5" customHeight="1">
      <c r="A21" s="415"/>
      <c r="B21" s="415"/>
      <c r="C21" s="415"/>
      <c r="D21" s="416" t="s">
        <v>6271</v>
      </c>
      <c r="E21" s="416"/>
      <c r="F21" s="416"/>
      <c r="G21" s="419">
        <f>SUM(G17:G20)</f>
        <v>7696968.1799999997</v>
      </c>
      <c r="H21" s="417"/>
      <c r="I21" s="420"/>
      <c r="J21" s="420"/>
      <c r="K21" s="421"/>
      <c r="L21" s="422"/>
    </row>
    <row r="22" spans="1:16" ht="15">
      <c r="A22" s="411"/>
      <c r="B22" s="411"/>
      <c r="C22" s="411"/>
      <c r="D22" s="410"/>
      <c r="E22" s="20"/>
      <c r="F22" s="36"/>
      <c r="G22" s="347"/>
      <c r="H22" s="146"/>
    </row>
    <row r="23" spans="1:16" ht="15">
      <c r="A23" s="411"/>
      <c r="B23" s="411"/>
      <c r="C23" s="411"/>
      <c r="D23" s="410"/>
      <c r="E23" s="20"/>
      <c r="F23" s="36"/>
      <c r="G23" s="347"/>
      <c r="H23" s="146"/>
    </row>
    <row r="24" spans="1:16" s="117" customFormat="1" ht="15">
      <c r="A24" s="411"/>
      <c r="B24" s="411"/>
      <c r="C24" s="411"/>
      <c r="D24" s="410"/>
      <c r="E24" s="20"/>
      <c r="F24" s="36"/>
      <c r="G24" s="347"/>
      <c r="H24" s="146"/>
      <c r="K24" s="340"/>
      <c r="L24" s="334"/>
      <c r="M24" s="183"/>
      <c r="N24" s="183"/>
      <c r="O24" s="183"/>
      <c r="P24" s="183"/>
    </row>
    <row r="25" spans="1:16" s="117" customFormat="1" ht="15">
      <c r="A25" s="411"/>
      <c r="B25" s="411"/>
      <c r="C25" s="411"/>
      <c r="D25" s="410"/>
      <c r="E25" s="20"/>
      <c r="F25" s="36"/>
      <c r="G25" s="347"/>
      <c r="H25" s="146"/>
      <c r="K25" s="340"/>
      <c r="L25" s="334"/>
      <c r="M25" s="183"/>
      <c r="N25" s="183"/>
      <c r="O25" s="183"/>
      <c r="P25" s="183"/>
    </row>
    <row r="26" spans="1:16" s="117" customFormat="1" ht="15">
      <c r="A26" s="411"/>
      <c r="B26" s="411"/>
      <c r="C26" s="411"/>
      <c r="D26" s="410"/>
      <c r="E26" s="20"/>
      <c r="F26" s="36"/>
      <c r="G26" s="347"/>
      <c r="H26" s="146"/>
      <c r="K26" s="340"/>
      <c r="L26" s="334"/>
      <c r="M26" s="183"/>
      <c r="N26" s="183"/>
      <c r="O26" s="183"/>
      <c r="P26" s="183"/>
    </row>
    <row r="27" spans="1:16" s="117" customFormat="1">
      <c r="A27" s="8"/>
      <c r="B27" s="22"/>
      <c r="C27" s="22"/>
      <c r="D27" s="5"/>
      <c r="E27" s="191"/>
      <c r="F27" s="6"/>
      <c r="G27" s="358"/>
      <c r="H27" s="50"/>
      <c r="K27" s="340"/>
      <c r="L27" s="334"/>
      <c r="M27" s="183"/>
      <c r="N27" s="183"/>
      <c r="O27" s="183"/>
      <c r="P27" s="183"/>
    </row>
  </sheetData>
  <sheetProtection selectLockedCells="1" selectUnlockedCells="1"/>
  <mergeCells count="9">
    <mergeCell ref="B11:H11"/>
    <mergeCell ref="B12:H12"/>
    <mergeCell ref="C15:H15"/>
    <mergeCell ref="A2:H2"/>
    <mergeCell ref="A3:H3"/>
    <mergeCell ref="A4:H4"/>
    <mergeCell ref="A7:H7"/>
    <mergeCell ref="B9:H9"/>
    <mergeCell ref="B10:H10"/>
  </mergeCells>
  <printOptions horizontalCentered="1"/>
  <pageMargins left="0.70866141732283472" right="0.70866141732283472" top="0.39370078740157483" bottom="0.78740157480314965" header="0.19685039370078741" footer="0"/>
  <pageSetup paperSize="9" scale="70" fitToHeight="0" orientation="portrait" useFirstPageNumber="1" r:id="rId1"/>
  <headerFooter alignWithMargins="0">
    <oddFooter xml:space="preserve">&amp;RPágina &amp;P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tabColor theme="9"/>
    <pageSetUpPr fitToPage="1"/>
  </sheetPr>
  <dimension ref="A1:AA119"/>
  <sheetViews>
    <sheetView topLeftCell="C103" zoomScaleNormal="100" zoomScaleSheetLayoutView="85" zoomScalePageLayoutView="145" workbookViewId="0">
      <selection activeCell="K117" sqref="K117:K118"/>
    </sheetView>
  </sheetViews>
  <sheetFormatPr defaultRowHeight="12.75"/>
  <cols>
    <col min="1" max="1" width="13" style="8" customWidth="1"/>
    <col min="2" max="2" width="10.5703125" style="8" customWidth="1"/>
    <col min="3" max="3" width="9.42578125" style="8" customWidth="1"/>
    <col min="4" max="4" width="47.42578125" style="9" customWidth="1"/>
    <col min="5" max="5" width="10.5703125" style="192" bestFit="1" customWidth="1"/>
    <col min="6" max="6" width="9.5703125" style="335" customWidth="1"/>
    <col min="7" max="8" width="13.28515625" style="2" customWidth="1"/>
    <col min="9" max="9" width="15" style="2" customWidth="1"/>
    <col min="10" max="10" width="15" style="436" customWidth="1"/>
    <col min="11" max="12" width="17.85546875" style="117" customWidth="1"/>
    <col min="13" max="13" width="13.85546875" style="358" bestFit="1" customWidth="1"/>
    <col min="14" max="26" width="12.5703125" style="380" customWidth="1"/>
    <col min="27" max="27" width="6" style="4" customWidth="1"/>
    <col min="28" max="16384" width="9.140625" style="4"/>
  </cols>
  <sheetData>
    <row r="1" spans="1:14" ht="15">
      <c r="A1" s="140"/>
      <c r="B1" s="140"/>
      <c r="C1" s="140"/>
      <c r="D1" s="39"/>
      <c r="E1" s="45"/>
      <c r="F1" s="40"/>
      <c r="G1" s="141"/>
      <c r="H1" s="141"/>
      <c r="I1" s="141"/>
      <c r="J1" s="429"/>
      <c r="K1" s="116"/>
      <c r="L1" s="116"/>
      <c r="M1" s="378"/>
      <c r="N1" s="378"/>
    </row>
    <row r="2" spans="1:14" ht="15">
      <c r="A2" s="685" t="s">
        <v>35</v>
      </c>
      <c r="B2" s="685"/>
      <c r="C2" s="685"/>
      <c r="D2" s="685"/>
      <c r="E2" s="685"/>
      <c r="F2" s="685"/>
      <c r="G2" s="685"/>
      <c r="H2" s="685"/>
      <c r="I2" s="685"/>
      <c r="J2" s="685"/>
      <c r="K2" s="44"/>
      <c r="L2" s="44"/>
      <c r="M2" s="500"/>
      <c r="N2" s="379"/>
    </row>
    <row r="3" spans="1:14" ht="15">
      <c r="A3" s="685" t="s">
        <v>36</v>
      </c>
      <c r="B3" s="685"/>
      <c r="C3" s="685"/>
      <c r="D3" s="685"/>
      <c r="E3" s="685"/>
      <c r="F3" s="685"/>
      <c r="G3" s="685"/>
      <c r="H3" s="685"/>
      <c r="I3" s="685"/>
      <c r="J3" s="685"/>
      <c r="K3" s="44"/>
      <c r="L3" s="44"/>
      <c r="M3" s="500"/>
      <c r="N3" s="379"/>
    </row>
    <row r="4" spans="1:14" ht="15">
      <c r="A4" s="685" t="s">
        <v>5924</v>
      </c>
      <c r="B4" s="685"/>
      <c r="C4" s="685"/>
      <c r="D4" s="685"/>
      <c r="E4" s="685"/>
      <c r="F4" s="685"/>
      <c r="G4" s="685"/>
      <c r="H4" s="685"/>
      <c r="I4" s="685"/>
      <c r="J4" s="685"/>
      <c r="K4" s="44"/>
      <c r="L4" s="44"/>
      <c r="M4" s="500"/>
      <c r="N4" s="379"/>
    </row>
    <row r="5" spans="1:14" ht="15">
      <c r="A5" s="33"/>
      <c r="B5" s="33"/>
      <c r="C5" s="33"/>
      <c r="D5" s="34" t="s">
        <v>29</v>
      </c>
      <c r="E5" s="186"/>
      <c r="F5" s="583"/>
      <c r="G5" s="41"/>
      <c r="H5" s="41"/>
      <c r="I5" s="41"/>
      <c r="J5" s="428"/>
      <c r="K5" s="44"/>
      <c r="L5" s="44"/>
      <c r="M5" s="500"/>
      <c r="N5" s="379"/>
    </row>
    <row r="6" spans="1:14" ht="15">
      <c r="A6" s="33"/>
      <c r="B6" s="33"/>
      <c r="C6" s="33"/>
      <c r="D6" s="34"/>
      <c r="E6" s="186"/>
      <c r="F6" s="42"/>
      <c r="G6" s="141"/>
      <c r="H6" s="141"/>
      <c r="I6" s="141"/>
      <c r="J6" s="429"/>
      <c r="K6" s="116"/>
      <c r="L6" s="116"/>
      <c r="M6" s="378"/>
      <c r="N6" s="378"/>
    </row>
    <row r="7" spans="1:14" ht="21">
      <c r="A7" s="689" t="s">
        <v>8127</v>
      </c>
      <c r="B7" s="689"/>
      <c r="C7" s="689"/>
      <c r="D7" s="689"/>
      <c r="E7" s="689"/>
      <c r="F7" s="689"/>
      <c r="G7" s="689"/>
      <c r="H7" s="689"/>
      <c r="I7" s="689"/>
      <c r="J7" s="689"/>
      <c r="K7" s="44"/>
      <c r="L7" s="44"/>
      <c r="M7" s="500"/>
      <c r="N7" s="379"/>
    </row>
    <row r="8" spans="1:14" ht="15">
      <c r="A8" s="33"/>
      <c r="B8" s="33"/>
      <c r="C8" s="33"/>
      <c r="D8" s="34"/>
      <c r="E8" s="186"/>
      <c r="F8" s="583"/>
      <c r="G8" s="41"/>
      <c r="H8" s="41"/>
      <c r="I8" s="41"/>
      <c r="J8" s="428"/>
      <c r="K8" s="44"/>
      <c r="L8" s="44"/>
      <c r="M8" s="500"/>
      <c r="N8" s="379"/>
    </row>
    <row r="9" spans="1:14" ht="15">
      <c r="A9" s="43" t="s">
        <v>5251</v>
      </c>
      <c r="B9" s="691" t="s">
        <v>9600</v>
      </c>
      <c r="C9" s="691"/>
      <c r="D9" s="691"/>
      <c r="E9" s="691"/>
      <c r="F9" s="691"/>
      <c r="G9" s="691"/>
      <c r="H9" s="691"/>
      <c r="I9" s="691"/>
      <c r="J9" s="691"/>
      <c r="K9" s="44"/>
      <c r="L9" s="44"/>
      <c r="M9" s="378"/>
      <c r="N9" s="378"/>
    </row>
    <row r="10" spans="1:14" ht="15">
      <c r="A10" s="43" t="s">
        <v>131</v>
      </c>
      <c r="B10" s="691" t="s">
        <v>7854</v>
      </c>
      <c r="C10" s="691"/>
      <c r="D10" s="691"/>
      <c r="E10" s="691"/>
      <c r="F10" s="691"/>
      <c r="G10" s="691"/>
      <c r="H10" s="691"/>
      <c r="I10" s="691"/>
      <c r="J10" s="691"/>
      <c r="K10" s="44"/>
      <c r="L10" s="44"/>
      <c r="M10" s="378"/>
      <c r="N10" s="378"/>
    </row>
    <row r="11" spans="1:14" ht="15">
      <c r="A11" s="43" t="s">
        <v>5252</v>
      </c>
      <c r="B11" s="694" t="s">
        <v>15460</v>
      </c>
      <c r="C11" s="695"/>
      <c r="D11" s="695"/>
      <c r="E11" s="695"/>
      <c r="F11" s="695"/>
      <c r="G11" s="695"/>
      <c r="H11" s="695"/>
      <c r="I11" s="695"/>
      <c r="J11" s="695"/>
      <c r="K11" s="44"/>
      <c r="L11" s="44"/>
      <c r="M11" s="378"/>
      <c r="N11" s="378"/>
    </row>
    <row r="12" spans="1:14" ht="30">
      <c r="A12" s="43" t="s">
        <v>5253</v>
      </c>
      <c r="B12" s="691" t="s">
        <v>15422</v>
      </c>
      <c r="C12" s="691"/>
      <c r="D12" s="691"/>
      <c r="E12" s="691"/>
      <c r="F12" s="691"/>
      <c r="G12" s="691"/>
      <c r="H12" s="691"/>
      <c r="I12" s="691"/>
      <c r="J12" s="691"/>
      <c r="K12" s="116"/>
      <c r="L12" s="116"/>
      <c r="M12" s="378"/>
      <c r="N12" s="378"/>
    </row>
    <row r="13" spans="1:14" ht="15">
      <c r="A13" s="145" t="s">
        <v>132</v>
      </c>
      <c r="B13" s="21">
        <v>0.26929999999999998</v>
      </c>
      <c r="C13" s="144" t="s">
        <v>5813</v>
      </c>
      <c r="D13" s="183"/>
      <c r="E13" s="187"/>
      <c r="F13" s="183"/>
      <c r="G13" s="183"/>
      <c r="H13" s="183"/>
      <c r="I13" s="183"/>
      <c r="J13" s="349"/>
      <c r="K13" s="116"/>
      <c r="L13" s="116"/>
      <c r="M13" s="378"/>
      <c r="N13" s="378"/>
    </row>
    <row r="14" spans="1:14" ht="15">
      <c r="A14" s="145"/>
      <c r="B14" s="21">
        <v>0.20930000000000001</v>
      </c>
      <c r="C14" s="144" t="s">
        <v>5814</v>
      </c>
      <c r="D14" s="183"/>
      <c r="E14" s="188"/>
      <c r="F14" s="586"/>
      <c r="G14" s="586"/>
      <c r="H14" s="586"/>
      <c r="I14" s="586"/>
      <c r="J14" s="350"/>
      <c r="K14" s="116"/>
      <c r="L14" s="116"/>
      <c r="M14" s="378"/>
      <c r="N14" s="378"/>
    </row>
    <row r="15" spans="1:14" ht="15">
      <c r="A15" s="145"/>
      <c r="B15" s="145"/>
      <c r="C15" s="691" t="s">
        <v>5254</v>
      </c>
      <c r="D15" s="691"/>
      <c r="E15" s="691"/>
      <c r="F15" s="691"/>
      <c r="G15" s="691"/>
      <c r="H15" s="691"/>
      <c r="I15" s="691"/>
      <c r="J15" s="691"/>
      <c r="K15" s="116"/>
      <c r="L15" s="116"/>
      <c r="M15" s="378"/>
      <c r="N15" s="378"/>
    </row>
    <row r="16" spans="1:14" ht="15">
      <c r="A16" s="145"/>
      <c r="B16" s="33"/>
      <c r="C16" s="33"/>
      <c r="D16" s="590"/>
      <c r="E16" s="186"/>
      <c r="F16" s="15"/>
      <c r="G16" s="141"/>
      <c r="H16" s="141"/>
      <c r="I16" s="141"/>
      <c r="J16" s="429"/>
      <c r="K16" s="116"/>
      <c r="L16" s="116"/>
      <c r="M16" s="378"/>
      <c r="N16" s="378"/>
    </row>
    <row r="17" spans="1:27" ht="15">
      <c r="A17" s="688" t="s">
        <v>5796</v>
      </c>
      <c r="B17" s="688"/>
      <c r="C17" s="688"/>
      <c r="D17" s="688"/>
      <c r="E17" s="688"/>
      <c r="F17" s="688"/>
      <c r="G17" s="688"/>
      <c r="H17" s="688"/>
      <c r="I17" s="688"/>
      <c r="J17" s="688"/>
      <c r="K17" s="44"/>
      <c r="L17" s="44"/>
      <c r="M17" s="26">
        <v>1</v>
      </c>
      <c r="N17" s="26">
        <v>2</v>
      </c>
      <c r="O17" s="26">
        <v>3</v>
      </c>
      <c r="P17" s="26">
        <v>4</v>
      </c>
      <c r="Q17" s="26">
        <v>5</v>
      </c>
      <c r="R17" s="26">
        <v>6</v>
      </c>
      <c r="S17" s="26">
        <v>7</v>
      </c>
      <c r="T17" s="26">
        <v>8</v>
      </c>
      <c r="U17" s="26">
        <v>9</v>
      </c>
      <c r="V17" s="26">
        <v>10</v>
      </c>
      <c r="W17" s="26">
        <v>11</v>
      </c>
      <c r="X17" s="26">
        <v>12</v>
      </c>
      <c r="Y17" s="26">
        <v>13</v>
      </c>
      <c r="Z17" s="26">
        <v>14</v>
      </c>
      <c r="AA17" s="26"/>
    </row>
    <row r="18" spans="1:27" ht="15">
      <c r="A18" s="457" t="s">
        <v>8686</v>
      </c>
      <c r="B18" s="696" t="s">
        <v>8682</v>
      </c>
      <c r="C18" s="697"/>
      <c r="D18" s="697"/>
      <c r="E18" s="697"/>
      <c r="F18" s="697"/>
      <c r="G18" s="697"/>
      <c r="H18" s="697"/>
      <c r="I18" s="697"/>
      <c r="J18" s="697"/>
      <c r="K18" s="505"/>
      <c r="L18" s="505"/>
      <c r="M18" s="506"/>
      <c r="N18" s="506"/>
      <c r="O18" s="507"/>
    </row>
    <row r="19" spans="1:27" s="6" customFormat="1" ht="15">
      <c r="A19" s="573" t="s">
        <v>0</v>
      </c>
      <c r="B19" s="692" t="s">
        <v>7880</v>
      </c>
      <c r="C19" s="693"/>
      <c r="D19" s="23" t="s">
        <v>1</v>
      </c>
      <c r="E19" s="193" t="s">
        <v>134</v>
      </c>
      <c r="F19" s="24" t="s">
        <v>11</v>
      </c>
      <c r="G19" s="351" t="s">
        <v>12</v>
      </c>
      <c r="H19" s="182" t="s">
        <v>6735</v>
      </c>
      <c r="I19" s="182" t="s">
        <v>6736</v>
      </c>
      <c r="J19" s="430" t="s">
        <v>133</v>
      </c>
      <c r="K19" s="508" t="s">
        <v>9264</v>
      </c>
      <c r="L19" s="508" t="s">
        <v>9265</v>
      </c>
      <c r="M19" s="506"/>
      <c r="N19" s="506"/>
      <c r="O19" s="507"/>
      <c r="P19" s="358"/>
      <c r="Q19" s="358"/>
      <c r="R19" s="358"/>
      <c r="S19" s="358"/>
      <c r="T19" s="358"/>
      <c r="U19" s="358"/>
      <c r="V19" s="358"/>
      <c r="W19" s="358"/>
      <c r="X19" s="358"/>
      <c r="Y19" s="358"/>
      <c r="Z19" s="358"/>
    </row>
    <row r="20" spans="1:27" s="6" customFormat="1" ht="15">
      <c r="A20" s="197" t="s">
        <v>8687</v>
      </c>
      <c r="B20" s="699" t="s">
        <v>8688</v>
      </c>
      <c r="C20" s="699"/>
      <c r="D20" s="699"/>
      <c r="E20" s="699"/>
      <c r="F20" s="699"/>
      <c r="G20" s="699"/>
      <c r="H20" s="699"/>
      <c r="I20" s="699"/>
      <c r="J20" s="699"/>
      <c r="K20" s="509"/>
      <c r="L20" s="509"/>
      <c r="M20" s="358"/>
      <c r="N20" s="358"/>
      <c r="O20" s="380"/>
      <c r="P20" s="358"/>
      <c r="Q20" s="358"/>
      <c r="R20" s="358"/>
      <c r="S20" s="358"/>
      <c r="T20" s="358"/>
      <c r="U20" s="358"/>
      <c r="V20" s="358"/>
      <c r="W20" s="358"/>
      <c r="X20" s="358"/>
      <c r="Y20" s="358"/>
      <c r="Z20" s="358"/>
    </row>
    <row r="21" spans="1:27" s="512" customFormat="1" ht="30">
      <c r="A21" s="338" t="s">
        <v>8690</v>
      </c>
      <c r="B21" s="576" t="s">
        <v>6753</v>
      </c>
      <c r="C21" s="576" t="s">
        <v>9116</v>
      </c>
      <c r="D21" s="336" t="s">
        <v>9114</v>
      </c>
      <c r="E21" s="341">
        <v>1</v>
      </c>
      <c r="F21" s="342" t="s">
        <v>6337</v>
      </c>
      <c r="G21" s="352">
        <v>2978.4300000000003</v>
      </c>
      <c r="H21" s="339">
        <f>ROUND(G21*$B$13,2)</f>
        <v>802.09</v>
      </c>
      <c r="I21" s="339">
        <f>H21+G21</f>
        <v>3780.5200000000004</v>
      </c>
      <c r="J21" s="431">
        <f>ROUND(I21*E21,2)</f>
        <v>3780.52</v>
      </c>
      <c r="K21" s="510">
        <f>ROUND(G21*E21,2)</f>
        <v>2978.43</v>
      </c>
      <c r="L21" s="510">
        <f>ROUND(H21*E21,2)</f>
        <v>802.09</v>
      </c>
      <c r="M21" s="511"/>
      <c r="N21" s="511"/>
      <c r="O21" s="511"/>
      <c r="P21" s="511"/>
      <c r="Q21" s="511"/>
      <c r="R21" s="511"/>
      <c r="S21" s="511"/>
      <c r="T21" s="511"/>
      <c r="U21" s="511"/>
      <c r="V21" s="511"/>
      <c r="W21" s="511"/>
      <c r="X21" s="511"/>
      <c r="Y21" s="511"/>
      <c r="Z21" s="511"/>
    </row>
    <row r="22" spans="1:27" s="6" customFormat="1" ht="15">
      <c r="A22" s="700" t="s">
        <v>8699</v>
      </c>
      <c r="B22" s="700"/>
      <c r="C22" s="700"/>
      <c r="D22" s="700"/>
      <c r="E22" s="700"/>
      <c r="F22" s="700"/>
      <c r="G22" s="700"/>
      <c r="H22" s="700"/>
      <c r="I22" s="700"/>
      <c r="J22" s="432">
        <f>SUM(J20:J21)</f>
        <v>3780.52</v>
      </c>
      <c r="K22" s="513"/>
      <c r="L22" s="513"/>
      <c r="M22" s="514">
        <f t="shared" ref="M22:Z22" si="0">SUM(M20:M21)</f>
        <v>0</v>
      </c>
      <c r="N22" s="514">
        <f t="shared" si="0"/>
        <v>0</v>
      </c>
      <c r="O22" s="514">
        <f t="shared" si="0"/>
        <v>0</v>
      </c>
      <c r="P22" s="514">
        <f t="shared" si="0"/>
        <v>0</v>
      </c>
      <c r="Q22" s="514">
        <f t="shared" si="0"/>
        <v>0</v>
      </c>
      <c r="R22" s="514">
        <f t="shared" si="0"/>
        <v>0</v>
      </c>
      <c r="S22" s="514">
        <f t="shared" si="0"/>
        <v>0</v>
      </c>
      <c r="T22" s="514">
        <f t="shared" si="0"/>
        <v>0</v>
      </c>
      <c r="U22" s="514">
        <f t="shared" si="0"/>
        <v>0</v>
      </c>
      <c r="V22" s="514">
        <f t="shared" si="0"/>
        <v>0</v>
      </c>
      <c r="W22" s="514">
        <f t="shared" si="0"/>
        <v>0</v>
      </c>
      <c r="X22" s="514">
        <f t="shared" si="0"/>
        <v>0</v>
      </c>
      <c r="Y22" s="514">
        <f t="shared" si="0"/>
        <v>0</v>
      </c>
      <c r="Z22" s="514">
        <f t="shared" si="0"/>
        <v>0</v>
      </c>
    </row>
    <row r="23" spans="1:27" s="6" customFormat="1" ht="15">
      <c r="A23" s="29"/>
      <c r="B23" s="29"/>
      <c r="C23" s="29"/>
      <c r="D23" s="29"/>
      <c r="E23" s="189"/>
      <c r="F23" s="29"/>
      <c r="G23" s="353"/>
      <c r="H23" s="28"/>
      <c r="I23" s="28"/>
      <c r="J23" s="433"/>
      <c r="K23" s="155"/>
      <c r="L23" s="155"/>
      <c r="M23" s="358"/>
      <c r="N23" s="358"/>
      <c r="O23" s="380"/>
      <c r="P23" s="358"/>
      <c r="Q23" s="358"/>
      <c r="R23" s="358"/>
      <c r="S23" s="358"/>
      <c r="T23" s="358"/>
      <c r="U23" s="358"/>
      <c r="V23" s="358"/>
      <c r="W23" s="358"/>
      <c r="X23" s="358"/>
      <c r="Y23" s="358"/>
      <c r="Z23" s="358"/>
    </row>
    <row r="24" spans="1:27" ht="15">
      <c r="A24" s="701" t="s">
        <v>8698</v>
      </c>
      <c r="B24" s="701"/>
      <c r="C24" s="701"/>
      <c r="D24" s="701"/>
      <c r="E24" s="701"/>
      <c r="F24" s="701"/>
      <c r="G24" s="701"/>
      <c r="H24" s="701"/>
      <c r="I24" s="701"/>
      <c r="J24" s="434">
        <f>J22</f>
        <v>3780.52</v>
      </c>
      <c r="K24" s="515"/>
      <c r="L24" s="515"/>
      <c r="M24" s="516">
        <f>M22</f>
        <v>0</v>
      </c>
      <c r="N24" s="516">
        <f>N22</f>
        <v>0</v>
      </c>
      <c r="O24" s="516">
        <f>O22</f>
        <v>0</v>
      </c>
      <c r="P24" s="516">
        <f>P22</f>
        <v>0</v>
      </c>
      <c r="Q24" s="516">
        <f>Q22</f>
        <v>0</v>
      </c>
      <c r="R24" s="516">
        <f t="shared" ref="R24:Z24" si="1">R22</f>
        <v>0</v>
      </c>
      <c r="S24" s="516">
        <f t="shared" si="1"/>
        <v>0</v>
      </c>
      <c r="T24" s="516">
        <f t="shared" si="1"/>
        <v>0</v>
      </c>
      <c r="U24" s="516">
        <f t="shared" si="1"/>
        <v>0</v>
      </c>
      <c r="V24" s="516">
        <f t="shared" si="1"/>
        <v>0</v>
      </c>
      <c r="W24" s="516">
        <f t="shared" si="1"/>
        <v>0</v>
      </c>
      <c r="X24" s="516">
        <f t="shared" si="1"/>
        <v>0</v>
      </c>
      <c r="Y24" s="516">
        <f t="shared" si="1"/>
        <v>0</v>
      </c>
      <c r="Z24" s="516">
        <f t="shared" si="1"/>
        <v>0</v>
      </c>
    </row>
    <row r="25" spans="1:27" s="6" customFormat="1" ht="15">
      <c r="A25" s="338"/>
      <c r="B25" s="576"/>
      <c r="C25" s="576"/>
      <c r="D25" s="336"/>
      <c r="E25" s="341"/>
      <c r="F25" s="342"/>
      <c r="G25" s="354"/>
      <c r="H25" s="11"/>
      <c r="I25" s="11"/>
      <c r="J25" s="435"/>
      <c r="K25" s="146"/>
      <c r="L25" s="146"/>
      <c r="M25" s="517">
        <f>M24/$J24</f>
        <v>0</v>
      </c>
      <c r="N25" s="517">
        <f t="shared" ref="N25:Z25" si="2">N24/$J24</f>
        <v>0</v>
      </c>
      <c r="O25" s="517">
        <f t="shared" si="2"/>
        <v>0</v>
      </c>
      <c r="P25" s="517">
        <f t="shared" si="2"/>
        <v>0</v>
      </c>
      <c r="Q25" s="517">
        <f t="shared" si="2"/>
        <v>0</v>
      </c>
      <c r="R25" s="517">
        <f t="shared" si="2"/>
        <v>0</v>
      </c>
      <c r="S25" s="517">
        <f t="shared" si="2"/>
        <v>0</v>
      </c>
      <c r="T25" s="517">
        <f t="shared" si="2"/>
        <v>0</v>
      </c>
      <c r="U25" s="517">
        <f t="shared" si="2"/>
        <v>0</v>
      </c>
      <c r="V25" s="517">
        <f t="shared" si="2"/>
        <v>0</v>
      </c>
      <c r="W25" s="517">
        <f t="shared" si="2"/>
        <v>0</v>
      </c>
      <c r="X25" s="517">
        <f t="shared" si="2"/>
        <v>0</v>
      </c>
      <c r="Y25" s="517">
        <f t="shared" si="2"/>
        <v>0</v>
      </c>
      <c r="Z25" s="517">
        <f t="shared" si="2"/>
        <v>0</v>
      </c>
    </row>
    <row r="26" spans="1:27" ht="15">
      <c r="A26" s="457" t="s">
        <v>2</v>
      </c>
      <c r="B26" s="696" t="s">
        <v>8</v>
      </c>
      <c r="C26" s="697"/>
      <c r="D26" s="697"/>
      <c r="E26" s="697"/>
      <c r="F26" s="697"/>
      <c r="G26" s="697"/>
      <c r="H26" s="697"/>
      <c r="I26" s="697"/>
      <c r="J26" s="697"/>
      <c r="K26" s="518"/>
      <c r="L26" s="518"/>
      <c r="M26" s="506"/>
      <c r="N26" s="507"/>
    </row>
    <row r="27" spans="1:27" s="6" customFormat="1" ht="15">
      <c r="A27" s="573" t="s">
        <v>0</v>
      </c>
      <c r="B27" s="692" t="s">
        <v>7880</v>
      </c>
      <c r="C27" s="693"/>
      <c r="D27" s="23" t="s">
        <v>1</v>
      </c>
      <c r="E27" s="193" t="s">
        <v>134</v>
      </c>
      <c r="F27" s="24" t="s">
        <v>11</v>
      </c>
      <c r="G27" s="182" t="s">
        <v>12</v>
      </c>
      <c r="H27" s="182" t="s">
        <v>6735</v>
      </c>
      <c r="I27" s="182" t="s">
        <v>6736</v>
      </c>
      <c r="J27" s="430" t="s">
        <v>133</v>
      </c>
      <c r="K27" s="518"/>
      <c r="L27" s="518"/>
      <c r="M27" s="506"/>
      <c r="N27" s="507"/>
      <c r="O27" s="358"/>
      <c r="P27" s="358"/>
      <c r="Q27" s="358"/>
      <c r="R27" s="358"/>
      <c r="S27" s="358"/>
      <c r="T27" s="358"/>
      <c r="U27" s="358"/>
      <c r="V27" s="358"/>
      <c r="W27" s="358"/>
      <c r="X27" s="358"/>
      <c r="Y27" s="358"/>
      <c r="Z27" s="358"/>
    </row>
    <row r="28" spans="1:27" s="6" customFormat="1" ht="15">
      <c r="A28" s="197" t="s">
        <v>5794</v>
      </c>
      <c r="B28" s="699" t="s">
        <v>5277</v>
      </c>
      <c r="C28" s="699"/>
      <c r="D28" s="699"/>
      <c r="E28" s="699"/>
      <c r="F28" s="699"/>
      <c r="G28" s="699"/>
      <c r="H28" s="699"/>
      <c r="I28" s="699"/>
      <c r="J28" s="699"/>
      <c r="K28" s="117"/>
      <c r="L28" s="117"/>
      <c r="M28" s="358"/>
      <c r="N28" s="380"/>
      <c r="O28" s="358"/>
      <c r="P28" s="358"/>
      <c r="Q28" s="358"/>
      <c r="R28" s="358"/>
      <c r="S28" s="358"/>
      <c r="T28" s="358"/>
      <c r="U28" s="358"/>
      <c r="V28" s="358"/>
      <c r="W28" s="358"/>
      <c r="X28" s="358"/>
      <c r="Y28" s="358"/>
      <c r="Z28" s="358"/>
    </row>
    <row r="29" spans="1:27" s="6" customFormat="1" ht="15">
      <c r="A29" s="337" t="s">
        <v>5800</v>
      </c>
      <c r="B29" s="698" t="s">
        <v>6169</v>
      </c>
      <c r="C29" s="698"/>
      <c r="D29" s="698"/>
      <c r="E29" s="698"/>
      <c r="F29" s="698"/>
      <c r="G29" s="698"/>
      <c r="H29" s="698"/>
      <c r="I29" s="698"/>
      <c r="J29" s="698"/>
      <c r="K29" s="117"/>
      <c r="L29" s="117"/>
      <c r="M29" s="358"/>
      <c r="N29" s="380"/>
      <c r="O29" s="358"/>
      <c r="P29" s="358"/>
      <c r="Q29" s="358"/>
      <c r="R29" s="358"/>
      <c r="S29" s="358"/>
      <c r="T29" s="358"/>
      <c r="U29" s="358"/>
      <c r="V29" s="358"/>
      <c r="W29" s="358"/>
      <c r="X29" s="358"/>
      <c r="Y29" s="358"/>
      <c r="Z29" s="358"/>
    </row>
    <row r="30" spans="1:27" s="512" customFormat="1" ht="45">
      <c r="A30" s="338" t="s">
        <v>6272</v>
      </c>
      <c r="B30" s="576" t="s">
        <v>5256</v>
      </c>
      <c r="C30" s="576">
        <v>93207</v>
      </c>
      <c r="D30" s="336" t="s">
        <v>8945</v>
      </c>
      <c r="E30" s="341">
        <v>36</v>
      </c>
      <c r="F30" s="342" t="s">
        <v>6339</v>
      </c>
      <c r="G30" s="339">
        <v>603.66999999999996</v>
      </c>
      <c r="H30" s="339">
        <f>ROUND(G30*$B$13,2)</f>
        <v>162.57</v>
      </c>
      <c r="I30" s="339">
        <f>H30+G30</f>
        <v>766.24</v>
      </c>
      <c r="J30" s="431">
        <f>ROUND(I30*E30,2)</f>
        <v>27584.639999999999</v>
      </c>
      <c r="K30" s="510">
        <f>ROUND(G30*E30,2)</f>
        <v>21732.12</v>
      </c>
      <c r="L30" s="510">
        <f>ROUND(H30*E30,2)</f>
        <v>5852.52</v>
      </c>
      <c r="M30" s="519">
        <f>J30</f>
        <v>27584.639999999999</v>
      </c>
      <c r="N30" s="520"/>
      <c r="O30" s="519"/>
      <c r="P30" s="519"/>
      <c r="Q30" s="519"/>
      <c r="R30" s="519"/>
      <c r="S30" s="519"/>
      <c r="T30" s="519"/>
      <c r="U30" s="519"/>
      <c r="V30" s="519"/>
      <c r="W30" s="519"/>
      <c r="X30" s="519"/>
      <c r="Y30" s="519"/>
      <c r="Z30" s="519"/>
    </row>
    <row r="31" spans="1:27" s="512" customFormat="1" ht="45">
      <c r="A31" s="338" t="s">
        <v>6329</v>
      </c>
      <c r="B31" s="576" t="s">
        <v>5256</v>
      </c>
      <c r="C31" s="576">
        <v>93208</v>
      </c>
      <c r="D31" s="336" t="s">
        <v>8946</v>
      </c>
      <c r="E31" s="341">
        <v>30</v>
      </c>
      <c r="F31" s="342" t="s">
        <v>6339</v>
      </c>
      <c r="G31" s="339">
        <v>463.79</v>
      </c>
      <c r="H31" s="339">
        <f>ROUND(G31*$B$13,2)</f>
        <v>124.9</v>
      </c>
      <c r="I31" s="339">
        <f>H31+G31</f>
        <v>588.69000000000005</v>
      </c>
      <c r="J31" s="431">
        <f>ROUND(I31*E31,2)</f>
        <v>17660.7</v>
      </c>
      <c r="K31" s="510">
        <f>ROUND(G31*E31,2)</f>
        <v>13913.7</v>
      </c>
      <c r="L31" s="510">
        <f>ROUND(H31*E31,2)</f>
        <v>3747</v>
      </c>
      <c r="M31" s="519">
        <f>J31</f>
        <v>17660.7</v>
      </c>
      <c r="N31" s="520"/>
      <c r="O31" s="519"/>
      <c r="P31" s="519"/>
      <c r="Q31" s="519"/>
      <c r="R31" s="519"/>
      <c r="S31" s="519"/>
      <c r="T31" s="519"/>
      <c r="U31" s="519"/>
      <c r="V31" s="519"/>
      <c r="W31" s="519"/>
      <c r="X31" s="519"/>
      <c r="Y31" s="519"/>
      <c r="Z31" s="519"/>
    </row>
    <row r="32" spans="1:27" s="512" customFormat="1" ht="30">
      <c r="A32" s="338" t="s">
        <v>8947</v>
      </c>
      <c r="B32" s="576" t="s">
        <v>5256</v>
      </c>
      <c r="C32" s="576">
        <v>93210</v>
      </c>
      <c r="D32" s="336" t="s">
        <v>8948</v>
      </c>
      <c r="E32" s="341">
        <v>30</v>
      </c>
      <c r="F32" s="342" t="s">
        <v>6339</v>
      </c>
      <c r="G32" s="339">
        <v>301.94</v>
      </c>
      <c r="H32" s="339">
        <f>ROUND(G32*$B$13,2)</f>
        <v>81.31</v>
      </c>
      <c r="I32" s="339">
        <f>H32+G32</f>
        <v>383.25</v>
      </c>
      <c r="J32" s="431">
        <f>ROUND(I32*E32,2)</f>
        <v>11497.5</v>
      </c>
      <c r="K32" s="510">
        <f>ROUND(G32*E32,2)</f>
        <v>9058.2000000000007</v>
      </c>
      <c r="L32" s="510">
        <f>ROUND(H32*E32,2)</f>
        <v>2439.3000000000002</v>
      </c>
      <c r="M32" s="519">
        <f>J32</f>
        <v>11497.5</v>
      </c>
      <c r="N32" s="520"/>
      <c r="O32" s="519"/>
      <c r="P32" s="519"/>
      <c r="Q32" s="519"/>
      <c r="R32" s="519"/>
      <c r="S32" s="519"/>
      <c r="T32" s="519"/>
      <c r="U32" s="519"/>
      <c r="V32" s="519"/>
      <c r="W32" s="519"/>
      <c r="X32" s="519"/>
      <c r="Y32" s="519"/>
      <c r="Z32" s="519"/>
    </row>
    <row r="33" spans="1:26" s="512" customFormat="1" ht="30">
      <c r="A33" s="338" t="s">
        <v>6330</v>
      </c>
      <c r="B33" s="576" t="s">
        <v>5256</v>
      </c>
      <c r="C33" s="576">
        <v>93212</v>
      </c>
      <c r="D33" s="336" t="s">
        <v>8949</v>
      </c>
      <c r="E33" s="341">
        <v>20</v>
      </c>
      <c r="F33" s="342" t="s">
        <v>6339</v>
      </c>
      <c r="G33" s="339">
        <v>529.39</v>
      </c>
      <c r="H33" s="339">
        <f>ROUND(G33*$B$13,2)</f>
        <v>142.56</v>
      </c>
      <c r="I33" s="339">
        <f>H33+G33</f>
        <v>671.95</v>
      </c>
      <c r="J33" s="431">
        <f>ROUND(I33*E33,2)</f>
        <v>13439</v>
      </c>
      <c r="K33" s="510">
        <f>ROUND(G33*E33,2)</f>
        <v>10587.8</v>
      </c>
      <c r="L33" s="510">
        <f>ROUND(H33*E33,2)</f>
        <v>2851.2</v>
      </c>
      <c r="M33" s="519">
        <f>J33</f>
        <v>13439</v>
      </c>
      <c r="N33" s="520"/>
      <c r="O33" s="519"/>
      <c r="P33" s="519"/>
      <c r="Q33" s="519"/>
      <c r="R33" s="519"/>
      <c r="S33" s="519"/>
      <c r="T33" s="519"/>
      <c r="U33" s="519"/>
      <c r="V33" s="519"/>
      <c r="W33" s="519"/>
      <c r="X33" s="519"/>
      <c r="Y33" s="519"/>
      <c r="Z33" s="519"/>
    </row>
    <row r="34" spans="1:26" s="512" customFormat="1" ht="30">
      <c r="A34" s="338" t="s">
        <v>8950</v>
      </c>
      <c r="B34" s="576" t="s">
        <v>5256</v>
      </c>
      <c r="C34" s="576">
        <v>93585</v>
      </c>
      <c r="D34" s="336" t="s">
        <v>8951</v>
      </c>
      <c r="E34" s="341">
        <v>6</v>
      </c>
      <c r="F34" s="342" t="s">
        <v>6339</v>
      </c>
      <c r="G34" s="339">
        <v>664.92</v>
      </c>
      <c r="H34" s="339">
        <f>ROUND(G34*$B$13,2)</f>
        <v>179.06</v>
      </c>
      <c r="I34" s="339">
        <f>H34+G34</f>
        <v>843.98</v>
      </c>
      <c r="J34" s="431">
        <f>ROUND(I34*E34,2)</f>
        <v>5063.88</v>
      </c>
      <c r="K34" s="510">
        <f>ROUND(G34*E34,2)</f>
        <v>3989.52</v>
      </c>
      <c r="L34" s="510">
        <f>ROUND(H34*E34,2)</f>
        <v>1074.3599999999999</v>
      </c>
      <c r="M34" s="519">
        <f>J34</f>
        <v>5063.88</v>
      </c>
      <c r="N34" s="520"/>
      <c r="O34" s="519"/>
      <c r="P34" s="519"/>
      <c r="Q34" s="519"/>
      <c r="R34" s="519"/>
      <c r="S34" s="519"/>
      <c r="T34" s="519"/>
      <c r="U34" s="519"/>
      <c r="V34" s="519"/>
      <c r="W34" s="519"/>
      <c r="X34" s="519"/>
      <c r="Y34" s="519"/>
      <c r="Z34" s="519"/>
    </row>
    <row r="35" spans="1:26" s="512" customFormat="1" ht="15">
      <c r="A35" s="337" t="s">
        <v>6170</v>
      </c>
      <c r="B35" s="698" t="s">
        <v>6171</v>
      </c>
      <c r="C35" s="698"/>
      <c r="D35" s="698"/>
      <c r="E35" s="698"/>
      <c r="F35" s="698"/>
      <c r="G35" s="698"/>
      <c r="H35" s="698"/>
      <c r="I35" s="698"/>
      <c r="J35" s="698"/>
      <c r="K35" s="521"/>
      <c r="L35" s="521"/>
      <c r="M35" s="519"/>
      <c r="N35" s="520"/>
      <c r="O35" s="519"/>
      <c r="P35" s="519"/>
      <c r="Q35" s="519"/>
      <c r="R35" s="519"/>
      <c r="S35" s="519"/>
      <c r="T35" s="519"/>
      <c r="U35" s="519"/>
      <c r="V35" s="519"/>
      <c r="W35" s="519"/>
      <c r="X35" s="519"/>
      <c r="Y35" s="519"/>
      <c r="Z35" s="519"/>
    </row>
    <row r="36" spans="1:26" s="512" customFormat="1" ht="45">
      <c r="A36" s="338" t="s">
        <v>6331</v>
      </c>
      <c r="B36" s="576" t="s">
        <v>6333</v>
      </c>
      <c r="C36" s="576">
        <v>6096</v>
      </c>
      <c r="D36" s="336" t="s">
        <v>6332</v>
      </c>
      <c r="E36" s="341">
        <v>1</v>
      </c>
      <c r="F36" s="342" t="s">
        <v>6337</v>
      </c>
      <c r="G36" s="339">
        <v>325.57000000000005</v>
      </c>
      <c r="H36" s="339">
        <f>ROUND(G36*$B$13,2)</f>
        <v>87.68</v>
      </c>
      <c r="I36" s="339">
        <f>H36+G36</f>
        <v>413.25000000000006</v>
      </c>
      <c r="J36" s="431">
        <f>ROUND(I36*E36,2)</f>
        <v>413.25</v>
      </c>
      <c r="K36" s="510">
        <f>ROUND(G36*E36,2)</f>
        <v>325.57</v>
      </c>
      <c r="L36" s="510">
        <f>ROUND(H36*E36,2)</f>
        <v>87.68</v>
      </c>
      <c r="M36" s="519">
        <f>J36</f>
        <v>413.25</v>
      </c>
      <c r="N36" s="520"/>
      <c r="O36" s="519"/>
      <c r="P36" s="519"/>
      <c r="Q36" s="519"/>
      <c r="R36" s="519"/>
      <c r="S36" s="519"/>
      <c r="T36" s="519"/>
      <c r="U36" s="519"/>
      <c r="V36" s="519"/>
      <c r="W36" s="519"/>
      <c r="X36" s="519"/>
      <c r="Y36" s="519"/>
      <c r="Z36" s="519"/>
    </row>
    <row r="37" spans="1:26" s="512" customFormat="1" ht="30">
      <c r="A37" s="338" t="s">
        <v>7884</v>
      </c>
      <c r="B37" s="576" t="s">
        <v>5256</v>
      </c>
      <c r="C37" s="576">
        <v>41598</v>
      </c>
      <c r="D37" s="336" t="s">
        <v>7812</v>
      </c>
      <c r="E37" s="341">
        <v>1</v>
      </c>
      <c r="F37" s="342" t="s">
        <v>6337</v>
      </c>
      <c r="G37" s="339">
        <v>1208.8399999999999</v>
      </c>
      <c r="H37" s="339">
        <f>ROUND(G37*$B$13,2)</f>
        <v>325.54000000000002</v>
      </c>
      <c r="I37" s="339">
        <f>H37+G37</f>
        <v>1534.3799999999999</v>
      </c>
      <c r="J37" s="431">
        <f>ROUND(I37*E37,2)</f>
        <v>1534.38</v>
      </c>
      <c r="K37" s="510">
        <f>ROUND(G37*E37,2)</f>
        <v>1208.8399999999999</v>
      </c>
      <c r="L37" s="510">
        <f>ROUND(H37*E37,2)</f>
        <v>325.54000000000002</v>
      </c>
      <c r="M37" s="519">
        <f>J37</f>
        <v>1534.38</v>
      </c>
      <c r="N37" s="520"/>
      <c r="O37" s="519"/>
      <c r="P37" s="519"/>
      <c r="Q37" s="519"/>
      <c r="R37" s="519"/>
      <c r="S37" s="519"/>
      <c r="T37" s="519"/>
      <c r="U37" s="519"/>
      <c r="V37" s="519"/>
      <c r="W37" s="519"/>
      <c r="X37" s="519"/>
      <c r="Y37" s="519"/>
      <c r="Z37" s="519"/>
    </row>
    <row r="38" spans="1:26" s="512" customFormat="1" ht="30">
      <c r="A38" s="338" t="s">
        <v>7885</v>
      </c>
      <c r="B38" s="576" t="s">
        <v>5256</v>
      </c>
      <c r="C38" s="576" t="s">
        <v>2563</v>
      </c>
      <c r="D38" s="336" t="s">
        <v>6341</v>
      </c>
      <c r="E38" s="341">
        <v>1</v>
      </c>
      <c r="F38" s="342" t="s">
        <v>6337</v>
      </c>
      <c r="G38" s="339">
        <v>4116.1899999999996</v>
      </c>
      <c r="H38" s="339">
        <f>ROUND(G38*$B$13,2)</f>
        <v>1108.49</v>
      </c>
      <c r="I38" s="339">
        <f>H38+G38</f>
        <v>5224.6799999999994</v>
      </c>
      <c r="J38" s="431">
        <f>ROUND(I38*E38,2)</f>
        <v>5224.68</v>
      </c>
      <c r="K38" s="510">
        <f>ROUND(G38*E38,2)</f>
        <v>4116.1899999999996</v>
      </c>
      <c r="L38" s="510">
        <f>ROUND(H38*E38,2)</f>
        <v>1108.49</v>
      </c>
      <c r="M38" s="519">
        <f>J38</f>
        <v>5224.68</v>
      </c>
      <c r="N38" s="520"/>
      <c r="O38" s="519"/>
      <c r="P38" s="519"/>
      <c r="Q38" s="519"/>
      <c r="R38" s="519"/>
      <c r="S38" s="519"/>
      <c r="T38" s="519"/>
      <c r="U38" s="519"/>
      <c r="V38" s="519"/>
      <c r="W38" s="519"/>
      <c r="X38" s="519"/>
      <c r="Y38" s="519"/>
      <c r="Z38" s="519"/>
    </row>
    <row r="39" spans="1:26" s="512" customFormat="1" ht="60">
      <c r="A39" s="338" t="s">
        <v>6335</v>
      </c>
      <c r="B39" s="576" t="s">
        <v>5256</v>
      </c>
      <c r="C39" s="576">
        <v>73658</v>
      </c>
      <c r="D39" s="336" t="s">
        <v>6336</v>
      </c>
      <c r="E39" s="341">
        <v>1</v>
      </c>
      <c r="F39" s="342" t="s">
        <v>6337</v>
      </c>
      <c r="G39" s="339">
        <v>395.37</v>
      </c>
      <c r="H39" s="339">
        <f>ROUND(G39*$B$13,2)</f>
        <v>106.47</v>
      </c>
      <c r="I39" s="339">
        <f>H39+G39</f>
        <v>501.84000000000003</v>
      </c>
      <c r="J39" s="431">
        <f>ROUND(I39*E39,2)</f>
        <v>501.84</v>
      </c>
      <c r="K39" s="510">
        <f>ROUND(G39*E39,2)</f>
        <v>395.37</v>
      </c>
      <c r="L39" s="510">
        <f>ROUND(H39*E39,2)</f>
        <v>106.47</v>
      </c>
      <c r="M39" s="519">
        <f>J39</f>
        <v>501.84</v>
      </c>
      <c r="N39" s="520"/>
      <c r="O39" s="519"/>
      <c r="P39" s="519"/>
      <c r="Q39" s="519"/>
      <c r="R39" s="519"/>
      <c r="S39" s="519"/>
      <c r="T39" s="519"/>
      <c r="U39" s="519"/>
      <c r="V39" s="519"/>
      <c r="W39" s="519"/>
      <c r="X39" s="519"/>
      <c r="Y39" s="519"/>
      <c r="Z39" s="519"/>
    </row>
    <row r="40" spans="1:26" s="512" customFormat="1" ht="15">
      <c r="A40" s="337" t="s">
        <v>6172</v>
      </c>
      <c r="B40" s="698" t="s">
        <v>6173</v>
      </c>
      <c r="C40" s="698"/>
      <c r="D40" s="698"/>
      <c r="E40" s="698"/>
      <c r="F40" s="698"/>
      <c r="G40" s="698"/>
      <c r="H40" s="698"/>
      <c r="I40" s="698"/>
      <c r="J40" s="698"/>
      <c r="K40" s="521"/>
      <c r="L40" s="521"/>
      <c r="M40" s="511"/>
      <c r="N40" s="520"/>
      <c r="O40" s="519"/>
      <c r="P40" s="519"/>
      <c r="Q40" s="519"/>
      <c r="R40" s="519"/>
      <c r="S40" s="519"/>
      <c r="T40" s="519"/>
      <c r="U40" s="519"/>
      <c r="V40" s="519"/>
      <c r="W40" s="519"/>
      <c r="X40" s="519"/>
      <c r="Y40" s="519"/>
      <c r="Z40" s="519"/>
    </row>
    <row r="41" spans="1:26" s="512" customFormat="1" ht="30">
      <c r="A41" s="338" t="s">
        <v>6338</v>
      </c>
      <c r="B41" s="576" t="s">
        <v>5256</v>
      </c>
      <c r="C41" s="576">
        <v>98459</v>
      </c>
      <c r="D41" s="336" t="s">
        <v>8975</v>
      </c>
      <c r="E41" s="341">
        <v>686.03</v>
      </c>
      <c r="F41" s="342" t="s">
        <v>6339</v>
      </c>
      <c r="G41" s="339">
        <v>58.85</v>
      </c>
      <c r="H41" s="339">
        <f>ROUND(G41*$B$13,2)</f>
        <v>15.85</v>
      </c>
      <c r="I41" s="339">
        <f>H41+G41</f>
        <v>74.7</v>
      </c>
      <c r="J41" s="431">
        <f>ROUND(I41*E41,2)</f>
        <v>51246.44</v>
      </c>
      <c r="K41" s="510">
        <f>ROUND(G41*E41,2)</f>
        <v>40372.870000000003</v>
      </c>
      <c r="L41" s="510">
        <f>ROUND(H41*E41,2)</f>
        <v>10873.58</v>
      </c>
      <c r="M41" s="519">
        <f>J41</f>
        <v>51246.44</v>
      </c>
      <c r="N41" s="520"/>
      <c r="O41" s="519"/>
      <c r="P41" s="519"/>
      <c r="Q41" s="519"/>
      <c r="R41" s="519"/>
      <c r="S41" s="519"/>
      <c r="T41" s="519"/>
      <c r="U41" s="519"/>
      <c r="V41" s="519"/>
      <c r="W41" s="519"/>
      <c r="X41" s="519"/>
      <c r="Y41" s="519"/>
      <c r="Z41" s="519"/>
    </row>
    <row r="42" spans="1:26" s="512" customFormat="1" ht="30">
      <c r="A42" s="338" t="s">
        <v>8976</v>
      </c>
      <c r="B42" s="576" t="s">
        <v>5256</v>
      </c>
      <c r="C42" s="576" t="s">
        <v>8977</v>
      </c>
      <c r="D42" s="336" t="s">
        <v>8978</v>
      </c>
      <c r="E42" s="341">
        <v>316.43</v>
      </c>
      <c r="F42" s="342" t="s">
        <v>6339</v>
      </c>
      <c r="G42" s="339">
        <v>16.059999999999999</v>
      </c>
      <c r="H42" s="339">
        <f>ROUND(G42*$B$13,2)</f>
        <v>4.32</v>
      </c>
      <c r="I42" s="339">
        <f>H42+G42</f>
        <v>20.38</v>
      </c>
      <c r="J42" s="431">
        <f>ROUND(I42*E42,2)</f>
        <v>6448.84</v>
      </c>
      <c r="K42" s="510">
        <f>ROUND(G42*E42,2)</f>
        <v>5081.87</v>
      </c>
      <c r="L42" s="510">
        <f>ROUND(H42*E42,2)</f>
        <v>1366.98</v>
      </c>
      <c r="M42" s="519">
        <f>J42</f>
        <v>6448.84</v>
      </c>
      <c r="N42" s="520"/>
      <c r="O42" s="519"/>
      <c r="P42" s="519"/>
      <c r="Q42" s="519"/>
      <c r="R42" s="519"/>
      <c r="S42" s="519"/>
      <c r="T42" s="519"/>
      <c r="U42" s="519"/>
      <c r="V42" s="519"/>
      <c r="W42" s="519"/>
      <c r="X42" s="519"/>
      <c r="Y42" s="519"/>
      <c r="Z42" s="519"/>
    </row>
    <row r="43" spans="1:26" s="512" customFormat="1" ht="30">
      <c r="A43" s="338" t="s">
        <v>6340</v>
      </c>
      <c r="B43" s="576" t="s">
        <v>5256</v>
      </c>
      <c r="C43" s="576" t="s">
        <v>5890</v>
      </c>
      <c r="D43" s="336" t="s">
        <v>9396</v>
      </c>
      <c r="E43" s="341">
        <v>18.649999999999999</v>
      </c>
      <c r="F43" s="342" t="s">
        <v>6339</v>
      </c>
      <c r="G43" s="339">
        <v>272.32</v>
      </c>
      <c r="H43" s="339">
        <f>ROUND(G43*$B$13,2)</f>
        <v>73.34</v>
      </c>
      <c r="I43" s="339">
        <f>H43+G43</f>
        <v>345.65999999999997</v>
      </c>
      <c r="J43" s="431">
        <f>ROUND(I43*E43,2)</f>
        <v>6446.56</v>
      </c>
      <c r="K43" s="510">
        <f>ROUND(G43*E43,2)</f>
        <v>5078.7700000000004</v>
      </c>
      <c r="L43" s="510">
        <f>ROUND(H43*E43,2)</f>
        <v>1367.79</v>
      </c>
      <c r="M43" s="519">
        <f>J43</f>
        <v>6446.56</v>
      </c>
      <c r="N43" s="520"/>
      <c r="O43" s="519"/>
      <c r="P43" s="519"/>
      <c r="Q43" s="519"/>
      <c r="R43" s="519"/>
      <c r="S43" s="519"/>
      <c r="T43" s="519"/>
      <c r="U43" s="519"/>
      <c r="V43" s="519"/>
      <c r="W43" s="519"/>
      <c r="X43" s="519"/>
      <c r="Y43" s="519"/>
      <c r="Z43" s="519"/>
    </row>
    <row r="44" spans="1:26" s="6" customFormat="1" ht="15">
      <c r="A44" s="700" t="s">
        <v>6737</v>
      </c>
      <c r="B44" s="700"/>
      <c r="C44" s="700"/>
      <c r="D44" s="700"/>
      <c r="E44" s="700"/>
      <c r="F44" s="700"/>
      <c r="G44" s="700"/>
      <c r="H44" s="700"/>
      <c r="I44" s="700"/>
      <c r="J44" s="432">
        <f>SUM(J28:J43)</f>
        <v>147061.71</v>
      </c>
      <c r="K44" s="117"/>
      <c r="L44" s="117"/>
      <c r="M44" s="514">
        <f t="shared" ref="M44:Z44" si="3">SUM(M28:M43)</f>
        <v>147061.71</v>
      </c>
      <c r="N44" s="514">
        <f t="shared" si="3"/>
        <v>0</v>
      </c>
      <c r="O44" s="514">
        <f t="shared" si="3"/>
        <v>0</v>
      </c>
      <c r="P44" s="514">
        <f t="shared" si="3"/>
        <v>0</v>
      </c>
      <c r="Q44" s="514">
        <f t="shared" si="3"/>
        <v>0</v>
      </c>
      <c r="R44" s="514">
        <f t="shared" si="3"/>
        <v>0</v>
      </c>
      <c r="S44" s="514">
        <f t="shared" si="3"/>
        <v>0</v>
      </c>
      <c r="T44" s="514">
        <f t="shared" si="3"/>
        <v>0</v>
      </c>
      <c r="U44" s="514">
        <f t="shared" si="3"/>
        <v>0</v>
      </c>
      <c r="V44" s="514">
        <f t="shared" si="3"/>
        <v>0</v>
      </c>
      <c r="W44" s="514">
        <f t="shared" si="3"/>
        <v>0</v>
      </c>
      <c r="X44" s="514">
        <f t="shared" si="3"/>
        <v>0</v>
      </c>
      <c r="Y44" s="514">
        <f t="shared" si="3"/>
        <v>0</v>
      </c>
      <c r="Z44" s="514">
        <f t="shared" si="3"/>
        <v>0</v>
      </c>
    </row>
    <row r="45" spans="1:26" s="512" customFormat="1" ht="15">
      <c r="A45" s="338"/>
      <c r="B45" s="576"/>
      <c r="C45" s="576"/>
      <c r="D45" s="336"/>
      <c r="E45" s="341"/>
      <c r="F45" s="342"/>
      <c r="G45" s="339"/>
      <c r="H45" s="339"/>
      <c r="I45" s="339"/>
      <c r="J45" s="431"/>
      <c r="K45" s="521"/>
      <c r="L45" s="521"/>
      <c r="M45" s="511"/>
      <c r="N45" s="520"/>
      <c r="O45" s="519"/>
      <c r="P45" s="519"/>
      <c r="Q45" s="519"/>
      <c r="R45" s="519"/>
      <c r="S45" s="519"/>
      <c r="T45" s="519"/>
      <c r="U45" s="519"/>
      <c r="V45" s="519"/>
      <c r="W45" s="519"/>
      <c r="X45" s="519"/>
      <c r="Y45" s="519"/>
      <c r="Z45" s="519"/>
    </row>
    <row r="46" spans="1:26" s="6" customFormat="1" ht="15">
      <c r="A46" s="197" t="s">
        <v>5922</v>
      </c>
      <c r="B46" s="699" t="s">
        <v>5923</v>
      </c>
      <c r="C46" s="699"/>
      <c r="D46" s="699"/>
      <c r="E46" s="699"/>
      <c r="F46" s="699"/>
      <c r="G46" s="699"/>
      <c r="H46" s="699"/>
      <c r="I46" s="699"/>
      <c r="J46" s="699"/>
      <c r="K46" s="117"/>
      <c r="L46" s="117"/>
      <c r="M46" s="358"/>
      <c r="N46" s="380"/>
      <c r="O46" s="358"/>
      <c r="P46" s="358"/>
      <c r="Q46" s="358"/>
      <c r="R46" s="358"/>
      <c r="S46" s="358"/>
      <c r="T46" s="358"/>
      <c r="U46" s="358"/>
      <c r="V46" s="358"/>
      <c r="W46" s="358"/>
      <c r="X46" s="358"/>
      <c r="Y46" s="358"/>
      <c r="Z46" s="358"/>
    </row>
    <row r="47" spans="1:26" s="6" customFormat="1" ht="15">
      <c r="A47" s="337" t="s">
        <v>5928</v>
      </c>
      <c r="B47" s="698" t="s">
        <v>6740</v>
      </c>
      <c r="C47" s="698"/>
      <c r="D47" s="698"/>
      <c r="E47" s="698"/>
      <c r="F47" s="698"/>
      <c r="G47" s="698"/>
      <c r="H47" s="698"/>
      <c r="I47" s="698"/>
      <c r="J47" s="698"/>
      <c r="K47" s="117"/>
      <c r="L47" s="117"/>
      <c r="M47" s="358"/>
      <c r="N47" s="380"/>
      <c r="O47" s="358"/>
      <c r="P47" s="358"/>
      <c r="Q47" s="358"/>
      <c r="R47" s="358"/>
      <c r="S47" s="358"/>
      <c r="T47" s="358"/>
      <c r="U47" s="358"/>
      <c r="V47" s="358"/>
      <c r="W47" s="358"/>
      <c r="X47" s="358"/>
      <c r="Y47" s="358"/>
      <c r="Z47" s="358"/>
    </row>
    <row r="48" spans="1:26" s="512" customFormat="1" ht="45">
      <c r="A48" s="338" t="s">
        <v>5929</v>
      </c>
      <c r="B48" s="576" t="s">
        <v>5256</v>
      </c>
      <c r="C48" s="576" t="s">
        <v>5019</v>
      </c>
      <c r="D48" s="336" t="s">
        <v>7858</v>
      </c>
      <c r="E48" s="341">
        <v>5150.75</v>
      </c>
      <c r="F48" s="342" t="s">
        <v>6339</v>
      </c>
      <c r="G48" s="339">
        <v>0.38</v>
      </c>
      <c r="H48" s="339">
        <f>ROUND(G48*$B$13,2)</f>
        <v>0.1</v>
      </c>
      <c r="I48" s="339">
        <f>H48+G48</f>
        <v>0.48</v>
      </c>
      <c r="J48" s="431">
        <f>ROUND(I48*E48,2)</f>
        <v>2472.36</v>
      </c>
      <c r="K48" s="510">
        <f>ROUND(G48*E48,2)</f>
        <v>1957.29</v>
      </c>
      <c r="L48" s="510">
        <f>ROUND(H48*E48,2)</f>
        <v>515.08000000000004</v>
      </c>
      <c r="M48" s="519">
        <f>J48</f>
        <v>2472.36</v>
      </c>
      <c r="N48" s="520"/>
      <c r="O48" s="519"/>
      <c r="P48" s="519"/>
      <c r="Q48" s="519"/>
      <c r="R48" s="519"/>
      <c r="S48" s="519"/>
      <c r="T48" s="519"/>
      <c r="U48" s="519"/>
      <c r="V48" s="519"/>
      <c r="W48" s="519"/>
      <c r="X48" s="519"/>
      <c r="Y48" s="519"/>
      <c r="Z48" s="519"/>
    </row>
    <row r="49" spans="1:26" s="512" customFormat="1" ht="30">
      <c r="A49" s="338" t="s">
        <v>8128</v>
      </c>
      <c r="B49" s="576" t="s">
        <v>5256</v>
      </c>
      <c r="C49" s="576">
        <v>72898</v>
      </c>
      <c r="D49" s="336" t="s">
        <v>7856</v>
      </c>
      <c r="E49" s="341">
        <v>431.64</v>
      </c>
      <c r="F49" s="342" t="s">
        <v>6741</v>
      </c>
      <c r="G49" s="339">
        <v>3.06</v>
      </c>
      <c r="H49" s="339">
        <f>ROUND(G49*$B$13,2)</f>
        <v>0.82</v>
      </c>
      <c r="I49" s="339">
        <f>H49+G49</f>
        <v>3.88</v>
      </c>
      <c r="J49" s="431">
        <f>ROUND(I49*E49,2)</f>
        <v>1674.76</v>
      </c>
      <c r="K49" s="510">
        <f>ROUND(G49*E49,2)</f>
        <v>1320.82</v>
      </c>
      <c r="L49" s="510">
        <f>ROUND(H49*E49,2)</f>
        <v>353.94</v>
      </c>
      <c r="M49" s="519">
        <f>J49</f>
        <v>1674.76</v>
      </c>
      <c r="N49" s="520"/>
      <c r="O49" s="519"/>
      <c r="P49" s="519"/>
      <c r="Q49" s="519"/>
      <c r="R49" s="519"/>
      <c r="S49" s="519"/>
      <c r="T49" s="519"/>
      <c r="U49" s="519"/>
      <c r="V49" s="519"/>
      <c r="W49" s="519"/>
      <c r="X49" s="519"/>
      <c r="Y49" s="519"/>
      <c r="Z49" s="519"/>
    </row>
    <row r="50" spans="1:26" s="512" customFormat="1" ht="45">
      <c r="A50" s="338" t="s">
        <v>8129</v>
      </c>
      <c r="B50" s="576" t="s">
        <v>5256</v>
      </c>
      <c r="C50" s="576">
        <v>97914</v>
      </c>
      <c r="D50" s="336" t="s">
        <v>7857</v>
      </c>
      <c r="E50" s="341">
        <v>8632.7999999999993</v>
      </c>
      <c r="F50" s="342" t="s">
        <v>7855</v>
      </c>
      <c r="G50" s="339">
        <v>1.27</v>
      </c>
      <c r="H50" s="339">
        <f>ROUND(G50*$B$13,2)</f>
        <v>0.34</v>
      </c>
      <c r="I50" s="339">
        <f>H50+G50</f>
        <v>1.61</v>
      </c>
      <c r="J50" s="431">
        <f>ROUND(I50*E50,2)</f>
        <v>13898.81</v>
      </c>
      <c r="K50" s="510">
        <f>ROUND(G50*E50,2)</f>
        <v>10963.66</v>
      </c>
      <c r="L50" s="510">
        <f>ROUND(H50*E50,2)</f>
        <v>2935.15</v>
      </c>
      <c r="M50" s="519">
        <f>J50</f>
        <v>13898.81</v>
      </c>
      <c r="N50" s="520"/>
      <c r="O50" s="519"/>
      <c r="P50" s="519"/>
      <c r="Q50" s="519"/>
      <c r="R50" s="519"/>
      <c r="S50" s="519"/>
      <c r="T50" s="519"/>
      <c r="U50" s="519"/>
      <c r="V50" s="519"/>
      <c r="W50" s="519"/>
      <c r="X50" s="519"/>
      <c r="Y50" s="519"/>
      <c r="Z50" s="519"/>
    </row>
    <row r="51" spans="1:26" s="512" customFormat="1" ht="15">
      <c r="A51" s="337" t="s">
        <v>9159</v>
      </c>
      <c r="B51" s="698" t="s">
        <v>9160</v>
      </c>
      <c r="C51" s="698"/>
      <c r="D51" s="698"/>
      <c r="E51" s="698"/>
      <c r="F51" s="698"/>
      <c r="G51" s="698"/>
      <c r="H51" s="698"/>
      <c r="I51" s="698"/>
      <c r="J51" s="698"/>
      <c r="K51" s="521"/>
      <c r="L51" s="521"/>
      <c r="M51" s="519"/>
      <c r="N51" s="520"/>
      <c r="O51" s="519"/>
      <c r="P51" s="519"/>
      <c r="Q51" s="519"/>
      <c r="R51" s="519"/>
      <c r="S51" s="519"/>
      <c r="T51" s="519"/>
      <c r="U51" s="519"/>
      <c r="V51" s="519"/>
      <c r="W51" s="519"/>
      <c r="X51" s="519"/>
      <c r="Y51" s="519"/>
      <c r="Z51" s="519"/>
    </row>
    <row r="52" spans="1:26" s="512" customFormat="1" ht="45">
      <c r="A52" s="338" t="s">
        <v>9161</v>
      </c>
      <c r="B52" s="576" t="s">
        <v>5256</v>
      </c>
      <c r="C52" s="576">
        <v>96385</v>
      </c>
      <c r="D52" s="336" t="s">
        <v>9162</v>
      </c>
      <c r="E52" s="341">
        <v>1749.31</v>
      </c>
      <c r="F52" s="342" t="s">
        <v>6741</v>
      </c>
      <c r="G52" s="339">
        <v>4.03</v>
      </c>
      <c r="H52" s="339">
        <f>ROUND(G52*$B$13,2)</f>
        <v>1.0900000000000001</v>
      </c>
      <c r="I52" s="339">
        <f>H52+G52</f>
        <v>5.12</v>
      </c>
      <c r="J52" s="431">
        <f>ROUND(I52*E52,2)</f>
        <v>8956.4699999999993</v>
      </c>
      <c r="K52" s="510">
        <f>ROUND(G52*E52,2)</f>
        <v>7049.72</v>
      </c>
      <c r="L52" s="510">
        <f>ROUND(H52*E52,2)</f>
        <v>1906.75</v>
      </c>
      <c r="M52" s="519">
        <f>0.8*J52</f>
        <v>7165.1759999999995</v>
      </c>
      <c r="N52" s="520">
        <f>0.2*J52</f>
        <v>1791.2939999999999</v>
      </c>
      <c r="O52" s="519"/>
      <c r="P52" s="519"/>
      <c r="Q52" s="519"/>
      <c r="R52" s="519"/>
      <c r="S52" s="519"/>
      <c r="T52" s="519"/>
      <c r="U52" s="519"/>
      <c r="V52" s="519"/>
      <c r="W52" s="519"/>
      <c r="X52" s="519"/>
      <c r="Y52" s="519"/>
      <c r="Z52" s="519"/>
    </row>
    <row r="53" spans="1:26" s="512" customFormat="1" ht="30">
      <c r="A53" s="338" t="s">
        <v>9163</v>
      </c>
      <c r="B53" s="576" t="s">
        <v>5256</v>
      </c>
      <c r="C53" s="576" t="s">
        <v>9215</v>
      </c>
      <c r="D53" s="336" t="s">
        <v>9164</v>
      </c>
      <c r="E53" s="341">
        <v>1911.6</v>
      </c>
      <c r="F53" s="342" t="s">
        <v>6741</v>
      </c>
      <c r="G53" s="339">
        <v>6.94</v>
      </c>
      <c r="H53" s="339">
        <f>ROUND(G53*$B$13,2)</f>
        <v>1.87</v>
      </c>
      <c r="I53" s="339">
        <f>H53+G53</f>
        <v>8.81</v>
      </c>
      <c r="J53" s="431">
        <f>ROUND(I53*E53,2)</f>
        <v>16841.2</v>
      </c>
      <c r="K53" s="510">
        <f>ROUND(G53*E53,2)</f>
        <v>13266.5</v>
      </c>
      <c r="L53" s="510">
        <f>ROUND(H53*E53,2)</f>
        <v>3574.69</v>
      </c>
      <c r="M53" s="519">
        <f>0.8*J53</f>
        <v>13472.960000000001</v>
      </c>
      <c r="N53" s="520">
        <f>0.2*J53</f>
        <v>3368.2400000000002</v>
      </c>
      <c r="O53" s="519"/>
      <c r="P53" s="519"/>
      <c r="Q53" s="519"/>
      <c r="R53" s="519"/>
      <c r="S53" s="519"/>
      <c r="T53" s="519"/>
      <c r="U53" s="519"/>
      <c r="V53" s="519"/>
      <c r="W53" s="519"/>
      <c r="X53" s="519"/>
      <c r="Y53" s="519"/>
      <c r="Z53" s="519"/>
    </row>
    <row r="54" spans="1:26" s="512" customFormat="1" ht="60">
      <c r="A54" s="338" t="s">
        <v>9165</v>
      </c>
      <c r="B54" s="576" t="s">
        <v>5256</v>
      </c>
      <c r="C54" s="576" t="s">
        <v>4071</v>
      </c>
      <c r="D54" s="336" t="s">
        <v>9178</v>
      </c>
      <c r="E54" s="341">
        <v>1911.6</v>
      </c>
      <c r="F54" s="342" t="s">
        <v>6741</v>
      </c>
      <c r="G54" s="339">
        <v>1.34</v>
      </c>
      <c r="H54" s="339">
        <f>ROUND(G54*$B$13,2)</f>
        <v>0.36</v>
      </c>
      <c r="I54" s="339">
        <f>H54+G54</f>
        <v>1.7000000000000002</v>
      </c>
      <c r="J54" s="431">
        <f>ROUND(I54*E54,2)</f>
        <v>3249.72</v>
      </c>
      <c r="K54" s="510">
        <f>ROUND(G54*E54,2)</f>
        <v>2561.54</v>
      </c>
      <c r="L54" s="510">
        <f>ROUND(H54*E54,2)</f>
        <v>688.18</v>
      </c>
      <c r="M54" s="519">
        <f>0.8*J54</f>
        <v>2599.7759999999998</v>
      </c>
      <c r="N54" s="520">
        <f>0.2*J54</f>
        <v>649.94399999999996</v>
      </c>
      <c r="O54" s="519"/>
      <c r="P54" s="519"/>
      <c r="Q54" s="519"/>
      <c r="R54" s="519"/>
      <c r="S54" s="519"/>
      <c r="T54" s="519"/>
      <c r="U54" s="519"/>
      <c r="V54" s="519"/>
      <c r="W54" s="519"/>
      <c r="X54" s="519"/>
      <c r="Y54" s="519"/>
      <c r="Z54" s="519"/>
    </row>
    <row r="55" spans="1:26" s="512" customFormat="1" ht="45">
      <c r="A55" s="338" t="s">
        <v>9166</v>
      </c>
      <c r="B55" s="576" t="s">
        <v>5256</v>
      </c>
      <c r="C55" s="576">
        <v>97914</v>
      </c>
      <c r="D55" s="336" t="s">
        <v>9266</v>
      </c>
      <c r="E55" s="341">
        <v>38232</v>
      </c>
      <c r="F55" s="342" t="s">
        <v>7855</v>
      </c>
      <c r="G55" s="339">
        <v>1.27</v>
      </c>
      <c r="H55" s="339">
        <f>ROUND(G55*$B$13,2)</f>
        <v>0.34</v>
      </c>
      <c r="I55" s="339">
        <f>H55+G55</f>
        <v>1.61</v>
      </c>
      <c r="J55" s="431">
        <f>ROUND(I55*E55,2)</f>
        <v>61553.52</v>
      </c>
      <c r="K55" s="510">
        <f>ROUND(G55*E55,2)</f>
        <v>48554.64</v>
      </c>
      <c r="L55" s="510">
        <f>ROUND(H55*E55,2)</f>
        <v>12998.88</v>
      </c>
      <c r="M55" s="519">
        <f>0.8*J55</f>
        <v>49242.815999999999</v>
      </c>
      <c r="N55" s="520">
        <f>0.2*J55</f>
        <v>12310.704</v>
      </c>
      <c r="O55" s="519"/>
      <c r="P55" s="519"/>
      <c r="Q55" s="519"/>
      <c r="R55" s="519"/>
      <c r="S55" s="519"/>
      <c r="T55" s="519"/>
      <c r="U55" s="519"/>
      <c r="V55" s="519"/>
      <c r="W55" s="519"/>
      <c r="X55" s="519"/>
      <c r="Y55" s="519"/>
      <c r="Z55" s="519"/>
    </row>
    <row r="56" spans="1:26" s="6" customFormat="1" ht="15">
      <c r="A56" s="700" t="s">
        <v>6739</v>
      </c>
      <c r="B56" s="700"/>
      <c r="C56" s="700"/>
      <c r="D56" s="700"/>
      <c r="E56" s="700"/>
      <c r="F56" s="700"/>
      <c r="G56" s="700"/>
      <c r="H56" s="700"/>
      <c r="I56" s="700"/>
      <c r="J56" s="432">
        <f>SUM(J47:J55)</f>
        <v>108646.84</v>
      </c>
      <c r="K56" s="117"/>
      <c r="L56" s="117"/>
      <c r="M56" s="514">
        <f>SUM(M47:M55)</f>
        <v>90526.657999999996</v>
      </c>
      <c r="N56" s="514">
        <f t="shared" ref="N56:Z56" si="4">SUM(N47:N55)</f>
        <v>18120.182000000001</v>
      </c>
      <c r="O56" s="514">
        <f t="shared" si="4"/>
        <v>0</v>
      </c>
      <c r="P56" s="514">
        <f t="shared" si="4"/>
        <v>0</v>
      </c>
      <c r="Q56" s="514">
        <f t="shared" si="4"/>
        <v>0</v>
      </c>
      <c r="R56" s="514">
        <f t="shared" si="4"/>
        <v>0</v>
      </c>
      <c r="S56" s="514">
        <f t="shared" si="4"/>
        <v>0</v>
      </c>
      <c r="T56" s="514">
        <f t="shared" si="4"/>
        <v>0</v>
      </c>
      <c r="U56" s="514">
        <f t="shared" si="4"/>
        <v>0</v>
      </c>
      <c r="V56" s="514">
        <f t="shared" si="4"/>
        <v>0</v>
      </c>
      <c r="W56" s="514">
        <f t="shared" si="4"/>
        <v>0</v>
      </c>
      <c r="X56" s="514">
        <f t="shared" si="4"/>
        <v>0</v>
      </c>
      <c r="Y56" s="514">
        <f t="shared" si="4"/>
        <v>0</v>
      </c>
      <c r="Z56" s="514">
        <f t="shared" si="4"/>
        <v>0</v>
      </c>
    </row>
    <row r="57" spans="1:26" s="6" customFormat="1" ht="15">
      <c r="A57" s="29"/>
      <c r="B57" s="29"/>
      <c r="C57" s="29"/>
      <c r="D57" s="29"/>
      <c r="E57" s="189"/>
      <c r="F57" s="29"/>
      <c r="G57" s="29"/>
      <c r="H57" s="28"/>
      <c r="I57" s="28"/>
      <c r="J57" s="433"/>
      <c r="K57" s="117"/>
      <c r="L57" s="117"/>
      <c r="M57" s="358"/>
      <c r="N57" s="380"/>
      <c r="O57" s="358"/>
      <c r="P57" s="358"/>
      <c r="Q57" s="358"/>
      <c r="R57" s="358"/>
      <c r="S57" s="358"/>
      <c r="T57" s="358"/>
      <c r="U57" s="358"/>
      <c r="V57" s="358"/>
      <c r="W57" s="358"/>
      <c r="X57" s="358"/>
      <c r="Y57" s="358"/>
      <c r="Z57" s="358"/>
    </row>
    <row r="58" spans="1:26" ht="15">
      <c r="A58" s="701" t="s">
        <v>6742</v>
      </c>
      <c r="B58" s="701"/>
      <c r="C58" s="701"/>
      <c r="D58" s="701"/>
      <c r="E58" s="701"/>
      <c r="F58" s="701"/>
      <c r="G58" s="701"/>
      <c r="H58" s="701"/>
      <c r="I58" s="701"/>
      <c r="J58" s="434">
        <f>J56+J44</f>
        <v>255708.55</v>
      </c>
      <c r="M58" s="516">
        <f>M56+M44</f>
        <v>237588.36799999999</v>
      </c>
      <c r="N58" s="516">
        <f t="shared" ref="N58:Z58" si="5">N56+N44</f>
        <v>18120.182000000001</v>
      </c>
      <c r="O58" s="516">
        <f t="shared" si="5"/>
        <v>0</v>
      </c>
      <c r="P58" s="516">
        <f t="shared" si="5"/>
        <v>0</v>
      </c>
      <c r="Q58" s="516">
        <f t="shared" si="5"/>
        <v>0</v>
      </c>
      <c r="R58" s="516">
        <f t="shared" si="5"/>
        <v>0</v>
      </c>
      <c r="S58" s="516">
        <f t="shared" si="5"/>
        <v>0</v>
      </c>
      <c r="T58" s="516">
        <f t="shared" si="5"/>
        <v>0</v>
      </c>
      <c r="U58" s="516">
        <f t="shared" si="5"/>
        <v>0</v>
      </c>
      <c r="V58" s="516">
        <f t="shared" si="5"/>
        <v>0</v>
      </c>
      <c r="W58" s="516">
        <f t="shared" si="5"/>
        <v>0</v>
      </c>
      <c r="X58" s="516">
        <f t="shared" si="5"/>
        <v>0</v>
      </c>
      <c r="Y58" s="516">
        <f t="shared" si="5"/>
        <v>0</v>
      </c>
      <c r="Z58" s="516">
        <f t="shared" si="5"/>
        <v>0</v>
      </c>
    </row>
    <row r="59" spans="1:26" s="6" customFormat="1" ht="15">
      <c r="A59" s="338"/>
      <c r="B59" s="576"/>
      <c r="C59" s="576"/>
      <c r="D59" s="336"/>
      <c r="E59" s="341"/>
      <c r="F59" s="342"/>
      <c r="G59" s="11"/>
      <c r="H59" s="11"/>
      <c r="I59" s="11"/>
      <c r="J59" s="435"/>
      <c r="K59" s="117"/>
      <c r="L59" s="117"/>
      <c r="M59" s="517">
        <f>M58/$J58</f>
        <v>0.92913736361181509</v>
      </c>
      <c r="N59" s="517">
        <f t="shared" ref="N59:Z59" si="6">N58/$J58</f>
        <v>7.0862636388184908E-2</v>
      </c>
      <c r="O59" s="517">
        <f t="shared" si="6"/>
        <v>0</v>
      </c>
      <c r="P59" s="517">
        <f t="shared" si="6"/>
        <v>0</v>
      </c>
      <c r="Q59" s="517">
        <f t="shared" si="6"/>
        <v>0</v>
      </c>
      <c r="R59" s="517">
        <f t="shared" si="6"/>
        <v>0</v>
      </c>
      <c r="S59" s="517">
        <f t="shared" si="6"/>
        <v>0</v>
      </c>
      <c r="T59" s="517">
        <f t="shared" si="6"/>
        <v>0</v>
      </c>
      <c r="U59" s="517">
        <f t="shared" si="6"/>
        <v>0</v>
      </c>
      <c r="V59" s="517">
        <f t="shared" si="6"/>
        <v>0</v>
      </c>
      <c r="W59" s="517">
        <f t="shared" si="6"/>
        <v>0</v>
      </c>
      <c r="X59" s="517">
        <f t="shared" si="6"/>
        <v>0</v>
      </c>
      <c r="Y59" s="517">
        <f t="shared" si="6"/>
        <v>0</v>
      </c>
      <c r="Z59" s="517">
        <f t="shared" si="6"/>
        <v>0</v>
      </c>
    </row>
    <row r="60" spans="1:26" ht="15">
      <c r="A60" s="457" t="s">
        <v>13</v>
      </c>
      <c r="B60" s="696" t="s">
        <v>5799</v>
      </c>
      <c r="C60" s="697"/>
      <c r="D60" s="697"/>
      <c r="E60" s="697"/>
      <c r="F60" s="697"/>
      <c r="G60" s="697"/>
      <c r="H60" s="697"/>
      <c r="I60" s="697"/>
      <c r="J60" s="697"/>
      <c r="K60" s="518"/>
      <c r="L60" s="518"/>
      <c r="M60" s="506"/>
      <c r="N60" s="507"/>
    </row>
    <row r="61" spans="1:26" s="6" customFormat="1" ht="15">
      <c r="A61" s="573" t="s">
        <v>0</v>
      </c>
      <c r="B61" s="692" t="s">
        <v>7880</v>
      </c>
      <c r="C61" s="693"/>
      <c r="D61" s="23" t="s">
        <v>1</v>
      </c>
      <c r="E61" s="193" t="s">
        <v>134</v>
      </c>
      <c r="F61" s="24" t="s">
        <v>11</v>
      </c>
      <c r="G61" s="182" t="s">
        <v>12</v>
      </c>
      <c r="H61" s="182" t="s">
        <v>6735</v>
      </c>
      <c r="I61" s="182" t="s">
        <v>6736</v>
      </c>
      <c r="J61" s="430" t="s">
        <v>133</v>
      </c>
      <c r="K61" s="518"/>
      <c r="L61" s="518"/>
      <c r="M61" s="506"/>
      <c r="N61" s="507"/>
      <c r="O61" s="358"/>
      <c r="P61" s="358"/>
      <c r="Q61" s="358"/>
      <c r="R61" s="358"/>
      <c r="S61" s="358"/>
      <c r="T61" s="358"/>
      <c r="U61" s="358"/>
      <c r="V61" s="358"/>
      <c r="W61" s="358"/>
      <c r="X61" s="358"/>
      <c r="Y61" s="358"/>
      <c r="Z61" s="358"/>
    </row>
    <row r="62" spans="1:26" s="6" customFormat="1" ht="15">
      <c r="A62" s="197" t="s">
        <v>5798</v>
      </c>
      <c r="B62" s="699" t="s">
        <v>5962</v>
      </c>
      <c r="C62" s="699"/>
      <c r="D62" s="699"/>
      <c r="E62" s="699"/>
      <c r="F62" s="699"/>
      <c r="G62" s="699"/>
      <c r="H62" s="699"/>
      <c r="I62" s="699"/>
      <c r="J62" s="699"/>
      <c r="K62" s="117"/>
      <c r="L62" s="117"/>
      <c r="M62" s="358"/>
      <c r="N62" s="380"/>
      <c r="O62" s="358"/>
      <c r="P62" s="358"/>
      <c r="Q62" s="358"/>
      <c r="R62" s="358"/>
      <c r="S62" s="358"/>
      <c r="T62" s="358"/>
      <c r="U62" s="358"/>
      <c r="V62" s="358"/>
      <c r="W62" s="358"/>
      <c r="X62" s="358"/>
      <c r="Y62" s="358"/>
      <c r="Z62" s="358"/>
    </row>
    <row r="63" spans="1:26" s="512" customFormat="1" ht="15">
      <c r="A63" s="338" t="s">
        <v>9106</v>
      </c>
      <c r="B63" s="576" t="s">
        <v>6333</v>
      </c>
      <c r="C63" s="576">
        <v>2450</v>
      </c>
      <c r="D63" s="336" t="s">
        <v>9113</v>
      </c>
      <c r="E63" s="341">
        <v>1382.96</v>
      </c>
      <c r="F63" s="342" t="s">
        <v>6339</v>
      </c>
      <c r="G63" s="339">
        <v>1.7999999999999998</v>
      </c>
      <c r="H63" s="339">
        <f>ROUND(G63*$B$13,2)</f>
        <v>0.48</v>
      </c>
      <c r="I63" s="339">
        <f>H63+G63</f>
        <v>2.2799999999999998</v>
      </c>
      <c r="J63" s="431">
        <f>ROUND(I63*E63,2)</f>
        <v>3153.15</v>
      </c>
      <c r="K63" s="510">
        <f>ROUND(G63*E63,2)</f>
        <v>2489.33</v>
      </c>
      <c r="L63" s="510">
        <f>ROUND(H63*E63,2)</f>
        <v>663.82</v>
      </c>
      <c r="M63" s="519"/>
      <c r="N63" s="520"/>
      <c r="O63" s="519"/>
      <c r="P63" s="519"/>
      <c r="Q63" s="519"/>
      <c r="R63" s="519"/>
      <c r="S63" s="519"/>
      <c r="T63" s="519"/>
      <c r="U63" s="519"/>
      <c r="V63" s="519"/>
      <c r="W63" s="519"/>
      <c r="X63" s="519"/>
      <c r="Y63" s="519"/>
      <c r="Z63" s="519">
        <f>J63</f>
        <v>3153.15</v>
      </c>
    </row>
    <row r="64" spans="1:26" s="6" customFormat="1" ht="15">
      <c r="A64" s="700" t="s">
        <v>9105</v>
      </c>
      <c r="B64" s="700"/>
      <c r="C64" s="700"/>
      <c r="D64" s="700"/>
      <c r="E64" s="700"/>
      <c r="F64" s="700"/>
      <c r="G64" s="700"/>
      <c r="H64" s="700"/>
      <c r="I64" s="700"/>
      <c r="J64" s="432">
        <f>SUM(J62:J63)</f>
        <v>3153.15</v>
      </c>
      <c r="K64" s="117"/>
      <c r="L64" s="117"/>
      <c r="M64" s="514">
        <f>SUM(M62:M63)</f>
        <v>0</v>
      </c>
      <c r="N64" s="514">
        <f t="shared" ref="N64:Z64" si="7">SUM(N62:N63)</f>
        <v>0</v>
      </c>
      <c r="O64" s="514">
        <f t="shared" si="7"/>
        <v>0</v>
      </c>
      <c r="P64" s="514">
        <f t="shared" si="7"/>
        <v>0</v>
      </c>
      <c r="Q64" s="514">
        <f t="shared" si="7"/>
        <v>0</v>
      </c>
      <c r="R64" s="514">
        <f t="shared" si="7"/>
        <v>0</v>
      </c>
      <c r="S64" s="514">
        <f t="shared" si="7"/>
        <v>0</v>
      </c>
      <c r="T64" s="514">
        <f t="shared" si="7"/>
        <v>0</v>
      </c>
      <c r="U64" s="514">
        <f t="shared" si="7"/>
        <v>0</v>
      </c>
      <c r="V64" s="514">
        <f t="shared" si="7"/>
        <v>0</v>
      </c>
      <c r="W64" s="514">
        <f t="shared" si="7"/>
        <v>0</v>
      </c>
      <c r="X64" s="514">
        <f t="shared" si="7"/>
        <v>0</v>
      </c>
      <c r="Y64" s="514">
        <f t="shared" si="7"/>
        <v>0</v>
      </c>
      <c r="Z64" s="514">
        <f t="shared" si="7"/>
        <v>3153.15</v>
      </c>
    </row>
    <row r="65" spans="1:26" s="6" customFormat="1" ht="15">
      <c r="A65" s="29"/>
      <c r="B65" s="29"/>
      <c r="C65" s="29"/>
      <c r="D65" s="29"/>
      <c r="E65" s="189"/>
      <c r="F65" s="29"/>
      <c r="G65" s="29"/>
      <c r="H65" s="28"/>
      <c r="I65" s="28"/>
      <c r="J65" s="433"/>
      <c r="K65" s="117"/>
      <c r="L65" s="117"/>
      <c r="M65" s="358"/>
      <c r="N65" s="380"/>
      <c r="O65" s="358"/>
      <c r="P65" s="358"/>
      <c r="Q65" s="358"/>
      <c r="R65" s="358"/>
      <c r="S65" s="358"/>
      <c r="T65" s="358"/>
      <c r="U65" s="358"/>
      <c r="V65" s="358"/>
      <c r="W65" s="358"/>
      <c r="X65" s="358"/>
      <c r="Y65" s="358"/>
      <c r="Z65" s="358"/>
    </row>
    <row r="66" spans="1:26" s="6" customFormat="1" ht="15">
      <c r="A66" s="197" t="s">
        <v>9098</v>
      </c>
      <c r="B66" s="699" t="s">
        <v>9099</v>
      </c>
      <c r="C66" s="699"/>
      <c r="D66" s="699"/>
      <c r="E66" s="699"/>
      <c r="F66" s="699"/>
      <c r="G66" s="699"/>
      <c r="H66" s="699"/>
      <c r="I66" s="699"/>
      <c r="J66" s="699"/>
      <c r="K66" s="117"/>
      <c r="L66" s="117"/>
      <c r="M66" s="358"/>
      <c r="N66" s="380"/>
      <c r="O66" s="358"/>
      <c r="P66" s="358"/>
      <c r="Q66" s="358"/>
      <c r="R66" s="358"/>
      <c r="S66" s="358"/>
      <c r="T66" s="358"/>
      <c r="U66" s="358"/>
      <c r="V66" s="358"/>
      <c r="W66" s="358"/>
      <c r="X66" s="358"/>
      <c r="Y66" s="358"/>
      <c r="Z66" s="358"/>
    </row>
    <row r="67" spans="1:26" s="512" customFormat="1" ht="30">
      <c r="A67" s="338" t="s">
        <v>9100</v>
      </c>
      <c r="B67" s="576" t="s">
        <v>9102</v>
      </c>
      <c r="C67" s="576" t="s">
        <v>9103</v>
      </c>
      <c r="D67" s="336" t="s">
        <v>9101</v>
      </c>
      <c r="E67" s="341">
        <v>1</v>
      </c>
      <c r="F67" s="342" t="s">
        <v>6337</v>
      </c>
      <c r="G67" s="339">
        <v>914.37</v>
      </c>
      <c r="H67" s="339">
        <f>ROUND(G67*$B$13,2)</f>
        <v>246.24</v>
      </c>
      <c r="I67" s="339">
        <f>H67+G67</f>
        <v>1160.6100000000001</v>
      </c>
      <c r="J67" s="431">
        <f>ROUND(I67*E67,2)</f>
        <v>1160.6099999999999</v>
      </c>
      <c r="K67" s="510">
        <f>ROUND(G67*E67,2)</f>
        <v>914.37</v>
      </c>
      <c r="L67" s="510">
        <f>ROUND(H67*E67,2)</f>
        <v>246.24</v>
      </c>
      <c r="M67" s="519"/>
      <c r="N67" s="520"/>
      <c r="O67" s="519"/>
      <c r="P67" s="519"/>
      <c r="Q67" s="519"/>
      <c r="R67" s="519"/>
      <c r="S67" s="519"/>
      <c r="T67" s="519"/>
      <c r="U67" s="519"/>
      <c r="V67" s="519"/>
      <c r="W67" s="519"/>
      <c r="X67" s="519"/>
      <c r="Y67" s="519"/>
      <c r="Z67" s="519">
        <f>J67</f>
        <v>1160.6099999999999</v>
      </c>
    </row>
    <row r="68" spans="1:26" s="6" customFormat="1" ht="15">
      <c r="A68" s="700" t="s">
        <v>9104</v>
      </c>
      <c r="B68" s="700"/>
      <c r="C68" s="700"/>
      <c r="D68" s="700"/>
      <c r="E68" s="700"/>
      <c r="F68" s="700"/>
      <c r="G68" s="700"/>
      <c r="H68" s="700"/>
      <c r="I68" s="700"/>
      <c r="J68" s="432">
        <f>SUM(J66:J67)</f>
        <v>1160.6099999999999</v>
      </c>
      <c r="K68" s="117"/>
      <c r="L68" s="117"/>
      <c r="M68" s="514">
        <f>SUM(M66:M67)</f>
        <v>0</v>
      </c>
      <c r="N68" s="514">
        <f t="shared" ref="N68:Z68" si="8">SUM(N66:N67)</f>
        <v>0</v>
      </c>
      <c r="O68" s="514">
        <f t="shared" si="8"/>
        <v>0</v>
      </c>
      <c r="P68" s="514">
        <f t="shared" si="8"/>
        <v>0</v>
      </c>
      <c r="Q68" s="514">
        <f t="shared" si="8"/>
        <v>0</v>
      </c>
      <c r="R68" s="514">
        <f t="shared" si="8"/>
        <v>0</v>
      </c>
      <c r="S68" s="514">
        <f t="shared" si="8"/>
        <v>0</v>
      </c>
      <c r="T68" s="514">
        <f t="shared" si="8"/>
        <v>0</v>
      </c>
      <c r="U68" s="514">
        <f t="shared" si="8"/>
        <v>0</v>
      </c>
      <c r="V68" s="514">
        <f t="shared" si="8"/>
        <v>0</v>
      </c>
      <c r="W68" s="514">
        <f t="shared" si="8"/>
        <v>0</v>
      </c>
      <c r="X68" s="514">
        <f t="shared" si="8"/>
        <v>0</v>
      </c>
      <c r="Y68" s="514">
        <f t="shared" si="8"/>
        <v>0</v>
      </c>
      <c r="Z68" s="514">
        <f t="shared" si="8"/>
        <v>1160.6099999999999</v>
      </c>
    </row>
    <row r="69" spans="1:26" s="6" customFormat="1" ht="15">
      <c r="A69" s="29"/>
      <c r="B69" s="29"/>
      <c r="C69" s="29"/>
      <c r="D69" s="29"/>
      <c r="E69" s="189"/>
      <c r="F69" s="29"/>
      <c r="G69" s="29"/>
      <c r="H69" s="28"/>
      <c r="I69" s="28"/>
      <c r="J69" s="433"/>
      <c r="K69" s="117"/>
      <c r="L69" s="117"/>
      <c r="M69" s="358"/>
      <c r="N69" s="380"/>
      <c r="O69" s="358"/>
      <c r="P69" s="358"/>
      <c r="Q69" s="358"/>
      <c r="R69" s="358"/>
      <c r="S69" s="358"/>
      <c r="T69" s="358"/>
      <c r="U69" s="358"/>
      <c r="V69" s="358"/>
      <c r="W69" s="358"/>
      <c r="X69" s="358"/>
      <c r="Y69" s="358"/>
      <c r="Z69" s="358"/>
    </row>
    <row r="70" spans="1:26" s="6" customFormat="1" ht="15">
      <c r="A70" s="197" t="s">
        <v>5812</v>
      </c>
      <c r="B70" s="699" t="s">
        <v>5963</v>
      </c>
      <c r="C70" s="699"/>
      <c r="D70" s="699"/>
      <c r="E70" s="699"/>
      <c r="F70" s="699"/>
      <c r="G70" s="699"/>
      <c r="H70" s="699"/>
      <c r="I70" s="699"/>
      <c r="J70" s="699"/>
      <c r="K70" s="117"/>
      <c r="L70" s="117"/>
      <c r="M70" s="358"/>
      <c r="N70" s="380"/>
      <c r="O70" s="358"/>
      <c r="P70" s="358"/>
      <c r="Q70" s="358"/>
      <c r="R70" s="358"/>
      <c r="S70" s="358"/>
      <c r="T70" s="358"/>
      <c r="U70" s="358"/>
      <c r="V70" s="358"/>
      <c r="W70" s="358"/>
      <c r="X70" s="358"/>
      <c r="Y70" s="358"/>
      <c r="Z70" s="358"/>
    </row>
    <row r="71" spans="1:26" s="512" customFormat="1" ht="15">
      <c r="A71" s="338" t="s">
        <v>9117</v>
      </c>
      <c r="B71" s="576" t="s">
        <v>6333</v>
      </c>
      <c r="C71" s="576">
        <v>10832</v>
      </c>
      <c r="D71" s="336" t="s">
        <v>15483</v>
      </c>
      <c r="E71" s="341">
        <v>2464</v>
      </c>
      <c r="F71" s="342" t="s">
        <v>6339</v>
      </c>
      <c r="G71" s="339">
        <v>0.69</v>
      </c>
      <c r="H71" s="339">
        <f t="shared" ref="H71:H83" si="9">ROUND(G71*$B$13,2)</f>
        <v>0.19</v>
      </c>
      <c r="I71" s="339">
        <f t="shared" ref="I71:I83" si="10">H71+G71</f>
        <v>0.87999999999999989</v>
      </c>
      <c r="J71" s="431">
        <f t="shared" ref="J71:J83" si="11">ROUND(I71*E71,2)</f>
        <v>2168.3200000000002</v>
      </c>
      <c r="K71" s="510">
        <f>ROUND(G71*E71,2)</f>
        <v>1700.16</v>
      </c>
      <c r="L71" s="510">
        <f>ROUND(H71*E71,2)</f>
        <v>468.16</v>
      </c>
      <c r="M71" s="519"/>
      <c r="N71" s="520"/>
      <c r="O71" s="519"/>
      <c r="P71" s="519"/>
      <c r="Q71" s="519"/>
      <c r="R71" s="519"/>
      <c r="S71" s="519"/>
      <c r="T71" s="519"/>
      <c r="U71" s="519"/>
      <c r="V71" s="519"/>
      <c r="W71" s="519"/>
      <c r="X71" s="519"/>
      <c r="Y71" s="519"/>
      <c r="Z71" s="519">
        <f>J71</f>
        <v>2168.3200000000002</v>
      </c>
    </row>
    <row r="72" spans="1:26" s="512" customFormat="1" ht="30">
      <c r="A72" s="338" t="s">
        <v>9123</v>
      </c>
      <c r="B72" s="576" t="s">
        <v>6333</v>
      </c>
      <c r="C72" s="576">
        <v>10832</v>
      </c>
      <c r="D72" s="336" t="s">
        <v>15484</v>
      </c>
      <c r="E72" s="341">
        <v>2464</v>
      </c>
      <c r="F72" s="342" t="s">
        <v>6339</v>
      </c>
      <c r="G72" s="339">
        <v>0.69</v>
      </c>
      <c r="H72" s="339">
        <f t="shared" si="9"/>
        <v>0.19</v>
      </c>
      <c r="I72" s="339">
        <f t="shared" si="10"/>
        <v>0.87999999999999989</v>
      </c>
      <c r="J72" s="431">
        <f t="shared" si="11"/>
        <v>2168.3200000000002</v>
      </c>
      <c r="K72" s="510">
        <f>ROUND(G72*E72,2)</f>
        <v>1700.16</v>
      </c>
      <c r="L72" s="510">
        <f>ROUND(H72*E72,2)</f>
        <v>468.16</v>
      </c>
      <c r="M72" s="519"/>
      <c r="N72" s="520"/>
      <c r="O72" s="519"/>
      <c r="P72" s="519"/>
      <c r="Q72" s="519"/>
      <c r="R72" s="519"/>
      <c r="S72" s="519"/>
      <c r="T72" s="519"/>
      <c r="U72" s="519"/>
      <c r="V72" s="519"/>
      <c r="W72" s="519"/>
      <c r="X72" s="519"/>
      <c r="Y72" s="519"/>
      <c r="Z72" s="519">
        <f t="shared" ref="Z72:Z83" si="12">J72</f>
        <v>2168.3200000000002</v>
      </c>
    </row>
    <row r="73" spans="1:26" s="512" customFormat="1" ht="30">
      <c r="A73" s="338" t="s">
        <v>9124</v>
      </c>
      <c r="B73" s="576" t="s">
        <v>6333</v>
      </c>
      <c r="C73" s="576">
        <v>10832</v>
      </c>
      <c r="D73" s="336" t="s">
        <v>15485</v>
      </c>
      <c r="E73" s="341">
        <v>2464</v>
      </c>
      <c r="F73" s="342" t="s">
        <v>6339</v>
      </c>
      <c r="G73" s="339">
        <v>0.69</v>
      </c>
      <c r="H73" s="339">
        <f t="shared" si="9"/>
        <v>0.19</v>
      </c>
      <c r="I73" s="339">
        <f t="shared" si="10"/>
        <v>0.87999999999999989</v>
      </c>
      <c r="J73" s="431">
        <f t="shared" si="11"/>
        <v>2168.3200000000002</v>
      </c>
      <c r="K73" s="510">
        <f>ROUND(G73*E73,2)</f>
        <v>1700.16</v>
      </c>
      <c r="L73" s="510">
        <f>ROUND(H73*E73,2)</f>
        <v>468.16</v>
      </c>
      <c r="M73" s="519"/>
      <c r="N73" s="520"/>
      <c r="O73" s="519"/>
      <c r="P73" s="519"/>
      <c r="Q73" s="519"/>
      <c r="R73" s="519"/>
      <c r="S73" s="519"/>
      <c r="T73" s="519"/>
      <c r="U73" s="519"/>
      <c r="V73" s="519"/>
      <c r="W73" s="519"/>
      <c r="X73" s="519"/>
      <c r="Y73" s="519"/>
      <c r="Z73" s="519">
        <f t="shared" si="12"/>
        <v>2168.3200000000002</v>
      </c>
    </row>
    <row r="74" spans="1:26" s="512" customFormat="1" ht="15">
      <c r="A74" s="338" t="s">
        <v>9125</v>
      </c>
      <c r="B74" s="576" t="s">
        <v>6333</v>
      </c>
      <c r="C74" s="576">
        <v>10832</v>
      </c>
      <c r="D74" s="336" t="s">
        <v>15486</v>
      </c>
      <c r="E74" s="341">
        <v>2464</v>
      </c>
      <c r="F74" s="342" t="s">
        <v>6339</v>
      </c>
      <c r="G74" s="339">
        <v>0.69</v>
      </c>
      <c r="H74" s="339">
        <f t="shared" si="9"/>
        <v>0.19</v>
      </c>
      <c r="I74" s="339">
        <f t="shared" si="10"/>
        <v>0.87999999999999989</v>
      </c>
      <c r="J74" s="431">
        <f t="shared" si="11"/>
        <v>2168.3200000000002</v>
      </c>
      <c r="K74" s="510">
        <f t="shared" ref="K74:K83" si="13">ROUND(G74*E74,2)</f>
        <v>1700.16</v>
      </c>
      <c r="L74" s="510">
        <f t="shared" ref="L74:L83" si="14">ROUND(H74*E74,2)</f>
        <v>468.16</v>
      </c>
      <c r="M74" s="519"/>
      <c r="N74" s="520"/>
      <c r="O74" s="519"/>
      <c r="P74" s="519"/>
      <c r="Q74" s="519"/>
      <c r="R74" s="519"/>
      <c r="S74" s="519"/>
      <c r="T74" s="519"/>
      <c r="U74" s="519"/>
      <c r="V74" s="519"/>
      <c r="W74" s="519"/>
      <c r="X74" s="519"/>
      <c r="Y74" s="519"/>
      <c r="Z74" s="519">
        <f t="shared" si="12"/>
        <v>2168.3200000000002</v>
      </c>
    </row>
    <row r="75" spans="1:26" s="512" customFormat="1" ht="30">
      <c r="A75" s="338" t="s">
        <v>9126</v>
      </c>
      <c r="B75" s="576" t="s">
        <v>6333</v>
      </c>
      <c r="C75" s="576">
        <v>10832</v>
      </c>
      <c r="D75" s="336" t="s">
        <v>15487</v>
      </c>
      <c r="E75" s="341">
        <v>2464</v>
      </c>
      <c r="F75" s="342" t="s">
        <v>6339</v>
      </c>
      <c r="G75" s="339">
        <v>0.69</v>
      </c>
      <c r="H75" s="339">
        <f t="shared" si="9"/>
        <v>0.19</v>
      </c>
      <c r="I75" s="339">
        <f t="shared" si="10"/>
        <v>0.87999999999999989</v>
      </c>
      <c r="J75" s="431">
        <f t="shared" si="11"/>
        <v>2168.3200000000002</v>
      </c>
      <c r="K75" s="510">
        <f t="shared" si="13"/>
        <v>1700.16</v>
      </c>
      <c r="L75" s="510">
        <f t="shared" si="14"/>
        <v>468.16</v>
      </c>
      <c r="M75" s="519"/>
      <c r="N75" s="520"/>
      <c r="O75" s="519"/>
      <c r="P75" s="519"/>
      <c r="Q75" s="519"/>
      <c r="R75" s="519"/>
      <c r="S75" s="519"/>
      <c r="T75" s="519"/>
      <c r="U75" s="519"/>
      <c r="V75" s="519"/>
      <c r="W75" s="519"/>
      <c r="X75" s="519"/>
      <c r="Y75" s="519"/>
      <c r="Z75" s="519">
        <f t="shared" si="12"/>
        <v>2168.3200000000002</v>
      </c>
    </row>
    <row r="76" spans="1:26" s="512" customFormat="1" ht="15">
      <c r="A76" s="338" t="s">
        <v>9127</v>
      </c>
      <c r="B76" s="576" t="s">
        <v>6333</v>
      </c>
      <c r="C76" s="576">
        <v>10832</v>
      </c>
      <c r="D76" s="336" t="s">
        <v>15488</v>
      </c>
      <c r="E76" s="341">
        <v>2464</v>
      </c>
      <c r="F76" s="342" t="s">
        <v>6339</v>
      </c>
      <c r="G76" s="339">
        <v>0.69</v>
      </c>
      <c r="H76" s="339">
        <f t="shared" si="9"/>
        <v>0.19</v>
      </c>
      <c r="I76" s="339">
        <f t="shared" si="10"/>
        <v>0.87999999999999989</v>
      </c>
      <c r="J76" s="431">
        <f t="shared" si="11"/>
        <v>2168.3200000000002</v>
      </c>
      <c r="K76" s="510">
        <f t="shared" si="13"/>
        <v>1700.16</v>
      </c>
      <c r="L76" s="510">
        <f t="shared" si="14"/>
        <v>468.16</v>
      </c>
      <c r="M76" s="519"/>
      <c r="N76" s="520"/>
      <c r="O76" s="519"/>
      <c r="P76" s="519"/>
      <c r="Q76" s="519"/>
      <c r="R76" s="519"/>
      <c r="S76" s="519"/>
      <c r="T76" s="519"/>
      <c r="U76" s="519"/>
      <c r="V76" s="519"/>
      <c r="W76" s="519"/>
      <c r="X76" s="519"/>
      <c r="Y76" s="519"/>
      <c r="Z76" s="519">
        <f t="shared" si="12"/>
        <v>2168.3200000000002</v>
      </c>
    </row>
    <row r="77" spans="1:26" s="512" customFormat="1" ht="15">
      <c r="A77" s="338" t="s">
        <v>9128</v>
      </c>
      <c r="B77" s="576" t="s">
        <v>6333</v>
      </c>
      <c r="C77" s="576">
        <v>10832</v>
      </c>
      <c r="D77" s="336" t="s">
        <v>15489</v>
      </c>
      <c r="E77" s="341">
        <v>2464</v>
      </c>
      <c r="F77" s="342" t="s">
        <v>6339</v>
      </c>
      <c r="G77" s="339">
        <v>0.69</v>
      </c>
      <c r="H77" s="339">
        <f t="shared" si="9"/>
        <v>0.19</v>
      </c>
      <c r="I77" s="339">
        <f t="shared" si="10"/>
        <v>0.87999999999999989</v>
      </c>
      <c r="J77" s="431">
        <f t="shared" si="11"/>
        <v>2168.3200000000002</v>
      </c>
      <c r="K77" s="510">
        <f t="shared" si="13"/>
        <v>1700.16</v>
      </c>
      <c r="L77" s="510">
        <f t="shared" si="14"/>
        <v>468.16</v>
      </c>
      <c r="M77" s="519"/>
      <c r="N77" s="520"/>
      <c r="O77" s="519"/>
      <c r="P77" s="519"/>
      <c r="Q77" s="519"/>
      <c r="R77" s="519"/>
      <c r="S77" s="519"/>
      <c r="T77" s="519"/>
      <c r="U77" s="519"/>
      <c r="V77" s="519"/>
      <c r="W77" s="519"/>
      <c r="X77" s="519"/>
      <c r="Y77" s="519"/>
      <c r="Z77" s="519">
        <f t="shared" si="12"/>
        <v>2168.3200000000002</v>
      </c>
    </row>
    <row r="78" spans="1:26" s="512" customFormat="1" ht="15">
      <c r="A78" s="338" t="s">
        <v>9129</v>
      </c>
      <c r="B78" s="576" t="s">
        <v>6333</v>
      </c>
      <c r="C78" s="576">
        <v>10832</v>
      </c>
      <c r="D78" s="336" t="s">
        <v>15490</v>
      </c>
      <c r="E78" s="341">
        <v>2464</v>
      </c>
      <c r="F78" s="342" t="s">
        <v>6339</v>
      </c>
      <c r="G78" s="339">
        <v>0.69</v>
      </c>
      <c r="H78" s="339">
        <f t="shared" si="9"/>
        <v>0.19</v>
      </c>
      <c r="I78" s="339">
        <f t="shared" si="10"/>
        <v>0.87999999999999989</v>
      </c>
      <c r="J78" s="431">
        <f t="shared" si="11"/>
        <v>2168.3200000000002</v>
      </c>
      <c r="K78" s="510">
        <f t="shared" si="13"/>
        <v>1700.16</v>
      </c>
      <c r="L78" s="510">
        <f t="shared" si="14"/>
        <v>468.16</v>
      </c>
      <c r="M78" s="519"/>
      <c r="N78" s="520"/>
      <c r="O78" s="519"/>
      <c r="P78" s="519"/>
      <c r="Q78" s="519"/>
      <c r="R78" s="519"/>
      <c r="S78" s="519"/>
      <c r="T78" s="519"/>
      <c r="U78" s="519"/>
      <c r="V78" s="519"/>
      <c r="W78" s="519"/>
      <c r="X78" s="519"/>
      <c r="Y78" s="519"/>
      <c r="Z78" s="519">
        <f t="shared" si="12"/>
        <v>2168.3200000000002</v>
      </c>
    </row>
    <row r="79" spans="1:26" s="512" customFormat="1" ht="30">
      <c r="A79" s="338" t="s">
        <v>9130</v>
      </c>
      <c r="B79" s="576" t="s">
        <v>6333</v>
      </c>
      <c r="C79" s="576">
        <v>10832</v>
      </c>
      <c r="D79" s="336" t="s">
        <v>15491</v>
      </c>
      <c r="E79" s="341">
        <v>2464</v>
      </c>
      <c r="F79" s="342" t="s">
        <v>6339</v>
      </c>
      <c r="G79" s="339">
        <v>0.69</v>
      </c>
      <c r="H79" s="339">
        <f t="shared" si="9"/>
        <v>0.19</v>
      </c>
      <c r="I79" s="339">
        <f t="shared" si="10"/>
        <v>0.87999999999999989</v>
      </c>
      <c r="J79" s="431">
        <f t="shared" si="11"/>
        <v>2168.3200000000002</v>
      </c>
      <c r="K79" s="510">
        <f t="shared" si="13"/>
        <v>1700.16</v>
      </c>
      <c r="L79" s="510">
        <f t="shared" si="14"/>
        <v>468.16</v>
      </c>
      <c r="M79" s="519"/>
      <c r="N79" s="520"/>
      <c r="O79" s="519"/>
      <c r="P79" s="519"/>
      <c r="Q79" s="519"/>
      <c r="R79" s="519"/>
      <c r="S79" s="519"/>
      <c r="T79" s="519"/>
      <c r="U79" s="519"/>
      <c r="V79" s="519"/>
      <c r="W79" s="519"/>
      <c r="X79" s="519"/>
      <c r="Y79" s="519"/>
      <c r="Z79" s="519">
        <f t="shared" si="12"/>
        <v>2168.3200000000002</v>
      </c>
    </row>
    <row r="80" spans="1:26" s="512" customFormat="1" ht="15">
      <c r="A80" s="338" t="s">
        <v>9131</v>
      </c>
      <c r="B80" s="576" t="s">
        <v>6333</v>
      </c>
      <c r="C80" s="576">
        <v>10832</v>
      </c>
      <c r="D80" s="336" t="s">
        <v>9118</v>
      </c>
      <c r="E80" s="341">
        <v>42</v>
      </c>
      <c r="F80" s="342" t="s">
        <v>6339</v>
      </c>
      <c r="G80" s="339">
        <v>0.69</v>
      </c>
      <c r="H80" s="339">
        <f t="shared" si="9"/>
        <v>0.19</v>
      </c>
      <c r="I80" s="339">
        <f t="shared" si="10"/>
        <v>0.87999999999999989</v>
      </c>
      <c r="J80" s="431">
        <f t="shared" si="11"/>
        <v>36.96</v>
      </c>
      <c r="K80" s="510">
        <f t="shared" si="13"/>
        <v>28.98</v>
      </c>
      <c r="L80" s="510">
        <f t="shared" si="14"/>
        <v>7.98</v>
      </c>
      <c r="M80" s="519"/>
      <c r="N80" s="520"/>
      <c r="O80" s="519"/>
      <c r="P80" s="519"/>
      <c r="Q80" s="519"/>
      <c r="R80" s="519"/>
      <c r="S80" s="519"/>
      <c r="T80" s="519"/>
      <c r="U80" s="519"/>
      <c r="V80" s="519"/>
      <c r="W80" s="519"/>
      <c r="X80" s="519"/>
      <c r="Y80" s="519"/>
      <c r="Z80" s="519">
        <f t="shared" si="12"/>
        <v>36.96</v>
      </c>
    </row>
    <row r="81" spans="1:26" s="512" customFormat="1" ht="30">
      <c r="A81" s="338" t="s">
        <v>9132</v>
      </c>
      <c r="B81" s="576" t="s">
        <v>6333</v>
      </c>
      <c r="C81" s="576">
        <v>10832</v>
      </c>
      <c r="D81" s="336" t="s">
        <v>9119</v>
      </c>
      <c r="E81" s="341">
        <v>42</v>
      </c>
      <c r="F81" s="342" t="s">
        <v>6339</v>
      </c>
      <c r="G81" s="339">
        <v>0.69</v>
      </c>
      <c r="H81" s="339">
        <f t="shared" si="9"/>
        <v>0.19</v>
      </c>
      <c r="I81" s="339">
        <f t="shared" si="10"/>
        <v>0.87999999999999989</v>
      </c>
      <c r="J81" s="431">
        <f t="shared" si="11"/>
        <v>36.96</v>
      </c>
      <c r="K81" s="510">
        <f t="shared" si="13"/>
        <v>28.98</v>
      </c>
      <c r="L81" s="510">
        <f t="shared" si="14"/>
        <v>7.98</v>
      </c>
      <c r="M81" s="519"/>
      <c r="N81" s="520"/>
      <c r="O81" s="519"/>
      <c r="P81" s="519"/>
      <c r="Q81" s="519"/>
      <c r="R81" s="519"/>
      <c r="S81" s="519"/>
      <c r="T81" s="519"/>
      <c r="U81" s="519"/>
      <c r="V81" s="519"/>
      <c r="W81" s="519"/>
      <c r="X81" s="519"/>
      <c r="Y81" s="519"/>
      <c r="Z81" s="519">
        <f>J81</f>
        <v>36.96</v>
      </c>
    </row>
    <row r="82" spans="1:26" s="512" customFormat="1" ht="30">
      <c r="A82" s="338" t="s">
        <v>9133</v>
      </c>
      <c r="B82" s="576" t="s">
        <v>6333</v>
      </c>
      <c r="C82" s="576">
        <v>10832</v>
      </c>
      <c r="D82" s="336" t="s">
        <v>9120</v>
      </c>
      <c r="E82" s="341">
        <v>42</v>
      </c>
      <c r="F82" s="342" t="s">
        <v>6339</v>
      </c>
      <c r="G82" s="339">
        <v>0.69</v>
      </c>
      <c r="H82" s="339">
        <f t="shared" si="9"/>
        <v>0.19</v>
      </c>
      <c r="I82" s="339">
        <f t="shared" si="10"/>
        <v>0.87999999999999989</v>
      </c>
      <c r="J82" s="431">
        <f t="shared" si="11"/>
        <v>36.96</v>
      </c>
      <c r="K82" s="510">
        <f t="shared" si="13"/>
        <v>28.98</v>
      </c>
      <c r="L82" s="510">
        <f t="shared" si="14"/>
        <v>7.98</v>
      </c>
      <c r="M82" s="519"/>
      <c r="N82" s="520"/>
      <c r="O82" s="519"/>
      <c r="P82" s="519"/>
      <c r="Q82" s="519"/>
      <c r="R82" s="519"/>
      <c r="S82" s="519"/>
      <c r="T82" s="519"/>
      <c r="U82" s="519"/>
      <c r="V82" s="519"/>
      <c r="W82" s="519"/>
      <c r="X82" s="519"/>
      <c r="Y82" s="519"/>
      <c r="Z82" s="519">
        <f t="shared" si="12"/>
        <v>36.96</v>
      </c>
    </row>
    <row r="83" spans="1:26" s="512" customFormat="1" ht="30">
      <c r="A83" s="338" t="s">
        <v>9553</v>
      </c>
      <c r="B83" s="576" t="s">
        <v>15370</v>
      </c>
      <c r="C83" s="576" t="s">
        <v>15371</v>
      </c>
      <c r="D83" s="336" t="s">
        <v>15421</v>
      </c>
      <c r="E83" s="341">
        <v>2464.3200000000002</v>
      </c>
      <c r="F83" s="342" t="s">
        <v>6339</v>
      </c>
      <c r="G83" s="339">
        <v>0.27</v>
      </c>
      <c r="H83" s="339">
        <f t="shared" si="9"/>
        <v>7.0000000000000007E-2</v>
      </c>
      <c r="I83" s="339">
        <f t="shared" si="10"/>
        <v>0.34</v>
      </c>
      <c r="J83" s="431">
        <f t="shared" si="11"/>
        <v>837.87</v>
      </c>
      <c r="K83" s="510">
        <f t="shared" si="13"/>
        <v>665.37</v>
      </c>
      <c r="L83" s="510">
        <f t="shared" si="14"/>
        <v>172.5</v>
      </c>
      <c r="M83" s="519"/>
      <c r="N83" s="520"/>
      <c r="O83" s="519"/>
      <c r="P83" s="519"/>
      <c r="Q83" s="519"/>
      <c r="R83" s="519"/>
      <c r="S83" s="519"/>
      <c r="T83" s="519"/>
      <c r="U83" s="519"/>
      <c r="V83" s="519"/>
      <c r="W83" s="519"/>
      <c r="X83" s="519"/>
      <c r="Y83" s="519"/>
      <c r="Z83" s="519">
        <f t="shared" si="12"/>
        <v>837.87</v>
      </c>
    </row>
    <row r="84" spans="1:26" s="6" customFormat="1" ht="15">
      <c r="A84" s="700" t="s">
        <v>9121</v>
      </c>
      <c r="B84" s="700"/>
      <c r="C84" s="700"/>
      <c r="D84" s="700"/>
      <c r="E84" s="700"/>
      <c r="F84" s="700"/>
      <c r="G84" s="700"/>
      <c r="H84" s="700"/>
      <c r="I84" s="700"/>
      <c r="J84" s="432">
        <f>SUM(J71:J83)</f>
        <v>20463.629999999997</v>
      </c>
      <c r="K84" s="117"/>
      <c r="L84" s="117"/>
      <c r="M84" s="514">
        <f>SUM(M71:M83)</f>
        <v>0</v>
      </c>
      <c r="N84" s="514">
        <f t="shared" ref="N84:Z84" si="15">SUM(N71:N83)</f>
        <v>0</v>
      </c>
      <c r="O84" s="514">
        <f t="shared" si="15"/>
        <v>0</v>
      </c>
      <c r="P84" s="514">
        <f t="shared" si="15"/>
        <v>0</v>
      </c>
      <c r="Q84" s="514">
        <f t="shared" si="15"/>
        <v>0</v>
      </c>
      <c r="R84" s="514">
        <f t="shared" si="15"/>
        <v>0</v>
      </c>
      <c r="S84" s="514">
        <f t="shared" si="15"/>
        <v>0</v>
      </c>
      <c r="T84" s="514">
        <f t="shared" si="15"/>
        <v>0</v>
      </c>
      <c r="U84" s="514">
        <f t="shared" si="15"/>
        <v>0</v>
      </c>
      <c r="V84" s="514">
        <f t="shared" si="15"/>
        <v>0</v>
      </c>
      <c r="W84" s="514">
        <f t="shared" si="15"/>
        <v>0</v>
      </c>
      <c r="X84" s="514">
        <f t="shared" si="15"/>
        <v>0</v>
      </c>
      <c r="Y84" s="514">
        <f t="shared" si="15"/>
        <v>0</v>
      </c>
      <c r="Z84" s="514">
        <f t="shared" si="15"/>
        <v>20463.629999999997</v>
      </c>
    </row>
    <row r="85" spans="1:26" s="6" customFormat="1" ht="15">
      <c r="A85" s="29"/>
      <c r="B85" s="29"/>
      <c r="C85" s="29"/>
      <c r="D85" s="29"/>
      <c r="E85" s="189"/>
      <c r="F85" s="29"/>
      <c r="G85" s="29"/>
      <c r="H85" s="28"/>
      <c r="I85" s="28"/>
      <c r="J85" s="433"/>
      <c r="K85" s="117"/>
      <c r="L85" s="117"/>
      <c r="M85" s="358"/>
      <c r="N85" s="380"/>
      <c r="O85" s="358"/>
      <c r="P85" s="358"/>
      <c r="Q85" s="358"/>
      <c r="R85" s="358"/>
      <c r="S85" s="358"/>
      <c r="T85" s="358"/>
      <c r="U85" s="358"/>
      <c r="V85" s="358"/>
      <c r="W85" s="358"/>
      <c r="X85" s="358"/>
      <c r="Y85" s="358"/>
      <c r="Z85" s="358"/>
    </row>
    <row r="86" spans="1:26" ht="15">
      <c r="A86" s="701" t="s">
        <v>9122</v>
      </c>
      <c r="B86" s="701"/>
      <c r="C86" s="701"/>
      <c r="D86" s="701"/>
      <c r="E86" s="701"/>
      <c r="F86" s="701"/>
      <c r="G86" s="701"/>
      <c r="H86" s="701"/>
      <c r="I86" s="701"/>
      <c r="J86" s="434">
        <f>J84+J68+J64</f>
        <v>24777.39</v>
      </c>
      <c r="M86" s="516">
        <f>M84+M68+M64</f>
        <v>0</v>
      </c>
      <c r="N86" s="516">
        <f t="shared" ref="N86:Z86" si="16">N84+N68+N64</f>
        <v>0</v>
      </c>
      <c r="O86" s="516">
        <f t="shared" si="16"/>
        <v>0</v>
      </c>
      <c r="P86" s="516">
        <f t="shared" si="16"/>
        <v>0</v>
      </c>
      <c r="Q86" s="516">
        <f t="shared" si="16"/>
        <v>0</v>
      </c>
      <c r="R86" s="516">
        <f t="shared" si="16"/>
        <v>0</v>
      </c>
      <c r="S86" s="516">
        <f t="shared" si="16"/>
        <v>0</v>
      </c>
      <c r="T86" s="516">
        <f t="shared" si="16"/>
        <v>0</v>
      </c>
      <c r="U86" s="516">
        <f t="shared" si="16"/>
        <v>0</v>
      </c>
      <c r="V86" s="516">
        <f t="shared" si="16"/>
        <v>0</v>
      </c>
      <c r="W86" s="516">
        <f t="shared" si="16"/>
        <v>0</v>
      </c>
      <c r="X86" s="516">
        <f t="shared" si="16"/>
        <v>0</v>
      </c>
      <c r="Y86" s="516">
        <f t="shared" si="16"/>
        <v>0</v>
      </c>
      <c r="Z86" s="516">
        <f t="shared" si="16"/>
        <v>24777.39</v>
      </c>
    </row>
    <row r="87" spans="1:26" s="6" customFormat="1" ht="15">
      <c r="A87" s="338"/>
      <c r="B87" s="576"/>
      <c r="C87" s="576"/>
      <c r="D87" s="336"/>
      <c r="E87" s="341"/>
      <c r="F87" s="342"/>
      <c r="G87" s="11"/>
      <c r="H87" s="11"/>
      <c r="I87" s="11"/>
      <c r="J87" s="435"/>
      <c r="K87" s="117"/>
      <c r="L87" s="117"/>
      <c r="M87" s="517">
        <f>M86/$J86</f>
        <v>0</v>
      </c>
      <c r="N87" s="517">
        <f t="shared" ref="N87:Z87" si="17">N86/$J86</f>
        <v>0</v>
      </c>
      <c r="O87" s="517">
        <f t="shared" si="17"/>
        <v>0</v>
      </c>
      <c r="P87" s="517">
        <f t="shared" si="17"/>
        <v>0</v>
      </c>
      <c r="Q87" s="517">
        <f t="shared" si="17"/>
        <v>0</v>
      </c>
      <c r="R87" s="517">
        <f t="shared" si="17"/>
        <v>0</v>
      </c>
      <c r="S87" s="517">
        <f t="shared" si="17"/>
        <v>0</v>
      </c>
      <c r="T87" s="517">
        <f t="shared" si="17"/>
        <v>0</v>
      </c>
      <c r="U87" s="517">
        <f t="shared" si="17"/>
        <v>0</v>
      </c>
      <c r="V87" s="517">
        <f t="shared" si="17"/>
        <v>0</v>
      </c>
      <c r="W87" s="517">
        <f t="shared" si="17"/>
        <v>0</v>
      </c>
      <c r="X87" s="517">
        <f t="shared" si="17"/>
        <v>0</v>
      </c>
      <c r="Y87" s="517">
        <f t="shared" si="17"/>
        <v>0</v>
      </c>
      <c r="Z87" s="517">
        <f t="shared" si="17"/>
        <v>1</v>
      </c>
    </row>
    <row r="88" spans="1:26" ht="15">
      <c r="A88" s="457" t="s">
        <v>10</v>
      </c>
      <c r="B88" s="696" t="s">
        <v>5811</v>
      </c>
      <c r="C88" s="697"/>
      <c r="D88" s="697"/>
      <c r="E88" s="697"/>
      <c r="F88" s="697"/>
      <c r="G88" s="697"/>
      <c r="H88" s="697"/>
      <c r="I88" s="697"/>
      <c r="J88" s="697"/>
      <c r="K88" s="518"/>
      <c r="L88" s="518"/>
      <c r="M88" s="506"/>
      <c r="N88" s="507"/>
    </row>
    <row r="89" spans="1:26" s="6" customFormat="1" ht="15">
      <c r="A89" s="573" t="s">
        <v>0</v>
      </c>
      <c r="B89" s="692" t="s">
        <v>7880</v>
      </c>
      <c r="C89" s="693"/>
      <c r="D89" s="23" t="s">
        <v>1</v>
      </c>
      <c r="E89" s="193" t="s">
        <v>134</v>
      </c>
      <c r="F89" s="24" t="s">
        <v>11</v>
      </c>
      <c r="G89" s="182" t="s">
        <v>12</v>
      </c>
      <c r="H89" s="182" t="s">
        <v>6735</v>
      </c>
      <c r="I89" s="182" t="s">
        <v>6736</v>
      </c>
      <c r="J89" s="430" t="s">
        <v>133</v>
      </c>
      <c r="K89" s="518"/>
      <c r="L89" s="518"/>
      <c r="M89" s="506"/>
      <c r="N89" s="507"/>
      <c r="O89" s="358"/>
      <c r="P89" s="358"/>
      <c r="Q89" s="358"/>
      <c r="R89" s="358"/>
      <c r="S89" s="358"/>
      <c r="T89" s="358"/>
      <c r="U89" s="358"/>
      <c r="V89" s="358"/>
      <c r="W89" s="358"/>
      <c r="X89" s="358"/>
      <c r="Y89" s="358"/>
      <c r="Z89" s="358"/>
    </row>
    <row r="90" spans="1:26" s="6" customFormat="1" ht="15">
      <c r="A90" s="197" t="s">
        <v>5964</v>
      </c>
      <c r="B90" s="699" t="s">
        <v>5965</v>
      </c>
      <c r="C90" s="699"/>
      <c r="D90" s="699"/>
      <c r="E90" s="699"/>
      <c r="F90" s="699"/>
      <c r="G90" s="699"/>
      <c r="H90" s="699"/>
      <c r="I90" s="699"/>
      <c r="J90" s="699"/>
      <c r="K90" s="117"/>
      <c r="L90" s="117"/>
      <c r="M90" s="358"/>
      <c r="N90" s="380"/>
      <c r="O90" s="358"/>
      <c r="P90" s="358"/>
      <c r="Q90" s="358"/>
      <c r="R90" s="358"/>
      <c r="S90" s="358"/>
      <c r="T90" s="358"/>
      <c r="U90" s="358"/>
      <c r="V90" s="358"/>
      <c r="W90" s="358"/>
      <c r="X90" s="358"/>
      <c r="Y90" s="358"/>
      <c r="Z90" s="358"/>
    </row>
    <row r="91" spans="1:26" s="512" customFormat="1" ht="30">
      <c r="A91" s="338" t="s">
        <v>15372</v>
      </c>
      <c r="B91" s="576" t="s">
        <v>5256</v>
      </c>
      <c r="C91" s="576">
        <v>93563</v>
      </c>
      <c r="D91" s="336" t="s">
        <v>15492</v>
      </c>
      <c r="E91" s="341">
        <v>9</v>
      </c>
      <c r="F91" s="342" t="s">
        <v>9267</v>
      </c>
      <c r="G91" s="339">
        <v>4068.79</v>
      </c>
      <c r="H91" s="339">
        <f t="shared" ref="H91:H96" si="18">ROUND(G91*$B$13,2)</f>
        <v>1095.73</v>
      </c>
      <c r="I91" s="339">
        <f t="shared" ref="I91:I96" si="19">H91+G91</f>
        <v>5164.5200000000004</v>
      </c>
      <c r="J91" s="431">
        <f t="shared" ref="J91:J96" si="20">ROUND(I91*E91,2)</f>
        <v>46480.68</v>
      </c>
      <c r="K91" s="510">
        <f t="shared" ref="K91:K96" si="21">ROUND(G91*E91,2)</f>
        <v>36619.11</v>
      </c>
      <c r="L91" s="510">
        <f t="shared" ref="L91:L96" si="22">ROUND(H91*E91,2)</f>
        <v>9861.57</v>
      </c>
      <c r="M91" s="519"/>
      <c r="N91" s="520"/>
      <c r="O91" s="519"/>
      <c r="P91" s="519"/>
      <c r="Q91" s="519"/>
      <c r="R91" s="519"/>
      <c r="S91" s="519"/>
      <c r="T91" s="519"/>
      <c r="U91" s="519"/>
      <c r="V91" s="519"/>
      <c r="W91" s="519"/>
      <c r="X91" s="519"/>
      <c r="Y91" s="519"/>
      <c r="Z91" s="519"/>
    </row>
    <row r="92" spans="1:26" s="512" customFormat="1" ht="15">
      <c r="A92" s="338" t="s">
        <v>9274</v>
      </c>
      <c r="B92" s="576" t="s">
        <v>5256</v>
      </c>
      <c r="C92" s="576">
        <v>94295</v>
      </c>
      <c r="D92" s="336" t="s">
        <v>9275</v>
      </c>
      <c r="E92" s="341">
        <v>14</v>
      </c>
      <c r="F92" s="342" t="s">
        <v>9267</v>
      </c>
      <c r="G92" s="339">
        <v>3220.75</v>
      </c>
      <c r="H92" s="339">
        <f t="shared" si="18"/>
        <v>867.35</v>
      </c>
      <c r="I92" s="339">
        <f t="shared" si="19"/>
        <v>4088.1</v>
      </c>
      <c r="J92" s="431">
        <f t="shared" si="20"/>
        <v>57233.4</v>
      </c>
      <c r="K92" s="510">
        <f t="shared" si="21"/>
        <v>45090.5</v>
      </c>
      <c r="L92" s="510">
        <f t="shared" si="22"/>
        <v>12142.9</v>
      </c>
      <c r="M92" s="519"/>
      <c r="N92" s="519"/>
      <c r="O92" s="519"/>
      <c r="P92" s="519"/>
      <c r="Q92" s="519"/>
      <c r="R92" s="519"/>
      <c r="S92" s="519"/>
      <c r="T92" s="519"/>
      <c r="U92" s="519"/>
      <c r="V92" s="519"/>
      <c r="W92" s="519"/>
      <c r="X92" s="519"/>
      <c r="Y92" s="519"/>
      <c r="Z92" s="519"/>
    </row>
    <row r="93" spans="1:26" s="512" customFormat="1" ht="30">
      <c r="A93" s="338" t="s">
        <v>9270</v>
      </c>
      <c r="B93" s="576" t="s">
        <v>5256</v>
      </c>
      <c r="C93" s="576">
        <v>93565</v>
      </c>
      <c r="D93" s="336" t="s">
        <v>9268</v>
      </c>
      <c r="E93" s="341">
        <v>14</v>
      </c>
      <c r="F93" s="342" t="s">
        <v>9267</v>
      </c>
      <c r="G93" s="339">
        <v>10512.34</v>
      </c>
      <c r="H93" s="339">
        <f t="shared" si="18"/>
        <v>2830.97</v>
      </c>
      <c r="I93" s="339">
        <f t="shared" si="19"/>
        <v>13343.31</v>
      </c>
      <c r="J93" s="431">
        <f t="shared" si="20"/>
        <v>186806.34</v>
      </c>
      <c r="K93" s="510">
        <f t="shared" si="21"/>
        <v>147172.76</v>
      </c>
      <c r="L93" s="510">
        <f t="shared" si="22"/>
        <v>39633.58</v>
      </c>
      <c r="M93" s="519"/>
      <c r="N93" s="519"/>
      <c r="O93" s="519"/>
      <c r="P93" s="519"/>
      <c r="Q93" s="519"/>
      <c r="R93" s="519"/>
      <c r="S93" s="519"/>
      <c r="T93" s="519"/>
      <c r="U93" s="519"/>
      <c r="V93" s="519"/>
      <c r="W93" s="519"/>
      <c r="X93" s="519"/>
      <c r="Y93" s="519"/>
      <c r="Z93" s="519"/>
    </row>
    <row r="94" spans="1:26" s="512" customFormat="1" ht="30">
      <c r="A94" s="338" t="s">
        <v>9271</v>
      </c>
      <c r="B94" s="576" t="s">
        <v>5256</v>
      </c>
      <c r="C94" s="576">
        <v>91677</v>
      </c>
      <c r="D94" s="336" t="s">
        <v>9595</v>
      </c>
      <c r="E94" s="341">
        <v>672</v>
      </c>
      <c r="F94" s="342" t="s">
        <v>9269</v>
      </c>
      <c r="G94" s="339">
        <v>70.28</v>
      </c>
      <c r="H94" s="339">
        <f t="shared" si="18"/>
        <v>18.93</v>
      </c>
      <c r="I94" s="339">
        <f t="shared" si="19"/>
        <v>89.210000000000008</v>
      </c>
      <c r="J94" s="431">
        <f t="shared" si="20"/>
        <v>59949.120000000003</v>
      </c>
      <c r="K94" s="510">
        <f t="shared" si="21"/>
        <v>47228.160000000003</v>
      </c>
      <c r="L94" s="510">
        <f t="shared" si="22"/>
        <v>12720.96</v>
      </c>
      <c r="M94" s="519"/>
      <c r="N94" s="520"/>
      <c r="O94" s="519"/>
      <c r="P94" s="519"/>
      <c r="Q94" s="519"/>
      <c r="R94" s="519"/>
      <c r="S94" s="519"/>
      <c r="T94" s="519"/>
      <c r="U94" s="519"/>
      <c r="V94" s="519"/>
      <c r="W94" s="519"/>
      <c r="X94" s="519"/>
      <c r="Y94" s="519"/>
      <c r="Z94" s="519"/>
    </row>
    <row r="95" spans="1:26" s="512" customFormat="1" ht="30">
      <c r="A95" s="338" t="s">
        <v>9272</v>
      </c>
      <c r="B95" s="576" t="s">
        <v>5256</v>
      </c>
      <c r="C95" s="576">
        <v>91677</v>
      </c>
      <c r="D95" s="336" t="s">
        <v>9596</v>
      </c>
      <c r="E95" s="341">
        <v>252</v>
      </c>
      <c r="F95" s="342" t="s">
        <v>9269</v>
      </c>
      <c r="G95" s="339">
        <v>70.28</v>
      </c>
      <c r="H95" s="339">
        <f t="shared" si="18"/>
        <v>18.93</v>
      </c>
      <c r="I95" s="339">
        <f t="shared" si="19"/>
        <v>89.210000000000008</v>
      </c>
      <c r="J95" s="431">
        <f t="shared" si="20"/>
        <v>22480.92</v>
      </c>
      <c r="K95" s="510">
        <f t="shared" si="21"/>
        <v>17710.560000000001</v>
      </c>
      <c r="L95" s="510">
        <f t="shared" si="22"/>
        <v>4770.3599999999997</v>
      </c>
      <c r="M95" s="519"/>
      <c r="N95" s="520"/>
      <c r="O95" s="519"/>
      <c r="P95" s="519"/>
      <c r="Q95" s="519"/>
      <c r="R95" s="519"/>
      <c r="S95" s="519"/>
      <c r="T95" s="519"/>
      <c r="U95" s="519"/>
      <c r="V95" s="519"/>
      <c r="W95" s="519"/>
      <c r="X95" s="519"/>
      <c r="Y95" s="519"/>
      <c r="Z95" s="519"/>
    </row>
    <row r="96" spans="1:26" s="512" customFormat="1" ht="15">
      <c r="A96" s="338" t="s">
        <v>9273</v>
      </c>
      <c r="B96" s="576" t="s">
        <v>5256</v>
      </c>
      <c r="C96" s="576">
        <v>88326</v>
      </c>
      <c r="D96" s="336" t="s">
        <v>9276</v>
      </c>
      <c r="E96" s="341">
        <v>6552</v>
      </c>
      <c r="F96" s="342" t="s">
        <v>9269</v>
      </c>
      <c r="G96" s="339">
        <v>14.6</v>
      </c>
      <c r="H96" s="339">
        <f t="shared" si="18"/>
        <v>3.93</v>
      </c>
      <c r="I96" s="339">
        <f t="shared" si="19"/>
        <v>18.53</v>
      </c>
      <c r="J96" s="431">
        <f t="shared" si="20"/>
        <v>121408.56</v>
      </c>
      <c r="K96" s="510">
        <f t="shared" si="21"/>
        <v>95659.199999999997</v>
      </c>
      <c r="L96" s="510">
        <f t="shared" si="22"/>
        <v>25749.360000000001</v>
      </c>
      <c r="M96" s="519"/>
      <c r="N96" s="519"/>
      <c r="O96" s="519"/>
      <c r="P96" s="519"/>
      <c r="Q96" s="519"/>
      <c r="R96" s="519"/>
      <c r="S96" s="519"/>
      <c r="T96" s="519"/>
      <c r="U96" s="519"/>
      <c r="V96" s="519"/>
      <c r="W96" s="519"/>
      <c r="X96" s="519"/>
      <c r="Y96" s="519"/>
      <c r="Z96" s="519"/>
    </row>
    <row r="97" spans="1:26" s="6" customFormat="1" ht="15">
      <c r="A97" s="700" t="s">
        <v>9150</v>
      </c>
      <c r="B97" s="700"/>
      <c r="C97" s="700"/>
      <c r="D97" s="700"/>
      <c r="E97" s="700"/>
      <c r="F97" s="700"/>
      <c r="G97" s="700"/>
      <c r="H97" s="700"/>
      <c r="I97" s="700"/>
      <c r="J97" s="432">
        <f>SUM(J90:J96)</f>
        <v>494359.01999999996</v>
      </c>
      <c r="K97" s="117"/>
      <c r="L97" s="117"/>
      <c r="M97" s="514">
        <f t="shared" ref="M97:Z97" si="23">SUM(M90:M96)</f>
        <v>0</v>
      </c>
      <c r="N97" s="514">
        <f t="shared" si="23"/>
        <v>0</v>
      </c>
      <c r="O97" s="514">
        <f t="shared" si="23"/>
        <v>0</v>
      </c>
      <c r="P97" s="514">
        <f t="shared" si="23"/>
        <v>0</v>
      </c>
      <c r="Q97" s="514">
        <f t="shared" si="23"/>
        <v>0</v>
      </c>
      <c r="R97" s="514">
        <f t="shared" si="23"/>
        <v>0</v>
      </c>
      <c r="S97" s="514">
        <f t="shared" si="23"/>
        <v>0</v>
      </c>
      <c r="T97" s="514">
        <f t="shared" si="23"/>
        <v>0</v>
      </c>
      <c r="U97" s="514">
        <f t="shared" si="23"/>
        <v>0</v>
      </c>
      <c r="V97" s="514">
        <f t="shared" si="23"/>
        <v>0</v>
      </c>
      <c r="W97" s="514">
        <f t="shared" si="23"/>
        <v>0</v>
      </c>
      <c r="X97" s="514">
        <f t="shared" si="23"/>
        <v>0</v>
      </c>
      <c r="Y97" s="514">
        <f t="shared" si="23"/>
        <v>0</v>
      </c>
      <c r="Z97" s="514">
        <f t="shared" si="23"/>
        <v>0</v>
      </c>
    </row>
    <row r="98" spans="1:26" s="6" customFormat="1" ht="15">
      <c r="A98" s="29"/>
      <c r="B98" s="29"/>
      <c r="C98" s="29"/>
      <c r="D98" s="29"/>
      <c r="E98" s="189"/>
      <c r="F98" s="29"/>
      <c r="G98" s="29"/>
      <c r="H98" s="28"/>
      <c r="I98" s="28"/>
      <c r="J98" s="433"/>
      <c r="K98" s="117"/>
      <c r="L98" s="117"/>
      <c r="M98" s="358"/>
      <c r="N98" s="380"/>
      <c r="O98" s="358"/>
      <c r="P98" s="358"/>
      <c r="Q98" s="358"/>
      <c r="R98" s="358"/>
      <c r="S98" s="358"/>
      <c r="T98" s="358"/>
      <c r="U98" s="358"/>
      <c r="V98" s="358"/>
      <c r="W98" s="358"/>
      <c r="X98" s="358"/>
      <c r="Y98" s="358"/>
      <c r="Z98" s="358"/>
    </row>
    <row r="99" spans="1:26" s="6" customFormat="1" ht="15">
      <c r="A99" s="197" t="s">
        <v>9148</v>
      </c>
      <c r="B99" s="699" t="s">
        <v>9149</v>
      </c>
      <c r="C99" s="699"/>
      <c r="D99" s="699"/>
      <c r="E99" s="699"/>
      <c r="F99" s="699"/>
      <c r="G99" s="699"/>
      <c r="H99" s="699"/>
      <c r="I99" s="699"/>
      <c r="J99" s="699"/>
      <c r="K99" s="117"/>
      <c r="L99" s="117"/>
      <c r="M99" s="358"/>
      <c r="N99" s="380"/>
      <c r="O99" s="358"/>
      <c r="P99" s="358"/>
      <c r="Q99" s="358"/>
      <c r="R99" s="358"/>
      <c r="S99" s="358"/>
      <c r="T99" s="358"/>
      <c r="U99" s="358"/>
      <c r="V99" s="358"/>
      <c r="W99" s="358"/>
      <c r="X99" s="358"/>
      <c r="Y99" s="358"/>
      <c r="Z99" s="358"/>
    </row>
    <row r="100" spans="1:26" s="512" customFormat="1" ht="45">
      <c r="A100" s="338" t="s">
        <v>9153</v>
      </c>
      <c r="B100" s="576" t="s">
        <v>9297</v>
      </c>
      <c r="C100" s="576" t="s">
        <v>9298</v>
      </c>
      <c r="D100" s="336" t="s">
        <v>9284</v>
      </c>
      <c r="E100" s="341">
        <v>1</v>
      </c>
      <c r="F100" s="342" t="s">
        <v>6337</v>
      </c>
      <c r="G100" s="339">
        <v>9720</v>
      </c>
      <c r="H100" s="339">
        <f>ROUND(G100*$B$13,2)</f>
        <v>2617.6</v>
      </c>
      <c r="I100" s="339">
        <f>H100+G100</f>
        <v>12337.6</v>
      </c>
      <c r="J100" s="431">
        <f>ROUND(I100*E100,2)</f>
        <v>12337.6</v>
      </c>
      <c r="K100" s="510">
        <f t="shared" ref="K100:K102" si="24">ROUND(G100*E100,2)</f>
        <v>9720</v>
      </c>
      <c r="L100" s="510">
        <f t="shared" ref="L100:L102" si="25">ROUND(H100*E100,2)</f>
        <v>2617.6</v>
      </c>
      <c r="M100" s="519"/>
      <c r="N100" s="520">
        <f>J100</f>
        <v>12337.6</v>
      </c>
      <c r="O100" s="519"/>
      <c r="P100" s="519"/>
      <c r="Q100" s="519"/>
      <c r="R100" s="519"/>
      <c r="S100" s="519"/>
      <c r="T100" s="519"/>
      <c r="U100" s="519"/>
      <c r="V100" s="519"/>
      <c r="W100" s="519"/>
      <c r="X100" s="519"/>
      <c r="Y100" s="519"/>
      <c r="Z100" s="519"/>
    </row>
    <row r="101" spans="1:26" s="512" customFormat="1" ht="30">
      <c r="A101" s="338" t="s">
        <v>9591</v>
      </c>
      <c r="B101" s="576" t="s">
        <v>5256</v>
      </c>
      <c r="C101" s="576" t="s">
        <v>9156</v>
      </c>
      <c r="D101" s="336" t="s">
        <v>9155</v>
      </c>
      <c r="E101" s="341">
        <v>672</v>
      </c>
      <c r="F101" s="342" t="s">
        <v>9157</v>
      </c>
      <c r="G101" s="339">
        <v>3.23</v>
      </c>
      <c r="H101" s="339">
        <f>ROUND(G101*$B$13,2)</f>
        <v>0.87</v>
      </c>
      <c r="I101" s="339">
        <f>H101+G101</f>
        <v>4.0999999999999996</v>
      </c>
      <c r="J101" s="431">
        <f>ROUND(I101*E101,2)</f>
        <v>2755.2</v>
      </c>
      <c r="K101" s="510">
        <f t="shared" si="24"/>
        <v>2170.56</v>
      </c>
      <c r="L101" s="510">
        <f t="shared" si="25"/>
        <v>584.64</v>
      </c>
      <c r="M101" s="519"/>
      <c r="N101" s="520"/>
      <c r="O101" s="519"/>
      <c r="P101" s="519"/>
      <c r="Q101" s="519"/>
      <c r="R101" s="519"/>
      <c r="S101" s="519">
        <f t="shared" ref="S101:Z101" si="26">$J$101/8</f>
        <v>344.4</v>
      </c>
      <c r="T101" s="519">
        <f t="shared" si="26"/>
        <v>344.4</v>
      </c>
      <c r="U101" s="519">
        <f t="shared" si="26"/>
        <v>344.4</v>
      </c>
      <c r="V101" s="519">
        <f t="shared" si="26"/>
        <v>344.4</v>
      </c>
      <c r="W101" s="519">
        <f t="shared" si="26"/>
        <v>344.4</v>
      </c>
      <c r="X101" s="519">
        <f t="shared" si="26"/>
        <v>344.4</v>
      </c>
      <c r="Y101" s="519">
        <f t="shared" si="26"/>
        <v>344.4</v>
      </c>
      <c r="Z101" s="519">
        <f t="shared" si="26"/>
        <v>344.4</v>
      </c>
    </row>
    <row r="102" spans="1:26" s="512" customFormat="1" ht="15">
      <c r="A102" s="338" t="s">
        <v>9592</v>
      </c>
      <c r="B102" s="576" t="s">
        <v>5256</v>
      </c>
      <c r="C102" s="576">
        <v>97062</v>
      </c>
      <c r="D102" s="336" t="s">
        <v>9158</v>
      </c>
      <c r="E102" s="341">
        <v>84</v>
      </c>
      <c r="F102" s="342" t="s">
        <v>6339</v>
      </c>
      <c r="G102" s="339">
        <v>4.08</v>
      </c>
      <c r="H102" s="339">
        <f>ROUND(G102*$B$13,2)</f>
        <v>1.1000000000000001</v>
      </c>
      <c r="I102" s="339">
        <f>H102+G102</f>
        <v>5.18</v>
      </c>
      <c r="J102" s="431">
        <f>ROUND(I102*E102,2)</f>
        <v>435.12</v>
      </c>
      <c r="K102" s="510">
        <f t="shared" si="24"/>
        <v>342.72</v>
      </c>
      <c r="L102" s="510">
        <f t="shared" si="25"/>
        <v>92.4</v>
      </c>
      <c r="M102" s="519"/>
      <c r="N102" s="520"/>
      <c r="O102" s="519"/>
      <c r="P102" s="519"/>
      <c r="Q102" s="519"/>
      <c r="R102" s="519"/>
      <c r="S102" s="519">
        <f t="shared" ref="S102:Z102" si="27">$J$102/8</f>
        <v>54.39</v>
      </c>
      <c r="T102" s="519">
        <f t="shared" si="27"/>
        <v>54.39</v>
      </c>
      <c r="U102" s="519">
        <f t="shared" si="27"/>
        <v>54.39</v>
      </c>
      <c r="V102" s="519">
        <f t="shared" si="27"/>
        <v>54.39</v>
      </c>
      <c r="W102" s="519">
        <f t="shared" si="27"/>
        <v>54.39</v>
      </c>
      <c r="X102" s="519">
        <f t="shared" si="27"/>
        <v>54.39</v>
      </c>
      <c r="Y102" s="519">
        <f t="shared" si="27"/>
        <v>54.39</v>
      </c>
      <c r="Z102" s="519">
        <f t="shared" si="27"/>
        <v>54.39</v>
      </c>
    </row>
    <row r="103" spans="1:26" s="6" customFormat="1" ht="15">
      <c r="A103" s="700" t="s">
        <v>9151</v>
      </c>
      <c r="B103" s="700"/>
      <c r="C103" s="700"/>
      <c r="D103" s="700"/>
      <c r="E103" s="700"/>
      <c r="F103" s="700"/>
      <c r="G103" s="700"/>
      <c r="H103" s="700"/>
      <c r="I103" s="700"/>
      <c r="J103" s="432">
        <f>SUM(J99:J102)</f>
        <v>15527.92</v>
      </c>
      <c r="K103" s="117"/>
      <c r="L103" s="117"/>
      <c r="M103" s="514">
        <f t="shared" ref="M103:Z103" si="28">SUM(M99:M102)</f>
        <v>0</v>
      </c>
      <c r="N103" s="514">
        <f t="shared" si="28"/>
        <v>12337.6</v>
      </c>
      <c r="O103" s="514">
        <f t="shared" si="28"/>
        <v>0</v>
      </c>
      <c r="P103" s="514">
        <f t="shared" si="28"/>
        <v>0</v>
      </c>
      <c r="Q103" s="514">
        <f t="shared" si="28"/>
        <v>0</v>
      </c>
      <c r="R103" s="514">
        <f t="shared" si="28"/>
        <v>0</v>
      </c>
      <c r="S103" s="514">
        <f t="shared" si="28"/>
        <v>398.78999999999996</v>
      </c>
      <c r="T103" s="514">
        <f t="shared" si="28"/>
        <v>398.78999999999996</v>
      </c>
      <c r="U103" s="514">
        <f t="shared" si="28"/>
        <v>398.78999999999996</v>
      </c>
      <c r="V103" s="514">
        <f t="shared" si="28"/>
        <v>398.78999999999996</v>
      </c>
      <c r="W103" s="514">
        <f t="shared" si="28"/>
        <v>398.78999999999996</v>
      </c>
      <c r="X103" s="514">
        <f t="shared" si="28"/>
        <v>398.78999999999996</v>
      </c>
      <c r="Y103" s="514">
        <f t="shared" si="28"/>
        <v>398.78999999999996</v>
      </c>
      <c r="Z103" s="514">
        <f t="shared" si="28"/>
        <v>398.78999999999996</v>
      </c>
    </row>
    <row r="104" spans="1:26" s="6" customFormat="1" ht="15">
      <c r="A104" s="29"/>
      <c r="B104" s="29"/>
      <c r="C104" s="29"/>
      <c r="D104" s="29"/>
      <c r="E104" s="189"/>
      <c r="F104" s="29"/>
      <c r="G104" s="29"/>
      <c r="H104" s="28"/>
      <c r="I104" s="28"/>
      <c r="J104" s="433"/>
      <c r="K104" s="117"/>
      <c r="L104" s="117"/>
      <c r="M104" s="358"/>
      <c r="N104" s="380"/>
      <c r="O104" s="358"/>
      <c r="P104" s="358"/>
      <c r="Q104" s="358"/>
      <c r="R104" s="358"/>
      <c r="S104" s="358"/>
      <c r="T104" s="358"/>
      <c r="U104" s="358"/>
      <c r="V104" s="358"/>
      <c r="W104" s="358"/>
      <c r="X104" s="358"/>
      <c r="Y104" s="358"/>
      <c r="Z104" s="358"/>
    </row>
    <row r="105" spans="1:26" ht="15">
      <c r="A105" s="701" t="s">
        <v>9152</v>
      </c>
      <c r="B105" s="701"/>
      <c r="C105" s="701"/>
      <c r="D105" s="701"/>
      <c r="E105" s="701"/>
      <c r="F105" s="701"/>
      <c r="G105" s="701"/>
      <c r="H105" s="701"/>
      <c r="I105" s="701"/>
      <c r="J105" s="434">
        <f>J103+J97</f>
        <v>509886.93999999994</v>
      </c>
      <c r="M105" s="516">
        <f t="shared" ref="M105:Z105" si="29">M103+M97</f>
        <v>0</v>
      </c>
      <c r="N105" s="516">
        <f t="shared" si="29"/>
        <v>12337.6</v>
      </c>
      <c r="O105" s="516">
        <f t="shared" si="29"/>
        <v>0</v>
      </c>
      <c r="P105" s="516">
        <f t="shared" si="29"/>
        <v>0</v>
      </c>
      <c r="Q105" s="516">
        <f t="shared" si="29"/>
        <v>0</v>
      </c>
      <c r="R105" s="516">
        <f t="shared" si="29"/>
        <v>0</v>
      </c>
      <c r="S105" s="516">
        <f t="shared" si="29"/>
        <v>398.78999999999996</v>
      </c>
      <c r="T105" s="516">
        <f t="shared" si="29"/>
        <v>398.78999999999996</v>
      </c>
      <c r="U105" s="516">
        <f t="shared" si="29"/>
        <v>398.78999999999996</v>
      </c>
      <c r="V105" s="516">
        <f t="shared" si="29"/>
        <v>398.78999999999996</v>
      </c>
      <c r="W105" s="516">
        <f t="shared" si="29"/>
        <v>398.78999999999996</v>
      </c>
      <c r="X105" s="516">
        <f t="shared" si="29"/>
        <v>398.78999999999996</v>
      </c>
      <c r="Y105" s="516">
        <f t="shared" si="29"/>
        <v>398.78999999999996</v>
      </c>
      <c r="Z105" s="516">
        <f t="shared" si="29"/>
        <v>398.78999999999996</v>
      </c>
    </row>
    <row r="106" spans="1:26" s="6" customFormat="1" ht="15">
      <c r="A106" s="338"/>
      <c r="B106" s="576"/>
      <c r="C106" s="576"/>
      <c r="D106" s="336"/>
      <c r="E106" s="341"/>
      <c r="F106" s="342"/>
      <c r="G106" s="11"/>
      <c r="H106" s="11"/>
      <c r="I106" s="11"/>
      <c r="J106" s="435"/>
      <c r="K106" s="117"/>
      <c r="L106" s="117"/>
      <c r="M106" s="358"/>
      <c r="N106" s="380"/>
      <c r="O106" s="358"/>
      <c r="P106" s="358"/>
      <c r="Q106" s="358"/>
      <c r="R106" s="358"/>
      <c r="S106" s="358"/>
      <c r="T106" s="358"/>
      <c r="U106" s="358"/>
      <c r="V106" s="358"/>
      <c r="W106" s="358"/>
      <c r="X106" s="358"/>
      <c r="Y106" s="358"/>
      <c r="Z106" s="358"/>
    </row>
    <row r="107" spans="1:26" ht="15">
      <c r="A107" s="458"/>
      <c r="B107" s="576"/>
      <c r="C107" s="576"/>
      <c r="D107" s="459"/>
      <c r="E107" s="341"/>
      <c r="F107" s="342"/>
      <c r="G107" s="11"/>
      <c r="H107" s="11"/>
      <c r="I107" s="11"/>
      <c r="J107" s="435"/>
      <c r="K107" s="522"/>
      <c r="L107" s="522"/>
      <c r="M107" s="523"/>
      <c r="N107" s="524"/>
    </row>
    <row r="108" spans="1:26" ht="15">
      <c r="A108" s="16" t="s">
        <v>14</v>
      </c>
      <c r="B108" s="16"/>
      <c r="C108" s="16"/>
      <c r="D108" s="702" t="s">
        <v>17</v>
      </c>
      <c r="E108" s="702"/>
      <c r="F108" s="702"/>
      <c r="G108" s="702"/>
      <c r="H108" s="702"/>
      <c r="I108" s="702"/>
      <c r="J108" s="427">
        <f>SUM(K:K)</f>
        <v>625684.44000000006</v>
      </c>
      <c r="K108" s="118"/>
      <c r="L108" s="118"/>
      <c r="M108" s="525"/>
      <c r="N108" s="524"/>
    </row>
    <row r="109" spans="1:26" ht="15">
      <c r="A109" s="16" t="s">
        <v>15</v>
      </c>
      <c r="B109" s="16"/>
      <c r="C109" s="16"/>
      <c r="D109" s="703" t="s">
        <v>5801</v>
      </c>
      <c r="E109" s="703"/>
      <c r="F109" s="703"/>
      <c r="G109" s="703"/>
      <c r="H109" s="703"/>
      <c r="I109" s="703"/>
      <c r="J109" s="427">
        <f>SUM(L:L)-0.01</f>
        <v>168468.97000000003</v>
      </c>
      <c r="K109" s="118"/>
      <c r="L109" s="118"/>
      <c r="M109" s="525"/>
      <c r="N109" s="524"/>
    </row>
    <row r="110" spans="1:26" ht="15">
      <c r="A110" s="16" t="s">
        <v>16</v>
      </c>
      <c r="B110" s="16"/>
      <c r="C110" s="16"/>
      <c r="D110" s="702" t="s">
        <v>18</v>
      </c>
      <c r="E110" s="702"/>
      <c r="F110" s="702"/>
      <c r="G110" s="702"/>
      <c r="H110" s="702"/>
      <c r="I110" s="702"/>
      <c r="J110" s="427">
        <f>J105+J86+J58+J24</f>
        <v>794153.39999999991</v>
      </c>
      <c r="K110" s="119"/>
      <c r="L110" s="119"/>
      <c r="M110" s="500"/>
      <c r="N110" s="379"/>
    </row>
    <row r="111" spans="1:26" ht="15">
      <c r="A111" s="344"/>
      <c r="B111" s="33"/>
      <c r="C111" s="33"/>
      <c r="D111" s="34"/>
      <c r="E111" s="190"/>
      <c r="F111" s="33"/>
      <c r="G111" s="14"/>
      <c r="H111" s="14"/>
      <c r="I111" s="14"/>
      <c r="J111" s="428"/>
      <c r="K111" s="119"/>
      <c r="L111" s="119"/>
      <c r="M111" s="500"/>
      <c r="N111" s="379"/>
    </row>
    <row r="112" spans="1:26" ht="15">
      <c r="A112" s="587"/>
      <c r="B112" s="33"/>
      <c r="C112" s="33"/>
      <c r="D112" s="594" t="s">
        <v>15581</v>
      </c>
      <c r="E112" s="190"/>
      <c r="F112" s="33"/>
      <c r="G112" s="14"/>
      <c r="H112" s="14"/>
      <c r="I112" s="14"/>
      <c r="J112" s="428"/>
    </row>
    <row r="113" spans="1:26" ht="15">
      <c r="A113" s="587"/>
      <c r="B113" s="587"/>
      <c r="C113" s="587"/>
      <c r="D113" s="594" t="s">
        <v>15582</v>
      </c>
      <c r="E113" s="20"/>
      <c r="F113" s="36"/>
      <c r="G113" s="141"/>
      <c r="H113" s="141"/>
      <c r="I113" s="141"/>
      <c r="J113" s="429"/>
    </row>
    <row r="114" spans="1:26" ht="15">
      <c r="A114" s="587"/>
      <c r="B114" s="587"/>
      <c r="C114" s="587"/>
      <c r="D114" s="594" t="s">
        <v>15583</v>
      </c>
      <c r="E114" s="20"/>
      <c r="F114" s="36"/>
      <c r="G114" s="141"/>
      <c r="H114" s="141"/>
      <c r="I114" s="141"/>
      <c r="J114" s="429"/>
    </row>
    <row r="115" spans="1:26" ht="15">
      <c r="A115" s="587"/>
      <c r="B115" s="587"/>
      <c r="C115" s="587"/>
      <c r="D115" s="594" t="s">
        <v>15584</v>
      </c>
      <c r="E115" s="20"/>
      <c r="F115" s="36"/>
      <c r="G115" s="141"/>
      <c r="H115" s="141"/>
      <c r="I115" s="141"/>
      <c r="J115" s="429"/>
    </row>
    <row r="116" spans="1:26" s="117" customFormat="1" ht="15">
      <c r="A116" s="587"/>
      <c r="B116" s="587"/>
      <c r="C116" s="587"/>
      <c r="D116" s="586"/>
      <c r="E116" s="20"/>
      <c r="F116" s="36"/>
      <c r="G116" s="141"/>
      <c r="H116" s="141"/>
      <c r="I116" s="141"/>
      <c r="J116" s="429"/>
      <c r="M116" s="358"/>
      <c r="N116" s="380"/>
      <c r="O116" s="380"/>
      <c r="P116" s="380"/>
      <c r="Q116" s="380"/>
      <c r="R116" s="380"/>
      <c r="S116" s="504"/>
      <c r="T116" s="504"/>
      <c r="U116" s="504"/>
      <c r="V116" s="504"/>
      <c r="W116" s="504"/>
      <c r="X116" s="504"/>
      <c r="Y116" s="504"/>
      <c r="Z116" s="504"/>
    </row>
    <row r="117" spans="1:26" s="117" customFormat="1" ht="15">
      <c r="A117" s="587"/>
      <c r="B117" s="587"/>
      <c r="C117" s="587"/>
      <c r="D117" s="586"/>
      <c r="E117" s="20"/>
      <c r="F117" s="36"/>
      <c r="G117" s="141"/>
      <c r="H117" s="141"/>
      <c r="I117" s="141"/>
      <c r="J117" s="429"/>
      <c r="M117" s="358"/>
      <c r="N117" s="380"/>
      <c r="O117" s="380"/>
      <c r="P117" s="380"/>
      <c r="Q117" s="380"/>
      <c r="R117" s="380"/>
      <c r="S117" s="504"/>
      <c r="T117" s="504"/>
      <c r="U117" s="504"/>
      <c r="V117" s="504"/>
      <c r="W117" s="504"/>
      <c r="X117" s="504"/>
      <c r="Y117" s="504"/>
      <c r="Z117" s="504"/>
    </row>
    <row r="118" spans="1:26" s="117" customFormat="1" ht="15">
      <c r="A118" s="587"/>
      <c r="B118" s="587"/>
      <c r="C118" s="587"/>
      <c r="D118" s="586"/>
      <c r="E118" s="20"/>
      <c r="F118" s="36"/>
      <c r="G118" s="141"/>
      <c r="H118" s="141"/>
      <c r="I118" s="141"/>
      <c r="J118" s="429"/>
      <c r="M118" s="358"/>
      <c r="N118" s="380"/>
      <c r="O118" s="380"/>
      <c r="P118" s="380"/>
      <c r="Q118" s="380"/>
      <c r="R118" s="380"/>
      <c r="S118" s="504"/>
      <c r="T118" s="504"/>
      <c r="U118" s="504"/>
      <c r="V118" s="504"/>
      <c r="W118" s="504"/>
      <c r="X118" s="504"/>
      <c r="Y118" s="504"/>
      <c r="Z118" s="504"/>
    </row>
    <row r="119" spans="1:26" s="117" customFormat="1">
      <c r="A119" s="8"/>
      <c r="B119" s="22"/>
      <c r="C119" s="22"/>
      <c r="D119" s="588"/>
      <c r="E119" s="191"/>
      <c r="F119" s="6"/>
      <c r="G119" s="333"/>
      <c r="H119" s="333"/>
      <c r="I119" s="333"/>
      <c r="J119" s="381"/>
      <c r="M119" s="358"/>
      <c r="N119" s="380"/>
      <c r="O119" s="380"/>
      <c r="P119" s="380"/>
      <c r="Q119" s="380"/>
      <c r="R119" s="380"/>
      <c r="S119" s="504"/>
      <c r="T119" s="504"/>
      <c r="U119" s="504"/>
      <c r="V119" s="504"/>
      <c r="W119" s="504"/>
      <c r="X119" s="504"/>
      <c r="Y119" s="504"/>
      <c r="Z119" s="504"/>
    </row>
  </sheetData>
  <sheetProtection selectLockedCells="1" selectUnlockedCells="1"/>
  <mergeCells count="46">
    <mergeCell ref="A105:I105"/>
    <mergeCell ref="D108:I108"/>
    <mergeCell ref="D109:I109"/>
    <mergeCell ref="D110:I110"/>
    <mergeCell ref="B88:J88"/>
    <mergeCell ref="B89:C89"/>
    <mergeCell ref="B90:J90"/>
    <mergeCell ref="A97:I97"/>
    <mergeCell ref="B99:J99"/>
    <mergeCell ref="A103:I103"/>
    <mergeCell ref="A86:I86"/>
    <mergeCell ref="B51:J51"/>
    <mergeCell ref="A56:I56"/>
    <mergeCell ref="A58:I58"/>
    <mergeCell ref="B60:J60"/>
    <mergeCell ref="B61:C61"/>
    <mergeCell ref="B62:J62"/>
    <mergeCell ref="A64:I64"/>
    <mergeCell ref="B66:J66"/>
    <mergeCell ref="A68:I68"/>
    <mergeCell ref="B70:J70"/>
    <mergeCell ref="A84:I84"/>
    <mergeCell ref="B47:J47"/>
    <mergeCell ref="B20:J20"/>
    <mergeCell ref="A22:I22"/>
    <mergeCell ref="A24:I24"/>
    <mergeCell ref="B26:J26"/>
    <mergeCell ref="B27:C27"/>
    <mergeCell ref="B28:J28"/>
    <mergeCell ref="B29:J29"/>
    <mergeCell ref="B35:J35"/>
    <mergeCell ref="B40:J40"/>
    <mergeCell ref="A44:I44"/>
    <mergeCell ref="B46:J46"/>
    <mergeCell ref="B19:C19"/>
    <mergeCell ref="A2:J2"/>
    <mergeCell ref="A3:J3"/>
    <mergeCell ref="A4:J4"/>
    <mergeCell ref="A7:J7"/>
    <mergeCell ref="B9:J9"/>
    <mergeCell ref="B10:J10"/>
    <mergeCell ref="B11:J11"/>
    <mergeCell ref="B12:J12"/>
    <mergeCell ref="C15:J15"/>
    <mergeCell ref="A17:J17"/>
    <mergeCell ref="B18:J18"/>
  </mergeCells>
  <printOptions horizontalCentered="1"/>
  <pageMargins left="0.70866141732283472" right="0.70866141732283472" top="0.39370078740157483" bottom="0.78740157480314965" header="0.19685039370078741" footer="0"/>
  <pageSetup paperSize="9" scale="55" firstPageNumber="2" fitToHeight="0" orientation="portrait" useFirstPageNumber="1" r:id="rId1"/>
  <headerFooter alignWithMargins="0">
    <oddHeader>&amp;LVEGA CONSTRUTORA E INCORPORAÇÕES LTDA&amp;RCNPJ: 02.342.988/0001-00</oddHeader>
    <oddFooter xml:space="preserve">&amp;C
&amp;RPágina &amp;P
</oddFooter>
  </headerFooter>
  <rowBreaks count="1" manualBreakCount="1">
    <brk id="54"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0">
    <tabColor theme="9"/>
    <pageSetUpPr fitToPage="1"/>
  </sheetPr>
  <dimension ref="A1:G65"/>
  <sheetViews>
    <sheetView view="pageBreakPreview" zoomScaleNormal="100" zoomScaleSheetLayoutView="100" zoomScalePageLayoutView="90" workbookViewId="0">
      <selection activeCell="B17" sqref="B17"/>
    </sheetView>
  </sheetViews>
  <sheetFormatPr defaultRowHeight="12.75"/>
  <cols>
    <col min="1" max="1" width="13" style="8" customWidth="1"/>
    <col min="2" max="2" width="70.5703125" style="9" customWidth="1"/>
    <col min="3" max="3" width="15" style="436" customWidth="1"/>
    <col min="4" max="5" width="13.28515625" style="2" hidden="1" customWidth="1"/>
    <col min="6" max="7" width="15" style="436" customWidth="1"/>
    <col min="8" max="16384" width="9.140625" style="4"/>
  </cols>
  <sheetData>
    <row r="1" spans="1:7" ht="15">
      <c r="A1" s="140"/>
      <c r="B1" s="39"/>
      <c r="C1" s="429"/>
      <c r="D1" s="141"/>
      <c r="E1" s="141"/>
      <c r="F1" s="429"/>
      <c r="G1" s="429"/>
    </row>
    <row r="2" spans="1:7" ht="15">
      <c r="A2" s="685" t="s">
        <v>35</v>
      </c>
      <c r="B2" s="685"/>
      <c r="C2" s="685"/>
      <c r="D2" s="685"/>
      <c r="E2" s="685"/>
      <c r="F2" s="685"/>
      <c r="G2" s="685"/>
    </row>
    <row r="3" spans="1:7" ht="15">
      <c r="A3" s="685" t="s">
        <v>36</v>
      </c>
      <c r="B3" s="685"/>
      <c r="C3" s="685"/>
      <c r="D3" s="685"/>
      <c r="E3" s="685"/>
      <c r="F3" s="685"/>
      <c r="G3" s="685"/>
    </row>
    <row r="4" spans="1:7" ht="15">
      <c r="A4" s="685" t="s">
        <v>5924</v>
      </c>
      <c r="B4" s="685"/>
      <c r="C4" s="685"/>
      <c r="D4" s="685"/>
      <c r="E4" s="685"/>
      <c r="F4" s="685"/>
      <c r="G4" s="685"/>
    </row>
    <row r="5" spans="1:7" ht="15">
      <c r="A5" s="33"/>
      <c r="B5" s="34" t="s">
        <v>29</v>
      </c>
      <c r="C5" s="428"/>
      <c r="D5" s="41"/>
      <c r="E5" s="41"/>
      <c r="F5" s="428"/>
      <c r="G5" s="428"/>
    </row>
    <row r="6" spans="1:7" ht="15">
      <c r="A6" s="33"/>
      <c r="B6" s="34"/>
      <c r="C6" s="429"/>
      <c r="D6" s="141"/>
      <c r="E6" s="141"/>
      <c r="F6" s="429"/>
      <c r="G6" s="429"/>
    </row>
    <row r="7" spans="1:7" ht="21">
      <c r="A7" s="689" t="s">
        <v>15494</v>
      </c>
      <c r="B7" s="689"/>
      <c r="C7" s="689"/>
      <c r="D7" s="689"/>
      <c r="E7" s="689"/>
      <c r="F7" s="689"/>
      <c r="G7" s="689"/>
    </row>
    <row r="8" spans="1:7" ht="15">
      <c r="A8" s="33"/>
      <c r="B8" s="34"/>
      <c r="C8" s="428"/>
      <c r="D8" s="41"/>
      <c r="E8" s="41"/>
      <c r="F8" s="428"/>
      <c r="G8" s="428"/>
    </row>
    <row r="9" spans="1:7" ht="15">
      <c r="A9" s="43" t="s">
        <v>5251</v>
      </c>
      <c r="B9" s="71" t="s">
        <v>9600</v>
      </c>
      <c r="C9" s="71"/>
      <c r="D9" s="71"/>
      <c r="E9" s="71"/>
      <c r="F9" s="71"/>
      <c r="G9" s="71"/>
    </row>
    <row r="10" spans="1:7" ht="15">
      <c r="A10" s="43" t="s">
        <v>131</v>
      </c>
      <c r="B10" s="71" t="s">
        <v>7854</v>
      </c>
      <c r="C10" s="71"/>
      <c r="D10" s="71"/>
      <c r="E10" s="71"/>
      <c r="F10" s="71"/>
      <c r="G10" s="71"/>
    </row>
    <row r="11" spans="1:7" ht="15">
      <c r="A11" s="43" t="s">
        <v>5252</v>
      </c>
      <c r="B11" s="543" t="s">
        <v>15460</v>
      </c>
      <c r="C11" s="478"/>
      <c r="D11" s="478"/>
      <c r="E11" s="478"/>
      <c r="F11" s="478"/>
      <c r="G11" s="478"/>
    </row>
    <row r="12" spans="1:7" ht="15">
      <c r="A12" s="688" t="s">
        <v>5796</v>
      </c>
      <c r="B12" s="688"/>
      <c r="C12" s="688"/>
      <c r="D12" s="688"/>
      <c r="E12" s="688"/>
      <c r="F12" s="688"/>
      <c r="G12" s="688"/>
    </row>
    <row r="13" spans="1:7" s="6" customFormat="1" ht="15">
      <c r="A13" s="497" t="s">
        <v>0</v>
      </c>
      <c r="B13" s="23" t="s">
        <v>1</v>
      </c>
      <c r="C13" s="430" t="s">
        <v>133</v>
      </c>
      <c r="D13" s="351" t="s">
        <v>12</v>
      </c>
      <c r="E13" s="182" t="s">
        <v>6735</v>
      </c>
      <c r="F13" s="430" t="s">
        <v>15493</v>
      </c>
      <c r="G13" s="430"/>
    </row>
    <row r="14" spans="1:7" s="512" customFormat="1" ht="15">
      <c r="A14" s="338" t="s">
        <v>9270</v>
      </c>
      <c r="B14" s="336" t="s">
        <v>9268</v>
      </c>
      <c r="C14" s="431">
        <v>230625.22</v>
      </c>
      <c r="D14" s="339">
        <v>12978.2</v>
      </c>
      <c r="E14" s="339">
        <v>3495.03</v>
      </c>
      <c r="F14" s="431"/>
      <c r="G14" s="431"/>
    </row>
    <row r="15" spans="1:7" s="512" customFormat="1" ht="15">
      <c r="A15" s="338" t="s">
        <v>9273</v>
      </c>
      <c r="B15" s="336" t="s">
        <v>9276</v>
      </c>
      <c r="C15" s="431">
        <v>149844.24</v>
      </c>
      <c r="D15" s="339">
        <v>18.02</v>
      </c>
      <c r="E15" s="339">
        <v>4.8499999999999996</v>
      </c>
      <c r="F15" s="431"/>
      <c r="G15" s="431"/>
    </row>
    <row r="16" spans="1:7" s="512" customFormat="1" ht="30">
      <c r="A16" s="338" t="s">
        <v>9166</v>
      </c>
      <c r="B16" s="336" t="s">
        <v>9266</v>
      </c>
      <c r="C16" s="431">
        <v>76081.679999999993</v>
      </c>
      <c r="D16" s="339">
        <v>1.57</v>
      </c>
      <c r="E16" s="339">
        <v>0.42</v>
      </c>
      <c r="F16" s="431"/>
      <c r="G16" s="431"/>
    </row>
    <row r="17" spans="1:7" s="512" customFormat="1" ht="30">
      <c r="A17" s="338" t="s">
        <v>9271</v>
      </c>
      <c r="B17" s="336" t="s">
        <v>9595</v>
      </c>
      <c r="C17" s="431">
        <v>74000.639999999999</v>
      </c>
      <c r="D17" s="339">
        <v>86.76</v>
      </c>
      <c r="E17" s="339">
        <v>23.36</v>
      </c>
      <c r="F17" s="431"/>
      <c r="G17" s="431"/>
    </row>
    <row r="18" spans="1:7" s="512" customFormat="1" ht="15">
      <c r="A18" s="338" t="s">
        <v>9274</v>
      </c>
      <c r="B18" s="336" t="s">
        <v>9275</v>
      </c>
      <c r="C18" s="431">
        <v>70658.42</v>
      </c>
      <c r="D18" s="339">
        <v>3976.23</v>
      </c>
      <c r="E18" s="339">
        <v>1070.8</v>
      </c>
      <c r="F18" s="431"/>
      <c r="G18" s="431"/>
    </row>
    <row r="19" spans="1:7" s="512" customFormat="1" ht="15">
      <c r="A19" s="338" t="s">
        <v>6338</v>
      </c>
      <c r="B19" s="336" t="s">
        <v>8975</v>
      </c>
      <c r="C19" s="431">
        <v>63272.55</v>
      </c>
      <c r="D19" s="339">
        <v>72.66</v>
      </c>
      <c r="E19" s="339">
        <v>19.57</v>
      </c>
      <c r="F19" s="431"/>
      <c r="G19" s="431"/>
    </row>
    <row r="20" spans="1:7" s="512" customFormat="1" ht="15">
      <c r="A20" s="338" t="s">
        <v>15372</v>
      </c>
      <c r="B20" s="336" t="s">
        <v>15492</v>
      </c>
      <c r="C20" s="431">
        <v>57383.55</v>
      </c>
      <c r="D20" s="339">
        <v>5023.2</v>
      </c>
      <c r="E20" s="339">
        <v>1352.75</v>
      </c>
      <c r="F20" s="431"/>
      <c r="G20" s="431"/>
    </row>
    <row r="21" spans="1:7" s="512" customFormat="1" ht="30">
      <c r="A21" s="338" t="s">
        <v>6272</v>
      </c>
      <c r="B21" s="336" t="s">
        <v>8945</v>
      </c>
      <c r="C21" s="431">
        <v>34054.92</v>
      </c>
      <c r="D21" s="339">
        <v>745.27</v>
      </c>
      <c r="E21" s="339">
        <v>200.7</v>
      </c>
      <c r="F21" s="431"/>
      <c r="G21" s="431"/>
    </row>
    <row r="22" spans="1:7" s="512" customFormat="1" ht="30">
      <c r="A22" s="338" t="s">
        <v>9272</v>
      </c>
      <c r="B22" s="336" t="s">
        <v>9596</v>
      </c>
      <c r="C22" s="431">
        <v>27750.240000000002</v>
      </c>
      <c r="D22" s="339">
        <v>86.76</v>
      </c>
      <c r="E22" s="339">
        <v>23.36</v>
      </c>
      <c r="F22" s="431"/>
      <c r="G22" s="431"/>
    </row>
    <row r="23" spans="1:7" s="512" customFormat="1" ht="30">
      <c r="A23" s="338" t="s">
        <v>6329</v>
      </c>
      <c r="B23" s="336" t="s">
        <v>8946</v>
      </c>
      <c r="C23" s="431">
        <v>21803.4</v>
      </c>
      <c r="D23" s="339">
        <v>572.58000000000004</v>
      </c>
      <c r="E23" s="339">
        <v>154.19999999999999</v>
      </c>
      <c r="F23" s="431"/>
      <c r="G23" s="431"/>
    </row>
    <row r="24" spans="1:7" s="512" customFormat="1" ht="15">
      <c r="A24" s="338" t="s">
        <v>9163</v>
      </c>
      <c r="B24" s="336" t="s">
        <v>9164</v>
      </c>
      <c r="C24" s="431">
        <v>20798.21</v>
      </c>
      <c r="D24" s="339">
        <v>8.57</v>
      </c>
      <c r="E24" s="339">
        <v>2.31</v>
      </c>
      <c r="F24" s="431"/>
      <c r="G24" s="431"/>
    </row>
    <row r="25" spans="1:7" s="512" customFormat="1" ht="30">
      <c r="A25" s="338" t="s">
        <v>8129</v>
      </c>
      <c r="B25" s="336" t="s">
        <v>7857</v>
      </c>
      <c r="C25" s="431">
        <v>17179.27</v>
      </c>
      <c r="D25" s="339">
        <v>1.57</v>
      </c>
      <c r="E25" s="339">
        <v>0.42</v>
      </c>
      <c r="F25" s="431"/>
      <c r="G25" s="431"/>
    </row>
    <row r="26" spans="1:7" s="512" customFormat="1" ht="30">
      <c r="A26" s="338" t="s">
        <v>6330</v>
      </c>
      <c r="B26" s="336" t="s">
        <v>8949</v>
      </c>
      <c r="C26" s="431">
        <v>16591.599999999999</v>
      </c>
      <c r="D26" s="339">
        <v>653.57000000000005</v>
      </c>
      <c r="E26" s="339">
        <v>176.01</v>
      </c>
      <c r="F26" s="431"/>
      <c r="G26" s="431"/>
    </row>
    <row r="27" spans="1:7" s="512" customFormat="1" ht="30">
      <c r="A27" s="338" t="s">
        <v>9153</v>
      </c>
      <c r="B27" s="336" t="s">
        <v>9284</v>
      </c>
      <c r="C27" s="431">
        <v>15231.6</v>
      </c>
      <c r="D27" s="339">
        <v>12000</v>
      </c>
      <c r="E27" s="339">
        <v>3231.6</v>
      </c>
      <c r="F27" s="431"/>
      <c r="G27" s="431"/>
    </row>
    <row r="28" spans="1:7" s="512" customFormat="1" ht="30">
      <c r="A28" s="338" t="s">
        <v>8947</v>
      </c>
      <c r="B28" s="336" t="s">
        <v>8948</v>
      </c>
      <c r="C28" s="431">
        <v>14194.8</v>
      </c>
      <c r="D28" s="339">
        <v>372.77</v>
      </c>
      <c r="E28" s="339">
        <v>100.39</v>
      </c>
      <c r="F28" s="431"/>
      <c r="G28" s="431"/>
    </row>
    <row r="29" spans="1:7" s="512" customFormat="1" ht="30">
      <c r="A29" s="338" t="s">
        <v>9161</v>
      </c>
      <c r="B29" s="336" t="s">
        <v>9162</v>
      </c>
      <c r="C29" s="431">
        <v>11038.15</v>
      </c>
      <c r="D29" s="339">
        <v>4.97</v>
      </c>
      <c r="E29" s="339">
        <v>1.34</v>
      </c>
      <c r="F29" s="431"/>
      <c r="G29" s="431"/>
    </row>
    <row r="30" spans="1:7" s="512" customFormat="1" ht="30">
      <c r="A30" s="338" t="s">
        <v>6340</v>
      </c>
      <c r="B30" s="336" t="s">
        <v>9396</v>
      </c>
      <c r="C30" s="431">
        <v>7958.7</v>
      </c>
      <c r="D30" s="339">
        <v>336.2</v>
      </c>
      <c r="E30" s="339">
        <v>90.54</v>
      </c>
      <c r="F30" s="431"/>
      <c r="G30" s="431"/>
    </row>
    <row r="31" spans="1:7" s="512" customFormat="1" ht="30">
      <c r="A31" s="338" t="s">
        <v>8976</v>
      </c>
      <c r="B31" s="336" t="s">
        <v>8978</v>
      </c>
      <c r="C31" s="431">
        <v>7951.89</v>
      </c>
      <c r="D31" s="339">
        <v>19.799999999999997</v>
      </c>
      <c r="E31" s="339">
        <v>5.33</v>
      </c>
      <c r="F31" s="431"/>
      <c r="G31" s="431"/>
    </row>
    <row r="32" spans="1:7" s="512" customFormat="1" ht="30">
      <c r="A32" s="338" t="s">
        <v>7885</v>
      </c>
      <c r="B32" s="336" t="s">
        <v>6341</v>
      </c>
      <c r="C32" s="431">
        <v>6450.21</v>
      </c>
      <c r="D32" s="339">
        <v>5081.71</v>
      </c>
      <c r="E32" s="339">
        <v>1368.5</v>
      </c>
      <c r="F32" s="431"/>
      <c r="G32" s="431"/>
    </row>
    <row r="33" spans="1:7" s="512" customFormat="1" ht="15">
      <c r="A33" s="338" t="s">
        <v>8950</v>
      </c>
      <c r="B33" s="336" t="s">
        <v>8951</v>
      </c>
      <c r="C33" s="431">
        <v>6251.76</v>
      </c>
      <c r="D33" s="339">
        <v>820.89</v>
      </c>
      <c r="E33" s="339">
        <v>221.07</v>
      </c>
      <c r="F33" s="431"/>
      <c r="G33" s="431"/>
    </row>
    <row r="34" spans="1:7" s="512" customFormat="1" ht="30">
      <c r="A34" s="338" t="s">
        <v>8690</v>
      </c>
      <c r="B34" s="336" t="s">
        <v>9114</v>
      </c>
      <c r="C34" s="431">
        <v>4667.32</v>
      </c>
      <c r="D34" s="352">
        <v>3677.08</v>
      </c>
      <c r="E34" s="339">
        <v>990.24</v>
      </c>
      <c r="F34" s="431"/>
      <c r="G34" s="431"/>
    </row>
    <row r="35" spans="1:7" s="512" customFormat="1" ht="45">
      <c r="A35" s="338" t="s">
        <v>9165</v>
      </c>
      <c r="B35" s="336" t="s">
        <v>9178</v>
      </c>
      <c r="C35" s="431">
        <v>3995.24</v>
      </c>
      <c r="D35" s="339">
        <v>1.65</v>
      </c>
      <c r="E35" s="339">
        <v>0.44</v>
      </c>
      <c r="F35" s="431"/>
      <c r="G35" s="431"/>
    </row>
    <row r="36" spans="1:7" s="512" customFormat="1" ht="15">
      <c r="A36" s="338" t="s">
        <v>9106</v>
      </c>
      <c r="B36" s="336" t="s">
        <v>9113</v>
      </c>
      <c r="C36" s="431">
        <v>3886.12</v>
      </c>
      <c r="D36" s="339">
        <v>2.21</v>
      </c>
      <c r="E36" s="339">
        <v>0.6</v>
      </c>
      <c r="F36" s="431"/>
      <c r="G36" s="431"/>
    </row>
    <row r="37" spans="1:7" s="512" customFormat="1" ht="15">
      <c r="A37" s="338" t="s">
        <v>9591</v>
      </c>
      <c r="B37" s="336" t="s">
        <v>9155</v>
      </c>
      <c r="C37" s="431">
        <v>3400.32</v>
      </c>
      <c r="D37" s="339">
        <v>3.99</v>
      </c>
      <c r="E37" s="339">
        <v>1.07</v>
      </c>
      <c r="F37" s="431"/>
      <c r="G37" s="431"/>
    </row>
    <row r="38" spans="1:7" s="512" customFormat="1" ht="30">
      <c r="A38" s="338" t="s">
        <v>5929</v>
      </c>
      <c r="B38" s="336" t="s">
        <v>7858</v>
      </c>
      <c r="C38" s="431">
        <v>3090.45</v>
      </c>
      <c r="D38" s="339">
        <v>0.47</v>
      </c>
      <c r="E38" s="339">
        <v>0.13</v>
      </c>
      <c r="F38" s="431"/>
      <c r="G38" s="431"/>
    </row>
    <row r="39" spans="1:7" s="512" customFormat="1" ht="15">
      <c r="A39" s="338" t="s">
        <v>9117</v>
      </c>
      <c r="B39" s="336" t="s">
        <v>15483</v>
      </c>
      <c r="C39" s="431">
        <v>2661.12</v>
      </c>
      <c r="D39" s="339">
        <v>0.85</v>
      </c>
      <c r="E39" s="339">
        <v>0.23</v>
      </c>
      <c r="F39" s="431"/>
      <c r="G39" s="431"/>
    </row>
    <row r="40" spans="1:7" s="512" customFormat="1" ht="15">
      <c r="A40" s="338" t="s">
        <v>9123</v>
      </c>
      <c r="B40" s="336" t="s">
        <v>15484</v>
      </c>
      <c r="C40" s="431">
        <v>2661.12</v>
      </c>
      <c r="D40" s="339">
        <v>0.85</v>
      </c>
      <c r="E40" s="339">
        <v>0.23</v>
      </c>
      <c r="F40" s="431"/>
      <c r="G40" s="431"/>
    </row>
    <row r="41" spans="1:7" s="512" customFormat="1" ht="15">
      <c r="A41" s="338" t="s">
        <v>9124</v>
      </c>
      <c r="B41" s="336" t="s">
        <v>15485</v>
      </c>
      <c r="C41" s="431">
        <v>2661.12</v>
      </c>
      <c r="D41" s="339">
        <v>0.85</v>
      </c>
      <c r="E41" s="339">
        <v>0.23</v>
      </c>
      <c r="F41" s="431"/>
      <c r="G41" s="431"/>
    </row>
    <row r="42" spans="1:7" s="512" customFormat="1" ht="15">
      <c r="A42" s="338" t="s">
        <v>9125</v>
      </c>
      <c r="B42" s="336" t="s">
        <v>15486</v>
      </c>
      <c r="C42" s="431">
        <v>2661.12</v>
      </c>
      <c r="D42" s="339">
        <v>0.85</v>
      </c>
      <c r="E42" s="339">
        <v>0.23</v>
      </c>
      <c r="F42" s="431"/>
      <c r="G42" s="431"/>
    </row>
    <row r="43" spans="1:7" s="512" customFormat="1" ht="15">
      <c r="A43" s="338" t="s">
        <v>9126</v>
      </c>
      <c r="B43" s="336" t="s">
        <v>15487</v>
      </c>
      <c r="C43" s="431">
        <v>2661.12</v>
      </c>
      <c r="D43" s="339">
        <v>0.85</v>
      </c>
      <c r="E43" s="339">
        <v>0.23</v>
      </c>
      <c r="F43" s="431"/>
      <c r="G43" s="431"/>
    </row>
    <row r="44" spans="1:7" s="512" customFormat="1" ht="15">
      <c r="A44" s="338" t="s">
        <v>9127</v>
      </c>
      <c r="B44" s="336" t="s">
        <v>15488</v>
      </c>
      <c r="C44" s="431">
        <v>2661.12</v>
      </c>
      <c r="D44" s="339">
        <v>0.85</v>
      </c>
      <c r="E44" s="339">
        <v>0.23</v>
      </c>
      <c r="F44" s="431"/>
      <c r="G44" s="431"/>
    </row>
    <row r="45" spans="1:7" s="512" customFormat="1" ht="15">
      <c r="A45" s="338" t="s">
        <v>9128</v>
      </c>
      <c r="B45" s="336" t="s">
        <v>15489</v>
      </c>
      <c r="C45" s="431">
        <v>2661.12</v>
      </c>
      <c r="D45" s="339">
        <v>0.85</v>
      </c>
      <c r="E45" s="339">
        <v>0.23</v>
      </c>
      <c r="F45" s="431"/>
      <c r="G45" s="431"/>
    </row>
    <row r="46" spans="1:7" s="512" customFormat="1" ht="15">
      <c r="A46" s="338" t="s">
        <v>9129</v>
      </c>
      <c r="B46" s="336" t="s">
        <v>15490</v>
      </c>
      <c r="C46" s="431">
        <v>2661.12</v>
      </c>
      <c r="D46" s="339">
        <v>0.85</v>
      </c>
      <c r="E46" s="339">
        <v>0.23</v>
      </c>
      <c r="F46" s="431"/>
      <c r="G46" s="431"/>
    </row>
    <row r="47" spans="1:7" s="512" customFormat="1" ht="15">
      <c r="A47" s="338" t="s">
        <v>9130</v>
      </c>
      <c r="B47" s="336" t="s">
        <v>15491</v>
      </c>
      <c r="C47" s="431">
        <v>2661.12</v>
      </c>
      <c r="D47" s="339">
        <v>0.85</v>
      </c>
      <c r="E47" s="339">
        <v>0.23</v>
      </c>
      <c r="F47" s="431"/>
      <c r="G47" s="431"/>
    </row>
    <row r="48" spans="1:7" s="512" customFormat="1" ht="15">
      <c r="A48" s="338" t="s">
        <v>8128</v>
      </c>
      <c r="B48" s="336" t="s">
        <v>7856</v>
      </c>
      <c r="C48" s="431">
        <v>2071.87</v>
      </c>
      <c r="D48" s="339">
        <v>3.78</v>
      </c>
      <c r="E48" s="339">
        <v>1.02</v>
      </c>
      <c r="F48" s="431"/>
      <c r="G48" s="431"/>
    </row>
    <row r="49" spans="1:7" s="512" customFormat="1" ht="30">
      <c r="A49" s="338" t="s">
        <v>7884</v>
      </c>
      <c r="B49" s="336" t="s">
        <v>7812</v>
      </c>
      <c r="C49" s="431">
        <v>1894.29</v>
      </c>
      <c r="D49" s="339">
        <v>1492.39</v>
      </c>
      <c r="E49" s="339">
        <v>401.9</v>
      </c>
      <c r="F49" s="431"/>
      <c r="G49" s="431"/>
    </row>
    <row r="50" spans="1:7" s="512" customFormat="1" ht="15">
      <c r="A50" s="338" t="s">
        <v>9100</v>
      </c>
      <c r="B50" s="336" t="s">
        <v>9101</v>
      </c>
      <c r="C50" s="431">
        <v>1432.85</v>
      </c>
      <c r="D50" s="339">
        <v>1128.8499999999999</v>
      </c>
      <c r="E50" s="339">
        <v>304</v>
      </c>
      <c r="F50" s="431"/>
      <c r="G50" s="431"/>
    </row>
    <row r="51" spans="1:7" s="512" customFormat="1" ht="15">
      <c r="A51" s="338" t="s">
        <v>9553</v>
      </c>
      <c r="B51" s="336" t="s">
        <v>15421</v>
      </c>
      <c r="C51" s="431">
        <v>1035.01</v>
      </c>
      <c r="D51" s="339">
        <v>0.33</v>
      </c>
      <c r="E51" s="339">
        <v>0.09</v>
      </c>
      <c r="F51" s="431"/>
      <c r="G51" s="431"/>
    </row>
    <row r="52" spans="1:7" s="512" customFormat="1" ht="45">
      <c r="A52" s="338" t="s">
        <v>6335</v>
      </c>
      <c r="B52" s="336" t="s">
        <v>6336</v>
      </c>
      <c r="C52" s="431">
        <v>619.55999999999995</v>
      </c>
      <c r="D52" s="339">
        <v>488.11</v>
      </c>
      <c r="E52" s="339">
        <v>131.44999999999999</v>
      </c>
      <c r="F52" s="431"/>
      <c r="G52" s="431"/>
    </row>
    <row r="53" spans="1:7" s="512" customFormat="1" ht="15">
      <c r="A53" s="338" t="s">
        <v>9592</v>
      </c>
      <c r="B53" s="336" t="s">
        <v>9158</v>
      </c>
      <c r="C53" s="431">
        <v>537.6</v>
      </c>
      <c r="D53" s="339">
        <v>5.04</v>
      </c>
      <c r="E53" s="339">
        <v>1.36</v>
      </c>
      <c r="F53" s="431"/>
      <c r="G53" s="431"/>
    </row>
    <row r="54" spans="1:7" s="512" customFormat="1" ht="30">
      <c r="A54" s="338" t="s">
        <v>6331</v>
      </c>
      <c r="B54" s="336" t="s">
        <v>6332</v>
      </c>
      <c r="C54" s="431">
        <v>510.17</v>
      </c>
      <c r="D54" s="339">
        <v>401.92999999999995</v>
      </c>
      <c r="E54" s="339">
        <v>108.24</v>
      </c>
      <c r="F54" s="431"/>
      <c r="G54" s="431"/>
    </row>
    <row r="55" spans="1:7" s="512" customFormat="1" ht="15">
      <c r="A55" s="338" t="s">
        <v>9131</v>
      </c>
      <c r="B55" s="336" t="s">
        <v>9118</v>
      </c>
      <c r="C55" s="431">
        <v>45.36</v>
      </c>
      <c r="D55" s="339">
        <v>0.85</v>
      </c>
      <c r="E55" s="339">
        <v>0.23</v>
      </c>
      <c r="F55" s="431"/>
      <c r="G55" s="431"/>
    </row>
    <row r="56" spans="1:7" s="512" customFormat="1" ht="15">
      <c r="A56" s="338" t="s">
        <v>9132</v>
      </c>
      <c r="B56" s="336" t="s">
        <v>9119</v>
      </c>
      <c r="C56" s="431">
        <v>45.36</v>
      </c>
      <c r="D56" s="339">
        <v>0.85</v>
      </c>
      <c r="E56" s="339">
        <v>0.23</v>
      </c>
      <c r="F56" s="431"/>
      <c r="G56" s="431"/>
    </row>
    <row r="57" spans="1:7" s="512" customFormat="1" ht="15">
      <c r="A57" s="338" t="s">
        <v>9133</v>
      </c>
      <c r="B57" s="336" t="s">
        <v>9120</v>
      </c>
      <c r="C57" s="431">
        <v>45.36</v>
      </c>
      <c r="D57" s="339">
        <v>0.85</v>
      </c>
      <c r="E57" s="339">
        <v>0.23</v>
      </c>
      <c r="F57" s="431"/>
      <c r="G57" s="431"/>
    </row>
    <row r="58" spans="1:7" ht="15">
      <c r="A58" s="499"/>
      <c r="B58" s="34"/>
      <c r="C58" s="428"/>
      <c r="D58" s="14"/>
      <c r="E58" s="14"/>
      <c r="F58" s="428"/>
      <c r="G58" s="428"/>
    </row>
    <row r="59" spans="1:7" ht="15">
      <c r="A59" s="499"/>
      <c r="B59" s="496"/>
      <c r="C59" s="429"/>
      <c r="D59" s="141"/>
      <c r="E59" s="141"/>
      <c r="F59" s="429"/>
      <c r="G59" s="429"/>
    </row>
    <row r="60" spans="1:7" ht="15">
      <c r="A60" s="499"/>
      <c r="B60" s="496"/>
      <c r="C60" s="429"/>
      <c r="D60" s="141"/>
      <c r="E60" s="141"/>
      <c r="F60" s="429"/>
      <c r="G60" s="429"/>
    </row>
    <row r="61" spans="1:7" ht="15">
      <c r="A61" s="499"/>
      <c r="B61" s="496"/>
      <c r="C61" s="429"/>
      <c r="D61" s="141"/>
      <c r="E61" s="141"/>
      <c r="F61" s="429"/>
      <c r="G61" s="429"/>
    </row>
    <row r="62" spans="1:7" s="117" customFormat="1" ht="15">
      <c r="A62" s="499"/>
      <c r="B62" s="496"/>
      <c r="C62" s="429"/>
      <c r="D62" s="141"/>
      <c r="E62" s="141"/>
      <c r="F62" s="429"/>
      <c r="G62" s="429"/>
    </row>
    <row r="63" spans="1:7" s="117" customFormat="1" ht="15">
      <c r="A63" s="499"/>
      <c r="B63" s="496"/>
      <c r="C63" s="429"/>
      <c r="D63" s="141"/>
      <c r="E63" s="141"/>
      <c r="F63" s="429"/>
      <c r="G63" s="429"/>
    </row>
    <row r="64" spans="1:7" s="117" customFormat="1" ht="15">
      <c r="A64" s="499"/>
      <c r="B64" s="496"/>
      <c r="C64" s="429"/>
      <c r="D64" s="141"/>
      <c r="E64" s="141"/>
      <c r="F64" s="429"/>
      <c r="G64" s="429"/>
    </row>
    <row r="65" spans="1:7" s="117" customFormat="1">
      <c r="A65" s="8"/>
      <c r="B65" s="498"/>
      <c r="C65" s="381"/>
      <c r="D65" s="333"/>
      <c r="E65" s="333"/>
      <c r="F65" s="381"/>
      <c r="G65" s="381"/>
    </row>
  </sheetData>
  <sheetProtection selectLockedCells="1" selectUnlockedCells="1"/>
  <mergeCells count="5">
    <mergeCell ref="A12:G12"/>
    <mergeCell ref="A2:G2"/>
    <mergeCell ref="A3:G3"/>
    <mergeCell ref="A4:G4"/>
    <mergeCell ref="A7:G7"/>
  </mergeCells>
  <printOptions horizontalCentered="1"/>
  <pageMargins left="0.70866141732283472" right="0.70866141732283472" top="0.39370078740157483" bottom="0.78740157480314965" header="0.19685039370078741" footer="0"/>
  <pageSetup paperSize="9" scale="69" firstPageNumber="2" fitToHeight="0" orientation="portrait" useFirstPageNumber="1" horizontalDpi="300" verticalDpi="300" r:id="rId1"/>
  <headerFooter alignWithMargins="0">
    <oddFooter xml:space="preserve">&amp;CEng. Civil Daniele Firme Miranda
CREA: 24.965/D-DF
ART nº 0720190034483
&amp;RPágina &amp;P de 241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theme="8"/>
    <pageSetUpPr fitToPage="1"/>
  </sheetPr>
  <dimension ref="A1:AE762"/>
  <sheetViews>
    <sheetView topLeftCell="A749" zoomScaleNormal="100" zoomScaleSheetLayoutView="85" workbookViewId="0">
      <selection activeCell="K761" sqref="K761"/>
    </sheetView>
  </sheetViews>
  <sheetFormatPr defaultRowHeight="12.75"/>
  <cols>
    <col min="1" max="1" width="13" style="8" customWidth="1"/>
    <col min="2" max="2" width="10.5703125" style="8" customWidth="1"/>
    <col min="3" max="3" width="9.42578125" style="8" customWidth="1"/>
    <col min="4" max="4" width="46.42578125" style="9" customWidth="1"/>
    <col min="5" max="5" width="10.5703125" style="192" customWidth="1"/>
    <col min="6" max="6" width="9.5703125" style="335" customWidth="1"/>
    <col min="7" max="7" width="13.85546875" style="359" bestFit="1" customWidth="1"/>
    <col min="8" max="8" width="13.28515625" style="2" customWidth="1"/>
    <col min="9" max="9" width="15" style="2" customWidth="1"/>
    <col min="10" max="10" width="15" style="436" customWidth="1"/>
    <col min="11" max="11" width="15.85546875" style="50" customWidth="1"/>
    <col min="12" max="12" width="16.85546875" style="117" customWidth="1"/>
    <col min="13" max="26" width="15.85546875" style="358" customWidth="1"/>
    <col min="27" max="16384" width="9.140625" style="4"/>
  </cols>
  <sheetData>
    <row r="1" spans="1:31" ht="15">
      <c r="A1" s="140"/>
      <c r="B1" s="140"/>
      <c r="C1" s="140"/>
      <c r="D1" s="39"/>
      <c r="E1" s="45"/>
      <c r="F1" s="40"/>
      <c r="G1" s="347"/>
      <c r="H1" s="141"/>
      <c r="I1" s="141"/>
      <c r="J1" s="429"/>
      <c r="K1" s="146"/>
      <c r="L1" s="116"/>
      <c r="M1" s="501"/>
      <c r="N1" s="501"/>
      <c r="O1" s="501"/>
    </row>
    <row r="2" spans="1:31" ht="15">
      <c r="A2" s="685" t="s">
        <v>35</v>
      </c>
      <c r="B2" s="685"/>
      <c r="C2" s="685"/>
      <c r="D2" s="685"/>
      <c r="E2" s="685"/>
      <c r="F2" s="685"/>
      <c r="G2" s="685"/>
      <c r="H2" s="685"/>
      <c r="I2" s="685"/>
      <c r="J2" s="685"/>
      <c r="K2" s="583"/>
      <c r="L2" s="44"/>
      <c r="M2" s="500"/>
      <c r="N2" s="500"/>
      <c r="O2" s="500"/>
    </row>
    <row r="3" spans="1:31" ht="15">
      <c r="A3" s="685" t="s">
        <v>36</v>
      </c>
      <c r="B3" s="685"/>
      <c r="C3" s="685"/>
      <c r="D3" s="685"/>
      <c r="E3" s="685"/>
      <c r="F3" s="685"/>
      <c r="G3" s="685"/>
      <c r="H3" s="685"/>
      <c r="I3" s="685"/>
      <c r="J3" s="685"/>
      <c r="K3" s="583"/>
      <c r="L3" s="44"/>
      <c r="M3" s="500"/>
      <c r="N3" s="500"/>
      <c r="O3" s="500"/>
    </row>
    <row r="4" spans="1:31" ht="15">
      <c r="A4" s="685" t="s">
        <v>5924</v>
      </c>
      <c r="B4" s="685"/>
      <c r="C4" s="685"/>
      <c r="D4" s="685"/>
      <c r="E4" s="685"/>
      <c r="F4" s="685"/>
      <c r="G4" s="685"/>
      <c r="H4" s="685"/>
      <c r="I4" s="685"/>
      <c r="J4" s="685"/>
      <c r="K4" s="583"/>
      <c r="L4" s="44"/>
      <c r="M4" s="500"/>
      <c r="N4" s="500"/>
      <c r="O4" s="500"/>
    </row>
    <row r="5" spans="1:31" ht="15">
      <c r="A5" s="33"/>
      <c r="B5" s="33"/>
      <c r="C5" s="33"/>
      <c r="D5" s="34" t="s">
        <v>29</v>
      </c>
      <c r="E5" s="186"/>
      <c r="F5" s="583"/>
      <c r="G5" s="348"/>
      <c r="H5" s="41"/>
      <c r="I5" s="41"/>
      <c r="J5" s="428"/>
      <c r="K5" s="35"/>
      <c r="L5" s="44"/>
      <c r="M5" s="500"/>
      <c r="N5" s="500"/>
      <c r="O5" s="500"/>
    </row>
    <row r="6" spans="1:31" ht="15">
      <c r="A6" s="33"/>
      <c r="B6" s="33"/>
      <c r="C6" s="33"/>
      <c r="D6" s="34"/>
      <c r="E6" s="186"/>
      <c r="F6" s="42"/>
      <c r="G6" s="347"/>
      <c r="H6" s="141"/>
      <c r="I6" s="141"/>
      <c r="J6" s="429"/>
      <c r="K6" s="146"/>
      <c r="L6" s="116"/>
      <c r="M6" s="501"/>
      <c r="N6" s="501"/>
      <c r="O6" s="501"/>
    </row>
    <row r="7" spans="1:31" ht="21">
      <c r="A7" s="689" t="s">
        <v>9619</v>
      </c>
      <c r="B7" s="689"/>
      <c r="C7" s="689"/>
      <c r="D7" s="689"/>
      <c r="E7" s="689"/>
      <c r="F7" s="689"/>
      <c r="G7" s="689"/>
      <c r="H7" s="689"/>
      <c r="I7" s="689"/>
      <c r="J7" s="689"/>
      <c r="K7" s="585"/>
      <c r="L7" s="44"/>
      <c r="M7" s="500"/>
      <c r="N7" s="500"/>
      <c r="O7" s="500"/>
    </row>
    <row r="8" spans="1:31" ht="15">
      <c r="A8" s="33"/>
      <c r="B8" s="33"/>
      <c r="C8" s="33"/>
      <c r="D8" s="34"/>
      <c r="E8" s="186"/>
      <c r="F8" s="583"/>
      <c r="G8" s="348"/>
      <c r="H8" s="41"/>
      <c r="I8" s="41"/>
      <c r="J8" s="428"/>
      <c r="K8" s="35"/>
      <c r="L8" s="44"/>
      <c r="M8" s="500"/>
      <c r="N8" s="500"/>
      <c r="O8" s="500"/>
    </row>
    <row r="9" spans="1:31" ht="15">
      <c r="A9" s="43" t="s">
        <v>5251</v>
      </c>
      <c r="B9" s="691" t="str">
        <f>'Orç - Canteiro e Adm'!B9:J9</f>
        <v>Construção do edifício UEP-FCE</v>
      </c>
      <c r="C9" s="691"/>
      <c r="D9" s="691"/>
      <c r="E9" s="691"/>
      <c r="F9" s="691"/>
      <c r="G9" s="691"/>
      <c r="H9" s="691"/>
      <c r="I9" s="691"/>
      <c r="J9" s="691"/>
      <c r="K9" s="586"/>
      <c r="L9" s="44"/>
      <c r="M9" s="502"/>
      <c r="N9" s="501"/>
      <c r="O9" s="501"/>
    </row>
    <row r="10" spans="1:31" ht="15">
      <c r="A10" s="43" t="s">
        <v>131</v>
      </c>
      <c r="B10" s="691" t="str">
        <f>'Orç - Canteiro e Adm'!B10:J10</f>
        <v>QNN 14, Área Especial, Campus UnB Ceilândia, RA IX</v>
      </c>
      <c r="C10" s="691"/>
      <c r="D10" s="691"/>
      <c r="E10" s="691"/>
      <c r="F10" s="691"/>
      <c r="G10" s="691"/>
      <c r="H10" s="691"/>
      <c r="I10" s="691"/>
      <c r="J10" s="691"/>
      <c r="K10" s="586"/>
      <c r="L10" s="44"/>
      <c r="M10" s="502"/>
      <c r="N10" s="501"/>
      <c r="O10" s="501"/>
    </row>
    <row r="11" spans="1:31" ht="15">
      <c r="A11" s="43" t="s">
        <v>5252</v>
      </c>
      <c r="B11" s="691" t="str">
        <f>'Orç - Canteiro e Adm'!B11:J11</f>
        <v>Agosto de 2019</v>
      </c>
      <c r="C11" s="691"/>
      <c r="D11" s="691"/>
      <c r="E11" s="691"/>
      <c r="F11" s="691"/>
      <c r="G11" s="691"/>
      <c r="H11" s="691"/>
      <c r="I11" s="691"/>
      <c r="J11" s="691"/>
      <c r="K11" s="586"/>
      <c r="L11" s="44"/>
      <c r="M11" s="502"/>
      <c r="N11" s="501"/>
      <c r="O11" s="501"/>
    </row>
    <row r="12" spans="1:31" ht="30">
      <c r="A12" s="43" t="s">
        <v>5253</v>
      </c>
      <c r="B12" s="691" t="str">
        <f>'Orç - Canteiro e Adm'!B12:J12</f>
        <v>SINAPI 07/2019; ORSE 06/2019; CPOS 07/2019; SBC 07/2017; SEINFRA 12/2018</v>
      </c>
      <c r="C12" s="691"/>
      <c r="D12" s="691"/>
      <c r="E12" s="691"/>
      <c r="F12" s="691"/>
      <c r="G12" s="691"/>
      <c r="H12" s="691"/>
      <c r="I12" s="691"/>
      <c r="J12" s="691"/>
      <c r="K12" s="586"/>
      <c r="L12" s="116"/>
      <c r="M12" s="501"/>
      <c r="N12" s="501"/>
      <c r="O12" s="501"/>
    </row>
    <row r="13" spans="1:31" ht="15">
      <c r="A13" s="145" t="s">
        <v>132</v>
      </c>
      <c r="B13" s="21">
        <v>0.26929999999999998</v>
      </c>
      <c r="C13" s="144" t="s">
        <v>5813</v>
      </c>
      <c r="D13" s="183"/>
      <c r="E13" s="187"/>
      <c r="F13" s="183"/>
      <c r="G13" s="349"/>
      <c r="H13" s="183"/>
      <c r="I13" s="183"/>
      <c r="J13" s="349"/>
      <c r="K13" s="4"/>
      <c r="L13" s="116"/>
      <c r="M13" s="501"/>
      <c r="N13" s="501"/>
      <c r="O13" s="501"/>
    </row>
    <row r="14" spans="1:31" ht="15">
      <c r="A14" s="145"/>
      <c r="B14" s="21">
        <v>0.20930000000000001</v>
      </c>
      <c r="C14" s="144" t="s">
        <v>5814</v>
      </c>
      <c r="D14" s="183"/>
      <c r="E14" s="188"/>
      <c r="F14" s="586"/>
      <c r="G14" s="350"/>
      <c r="H14" s="586"/>
      <c r="I14" s="586"/>
      <c r="J14" s="350"/>
      <c r="K14" s="586"/>
      <c r="L14" s="116"/>
      <c r="M14" s="501"/>
      <c r="N14" s="501"/>
      <c r="O14" s="501"/>
    </row>
    <row r="15" spans="1:31" ht="15">
      <c r="A15" s="145"/>
      <c r="B15" s="145"/>
      <c r="C15" s="691" t="s">
        <v>5254</v>
      </c>
      <c r="D15" s="691"/>
      <c r="E15" s="691"/>
      <c r="F15" s="691"/>
      <c r="G15" s="691"/>
      <c r="H15" s="691"/>
      <c r="I15" s="691"/>
      <c r="J15" s="691"/>
      <c r="K15" s="586"/>
      <c r="L15" s="116"/>
      <c r="M15" s="501"/>
      <c r="N15" s="501"/>
      <c r="O15" s="501"/>
    </row>
    <row r="16" spans="1:31" ht="15">
      <c r="A16" s="145"/>
      <c r="B16" s="33"/>
      <c r="C16" s="33"/>
      <c r="D16" s="590"/>
      <c r="E16" s="186"/>
      <c r="F16" s="15"/>
      <c r="G16" s="347"/>
      <c r="H16" s="141"/>
      <c r="I16" s="141"/>
      <c r="J16" s="429"/>
      <c r="K16" s="146"/>
      <c r="L16" s="116"/>
      <c r="M16" s="503"/>
      <c r="N16" s="503"/>
      <c r="O16" s="503"/>
      <c r="P16" s="340"/>
      <c r="Q16" s="340"/>
      <c r="R16" s="340"/>
      <c r="S16" s="340"/>
      <c r="T16" s="340"/>
      <c r="U16" s="340"/>
      <c r="V16" s="340"/>
      <c r="W16" s="340"/>
      <c r="X16" s="340"/>
      <c r="Y16" s="340"/>
      <c r="Z16" s="340"/>
      <c r="AA16" s="334"/>
      <c r="AB16" s="334"/>
      <c r="AC16" s="334"/>
      <c r="AD16" s="334"/>
      <c r="AE16" s="334"/>
    </row>
    <row r="17" spans="1:31" ht="15">
      <c r="A17" s="688" t="s">
        <v>5796</v>
      </c>
      <c r="B17" s="688"/>
      <c r="C17" s="688"/>
      <c r="D17" s="688"/>
      <c r="E17" s="688"/>
      <c r="F17" s="688"/>
      <c r="G17" s="688"/>
      <c r="H17" s="688"/>
      <c r="I17" s="688"/>
      <c r="J17" s="688"/>
      <c r="K17" s="584"/>
      <c r="L17" s="44"/>
      <c r="M17" s="26">
        <v>1</v>
      </c>
      <c r="N17" s="26">
        <v>2</v>
      </c>
      <c r="O17" s="26">
        <v>3</v>
      </c>
      <c r="P17" s="26">
        <v>4</v>
      </c>
      <c r="Q17" s="26">
        <v>5</v>
      </c>
      <c r="R17" s="26">
        <v>6</v>
      </c>
      <c r="S17" s="26">
        <v>7</v>
      </c>
      <c r="T17" s="26">
        <v>8</v>
      </c>
      <c r="U17" s="26">
        <v>9</v>
      </c>
      <c r="V17" s="26">
        <v>10</v>
      </c>
      <c r="W17" s="26">
        <v>11</v>
      </c>
      <c r="X17" s="26">
        <v>12</v>
      </c>
      <c r="Y17" s="26">
        <v>13</v>
      </c>
      <c r="Z17" s="26">
        <v>14</v>
      </c>
      <c r="AA17" s="334"/>
      <c r="AB17" s="334"/>
      <c r="AC17" s="334"/>
      <c r="AD17" s="334"/>
      <c r="AE17" s="334"/>
    </row>
    <row r="18" spans="1:31" ht="15">
      <c r="A18" s="457" t="s">
        <v>8686</v>
      </c>
      <c r="B18" s="696" t="s">
        <v>8682</v>
      </c>
      <c r="C18" s="697"/>
      <c r="D18" s="697"/>
      <c r="E18" s="697"/>
      <c r="F18" s="697"/>
      <c r="G18" s="697"/>
      <c r="H18" s="697"/>
      <c r="I18" s="697"/>
      <c r="J18" s="697"/>
      <c r="K18" s="505"/>
      <c r="L18" s="518"/>
      <c r="M18" s="506"/>
      <c r="N18" s="506"/>
      <c r="O18" s="506"/>
    </row>
    <row r="19" spans="1:31" s="6" customFormat="1" ht="15">
      <c r="A19" s="573" t="s">
        <v>0</v>
      </c>
      <c r="B19" s="692" t="s">
        <v>7880</v>
      </c>
      <c r="C19" s="693"/>
      <c r="D19" s="23" t="s">
        <v>1</v>
      </c>
      <c r="E19" s="193" t="s">
        <v>134</v>
      </c>
      <c r="F19" s="24" t="s">
        <v>11</v>
      </c>
      <c r="G19" s="351" t="s">
        <v>12</v>
      </c>
      <c r="H19" s="182" t="s">
        <v>6735</v>
      </c>
      <c r="I19" s="182" t="s">
        <v>6736</v>
      </c>
      <c r="J19" s="430" t="s">
        <v>133</v>
      </c>
      <c r="K19" s="508" t="s">
        <v>9264</v>
      </c>
      <c r="L19" s="508" t="s">
        <v>9265</v>
      </c>
      <c r="M19" s="506"/>
      <c r="N19" s="506"/>
      <c r="O19" s="506"/>
      <c r="P19" s="358"/>
      <c r="Q19" s="358"/>
      <c r="R19" s="358"/>
      <c r="S19" s="358"/>
      <c r="T19" s="358"/>
      <c r="U19" s="358"/>
      <c r="V19" s="358"/>
      <c r="W19" s="358"/>
      <c r="X19" s="358"/>
      <c r="Y19" s="358"/>
      <c r="Z19" s="358"/>
    </row>
    <row r="20" spans="1:31" s="6" customFormat="1" ht="15">
      <c r="A20" s="197" t="s">
        <v>8683</v>
      </c>
      <c r="B20" s="699" t="s">
        <v>8684</v>
      </c>
      <c r="C20" s="699"/>
      <c r="D20" s="699"/>
      <c r="E20" s="699"/>
      <c r="F20" s="699"/>
      <c r="G20" s="699"/>
      <c r="H20" s="699"/>
      <c r="I20" s="699"/>
      <c r="J20" s="699"/>
      <c r="K20" s="509"/>
      <c r="L20" s="509"/>
      <c r="M20" s="358"/>
      <c r="N20" s="358"/>
      <c r="O20" s="358"/>
      <c r="P20" s="358"/>
      <c r="Q20" s="358"/>
      <c r="R20" s="358"/>
      <c r="S20" s="358"/>
      <c r="T20" s="358"/>
      <c r="U20" s="358"/>
      <c r="V20" s="358"/>
      <c r="W20" s="358"/>
      <c r="X20" s="358"/>
      <c r="Y20" s="358"/>
      <c r="Z20" s="358"/>
    </row>
    <row r="21" spans="1:31" s="512" customFormat="1" ht="30">
      <c r="A21" s="338" t="s">
        <v>9574</v>
      </c>
      <c r="B21" s="576" t="s">
        <v>6333</v>
      </c>
      <c r="C21" s="576" t="s">
        <v>15373</v>
      </c>
      <c r="D21" s="336" t="s">
        <v>9575</v>
      </c>
      <c r="E21" s="341">
        <f>2*1232.16</f>
        <v>2464.3200000000002</v>
      </c>
      <c r="F21" s="342" t="s">
        <v>6339</v>
      </c>
      <c r="G21" s="352">
        <v>5.75</v>
      </c>
      <c r="H21" s="339">
        <f>ROUND(G21*$B$13,2)</f>
        <v>1.55</v>
      </c>
      <c r="I21" s="339">
        <f>H21+G21</f>
        <v>7.3</v>
      </c>
      <c r="J21" s="431">
        <f>ROUND(I21*E21,2)</f>
        <v>17989.54</v>
      </c>
      <c r="K21" s="510">
        <f>ROUND(G21*E21,2)</f>
        <v>14169.84</v>
      </c>
      <c r="L21" s="510">
        <f>ROUND(H21*E21,2)</f>
        <v>3819.7</v>
      </c>
      <c r="M21" s="519">
        <f>J21</f>
        <v>17989.54</v>
      </c>
      <c r="N21" s="519"/>
      <c r="O21" s="519"/>
      <c r="P21" s="519"/>
      <c r="Q21" s="519"/>
      <c r="R21" s="519"/>
      <c r="S21" s="519"/>
      <c r="T21" s="519"/>
      <c r="U21" s="519"/>
      <c r="V21" s="519"/>
      <c r="W21" s="519"/>
      <c r="X21" s="519"/>
      <c r="Y21" s="519"/>
      <c r="Z21" s="519"/>
    </row>
    <row r="22" spans="1:31" s="6" customFormat="1" ht="15">
      <c r="A22" s="700" t="s">
        <v>8685</v>
      </c>
      <c r="B22" s="700"/>
      <c r="C22" s="700"/>
      <c r="D22" s="700"/>
      <c r="E22" s="700"/>
      <c r="F22" s="700"/>
      <c r="G22" s="700"/>
      <c r="H22" s="700"/>
      <c r="I22" s="700"/>
      <c r="J22" s="432">
        <f>SUM(J20:J21)</f>
        <v>17989.54</v>
      </c>
      <c r="K22" s="513"/>
      <c r="L22" s="117"/>
      <c r="M22" s="514">
        <f>SUM(M20:M21)</f>
        <v>17989.54</v>
      </c>
      <c r="N22" s="514">
        <f>SUM(N20:N21)</f>
        <v>0</v>
      </c>
      <c r="O22" s="514">
        <f t="shared" ref="O22:Z22" si="0">SUM(O20:O21)</f>
        <v>0</v>
      </c>
      <c r="P22" s="514">
        <f t="shared" si="0"/>
        <v>0</v>
      </c>
      <c r="Q22" s="514">
        <f t="shared" si="0"/>
        <v>0</v>
      </c>
      <c r="R22" s="514">
        <f t="shared" si="0"/>
        <v>0</v>
      </c>
      <c r="S22" s="514">
        <f t="shared" si="0"/>
        <v>0</v>
      </c>
      <c r="T22" s="514">
        <f t="shared" si="0"/>
        <v>0</v>
      </c>
      <c r="U22" s="514">
        <f t="shared" si="0"/>
        <v>0</v>
      </c>
      <c r="V22" s="514">
        <f t="shared" si="0"/>
        <v>0</v>
      </c>
      <c r="W22" s="514">
        <f t="shared" si="0"/>
        <v>0</v>
      </c>
      <c r="X22" s="514">
        <f t="shared" si="0"/>
        <v>0</v>
      </c>
      <c r="Y22" s="514">
        <f t="shared" si="0"/>
        <v>0</v>
      </c>
      <c r="Z22" s="514">
        <f t="shared" si="0"/>
        <v>0</v>
      </c>
    </row>
    <row r="23" spans="1:31" s="6" customFormat="1" ht="15">
      <c r="A23" s="29"/>
      <c r="B23" s="29"/>
      <c r="C23" s="29"/>
      <c r="D23" s="29"/>
      <c r="E23" s="189"/>
      <c r="F23" s="29"/>
      <c r="G23" s="353"/>
      <c r="H23" s="28"/>
      <c r="I23" s="28"/>
      <c r="J23" s="433"/>
      <c r="K23" s="155"/>
      <c r="L23" s="117"/>
      <c r="M23" s="358"/>
      <c r="N23" s="358"/>
      <c r="O23" s="358"/>
      <c r="P23" s="358"/>
      <c r="Q23" s="358"/>
      <c r="R23" s="358"/>
      <c r="S23" s="358"/>
      <c r="T23" s="358"/>
      <c r="U23" s="358"/>
      <c r="V23" s="358"/>
      <c r="W23" s="358"/>
      <c r="X23" s="358"/>
      <c r="Y23" s="358"/>
      <c r="Z23" s="358"/>
    </row>
    <row r="24" spans="1:31" s="6" customFormat="1" ht="15">
      <c r="A24" s="197" t="s">
        <v>8687</v>
      </c>
      <c r="B24" s="699" t="s">
        <v>8688</v>
      </c>
      <c r="C24" s="699"/>
      <c r="D24" s="699"/>
      <c r="E24" s="699"/>
      <c r="F24" s="699"/>
      <c r="G24" s="699"/>
      <c r="H24" s="699"/>
      <c r="I24" s="699"/>
      <c r="J24" s="699"/>
      <c r="K24" s="509"/>
      <c r="L24" s="117"/>
      <c r="M24" s="358"/>
      <c r="N24" s="358"/>
      <c r="O24" s="358"/>
      <c r="P24" s="358"/>
      <c r="Q24" s="358"/>
      <c r="R24" s="358"/>
      <c r="S24" s="358"/>
      <c r="T24" s="358"/>
      <c r="U24" s="358"/>
      <c r="V24" s="358"/>
      <c r="W24" s="358"/>
      <c r="X24" s="358"/>
      <c r="Y24" s="358"/>
      <c r="Z24" s="358"/>
    </row>
    <row r="25" spans="1:31" s="512" customFormat="1" ht="30">
      <c r="A25" s="338" t="s">
        <v>8691</v>
      </c>
      <c r="B25" s="576" t="s">
        <v>6333</v>
      </c>
      <c r="C25" s="576" t="s">
        <v>15364</v>
      </c>
      <c r="D25" s="336" t="s">
        <v>8689</v>
      </c>
      <c r="E25" s="341">
        <f>QuantPrédio!J22</f>
        <v>44</v>
      </c>
      <c r="F25" s="342" t="s">
        <v>6337</v>
      </c>
      <c r="G25" s="352">
        <v>62.16</v>
      </c>
      <c r="H25" s="339">
        <f>ROUND(G25*$B$13,2)</f>
        <v>16.739999999999998</v>
      </c>
      <c r="I25" s="339">
        <f>H25+G25</f>
        <v>78.899999999999991</v>
      </c>
      <c r="J25" s="431">
        <f>ROUND(I25*E25,2)</f>
        <v>3471.6</v>
      </c>
      <c r="K25" s="510">
        <f>ROUND(G25*E25,2)</f>
        <v>2735.04</v>
      </c>
      <c r="L25" s="510">
        <f>ROUND(H25*E25,2)</f>
        <v>736.56</v>
      </c>
      <c r="N25" s="519">
        <f>J25</f>
        <v>3471.6</v>
      </c>
      <c r="O25" s="519"/>
      <c r="P25" s="519"/>
      <c r="Q25" s="519"/>
      <c r="R25" s="519"/>
      <c r="S25" s="519"/>
      <c r="T25" s="519"/>
      <c r="U25" s="519"/>
      <c r="V25" s="519"/>
      <c r="W25" s="519"/>
      <c r="X25" s="519"/>
      <c r="Y25" s="519"/>
      <c r="Z25" s="519"/>
    </row>
    <row r="26" spans="1:31" s="512" customFormat="1" ht="60">
      <c r="A26" s="338" t="s">
        <v>9115</v>
      </c>
      <c r="B26" s="576" t="s">
        <v>6333</v>
      </c>
      <c r="C26" s="576">
        <v>11108</v>
      </c>
      <c r="D26" s="336" t="s">
        <v>9590</v>
      </c>
      <c r="E26" s="341">
        <f>ROUNDUP(4*E25+(SUM(E83:E85)/8),0)</f>
        <v>444</v>
      </c>
      <c r="F26" s="342" t="s">
        <v>6337</v>
      </c>
      <c r="G26" s="352">
        <v>5.43</v>
      </c>
      <c r="H26" s="339">
        <f>ROUND(G26*$B$13,2)</f>
        <v>1.46</v>
      </c>
      <c r="I26" s="339">
        <f>H26+G26</f>
        <v>6.89</v>
      </c>
      <c r="J26" s="431">
        <f>ROUND(I26*E26,2)</f>
        <v>3059.16</v>
      </c>
      <c r="K26" s="510">
        <f>ROUND(G26*E26,2)</f>
        <v>2410.92</v>
      </c>
      <c r="L26" s="510">
        <f>ROUND(H26*E26,2)</f>
        <v>648.24</v>
      </c>
      <c r="N26" s="519">
        <f>J26</f>
        <v>3059.16</v>
      </c>
      <c r="O26" s="519"/>
      <c r="P26" s="519"/>
      <c r="Q26" s="519"/>
      <c r="R26" s="519"/>
      <c r="S26" s="519"/>
      <c r="T26" s="519"/>
      <c r="U26" s="519"/>
      <c r="V26" s="519"/>
      <c r="W26" s="519"/>
      <c r="X26" s="519"/>
      <c r="Y26" s="519"/>
      <c r="Z26" s="519"/>
    </row>
    <row r="27" spans="1:31" s="6" customFormat="1" ht="15">
      <c r="A27" s="700" t="s">
        <v>8699</v>
      </c>
      <c r="B27" s="700"/>
      <c r="C27" s="700"/>
      <c r="D27" s="700"/>
      <c r="E27" s="700"/>
      <c r="F27" s="700"/>
      <c r="G27" s="700"/>
      <c r="H27" s="700"/>
      <c r="I27" s="700"/>
      <c r="J27" s="432">
        <f>SUM(J24:J26)</f>
        <v>6530.76</v>
      </c>
      <c r="K27" s="513"/>
      <c r="L27" s="117"/>
      <c r="M27" s="514">
        <f>SUM(M24:M26)</f>
        <v>0</v>
      </c>
      <c r="N27" s="514">
        <f>SUM(N24:N26)</f>
        <v>6530.76</v>
      </c>
      <c r="O27" s="514">
        <f t="shared" ref="O27:Z27" si="1">SUM(O24:O26)</f>
        <v>0</v>
      </c>
      <c r="P27" s="514">
        <f t="shared" si="1"/>
        <v>0</v>
      </c>
      <c r="Q27" s="514">
        <f t="shared" si="1"/>
        <v>0</v>
      </c>
      <c r="R27" s="514">
        <f t="shared" si="1"/>
        <v>0</v>
      </c>
      <c r="S27" s="514">
        <f t="shared" si="1"/>
        <v>0</v>
      </c>
      <c r="T27" s="514">
        <f t="shared" si="1"/>
        <v>0</v>
      </c>
      <c r="U27" s="514">
        <f t="shared" si="1"/>
        <v>0</v>
      </c>
      <c r="V27" s="514">
        <f t="shared" si="1"/>
        <v>0</v>
      </c>
      <c r="W27" s="514">
        <f t="shared" si="1"/>
        <v>0</v>
      </c>
      <c r="X27" s="514">
        <f t="shared" si="1"/>
        <v>0</v>
      </c>
      <c r="Y27" s="514">
        <f t="shared" si="1"/>
        <v>0</v>
      </c>
      <c r="Z27" s="514">
        <f t="shared" si="1"/>
        <v>0</v>
      </c>
    </row>
    <row r="28" spans="1:31" s="6" customFormat="1" ht="15">
      <c r="A28" s="29"/>
      <c r="B28" s="29"/>
      <c r="C28" s="29"/>
      <c r="D28" s="29"/>
      <c r="E28" s="189"/>
      <c r="F28" s="29"/>
      <c r="G28" s="353"/>
      <c r="H28" s="28"/>
      <c r="I28" s="28"/>
      <c r="J28" s="433"/>
      <c r="K28" s="155"/>
      <c r="L28" s="117"/>
      <c r="M28" s="358"/>
      <c r="N28" s="358"/>
      <c r="O28" s="358"/>
      <c r="P28" s="358"/>
      <c r="Q28" s="358"/>
      <c r="R28" s="358"/>
      <c r="S28" s="358"/>
      <c r="T28" s="358"/>
      <c r="U28" s="358"/>
      <c r="V28" s="358"/>
      <c r="W28" s="358"/>
      <c r="X28" s="358"/>
      <c r="Y28" s="358"/>
      <c r="Z28" s="358"/>
    </row>
    <row r="29" spans="1:31" ht="15">
      <c r="A29" s="701" t="s">
        <v>8698</v>
      </c>
      <c r="B29" s="701"/>
      <c r="C29" s="701"/>
      <c r="D29" s="701"/>
      <c r="E29" s="701"/>
      <c r="F29" s="701"/>
      <c r="G29" s="701"/>
      <c r="H29" s="701"/>
      <c r="I29" s="701"/>
      <c r="J29" s="434">
        <f>J27+J22</f>
        <v>24520.300000000003</v>
      </c>
      <c r="K29" s="515"/>
      <c r="M29" s="516">
        <f>M27+M22</f>
        <v>17989.54</v>
      </c>
      <c r="N29" s="516">
        <f t="shared" ref="N29:Z29" si="2">N27+N22</f>
        <v>6530.76</v>
      </c>
      <c r="O29" s="516">
        <f t="shared" si="2"/>
        <v>0</v>
      </c>
      <c r="P29" s="516">
        <f t="shared" si="2"/>
        <v>0</v>
      </c>
      <c r="Q29" s="516">
        <f t="shared" si="2"/>
        <v>0</v>
      </c>
      <c r="R29" s="516">
        <f t="shared" si="2"/>
        <v>0</v>
      </c>
      <c r="S29" s="516">
        <f t="shared" si="2"/>
        <v>0</v>
      </c>
      <c r="T29" s="516">
        <f t="shared" si="2"/>
        <v>0</v>
      </c>
      <c r="U29" s="516">
        <f t="shared" si="2"/>
        <v>0</v>
      </c>
      <c r="V29" s="516">
        <f t="shared" si="2"/>
        <v>0</v>
      </c>
      <c r="W29" s="516">
        <f t="shared" si="2"/>
        <v>0</v>
      </c>
      <c r="X29" s="516">
        <f t="shared" si="2"/>
        <v>0</v>
      </c>
      <c r="Y29" s="516">
        <f t="shared" si="2"/>
        <v>0</v>
      </c>
      <c r="Z29" s="516">
        <f t="shared" si="2"/>
        <v>0</v>
      </c>
    </row>
    <row r="30" spans="1:31" s="6" customFormat="1" ht="15">
      <c r="A30" s="338"/>
      <c r="B30" s="576"/>
      <c r="C30" s="576"/>
      <c r="D30" s="336"/>
      <c r="E30" s="341"/>
      <c r="F30" s="342"/>
      <c r="G30" s="354"/>
      <c r="H30" s="11"/>
      <c r="I30" s="11"/>
      <c r="J30" s="435"/>
      <c r="K30" s="146"/>
      <c r="L30" s="117"/>
      <c r="M30" s="517">
        <f>M29/$J$29</f>
        <v>0.73365904984849284</v>
      </c>
      <c r="N30" s="517">
        <f t="shared" ref="N30:Z30" si="3">N29/$J$29</f>
        <v>0.26634095015150711</v>
      </c>
      <c r="O30" s="517">
        <f t="shared" si="3"/>
        <v>0</v>
      </c>
      <c r="P30" s="517">
        <f t="shared" si="3"/>
        <v>0</v>
      </c>
      <c r="Q30" s="517">
        <f t="shared" si="3"/>
        <v>0</v>
      </c>
      <c r="R30" s="517">
        <f t="shared" si="3"/>
        <v>0</v>
      </c>
      <c r="S30" s="517">
        <f t="shared" si="3"/>
        <v>0</v>
      </c>
      <c r="T30" s="517">
        <f t="shared" si="3"/>
        <v>0</v>
      </c>
      <c r="U30" s="517">
        <f t="shared" si="3"/>
        <v>0</v>
      </c>
      <c r="V30" s="517">
        <f t="shared" si="3"/>
        <v>0</v>
      </c>
      <c r="W30" s="517">
        <f t="shared" si="3"/>
        <v>0</v>
      </c>
      <c r="X30" s="517">
        <f t="shared" si="3"/>
        <v>0</v>
      </c>
      <c r="Y30" s="517">
        <f t="shared" si="3"/>
        <v>0</v>
      </c>
      <c r="Z30" s="517">
        <f t="shared" si="3"/>
        <v>0</v>
      </c>
    </row>
    <row r="31" spans="1:31" ht="15">
      <c r="A31" s="457" t="s">
        <v>2</v>
      </c>
      <c r="B31" s="696" t="s">
        <v>8</v>
      </c>
      <c r="C31" s="697"/>
      <c r="D31" s="697"/>
      <c r="E31" s="697"/>
      <c r="F31" s="697"/>
      <c r="G31" s="697"/>
      <c r="H31" s="697"/>
      <c r="I31" s="697"/>
      <c r="J31" s="697"/>
      <c r="K31" s="505"/>
      <c r="L31" s="518"/>
      <c r="M31" s="506"/>
      <c r="N31" s="506"/>
      <c r="O31" s="506"/>
    </row>
    <row r="32" spans="1:31" s="6" customFormat="1" ht="15">
      <c r="A32" s="573" t="s">
        <v>0</v>
      </c>
      <c r="B32" s="692" t="s">
        <v>7880</v>
      </c>
      <c r="C32" s="693"/>
      <c r="D32" s="23" t="s">
        <v>1</v>
      </c>
      <c r="E32" s="193" t="s">
        <v>134</v>
      </c>
      <c r="F32" s="24" t="s">
        <v>11</v>
      </c>
      <c r="G32" s="351" t="s">
        <v>12</v>
      </c>
      <c r="H32" s="182" t="s">
        <v>6735</v>
      </c>
      <c r="I32" s="182" t="s">
        <v>6736</v>
      </c>
      <c r="J32" s="430" t="s">
        <v>133</v>
      </c>
      <c r="K32" s="508"/>
      <c r="L32" s="518"/>
      <c r="M32" s="506"/>
      <c r="N32" s="506"/>
      <c r="O32" s="506"/>
      <c r="P32" s="358"/>
      <c r="Q32" s="358"/>
      <c r="R32" s="358"/>
      <c r="S32" s="358"/>
      <c r="T32" s="358"/>
      <c r="U32" s="358"/>
      <c r="V32" s="358"/>
      <c r="W32" s="358"/>
      <c r="X32" s="358"/>
      <c r="Y32" s="358"/>
      <c r="Z32" s="358"/>
    </row>
    <row r="33" spans="1:26" s="6" customFormat="1" ht="15">
      <c r="A33" s="197" t="s">
        <v>6733</v>
      </c>
      <c r="B33" s="699" t="s">
        <v>6734</v>
      </c>
      <c r="C33" s="699"/>
      <c r="D33" s="699"/>
      <c r="E33" s="699"/>
      <c r="F33" s="699"/>
      <c r="G33" s="699"/>
      <c r="H33" s="699"/>
      <c r="I33" s="699"/>
      <c r="J33" s="699"/>
      <c r="K33" s="509"/>
      <c r="L33" s="117"/>
      <c r="M33" s="358"/>
      <c r="N33" s="358"/>
      <c r="O33" s="358"/>
      <c r="P33" s="358"/>
      <c r="Q33" s="358"/>
      <c r="R33" s="358"/>
      <c r="S33" s="358"/>
      <c r="T33" s="358"/>
      <c r="U33" s="358"/>
      <c r="V33" s="358"/>
      <c r="W33" s="358"/>
      <c r="X33" s="358"/>
      <c r="Y33" s="358"/>
      <c r="Z33" s="358"/>
    </row>
    <row r="34" spans="1:26" s="512" customFormat="1" ht="45">
      <c r="A34" s="338" t="s">
        <v>5927</v>
      </c>
      <c r="B34" s="576" t="s">
        <v>5256</v>
      </c>
      <c r="C34" s="576">
        <v>99059</v>
      </c>
      <c r="D34" s="336" t="s">
        <v>8980</v>
      </c>
      <c r="E34" s="341">
        <f>QuantPrédio!I29</f>
        <v>201.6</v>
      </c>
      <c r="F34" s="342" t="s">
        <v>6774</v>
      </c>
      <c r="G34" s="352">
        <v>29.86</v>
      </c>
      <c r="H34" s="339">
        <f>ROUND(G34*$B$13,2)</f>
        <v>8.0399999999999991</v>
      </c>
      <c r="I34" s="339">
        <f>H34+G34</f>
        <v>37.9</v>
      </c>
      <c r="J34" s="431">
        <f>ROUND(I34*E34,2)</f>
        <v>7640.64</v>
      </c>
      <c r="K34" s="510">
        <f>ROUND(G34*E34,2)</f>
        <v>6019.78</v>
      </c>
      <c r="L34" s="510">
        <f>ROUND(H34*E34,2)</f>
        <v>1620.86</v>
      </c>
      <c r="M34" s="519"/>
      <c r="N34" s="519">
        <f>J34</f>
        <v>7640.64</v>
      </c>
      <c r="O34" s="519"/>
      <c r="P34" s="519"/>
      <c r="Q34" s="519"/>
      <c r="R34" s="519"/>
      <c r="S34" s="519"/>
      <c r="T34" s="519"/>
      <c r="U34" s="519"/>
      <c r="V34" s="519"/>
      <c r="W34" s="519"/>
      <c r="X34" s="519"/>
      <c r="Y34" s="519"/>
      <c r="Z34" s="519"/>
    </row>
    <row r="35" spans="1:26" s="6" customFormat="1" ht="15">
      <c r="A35" s="700" t="s">
        <v>6738</v>
      </c>
      <c r="B35" s="700"/>
      <c r="C35" s="700"/>
      <c r="D35" s="700"/>
      <c r="E35" s="700"/>
      <c r="F35" s="700"/>
      <c r="G35" s="700"/>
      <c r="H35" s="700"/>
      <c r="I35" s="700"/>
      <c r="J35" s="432">
        <f>SUM(J33:J34)</f>
        <v>7640.64</v>
      </c>
      <c r="K35" s="513"/>
      <c r="L35" s="117"/>
      <c r="M35" s="514">
        <f>SUM(M33:M34)</f>
        <v>0</v>
      </c>
      <c r="N35" s="514">
        <f t="shared" ref="N35:Z35" si="4">SUM(N33:N34)</f>
        <v>7640.64</v>
      </c>
      <c r="O35" s="514">
        <f t="shared" si="4"/>
        <v>0</v>
      </c>
      <c r="P35" s="514">
        <f t="shared" si="4"/>
        <v>0</v>
      </c>
      <c r="Q35" s="514">
        <f t="shared" si="4"/>
        <v>0</v>
      </c>
      <c r="R35" s="514">
        <f t="shared" si="4"/>
        <v>0</v>
      </c>
      <c r="S35" s="514">
        <f t="shared" si="4"/>
        <v>0</v>
      </c>
      <c r="T35" s="514">
        <f t="shared" si="4"/>
        <v>0</v>
      </c>
      <c r="U35" s="514">
        <f t="shared" si="4"/>
        <v>0</v>
      </c>
      <c r="V35" s="514">
        <f t="shared" si="4"/>
        <v>0</v>
      </c>
      <c r="W35" s="514">
        <f t="shared" si="4"/>
        <v>0</v>
      </c>
      <c r="X35" s="514">
        <f t="shared" si="4"/>
        <v>0</v>
      </c>
      <c r="Y35" s="514">
        <f t="shared" si="4"/>
        <v>0</v>
      </c>
      <c r="Z35" s="514">
        <f t="shared" si="4"/>
        <v>0</v>
      </c>
    </row>
    <row r="36" spans="1:26" s="6" customFormat="1" ht="15">
      <c r="A36" s="29"/>
      <c r="B36" s="29"/>
      <c r="C36" s="29"/>
      <c r="D36" s="29"/>
      <c r="E36" s="189"/>
      <c r="F36" s="29"/>
      <c r="G36" s="353"/>
      <c r="H36" s="28"/>
      <c r="I36" s="28"/>
      <c r="J36" s="433"/>
      <c r="K36" s="155"/>
      <c r="L36" s="117"/>
      <c r="M36" s="358"/>
      <c r="N36" s="358"/>
      <c r="O36" s="358"/>
      <c r="P36" s="358"/>
      <c r="Q36" s="358"/>
      <c r="R36" s="358"/>
      <c r="S36" s="358"/>
      <c r="T36" s="358"/>
      <c r="U36" s="358"/>
      <c r="V36" s="358"/>
      <c r="W36" s="358"/>
      <c r="X36" s="358"/>
      <c r="Y36" s="358"/>
      <c r="Z36" s="358"/>
    </row>
    <row r="37" spans="1:26" ht="15">
      <c r="A37" s="701" t="s">
        <v>6742</v>
      </c>
      <c r="B37" s="701"/>
      <c r="C37" s="701"/>
      <c r="D37" s="701"/>
      <c r="E37" s="701"/>
      <c r="F37" s="701"/>
      <c r="G37" s="701"/>
      <c r="H37" s="701"/>
      <c r="I37" s="701"/>
      <c r="J37" s="434">
        <f>J35</f>
        <v>7640.64</v>
      </c>
      <c r="K37" s="515"/>
      <c r="M37" s="516">
        <f>M35</f>
        <v>0</v>
      </c>
      <c r="N37" s="516">
        <f t="shared" ref="N37:Z37" si="5">N35</f>
        <v>7640.64</v>
      </c>
      <c r="O37" s="516">
        <f t="shared" si="5"/>
        <v>0</v>
      </c>
      <c r="P37" s="516">
        <f t="shared" si="5"/>
        <v>0</v>
      </c>
      <c r="Q37" s="516">
        <f t="shared" si="5"/>
        <v>0</v>
      </c>
      <c r="R37" s="516">
        <f t="shared" si="5"/>
        <v>0</v>
      </c>
      <c r="S37" s="516">
        <f t="shared" si="5"/>
        <v>0</v>
      </c>
      <c r="T37" s="516">
        <f t="shared" si="5"/>
        <v>0</v>
      </c>
      <c r="U37" s="516">
        <f t="shared" si="5"/>
        <v>0</v>
      </c>
      <c r="V37" s="516">
        <f t="shared" si="5"/>
        <v>0</v>
      </c>
      <c r="W37" s="516">
        <f t="shared" si="5"/>
        <v>0</v>
      </c>
      <c r="X37" s="516">
        <f t="shared" si="5"/>
        <v>0</v>
      </c>
      <c r="Y37" s="516">
        <f t="shared" si="5"/>
        <v>0</v>
      </c>
      <c r="Z37" s="516">
        <f t="shared" si="5"/>
        <v>0</v>
      </c>
    </row>
    <row r="38" spans="1:26" s="6" customFormat="1" ht="15">
      <c r="A38" s="338"/>
      <c r="B38" s="576"/>
      <c r="C38" s="576"/>
      <c r="D38" s="336"/>
      <c r="E38" s="341"/>
      <c r="F38" s="342"/>
      <c r="G38" s="354"/>
      <c r="H38" s="11"/>
      <c r="I38" s="11"/>
      <c r="J38" s="435"/>
      <c r="K38" s="146"/>
      <c r="L38" s="117"/>
      <c r="M38" s="358"/>
      <c r="N38" s="358"/>
      <c r="O38" s="358"/>
      <c r="P38" s="358"/>
      <c r="Q38" s="358"/>
      <c r="R38" s="358"/>
      <c r="S38" s="358"/>
      <c r="T38" s="358"/>
      <c r="U38" s="358"/>
      <c r="V38" s="358"/>
      <c r="W38" s="358"/>
      <c r="X38" s="358"/>
      <c r="Y38" s="358"/>
      <c r="Z38" s="358"/>
    </row>
    <row r="39" spans="1:26" ht="15">
      <c r="A39" s="457" t="s">
        <v>3</v>
      </c>
      <c r="B39" s="696" t="s">
        <v>5793</v>
      </c>
      <c r="C39" s="697"/>
      <c r="D39" s="697"/>
      <c r="E39" s="697"/>
      <c r="F39" s="697"/>
      <c r="G39" s="697"/>
      <c r="H39" s="697"/>
      <c r="I39" s="697"/>
      <c r="J39" s="697"/>
      <c r="K39" s="505"/>
      <c r="L39" s="518"/>
      <c r="M39" s="506"/>
      <c r="N39" s="506"/>
      <c r="O39" s="506"/>
    </row>
    <row r="40" spans="1:26" s="6" customFormat="1" ht="15">
      <c r="A40" s="573" t="s">
        <v>0</v>
      </c>
      <c r="B40" s="692" t="s">
        <v>5250</v>
      </c>
      <c r="C40" s="693"/>
      <c r="D40" s="23" t="s">
        <v>1</v>
      </c>
      <c r="E40" s="193" t="s">
        <v>134</v>
      </c>
      <c r="F40" s="24" t="s">
        <v>11</v>
      </c>
      <c r="G40" s="351" t="s">
        <v>12</v>
      </c>
      <c r="H40" s="182" t="s">
        <v>6735</v>
      </c>
      <c r="I40" s="182" t="s">
        <v>6736</v>
      </c>
      <c r="J40" s="430" t="s">
        <v>133</v>
      </c>
      <c r="K40" s="508"/>
      <c r="L40" s="518"/>
      <c r="M40" s="506"/>
      <c r="N40" s="506"/>
      <c r="O40" s="506"/>
      <c r="P40" s="358"/>
      <c r="Q40" s="358"/>
      <c r="R40" s="358"/>
      <c r="S40" s="358"/>
      <c r="T40" s="358"/>
      <c r="U40" s="358"/>
      <c r="V40" s="358"/>
      <c r="W40" s="358"/>
      <c r="X40" s="358"/>
      <c r="Y40" s="358"/>
      <c r="Z40" s="358"/>
    </row>
    <row r="41" spans="1:26" s="6" customFormat="1" ht="15">
      <c r="A41" s="197" t="s">
        <v>5930</v>
      </c>
      <c r="B41" s="699" t="s">
        <v>5932</v>
      </c>
      <c r="C41" s="699"/>
      <c r="D41" s="699"/>
      <c r="E41" s="699"/>
      <c r="F41" s="699"/>
      <c r="G41" s="699"/>
      <c r="H41" s="699"/>
      <c r="I41" s="699"/>
      <c r="J41" s="699"/>
      <c r="K41" s="509"/>
      <c r="L41" s="117"/>
      <c r="M41" s="358"/>
      <c r="N41" s="358"/>
      <c r="O41" s="358"/>
      <c r="P41" s="358"/>
      <c r="Q41" s="358"/>
      <c r="R41" s="358"/>
      <c r="S41" s="358"/>
      <c r="T41" s="358"/>
      <c r="U41" s="358"/>
      <c r="V41" s="358"/>
      <c r="W41" s="358"/>
      <c r="X41" s="358"/>
      <c r="Y41" s="358"/>
      <c r="Z41" s="358"/>
    </row>
    <row r="42" spans="1:26" s="6" customFormat="1" ht="15">
      <c r="A42" s="337" t="s">
        <v>5931</v>
      </c>
      <c r="B42" s="698" t="s">
        <v>8583</v>
      </c>
      <c r="C42" s="698"/>
      <c r="D42" s="698"/>
      <c r="E42" s="698"/>
      <c r="F42" s="698"/>
      <c r="G42" s="698"/>
      <c r="H42" s="698"/>
      <c r="I42" s="698"/>
      <c r="J42" s="698"/>
      <c r="K42" s="39"/>
      <c r="L42" s="117"/>
      <c r="M42" s="358"/>
      <c r="N42" s="358"/>
      <c r="O42" s="358"/>
      <c r="P42" s="358"/>
      <c r="Q42" s="358"/>
      <c r="R42" s="358"/>
      <c r="S42" s="358"/>
      <c r="T42" s="358"/>
      <c r="U42" s="358"/>
      <c r="V42" s="358"/>
      <c r="W42" s="358"/>
      <c r="X42" s="358"/>
      <c r="Y42" s="358"/>
      <c r="Z42" s="358"/>
    </row>
    <row r="43" spans="1:26" s="512" customFormat="1" ht="45">
      <c r="A43" s="338" t="s">
        <v>8680</v>
      </c>
      <c r="B43" s="576" t="s">
        <v>5256</v>
      </c>
      <c r="C43" s="576">
        <v>96521</v>
      </c>
      <c r="D43" s="336" t="s">
        <v>8652</v>
      </c>
      <c r="E43" s="341">
        <v>60</v>
      </c>
      <c r="F43" s="342" t="s">
        <v>6741</v>
      </c>
      <c r="G43" s="352">
        <v>24.32</v>
      </c>
      <c r="H43" s="339">
        <f>ROUND(G43*$B$13,2)</f>
        <v>6.55</v>
      </c>
      <c r="I43" s="339">
        <f>H43+G43</f>
        <v>30.87</v>
      </c>
      <c r="J43" s="431">
        <f>ROUND(I43*E43,2)</f>
        <v>1852.2</v>
      </c>
      <c r="K43" s="510">
        <f>ROUND(G43*E43,2)</f>
        <v>1459.2</v>
      </c>
      <c r="L43" s="510">
        <f>ROUND(H43*E43,2)</f>
        <v>393</v>
      </c>
      <c r="M43" s="519"/>
      <c r="N43" s="519">
        <f>0.4*J43</f>
        <v>740.88000000000011</v>
      </c>
      <c r="O43" s="519">
        <f>0.6*J43</f>
        <v>1111.32</v>
      </c>
      <c r="P43" s="519"/>
      <c r="Q43" s="519"/>
      <c r="R43" s="519"/>
      <c r="S43" s="519"/>
      <c r="T43" s="519"/>
      <c r="U43" s="519"/>
      <c r="V43" s="519"/>
      <c r="W43" s="519"/>
      <c r="X43" s="519"/>
      <c r="Y43" s="519"/>
      <c r="Z43" s="519"/>
    </row>
    <row r="44" spans="1:26" s="512" customFormat="1" ht="30">
      <c r="A44" s="338" t="s">
        <v>8681</v>
      </c>
      <c r="B44" s="576" t="s">
        <v>5256</v>
      </c>
      <c r="C44" s="576">
        <v>96525</v>
      </c>
      <c r="D44" s="336" t="s">
        <v>8679</v>
      </c>
      <c r="E44" s="341">
        <f>112.87*1.1</f>
        <v>124.15700000000001</v>
      </c>
      <c r="F44" s="342" t="s">
        <v>6741</v>
      </c>
      <c r="G44" s="352">
        <v>22.56</v>
      </c>
      <c r="H44" s="339">
        <f>ROUND(G44*$B$13,2)</f>
        <v>6.08</v>
      </c>
      <c r="I44" s="339">
        <f>H44+G44</f>
        <v>28.64</v>
      </c>
      <c r="J44" s="431">
        <f>ROUND(I44*E44,2)</f>
        <v>3555.86</v>
      </c>
      <c r="K44" s="510">
        <f>ROUND(G44*E44,2)</f>
        <v>2800.98</v>
      </c>
      <c r="L44" s="510">
        <f>ROUND(H44*E44,2)</f>
        <v>754.87</v>
      </c>
      <c r="M44" s="519"/>
      <c r="N44" s="519">
        <f>0.4*J44</f>
        <v>1422.3440000000001</v>
      </c>
      <c r="O44" s="519">
        <f>0.6*J44</f>
        <v>2133.5160000000001</v>
      </c>
      <c r="P44" s="519"/>
      <c r="Q44" s="519"/>
      <c r="R44" s="519"/>
      <c r="S44" s="519"/>
      <c r="T44" s="519"/>
      <c r="U44" s="519"/>
      <c r="V44" s="519"/>
      <c r="W44" s="519"/>
      <c r="X44" s="519"/>
      <c r="Y44" s="519"/>
      <c r="Z44" s="519"/>
    </row>
    <row r="45" spans="1:26" s="6" customFormat="1" ht="15">
      <c r="A45" s="337" t="s">
        <v>8638</v>
      </c>
      <c r="B45" s="698" t="s">
        <v>8639</v>
      </c>
      <c r="C45" s="698"/>
      <c r="D45" s="698"/>
      <c r="E45" s="698"/>
      <c r="F45" s="698"/>
      <c r="G45" s="698"/>
      <c r="H45" s="698"/>
      <c r="I45" s="698"/>
      <c r="J45" s="698"/>
      <c r="K45" s="39"/>
      <c r="L45" s="117"/>
      <c r="M45" s="358"/>
      <c r="N45" s="358"/>
      <c r="O45" s="358"/>
      <c r="P45" s="358"/>
      <c r="Q45" s="358"/>
      <c r="R45" s="358"/>
      <c r="S45" s="358"/>
      <c r="T45" s="358"/>
      <c r="U45" s="358"/>
      <c r="V45" s="358"/>
      <c r="W45" s="358"/>
      <c r="X45" s="358"/>
      <c r="Y45" s="358"/>
      <c r="Z45" s="358"/>
    </row>
    <row r="46" spans="1:26" s="512" customFormat="1" ht="60">
      <c r="A46" s="338" t="s">
        <v>8640</v>
      </c>
      <c r="B46" s="576" t="s">
        <v>5256</v>
      </c>
      <c r="C46" s="576">
        <v>90810</v>
      </c>
      <c r="D46" s="336" t="s">
        <v>9279</v>
      </c>
      <c r="E46" s="341">
        <f>68*11</f>
        <v>748</v>
      </c>
      <c r="F46" s="342" t="s">
        <v>6774</v>
      </c>
      <c r="G46" s="352">
        <v>98.97</v>
      </c>
      <c r="H46" s="339">
        <f>ROUND(G46*$B$13,2)</f>
        <v>26.65</v>
      </c>
      <c r="I46" s="339">
        <f>H46+G46</f>
        <v>125.62</v>
      </c>
      <c r="J46" s="431">
        <f>ROUND(I46*E46,2)</f>
        <v>93963.76</v>
      </c>
      <c r="K46" s="510">
        <f>ROUND(G46*E46,2)</f>
        <v>74029.56</v>
      </c>
      <c r="L46" s="510">
        <f>ROUND(H46*E46,2)</f>
        <v>19934.2</v>
      </c>
      <c r="M46" s="519"/>
      <c r="N46" s="519">
        <f>0.8*J46</f>
        <v>75171.008000000002</v>
      </c>
      <c r="O46" s="519">
        <f>0.2*J46</f>
        <v>18792.752</v>
      </c>
      <c r="P46" s="519"/>
      <c r="Q46" s="519"/>
      <c r="R46" s="519"/>
      <c r="S46" s="519"/>
      <c r="T46" s="519"/>
      <c r="U46" s="519"/>
      <c r="V46" s="519"/>
      <c r="W46" s="519"/>
      <c r="X46" s="519"/>
      <c r="Y46" s="519"/>
      <c r="Z46" s="519"/>
    </row>
    <row r="47" spans="1:26" s="512" customFormat="1" ht="30">
      <c r="A47" s="338" t="s">
        <v>8642</v>
      </c>
      <c r="B47" s="576" t="s">
        <v>5256</v>
      </c>
      <c r="C47" s="576">
        <v>95577</v>
      </c>
      <c r="D47" s="336" t="s">
        <v>8641</v>
      </c>
      <c r="E47" s="341">
        <v>2355</v>
      </c>
      <c r="F47" s="342" t="s">
        <v>6744</v>
      </c>
      <c r="G47" s="352">
        <v>5.86</v>
      </c>
      <c r="H47" s="339">
        <f>ROUND(G47*$B$13,2)</f>
        <v>1.58</v>
      </c>
      <c r="I47" s="339">
        <f>H47+G47</f>
        <v>7.44</v>
      </c>
      <c r="J47" s="431">
        <f>ROUND(I47*E47,2)</f>
        <v>17521.2</v>
      </c>
      <c r="K47" s="510">
        <f>ROUND(G47*E47,2)</f>
        <v>13800.3</v>
      </c>
      <c r="L47" s="510">
        <f>ROUND(H47*E47,2)</f>
        <v>3720.9</v>
      </c>
      <c r="M47" s="519"/>
      <c r="N47" s="519">
        <f>0.8*J47</f>
        <v>14016.960000000001</v>
      </c>
      <c r="O47" s="519">
        <f>0.2*J47</f>
        <v>3504.2400000000002</v>
      </c>
      <c r="P47" s="519"/>
      <c r="Q47" s="519"/>
      <c r="R47" s="519"/>
      <c r="S47" s="519"/>
      <c r="T47" s="519"/>
      <c r="U47" s="519"/>
      <c r="V47" s="519"/>
      <c r="W47" s="519"/>
      <c r="X47" s="519"/>
      <c r="Y47" s="519"/>
      <c r="Z47" s="519"/>
    </row>
    <row r="48" spans="1:26" s="512" customFormat="1" ht="30">
      <c r="A48" s="338" t="s">
        <v>8643</v>
      </c>
      <c r="B48" s="576" t="s">
        <v>5256</v>
      </c>
      <c r="C48" s="576">
        <v>95584</v>
      </c>
      <c r="D48" s="336" t="s">
        <v>8759</v>
      </c>
      <c r="E48" s="341">
        <v>945</v>
      </c>
      <c r="F48" s="342" t="s">
        <v>6744</v>
      </c>
      <c r="G48" s="352">
        <v>7.48</v>
      </c>
      <c r="H48" s="339">
        <f>ROUND(G48*$B$13,2)</f>
        <v>2.0099999999999998</v>
      </c>
      <c r="I48" s="339">
        <f>H48+G48</f>
        <v>9.49</v>
      </c>
      <c r="J48" s="431">
        <f>ROUND(I48*E48,2)</f>
        <v>8968.0499999999993</v>
      </c>
      <c r="K48" s="510">
        <f>ROUND(G48*E48,2)</f>
        <v>7068.6</v>
      </c>
      <c r="L48" s="510">
        <f>ROUND(H48*E48,2)</f>
        <v>1899.45</v>
      </c>
      <c r="M48" s="519"/>
      <c r="N48" s="519">
        <f>0.8*J48</f>
        <v>7174.44</v>
      </c>
      <c r="O48" s="519">
        <f>0.2*J48</f>
        <v>1793.61</v>
      </c>
      <c r="P48" s="519"/>
      <c r="Q48" s="519"/>
      <c r="R48" s="519"/>
      <c r="S48" s="519"/>
      <c r="T48" s="519"/>
      <c r="U48" s="519"/>
      <c r="V48" s="519"/>
      <c r="W48" s="519"/>
      <c r="X48" s="519"/>
      <c r="Y48" s="519"/>
      <c r="Z48" s="519"/>
    </row>
    <row r="49" spans="1:26" s="512" customFormat="1" ht="30">
      <c r="A49" s="338" t="s">
        <v>8645</v>
      </c>
      <c r="B49" s="576" t="s">
        <v>5256</v>
      </c>
      <c r="C49" s="576">
        <v>95602</v>
      </c>
      <c r="D49" s="336" t="s">
        <v>9280</v>
      </c>
      <c r="E49" s="341">
        <v>68</v>
      </c>
      <c r="F49" s="342" t="s">
        <v>6337</v>
      </c>
      <c r="G49" s="352">
        <v>15.53</v>
      </c>
      <c r="H49" s="339">
        <f>ROUND(G49*$B$13,2)</f>
        <v>4.18</v>
      </c>
      <c r="I49" s="339">
        <f>H49+G49</f>
        <v>19.71</v>
      </c>
      <c r="J49" s="431">
        <f>ROUND(I49*E49,2)</f>
        <v>1340.28</v>
      </c>
      <c r="K49" s="510">
        <f>ROUND(G49*E49,2)</f>
        <v>1056.04</v>
      </c>
      <c r="L49" s="510">
        <f>ROUND(H49*E49,2)</f>
        <v>284.24</v>
      </c>
      <c r="M49" s="519"/>
      <c r="N49" s="519">
        <f>0.8*J49</f>
        <v>1072.2239999999999</v>
      </c>
      <c r="O49" s="519">
        <f>0.2*J49</f>
        <v>268.05599999999998</v>
      </c>
      <c r="P49" s="519"/>
      <c r="Q49" s="519"/>
      <c r="R49" s="519"/>
      <c r="S49" s="519"/>
      <c r="T49" s="519"/>
      <c r="U49" s="519"/>
      <c r="V49" s="519"/>
      <c r="W49" s="519"/>
      <c r="X49" s="519"/>
      <c r="Y49" s="519"/>
      <c r="Z49" s="519"/>
    </row>
    <row r="50" spans="1:26" s="6" customFormat="1" ht="15">
      <c r="A50" s="337" t="s">
        <v>8646</v>
      </c>
      <c r="B50" s="698" t="s">
        <v>8647</v>
      </c>
      <c r="C50" s="698"/>
      <c r="D50" s="698"/>
      <c r="E50" s="698"/>
      <c r="F50" s="698"/>
      <c r="G50" s="698"/>
      <c r="H50" s="698"/>
      <c r="I50" s="698"/>
      <c r="J50" s="698"/>
      <c r="K50" s="39"/>
      <c r="L50" s="117"/>
      <c r="M50" s="358"/>
      <c r="N50" s="358"/>
      <c r="O50" s="358"/>
      <c r="P50" s="358"/>
      <c r="Q50" s="358"/>
      <c r="R50" s="358"/>
      <c r="S50" s="358"/>
      <c r="T50" s="358"/>
      <c r="U50" s="358"/>
      <c r="V50" s="358"/>
      <c r="W50" s="358"/>
      <c r="X50" s="358"/>
      <c r="Y50" s="358"/>
      <c r="Z50" s="358"/>
    </row>
    <row r="51" spans="1:26" s="512" customFormat="1" ht="30">
      <c r="A51" s="338" t="s">
        <v>8648</v>
      </c>
      <c r="B51" s="576" t="s">
        <v>5256</v>
      </c>
      <c r="C51" s="576">
        <v>96619</v>
      </c>
      <c r="D51" s="336" t="s">
        <v>8651</v>
      </c>
      <c r="E51" s="341">
        <f>7*2*2+20*2*0.8</f>
        <v>60</v>
      </c>
      <c r="F51" s="342" t="s">
        <v>6339</v>
      </c>
      <c r="G51" s="352">
        <v>17.8</v>
      </c>
      <c r="H51" s="339">
        <f t="shared" ref="H51:H56" si="6">ROUND(G51*$B$13,2)</f>
        <v>4.79</v>
      </c>
      <c r="I51" s="339">
        <f t="shared" ref="I51:I56" si="7">H51+G51</f>
        <v>22.59</v>
      </c>
      <c r="J51" s="431">
        <f t="shared" ref="J51:J56" si="8">ROUND(I51*E51,2)</f>
        <v>1355.4</v>
      </c>
      <c r="K51" s="510">
        <f>ROUND(G51*E51,2)</f>
        <v>1068</v>
      </c>
      <c r="L51" s="510">
        <f>ROUND(H51*E51,2)</f>
        <v>287.39999999999998</v>
      </c>
      <c r="M51" s="519"/>
      <c r="N51" s="519"/>
      <c r="O51" s="519">
        <f t="shared" ref="O51:O56" si="9">0.4*J51</f>
        <v>542.16000000000008</v>
      </c>
      <c r="P51" s="519">
        <f t="shared" ref="P51:P56" si="10">0.6*J51</f>
        <v>813.24</v>
      </c>
      <c r="Q51" s="519"/>
      <c r="R51" s="519"/>
      <c r="S51" s="519"/>
      <c r="T51" s="519"/>
      <c r="U51" s="519"/>
      <c r="V51" s="519"/>
      <c r="W51" s="519"/>
      <c r="X51" s="519"/>
      <c r="Y51" s="519"/>
      <c r="Z51" s="519"/>
    </row>
    <row r="52" spans="1:26" s="512" customFormat="1" ht="45">
      <c r="A52" s="338" t="s">
        <v>8649</v>
      </c>
      <c r="B52" s="576" t="s">
        <v>5256</v>
      </c>
      <c r="C52" s="576">
        <v>96540</v>
      </c>
      <c r="D52" s="336" t="s">
        <v>8653</v>
      </c>
      <c r="E52" s="341">
        <f>7*4*2*1+20*2*(2*0.8+2*2)</f>
        <v>280</v>
      </c>
      <c r="F52" s="342" t="s">
        <v>6339</v>
      </c>
      <c r="G52" s="352">
        <v>67.760000000000005</v>
      </c>
      <c r="H52" s="339">
        <f t="shared" si="6"/>
        <v>18.25</v>
      </c>
      <c r="I52" s="339">
        <f t="shared" si="7"/>
        <v>86.01</v>
      </c>
      <c r="J52" s="431">
        <f t="shared" si="8"/>
        <v>24082.799999999999</v>
      </c>
      <c r="K52" s="510">
        <f t="shared" ref="K52:K56" si="11">ROUND(G52*E52,2)</f>
        <v>18972.8</v>
      </c>
      <c r="L52" s="510">
        <f t="shared" ref="L52:L56" si="12">ROUND(H52*E52,2)</f>
        <v>5110</v>
      </c>
      <c r="M52" s="519"/>
      <c r="N52" s="519"/>
      <c r="O52" s="519">
        <f t="shared" si="9"/>
        <v>9633.1200000000008</v>
      </c>
      <c r="P52" s="519">
        <f t="shared" si="10"/>
        <v>14449.679999999998</v>
      </c>
      <c r="Q52" s="519"/>
      <c r="R52" s="519"/>
      <c r="S52" s="519"/>
      <c r="T52" s="519"/>
      <c r="U52" s="519"/>
      <c r="V52" s="519"/>
      <c r="W52" s="519"/>
      <c r="X52" s="519"/>
      <c r="Y52" s="519"/>
      <c r="Z52" s="519"/>
    </row>
    <row r="53" spans="1:26" s="512" customFormat="1" ht="30">
      <c r="A53" s="338" t="s">
        <v>8654</v>
      </c>
      <c r="B53" s="576" t="s">
        <v>5256</v>
      </c>
      <c r="C53" s="576">
        <v>96545</v>
      </c>
      <c r="D53" s="336" t="s">
        <v>8657</v>
      </c>
      <c r="E53" s="341">
        <f>406.19/1.1</f>
        <v>369.26363636363635</v>
      </c>
      <c r="F53" s="342" t="s">
        <v>6744</v>
      </c>
      <c r="G53" s="352">
        <v>7.97</v>
      </c>
      <c r="H53" s="339">
        <f t="shared" si="6"/>
        <v>2.15</v>
      </c>
      <c r="I53" s="339">
        <f t="shared" si="7"/>
        <v>10.119999999999999</v>
      </c>
      <c r="J53" s="431">
        <f t="shared" si="8"/>
        <v>3736.95</v>
      </c>
      <c r="K53" s="510">
        <f t="shared" si="11"/>
        <v>2943.03</v>
      </c>
      <c r="L53" s="510">
        <f t="shared" si="12"/>
        <v>793.92</v>
      </c>
      <c r="M53" s="519"/>
      <c r="N53" s="519"/>
      <c r="O53" s="519">
        <f t="shared" si="9"/>
        <v>1494.78</v>
      </c>
      <c r="P53" s="519">
        <f t="shared" si="10"/>
        <v>2242.1699999999996</v>
      </c>
      <c r="Q53" s="519"/>
      <c r="R53" s="519"/>
      <c r="S53" s="519"/>
      <c r="T53" s="519"/>
      <c r="U53" s="519"/>
      <c r="V53" s="519"/>
      <c r="W53" s="519"/>
      <c r="X53" s="519"/>
      <c r="Y53" s="519"/>
      <c r="Z53" s="519"/>
    </row>
    <row r="54" spans="1:26" s="512" customFormat="1" ht="30">
      <c r="A54" s="338" t="s">
        <v>8655</v>
      </c>
      <c r="B54" s="576" t="s">
        <v>5256</v>
      </c>
      <c r="C54" s="576">
        <v>96546</v>
      </c>
      <c r="D54" s="336" t="s">
        <v>8658</v>
      </c>
      <c r="E54" s="341">
        <f>1806.19/1.1</f>
        <v>1641.9909090909091</v>
      </c>
      <c r="F54" s="342" t="s">
        <v>6744</v>
      </c>
      <c r="G54" s="352">
        <v>6.5</v>
      </c>
      <c r="H54" s="339">
        <f t="shared" si="6"/>
        <v>1.75</v>
      </c>
      <c r="I54" s="339">
        <f t="shared" si="7"/>
        <v>8.25</v>
      </c>
      <c r="J54" s="431">
        <f t="shared" si="8"/>
        <v>13546.43</v>
      </c>
      <c r="K54" s="510">
        <f t="shared" si="11"/>
        <v>10672.94</v>
      </c>
      <c r="L54" s="510">
        <f t="shared" si="12"/>
        <v>2873.48</v>
      </c>
      <c r="M54" s="519"/>
      <c r="N54" s="519"/>
      <c r="O54" s="519">
        <f t="shared" si="9"/>
        <v>5418.5720000000001</v>
      </c>
      <c r="P54" s="519">
        <f t="shared" si="10"/>
        <v>8127.8580000000002</v>
      </c>
      <c r="Q54" s="519"/>
      <c r="R54" s="519"/>
      <c r="S54" s="519"/>
      <c r="T54" s="519"/>
      <c r="U54" s="519"/>
      <c r="V54" s="519"/>
      <c r="W54" s="519"/>
      <c r="X54" s="519"/>
      <c r="Y54" s="519"/>
      <c r="Z54" s="519"/>
    </row>
    <row r="55" spans="1:26" s="512" customFormat="1" ht="30">
      <c r="A55" s="338" t="s">
        <v>8656</v>
      </c>
      <c r="B55" s="576" t="s">
        <v>5256</v>
      </c>
      <c r="C55" s="576">
        <v>96548</v>
      </c>
      <c r="D55" s="336" t="s">
        <v>8659</v>
      </c>
      <c r="E55" s="341">
        <f>1453.1/1.1</f>
        <v>1320.9999999999998</v>
      </c>
      <c r="F55" s="342" t="s">
        <v>6744</v>
      </c>
      <c r="G55" s="352">
        <v>5.34</v>
      </c>
      <c r="H55" s="339">
        <f t="shared" si="6"/>
        <v>1.44</v>
      </c>
      <c r="I55" s="339">
        <f t="shared" si="7"/>
        <v>6.7799999999999994</v>
      </c>
      <c r="J55" s="431">
        <f t="shared" si="8"/>
        <v>8956.3799999999992</v>
      </c>
      <c r="K55" s="510">
        <f t="shared" si="11"/>
        <v>7054.14</v>
      </c>
      <c r="L55" s="510">
        <f t="shared" si="12"/>
        <v>1902.24</v>
      </c>
      <c r="M55" s="519"/>
      <c r="N55" s="519"/>
      <c r="O55" s="519">
        <f t="shared" si="9"/>
        <v>3582.5519999999997</v>
      </c>
      <c r="P55" s="519">
        <f t="shared" si="10"/>
        <v>5373.8279999999995</v>
      </c>
      <c r="Q55" s="519"/>
      <c r="R55" s="519"/>
      <c r="S55" s="519"/>
      <c r="T55" s="519"/>
      <c r="U55" s="519"/>
      <c r="V55" s="519"/>
      <c r="W55" s="519"/>
      <c r="X55" s="519"/>
      <c r="Y55" s="519"/>
      <c r="Z55" s="519"/>
    </row>
    <row r="56" spans="1:26" s="512" customFormat="1" ht="45">
      <c r="A56" s="338" t="s">
        <v>8650</v>
      </c>
      <c r="B56" s="576" t="s">
        <v>5256</v>
      </c>
      <c r="C56" s="576" t="s">
        <v>8661</v>
      </c>
      <c r="D56" s="336" t="s">
        <v>8660</v>
      </c>
      <c r="E56" s="341">
        <f>20*2*0.8+7*2*2</f>
        <v>60</v>
      </c>
      <c r="F56" s="342" t="s">
        <v>6741</v>
      </c>
      <c r="G56" s="352">
        <v>272.92999999999995</v>
      </c>
      <c r="H56" s="339">
        <f t="shared" si="6"/>
        <v>73.5</v>
      </c>
      <c r="I56" s="339">
        <f t="shared" si="7"/>
        <v>346.42999999999995</v>
      </c>
      <c r="J56" s="431">
        <f t="shared" si="8"/>
        <v>20785.8</v>
      </c>
      <c r="K56" s="510">
        <f t="shared" si="11"/>
        <v>16375.8</v>
      </c>
      <c r="L56" s="510">
        <f t="shared" si="12"/>
        <v>4410</v>
      </c>
      <c r="M56" s="519"/>
      <c r="N56" s="519"/>
      <c r="O56" s="519">
        <f t="shared" si="9"/>
        <v>8314.32</v>
      </c>
      <c r="P56" s="519">
        <f t="shared" si="10"/>
        <v>12471.48</v>
      </c>
      <c r="Q56" s="519"/>
      <c r="R56" s="519"/>
      <c r="S56" s="519"/>
      <c r="T56" s="519"/>
      <c r="U56" s="519"/>
      <c r="V56" s="519"/>
      <c r="W56" s="519"/>
      <c r="X56" s="519"/>
      <c r="Y56" s="519"/>
      <c r="Z56" s="519"/>
    </row>
    <row r="57" spans="1:26" s="512" customFormat="1" ht="15">
      <c r="A57" s="337" t="s">
        <v>8662</v>
      </c>
      <c r="B57" s="698" t="s">
        <v>8663</v>
      </c>
      <c r="C57" s="698"/>
      <c r="D57" s="698"/>
      <c r="E57" s="698"/>
      <c r="F57" s="698"/>
      <c r="G57" s="698"/>
      <c r="H57" s="698"/>
      <c r="I57" s="698"/>
      <c r="J57" s="698"/>
      <c r="K57" s="39"/>
      <c r="L57" s="521"/>
      <c r="M57" s="519"/>
      <c r="N57" s="519"/>
      <c r="O57" s="519"/>
      <c r="P57" s="519"/>
      <c r="Q57" s="519"/>
      <c r="R57" s="519"/>
      <c r="S57" s="519"/>
      <c r="T57" s="519"/>
      <c r="U57" s="519"/>
      <c r="V57" s="519"/>
      <c r="W57" s="519"/>
      <c r="X57" s="519"/>
      <c r="Y57" s="519"/>
      <c r="Z57" s="519"/>
    </row>
    <row r="58" spans="1:26" s="512" customFormat="1" ht="45">
      <c r="A58" s="338" t="s">
        <v>8665</v>
      </c>
      <c r="B58" s="576" t="s">
        <v>5256</v>
      </c>
      <c r="C58" s="576">
        <v>96542</v>
      </c>
      <c r="D58" s="336" t="s">
        <v>8664</v>
      </c>
      <c r="E58" s="341">
        <f>162.08+1020.78</f>
        <v>1182.8599999999999</v>
      </c>
      <c r="F58" s="342" t="s">
        <v>6339</v>
      </c>
      <c r="G58" s="352">
        <v>48.04</v>
      </c>
      <c r="H58" s="339">
        <f t="shared" ref="H58:H67" si="13">ROUND(G58*$B$13,2)</f>
        <v>12.94</v>
      </c>
      <c r="I58" s="339">
        <f t="shared" ref="I58:I67" si="14">H58+G58</f>
        <v>60.98</v>
      </c>
      <c r="J58" s="431">
        <f t="shared" ref="J58:J67" si="15">ROUND(I58*E58,2)</f>
        <v>72130.8</v>
      </c>
      <c r="K58" s="510">
        <f t="shared" ref="K58:K67" si="16">ROUND(G58*E58,2)</f>
        <v>56824.59</v>
      </c>
      <c r="L58" s="510">
        <f t="shared" ref="L58:L67" si="17">ROUND(H58*E58,2)</f>
        <v>15306.21</v>
      </c>
      <c r="M58" s="519"/>
      <c r="N58" s="519"/>
      <c r="O58" s="519">
        <f t="shared" ref="O58:O67" si="18">0.4*J58</f>
        <v>28852.320000000003</v>
      </c>
      <c r="P58" s="519">
        <f t="shared" ref="P58:P67" si="19">0.6*J58</f>
        <v>43278.48</v>
      </c>
      <c r="Q58" s="519"/>
      <c r="R58" s="519"/>
      <c r="S58" s="519"/>
      <c r="T58" s="519"/>
      <c r="U58" s="519"/>
      <c r="V58" s="519"/>
      <c r="W58" s="519"/>
      <c r="X58" s="519"/>
      <c r="Y58" s="519"/>
      <c r="Z58" s="519"/>
    </row>
    <row r="59" spans="1:26" s="512" customFormat="1" ht="30">
      <c r="A59" s="338" t="s">
        <v>8670</v>
      </c>
      <c r="B59" s="576" t="s">
        <v>5256</v>
      </c>
      <c r="C59" s="576" t="s">
        <v>9579</v>
      </c>
      <c r="D59" s="336" t="s">
        <v>9578</v>
      </c>
      <c r="E59" s="341">
        <f>60.16/1.1</f>
        <v>54.690909090909081</v>
      </c>
      <c r="F59" s="342" t="s">
        <v>6744</v>
      </c>
      <c r="G59" s="352">
        <v>9.9499999999999993</v>
      </c>
      <c r="H59" s="339">
        <f t="shared" si="13"/>
        <v>2.68</v>
      </c>
      <c r="I59" s="339">
        <f t="shared" si="14"/>
        <v>12.629999999999999</v>
      </c>
      <c r="J59" s="431">
        <f t="shared" si="15"/>
        <v>690.75</v>
      </c>
      <c r="K59" s="510">
        <f t="shared" si="16"/>
        <v>544.16999999999996</v>
      </c>
      <c r="L59" s="510">
        <f t="shared" si="17"/>
        <v>146.57</v>
      </c>
      <c r="M59" s="519"/>
      <c r="N59" s="519"/>
      <c r="O59" s="519">
        <f t="shared" si="18"/>
        <v>276.3</v>
      </c>
      <c r="P59" s="519">
        <f t="shared" si="19"/>
        <v>414.45</v>
      </c>
      <c r="Q59" s="519"/>
      <c r="R59" s="519"/>
      <c r="S59" s="519"/>
      <c r="T59" s="519"/>
      <c r="U59" s="519"/>
      <c r="V59" s="519"/>
      <c r="W59" s="519"/>
      <c r="X59" s="519"/>
      <c r="Y59" s="519"/>
      <c r="Z59" s="519"/>
    </row>
    <row r="60" spans="1:26" s="512" customFormat="1" ht="30">
      <c r="A60" s="338" t="s">
        <v>8671</v>
      </c>
      <c r="B60" s="576" t="s">
        <v>5256</v>
      </c>
      <c r="C60" s="576">
        <v>96543</v>
      </c>
      <c r="D60" s="336" t="s">
        <v>8669</v>
      </c>
      <c r="E60" s="341">
        <f>(158.4+163.8+206.6+122.8+87.8+703.46)/1.1</f>
        <v>1311.6909090909091</v>
      </c>
      <c r="F60" s="342" t="s">
        <v>6744</v>
      </c>
      <c r="G60" s="352">
        <v>9.67</v>
      </c>
      <c r="H60" s="339">
        <f t="shared" si="13"/>
        <v>2.6</v>
      </c>
      <c r="I60" s="339">
        <f t="shared" si="14"/>
        <v>12.27</v>
      </c>
      <c r="J60" s="431">
        <f t="shared" si="15"/>
        <v>16094.45</v>
      </c>
      <c r="K60" s="510">
        <f t="shared" si="16"/>
        <v>12684.05</v>
      </c>
      <c r="L60" s="510">
        <f t="shared" si="17"/>
        <v>3410.4</v>
      </c>
      <c r="M60" s="519"/>
      <c r="N60" s="519"/>
      <c r="O60" s="519">
        <f t="shared" si="18"/>
        <v>6437.7800000000007</v>
      </c>
      <c r="P60" s="519">
        <f t="shared" si="19"/>
        <v>9656.67</v>
      </c>
      <c r="Q60" s="519"/>
      <c r="R60" s="519"/>
      <c r="S60" s="519"/>
      <c r="T60" s="519"/>
      <c r="U60" s="519"/>
      <c r="V60" s="519"/>
      <c r="W60" s="519"/>
      <c r="X60" s="519"/>
      <c r="Y60" s="519"/>
      <c r="Z60" s="519"/>
    </row>
    <row r="61" spans="1:26" s="512" customFormat="1" ht="30">
      <c r="A61" s="338" t="s">
        <v>8672</v>
      </c>
      <c r="B61" s="576" t="s">
        <v>5256</v>
      </c>
      <c r="C61" s="576">
        <v>96544</v>
      </c>
      <c r="D61" s="336" t="s">
        <v>8666</v>
      </c>
      <c r="E61" s="341">
        <f>(239.5+254.9+323.1+194.1+138.3+2223.39)/1.1</f>
        <v>3066.6272727272726</v>
      </c>
      <c r="F61" s="342" t="s">
        <v>6744</v>
      </c>
      <c r="G61" s="352">
        <v>8.35</v>
      </c>
      <c r="H61" s="339">
        <f t="shared" si="13"/>
        <v>2.25</v>
      </c>
      <c r="I61" s="339">
        <f t="shared" si="14"/>
        <v>10.6</v>
      </c>
      <c r="J61" s="431">
        <f t="shared" si="15"/>
        <v>32506.25</v>
      </c>
      <c r="K61" s="510">
        <f t="shared" si="16"/>
        <v>25606.34</v>
      </c>
      <c r="L61" s="510">
        <f t="shared" si="17"/>
        <v>6899.91</v>
      </c>
      <c r="M61" s="519"/>
      <c r="N61" s="519"/>
      <c r="O61" s="519">
        <f t="shared" si="18"/>
        <v>13002.5</v>
      </c>
      <c r="P61" s="519">
        <f t="shared" si="19"/>
        <v>19503.75</v>
      </c>
      <c r="Q61" s="519"/>
      <c r="R61" s="519"/>
      <c r="S61" s="519"/>
      <c r="T61" s="519"/>
      <c r="U61" s="519"/>
      <c r="V61" s="519"/>
      <c r="W61" s="519"/>
      <c r="X61" s="519"/>
      <c r="Y61" s="519"/>
      <c r="Z61" s="519"/>
    </row>
    <row r="62" spans="1:26" s="512" customFormat="1" ht="30">
      <c r="A62" s="338" t="s">
        <v>8673</v>
      </c>
      <c r="B62" s="576" t="s">
        <v>5256</v>
      </c>
      <c r="C62" s="576">
        <v>96545</v>
      </c>
      <c r="D62" s="336" t="s">
        <v>8657</v>
      </c>
      <c r="E62" s="341">
        <f>(15.6+11.2+2+7+275.49)/1.1</f>
        <v>282.9909090909091</v>
      </c>
      <c r="F62" s="342" t="s">
        <v>6744</v>
      </c>
      <c r="G62" s="352">
        <v>7.97</v>
      </c>
      <c r="H62" s="339">
        <f t="shared" si="13"/>
        <v>2.15</v>
      </c>
      <c r="I62" s="339">
        <f t="shared" si="14"/>
        <v>10.119999999999999</v>
      </c>
      <c r="J62" s="431">
        <f t="shared" si="15"/>
        <v>2863.87</v>
      </c>
      <c r="K62" s="510">
        <f t="shared" si="16"/>
        <v>2255.44</v>
      </c>
      <c r="L62" s="510">
        <f t="shared" si="17"/>
        <v>608.42999999999995</v>
      </c>
      <c r="M62" s="519"/>
      <c r="N62" s="519"/>
      <c r="O62" s="519">
        <f t="shared" si="18"/>
        <v>1145.548</v>
      </c>
      <c r="P62" s="519">
        <f t="shared" si="19"/>
        <v>1718.3219999999999</v>
      </c>
      <c r="Q62" s="519"/>
      <c r="R62" s="519"/>
      <c r="S62" s="519"/>
      <c r="T62" s="519"/>
      <c r="U62" s="519"/>
      <c r="V62" s="519"/>
      <c r="W62" s="519"/>
      <c r="X62" s="519"/>
      <c r="Y62" s="519"/>
      <c r="Z62" s="519"/>
    </row>
    <row r="63" spans="1:26" s="512" customFormat="1" ht="30">
      <c r="A63" s="338" t="s">
        <v>8674</v>
      </c>
      <c r="B63" s="576" t="s">
        <v>5256</v>
      </c>
      <c r="C63" s="576">
        <v>96546</v>
      </c>
      <c r="D63" s="336" t="s">
        <v>8658</v>
      </c>
      <c r="E63" s="341">
        <f>(50.4+29.5+27.7+35.1+148.11)/1.11</f>
        <v>261.99099099099101</v>
      </c>
      <c r="F63" s="342" t="s">
        <v>6744</v>
      </c>
      <c r="G63" s="352">
        <v>6.5</v>
      </c>
      <c r="H63" s="339">
        <f t="shared" si="13"/>
        <v>1.75</v>
      </c>
      <c r="I63" s="339">
        <f t="shared" si="14"/>
        <v>8.25</v>
      </c>
      <c r="J63" s="431">
        <f t="shared" si="15"/>
        <v>2161.4299999999998</v>
      </c>
      <c r="K63" s="510">
        <f t="shared" si="16"/>
        <v>1702.94</v>
      </c>
      <c r="L63" s="510">
        <f t="shared" si="17"/>
        <v>458.48</v>
      </c>
      <c r="M63" s="519"/>
      <c r="N63" s="519"/>
      <c r="O63" s="519">
        <f t="shared" si="18"/>
        <v>864.572</v>
      </c>
      <c r="P63" s="519">
        <f t="shared" si="19"/>
        <v>1296.8579999999999</v>
      </c>
      <c r="Q63" s="519"/>
      <c r="R63" s="519"/>
      <c r="S63" s="519"/>
      <c r="T63" s="519"/>
      <c r="U63" s="519"/>
      <c r="V63" s="519"/>
      <c r="W63" s="519"/>
      <c r="X63" s="519"/>
      <c r="Y63" s="519"/>
      <c r="Z63" s="519"/>
    </row>
    <row r="64" spans="1:26" s="512" customFormat="1" ht="30">
      <c r="A64" s="338" t="s">
        <v>8675</v>
      </c>
      <c r="B64" s="576" t="s">
        <v>5256</v>
      </c>
      <c r="C64" s="576">
        <v>96547</v>
      </c>
      <c r="D64" s="336" t="s">
        <v>8667</v>
      </c>
      <c r="E64" s="341">
        <f>(148.7+325.3+353.9+254.6+170.7)/1.1</f>
        <v>1139.2727272727273</v>
      </c>
      <c r="F64" s="342" t="s">
        <v>6744</v>
      </c>
      <c r="G64" s="352">
        <v>5.78</v>
      </c>
      <c r="H64" s="339">
        <f t="shared" si="13"/>
        <v>1.56</v>
      </c>
      <c r="I64" s="339">
        <f t="shared" si="14"/>
        <v>7.34</v>
      </c>
      <c r="J64" s="431">
        <f t="shared" si="15"/>
        <v>8362.26</v>
      </c>
      <c r="K64" s="510">
        <f t="shared" si="16"/>
        <v>6585</v>
      </c>
      <c r="L64" s="510">
        <f t="shared" si="17"/>
        <v>1777.27</v>
      </c>
      <c r="M64" s="519"/>
      <c r="N64" s="519"/>
      <c r="O64" s="519">
        <f t="shared" si="18"/>
        <v>3344.9040000000005</v>
      </c>
      <c r="P64" s="519">
        <f t="shared" si="19"/>
        <v>5017.3559999999998</v>
      </c>
      <c r="Q64" s="519"/>
      <c r="R64" s="519"/>
      <c r="S64" s="519"/>
      <c r="T64" s="519"/>
      <c r="U64" s="519"/>
      <c r="V64" s="519"/>
      <c r="W64" s="519"/>
      <c r="X64" s="519"/>
      <c r="Y64" s="519"/>
      <c r="Z64" s="519"/>
    </row>
    <row r="65" spans="1:26" s="512" customFormat="1" ht="30">
      <c r="A65" s="338" t="s">
        <v>8676</v>
      </c>
      <c r="B65" s="576" t="s">
        <v>5256</v>
      </c>
      <c r="C65" s="576">
        <v>96548</v>
      </c>
      <c r="D65" s="336" t="s">
        <v>8659</v>
      </c>
      <c r="E65" s="341">
        <f>(180.3+108+55.4+1449.51)/1.1</f>
        <v>1630.1909090909089</v>
      </c>
      <c r="F65" s="342" t="s">
        <v>6744</v>
      </c>
      <c r="G65" s="352">
        <v>5.34</v>
      </c>
      <c r="H65" s="339">
        <f t="shared" si="13"/>
        <v>1.44</v>
      </c>
      <c r="I65" s="339">
        <f t="shared" si="14"/>
        <v>6.7799999999999994</v>
      </c>
      <c r="J65" s="431">
        <f t="shared" si="15"/>
        <v>11052.69</v>
      </c>
      <c r="K65" s="510">
        <f t="shared" si="16"/>
        <v>8705.2199999999993</v>
      </c>
      <c r="L65" s="510">
        <f t="shared" si="17"/>
        <v>2347.4699999999998</v>
      </c>
      <c r="M65" s="519"/>
      <c r="N65" s="519"/>
      <c r="O65" s="519">
        <f t="shared" si="18"/>
        <v>4421.076</v>
      </c>
      <c r="P65" s="519">
        <f t="shared" si="19"/>
        <v>6631.6140000000005</v>
      </c>
      <c r="Q65" s="519"/>
      <c r="R65" s="519"/>
      <c r="S65" s="519"/>
      <c r="T65" s="519"/>
      <c r="U65" s="519"/>
      <c r="V65" s="519"/>
      <c r="W65" s="519"/>
      <c r="X65" s="519"/>
      <c r="Y65" s="519"/>
      <c r="Z65" s="519"/>
    </row>
    <row r="66" spans="1:26" s="512" customFormat="1" ht="30">
      <c r="A66" s="338" t="s">
        <v>9577</v>
      </c>
      <c r="B66" s="576" t="s">
        <v>5256</v>
      </c>
      <c r="C66" s="576">
        <v>96549</v>
      </c>
      <c r="D66" s="336" t="s">
        <v>8668</v>
      </c>
      <c r="E66" s="341">
        <f>(40.3+2316.05)/1.1</f>
        <v>2142.136363636364</v>
      </c>
      <c r="F66" s="342" t="s">
        <v>6744</v>
      </c>
      <c r="G66" s="352">
        <v>4.8899999999999997</v>
      </c>
      <c r="H66" s="339">
        <f t="shared" si="13"/>
        <v>1.32</v>
      </c>
      <c r="I66" s="339">
        <f t="shared" si="14"/>
        <v>6.21</v>
      </c>
      <c r="J66" s="431">
        <f t="shared" si="15"/>
        <v>13302.67</v>
      </c>
      <c r="K66" s="510">
        <f t="shared" si="16"/>
        <v>10475.049999999999</v>
      </c>
      <c r="L66" s="510">
        <f t="shared" si="17"/>
        <v>2827.62</v>
      </c>
      <c r="M66" s="519"/>
      <c r="N66" s="519"/>
      <c r="O66" s="519">
        <f t="shared" si="18"/>
        <v>5321.0680000000002</v>
      </c>
      <c r="P66" s="519">
        <f t="shared" si="19"/>
        <v>7981.6019999999999</v>
      </c>
      <c r="Q66" s="519"/>
      <c r="R66" s="519"/>
      <c r="S66" s="519"/>
      <c r="T66" s="519"/>
      <c r="U66" s="519"/>
      <c r="V66" s="519"/>
      <c r="W66" s="519"/>
      <c r="X66" s="519"/>
      <c r="Y66" s="519"/>
      <c r="Z66" s="519"/>
    </row>
    <row r="67" spans="1:26" s="512" customFormat="1" ht="45">
      <c r="A67" s="338" t="s">
        <v>8678</v>
      </c>
      <c r="B67" s="576" t="s">
        <v>5256</v>
      </c>
      <c r="C67" s="576">
        <v>96557</v>
      </c>
      <c r="D67" s="336" t="s">
        <v>8677</v>
      </c>
      <c r="E67" s="341">
        <v>112.87</v>
      </c>
      <c r="F67" s="342" t="s">
        <v>6741</v>
      </c>
      <c r="G67" s="352">
        <v>293.04000000000002</v>
      </c>
      <c r="H67" s="339">
        <f t="shared" si="13"/>
        <v>78.92</v>
      </c>
      <c r="I67" s="339">
        <f t="shared" si="14"/>
        <v>371.96000000000004</v>
      </c>
      <c r="J67" s="431">
        <f t="shared" si="15"/>
        <v>41983.13</v>
      </c>
      <c r="K67" s="510">
        <f t="shared" si="16"/>
        <v>33075.42</v>
      </c>
      <c r="L67" s="510">
        <f t="shared" si="17"/>
        <v>8907.7000000000007</v>
      </c>
      <c r="M67" s="519"/>
      <c r="N67" s="519"/>
      <c r="O67" s="519">
        <f t="shared" si="18"/>
        <v>16793.252</v>
      </c>
      <c r="P67" s="519">
        <f t="shared" si="19"/>
        <v>25189.877999999997</v>
      </c>
      <c r="Q67" s="519"/>
      <c r="R67" s="519"/>
      <c r="S67" s="519"/>
      <c r="T67" s="519"/>
      <c r="U67" s="519"/>
      <c r="V67" s="519"/>
      <c r="W67" s="519"/>
      <c r="X67" s="519"/>
      <c r="Y67" s="519"/>
      <c r="Z67" s="519"/>
    </row>
    <row r="68" spans="1:26" s="512" customFormat="1" ht="15">
      <c r="A68" s="337" t="s">
        <v>8802</v>
      </c>
      <c r="B68" s="698" t="s">
        <v>8803</v>
      </c>
      <c r="C68" s="698"/>
      <c r="D68" s="698"/>
      <c r="E68" s="698"/>
      <c r="F68" s="698"/>
      <c r="G68" s="698"/>
      <c r="H68" s="698"/>
      <c r="I68" s="698"/>
      <c r="J68" s="698"/>
      <c r="K68" s="39"/>
      <c r="L68" s="521"/>
      <c r="M68" s="519"/>
      <c r="N68" s="519"/>
      <c r="O68" s="519"/>
      <c r="P68" s="519"/>
      <c r="Q68" s="519"/>
      <c r="R68" s="519"/>
      <c r="S68" s="519"/>
      <c r="T68" s="519"/>
      <c r="U68" s="519"/>
      <c r="V68" s="519"/>
      <c r="W68" s="519"/>
      <c r="X68" s="519"/>
      <c r="Y68" s="519"/>
      <c r="Z68" s="519"/>
    </row>
    <row r="69" spans="1:26" s="512" customFormat="1" ht="45">
      <c r="A69" s="338" t="s">
        <v>8805</v>
      </c>
      <c r="B69" s="576" t="s">
        <v>5256</v>
      </c>
      <c r="C69" s="576">
        <v>98557</v>
      </c>
      <c r="D69" s="336" t="s">
        <v>8804</v>
      </c>
      <c r="E69" s="341">
        <f>QuantPrédio!J38</f>
        <v>1075.99</v>
      </c>
      <c r="F69" s="342" t="s">
        <v>6339</v>
      </c>
      <c r="G69" s="352">
        <v>24.79</v>
      </c>
      <c r="H69" s="339">
        <f>ROUND(G69*$B$13,2)</f>
        <v>6.68</v>
      </c>
      <c r="I69" s="339">
        <f>H69+G69</f>
        <v>31.47</v>
      </c>
      <c r="J69" s="431">
        <f>ROUND(I69*E69,2)</f>
        <v>33861.410000000003</v>
      </c>
      <c r="K69" s="510">
        <f t="shared" ref="K69" si="20">ROUND(G69*E69,2)</f>
        <v>26673.79</v>
      </c>
      <c r="L69" s="510">
        <f t="shared" ref="L69" si="21">ROUND(H69*E69,2)</f>
        <v>7187.61</v>
      </c>
      <c r="M69" s="519"/>
      <c r="N69" s="519"/>
      <c r="O69" s="519"/>
      <c r="P69" s="519">
        <f>J69</f>
        <v>33861.410000000003</v>
      </c>
      <c r="Q69" s="519"/>
      <c r="R69" s="519"/>
      <c r="S69" s="519"/>
      <c r="T69" s="519"/>
      <c r="U69" s="519"/>
      <c r="V69" s="519"/>
      <c r="W69" s="519"/>
      <c r="X69" s="519"/>
      <c r="Y69" s="519"/>
      <c r="Z69" s="519"/>
    </row>
    <row r="70" spans="1:26" s="6" customFormat="1" ht="15">
      <c r="A70" s="700" t="s">
        <v>6743</v>
      </c>
      <c r="B70" s="700"/>
      <c r="C70" s="700"/>
      <c r="D70" s="700"/>
      <c r="E70" s="700"/>
      <c r="F70" s="700"/>
      <c r="G70" s="700"/>
      <c r="H70" s="700"/>
      <c r="I70" s="700"/>
      <c r="J70" s="432">
        <f>SUM(J42:J69)</f>
        <v>434674.81999999995</v>
      </c>
      <c r="K70" s="513"/>
      <c r="L70" s="117"/>
      <c r="M70" s="514">
        <f t="shared" ref="M70:Z70" si="22">SUM(M42:M69)</f>
        <v>0</v>
      </c>
      <c r="N70" s="514">
        <f t="shared" si="22"/>
        <v>99597.856000000014</v>
      </c>
      <c r="O70" s="514">
        <f t="shared" si="22"/>
        <v>137048.318</v>
      </c>
      <c r="P70" s="514">
        <f t="shared" si="22"/>
        <v>198028.64600000001</v>
      </c>
      <c r="Q70" s="514">
        <f t="shared" si="22"/>
        <v>0</v>
      </c>
      <c r="R70" s="514">
        <f t="shared" si="22"/>
        <v>0</v>
      </c>
      <c r="S70" s="514">
        <f t="shared" si="22"/>
        <v>0</v>
      </c>
      <c r="T70" s="514">
        <f t="shared" si="22"/>
        <v>0</v>
      </c>
      <c r="U70" s="514">
        <f t="shared" si="22"/>
        <v>0</v>
      </c>
      <c r="V70" s="514">
        <f t="shared" si="22"/>
        <v>0</v>
      </c>
      <c r="W70" s="514">
        <f t="shared" si="22"/>
        <v>0</v>
      </c>
      <c r="X70" s="514">
        <f t="shared" si="22"/>
        <v>0</v>
      </c>
      <c r="Y70" s="514">
        <f t="shared" si="22"/>
        <v>0</v>
      </c>
      <c r="Z70" s="514">
        <f t="shared" si="22"/>
        <v>0</v>
      </c>
    </row>
    <row r="71" spans="1:26" s="6" customFormat="1" ht="15">
      <c r="A71" s="29"/>
      <c r="B71" s="29"/>
      <c r="C71" s="29"/>
      <c r="D71" s="29"/>
      <c r="E71" s="189"/>
      <c r="F71" s="29"/>
      <c r="G71" s="353"/>
      <c r="H71" s="28"/>
      <c r="I71" s="28"/>
      <c r="J71" s="433"/>
      <c r="K71" s="155"/>
      <c r="L71" s="117"/>
      <c r="M71" s="358"/>
      <c r="N71" s="358"/>
      <c r="O71" s="358"/>
      <c r="P71" s="358"/>
      <c r="Q71" s="358"/>
      <c r="R71" s="358"/>
      <c r="S71" s="358"/>
      <c r="T71" s="358"/>
      <c r="U71" s="358"/>
      <c r="V71" s="358"/>
      <c r="W71" s="358"/>
      <c r="X71" s="358"/>
      <c r="Y71" s="358"/>
      <c r="Z71" s="358"/>
    </row>
    <row r="72" spans="1:26" s="6" customFormat="1" ht="15">
      <c r="A72" s="197" t="s">
        <v>5802</v>
      </c>
      <c r="B72" s="699" t="s">
        <v>5803</v>
      </c>
      <c r="C72" s="699"/>
      <c r="D72" s="699"/>
      <c r="E72" s="699"/>
      <c r="F72" s="699"/>
      <c r="G72" s="699"/>
      <c r="H72" s="699"/>
      <c r="I72" s="699"/>
      <c r="J72" s="699"/>
      <c r="K72" s="509"/>
      <c r="L72" s="117"/>
      <c r="M72" s="358"/>
      <c r="N72" s="358"/>
      <c r="O72" s="358"/>
      <c r="P72" s="358"/>
      <c r="Q72" s="358"/>
      <c r="R72" s="358"/>
      <c r="S72" s="358"/>
      <c r="T72" s="358"/>
      <c r="U72" s="358"/>
      <c r="V72" s="358"/>
      <c r="W72" s="358"/>
      <c r="X72" s="358"/>
      <c r="Y72" s="358"/>
      <c r="Z72" s="358"/>
    </row>
    <row r="73" spans="1:26" s="6" customFormat="1" ht="15">
      <c r="A73" s="337" t="s">
        <v>6174</v>
      </c>
      <c r="B73" s="698" t="s">
        <v>6745</v>
      </c>
      <c r="C73" s="698"/>
      <c r="D73" s="698"/>
      <c r="E73" s="698"/>
      <c r="F73" s="698"/>
      <c r="G73" s="698"/>
      <c r="H73" s="698"/>
      <c r="I73" s="698"/>
      <c r="J73" s="698"/>
      <c r="K73" s="39"/>
      <c r="L73" s="117"/>
      <c r="M73" s="358"/>
      <c r="N73" s="358"/>
      <c r="O73" s="358"/>
      <c r="P73" s="358"/>
      <c r="Q73" s="358"/>
      <c r="R73" s="358"/>
      <c r="S73" s="358"/>
      <c r="T73" s="358"/>
      <c r="U73" s="358"/>
      <c r="V73" s="358"/>
      <c r="W73" s="358"/>
      <c r="X73" s="358"/>
      <c r="Y73" s="358"/>
      <c r="Z73" s="358"/>
    </row>
    <row r="74" spans="1:26" s="512" customFormat="1" ht="60">
      <c r="A74" s="338" t="s">
        <v>6751</v>
      </c>
      <c r="B74" s="576" t="s">
        <v>5256</v>
      </c>
      <c r="C74" s="576">
        <v>95941</v>
      </c>
      <c r="D74" s="336" t="s">
        <v>6746</v>
      </c>
      <c r="E74" s="341">
        <f>QuantPrédio!J53</f>
        <v>38.619999999999997</v>
      </c>
      <c r="F74" s="342" t="s">
        <v>6339</v>
      </c>
      <c r="G74" s="352">
        <v>82.23</v>
      </c>
      <c r="H74" s="339">
        <f>ROUND(G74*$B$13,2)</f>
        <v>22.14</v>
      </c>
      <c r="I74" s="339">
        <f>H74+G74</f>
        <v>104.37</v>
      </c>
      <c r="J74" s="431">
        <f>ROUND(I74*E74,2)</f>
        <v>4030.77</v>
      </c>
      <c r="K74" s="510">
        <f t="shared" ref="K74:K77" si="23">ROUND(G74*E74,2)</f>
        <v>3175.72</v>
      </c>
      <c r="L74" s="510">
        <f t="shared" ref="L74:L77" si="24">ROUND(H74*E74,2)</f>
        <v>855.05</v>
      </c>
      <c r="M74" s="519"/>
      <c r="N74" s="519"/>
      <c r="O74" s="519"/>
      <c r="P74" s="519"/>
      <c r="Q74" s="519"/>
      <c r="R74" s="519">
        <f>J74</f>
        <v>4030.77</v>
      </c>
      <c r="S74" s="519"/>
      <c r="T74" s="519"/>
      <c r="U74" s="519"/>
      <c r="V74" s="519"/>
      <c r="W74" s="519"/>
      <c r="X74" s="519"/>
      <c r="Y74" s="519"/>
      <c r="Z74" s="519"/>
    </row>
    <row r="75" spans="1:26" s="512" customFormat="1" ht="45">
      <c r="A75" s="338" t="s">
        <v>7886</v>
      </c>
      <c r="B75" s="576" t="s">
        <v>5256</v>
      </c>
      <c r="C75" s="576">
        <v>95946</v>
      </c>
      <c r="D75" s="336" t="s">
        <v>6747</v>
      </c>
      <c r="E75" s="341">
        <f>2*353/1.1</f>
        <v>641.81818181818176</v>
      </c>
      <c r="F75" s="342" t="s">
        <v>6744</v>
      </c>
      <c r="G75" s="352">
        <v>6.34</v>
      </c>
      <c r="H75" s="339">
        <f>ROUND(G75*$B$13,2)</f>
        <v>1.71</v>
      </c>
      <c r="I75" s="339">
        <f>H75+G75</f>
        <v>8.0500000000000007</v>
      </c>
      <c r="J75" s="431">
        <f>ROUND(I75*E75,2)</f>
        <v>5166.6400000000003</v>
      </c>
      <c r="K75" s="510">
        <f t="shared" si="23"/>
        <v>4069.13</v>
      </c>
      <c r="L75" s="510">
        <f t="shared" si="24"/>
        <v>1097.51</v>
      </c>
      <c r="M75" s="519"/>
      <c r="N75" s="519"/>
      <c r="O75" s="519"/>
      <c r="P75" s="519"/>
      <c r="Q75" s="519"/>
      <c r="R75" s="519">
        <f>J75</f>
        <v>5166.6400000000003</v>
      </c>
      <c r="S75" s="519"/>
      <c r="T75" s="519"/>
      <c r="U75" s="519"/>
      <c r="V75" s="519"/>
      <c r="W75" s="519"/>
      <c r="X75" s="519"/>
      <c r="Y75" s="519"/>
      <c r="Z75" s="519"/>
    </row>
    <row r="76" spans="1:26" s="512" customFormat="1" ht="45">
      <c r="A76" s="338" t="s">
        <v>7887</v>
      </c>
      <c r="B76" s="576" t="s">
        <v>5256</v>
      </c>
      <c r="C76" s="576">
        <v>95947</v>
      </c>
      <c r="D76" s="336" t="s">
        <v>6748</v>
      </c>
      <c r="E76" s="341">
        <f>2*134/1.1</f>
        <v>243.63636363636363</v>
      </c>
      <c r="F76" s="342" t="s">
        <v>6744</v>
      </c>
      <c r="G76" s="352">
        <v>5.15</v>
      </c>
      <c r="H76" s="339">
        <f>ROUND(G76*$B$13,2)</f>
        <v>1.39</v>
      </c>
      <c r="I76" s="339">
        <f>H76+G76</f>
        <v>6.54</v>
      </c>
      <c r="J76" s="431">
        <f>ROUND(I76*E76,2)</f>
        <v>1593.38</v>
      </c>
      <c r="K76" s="510">
        <f t="shared" si="23"/>
        <v>1254.73</v>
      </c>
      <c r="L76" s="510">
        <f t="shared" si="24"/>
        <v>338.65</v>
      </c>
      <c r="M76" s="519"/>
      <c r="N76" s="519"/>
      <c r="O76" s="519"/>
      <c r="P76" s="519"/>
      <c r="Q76" s="519"/>
      <c r="R76" s="519">
        <f>J76</f>
        <v>1593.38</v>
      </c>
      <c r="S76" s="519"/>
      <c r="T76" s="519"/>
      <c r="U76" s="519"/>
      <c r="V76" s="519"/>
      <c r="W76" s="519"/>
      <c r="X76" s="519"/>
      <c r="Y76" s="519"/>
      <c r="Z76" s="519"/>
    </row>
    <row r="77" spans="1:26" s="512" customFormat="1" ht="30">
      <c r="A77" s="338" t="s">
        <v>6752</v>
      </c>
      <c r="B77" s="576" t="s">
        <v>5256</v>
      </c>
      <c r="C77" s="576" t="s">
        <v>15565</v>
      </c>
      <c r="D77" s="336" t="s">
        <v>6749</v>
      </c>
      <c r="E77" s="341">
        <f>QuantPrédio!K64</f>
        <v>6.32</v>
      </c>
      <c r="F77" s="342" t="s">
        <v>6741</v>
      </c>
      <c r="G77" s="352">
        <v>250.52999999999997</v>
      </c>
      <c r="H77" s="339">
        <f>ROUND(G77*$B$13,2)</f>
        <v>67.47</v>
      </c>
      <c r="I77" s="339">
        <f>H77+G77</f>
        <v>318</v>
      </c>
      <c r="J77" s="431">
        <f>ROUND(I77*E77,2)</f>
        <v>2009.76</v>
      </c>
      <c r="K77" s="510">
        <f t="shared" si="23"/>
        <v>1583.35</v>
      </c>
      <c r="L77" s="510">
        <f t="shared" si="24"/>
        <v>426.41</v>
      </c>
      <c r="M77" s="519"/>
      <c r="N77" s="519"/>
      <c r="O77" s="519"/>
      <c r="P77" s="519"/>
      <c r="Q77" s="519"/>
      <c r="R77" s="519">
        <f>J77</f>
        <v>2009.76</v>
      </c>
      <c r="S77" s="519"/>
      <c r="T77" s="519"/>
      <c r="U77" s="519"/>
      <c r="V77" s="519"/>
      <c r="W77" s="519"/>
      <c r="X77" s="519"/>
      <c r="Y77" s="519"/>
      <c r="Z77" s="519"/>
    </row>
    <row r="78" spans="1:26" s="512" customFormat="1" ht="15">
      <c r="A78" s="337" t="s">
        <v>6971</v>
      </c>
      <c r="B78" s="698" t="s">
        <v>6972</v>
      </c>
      <c r="C78" s="698"/>
      <c r="D78" s="698"/>
      <c r="E78" s="698"/>
      <c r="F78" s="698"/>
      <c r="G78" s="698"/>
      <c r="H78" s="698"/>
      <c r="I78" s="698"/>
      <c r="J78" s="698"/>
      <c r="K78" s="39"/>
      <c r="L78" s="521"/>
      <c r="M78" s="519"/>
      <c r="N78" s="519"/>
      <c r="O78" s="519"/>
      <c r="P78" s="519"/>
      <c r="Q78" s="519"/>
      <c r="R78" s="519"/>
      <c r="S78" s="519"/>
      <c r="T78" s="519"/>
      <c r="U78" s="519"/>
      <c r="V78" s="519"/>
      <c r="W78" s="519"/>
      <c r="X78" s="519"/>
      <c r="Y78" s="519"/>
      <c r="Z78" s="519"/>
    </row>
    <row r="79" spans="1:26" s="512" customFormat="1" ht="75">
      <c r="A79" s="338" t="s">
        <v>6973</v>
      </c>
      <c r="B79" s="576" t="s">
        <v>5256</v>
      </c>
      <c r="C79" s="576">
        <v>92443</v>
      </c>
      <c r="D79" s="336" t="s">
        <v>6975</v>
      </c>
      <c r="E79" s="341">
        <f>QuantPrédio!J146</f>
        <v>591.16999999999996</v>
      </c>
      <c r="F79" s="342" t="s">
        <v>6339</v>
      </c>
      <c r="G79" s="352">
        <v>23.66</v>
      </c>
      <c r="H79" s="339">
        <f>ROUND(G79*$B$13,2)</f>
        <v>6.37</v>
      </c>
      <c r="I79" s="339">
        <f>H79+G79</f>
        <v>30.03</v>
      </c>
      <c r="J79" s="431">
        <f>ROUND(I79*E79,2)</f>
        <v>17752.84</v>
      </c>
      <c r="K79" s="510">
        <f t="shared" ref="K79:K81" si="25">ROUND(G79*E79,2)</f>
        <v>13987.08</v>
      </c>
      <c r="L79" s="510">
        <f t="shared" ref="L79:L81" si="26">ROUND(H79*E79,2)</f>
        <v>3765.75</v>
      </c>
      <c r="M79" s="519"/>
      <c r="N79" s="519"/>
      <c r="O79" s="519"/>
      <c r="P79" s="519"/>
      <c r="Q79" s="519"/>
      <c r="R79" s="519"/>
      <c r="S79" s="519"/>
      <c r="T79" s="519">
        <f>J79</f>
        <v>17752.84</v>
      </c>
      <c r="U79" s="519"/>
      <c r="V79" s="519"/>
      <c r="W79" s="519"/>
      <c r="X79" s="519"/>
      <c r="Y79" s="519"/>
      <c r="Z79" s="519"/>
    </row>
    <row r="80" spans="1:26" s="512" customFormat="1" ht="45">
      <c r="A80" s="338" t="s">
        <v>9551</v>
      </c>
      <c r="B80" s="576" t="s">
        <v>5256</v>
      </c>
      <c r="C80" s="576">
        <v>85662</v>
      </c>
      <c r="D80" s="336" t="s">
        <v>15374</v>
      </c>
      <c r="E80" s="341">
        <f>QuantPrédio!J115</f>
        <v>400.24600000000004</v>
      </c>
      <c r="F80" s="342" t="s">
        <v>6744</v>
      </c>
      <c r="G80" s="352">
        <v>8.89</v>
      </c>
      <c r="H80" s="339">
        <f>ROUND(G80*$B$13,2)</f>
        <v>2.39</v>
      </c>
      <c r="I80" s="339">
        <f>H80+G80</f>
        <v>11.280000000000001</v>
      </c>
      <c r="J80" s="431">
        <f>ROUND(I80*E80,2)</f>
        <v>4514.7700000000004</v>
      </c>
      <c r="K80" s="510">
        <f t="shared" si="25"/>
        <v>3558.19</v>
      </c>
      <c r="L80" s="510">
        <f t="shared" si="26"/>
        <v>956.59</v>
      </c>
      <c r="M80" s="519"/>
      <c r="N80" s="519"/>
      <c r="O80" s="519"/>
      <c r="P80" s="519"/>
      <c r="Q80" s="519"/>
      <c r="R80" s="519"/>
      <c r="S80" s="519"/>
      <c r="T80" s="519">
        <f>J80</f>
        <v>4514.7700000000004</v>
      </c>
      <c r="U80" s="519"/>
      <c r="V80" s="519"/>
      <c r="W80" s="519"/>
      <c r="X80" s="519"/>
      <c r="Y80" s="519"/>
      <c r="Z80" s="519"/>
    </row>
    <row r="81" spans="1:26" s="512" customFormat="1" ht="45">
      <c r="A81" s="338" t="s">
        <v>6977</v>
      </c>
      <c r="B81" s="576" t="s">
        <v>5256</v>
      </c>
      <c r="C81" s="576">
        <v>94969</v>
      </c>
      <c r="D81" s="336" t="s">
        <v>6976</v>
      </c>
      <c r="E81" s="341">
        <f>QuantPrédio!K178</f>
        <v>26.69</v>
      </c>
      <c r="F81" s="342" t="s">
        <v>6741</v>
      </c>
      <c r="G81" s="352">
        <v>228.84</v>
      </c>
      <c r="H81" s="339">
        <f>ROUND(G81*$B$13,2)</f>
        <v>61.63</v>
      </c>
      <c r="I81" s="339">
        <f>H81+G81</f>
        <v>290.47000000000003</v>
      </c>
      <c r="J81" s="431">
        <f>ROUND(I81*E81,2)</f>
        <v>7752.64</v>
      </c>
      <c r="K81" s="510">
        <f t="shared" si="25"/>
        <v>6107.74</v>
      </c>
      <c r="L81" s="510">
        <f t="shared" si="26"/>
        <v>1644.9</v>
      </c>
      <c r="M81" s="519"/>
      <c r="N81" s="519"/>
      <c r="O81" s="519"/>
      <c r="P81" s="519"/>
      <c r="Q81" s="519"/>
      <c r="R81" s="519"/>
      <c r="S81" s="519"/>
      <c r="T81" s="519">
        <f>J81</f>
        <v>7752.64</v>
      </c>
      <c r="U81" s="519"/>
      <c r="V81" s="519"/>
      <c r="W81" s="519"/>
      <c r="X81" s="519"/>
      <c r="Y81" s="519"/>
      <c r="Z81" s="519"/>
    </row>
    <row r="82" spans="1:26" s="512" customFormat="1" ht="15">
      <c r="A82" s="337" t="s">
        <v>6755</v>
      </c>
      <c r="B82" s="698" t="s">
        <v>6756</v>
      </c>
      <c r="C82" s="698"/>
      <c r="D82" s="698"/>
      <c r="E82" s="698"/>
      <c r="F82" s="698"/>
      <c r="G82" s="698"/>
      <c r="H82" s="698"/>
      <c r="I82" s="698"/>
      <c r="J82" s="698"/>
      <c r="K82" s="39"/>
      <c r="L82" s="521"/>
      <c r="M82" s="519"/>
      <c r="N82" s="519"/>
      <c r="O82" s="519"/>
      <c r="P82" s="519"/>
      <c r="Q82" s="519"/>
      <c r="R82" s="519"/>
      <c r="S82" s="519"/>
      <c r="T82" s="519"/>
      <c r="U82" s="519"/>
      <c r="V82" s="519"/>
      <c r="W82" s="519"/>
      <c r="X82" s="519"/>
      <c r="Y82" s="519"/>
      <c r="Z82" s="519"/>
    </row>
    <row r="83" spans="1:26" s="512" customFormat="1" ht="30">
      <c r="A83" s="338" t="s">
        <v>6757</v>
      </c>
      <c r="B83" s="576" t="s">
        <v>6753</v>
      </c>
      <c r="C83" s="576" t="s">
        <v>6754</v>
      </c>
      <c r="D83" s="336" t="s">
        <v>9653</v>
      </c>
      <c r="E83" s="341">
        <f>QuantPrédio!K73</f>
        <v>31.76</v>
      </c>
      <c r="F83" s="342" t="s">
        <v>6741</v>
      </c>
      <c r="G83" s="352">
        <v>1951.4299999999994</v>
      </c>
      <c r="H83" s="339">
        <f>ROUND(G83*$B$13,2)</f>
        <v>525.52</v>
      </c>
      <c r="I83" s="339">
        <f>H83+G83</f>
        <v>2476.9499999999994</v>
      </c>
      <c r="J83" s="431">
        <f>ROUND(I83*E83,2)</f>
        <v>78667.929999999993</v>
      </c>
      <c r="K83" s="510">
        <f t="shared" ref="K83:K85" si="27">ROUND(G83*E83,2)</f>
        <v>61977.42</v>
      </c>
      <c r="L83" s="510">
        <f t="shared" ref="L83:L85" si="28">ROUND(H83*E83,2)</f>
        <v>16690.52</v>
      </c>
      <c r="M83" s="519"/>
      <c r="N83" s="519"/>
      <c r="O83" s="519"/>
      <c r="P83" s="519"/>
      <c r="Q83" s="519">
        <f>J83*0.5</f>
        <v>39333.964999999997</v>
      </c>
      <c r="R83" s="519">
        <f>0.5*J83</f>
        <v>39333.964999999997</v>
      </c>
      <c r="S83" s="519"/>
      <c r="T83" s="519"/>
      <c r="U83" s="519"/>
      <c r="V83" s="519"/>
      <c r="W83" s="519"/>
      <c r="X83" s="519"/>
      <c r="Y83" s="519"/>
      <c r="Z83" s="519"/>
    </row>
    <row r="84" spans="1:26" s="512" customFormat="1" ht="30">
      <c r="A84" s="338" t="s">
        <v>6758</v>
      </c>
      <c r="B84" s="576" t="s">
        <v>6753</v>
      </c>
      <c r="C84" s="576" t="s">
        <v>9663</v>
      </c>
      <c r="D84" s="336" t="s">
        <v>9652</v>
      </c>
      <c r="E84" s="341">
        <f>QuantPrédio!K81</f>
        <v>175.08</v>
      </c>
      <c r="F84" s="342" t="s">
        <v>6741</v>
      </c>
      <c r="G84" s="352">
        <v>2406.2700000000004</v>
      </c>
      <c r="H84" s="339">
        <f>ROUND(G84*$B$13,2)</f>
        <v>648.01</v>
      </c>
      <c r="I84" s="339">
        <f>H84+G84</f>
        <v>3054.2800000000007</v>
      </c>
      <c r="J84" s="431">
        <f>ROUND(I84*E84,2)</f>
        <v>534743.34</v>
      </c>
      <c r="K84" s="510">
        <f t="shared" si="27"/>
        <v>421289.75</v>
      </c>
      <c r="L84" s="510">
        <f t="shared" si="28"/>
        <v>113453.59</v>
      </c>
      <c r="M84" s="519"/>
      <c r="N84" s="519"/>
      <c r="O84" s="519"/>
      <c r="P84" s="519"/>
      <c r="Q84" s="519">
        <f>J84*0.5</f>
        <v>267371.67</v>
      </c>
      <c r="R84" s="519">
        <f>0.5*J84</f>
        <v>267371.67</v>
      </c>
      <c r="S84" s="519"/>
      <c r="T84" s="519"/>
      <c r="U84" s="519"/>
      <c r="V84" s="519"/>
      <c r="W84" s="519"/>
      <c r="X84" s="519"/>
      <c r="Y84" s="519"/>
      <c r="Z84" s="519"/>
    </row>
    <row r="85" spans="1:26" s="512" customFormat="1" ht="45">
      <c r="A85" s="338" t="s">
        <v>6759</v>
      </c>
      <c r="B85" s="576" t="s">
        <v>6753</v>
      </c>
      <c r="C85" s="576" t="s">
        <v>9662</v>
      </c>
      <c r="D85" s="336" t="s">
        <v>9654</v>
      </c>
      <c r="E85" s="341">
        <f>QuantPrédio!J89</f>
        <v>1931.39</v>
      </c>
      <c r="F85" s="342" t="s">
        <v>6339</v>
      </c>
      <c r="G85" s="352">
        <v>171.91</v>
      </c>
      <c r="H85" s="339">
        <f>ROUND(G85*$B$13,2)</f>
        <v>46.3</v>
      </c>
      <c r="I85" s="339">
        <f>H85+G85</f>
        <v>218.20999999999998</v>
      </c>
      <c r="J85" s="431">
        <f>ROUND(I85*E85,2)</f>
        <v>421448.61</v>
      </c>
      <c r="K85" s="510">
        <f t="shared" si="27"/>
        <v>332025.25</v>
      </c>
      <c r="L85" s="510">
        <f t="shared" si="28"/>
        <v>89423.360000000001</v>
      </c>
      <c r="M85" s="519"/>
      <c r="N85" s="519"/>
      <c r="O85" s="519"/>
      <c r="P85" s="519"/>
      <c r="Q85" s="519">
        <f>J85*0.5</f>
        <v>210724.30499999999</v>
      </c>
      <c r="R85" s="519">
        <f>0.5*J85</f>
        <v>210724.30499999999</v>
      </c>
      <c r="S85" s="519"/>
      <c r="T85" s="519"/>
      <c r="U85" s="519"/>
      <c r="V85" s="519"/>
      <c r="W85" s="519"/>
      <c r="X85" s="519"/>
      <c r="Y85" s="519"/>
      <c r="Z85" s="519"/>
    </row>
    <row r="86" spans="1:26" s="6" customFormat="1" ht="15">
      <c r="A86" s="700" t="s">
        <v>6763</v>
      </c>
      <c r="B86" s="700"/>
      <c r="C86" s="700"/>
      <c r="D86" s="700"/>
      <c r="E86" s="700"/>
      <c r="F86" s="700"/>
      <c r="G86" s="700"/>
      <c r="H86" s="700"/>
      <c r="I86" s="700"/>
      <c r="J86" s="432">
        <f>SUM(J72:J85)</f>
        <v>1077680.68</v>
      </c>
      <c r="K86" s="513"/>
      <c r="L86" s="117"/>
      <c r="M86" s="514">
        <f t="shared" ref="M86:Z86" si="29">SUM(M72:M85)</f>
        <v>0</v>
      </c>
      <c r="N86" s="514">
        <f t="shared" si="29"/>
        <v>0</v>
      </c>
      <c r="O86" s="514">
        <f t="shared" si="29"/>
        <v>0</v>
      </c>
      <c r="P86" s="514">
        <f t="shared" si="29"/>
        <v>0</v>
      </c>
      <c r="Q86" s="514">
        <f t="shared" si="29"/>
        <v>517429.94</v>
      </c>
      <c r="R86" s="514">
        <f t="shared" si="29"/>
        <v>530230.49</v>
      </c>
      <c r="S86" s="514">
        <f t="shared" si="29"/>
        <v>0</v>
      </c>
      <c r="T86" s="514">
        <f t="shared" si="29"/>
        <v>30020.25</v>
      </c>
      <c r="U86" s="514">
        <f t="shared" si="29"/>
        <v>0</v>
      </c>
      <c r="V86" s="514">
        <f t="shared" si="29"/>
        <v>0</v>
      </c>
      <c r="W86" s="514">
        <f t="shared" si="29"/>
        <v>0</v>
      </c>
      <c r="X86" s="514">
        <f t="shared" si="29"/>
        <v>0</v>
      </c>
      <c r="Y86" s="514">
        <f t="shared" si="29"/>
        <v>0</v>
      </c>
      <c r="Z86" s="514">
        <f t="shared" si="29"/>
        <v>0</v>
      </c>
    </row>
    <row r="87" spans="1:26" s="6" customFormat="1" ht="15">
      <c r="A87" s="29"/>
      <c r="B87" s="29"/>
      <c r="C87" s="29"/>
      <c r="D87" s="29"/>
      <c r="E87" s="189"/>
      <c r="F87" s="29"/>
      <c r="G87" s="353"/>
      <c r="H87" s="28"/>
      <c r="I87" s="28"/>
      <c r="J87" s="433"/>
      <c r="K87" s="155"/>
      <c r="L87" s="117"/>
      <c r="M87" s="358"/>
      <c r="N87" s="358"/>
      <c r="O87" s="358"/>
      <c r="P87" s="358"/>
      <c r="Q87" s="358"/>
      <c r="R87" s="358"/>
      <c r="S87" s="358"/>
      <c r="T87" s="358"/>
      <c r="U87" s="358"/>
      <c r="V87" s="358"/>
      <c r="W87" s="358"/>
      <c r="X87" s="358"/>
      <c r="Y87" s="358"/>
      <c r="Z87" s="358"/>
    </row>
    <row r="88" spans="1:26" s="6" customFormat="1" ht="15">
      <c r="A88" s="197" t="s">
        <v>5933</v>
      </c>
      <c r="B88" s="699" t="s">
        <v>5934</v>
      </c>
      <c r="C88" s="699"/>
      <c r="D88" s="699"/>
      <c r="E88" s="699"/>
      <c r="F88" s="699"/>
      <c r="G88" s="699"/>
      <c r="H88" s="699"/>
      <c r="I88" s="699"/>
      <c r="J88" s="699"/>
      <c r="K88" s="509"/>
      <c r="L88" s="117"/>
      <c r="M88" s="358"/>
      <c r="N88" s="358"/>
      <c r="O88" s="358"/>
      <c r="P88" s="358"/>
      <c r="Q88" s="358"/>
      <c r="R88" s="358"/>
      <c r="S88" s="358"/>
      <c r="T88" s="358"/>
      <c r="U88" s="358"/>
      <c r="V88" s="358"/>
      <c r="W88" s="358"/>
      <c r="X88" s="358"/>
      <c r="Y88" s="358"/>
      <c r="Z88" s="358"/>
    </row>
    <row r="89" spans="1:26" s="6" customFormat="1" ht="15">
      <c r="A89" s="337" t="s">
        <v>9554</v>
      </c>
      <c r="B89" s="698" t="s">
        <v>9555</v>
      </c>
      <c r="C89" s="698"/>
      <c r="D89" s="698"/>
      <c r="E89" s="698"/>
      <c r="F89" s="698"/>
      <c r="G89" s="698"/>
      <c r="H89" s="698"/>
      <c r="I89" s="698"/>
      <c r="J89" s="698"/>
      <c r="K89" s="39"/>
      <c r="L89" s="117"/>
      <c r="M89" s="358"/>
      <c r="N89" s="358"/>
      <c r="O89" s="358"/>
      <c r="P89" s="358"/>
      <c r="Q89" s="358"/>
      <c r="R89" s="358"/>
      <c r="S89" s="358"/>
      <c r="T89" s="358"/>
      <c r="U89" s="358"/>
      <c r="V89" s="358"/>
      <c r="W89" s="358"/>
      <c r="X89" s="358"/>
      <c r="Y89" s="358"/>
      <c r="Z89" s="358"/>
    </row>
    <row r="90" spans="1:26" s="512" customFormat="1" ht="30">
      <c r="A90" s="338" t="s">
        <v>9624</v>
      </c>
      <c r="B90" s="576" t="s">
        <v>6333</v>
      </c>
      <c r="C90" s="576" t="s">
        <v>9623</v>
      </c>
      <c r="D90" s="336" t="s">
        <v>9621</v>
      </c>
      <c r="E90" s="341">
        <f>2.95*370.192</f>
        <v>1092.0664000000002</v>
      </c>
      <c r="F90" s="342" t="s">
        <v>6744</v>
      </c>
      <c r="G90" s="352">
        <v>5.45</v>
      </c>
      <c r="H90" s="339">
        <f>ROUND(G90*$B$13,2)</f>
        <v>1.47</v>
      </c>
      <c r="I90" s="339">
        <f>H90+G90</f>
        <v>6.92</v>
      </c>
      <c r="J90" s="431">
        <f>ROUND(I90*E90,2)</f>
        <v>7557.1</v>
      </c>
      <c r="K90" s="510">
        <f t="shared" ref="K90:K93" si="30">ROUND(G90*E90,2)</f>
        <v>5951.76</v>
      </c>
      <c r="L90" s="510">
        <f t="shared" ref="L90:L93" si="31">ROUND(H90*E90,2)</f>
        <v>1605.34</v>
      </c>
      <c r="M90" s="519"/>
      <c r="N90" s="519"/>
      <c r="O90" s="519"/>
      <c r="P90" s="519"/>
      <c r="Q90" s="519"/>
      <c r="R90" s="519"/>
      <c r="S90" s="519">
        <f>0.5*J90</f>
        <v>3778.55</v>
      </c>
      <c r="T90" s="519">
        <f>0.5*J90</f>
        <v>3778.55</v>
      </c>
      <c r="U90" s="519"/>
      <c r="V90" s="519"/>
      <c r="W90" s="519"/>
      <c r="X90" s="519"/>
      <c r="Y90" s="519"/>
      <c r="Z90" s="519"/>
    </row>
    <row r="91" spans="1:26" s="512" customFormat="1" ht="30">
      <c r="A91" s="338" t="s">
        <v>9626</v>
      </c>
      <c r="B91" s="704" t="s">
        <v>9325</v>
      </c>
      <c r="C91" s="704" t="s">
        <v>15566</v>
      </c>
      <c r="D91" s="336" t="s">
        <v>9625</v>
      </c>
      <c r="E91" s="341">
        <f>(423.962+120.488)*1.53</f>
        <v>833.00850000000014</v>
      </c>
      <c r="F91" s="342" t="s">
        <v>6744</v>
      </c>
      <c r="G91" s="352">
        <v>6.1</v>
      </c>
      <c r="H91" s="339">
        <f>ROUND(G91*$B$13,2)</f>
        <v>1.64</v>
      </c>
      <c r="I91" s="339">
        <f>H91+G91</f>
        <v>7.7399999999999993</v>
      </c>
      <c r="J91" s="431">
        <f>ROUND(I91*E91,2)</f>
        <v>6447.49</v>
      </c>
      <c r="K91" s="510">
        <f t="shared" si="30"/>
        <v>5081.3500000000004</v>
      </c>
      <c r="L91" s="510">
        <f t="shared" si="31"/>
        <v>1366.13</v>
      </c>
      <c r="M91" s="519"/>
      <c r="N91" s="519"/>
      <c r="O91" s="519"/>
      <c r="P91" s="519"/>
      <c r="Q91" s="519"/>
      <c r="R91" s="519"/>
      <c r="S91" s="519">
        <f>0.5*J91</f>
        <v>3223.7449999999999</v>
      </c>
      <c r="T91" s="519">
        <f>0.5*J91</f>
        <v>3223.7449999999999</v>
      </c>
      <c r="U91" s="519"/>
      <c r="V91" s="519"/>
      <c r="W91" s="519"/>
      <c r="X91" s="519"/>
      <c r="Y91" s="519"/>
      <c r="Z91" s="519"/>
    </row>
    <row r="92" spans="1:26" s="485" customFormat="1" ht="30">
      <c r="A92" s="338" t="s">
        <v>9627</v>
      </c>
      <c r="B92" s="576" t="s">
        <v>5256</v>
      </c>
      <c r="C92" s="576" t="s">
        <v>9633</v>
      </c>
      <c r="D92" s="336" t="s">
        <v>9632</v>
      </c>
      <c r="E92" s="341">
        <v>879.5</v>
      </c>
      <c r="F92" s="342" t="s">
        <v>6339</v>
      </c>
      <c r="G92" s="352">
        <v>3.9799999999999995</v>
      </c>
      <c r="H92" s="339">
        <f>ROUND(G92*$B$13,2)</f>
        <v>1.07</v>
      </c>
      <c r="I92" s="339">
        <f>H92+G92</f>
        <v>5.05</v>
      </c>
      <c r="J92" s="431">
        <f>ROUND(I92*E92,2)</f>
        <v>4441.4799999999996</v>
      </c>
      <c r="K92" s="510">
        <f t="shared" si="30"/>
        <v>3500.41</v>
      </c>
      <c r="L92" s="510">
        <f t="shared" si="31"/>
        <v>941.07</v>
      </c>
      <c r="M92" s="529"/>
      <c r="N92" s="529"/>
      <c r="O92" s="529"/>
      <c r="P92" s="529"/>
      <c r="Q92" s="529"/>
      <c r="R92" s="529"/>
      <c r="S92" s="519">
        <f>0.5*J92</f>
        <v>2220.7399999999998</v>
      </c>
      <c r="T92" s="519">
        <f>0.5*J92</f>
        <v>2220.7399999999998</v>
      </c>
      <c r="U92" s="529"/>
      <c r="V92" s="529"/>
      <c r="W92" s="529"/>
      <c r="X92" s="529"/>
      <c r="Y92" s="529"/>
      <c r="Z92" s="529"/>
    </row>
    <row r="93" spans="1:26" s="512" customFormat="1" ht="60">
      <c r="A93" s="338" t="s">
        <v>9628</v>
      </c>
      <c r="B93" s="576" t="s">
        <v>5256</v>
      </c>
      <c r="C93" s="576" t="s">
        <v>9566</v>
      </c>
      <c r="D93" s="336" t="s">
        <v>9567</v>
      </c>
      <c r="E93" s="341">
        <f>6*7.1*19.34</f>
        <v>823.8839999999999</v>
      </c>
      <c r="F93" s="342" t="s">
        <v>6744</v>
      </c>
      <c r="G93" s="352">
        <v>9.18</v>
      </c>
      <c r="H93" s="339">
        <f>ROUND(G93*$B$13,2)</f>
        <v>2.4700000000000002</v>
      </c>
      <c r="I93" s="339">
        <f>H93+G93</f>
        <v>11.65</v>
      </c>
      <c r="J93" s="431">
        <f>ROUND(I93*E93,2)</f>
        <v>9598.25</v>
      </c>
      <c r="K93" s="510">
        <f t="shared" si="30"/>
        <v>7563.26</v>
      </c>
      <c r="L93" s="510">
        <f t="shared" si="31"/>
        <v>2034.99</v>
      </c>
      <c r="M93" s="519"/>
      <c r="N93" s="519"/>
      <c r="O93" s="519"/>
      <c r="P93" s="519"/>
      <c r="Q93" s="519"/>
      <c r="R93" s="519"/>
      <c r="S93" s="519"/>
      <c r="T93" s="519"/>
      <c r="U93" s="519"/>
      <c r="V93" s="519"/>
      <c r="W93" s="519">
        <f>J93</f>
        <v>9598.25</v>
      </c>
      <c r="X93" s="519"/>
      <c r="Y93" s="519"/>
      <c r="Z93" s="519"/>
    </row>
    <row r="94" spans="1:26" s="512" customFormat="1" ht="15">
      <c r="A94" s="337" t="s">
        <v>9629</v>
      </c>
      <c r="B94" s="698" t="s">
        <v>9630</v>
      </c>
      <c r="C94" s="698"/>
      <c r="D94" s="698"/>
      <c r="E94" s="698"/>
      <c r="F94" s="698"/>
      <c r="G94" s="698"/>
      <c r="H94" s="698"/>
      <c r="I94" s="698"/>
      <c r="J94" s="698"/>
      <c r="K94" s="39"/>
      <c r="L94" s="521"/>
      <c r="M94" s="519"/>
      <c r="N94" s="519"/>
      <c r="O94" s="519"/>
      <c r="P94" s="519"/>
      <c r="Q94" s="519"/>
      <c r="R94" s="519"/>
      <c r="S94" s="519"/>
      <c r="T94" s="519"/>
      <c r="U94" s="519"/>
      <c r="V94" s="519"/>
      <c r="W94" s="519"/>
      <c r="X94" s="519"/>
      <c r="Y94" s="519"/>
      <c r="Z94" s="519"/>
    </row>
    <row r="95" spans="1:26" s="512" customFormat="1" ht="45">
      <c r="A95" s="338" t="s">
        <v>9631</v>
      </c>
      <c r="B95" s="576" t="s">
        <v>6775</v>
      </c>
      <c r="C95" s="576">
        <v>1</v>
      </c>
      <c r="D95" s="336" t="s">
        <v>9641</v>
      </c>
      <c r="E95" s="341">
        <v>278</v>
      </c>
      <c r="F95" s="342" t="s">
        <v>6337</v>
      </c>
      <c r="G95" s="352">
        <v>19.840000000000003</v>
      </c>
      <c r="H95" s="339">
        <f>ROUND(G95*$B$13,2)</f>
        <v>5.34</v>
      </c>
      <c r="I95" s="339">
        <f>H95+G95</f>
        <v>25.180000000000003</v>
      </c>
      <c r="J95" s="431">
        <f>ROUND(I95*E95,2)</f>
        <v>7000.04</v>
      </c>
      <c r="K95" s="510">
        <f t="shared" ref="K95:K96" si="32">ROUND(G95*E95,2)</f>
        <v>5515.52</v>
      </c>
      <c r="L95" s="510">
        <f t="shared" ref="L95:L96" si="33">ROUND(H95*E95,2)</f>
        <v>1484.52</v>
      </c>
      <c r="M95" s="519"/>
      <c r="N95" s="519"/>
      <c r="O95" s="519"/>
      <c r="P95" s="519"/>
      <c r="Q95" s="519"/>
      <c r="R95" s="519"/>
      <c r="S95" s="519">
        <f>0.5*J95</f>
        <v>3500.02</v>
      </c>
      <c r="T95" s="519">
        <f>0.5*J95</f>
        <v>3500.02</v>
      </c>
      <c r="U95" s="519"/>
      <c r="V95" s="519"/>
      <c r="W95" s="519"/>
      <c r="X95" s="519"/>
      <c r="Y95" s="519"/>
      <c r="Z95" s="519"/>
    </row>
    <row r="96" spans="1:26" s="512" customFormat="1" ht="30">
      <c r="A96" s="338" t="s">
        <v>9644</v>
      </c>
      <c r="B96" s="576" t="s">
        <v>6333</v>
      </c>
      <c r="C96" s="576" t="s">
        <v>9643</v>
      </c>
      <c r="D96" s="336" t="s">
        <v>9645</v>
      </c>
      <c r="E96" s="341">
        <v>7040</v>
      </c>
      <c r="F96" s="342" t="s">
        <v>9642</v>
      </c>
      <c r="G96" s="352">
        <v>0.45</v>
      </c>
      <c r="H96" s="339">
        <f>ROUND(G96*$B$13,2)</f>
        <v>0.12</v>
      </c>
      <c r="I96" s="339">
        <f>H96+G96</f>
        <v>0.57000000000000006</v>
      </c>
      <c r="J96" s="431">
        <f>ROUND(I96*E96,2)</f>
        <v>4012.8</v>
      </c>
      <c r="K96" s="510">
        <f t="shared" si="32"/>
        <v>3168</v>
      </c>
      <c r="L96" s="510">
        <f t="shared" si="33"/>
        <v>844.8</v>
      </c>
      <c r="M96" s="519"/>
      <c r="N96" s="519"/>
      <c r="O96" s="519"/>
      <c r="P96" s="519"/>
      <c r="Q96" s="519"/>
      <c r="R96" s="519"/>
      <c r="S96" s="519">
        <f>0.5*J96</f>
        <v>2006.4</v>
      </c>
      <c r="T96" s="519">
        <f>0.5*J96</f>
        <v>2006.4</v>
      </c>
      <c r="U96" s="519"/>
      <c r="V96" s="519"/>
      <c r="W96" s="519"/>
      <c r="X96" s="519"/>
      <c r="Y96" s="519"/>
      <c r="Z96" s="519"/>
    </row>
    <row r="97" spans="1:26" s="6" customFormat="1" ht="15">
      <c r="A97" s="700" t="s">
        <v>6767</v>
      </c>
      <c r="B97" s="700"/>
      <c r="C97" s="700"/>
      <c r="D97" s="700"/>
      <c r="E97" s="700"/>
      <c r="F97" s="700"/>
      <c r="G97" s="700"/>
      <c r="H97" s="700"/>
      <c r="I97" s="700"/>
      <c r="J97" s="432">
        <f>SUM(J88:J96)</f>
        <v>39057.160000000003</v>
      </c>
      <c r="K97" s="513"/>
      <c r="L97" s="117"/>
      <c r="M97" s="514">
        <f t="shared" ref="M97:Z97" si="34">SUM(M88:M96)</f>
        <v>0</v>
      </c>
      <c r="N97" s="514">
        <f t="shared" si="34"/>
        <v>0</v>
      </c>
      <c r="O97" s="514">
        <f t="shared" si="34"/>
        <v>0</v>
      </c>
      <c r="P97" s="514">
        <f t="shared" si="34"/>
        <v>0</v>
      </c>
      <c r="Q97" s="514">
        <f t="shared" si="34"/>
        <v>0</v>
      </c>
      <c r="R97" s="514">
        <f t="shared" si="34"/>
        <v>0</v>
      </c>
      <c r="S97" s="514">
        <f t="shared" si="34"/>
        <v>14729.455</v>
      </c>
      <c r="T97" s="514">
        <f t="shared" si="34"/>
        <v>14729.455</v>
      </c>
      <c r="U97" s="514">
        <f t="shared" si="34"/>
        <v>0</v>
      </c>
      <c r="V97" s="514">
        <f t="shared" si="34"/>
        <v>0</v>
      </c>
      <c r="W97" s="514">
        <f t="shared" si="34"/>
        <v>9598.25</v>
      </c>
      <c r="X97" s="514">
        <f t="shared" si="34"/>
        <v>0</v>
      </c>
      <c r="Y97" s="514">
        <f t="shared" si="34"/>
        <v>0</v>
      </c>
      <c r="Z97" s="514">
        <f t="shared" si="34"/>
        <v>0</v>
      </c>
    </row>
    <row r="98" spans="1:26" s="6" customFormat="1" ht="15">
      <c r="A98" s="29"/>
      <c r="B98" s="29"/>
      <c r="C98" s="29"/>
      <c r="D98" s="29"/>
      <c r="E98" s="189"/>
      <c r="F98" s="29"/>
      <c r="G98" s="353"/>
      <c r="H98" s="28"/>
      <c r="I98" s="28"/>
      <c r="J98" s="433"/>
      <c r="K98" s="155"/>
      <c r="L98" s="117"/>
      <c r="M98" s="358"/>
      <c r="N98" s="358"/>
      <c r="O98" s="358"/>
      <c r="P98" s="358"/>
      <c r="Q98" s="358"/>
      <c r="R98" s="358"/>
      <c r="S98" s="358"/>
      <c r="T98" s="358"/>
      <c r="U98" s="358"/>
      <c r="V98" s="358"/>
      <c r="W98" s="358"/>
      <c r="X98" s="358"/>
      <c r="Y98" s="358"/>
      <c r="Z98" s="358"/>
    </row>
    <row r="99" spans="1:26" ht="15">
      <c r="A99" s="701" t="s">
        <v>6764</v>
      </c>
      <c r="B99" s="701"/>
      <c r="C99" s="701"/>
      <c r="D99" s="701"/>
      <c r="E99" s="701"/>
      <c r="F99" s="701"/>
      <c r="G99" s="701"/>
      <c r="H99" s="701"/>
      <c r="I99" s="701"/>
      <c r="J99" s="434">
        <f>J97+J86+J70</f>
        <v>1551412.6599999997</v>
      </c>
      <c r="K99" s="515"/>
      <c r="M99" s="516">
        <f t="shared" ref="M99:Z99" si="35">M97+M86+M70</f>
        <v>0</v>
      </c>
      <c r="N99" s="516">
        <f t="shared" si="35"/>
        <v>99597.856000000014</v>
      </c>
      <c r="O99" s="516">
        <f t="shared" si="35"/>
        <v>137048.318</v>
      </c>
      <c r="P99" s="516">
        <f t="shared" si="35"/>
        <v>198028.64600000001</v>
      </c>
      <c r="Q99" s="516">
        <f t="shared" si="35"/>
        <v>517429.94</v>
      </c>
      <c r="R99" s="516">
        <f t="shared" si="35"/>
        <v>530230.49</v>
      </c>
      <c r="S99" s="516">
        <f t="shared" si="35"/>
        <v>14729.455</v>
      </c>
      <c r="T99" s="516">
        <f t="shared" si="35"/>
        <v>44749.705000000002</v>
      </c>
      <c r="U99" s="516">
        <f t="shared" si="35"/>
        <v>0</v>
      </c>
      <c r="V99" s="516">
        <f t="shared" si="35"/>
        <v>0</v>
      </c>
      <c r="W99" s="516">
        <f t="shared" si="35"/>
        <v>9598.25</v>
      </c>
      <c r="X99" s="516">
        <f t="shared" si="35"/>
        <v>0</v>
      </c>
      <c r="Y99" s="516">
        <f t="shared" si="35"/>
        <v>0</v>
      </c>
      <c r="Z99" s="516">
        <f t="shared" si="35"/>
        <v>0</v>
      </c>
    </row>
    <row r="100" spans="1:26" s="6" customFormat="1" ht="15">
      <c r="A100" s="338"/>
      <c r="B100" s="576"/>
      <c r="C100" s="576"/>
      <c r="D100" s="336"/>
      <c r="E100" s="341"/>
      <c r="F100" s="342"/>
      <c r="G100" s="354"/>
      <c r="H100" s="11"/>
      <c r="I100" s="11"/>
      <c r="J100" s="435"/>
      <c r="K100" s="146"/>
      <c r="L100" s="117"/>
      <c r="M100" s="517">
        <f>M99/$J$99</f>
        <v>0</v>
      </c>
      <c r="N100" s="517">
        <f t="shared" ref="N100:Z100" si="36">N99/$J$99</f>
        <v>6.4198171491007455E-2</v>
      </c>
      <c r="O100" s="517">
        <f t="shared" si="36"/>
        <v>8.8337759213593131E-2</v>
      </c>
      <c r="P100" s="517">
        <f t="shared" si="36"/>
        <v>0.1276440827806575</v>
      </c>
      <c r="Q100" s="517">
        <f t="shared" si="36"/>
        <v>0.33352179812687627</v>
      </c>
      <c r="R100" s="517">
        <f t="shared" si="36"/>
        <v>0.34177269766510743</v>
      </c>
      <c r="S100" s="517">
        <f t="shared" si="36"/>
        <v>9.4942212215800813E-3</v>
      </c>
      <c r="T100" s="517">
        <f t="shared" si="36"/>
        <v>2.8844488738412132E-2</v>
      </c>
      <c r="U100" s="517">
        <f t="shared" si="36"/>
        <v>0</v>
      </c>
      <c r="V100" s="517">
        <f t="shared" si="36"/>
        <v>0</v>
      </c>
      <c r="W100" s="517">
        <f t="shared" si="36"/>
        <v>6.1867807627662402E-3</v>
      </c>
      <c r="X100" s="517">
        <f t="shared" si="36"/>
        <v>0</v>
      </c>
      <c r="Y100" s="517">
        <f t="shared" si="36"/>
        <v>0</v>
      </c>
      <c r="Z100" s="517">
        <f t="shared" si="36"/>
        <v>0</v>
      </c>
    </row>
    <row r="101" spans="1:26" ht="15">
      <c r="A101" s="457" t="s">
        <v>4</v>
      </c>
      <c r="B101" s="696" t="s">
        <v>5804</v>
      </c>
      <c r="C101" s="697"/>
      <c r="D101" s="697"/>
      <c r="E101" s="697"/>
      <c r="F101" s="697"/>
      <c r="G101" s="697"/>
      <c r="H101" s="697"/>
      <c r="I101" s="697"/>
      <c r="J101" s="697"/>
      <c r="K101" s="505"/>
      <c r="L101" s="518"/>
      <c r="M101" s="506"/>
      <c r="N101" s="506"/>
      <c r="O101" s="506"/>
    </row>
    <row r="102" spans="1:26" s="6" customFormat="1" ht="15">
      <c r="A102" s="573" t="s">
        <v>0</v>
      </c>
      <c r="B102" s="692" t="s">
        <v>7880</v>
      </c>
      <c r="C102" s="693"/>
      <c r="D102" s="23" t="s">
        <v>1</v>
      </c>
      <c r="E102" s="193" t="s">
        <v>134</v>
      </c>
      <c r="F102" s="24" t="s">
        <v>11</v>
      </c>
      <c r="G102" s="351" t="s">
        <v>12</v>
      </c>
      <c r="H102" s="182" t="s">
        <v>6735</v>
      </c>
      <c r="I102" s="182" t="s">
        <v>6736</v>
      </c>
      <c r="J102" s="430" t="s">
        <v>133</v>
      </c>
      <c r="K102" s="508"/>
      <c r="L102" s="518"/>
      <c r="M102" s="506"/>
      <c r="N102" s="506"/>
      <c r="O102" s="506"/>
      <c r="P102" s="358"/>
      <c r="Q102" s="358"/>
      <c r="R102" s="358"/>
      <c r="S102" s="358"/>
      <c r="T102" s="358"/>
      <c r="U102" s="358"/>
      <c r="V102" s="358"/>
      <c r="W102" s="358"/>
      <c r="X102" s="358"/>
      <c r="Y102" s="358"/>
      <c r="Z102" s="358"/>
    </row>
    <row r="103" spans="1:26" s="6" customFormat="1" ht="15">
      <c r="A103" s="197" t="s">
        <v>5795</v>
      </c>
      <c r="B103" s="699" t="s">
        <v>5805</v>
      </c>
      <c r="C103" s="699"/>
      <c r="D103" s="699"/>
      <c r="E103" s="699"/>
      <c r="F103" s="699"/>
      <c r="G103" s="699"/>
      <c r="H103" s="699"/>
      <c r="I103" s="699"/>
      <c r="J103" s="699"/>
      <c r="K103" s="509"/>
      <c r="L103" s="117"/>
      <c r="M103" s="358"/>
      <c r="N103" s="358"/>
      <c r="O103" s="358"/>
      <c r="P103" s="358"/>
      <c r="Q103" s="358"/>
      <c r="R103" s="358"/>
      <c r="S103" s="358"/>
      <c r="T103" s="358"/>
      <c r="U103" s="358"/>
      <c r="V103" s="358"/>
      <c r="W103" s="358"/>
      <c r="X103" s="358"/>
      <c r="Y103" s="358"/>
      <c r="Z103" s="358"/>
    </row>
    <row r="104" spans="1:26" s="6" customFormat="1" ht="15">
      <c r="A104" s="337" t="s">
        <v>6765</v>
      </c>
      <c r="B104" s="698" t="s">
        <v>6766</v>
      </c>
      <c r="C104" s="698"/>
      <c r="D104" s="698"/>
      <c r="E104" s="698"/>
      <c r="F104" s="698"/>
      <c r="G104" s="698"/>
      <c r="H104" s="698"/>
      <c r="I104" s="698"/>
      <c r="J104" s="698"/>
      <c r="K104" s="39"/>
      <c r="L104" s="117"/>
      <c r="M104" s="358"/>
      <c r="N104" s="358"/>
      <c r="O104" s="358"/>
      <c r="P104" s="358"/>
      <c r="Q104" s="358"/>
      <c r="R104" s="358"/>
      <c r="S104" s="358"/>
      <c r="T104" s="358"/>
      <c r="U104" s="358"/>
      <c r="V104" s="358"/>
      <c r="W104" s="358"/>
      <c r="X104" s="358"/>
      <c r="Y104" s="358"/>
      <c r="Z104" s="358"/>
    </row>
    <row r="105" spans="1:26" s="512" customFormat="1" ht="30">
      <c r="A105" s="338" t="s">
        <v>7888</v>
      </c>
      <c r="B105" s="576" t="s">
        <v>5256</v>
      </c>
      <c r="C105" s="576">
        <v>89168</v>
      </c>
      <c r="D105" s="336" t="s">
        <v>6768</v>
      </c>
      <c r="E105" s="341">
        <v>1019.13</v>
      </c>
      <c r="F105" s="342" t="s">
        <v>6339</v>
      </c>
      <c r="G105" s="352">
        <v>50.61</v>
      </c>
      <c r="H105" s="339">
        <f t="shared" ref="H105:H115" si="37">ROUND(G105*$B$13,2)</f>
        <v>13.63</v>
      </c>
      <c r="I105" s="339">
        <f t="shared" ref="I105:I115" si="38">H105+G105</f>
        <v>64.239999999999995</v>
      </c>
      <c r="J105" s="431">
        <f t="shared" ref="J105:J115" si="39">ROUND(I105*E105,2)</f>
        <v>65468.91</v>
      </c>
      <c r="K105" s="510">
        <f t="shared" ref="K105:K115" si="40">ROUND(G105*E105,2)</f>
        <v>51578.17</v>
      </c>
      <c r="L105" s="510">
        <f t="shared" ref="L105:L115" si="41">ROUND(H105*E105,2)</f>
        <v>13890.74</v>
      </c>
      <c r="M105" s="519"/>
      <c r="N105" s="519"/>
      <c r="O105" s="519"/>
      <c r="P105" s="519"/>
      <c r="Q105" s="519"/>
      <c r="R105" s="519">
        <f t="shared" ref="R105:R112" si="42">0.2*J105</f>
        <v>13093.782000000001</v>
      </c>
      <c r="S105" s="519">
        <f t="shared" ref="S105:S112" si="43">0.5*J105</f>
        <v>32734.455000000002</v>
      </c>
      <c r="T105" s="519">
        <f t="shared" ref="T105:T112" si="44">0.3*J105</f>
        <v>19640.672999999999</v>
      </c>
      <c r="U105" s="519"/>
      <c r="V105" s="519"/>
      <c r="W105" s="519"/>
      <c r="X105" s="519"/>
      <c r="Y105" s="519"/>
      <c r="Z105" s="519"/>
    </row>
    <row r="106" spans="1:26" s="512" customFormat="1" ht="30">
      <c r="A106" s="338" t="s">
        <v>7889</v>
      </c>
      <c r="B106" s="576" t="s">
        <v>5256</v>
      </c>
      <c r="C106" s="576">
        <v>89977</v>
      </c>
      <c r="D106" s="336" t="s">
        <v>6769</v>
      </c>
      <c r="E106" s="341">
        <v>931.58749999999986</v>
      </c>
      <c r="F106" s="342" t="s">
        <v>6339</v>
      </c>
      <c r="G106" s="352">
        <v>85.58</v>
      </c>
      <c r="H106" s="339">
        <f t="shared" si="37"/>
        <v>23.05</v>
      </c>
      <c r="I106" s="339">
        <f t="shared" si="38"/>
        <v>108.63</v>
      </c>
      <c r="J106" s="431">
        <f t="shared" si="39"/>
        <v>101198.35</v>
      </c>
      <c r="K106" s="510">
        <f t="shared" si="40"/>
        <v>79725.259999999995</v>
      </c>
      <c r="L106" s="510">
        <f t="shared" si="41"/>
        <v>21473.09</v>
      </c>
      <c r="M106" s="519"/>
      <c r="N106" s="519"/>
      <c r="O106" s="519"/>
      <c r="P106" s="519"/>
      <c r="Q106" s="519"/>
      <c r="R106" s="519">
        <f t="shared" si="42"/>
        <v>20239.670000000002</v>
      </c>
      <c r="S106" s="519">
        <f t="shared" si="43"/>
        <v>50599.175000000003</v>
      </c>
      <c r="T106" s="519">
        <f t="shared" si="44"/>
        <v>30359.505000000001</v>
      </c>
      <c r="U106" s="519"/>
      <c r="V106" s="519"/>
      <c r="W106" s="519"/>
      <c r="X106" s="519"/>
      <c r="Y106" s="519"/>
      <c r="Z106" s="519"/>
    </row>
    <row r="107" spans="1:26" s="512" customFormat="1" ht="30">
      <c r="A107" s="338" t="s">
        <v>7890</v>
      </c>
      <c r="B107" s="576" t="s">
        <v>5256</v>
      </c>
      <c r="C107" s="576">
        <v>87471</v>
      </c>
      <c r="D107" s="336" t="s">
        <v>6770</v>
      </c>
      <c r="E107" s="341">
        <v>33.499500000000005</v>
      </c>
      <c r="F107" s="342" t="s">
        <v>6339</v>
      </c>
      <c r="G107" s="352">
        <v>30.03</v>
      </c>
      <c r="H107" s="339">
        <f t="shared" si="37"/>
        <v>8.09</v>
      </c>
      <c r="I107" s="339">
        <f t="shared" si="38"/>
        <v>38.120000000000005</v>
      </c>
      <c r="J107" s="431">
        <f t="shared" si="39"/>
        <v>1277</v>
      </c>
      <c r="K107" s="510">
        <f t="shared" si="40"/>
        <v>1005.99</v>
      </c>
      <c r="L107" s="510">
        <f t="shared" si="41"/>
        <v>271.01</v>
      </c>
      <c r="M107" s="519"/>
      <c r="N107" s="519"/>
      <c r="O107" s="519"/>
      <c r="P107" s="519"/>
      <c r="Q107" s="519"/>
      <c r="R107" s="519">
        <f t="shared" si="42"/>
        <v>255.4</v>
      </c>
      <c r="S107" s="519">
        <f t="shared" si="43"/>
        <v>638.5</v>
      </c>
      <c r="T107" s="519">
        <f t="shared" si="44"/>
        <v>383.09999999999997</v>
      </c>
      <c r="U107" s="519"/>
      <c r="V107" s="519"/>
      <c r="W107" s="519"/>
      <c r="X107" s="519"/>
      <c r="Y107" s="519"/>
      <c r="Z107" s="519"/>
    </row>
    <row r="108" spans="1:26" s="512" customFormat="1" ht="45">
      <c r="A108" s="338" t="s">
        <v>7891</v>
      </c>
      <c r="B108" s="576" t="s">
        <v>5256</v>
      </c>
      <c r="C108" s="576">
        <v>93204</v>
      </c>
      <c r="D108" s="336" t="s">
        <v>6771</v>
      </c>
      <c r="E108" s="341">
        <v>424.87</v>
      </c>
      <c r="F108" s="342" t="s">
        <v>6774</v>
      </c>
      <c r="G108" s="352">
        <v>28.19</v>
      </c>
      <c r="H108" s="339">
        <f t="shared" si="37"/>
        <v>7.59</v>
      </c>
      <c r="I108" s="339">
        <f t="shared" si="38"/>
        <v>35.78</v>
      </c>
      <c r="J108" s="431">
        <f t="shared" si="39"/>
        <v>15201.85</v>
      </c>
      <c r="K108" s="510">
        <f t="shared" si="40"/>
        <v>11977.09</v>
      </c>
      <c r="L108" s="510">
        <f t="shared" si="41"/>
        <v>3224.76</v>
      </c>
      <c r="M108" s="519"/>
      <c r="N108" s="519"/>
      <c r="O108" s="519"/>
      <c r="P108" s="519"/>
      <c r="Q108" s="519"/>
      <c r="R108" s="519">
        <f t="shared" si="42"/>
        <v>3040.3700000000003</v>
      </c>
      <c r="S108" s="519">
        <f t="shared" si="43"/>
        <v>7600.9250000000002</v>
      </c>
      <c r="T108" s="519">
        <f t="shared" si="44"/>
        <v>4560.5550000000003</v>
      </c>
      <c r="U108" s="519"/>
      <c r="V108" s="519"/>
      <c r="W108" s="519"/>
      <c r="X108" s="519"/>
      <c r="Y108" s="519"/>
      <c r="Z108" s="519"/>
    </row>
    <row r="109" spans="1:26" s="512" customFormat="1" ht="30">
      <c r="A109" s="338" t="s">
        <v>7892</v>
      </c>
      <c r="B109" s="576" t="s">
        <v>5256</v>
      </c>
      <c r="C109" s="576">
        <v>93187</v>
      </c>
      <c r="D109" s="336" t="s">
        <v>6772</v>
      </c>
      <c r="E109" s="341">
        <v>176.16000000000003</v>
      </c>
      <c r="F109" s="342" t="s">
        <v>6774</v>
      </c>
      <c r="G109" s="352">
        <v>42.66</v>
      </c>
      <c r="H109" s="339">
        <f t="shared" si="37"/>
        <v>11.49</v>
      </c>
      <c r="I109" s="339">
        <f t="shared" si="38"/>
        <v>54.15</v>
      </c>
      <c r="J109" s="431">
        <f t="shared" si="39"/>
        <v>9539.06</v>
      </c>
      <c r="K109" s="510">
        <f t="shared" si="40"/>
        <v>7514.99</v>
      </c>
      <c r="L109" s="510">
        <f t="shared" si="41"/>
        <v>2024.08</v>
      </c>
      <c r="M109" s="519"/>
      <c r="N109" s="519"/>
      <c r="O109" s="519"/>
      <c r="P109" s="519"/>
      <c r="Q109" s="519"/>
      <c r="R109" s="519">
        <f t="shared" si="42"/>
        <v>1907.8119999999999</v>
      </c>
      <c r="S109" s="519">
        <f t="shared" si="43"/>
        <v>4769.53</v>
      </c>
      <c r="T109" s="519">
        <f t="shared" si="44"/>
        <v>2861.7179999999998</v>
      </c>
      <c r="U109" s="519"/>
      <c r="V109" s="519"/>
      <c r="W109" s="519"/>
      <c r="X109" s="519"/>
      <c r="Y109" s="519"/>
      <c r="Z109" s="519"/>
    </row>
    <row r="110" spans="1:26" s="512" customFormat="1" ht="30">
      <c r="A110" s="338" t="s">
        <v>7893</v>
      </c>
      <c r="B110" s="576" t="s">
        <v>6775</v>
      </c>
      <c r="C110" s="576">
        <v>2</v>
      </c>
      <c r="D110" s="336" t="s">
        <v>7813</v>
      </c>
      <c r="E110" s="341">
        <v>310.19549999999998</v>
      </c>
      <c r="F110" s="342" t="s">
        <v>6774</v>
      </c>
      <c r="G110" s="352">
        <v>48.81</v>
      </c>
      <c r="H110" s="339">
        <f t="shared" si="37"/>
        <v>13.14</v>
      </c>
      <c r="I110" s="339">
        <f t="shared" si="38"/>
        <v>61.95</v>
      </c>
      <c r="J110" s="431">
        <f t="shared" si="39"/>
        <v>19216.61</v>
      </c>
      <c r="K110" s="510">
        <f t="shared" si="40"/>
        <v>15140.64</v>
      </c>
      <c r="L110" s="510">
        <f t="shared" si="41"/>
        <v>4075.97</v>
      </c>
      <c r="M110" s="519"/>
      <c r="N110" s="519"/>
      <c r="O110" s="519"/>
      <c r="P110" s="519"/>
      <c r="Q110" s="519"/>
      <c r="R110" s="519">
        <f t="shared" si="42"/>
        <v>3843.3220000000001</v>
      </c>
      <c r="S110" s="519">
        <f t="shared" si="43"/>
        <v>9608.3050000000003</v>
      </c>
      <c r="T110" s="519">
        <f t="shared" si="44"/>
        <v>5764.9830000000002</v>
      </c>
      <c r="U110" s="519"/>
      <c r="V110" s="519"/>
      <c r="W110" s="519"/>
      <c r="X110" s="519"/>
      <c r="Y110" s="519"/>
      <c r="Z110" s="519"/>
    </row>
    <row r="111" spans="1:26" s="512" customFormat="1" ht="30">
      <c r="A111" s="338" t="s">
        <v>7894</v>
      </c>
      <c r="B111" s="576" t="s">
        <v>5256</v>
      </c>
      <c r="C111" s="576">
        <v>93203</v>
      </c>
      <c r="D111" s="336" t="s">
        <v>6773</v>
      </c>
      <c r="E111" s="341">
        <v>424.87</v>
      </c>
      <c r="F111" s="342" t="s">
        <v>6774</v>
      </c>
      <c r="G111" s="352">
        <v>9.14</v>
      </c>
      <c r="H111" s="339">
        <f t="shared" si="37"/>
        <v>2.46</v>
      </c>
      <c r="I111" s="339">
        <f t="shared" si="38"/>
        <v>11.600000000000001</v>
      </c>
      <c r="J111" s="431">
        <f t="shared" si="39"/>
        <v>4928.49</v>
      </c>
      <c r="K111" s="510">
        <f t="shared" si="40"/>
        <v>3883.31</v>
      </c>
      <c r="L111" s="510">
        <f t="shared" si="41"/>
        <v>1045.18</v>
      </c>
      <c r="M111" s="519"/>
      <c r="N111" s="519"/>
      <c r="O111" s="519"/>
      <c r="P111" s="519"/>
      <c r="Q111" s="519"/>
      <c r="R111" s="519">
        <f t="shared" si="42"/>
        <v>985.69799999999998</v>
      </c>
      <c r="S111" s="519">
        <f t="shared" si="43"/>
        <v>2464.2449999999999</v>
      </c>
      <c r="T111" s="519">
        <f t="shared" si="44"/>
        <v>1478.5469999999998</v>
      </c>
      <c r="U111" s="519"/>
      <c r="V111" s="519"/>
      <c r="W111" s="519"/>
      <c r="X111" s="519"/>
      <c r="Y111" s="519"/>
      <c r="Z111" s="519"/>
    </row>
    <row r="112" spans="1:26" s="512" customFormat="1" ht="30">
      <c r="A112" s="338" t="s">
        <v>6776</v>
      </c>
      <c r="B112" s="576" t="s">
        <v>5256</v>
      </c>
      <c r="C112" s="576" t="s">
        <v>4231</v>
      </c>
      <c r="D112" s="336" t="s">
        <v>6777</v>
      </c>
      <c r="E112" s="341">
        <v>45.4</v>
      </c>
      <c r="F112" s="342" t="s">
        <v>6339</v>
      </c>
      <c r="G112" s="352">
        <v>79.75</v>
      </c>
      <c r="H112" s="339">
        <f t="shared" si="37"/>
        <v>21.48</v>
      </c>
      <c r="I112" s="339">
        <f t="shared" si="38"/>
        <v>101.23</v>
      </c>
      <c r="J112" s="431">
        <f t="shared" si="39"/>
        <v>4595.84</v>
      </c>
      <c r="K112" s="510">
        <f t="shared" si="40"/>
        <v>3620.65</v>
      </c>
      <c r="L112" s="510">
        <f t="shared" si="41"/>
        <v>975.19</v>
      </c>
      <c r="M112" s="519"/>
      <c r="N112" s="519"/>
      <c r="O112" s="519"/>
      <c r="P112" s="519"/>
      <c r="Q112" s="519"/>
      <c r="R112" s="519">
        <f t="shared" si="42"/>
        <v>919.16800000000012</v>
      </c>
      <c r="S112" s="519">
        <f t="shared" si="43"/>
        <v>2297.92</v>
      </c>
      <c r="T112" s="519">
        <f t="shared" si="44"/>
        <v>1378.752</v>
      </c>
      <c r="U112" s="519"/>
      <c r="V112" s="519"/>
      <c r="W112" s="519"/>
      <c r="X112" s="519"/>
      <c r="Y112" s="519"/>
      <c r="Z112" s="519"/>
    </row>
    <row r="113" spans="1:26" s="512" customFormat="1" ht="45">
      <c r="A113" s="338" t="s">
        <v>7000</v>
      </c>
      <c r="B113" s="576" t="s">
        <v>5256</v>
      </c>
      <c r="C113" s="576" t="s">
        <v>6999</v>
      </c>
      <c r="D113" s="336" t="s">
        <v>9664</v>
      </c>
      <c r="E113" s="341">
        <v>61.15</v>
      </c>
      <c r="F113" s="342" t="s">
        <v>6339</v>
      </c>
      <c r="G113" s="352">
        <v>554.86</v>
      </c>
      <c r="H113" s="339">
        <f t="shared" si="37"/>
        <v>149.41999999999999</v>
      </c>
      <c r="I113" s="339">
        <f t="shared" si="38"/>
        <v>704.28</v>
      </c>
      <c r="J113" s="431">
        <f t="shared" si="39"/>
        <v>43066.720000000001</v>
      </c>
      <c r="K113" s="510">
        <f t="shared" si="40"/>
        <v>33929.69</v>
      </c>
      <c r="L113" s="510">
        <f t="shared" si="41"/>
        <v>9137.0300000000007</v>
      </c>
      <c r="M113" s="519"/>
      <c r="N113" s="519"/>
      <c r="O113" s="519"/>
      <c r="P113" s="519"/>
      <c r="Q113" s="519"/>
      <c r="R113" s="519"/>
      <c r="S113" s="519"/>
      <c r="T113" s="519"/>
      <c r="U113" s="519"/>
      <c r="V113" s="519"/>
      <c r="W113" s="519">
        <f>0.5*J113</f>
        <v>21533.360000000001</v>
      </c>
      <c r="X113" s="519">
        <f>0.5*J113</f>
        <v>21533.360000000001</v>
      </c>
      <c r="Y113" s="519"/>
      <c r="Z113" s="519"/>
    </row>
    <row r="114" spans="1:26" s="512" customFormat="1" ht="45">
      <c r="A114" s="338" t="s">
        <v>7898</v>
      </c>
      <c r="B114" s="576" t="s">
        <v>5256</v>
      </c>
      <c r="C114" s="576">
        <v>96359</v>
      </c>
      <c r="D114" s="336" t="s">
        <v>6778</v>
      </c>
      <c r="E114" s="341">
        <v>332.77</v>
      </c>
      <c r="F114" s="342" t="s">
        <v>6339</v>
      </c>
      <c r="G114" s="352">
        <v>67.33</v>
      </c>
      <c r="H114" s="339">
        <f t="shared" si="37"/>
        <v>18.13</v>
      </c>
      <c r="I114" s="339">
        <f t="shared" si="38"/>
        <v>85.46</v>
      </c>
      <c r="J114" s="431">
        <f t="shared" si="39"/>
        <v>28438.52</v>
      </c>
      <c r="K114" s="510">
        <f t="shared" si="40"/>
        <v>22405.4</v>
      </c>
      <c r="L114" s="510">
        <f t="shared" si="41"/>
        <v>6033.12</v>
      </c>
      <c r="M114" s="519"/>
      <c r="N114" s="519"/>
      <c r="O114" s="519"/>
      <c r="P114" s="519"/>
      <c r="Q114" s="519"/>
      <c r="R114" s="519"/>
      <c r="S114" s="519"/>
      <c r="T114" s="519"/>
      <c r="U114" s="519"/>
      <c r="V114" s="519">
        <f>0.5*J114</f>
        <v>14219.26</v>
      </c>
      <c r="W114" s="519">
        <f>0.5*J114</f>
        <v>14219.26</v>
      </c>
      <c r="X114" s="519"/>
      <c r="Y114" s="519"/>
      <c r="Z114" s="519"/>
    </row>
    <row r="115" spans="1:26" s="512" customFormat="1" ht="30">
      <c r="A115" s="338" t="s">
        <v>7899</v>
      </c>
      <c r="B115" s="576" t="s">
        <v>5256</v>
      </c>
      <c r="C115" s="576">
        <v>96372</v>
      </c>
      <c r="D115" s="336" t="s">
        <v>6779</v>
      </c>
      <c r="E115" s="341">
        <v>332.77</v>
      </c>
      <c r="F115" s="342" t="s">
        <v>6339</v>
      </c>
      <c r="G115" s="352">
        <v>21.04</v>
      </c>
      <c r="H115" s="339">
        <f t="shared" si="37"/>
        <v>5.67</v>
      </c>
      <c r="I115" s="339">
        <f t="shared" si="38"/>
        <v>26.71</v>
      </c>
      <c r="J115" s="431">
        <f t="shared" si="39"/>
        <v>8888.2900000000009</v>
      </c>
      <c r="K115" s="510">
        <f t="shared" si="40"/>
        <v>7001.48</v>
      </c>
      <c r="L115" s="510">
        <f t="shared" si="41"/>
        <v>1886.81</v>
      </c>
      <c r="M115" s="519"/>
      <c r="N115" s="519"/>
      <c r="O115" s="519"/>
      <c r="P115" s="519"/>
      <c r="Q115" s="519"/>
      <c r="R115" s="519"/>
      <c r="S115" s="519"/>
      <c r="T115" s="519"/>
      <c r="U115" s="519"/>
      <c r="V115" s="519">
        <f>0.5*J115</f>
        <v>4444.1450000000004</v>
      </c>
      <c r="W115" s="519">
        <f>0.5*J115</f>
        <v>4444.1450000000004</v>
      </c>
      <c r="X115" s="519"/>
      <c r="Y115" s="519"/>
      <c r="Z115" s="519"/>
    </row>
    <row r="116" spans="1:26" s="512" customFormat="1" ht="15">
      <c r="A116" s="337" t="s">
        <v>6780</v>
      </c>
      <c r="B116" s="698" t="s">
        <v>6781</v>
      </c>
      <c r="C116" s="698"/>
      <c r="D116" s="698"/>
      <c r="E116" s="698"/>
      <c r="F116" s="698"/>
      <c r="G116" s="698"/>
      <c r="H116" s="698"/>
      <c r="I116" s="698"/>
      <c r="J116" s="698"/>
      <c r="K116" s="39"/>
      <c r="L116" s="521"/>
      <c r="M116" s="519"/>
      <c r="N116" s="519"/>
      <c r="O116" s="519"/>
      <c r="P116" s="519"/>
      <c r="Q116" s="519"/>
      <c r="R116" s="519"/>
      <c r="S116" s="519"/>
      <c r="T116" s="519"/>
      <c r="U116" s="519"/>
      <c r="V116" s="519"/>
      <c r="W116" s="519"/>
      <c r="X116" s="519"/>
      <c r="Y116" s="519"/>
      <c r="Z116" s="519"/>
    </row>
    <row r="117" spans="1:26" s="512" customFormat="1" ht="60">
      <c r="A117" s="338" t="s">
        <v>7900</v>
      </c>
      <c r="B117" s="576" t="s">
        <v>5256</v>
      </c>
      <c r="C117" s="576" t="s">
        <v>6787</v>
      </c>
      <c r="D117" s="336" t="s">
        <v>6782</v>
      </c>
      <c r="E117" s="341">
        <v>16</v>
      </c>
      <c r="F117" s="342" t="s">
        <v>6337</v>
      </c>
      <c r="G117" s="352">
        <v>875.01</v>
      </c>
      <c r="H117" s="339">
        <f t="shared" ref="H117:H137" si="45">ROUND(G117*$B$13,2)</f>
        <v>235.64</v>
      </c>
      <c r="I117" s="339">
        <f t="shared" ref="I117:I137" si="46">H117+G117</f>
        <v>1110.6500000000001</v>
      </c>
      <c r="J117" s="431">
        <f t="shared" ref="J117:J137" si="47">ROUND(I117*E117,2)</f>
        <v>17770.400000000001</v>
      </c>
      <c r="K117" s="510">
        <f t="shared" ref="K117:K137" si="48">ROUND(G117*E117,2)</f>
        <v>14000.16</v>
      </c>
      <c r="L117" s="510">
        <f t="shared" ref="L117:L137" si="49">ROUND(H117*E117,2)</f>
        <v>3770.24</v>
      </c>
      <c r="M117" s="519"/>
      <c r="N117" s="519"/>
      <c r="O117" s="519"/>
      <c r="P117" s="519"/>
      <c r="Q117" s="519"/>
      <c r="R117" s="519"/>
      <c r="S117" s="519"/>
      <c r="T117" s="519"/>
      <c r="U117" s="519"/>
      <c r="V117" s="519">
        <f t="shared" ref="V117:V137" si="50">0.3*J117</f>
        <v>5331.12</v>
      </c>
      <c r="W117" s="519">
        <f t="shared" ref="W117:W137" si="51">0.4*J117</f>
        <v>7108.1600000000008</v>
      </c>
      <c r="X117" s="519">
        <f t="shared" ref="X117:X137" si="52">0.3*J117</f>
        <v>5331.12</v>
      </c>
      <c r="Y117" s="519"/>
      <c r="Z117" s="519"/>
    </row>
    <row r="118" spans="1:26" s="512" customFormat="1" ht="60">
      <c r="A118" s="338" t="s">
        <v>7901</v>
      </c>
      <c r="B118" s="576" t="s">
        <v>5256</v>
      </c>
      <c r="C118" s="576" t="s">
        <v>6788</v>
      </c>
      <c r="D118" s="336" t="s">
        <v>6783</v>
      </c>
      <c r="E118" s="341">
        <v>6</v>
      </c>
      <c r="F118" s="342" t="s">
        <v>6337</v>
      </c>
      <c r="G118" s="352">
        <v>968.17</v>
      </c>
      <c r="H118" s="339">
        <f t="shared" si="45"/>
        <v>260.73</v>
      </c>
      <c r="I118" s="339">
        <f t="shared" si="46"/>
        <v>1228.9000000000001</v>
      </c>
      <c r="J118" s="431">
        <f t="shared" si="47"/>
        <v>7373.4</v>
      </c>
      <c r="K118" s="510">
        <f t="shared" si="48"/>
        <v>5809.02</v>
      </c>
      <c r="L118" s="510">
        <f t="shared" si="49"/>
        <v>1564.38</v>
      </c>
      <c r="M118" s="519"/>
      <c r="N118" s="519"/>
      <c r="O118" s="519"/>
      <c r="P118" s="519"/>
      <c r="Q118" s="519"/>
      <c r="R118" s="519"/>
      <c r="S118" s="519"/>
      <c r="T118" s="519"/>
      <c r="U118" s="519"/>
      <c r="V118" s="519">
        <f t="shared" si="50"/>
        <v>2212.02</v>
      </c>
      <c r="W118" s="519">
        <f t="shared" si="51"/>
        <v>2949.36</v>
      </c>
      <c r="X118" s="519">
        <f t="shared" si="52"/>
        <v>2212.02</v>
      </c>
      <c r="Y118" s="519"/>
      <c r="Z118" s="519"/>
    </row>
    <row r="119" spans="1:26" s="512" customFormat="1" ht="75">
      <c r="A119" s="338" t="s">
        <v>7902</v>
      </c>
      <c r="B119" s="576" t="s">
        <v>5256</v>
      </c>
      <c r="C119" s="576" t="s">
        <v>6789</v>
      </c>
      <c r="D119" s="336" t="s">
        <v>6784</v>
      </c>
      <c r="E119" s="341">
        <v>1</v>
      </c>
      <c r="F119" s="342" t="s">
        <v>6337</v>
      </c>
      <c r="G119" s="352">
        <v>4466.43</v>
      </c>
      <c r="H119" s="339">
        <f t="shared" si="45"/>
        <v>1202.81</v>
      </c>
      <c r="I119" s="339">
        <f t="shared" si="46"/>
        <v>5669.24</v>
      </c>
      <c r="J119" s="431">
        <f t="shared" si="47"/>
        <v>5669.24</v>
      </c>
      <c r="K119" s="510">
        <f t="shared" si="48"/>
        <v>4466.43</v>
      </c>
      <c r="L119" s="510">
        <f t="shared" si="49"/>
        <v>1202.81</v>
      </c>
      <c r="M119" s="519"/>
      <c r="N119" s="519"/>
      <c r="O119" s="519"/>
      <c r="P119" s="519"/>
      <c r="Q119" s="519"/>
      <c r="R119" s="519"/>
      <c r="S119" s="519"/>
      <c r="T119" s="519"/>
      <c r="U119" s="519"/>
      <c r="V119" s="519">
        <f t="shared" si="50"/>
        <v>1700.7719999999999</v>
      </c>
      <c r="W119" s="519">
        <f t="shared" si="51"/>
        <v>2267.6959999999999</v>
      </c>
      <c r="X119" s="519">
        <f t="shared" si="52"/>
        <v>1700.7719999999999</v>
      </c>
      <c r="Y119" s="519"/>
      <c r="Z119" s="519"/>
    </row>
    <row r="120" spans="1:26" s="512" customFormat="1" ht="75">
      <c r="A120" s="338" t="s">
        <v>7903</v>
      </c>
      <c r="B120" s="576" t="s">
        <v>5256</v>
      </c>
      <c r="C120" s="576" t="s">
        <v>6790</v>
      </c>
      <c r="D120" s="336" t="s">
        <v>6785</v>
      </c>
      <c r="E120" s="341">
        <v>1</v>
      </c>
      <c r="F120" s="342" t="s">
        <v>6337</v>
      </c>
      <c r="G120" s="352">
        <v>4968.63</v>
      </c>
      <c r="H120" s="339">
        <f t="shared" si="45"/>
        <v>1338.05</v>
      </c>
      <c r="I120" s="339">
        <f t="shared" si="46"/>
        <v>6306.68</v>
      </c>
      <c r="J120" s="431">
        <f t="shared" si="47"/>
        <v>6306.68</v>
      </c>
      <c r="K120" s="510">
        <f t="shared" si="48"/>
        <v>4968.63</v>
      </c>
      <c r="L120" s="510">
        <f t="shared" si="49"/>
        <v>1338.05</v>
      </c>
      <c r="M120" s="519"/>
      <c r="N120" s="519"/>
      <c r="O120" s="519"/>
      <c r="P120" s="519"/>
      <c r="Q120" s="519"/>
      <c r="R120" s="519"/>
      <c r="S120" s="519"/>
      <c r="T120" s="519"/>
      <c r="U120" s="519"/>
      <c r="V120" s="519">
        <f t="shared" si="50"/>
        <v>1892.0039999999999</v>
      </c>
      <c r="W120" s="519">
        <f t="shared" si="51"/>
        <v>2522.6720000000005</v>
      </c>
      <c r="X120" s="519">
        <f t="shared" si="52"/>
        <v>1892.0039999999999</v>
      </c>
      <c r="Y120" s="519"/>
      <c r="Z120" s="519"/>
    </row>
    <row r="121" spans="1:26" s="512" customFormat="1" ht="45">
      <c r="A121" s="338" t="s">
        <v>7904</v>
      </c>
      <c r="B121" s="576" t="s">
        <v>5256</v>
      </c>
      <c r="C121" s="576" t="s">
        <v>6791</v>
      </c>
      <c r="D121" s="336" t="s">
        <v>6786</v>
      </c>
      <c r="E121" s="341">
        <v>5</v>
      </c>
      <c r="F121" s="342" t="s">
        <v>6337</v>
      </c>
      <c r="G121" s="352">
        <v>931.57999999999993</v>
      </c>
      <c r="H121" s="339">
        <f t="shared" si="45"/>
        <v>250.87</v>
      </c>
      <c r="I121" s="339">
        <f t="shared" si="46"/>
        <v>1182.4499999999998</v>
      </c>
      <c r="J121" s="431">
        <f t="shared" si="47"/>
        <v>5912.25</v>
      </c>
      <c r="K121" s="510">
        <f t="shared" si="48"/>
        <v>4657.8999999999996</v>
      </c>
      <c r="L121" s="510">
        <f t="shared" si="49"/>
        <v>1254.3499999999999</v>
      </c>
      <c r="M121" s="519"/>
      <c r="N121" s="519"/>
      <c r="O121" s="519"/>
      <c r="P121" s="519"/>
      <c r="Q121" s="519"/>
      <c r="R121" s="519"/>
      <c r="S121" s="519"/>
      <c r="T121" s="519"/>
      <c r="U121" s="519"/>
      <c r="V121" s="519">
        <f t="shared" si="50"/>
        <v>1773.675</v>
      </c>
      <c r="W121" s="519">
        <f t="shared" si="51"/>
        <v>2364.9</v>
      </c>
      <c r="X121" s="519">
        <f t="shared" si="52"/>
        <v>1773.675</v>
      </c>
      <c r="Y121" s="519"/>
      <c r="Z121" s="519"/>
    </row>
    <row r="122" spans="1:26" s="512" customFormat="1" ht="60">
      <c r="A122" s="338" t="s">
        <v>7905</v>
      </c>
      <c r="B122" s="576" t="s">
        <v>5256</v>
      </c>
      <c r="C122" s="576" t="s">
        <v>6794</v>
      </c>
      <c r="D122" s="336" t="s">
        <v>6792</v>
      </c>
      <c r="E122" s="341">
        <v>1</v>
      </c>
      <c r="F122" s="342" t="s">
        <v>6337</v>
      </c>
      <c r="G122" s="352">
        <v>19779.099999999999</v>
      </c>
      <c r="H122" s="339">
        <f t="shared" si="45"/>
        <v>5326.51</v>
      </c>
      <c r="I122" s="339">
        <f t="shared" si="46"/>
        <v>25105.61</v>
      </c>
      <c r="J122" s="431">
        <f t="shared" si="47"/>
        <v>25105.61</v>
      </c>
      <c r="K122" s="510">
        <f t="shared" si="48"/>
        <v>19779.099999999999</v>
      </c>
      <c r="L122" s="510">
        <f t="shared" si="49"/>
        <v>5326.51</v>
      </c>
      <c r="M122" s="519"/>
      <c r="N122" s="519"/>
      <c r="O122" s="519"/>
      <c r="P122" s="519"/>
      <c r="Q122" s="519"/>
      <c r="R122" s="519"/>
      <c r="S122" s="519"/>
      <c r="T122" s="519"/>
      <c r="U122" s="519"/>
      <c r="V122" s="519">
        <f t="shared" si="50"/>
        <v>7531.683</v>
      </c>
      <c r="W122" s="519">
        <f t="shared" si="51"/>
        <v>10042.244000000001</v>
      </c>
      <c r="X122" s="519">
        <f t="shared" si="52"/>
        <v>7531.683</v>
      </c>
      <c r="Y122" s="519"/>
      <c r="Z122" s="519"/>
    </row>
    <row r="123" spans="1:26" s="512" customFormat="1" ht="60">
      <c r="A123" s="338" t="s">
        <v>7906</v>
      </c>
      <c r="B123" s="576" t="s">
        <v>5256</v>
      </c>
      <c r="C123" s="576" t="s">
        <v>6795</v>
      </c>
      <c r="D123" s="336" t="s">
        <v>6793</v>
      </c>
      <c r="E123" s="341">
        <v>1</v>
      </c>
      <c r="F123" s="342" t="s">
        <v>6337</v>
      </c>
      <c r="G123" s="352">
        <v>18748.469999999998</v>
      </c>
      <c r="H123" s="339">
        <f t="shared" si="45"/>
        <v>5048.96</v>
      </c>
      <c r="I123" s="339">
        <f t="shared" si="46"/>
        <v>23797.429999999997</v>
      </c>
      <c r="J123" s="431">
        <f t="shared" si="47"/>
        <v>23797.43</v>
      </c>
      <c r="K123" s="510">
        <f t="shared" si="48"/>
        <v>18748.47</v>
      </c>
      <c r="L123" s="510">
        <f t="shared" si="49"/>
        <v>5048.96</v>
      </c>
      <c r="M123" s="519"/>
      <c r="N123" s="519"/>
      <c r="O123" s="519"/>
      <c r="P123" s="519"/>
      <c r="Q123" s="519"/>
      <c r="R123" s="519"/>
      <c r="S123" s="519"/>
      <c r="T123" s="519"/>
      <c r="U123" s="519"/>
      <c r="V123" s="519">
        <f t="shared" si="50"/>
        <v>7139.2290000000003</v>
      </c>
      <c r="W123" s="519">
        <f t="shared" si="51"/>
        <v>9518.9719999999998</v>
      </c>
      <c r="X123" s="519">
        <f t="shared" si="52"/>
        <v>7139.2290000000003</v>
      </c>
      <c r="Y123" s="519"/>
      <c r="Z123" s="519"/>
    </row>
    <row r="124" spans="1:26" s="512" customFormat="1" ht="30">
      <c r="A124" s="338" t="s">
        <v>7907</v>
      </c>
      <c r="B124" s="576" t="s">
        <v>5256</v>
      </c>
      <c r="C124" s="576" t="s">
        <v>6796</v>
      </c>
      <c r="D124" s="336" t="s">
        <v>9581</v>
      </c>
      <c r="E124" s="341">
        <v>1</v>
      </c>
      <c r="F124" s="342" t="s">
        <v>6337</v>
      </c>
      <c r="G124" s="352">
        <v>1172.92</v>
      </c>
      <c r="H124" s="339">
        <f t="shared" si="45"/>
        <v>315.87</v>
      </c>
      <c r="I124" s="339">
        <f t="shared" si="46"/>
        <v>1488.79</v>
      </c>
      <c r="J124" s="431">
        <f t="shared" si="47"/>
        <v>1488.79</v>
      </c>
      <c r="K124" s="510">
        <f t="shared" si="48"/>
        <v>1172.92</v>
      </c>
      <c r="L124" s="510">
        <f t="shared" si="49"/>
        <v>315.87</v>
      </c>
      <c r="M124" s="519"/>
      <c r="N124" s="519"/>
      <c r="O124" s="519"/>
      <c r="P124" s="519"/>
      <c r="Q124" s="519"/>
      <c r="R124" s="519"/>
      <c r="S124" s="519"/>
      <c r="T124" s="519"/>
      <c r="U124" s="519"/>
      <c r="V124" s="519">
        <f t="shared" si="50"/>
        <v>446.637</v>
      </c>
      <c r="W124" s="519">
        <f t="shared" si="51"/>
        <v>595.51599999999996</v>
      </c>
      <c r="X124" s="519">
        <f t="shared" si="52"/>
        <v>446.637</v>
      </c>
      <c r="Y124" s="519"/>
      <c r="Z124" s="519"/>
    </row>
    <row r="125" spans="1:26" s="512" customFormat="1" ht="30">
      <c r="A125" s="338" t="s">
        <v>7908</v>
      </c>
      <c r="B125" s="576" t="s">
        <v>5256</v>
      </c>
      <c r="C125" s="576" t="s">
        <v>6797</v>
      </c>
      <c r="D125" s="336" t="s">
        <v>9582</v>
      </c>
      <c r="E125" s="341">
        <v>3</v>
      </c>
      <c r="F125" s="342" t="s">
        <v>6337</v>
      </c>
      <c r="G125" s="352">
        <v>636.73</v>
      </c>
      <c r="H125" s="339">
        <f t="shared" si="45"/>
        <v>171.47</v>
      </c>
      <c r="I125" s="339">
        <f t="shared" si="46"/>
        <v>808.2</v>
      </c>
      <c r="J125" s="431">
        <f t="shared" si="47"/>
        <v>2424.6</v>
      </c>
      <c r="K125" s="510">
        <f t="shared" si="48"/>
        <v>1910.19</v>
      </c>
      <c r="L125" s="510">
        <f t="shared" si="49"/>
        <v>514.41</v>
      </c>
      <c r="M125" s="519"/>
      <c r="N125" s="519"/>
      <c r="O125" s="519"/>
      <c r="P125" s="519"/>
      <c r="Q125" s="519"/>
      <c r="R125" s="519"/>
      <c r="S125" s="519"/>
      <c r="T125" s="519"/>
      <c r="U125" s="519"/>
      <c r="V125" s="519">
        <f t="shared" si="50"/>
        <v>727.38</v>
      </c>
      <c r="W125" s="519">
        <f t="shared" si="51"/>
        <v>969.84</v>
      </c>
      <c r="X125" s="519">
        <f t="shared" si="52"/>
        <v>727.38</v>
      </c>
      <c r="Y125" s="519"/>
      <c r="Z125" s="519"/>
    </row>
    <row r="126" spans="1:26" s="512" customFormat="1" ht="30">
      <c r="A126" s="338" t="s">
        <v>7909</v>
      </c>
      <c r="B126" s="576" t="s">
        <v>5256</v>
      </c>
      <c r="C126" s="576" t="s">
        <v>6798</v>
      </c>
      <c r="D126" s="336" t="s">
        <v>9583</v>
      </c>
      <c r="E126" s="341">
        <v>2</v>
      </c>
      <c r="F126" s="342" t="s">
        <v>6337</v>
      </c>
      <c r="G126" s="352">
        <v>1256.7000000000003</v>
      </c>
      <c r="H126" s="339">
        <f t="shared" si="45"/>
        <v>338.43</v>
      </c>
      <c r="I126" s="339">
        <f t="shared" si="46"/>
        <v>1595.1300000000003</v>
      </c>
      <c r="J126" s="431">
        <f t="shared" si="47"/>
        <v>3190.26</v>
      </c>
      <c r="K126" s="510">
        <f t="shared" si="48"/>
        <v>2513.4</v>
      </c>
      <c r="L126" s="510">
        <f t="shared" si="49"/>
        <v>676.86</v>
      </c>
      <c r="M126" s="519"/>
      <c r="N126" s="519"/>
      <c r="O126" s="519"/>
      <c r="P126" s="519"/>
      <c r="Q126" s="519"/>
      <c r="R126" s="519"/>
      <c r="S126" s="519"/>
      <c r="T126" s="519"/>
      <c r="U126" s="519"/>
      <c r="V126" s="519">
        <f t="shared" si="50"/>
        <v>957.07799999999997</v>
      </c>
      <c r="W126" s="519">
        <f t="shared" si="51"/>
        <v>1276.1040000000003</v>
      </c>
      <c r="X126" s="519">
        <f t="shared" si="52"/>
        <v>957.07799999999997</v>
      </c>
      <c r="Y126" s="519"/>
      <c r="Z126" s="519"/>
    </row>
    <row r="127" spans="1:26" s="512" customFormat="1" ht="45">
      <c r="A127" s="338" t="s">
        <v>9580</v>
      </c>
      <c r="B127" s="576" t="s">
        <v>5256</v>
      </c>
      <c r="C127" s="576" t="s">
        <v>8926</v>
      </c>
      <c r="D127" s="336" t="s">
        <v>9584</v>
      </c>
      <c r="E127" s="341">
        <v>4</v>
      </c>
      <c r="F127" s="342" t="s">
        <v>6337</v>
      </c>
      <c r="G127" s="352">
        <v>591.09</v>
      </c>
      <c r="H127" s="339">
        <f t="shared" si="45"/>
        <v>159.18</v>
      </c>
      <c r="I127" s="339">
        <f t="shared" si="46"/>
        <v>750.27</v>
      </c>
      <c r="J127" s="431">
        <f t="shared" si="47"/>
        <v>3001.08</v>
      </c>
      <c r="K127" s="510">
        <f t="shared" si="48"/>
        <v>2364.36</v>
      </c>
      <c r="L127" s="510">
        <f t="shared" si="49"/>
        <v>636.72</v>
      </c>
      <c r="M127" s="519"/>
      <c r="N127" s="519"/>
      <c r="O127" s="519"/>
      <c r="P127" s="519"/>
      <c r="Q127" s="519"/>
      <c r="R127" s="519"/>
      <c r="S127" s="519"/>
      <c r="T127" s="519"/>
      <c r="U127" s="519"/>
      <c r="V127" s="519">
        <f t="shared" si="50"/>
        <v>900.32399999999996</v>
      </c>
      <c r="W127" s="519">
        <f t="shared" si="51"/>
        <v>1200.432</v>
      </c>
      <c r="X127" s="519">
        <f t="shared" si="52"/>
        <v>900.32399999999996</v>
      </c>
      <c r="Y127" s="519"/>
      <c r="Z127" s="519"/>
    </row>
    <row r="128" spans="1:26" s="512" customFormat="1" ht="45">
      <c r="A128" s="338" t="s">
        <v>7910</v>
      </c>
      <c r="B128" s="576" t="s">
        <v>6775</v>
      </c>
      <c r="C128" s="576">
        <v>3</v>
      </c>
      <c r="D128" s="336" t="s">
        <v>6800</v>
      </c>
      <c r="E128" s="341">
        <v>8</v>
      </c>
      <c r="F128" s="342" t="s">
        <v>6337</v>
      </c>
      <c r="G128" s="352">
        <v>4614.47</v>
      </c>
      <c r="H128" s="339">
        <f t="shared" si="45"/>
        <v>1242.68</v>
      </c>
      <c r="I128" s="339">
        <f t="shared" si="46"/>
        <v>5857.1500000000005</v>
      </c>
      <c r="J128" s="431">
        <f t="shared" si="47"/>
        <v>46857.2</v>
      </c>
      <c r="K128" s="510">
        <f t="shared" si="48"/>
        <v>36915.760000000002</v>
      </c>
      <c r="L128" s="510">
        <f t="shared" si="49"/>
        <v>9941.44</v>
      </c>
      <c r="M128" s="519"/>
      <c r="N128" s="519"/>
      <c r="O128" s="519"/>
      <c r="P128" s="519"/>
      <c r="Q128" s="519"/>
      <c r="R128" s="519"/>
      <c r="S128" s="519"/>
      <c r="T128" s="519"/>
      <c r="U128" s="519"/>
      <c r="V128" s="519">
        <f t="shared" si="50"/>
        <v>14057.159999999998</v>
      </c>
      <c r="W128" s="519">
        <f t="shared" si="51"/>
        <v>18742.88</v>
      </c>
      <c r="X128" s="519">
        <f t="shared" si="52"/>
        <v>14057.159999999998</v>
      </c>
      <c r="Y128" s="519"/>
      <c r="Z128" s="519"/>
    </row>
    <row r="129" spans="1:26" s="512" customFormat="1" ht="45">
      <c r="A129" s="338" t="s">
        <v>7911</v>
      </c>
      <c r="B129" s="576" t="s">
        <v>6775</v>
      </c>
      <c r="C129" s="576">
        <v>4</v>
      </c>
      <c r="D129" s="336" t="s">
        <v>6801</v>
      </c>
      <c r="E129" s="341">
        <v>8</v>
      </c>
      <c r="F129" s="342" t="s">
        <v>6337</v>
      </c>
      <c r="G129" s="352">
        <v>4614.47</v>
      </c>
      <c r="H129" s="339">
        <f t="shared" si="45"/>
        <v>1242.68</v>
      </c>
      <c r="I129" s="339">
        <f t="shared" si="46"/>
        <v>5857.1500000000005</v>
      </c>
      <c r="J129" s="431">
        <f t="shared" si="47"/>
        <v>46857.2</v>
      </c>
      <c r="K129" s="510">
        <f t="shared" si="48"/>
        <v>36915.760000000002</v>
      </c>
      <c r="L129" s="510">
        <f t="shared" si="49"/>
        <v>9941.44</v>
      </c>
      <c r="M129" s="519"/>
      <c r="N129" s="519"/>
      <c r="O129" s="519"/>
      <c r="P129" s="519"/>
      <c r="Q129" s="519"/>
      <c r="R129" s="519"/>
      <c r="S129" s="519"/>
      <c r="T129" s="519"/>
      <c r="U129" s="519"/>
      <c r="V129" s="519">
        <f t="shared" si="50"/>
        <v>14057.159999999998</v>
      </c>
      <c r="W129" s="519">
        <f t="shared" si="51"/>
        <v>18742.88</v>
      </c>
      <c r="X129" s="519">
        <f t="shared" si="52"/>
        <v>14057.159999999998</v>
      </c>
      <c r="Y129" s="519"/>
      <c r="Z129" s="519"/>
    </row>
    <row r="130" spans="1:26" s="512" customFormat="1" ht="45">
      <c r="A130" s="338" t="s">
        <v>7912</v>
      </c>
      <c r="B130" s="576" t="s">
        <v>6775</v>
      </c>
      <c r="C130" s="576">
        <v>5</v>
      </c>
      <c r="D130" s="336" t="s">
        <v>6802</v>
      </c>
      <c r="E130" s="341">
        <v>6</v>
      </c>
      <c r="F130" s="342" t="s">
        <v>6337</v>
      </c>
      <c r="G130" s="352">
        <v>4671.9799999999996</v>
      </c>
      <c r="H130" s="339">
        <f t="shared" si="45"/>
        <v>1258.1600000000001</v>
      </c>
      <c r="I130" s="339">
        <f t="shared" si="46"/>
        <v>5930.1399999999994</v>
      </c>
      <c r="J130" s="431">
        <f t="shared" si="47"/>
        <v>35580.839999999997</v>
      </c>
      <c r="K130" s="510">
        <f t="shared" si="48"/>
        <v>28031.88</v>
      </c>
      <c r="L130" s="510">
        <f t="shared" si="49"/>
        <v>7548.96</v>
      </c>
      <c r="M130" s="519"/>
      <c r="N130" s="519"/>
      <c r="O130" s="519"/>
      <c r="P130" s="519"/>
      <c r="Q130" s="519"/>
      <c r="R130" s="519"/>
      <c r="S130" s="519"/>
      <c r="T130" s="519"/>
      <c r="U130" s="519"/>
      <c r="V130" s="519">
        <f t="shared" si="50"/>
        <v>10674.251999999999</v>
      </c>
      <c r="W130" s="519">
        <f t="shared" si="51"/>
        <v>14232.335999999999</v>
      </c>
      <c r="X130" s="519">
        <f t="shared" si="52"/>
        <v>10674.251999999999</v>
      </c>
      <c r="Y130" s="519"/>
      <c r="Z130" s="519"/>
    </row>
    <row r="131" spans="1:26" s="512" customFormat="1" ht="45">
      <c r="A131" s="338" t="s">
        <v>7913</v>
      </c>
      <c r="B131" s="576" t="s">
        <v>6775</v>
      </c>
      <c r="C131" s="576">
        <v>6</v>
      </c>
      <c r="D131" s="336" t="s">
        <v>6803</v>
      </c>
      <c r="E131" s="341">
        <v>2</v>
      </c>
      <c r="F131" s="342" t="s">
        <v>6337</v>
      </c>
      <c r="G131" s="352">
        <v>3759.4</v>
      </c>
      <c r="H131" s="339">
        <f t="shared" si="45"/>
        <v>1012.41</v>
      </c>
      <c r="I131" s="339">
        <f t="shared" si="46"/>
        <v>4771.8100000000004</v>
      </c>
      <c r="J131" s="431">
        <f t="shared" si="47"/>
        <v>9543.6200000000008</v>
      </c>
      <c r="K131" s="510">
        <f t="shared" si="48"/>
        <v>7518.8</v>
      </c>
      <c r="L131" s="510">
        <f t="shared" si="49"/>
        <v>2024.82</v>
      </c>
      <c r="M131" s="519"/>
      <c r="N131" s="519"/>
      <c r="O131" s="519"/>
      <c r="P131" s="519"/>
      <c r="Q131" s="519"/>
      <c r="R131" s="519"/>
      <c r="S131" s="519"/>
      <c r="T131" s="519"/>
      <c r="U131" s="519"/>
      <c r="V131" s="519">
        <f t="shared" si="50"/>
        <v>2863.0860000000002</v>
      </c>
      <c r="W131" s="519">
        <f t="shared" si="51"/>
        <v>3817.4480000000003</v>
      </c>
      <c r="X131" s="519">
        <f t="shared" si="52"/>
        <v>2863.0860000000002</v>
      </c>
      <c r="Y131" s="519"/>
      <c r="Z131" s="519"/>
    </row>
    <row r="132" spans="1:26" s="512" customFormat="1" ht="45">
      <c r="A132" s="338" t="s">
        <v>7815</v>
      </c>
      <c r="B132" s="576" t="s">
        <v>6333</v>
      </c>
      <c r="C132" s="576">
        <v>12082</v>
      </c>
      <c r="D132" s="336" t="s">
        <v>7816</v>
      </c>
      <c r="E132" s="341">
        <v>1</v>
      </c>
      <c r="F132" s="342" t="s">
        <v>6337</v>
      </c>
      <c r="G132" s="352">
        <v>3341.5600000000004</v>
      </c>
      <c r="H132" s="339">
        <f t="shared" si="45"/>
        <v>899.88</v>
      </c>
      <c r="I132" s="339">
        <f t="shared" si="46"/>
        <v>4241.4400000000005</v>
      </c>
      <c r="J132" s="431">
        <f t="shared" si="47"/>
        <v>4241.4399999999996</v>
      </c>
      <c r="K132" s="510">
        <f t="shared" si="48"/>
        <v>3341.56</v>
      </c>
      <c r="L132" s="510">
        <f t="shared" si="49"/>
        <v>899.88</v>
      </c>
      <c r="M132" s="519"/>
      <c r="N132" s="519"/>
      <c r="O132" s="519"/>
      <c r="P132" s="519"/>
      <c r="Q132" s="519"/>
      <c r="R132" s="519"/>
      <c r="S132" s="519"/>
      <c r="T132" s="519"/>
      <c r="U132" s="519"/>
      <c r="V132" s="519">
        <f t="shared" si="50"/>
        <v>1272.4319999999998</v>
      </c>
      <c r="W132" s="519">
        <f t="shared" si="51"/>
        <v>1696.576</v>
      </c>
      <c r="X132" s="519">
        <f t="shared" si="52"/>
        <v>1272.4319999999998</v>
      </c>
      <c r="Y132" s="519"/>
      <c r="Z132" s="519"/>
    </row>
    <row r="133" spans="1:26" s="512" customFormat="1" ht="90">
      <c r="A133" s="530" t="s">
        <v>7914</v>
      </c>
      <c r="B133" s="576" t="s">
        <v>5256</v>
      </c>
      <c r="C133" s="576" t="s">
        <v>6810</v>
      </c>
      <c r="D133" s="336" t="s">
        <v>6805</v>
      </c>
      <c r="E133" s="341">
        <v>6</v>
      </c>
      <c r="F133" s="342" t="s">
        <v>6337</v>
      </c>
      <c r="G133" s="352">
        <v>672.63000000000011</v>
      </c>
      <c r="H133" s="339">
        <f t="shared" si="45"/>
        <v>181.14</v>
      </c>
      <c r="I133" s="339">
        <f t="shared" si="46"/>
        <v>853.7700000000001</v>
      </c>
      <c r="J133" s="431">
        <f t="shared" si="47"/>
        <v>5122.62</v>
      </c>
      <c r="K133" s="510">
        <f t="shared" si="48"/>
        <v>4035.78</v>
      </c>
      <c r="L133" s="510">
        <f t="shared" si="49"/>
        <v>1086.8399999999999</v>
      </c>
      <c r="M133" s="519"/>
      <c r="N133" s="519"/>
      <c r="O133" s="519"/>
      <c r="P133" s="519"/>
      <c r="Q133" s="519"/>
      <c r="R133" s="519"/>
      <c r="S133" s="519"/>
      <c r="T133" s="519"/>
      <c r="U133" s="519"/>
      <c r="V133" s="519">
        <f t="shared" si="50"/>
        <v>1536.7859999999998</v>
      </c>
      <c r="W133" s="519">
        <f t="shared" si="51"/>
        <v>2049.0480000000002</v>
      </c>
      <c r="X133" s="519">
        <f t="shared" si="52"/>
        <v>1536.7859999999998</v>
      </c>
      <c r="Y133" s="519"/>
      <c r="Z133" s="519"/>
    </row>
    <row r="134" spans="1:26" s="512" customFormat="1" ht="105">
      <c r="A134" s="530" t="s">
        <v>7915</v>
      </c>
      <c r="B134" s="576" t="s">
        <v>5256</v>
      </c>
      <c r="C134" s="576" t="s">
        <v>6811</v>
      </c>
      <c r="D134" s="336" t="s">
        <v>6806</v>
      </c>
      <c r="E134" s="341">
        <v>4</v>
      </c>
      <c r="F134" s="342" t="s">
        <v>6337</v>
      </c>
      <c r="G134" s="352">
        <v>1186.44</v>
      </c>
      <c r="H134" s="339">
        <f t="shared" si="45"/>
        <v>319.51</v>
      </c>
      <c r="I134" s="339">
        <f t="shared" si="46"/>
        <v>1505.95</v>
      </c>
      <c r="J134" s="431">
        <f t="shared" si="47"/>
        <v>6023.8</v>
      </c>
      <c r="K134" s="510">
        <f t="shared" si="48"/>
        <v>4745.76</v>
      </c>
      <c r="L134" s="510">
        <f t="shared" si="49"/>
        <v>1278.04</v>
      </c>
      <c r="M134" s="519"/>
      <c r="N134" s="519"/>
      <c r="O134" s="519"/>
      <c r="P134" s="519"/>
      <c r="Q134" s="519"/>
      <c r="R134" s="519"/>
      <c r="S134" s="519"/>
      <c r="T134" s="519"/>
      <c r="U134" s="519"/>
      <c r="V134" s="519">
        <f t="shared" si="50"/>
        <v>1807.14</v>
      </c>
      <c r="W134" s="519">
        <f t="shared" si="51"/>
        <v>2409.52</v>
      </c>
      <c r="X134" s="519">
        <f t="shared" si="52"/>
        <v>1807.14</v>
      </c>
      <c r="Y134" s="519"/>
      <c r="Z134" s="519"/>
    </row>
    <row r="135" spans="1:26" s="512" customFormat="1" ht="90">
      <c r="A135" s="530" t="s">
        <v>7916</v>
      </c>
      <c r="B135" s="576" t="s">
        <v>5256</v>
      </c>
      <c r="C135" s="576" t="s">
        <v>6812</v>
      </c>
      <c r="D135" s="336" t="s">
        <v>6807</v>
      </c>
      <c r="E135" s="341">
        <v>17</v>
      </c>
      <c r="F135" s="342" t="s">
        <v>6337</v>
      </c>
      <c r="G135" s="352">
        <v>815.74000000000012</v>
      </c>
      <c r="H135" s="339">
        <f t="shared" si="45"/>
        <v>219.68</v>
      </c>
      <c r="I135" s="339">
        <f t="shared" si="46"/>
        <v>1035.42</v>
      </c>
      <c r="J135" s="431">
        <f t="shared" si="47"/>
        <v>17602.14</v>
      </c>
      <c r="K135" s="510">
        <f t="shared" si="48"/>
        <v>13867.58</v>
      </c>
      <c r="L135" s="510">
        <f t="shared" si="49"/>
        <v>3734.56</v>
      </c>
      <c r="M135" s="519"/>
      <c r="N135" s="519"/>
      <c r="O135" s="519"/>
      <c r="P135" s="519"/>
      <c r="Q135" s="519"/>
      <c r="R135" s="519"/>
      <c r="S135" s="519"/>
      <c r="T135" s="519"/>
      <c r="U135" s="519"/>
      <c r="V135" s="519">
        <f t="shared" si="50"/>
        <v>5280.6419999999998</v>
      </c>
      <c r="W135" s="519">
        <f t="shared" si="51"/>
        <v>7040.8559999999998</v>
      </c>
      <c r="X135" s="519">
        <f t="shared" si="52"/>
        <v>5280.6419999999998</v>
      </c>
      <c r="Y135" s="519"/>
      <c r="Z135" s="519"/>
    </row>
    <row r="136" spans="1:26" s="512" customFormat="1" ht="90">
      <c r="A136" s="530" t="s">
        <v>7917</v>
      </c>
      <c r="B136" s="576" t="s">
        <v>5256</v>
      </c>
      <c r="C136" s="576" t="s">
        <v>6813</v>
      </c>
      <c r="D136" s="336" t="s">
        <v>6808</v>
      </c>
      <c r="E136" s="341">
        <v>21</v>
      </c>
      <c r="F136" s="342" t="s">
        <v>6337</v>
      </c>
      <c r="G136" s="352">
        <v>537.03</v>
      </c>
      <c r="H136" s="339">
        <f t="shared" si="45"/>
        <v>144.62</v>
      </c>
      <c r="I136" s="339">
        <f t="shared" si="46"/>
        <v>681.65</v>
      </c>
      <c r="J136" s="431">
        <f t="shared" si="47"/>
        <v>14314.65</v>
      </c>
      <c r="K136" s="510">
        <f t="shared" si="48"/>
        <v>11277.63</v>
      </c>
      <c r="L136" s="510">
        <f t="shared" si="49"/>
        <v>3037.02</v>
      </c>
      <c r="M136" s="519"/>
      <c r="N136" s="519"/>
      <c r="O136" s="519"/>
      <c r="P136" s="519"/>
      <c r="Q136" s="519"/>
      <c r="R136" s="519"/>
      <c r="S136" s="519"/>
      <c r="T136" s="519"/>
      <c r="U136" s="519"/>
      <c r="V136" s="519">
        <f t="shared" si="50"/>
        <v>4294.3949999999995</v>
      </c>
      <c r="W136" s="519">
        <f t="shared" si="51"/>
        <v>5725.8600000000006</v>
      </c>
      <c r="X136" s="519">
        <f t="shared" si="52"/>
        <v>4294.3949999999995</v>
      </c>
      <c r="Y136" s="519"/>
      <c r="Z136" s="519"/>
    </row>
    <row r="137" spans="1:26" s="512" customFormat="1" ht="75">
      <c r="A137" s="530" t="s">
        <v>7918</v>
      </c>
      <c r="B137" s="576" t="s">
        <v>5256</v>
      </c>
      <c r="C137" s="576" t="s">
        <v>6814</v>
      </c>
      <c r="D137" s="336" t="s">
        <v>6809</v>
      </c>
      <c r="E137" s="341">
        <v>18</v>
      </c>
      <c r="F137" s="342" t="s">
        <v>6337</v>
      </c>
      <c r="G137" s="352">
        <v>275.39999999999998</v>
      </c>
      <c r="H137" s="339">
        <f t="shared" si="45"/>
        <v>74.17</v>
      </c>
      <c r="I137" s="339">
        <f t="shared" si="46"/>
        <v>349.57</v>
      </c>
      <c r="J137" s="431">
        <f t="shared" si="47"/>
        <v>6292.26</v>
      </c>
      <c r="K137" s="510">
        <f t="shared" si="48"/>
        <v>4957.2</v>
      </c>
      <c r="L137" s="510">
        <f t="shared" si="49"/>
        <v>1335.06</v>
      </c>
      <c r="M137" s="519"/>
      <c r="N137" s="519"/>
      <c r="O137" s="519"/>
      <c r="P137" s="519"/>
      <c r="Q137" s="519"/>
      <c r="R137" s="519"/>
      <c r="S137" s="519"/>
      <c r="T137" s="519"/>
      <c r="U137" s="519"/>
      <c r="V137" s="519">
        <f t="shared" si="50"/>
        <v>1887.6779999999999</v>
      </c>
      <c r="W137" s="519">
        <f t="shared" si="51"/>
        <v>2516.9040000000005</v>
      </c>
      <c r="X137" s="519">
        <f t="shared" si="52"/>
        <v>1887.6779999999999</v>
      </c>
      <c r="Y137" s="519"/>
      <c r="Z137" s="519"/>
    </row>
    <row r="138" spans="1:26" s="512" customFormat="1" ht="15">
      <c r="A138" s="337" t="s">
        <v>6818</v>
      </c>
      <c r="B138" s="698" t="s">
        <v>6819</v>
      </c>
      <c r="C138" s="698"/>
      <c r="D138" s="698"/>
      <c r="E138" s="698"/>
      <c r="F138" s="698"/>
      <c r="G138" s="698"/>
      <c r="H138" s="698"/>
      <c r="I138" s="698"/>
      <c r="J138" s="698"/>
      <c r="K138" s="39"/>
      <c r="L138" s="521"/>
      <c r="M138" s="519"/>
      <c r="N138" s="519"/>
      <c r="O138" s="519"/>
      <c r="P138" s="519"/>
      <c r="Q138" s="519"/>
      <c r="R138" s="519"/>
      <c r="S138" s="519"/>
      <c r="T138" s="519"/>
      <c r="U138" s="519"/>
      <c r="V138" s="519"/>
      <c r="W138" s="519"/>
      <c r="X138" s="519"/>
      <c r="Y138" s="519"/>
      <c r="Z138" s="519"/>
    </row>
    <row r="139" spans="1:26" s="512" customFormat="1" ht="45">
      <c r="A139" s="338" t="s">
        <v>7919</v>
      </c>
      <c r="B139" s="576" t="s">
        <v>6328</v>
      </c>
      <c r="C139" s="576">
        <v>10496</v>
      </c>
      <c r="D139" s="336" t="s">
        <v>6820</v>
      </c>
      <c r="E139" s="341">
        <v>180.48</v>
      </c>
      <c r="F139" s="342" t="s">
        <v>6339</v>
      </c>
      <c r="G139" s="352">
        <v>229.5</v>
      </c>
      <c r="H139" s="339">
        <f>ROUND(G139*$B$13,2)</f>
        <v>61.8</v>
      </c>
      <c r="I139" s="339">
        <f>H139+G139</f>
        <v>291.3</v>
      </c>
      <c r="J139" s="431">
        <f>ROUND(I139*E139,2)</f>
        <v>52573.82</v>
      </c>
      <c r="K139" s="510">
        <f t="shared" ref="K139:K143" si="53">ROUND(G139*E139,2)</f>
        <v>41420.160000000003</v>
      </c>
      <c r="L139" s="510">
        <f t="shared" ref="L139:L143" si="54">ROUND(H139*E139,2)</f>
        <v>11153.66</v>
      </c>
      <c r="M139" s="519"/>
      <c r="N139" s="519"/>
      <c r="O139" s="519"/>
      <c r="P139" s="519"/>
      <c r="Q139" s="519"/>
      <c r="R139" s="519"/>
      <c r="S139" s="519"/>
      <c r="T139" s="519"/>
      <c r="U139" s="519"/>
      <c r="V139" s="519"/>
      <c r="W139" s="519"/>
      <c r="X139" s="519"/>
      <c r="Y139" s="519">
        <f>0.8*J139</f>
        <v>42059.056000000004</v>
      </c>
      <c r="Z139" s="519">
        <f>0.2*J139</f>
        <v>10514.764000000001</v>
      </c>
    </row>
    <row r="140" spans="1:26" s="512" customFormat="1" ht="30">
      <c r="A140" s="338" t="s">
        <v>7920</v>
      </c>
      <c r="B140" s="576" t="s">
        <v>6328</v>
      </c>
      <c r="C140" s="576">
        <v>10496</v>
      </c>
      <c r="D140" s="336" t="s">
        <v>6821</v>
      </c>
      <c r="E140" s="341">
        <v>3.5</v>
      </c>
      <c r="F140" s="342" t="s">
        <v>6339</v>
      </c>
      <c r="G140" s="352">
        <v>229.5</v>
      </c>
      <c r="H140" s="339">
        <f>ROUND(G140*$B$13,2)</f>
        <v>61.8</v>
      </c>
      <c r="I140" s="339">
        <f>H140+G140</f>
        <v>291.3</v>
      </c>
      <c r="J140" s="431">
        <f>ROUND(I140*E140,2)</f>
        <v>1019.55</v>
      </c>
      <c r="K140" s="510">
        <f t="shared" si="53"/>
        <v>803.25</v>
      </c>
      <c r="L140" s="510">
        <f t="shared" si="54"/>
        <v>216.3</v>
      </c>
      <c r="M140" s="519"/>
      <c r="N140" s="519"/>
      <c r="O140" s="519"/>
      <c r="P140" s="519"/>
      <c r="Q140" s="519"/>
      <c r="R140" s="519"/>
      <c r="S140" s="519"/>
      <c r="T140" s="519"/>
      <c r="U140" s="519"/>
      <c r="V140" s="519"/>
      <c r="W140" s="519"/>
      <c r="X140" s="519"/>
      <c r="Y140" s="519">
        <f>0.8*J140</f>
        <v>815.64</v>
      </c>
      <c r="Z140" s="519">
        <f>0.2*J140</f>
        <v>203.91</v>
      </c>
    </row>
    <row r="141" spans="1:26" s="512" customFormat="1" ht="30">
      <c r="A141" s="338" t="s">
        <v>7921</v>
      </c>
      <c r="B141" s="576" t="s">
        <v>6328</v>
      </c>
      <c r="C141" s="576">
        <v>34391</v>
      </c>
      <c r="D141" s="336" t="s">
        <v>6822</v>
      </c>
      <c r="E141" s="341">
        <v>110.75</v>
      </c>
      <c r="F141" s="342" t="s">
        <v>6339</v>
      </c>
      <c r="G141" s="352">
        <v>263.64</v>
      </c>
      <c r="H141" s="339">
        <f>ROUND(G141*$B$13,2)</f>
        <v>71</v>
      </c>
      <c r="I141" s="339">
        <f>H141+G141</f>
        <v>334.64</v>
      </c>
      <c r="J141" s="431">
        <f>ROUND(I141*E141,2)</f>
        <v>37061.379999999997</v>
      </c>
      <c r="K141" s="510">
        <f t="shared" si="53"/>
        <v>29198.13</v>
      </c>
      <c r="L141" s="510">
        <f t="shared" si="54"/>
        <v>7863.25</v>
      </c>
      <c r="M141" s="519"/>
      <c r="N141" s="519"/>
      <c r="O141" s="519"/>
      <c r="P141" s="519"/>
      <c r="Q141" s="519"/>
      <c r="R141" s="519"/>
      <c r="S141" s="519"/>
      <c r="T141" s="519"/>
      <c r="U141" s="519"/>
      <c r="V141" s="519"/>
      <c r="W141" s="519"/>
      <c r="X141" s="519"/>
      <c r="Y141" s="519">
        <f>0.8*J141</f>
        <v>29649.103999999999</v>
      </c>
      <c r="Z141" s="519">
        <f>0.2*J141</f>
        <v>7412.2759999999998</v>
      </c>
    </row>
    <row r="142" spans="1:26" s="512" customFormat="1" ht="30">
      <c r="A142" s="338" t="s">
        <v>7922</v>
      </c>
      <c r="B142" s="576" t="s">
        <v>6799</v>
      </c>
      <c r="C142" s="576" t="s">
        <v>15393</v>
      </c>
      <c r="D142" s="336" t="s">
        <v>6823</v>
      </c>
      <c r="E142" s="341">
        <f>QuantPrédio!J296</f>
        <v>52.6</v>
      </c>
      <c r="F142" s="342" t="s">
        <v>6339</v>
      </c>
      <c r="G142" s="352">
        <v>518.24</v>
      </c>
      <c r="H142" s="339">
        <f>ROUND(G142*$B$13,2)</f>
        <v>139.56</v>
      </c>
      <c r="I142" s="339">
        <f>H142+G142</f>
        <v>657.8</v>
      </c>
      <c r="J142" s="431">
        <f>ROUND(I142*E142,2)</f>
        <v>34600.28</v>
      </c>
      <c r="K142" s="510">
        <f t="shared" si="53"/>
        <v>27259.42</v>
      </c>
      <c r="L142" s="510">
        <f t="shared" si="54"/>
        <v>7340.86</v>
      </c>
      <c r="M142" s="519"/>
      <c r="N142" s="519"/>
      <c r="O142" s="519"/>
      <c r="P142" s="519"/>
      <c r="Q142" s="519"/>
      <c r="R142" s="519"/>
      <c r="S142" s="519"/>
      <c r="T142" s="519"/>
      <c r="U142" s="519"/>
      <c r="V142" s="519"/>
      <c r="W142" s="519"/>
      <c r="X142" s="519"/>
      <c r="Y142" s="519">
        <f>0.8*J142</f>
        <v>27680.224000000002</v>
      </c>
      <c r="Z142" s="519">
        <f>0.2*J142</f>
        <v>6920.0560000000005</v>
      </c>
    </row>
    <row r="143" spans="1:26" s="512" customFormat="1" ht="30">
      <c r="A143" s="338" t="s">
        <v>6825</v>
      </c>
      <c r="B143" s="576" t="s">
        <v>5256</v>
      </c>
      <c r="C143" s="576">
        <v>85005</v>
      </c>
      <c r="D143" s="336" t="s">
        <v>6826</v>
      </c>
      <c r="E143" s="341">
        <f>QuantPrédio!J304</f>
        <v>8.51</v>
      </c>
      <c r="F143" s="342" t="s">
        <v>6339</v>
      </c>
      <c r="G143" s="352">
        <v>203.42</v>
      </c>
      <c r="H143" s="339">
        <f>ROUND(G143*$B$13,2)</f>
        <v>54.78</v>
      </c>
      <c r="I143" s="339">
        <f>H143+G143</f>
        <v>258.2</v>
      </c>
      <c r="J143" s="431">
        <f>ROUND(I143*E143,2)</f>
        <v>2197.2800000000002</v>
      </c>
      <c r="K143" s="510">
        <f t="shared" si="53"/>
        <v>1731.1</v>
      </c>
      <c r="L143" s="510">
        <f t="shared" si="54"/>
        <v>466.18</v>
      </c>
      <c r="M143" s="519"/>
      <c r="N143" s="519"/>
      <c r="O143" s="519"/>
      <c r="P143" s="519"/>
      <c r="Q143" s="519"/>
      <c r="R143" s="519"/>
      <c r="S143" s="519"/>
      <c r="T143" s="519"/>
      <c r="U143" s="519"/>
      <c r="V143" s="519"/>
      <c r="W143" s="519"/>
      <c r="X143" s="519"/>
      <c r="Y143" s="519">
        <f>0.8*J143</f>
        <v>1757.8240000000003</v>
      </c>
      <c r="Z143" s="519">
        <f>0.2*J143</f>
        <v>439.45600000000007</v>
      </c>
    </row>
    <row r="144" spans="1:26" s="512" customFormat="1" ht="15">
      <c r="A144" s="337" t="s">
        <v>6827</v>
      </c>
      <c r="B144" s="698" t="s">
        <v>6828</v>
      </c>
      <c r="C144" s="698"/>
      <c r="D144" s="698"/>
      <c r="E144" s="698"/>
      <c r="F144" s="698"/>
      <c r="G144" s="698"/>
      <c r="H144" s="698"/>
      <c r="I144" s="698"/>
      <c r="J144" s="698"/>
      <c r="K144" s="39"/>
      <c r="L144" s="521"/>
      <c r="M144" s="519"/>
      <c r="N144" s="519"/>
      <c r="O144" s="519"/>
      <c r="P144" s="519"/>
      <c r="Q144" s="519"/>
      <c r="R144" s="519"/>
      <c r="S144" s="519"/>
      <c r="T144" s="519"/>
      <c r="U144" s="519"/>
      <c r="V144" s="519"/>
      <c r="W144" s="519"/>
      <c r="X144" s="519"/>
      <c r="Y144" s="519"/>
      <c r="Z144" s="519"/>
    </row>
    <row r="145" spans="1:26" s="512" customFormat="1" ht="45">
      <c r="A145" s="338" t="s">
        <v>6831</v>
      </c>
      <c r="B145" s="576" t="s">
        <v>5256</v>
      </c>
      <c r="C145" s="576" t="s">
        <v>6832</v>
      </c>
      <c r="D145" s="336" t="s">
        <v>15395</v>
      </c>
      <c r="E145" s="341">
        <v>879.5</v>
      </c>
      <c r="F145" s="342" t="s">
        <v>6339</v>
      </c>
      <c r="G145" s="352">
        <v>72.3</v>
      </c>
      <c r="H145" s="339">
        <f>ROUND(G145*$B$13,2)</f>
        <v>19.47</v>
      </c>
      <c r="I145" s="339">
        <f>H145+G145</f>
        <v>91.77</v>
      </c>
      <c r="J145" s="431">
        <f>ROUND(I145*E145,2)</f>
        <v>80711.72</v>
      </c>
      <c r="K145" s="510">
        <f t="shared" ref="K145:K147" si="55">ROUND(G145*E145,2)</f>
        <v>63587.85</v>
      </c>
      <c r="L145" s="510">
        <f t="shared" ref="L145:L147" si="56">ROUND(H145*E145,2)</f>
        <v>17123.87</v>
      </c>
      <c r="M145" s="519"/>
      <c r="N145" s="519"/>
      <c r="O145" s="519"/>
      <c r="P145" s="519"/>
      <c r="Q145" s="519"/>
      <c r="R145" s="519"/>
      <c r="S145" s="519"/>
      <c r="T145" s="519">
        <f>0.8*J145</f>
        <v>64569.376000000004</v>
      </c>
      <c r="U145" s="519">
        <f>0.2*J145</f>
        <v>16142.344000000001</v>
      </c>
      <c r="V145" s="519"/>
      <c r="W145" s="519"/>
      <c r="X145" s="519"/>
      <c r="Y145" s="519"/>
      <c r="Z145" s="519"/>
    </row>
    <row r="146" spans="1:26" s="512" customFormat="1" ht="45">
      <c r="A146" s="338" t="s">
        <v>7923</v>
      </c>
      <c r="B146" s="576" t="s">
        <v>5256</v>
      </c>
      <c r="C146" s="576">
        <v>94231</v>
      </c>
      <c r="D146" s="336" t="s">
        <v>6829</v>
      </c>
      <c r="E146" s="341">
        <f>QuantPrédio!I312</f>
        <v>42.22</v>
      </c>
      <c r="F146" s="342" t="s">
        <v>6774</v>
      </c>
      <c r="G146" s="352">
        <v>26.63</v>
      </c>
      <c r="H146" s="339">
        <f>ROUND(G146*$B$13,2)</f>
        <v>7.17</v>
      </c>
      <c r="I146" s="339">
        <f>H146+G146</f>
        <v>33.799999999999997</v>
      </c>
      <c r="J146" s="431">
        <f>ROUND(I146*E146,2)</f>
        <v>1427.04</v>
      </c>
      <c r="K146" s="510">
        <f t="shared" si="55"/>
        <v>1124.32</v>
      </c>
      <c r="L146" s="510">
        <f t="shared" si="56"/>
        <v>302.72000000000003</v>
      </c>
      <c r="M146" s="519"/>
      <c r="N146" s="519"/>
      <c r="O146" s="519"/>
      <c r="P146" s="519"/>
      <c r="Q146" s="519"/>
      <c r="R146" s="519"/>
      <c r="S146" s="519"/>
      <c r="T146" s="519">
        <f>0.8*J146</f>
        <v>1141.6320000000001</v>
      </c>
      <c r="U146" s="519">
        <f>0.2*J146</f>
        <v>285.40800000000002</v>
      </c>
      <c r="V146" s="519"/>
      <c r="W146" s="519"/>
      <c r="X146" s="519"/>
      <c r="Y146" s="519"/>
      <c r="Z146" s="519"/>
    </row>
    <row r="147" spans="1:26" s="512" customFormat="1" ht="30">
      <c r="A147" s="338" t="s">
        <v>7924</v>
      </c>
      <c r="B147" s="576" t="s">
        <v>5256</v>
      </c>
      <c r="C147" s="576">
        <v>94231</v>
      </c>
      <c r="D147" s="336" t="s">
        <v>6830</v>
      </c>
      <c r="E147" s="341">
        <f>QuantPrédio!I321</f>
        <v>204.87</v>
      </c>
      <c r="F147" s="342" t="s">
        <v>6774</v>
      </c>
      <c r="G147" s="352">
        <v>26.63</v>
      </c>
      <c r="H147" s="339">
        <f>ROUND(G147*$B$13,2)</f>
        <v>7.17</v>
      </c>
      <c r="I147" s="339">
        <f>H147+G147</f>
        <v>33.799999999999997</v>
      </c>
      <c r="J147" s="431">
        <f>ROUND(I147*E147,2)</f>
        <v>6924.61</v>
      </c>
      <c r="K147" s="510">
        <f t="shared" si="55"/>
        <v>5455.69</v>
      </c>
      <c r="L147" s="510">
        <f t="shared" si="56"/>
        <v>1468.92</v>
      </c>
      <c r="M147" s="519"/>
      <c r="N147" s="519"/>
      <c r="O147" s="519"/>
      <c r="P147" s="519"/>
      <c r="Q147" s="519"/>
      <c r="R147" s="519"/>
      <c r="S147" s="519"/>
      <c r="T147" s="519">
        <f>0.8*J147</f>
        <v>5539.6880000000001</v>
      </c>
      <c r="U147" s="519">
        <f>0.2*J147</f>
        <v>1384.922</v>
      </c>
      <c r="V147" s="519"/>
      <c r="W147" s="519"/>
      <c r="X147" s="519"/>
      <c r="Y147" s="519"/>
      <c r="Z147" s="519"/>
    </row>
    <row r="148" spans="1:26" s="512" customFormat="1" ht="15">
      <c r="A148" s="337" t="s">
        <v>6835</v>
      </c>
      <c r="B148" s="698" t="s">
        <v>6836</v>
      </c>
      <c r="C148" s="698"/>
      <c r="D148" s="698"/>
      <c r="E148" s="698"/>
      <c r="F148" s="698"/>
      <c r="G148" s="698"/>
      <c r="H148" s="698"/>
      <c r="I148" s="698"/>
      <c r="J148" s="698"/>
      <c r="K148" s="39"/>
      <c r="L148" s="521"/>
      <c r="M148" s="519"/>
      <c r="N148" s="519"/>
      <c r="O148" s="519"/>
      <c r="P148" s="519"/>
      <c r="Q148" s="519"/>
      <c r="R148" s="519"/>
      <c r="S148" s="519"/>
      <c r="T148" s="519"/>
      <c r="U148" s="519"/>
      <c r="V148" s="519"/>
      <c r="W148" s="519"/>
      <c r="X148" s="519"/>
      <c r="Y148" s="519"/>
      <c r="Z148" s="519"/>
    </row>
    <row r="149" spans="1:26" s="512" customFormat="1" ht="45">
      <c r="A149" s="338" t="s">
        <v>6840</v>
      </c>
      <c r="B149" s="576" t="s">
        <v>5256</v>
      </c>
      <c r="C149" s="576">
        <v>98679</v>
      </c>
      <c r="D149" s="336" t="s">
        <v>6846</v>
      </c>
      <c r="E149" s="341">
        <f>QuantPrédio!J330</f>
        <v>306.17</v>
      </c>
      <c r="F149" s="342" t="s">
        <v>6339</v>
      </c>
      <c r="G149" s="352">
        <v>19.62</v>
      </c>
      <c r="H149" s="339">
        <f t="shared" ref="H149:H156" si="57">ROUND(G149*$B$13,2)</f>
        <v>5.28</v>
      </c>
      <c r="I149" s="339">
        <f t="shared" ref="I149:I156" si="58">H149+G149</f>
        <v>24.900000000000002</v>
      </c>
      <c r="J149" s="431">
        <f t="shared" ref="J149:J156" si="59">ROUND(I149*E149,2)</f>
        <v>7623.63</v>
      </c>
      <c r="K149" s="510">
        <f t="shared" ref="K149:K156" si="60">ROUND(G149*E149,2)</f>
        <v>6007.06</v>
      </c>
      <c r="L149" s="510">
        <f t="shared" ref="L149:L156" si="61">ROUND(H149*E149,2)</f>
        <v>1616.58</v>
      </c>
      <c r="M149" s="519"/>
      <c r="N149" s="519"/>
      <c r="O149" s="519"/>
      <c r="P149" s="519"/>
      <c r="Q149" s="519"/>
      <c r="R149" s="519"/>
      <c r="S149" s="519">
        <f t="shared" ref="S149:S156" si="62">0.125*J149</f>
        <v>952.95375000000001</v>
      </c>
      <c r="T149" s="519">
        <f t="shared" ref="T149:T156" si="63">0.125*J149</f>
        <v>952.95375000000001</v>
      </c>
      <c r="U149" s="519">
        <f t="shared" ref="U149:U156" si="64">0.25*J149</f>
        <v>1905.9075</v>
      </c>
      <c r="V149" s="519">
        <f t="shared" ref="V149:V156" si="65">0.3*J149</f>
        <v>2287.0889999999999</v>
      </c>
      <c r="W149" s="519">
        <f t="shared" ref="W149:W156" si="66">0.2*J149</f>
        <v>1524.7260000000001</v>
      </c>
      <c r="X149" s="519"/>
      <c r="Y149" s="519"/>
      <c r="Z149" s="519"/>
    </row>
    <row r="150" spans="1:26" s="512" customFormat="1" ht="30">
      <c r="A150" s="338" t="s">
        <v>6841</v>
      </c>
      <c r="B150" s="576" t="s">
        <v>5256</v>
      </c>
      <c r="C150" s="576">
        <v>89171</v>
      </c>
      <c r="D150" s="336" t="s">
        <v>6837</v>
      </c>
      <c r="E150" s="341">
        <f>QuantPrédio!J339</f>
        <v>107.94</v>
      </c>
      <c r="F150" s="342" t="s">
        <v>6339</v>
      </c>
      <c r="G150" s="352">
        <v>23.52</v>
      </c>
      <c r="H150" s="339">
        <f t="shared" si="57"/>
        <v>6.33</v>
      </c>
      <c r="I150" s="339">
        <f t="shared" si="58"/>
        <v>29.85</v>
      </c>
      <c r="J150" s="431">
        <f t="shared" si="59"/>
        <v>3222.01</v>
      </c>
      <c r="K150" s="510">
        <f t="shared" si="60"/>
        <v>2538.75</v>
      </c>
      <c r="L150" s="510">
        <f t="shared" si="61"/>
        <v>683.26</v>
      </c>
      <c r="M150" s="519"/>
      <c r="N150" s="519"/>
      <c r="O150" s="519"/>
      <c r="P150" s="519"/>
      <c r="Q150" s="519"/>
      <c r="R150" s="519"/>
      <c r="S150" s="519">
        <f t="shared" si="62"/>
        <v>402.75125000000003</v>
      </c>
      <c r="T150" s="519">
        <f t="shared" si="63"/>
        <v>402.75125000000003</v>
      </c>
      <c r="U150" s="519">
        <f t="shared" si="64"/>
        <v>805.50250000000005</v>
      </c>
      <c r="V150" s="519">
        <f t="shared" si="65"/>
        <v>966.60300000000007</v>
      </c>
      <c r="W150" s="519">
        <f t="shared" si="66"/>
        <v>644.40200000000004</v>
      </c>
      <c r="X150" s="519"/>
      <c r="Y150" s="519"/>
      <c r="Z150" s="519"/>
    </row>
    <row r="151" spans="1:26" s="512" customFormat="1" ht="30">
      <c r="A151" s="338" t="s">
        <v>6842</v>
      </c>
      <c r="B151" s="576" t="s">
        <v>5256</v>
      </c>
      <c r="C151" s="576">
        <v>98671</v>
      </c>
      <c r="D151" s="336" t="s">
        <v>6838</v>
      </c>
      <c r="E151" s="341">
        <f>QuantPrédio!J347</f>
        <v>26.84</v>
      </c>
      <c r="F151" s="342" t="s">
        <v>6339</v>
      </c>
      <c r="G151" s="352">
        <v>264.79000000000002</v>
      </c>
      <c r="H151" s="339">
        <f t="shared" si="57"/>
        <v>71.31</v>
      </c>
      <c r="I151" s="339">
        <f t="shared" si="58"/>
        <v>336.1</v>
      </c>
      <c r="J151" s="431">
        <f t="shared" si="59"/>
        <v>9020.92</v>
      </c>
      <c r="K151" s="510">
        <f t="shared" si="60"/>
        <v>7106.96</v>
      </c>
      <c r="L151" s="510">
        <f t="shared" si="61"/>
        <v>1913.96</v>
      </c>
      <c r="M151" s="519"/>
      <c r="N151" s="519"/>
      <c r="O151" s="519"/>
      <c r="P151" s="519"/>
      <c r="Q151" s="519"/>
      <c r="R151" s="519"/>
      <c r="S151" s="519">
        <f t="shared" si="62"/>
        <v>1127.615</v>
      </c>
      <c r="T151" s="519">
        <f t="shared" si="63"/>
        <v>1127.615</v>
      </c>
      <c r="U151" s="519">
        <f t="shared" si="64"/>
        <v>2255.23</v>
      </c>
      <c r="V151" s="519">
        <f t="shared" si="65"/>
        <v>2706.2759999999998</v>
      </c>
      <c r="W151" s="519">
        <f t="shared" si="66"/>
        <v>1804.1840000000002</v>
      </c>
      <c r="X151" s="519"/>
      <c r="Y151" s="519"/>
      <c r="Z151" s="519"/>
    </row>
    <row r="152" spans="1:26" s="512" customFormat="1" ht="30">
      <c r="A152" s="338" t="s">
        <v>6843</v>
      </c>
      <c r="B152" s="576" t="s">
        <v>5256</v>
      </c>
      <c r="C152" s="576">
        <v>84191</v>
      </c>
      <c r="D152" s="336" t="s">
        <v>6839</v>
      </c>
      <c r="E152" s="341">
        <f>QuantPrédio!J355</f>
        <v>1665.26</v>
      </c>
      <c r="F152" s="342" t="s">
        <v>6339</v>
      </c>
      <c r="G152" s="352">
        <v>71.86</v>
      </c>
      <c r="H152" s="339">
        <f t="shared" si="57"/>
        <v>19.350000000000001</v>
      </c>
      <c r="I152" s="339">
        <f t="shared" si="58"/>
        <v>91.210000000000008</v>
      </c>
      <c r="J152" s="431">
        <f t="shared" si="59"/>
        <v>151888.35999999999</v>
      </c>
      <c r="K152" s="510">
        <f t="shared" si="60"/>
        <v>119665.58</v>
      </c>
      <c r="L152" s="510">
        <f t="shared" si="61"/>
        <v>32222.78</v>
      </c>
      <c r="M152" s="519"/>
      <c r="N152" s="519"/>
      <c r="O152" s="519"/>
      <c r="P152" s="519"/>
      <c r="Q152" s="519"/>
      <c r="R152" s="519"/>
      <c r="S152" s="519">
        <f t="shared" si="62"/>
        <v>18986.044999999998</v>
      </c>
      <c r="T152" s="519">
        <f t="shared" si="63"/>
        <v>18986.044999999998</v>
      </c>
      <c r="U152" s="519">
        <f t="shared" si="64"/>
        <v>37972.089999999997</v>
      </c>
      <c r="V152" s="519">
        <f t="shared" si="65"/>
        <v>45566.507999999994</v>
      </c>
      <c r="W152" s="519">
        <f t="shared" si="66"/>
        <v>30377.671999999999</v>
      </c>
      <c r="X152" s="519"/>
      <c r="Y152" s="519"/>
      <c r="Z152" s="519"/>
    </row>
    <row r="153" spans="1:26" s="512" customFormat="1" ht="30">
      <c r="A153" s="338" t="s">
        <v>7925</v>
      </c>
      <c r="B153" s="576" t="s">
        <v>5256</v>
      </c>
      <c r="C153" s="576" t="s">
        <v>8932</v>
      </c>
      <c r="D153" s="336" t="s">
        <v>8931</v>
      </c>
      <c r="E153" s="341">
        <f>QuantPrédio!J362</f>
        <v>871.66</v>
      </c>
      <c r="F153" s="342" t="s">
        <v>6339</v>
      </c>
      <c r="G153" s="352">
        <v>58.379999999999995</v>
      </c>
      <c r="H153" s="339">
        <f t="shared" si="57"/>
        <v>15.72</v>
      </c>
      <c r="I153" s="339">
        <f t="shared" si="58"/>
        <v>74.099999999999994</v>
      </c>
      <c r="J153" s="431">
        <f t="shared" si="59"/>
        <v>64590.01</v>
      </c>
      <c r="K153" s="510">
        <f t="shared" si="60"/>
        <v>50887.51</v>
      </c>
      <c r="L153" s="510">
        <f t="shared" si="61"/>
        <v>13702.5</v>
      </c>
      <c r="M153" s="519"/>
      <c r="N153" s="519"/>
      <c r="O153" s="519"/>
      <c r="P153" s="519"/>
      <c r="Q153" s="519"/>
      <c r="R153" s="519"/>
      <c r="S153" s="519">
        <f t="shared" si="62"/>
        <v>8073.7512500000003</v>
      </c>
      <c r="T153" s="519">
        <f t="shared" si="63"/>
        <v>8073.7512500000003</v>
      </c>
      <c r="U153" s="519">
        <f t="shared" si="64"/>
        <v>16147.502500000001</v>
      </c>
      <c r="V153" s="519">
        <f t="shared" si="65"/>
        <v>19377.003000000001</v>
      </c>
      <c r="W153" s="519">
        <f t="shared" si="66"/>
        <v>12918.002</v>
      </c>
      <c r="X153" s="519"/>
      <c r="Y153" s="519"/>
      <c r="Z153" s="519"/>
    </row>
    <row r="154" spans="1:26" s="512" customFormat="1" ht="30">
      <c r="A154" s="338" t="s">
        <v>7926</v>
      </c>
      <c r="B154" s="576" t="s">
        <v>5256</v>
      </c>
      <c r="C154" s="576">
        <v>87624</v>
      </c>
      <c r="D154" s="336" t="s">
        <v>8933</v>
      </c>
      <c r="E154" s="341">
        <f>QuantPrédio!J371</f>
        <v>1207.71</v>
      </c>
      <c r="F154" s="342" t="s">
        <v>6339</v>
      </c>
      <c r="G154" s="352">
        <v>38.9</v>
      </c>
      <c r="H154" s="339">
        <f t="shared" si="57"/>
        <v>10.48</v>
      </c>
      <c r="I154" s="339">
        <f t="shared" si="58"/>
        <v>49.379999999999995</v>
      </c>
      <c r="J154" s="431">
        <f t="shared" si="59"/>
        <v>59636.72</v>
      </c>
      <c r="K154" s="510">
        <f t="shared" si="60"/>
        <v>46979.92</v>
      </c>
      <c r="L154" s="510">
        <f t="shared" si="61"/>
        <v>12656.8</v>
      </c>
      <c r="M154" s="519"/>
      <c r="N154" s="519"/>
      <c r="O154" s="519"/>
      <c r="P154" s="519"/>
      <c r="Q154" s="519"/>
      <c r="R154" s="519"/>
      <c r="S154" s="519">
        <f t="shared" si="62"/>
        <v>7454.59</v>
      </c>
      <c r="T154" s="519">
        <f t="shared" si="63"/>
        <v>7454.59</v>
      </c>
      <c r="U154" s="519">
        <f t="shared" si="64"/>
        <v>14909.18</v>
      </c>
      <c r="V154" s="519">
        <f t="shared" si="65"/>
        <v>17891.016</v>
      </c>
      <c r="W154" s="519">
        <f t="shared" si="66"/>
        <v>11927.344000000001</v>
      </c>
      <c r="X154" s="519"/>
      <c r="Y154" s="519"/>
      <c r="Z154" s="519"/>
    </row>
    <row r="155" spans="1:26" s="512" customFormat="1" ht="45">
      <c r="A155" s="338" t="s">
        <v>8930</v>
      </c>
      <c r="B155" s="576" t="s">
        <v>5256</v>
      </c>
      <c r="C155" s="576" t="s">
        <v>7823</v>
      </c>
      <c r="D155" s="336" t="s">
        <v>7822</v>
      </c>
      <c r="E155" s="341">
        <v>5.67</v>
      </c>
      <c r="F155" s="342" t="s">
        <v>6339</v>
      </c>
      <c r="G155" s="352">
        <v>102.25999999999999</v>
      </c>
      <c r="H155" s="339">
        <f t="shared" si="57"/>
        <v>27.54</v>
      </c>
      <c r="I155" s="339">
        <f t="shared" si="58"/>
        <v>129.79999999999998</v>
      </c>
      <c r="J155" s="431">
        <f t="shared" si="59"/>
        <v>735.97</v>
      </c>
      <c r="K155" s="510">
        <f t="shared" si="60"/>
        <v>579.80999999999995</v>
      </c>
      <c r="L155" s="510">
        <f t="shared" si="61"/>
        <v>156.15</v>
      </c>
      <c r="M155" s="519"/>
      <c r="N155" s="519"/>
      <c r="O155" s="519"/>
      <c r="P155" s="519"/>
      <c r="Q155" s="519"/>
      <c r="R155" s="519"/>
      <c r="S155" s="519">
        <f t="shared" si="62"/>
        <v>91.996250000000003</v>
      </c>
      <c r="T155" s="519">
        <f t="shared" si="63"/>
        <v>91.996250000000003</v>
      </c>
      <c r="U155" s="519">
        <f t="shared" si="64"/>
        <v>183.99250000000001</v>
      </c>
      <c r="V155" s="519">
        <f t="shared" si="65"/>
        <v>220.791</v>
      </c>
      <c r="W155" s="519">
        <f t="shared" si="66"/>
        <v>147.19400000000002</v>
      </c>
      <c r="X155" s="519"/>
      <c r="Y155" s="519"/>
      <c r="Z155" s="519"/>
    </row>
    <row r="156" spans="1:26" s="512" customFormat="1" ht="45">
      <c r="A156" s="338" t="s">
        <v>6844</v>
      </c>
      <c r="B156" s="576" t="s">
        <v>5256</v>
      </c>
      <c r="C156" s="576" t="s">
        <v>8983</v>
      </c>
      <c r="D156" s="336" t="s">
        <v>8984</v>
      </c>
      <c r="E156" s="341">
        <v>16.690000000000001</v>
      </c>
      <c r="F156" s="342" t="s">
        <v>6339</v>
      </c>
      <c r="G156" s="352">
        <v>106.05000000000001</v>
      </c>
      <c r="H156" s="339">
        <f t="shared" si="57"/>
        <v>28.56</v>
      </c>
      <c r="I156" s="339">
        <f t="shared" si="58"/>
        <v>134.61000000000001</v>
      </c>
      <c r="J156" s="431">
        <f t="shared" si="59"/>
        <v>2246.64</v>
      </c>
      <c r="K156" s="510">
        <f t="shared" si="60"/>
        <v>1769.97</v>
      </c>
      <c r="L156" s="510">
        <f t="shared" si="61"/>
        <v>476.67</v>
      </c>
      <c r="M156" s="519"/>
      <c r="N156" s="519"/>
      <c r="O156" s="519"/>
      <c r="P156" s="519"/>
      <c r="Q156" s="519"/>
      <c r="R156" s="519"/>
      <c r="S156" s="519">
        <f t="shared" si="62"/>
        <v>280.83</v>
      </c>
      <c r="T156" s="519">
        <f t="shared" si="63"/>
        <v>280.83</v>
      </c>
      <c r="U156" s="519">
        <f t="shared" si="64"/>
        <v>561.66</v>
      </c>
      <c r="V156" s="519">
        <f t="shared" si="65"/>
        <v>673.99199999999996</v>
      </c>
      <c r="W156" s="519">
        <f t="shared" si="66"/>
        <v>449.32799999999997</v>
      </c>
      <c r="X156" s="519"/>
      <c r="Y156" s="519"/>
      <c r="Z156" s="519"/>
    </row>
    <row r="157" spans="1:26" s="512" customFormat="1" ht="15">
      <c r="A157" s="337" t="s">
        <v>6847</v>
      </c>
      <c r="B157" s="698" t="s">
        <v>6848</v>
      </c>
      <c r="C157" s="698"/>
      <c r="D157" s="698"/>
      <c r="E157" s="698"/>
      <c r="F157" s="698"/>
      <c r="G157" s="698"/>
      <c r="H157" s="698"/>
      <c r="I157" s="698"/>
      <c r="J157" s="698"/>
      <c r="K157" s="39"/>
      <c r="L157" s="521"/>
      <c r="M157" s="519"/>
      <c r="N157" s="519"/>
      <c r="O157" s="519"/>
      <c r="P157" s="519"/>
      <c r="Q157" s="519"/>
      <c r="R157" s="519"/>
      <c r="S157" s="519"/>
      <c r="T157" s="519"/>
      <c r="U157" s="519"/>
      <c r="V157" s="519"/>
      <c r="W157" s="519"/>
      <c r="X157" s="519"/>
      <c r="Y157" s="519"/>
      <c r="Z157" s="519"/>
    </row>
    <row r="158" spans="1:26" s="512" customFormat="1" ht="45">
      <c r="A158" s="338" t="s">
        <v>7927</v>
      </c>
      <c r="B158" s="576" t="s">
        <v>5256</v>
      </c>
      <c r="C158" s="576">
        <v>87905</v>
      </c>
      <c r="D158" s="336" t="s">
        <v>7814</v>
      </c>
      <c r="E158" s="341">
        <f>QuantPrédio!J388</f>
        <v>931.59</v>
      </c>
      <c r="F158" s="342" t="s">
        <v>6339</v>
      </c>
      <c r="G158" s="352">
        <v>5.0999999999999996</v>
      </c>
      <c r="H158" s="339">
        <f>ROUND(G158*$B$13,2)</f>
        <v>1.37</v>
      </c>
      <c r="I158" s="339">
        <f>H158+G158</f>
        <v>6.47</v>
      </c>
      <c r="J158" s="431">
        <f>ROUND(I158*E158,2)</f>
        <v>6027.39</v>
      </c>
      <c r="K158" s="510">
        <f t="shared" ref="K158:K213" si="67">ROUND(G158*E158,2)</f>
        <v>4751.1099999999997</v>
      </c>
      <c r="L158" s="510">
        <f t="shared" ref="L158:L213" si="68">ROUND(H158*E158,2)</f>
        <v>1276.28</v>
      </c>
      <c r="M158" s="519"/>
      <c r="N158" s="519"/>
      <c r="O158" s="519"/>
      <c r="P158" s="519"/>
      <c r="Q158" s="519"/>
      <c r="R158" s="519"/>
      <c r="S158" s="519">
        <f>0.2*J158</f>
        <v>1205.4780000000001</v>
      </c>
      <c r="T158" s="519">
        <f>0.3*J158</f>
        <v>1808.2170000000001</v>
      </c>
      <c r="U158" s="519">
        <f>0.3*J158</f>
        <v>1808.2170000000001</v>
      </c>
      <c r="V158" s="519">
        <f>0.2*J158</f>
        <v>1205.4780000000001</v>
      </c>
      <c r="W158" s="519"/>
      <c r="X158" s="519"/>
      <c r="Y158" s="519"/>
      <c r="Z158" s="519"/>
    </row>
    <row r="159" spans="1:26" s="512" customFormat="1" ht="45">
      <c r="A159" s="338" t="s">
        <v>7928</v>
      </c>
      <c r="B159" s="576" t="s">
        <v>5256</v>
      </c>
      <c r="C159" s="576">
        <v>87879</v>
      </c>
      <c r="D159" s="336" t="s">
        <v>6849</v>
      </c>
      <c r="E159" s="341">
        <f>QuantPrédio!J397</f>
        <v>3036.85</v>
      </c>
      <c r="F159" s="342" t="s">
        <v>6339</v>
      </c>
      <c r="G159" s="352">
        <v>2.37</v>
      </c>
      <c r="H159" s="339">
        <f>ROUND(G159*$B$13,2)</f>
        <v>0.64</v>
      </c>
      <c r="I159" s="339">
        <f>H159+G159</f>
        <v>3.0100000000000002</v>
      </c>
      <c r="J159" s="431">
        <f>ROUND(I159*E159,2)</f>
        <v>9140.92</v>
      </c>
      <c r="K159" s="510">
        <f t="shared" si="67"/>
        <v>7197.33</v>
      </c>
      <c r="L159" s="510">
        <f t="shared" si="68"/>
        <v>1943.58</v>
      </c>
      <c r="M159" s="519"/>
      <c r="N159" s="519"/>
      <c r="O159" s="519"/>
      <c r="P159" s="519"/>
      <c r="Q159" s="519"/>
      <c r="R159" s="519"/>
      <c r="S159" s="519">
        <f>0.2*J159</f>
        <v>1828.1840000000002</v>
      </c>
      <c r="T159" s="519">
        <f>0.3*J159</f>
        <v>2742.2759999999998</v>
      </c>
      <c r="U159" s="519">
        <f>0.3*J159</f>
        <v>2742.2759999999998</v>
      </c>
      <c r="V159" s="519">
        <f>0.2*J159</f>
        <v>1828.1840000000002</v>
      </c>
      <c r="W159" s="519"/>
      <c r="X159" s="519"/>
      <c r="Y159" s="519"/>
      <c r="Z159" s="519"/>
    </row>
    <row r="160" spans="1:26" s="512" customFormat="1" ht="30">
      <c r="A160" s="338" t="s">
        <v>6852</v>
      </c>
      <c r="B160" s="576" t="s">
        <v>5256</v>
      </c>
      <c r="C160" s="576">
        <v>89173</v>
      </c>
      <c r="D160" s="336" t="s">
        <v>6850</v>
      </c>
      <c r="E160" s="341">
        <f>QuantPrédio!J406</f>
        <v>3935.49</v>
      </c>
      <c r="F160" s="342" t="s">
        <v>6339</v>
      </c>
      <c r="G160" s="352">
        <v>21.77</v>
      </c>
      <c r="H160" s="339">
        <f>ROUND(G160*$B$13,2)</f>
        <v>5.86</v>
      </c>
      <c r="I160" s="339">
        <f>H160+G160</f>
        <v>27.63</v>
      </c>
      <c r="J160" s="431">
        <f>ROUND(I160*E160,2)</f>
        <v>108737.59</v>
      </c>
      <c r="K160" s="510">
        <f t="shared" si="67"/>
        <v>85675.62</v>
      </c>
      <c r="L160" s="510">
        <f t="shared" si="68"/>
        <v>23061.97</v>
      </c>
      <c r="M160" s="519"/>
      <c r="N160" s="519"/>
      <c r="O160" s="519"/>
      <c r="P160" s="519"/>
      <c r="Q160" s="519"/>
      <c r="R160" s="519"/>
      <c r="S160" s="519">
        <f>0.2*J160</f>
        <v>21747.518</v>
      </c>
      <c r="T160" s="519">
        <f>0.3*J160</f>
        <v>32621.276999999998</v>
      </c>
      <c r="U160" s="519">
        <f>0.3*J160</f>
        <v>32621.276999999998</v>
      </c>
      <c r="V160" s="519">
        <f>0.2*J160</f>
        <v>21747.518</v>
      </c>
      <c r="W160" s="519"/>
      <c r="X160" s="519"/>
      <c r="Y160" s="519"/>
      <c r="Z160" s="519"/>
    </row>
    <row r="161" spans="1:26" s="512" customFormat="1" ht="45">
      <c r="A161" s="338" t="s">
        <v>6853</v>
      </c>
      <c r="B161" s="576" t="s">
        <v>5256</v>
      </c>
      <c r="C161" s="576">
        <v>89170</v>
      </c>
      <c r="D161" s="336" t="s">
        <v>6851</v>
      </c>
      <c r="E161" s="341">
        <f>QuantPrédio!J421</f>
        <v>349.38</v>
      </c>
      <c r="F161" s="342" t="s">
        <v>6339</v>
      </c>
      <c r="G161" s="352">
        <v>46.36</v>
      </c>
      <c r="H161" s="339">
        <f>ROUND(G161*$B$13,2)</f>
        <v>12.48</v>
      </c>
      <c r="I161" s="339">
        <f>H161+G161</f>
        <v>58.84</v>
      </c>
      <c r="J161" s="431">
        <f>ROUND(I161*E161,2)</f>
        <v>20557.52</v>
      </c>
      <c r="K161" s="510">
        <f t="shared" si="67"/>
        <v>16197.26</v>
      </c>
      <c r="L161" s="510">
        <f t="shared" si="68"/>
        <v>4360.26</v>
      </c>
      <c r="M161" s="519"/>
      <c r="N161" s="519"/>
      <c r="O161" s="519"/>
      <c r="P161" s="519"/>
      <c r="Q161" s="519"/>
      <c r="R161" s="519"/>
      <c r="S161" s="519">
        <f>0.2*J161</f>
        <v>4111.5039999999999</v>
      </c>
      <c r="T161" s="519">
        <f>0.3*J161</f>
        <v>6167.2560000000003</v>
      </c>
      <c r="U161" s="519">
        <f>0.3*J161</f>
        <v>6167.2560000000003</v>
      </c>
      <c r="V161" s="519">
        <f>0.2*J161</f>
        <v>4111.5039999999999</v>
      </c>
      <c r="W161" s="519"/>
      <c r="X161" s="519"/>
      <c r="Y161" s="519"/>
      <c r="Z161" s="519"/>
    </row>
    <row r="162" spans="1:26" s="512" customFormat="1" ht="45">
      <c r="A162" s="338" t="s">
        <v>7818</v>
      </c>
      <c r="B162" s="576" t="s">
        <v>6333</v>
      </c>
      <c r="C162" s="576" t="s">
        <v>7820</v>
      </c>
      <c r="D162" s="336" t="s">
        <v>7819</v>
      </c>
      <c r="E162" s="341">
        <f>QuantPrédio!J428</f>
        <v>32.950000000000003</v>
      </c>
      <c r="F162" s="342" t="s">
        <v>6339</v>
      </c>
      <c r="G162" s="352">
        <v>143.01</v>
      </c>
      <c r="H162" s="339">
        <f>ROUND(G162*$B$13,2)</f>
        <v>38.51</v>
      </c>
      <c r="I162" s="339">
        <f>H162+G162</f>
        <v>181.51999999999998</v>
      </c>
      <c r="J162" s="431">
        <f>ROUND(I162*E162,2)</f>
        <v>5981.08</v>
      </c>
      <c r="K162" s="510">
        <f t="shared" si="67"/>
        <v>4712.18</v>
      </c>
      <c r="L162" s="510">
        <f t="shared" si="68"/>
        <v>1268.9000000000001</v>
      </c>
      <c r="M162" s="519"/>
      <c r="N162" s="519"/>
      <c r="O162" s="519"/>
      <c r="P162" s="519"/>
      <c r="Q162" s="519"/>
      <c r="R162" s="519"/>
      <c r="S162" s="519">
        <f>0.2*J162</f>
        <v>1196.2160000000001</v>
      </c>
      <c r="T162" s="519">
        <f>0.3*J162</f>
        <v>1794.3239999999998</v>
      </c>
      <c r="U162" s="519">
        <f>0.3*J162</f>
        <v>1794.3239999999998</v>
      </c>
      <c r="V162" s="519">
        <f>0.2*J162</f>
        <v>1196.2160000000001</v>
      </c>
      <c r="W162" s="519"/>
      <c r="X162" s="519"/>
      <c r="Y162" s="519"/>
      <c r="Z162" s="519"/>
    </row>
    <row r="163" spans="1:26" s="512" customFormat="1" ht="15">
      <c r="A163" s="337" t="s">
        <v>7824</v>
      </c>
      <c r="B163" s="698" t="s">
        <v>7825</v>
      </c>
      <c r="C163" s="698"/>
      <c r="D163" s="698"/>
      <c r="E163" s="698"/>
      <c r="F163" s="698"/>
      <c r="G163" s="698"/>
      <c r="H163" s="698"/>
      <c r="I163" s="698"/>
      <c r="J163" s="698"/>
      <c r="K163" s="510">
        <f t="shared" si="67"/>
        <v>0</v>
      </c>
      <c r="L163" s="510">
        <f t="shared" si="68"/>
        <v>0</v>
      </c>
      <c r="M163" s="519"/>
      <c r="N163" s="519"/>
      <c r="O163" s="519"/>
      <c r="P163" s="519"/>
      <c r="Q163" s="519"/>
      <c r="R163" s="519"/>
      <c r="S163" s="519"/>
      <c r="T163" s="519"/>
      <c r="U163" s="519"/>
      <c r="V163" s="519"/>
      <c r="W163" s="519"/>
      <c r="X163" s="519"/>
      <c r="Y163" s="519"/>
      <c r="Z163" s="519"/>
    </row>
    <row r="164" spans="1:26" s="512" customFormat="1" ht="30">
      <c r="A164" s="338" t="s">
        <v>7939</v>
      </c>
      <c r="B164" s="576" t="s">
        <v>5256</v>
      </c>
      <c r="C164" s="576">
        <v>96114</v>
      </c>
      <c r="D164" s="336" t="s">
        <v>7826</v>
      </c>
      <c r="E164" s="341">
        <v>104.67</v>
      </c>
      <c r="F164" s="342" t="s">
        <v>6339</v>
      </c>
      <c r="G164" s="352">
        <v>44.7</v>
      </c>
      <c r="H164" s="339">
        <f>ROUND(G164*$B$13,2)</f>
        <v>12.04</v>
      </c>
      <c r="I164" s="339">
        <f>H164+G164</f>
        <v>56.74</v>
      </c>
      <c r="J164" s="431">
        <f>ROUND(I164*E164,2)</f>
        <v>5938.98</v>
      </c>
      <c r="K164" s="510">
        <f t="shared" si="67"/>
        <v>4678.75</v>
      </c>
      <c r="L164" s="510">
        <f t="shared" si="68"/>
        <v>1260.23</v>
      </c>
      <c r="M164" s="519"/>
      <c r="N164" s="519"/>
      <c r="O164" s="519"/>
      <c r="P164" s="519"/>
      <c r="Q164" s="519"/>
      <c r="R164" s="519"/>
      <c r="S164" s="519"/>
      <c r="T164" s="519"/>
      <c r="U164" s="519">
        <f>0.1*J164</f>
        <v>593.89800000000002</v>
      </c>
      <c r="V164" s="519">
        <f>0.25*J164</f>
        <v>1484.7449999999999</v>
      </c>
      <c r="W164" s="519">
        <f>0.3*J164</f>
        <v>1781.6939999999997</v>
      </c>
      <c r="X164" s="519">
        <f>0.25*J164</f>
        <v>1484.7449999999999</v>
      </c>
      <c r="Y164" s="519">
        <f>0.1*J164</f>
        <v>593.89800000000002</v>
      </c>
      <c r="Z164" s="519"/>
    </row>
    <row r="165" spans="1:26" s="512" customFormat="1" ht="45">
      <c r="A165" s="338" t="s">
        <v>7940</v>
      </c>
      <c r="B165" s="576" t="s">
        <v>5256</v>
      </c>
      <c r="C165" s="576" t="s">
        <v>15397</v>
      </c>
      <c r="D165" s="336" t="s">
        <v>7827</v>
      </c>
      <c r="E165" s="341">
        <v>1582.59</v>
      </c>
      <c r="F165" s="342" t="s">
        <v>6339</v>
      </c>
      <c r="G165" s="352">
        <v>59.910000000000004</v>
      </c>
      <c r="H165" s="339">
        <f>ROUND(G165*$B$13,2)</f>
        <v>16.13</v>
      </c>
      <c r="I165" s="339">
        <f>H165+G165</f>
        <v>76.040000000000006</v>
      </c>
      <c r="J165" s="431">
        <f>ROUND(I165*E165,2)</f>
        <v>120340.14</v>
      </c>
      <c r="K165" s="510">
        <f t="shared" si="67"/>
        <v>94812.97</v>
      </c>
      <c r="L165" s="510">
        <f t="shared" si="68"/>
        <v>25527.18</v>
      </c>
      <c r="M165" s="519"/>
      <c r="N165" s="519"/>
      <c r="O165" s="519"/>
      <c r="P165" s="519"/>
      <c r="Q165" s="519"/>
      <c r="R165" s="519"/>
      <c r="S165" s="519"/>
      <c r="T165" s="519"/>
      <c r="U165" s="519">
        <f>0.1*J165</f>
        <v>12034.014000000001</v>
      </c>
      <c r="V165" s="519">
        <f>0.25*J165</f>
        <v>30085.035</v>
      </c>
      <c r="W165" s="519">
        <f>0.3*J165</f>
        <v>36102.042000000001</v>
      </c>
      <c r="X165" s="519">
        <f>0.25*J165</f>
        <v>30085.035</v>
      </c>
      <c r="Y165" s="519">
        <f>0.1*J165</f>
        <v>12034.014000000001</v>
      </c>
      <c r="Z165" s="519"/>
    </row>
    <row r="166" spans="1:26" s="512" customFormat="1" ht="45">
      <c r="A166" s="338" t="s">
        <v>7829</v>
      </c>
      <c r="B166" s="576" t="s">
        <v>5256</v>
      </c>
      <c r="C166" s="576" t="s">
        <v>7830</v>
      </c>
      <c r="D166" s="336" t="s">
        <v>7828</v>
      </c>
      <c r="E166" s="341">
        <v>5.67</v>
      </c>
      <c r="F166" s="342" t="s">
        <v>6339</v>
      </c>
      <c r="G166" s="352">
        <v>118.21</v>
      </c>
      <c r="H166" s="339">
        <f>ROUND(G166*$B$13,2)</f>
        <v>31.83</v>
      </c>
      <c r="I166" s="339">
        <f>H166+G166</f>
        <v>150.04</v>
      </c>
      <c r="J166" s="431">
        <f>ROUND(I166*E166,2)</f>
        <v>850.73</v>
      </c>
      <c r="K166" s="510">
        <f t="shared" si="67"/>
        <v>670.25</v>
      </c>
      <c r="L166" s="510">
        <f t="shared" si="68"/>
        <v>180.48</v>
      </c>
      <c r="M166" s="519"/>
      <c r="N166" s="519"/>
      <c r="O166" s="519"/>
      <c r="P166" s="519"/>
      <c r="Q166" s="519"/>
      <c r="R166" s="519"/>
      <c r="S166" s="519"/>
      <c r="T166" s="519"/>
      <c r="U166" s="519">
        <f>0.1*J166</f>
        <v>85.073000000000008</v>
      </c>
      <c r="V166" s="519">
        <f>0.25*J166</f>
        <v>212.6825</v>
      </c>
      <c r="W166" s="519">
        <f>0.3*J166</f>
        <v>255.21899999999999</v>
      </c>
      <c r="X166" s="519">
        <f>0.25*J166</f>
        <v>212.6825</v>
      </c>
      <c r="Y166" s="519">
        <f>0.1*J166</f>
        <v>85.073000000000008</v>
      </c>
      <c r="Z166" s="519"/>
    </row>
    <row r="167" spans="1:26" s="512" customFormat="1" ht="15">
      <c r="A167" s="337" t="s">
        <v>6854</v>
      </c>
      <c r="B167" s="698" t="s">
        <v>6855</v>
      </c>
      <c r="C167" s="698"/>
      <c r="D167" s="698"/>
      <c r="E167" s="698"/>
      <c r="F167" s="698"/>
      <c r="G167" s="698"/>
      <c r="H167" s="698"/>
      <c r="I167" s="698"/>
      <c r="J167" s="698"/>
      <c r="K167" s="510">
        <f t="shared" si="67"/>
        <v>0</v>
      </c>
      <c r="L167" s="510">
        <f t="shared" si="68"/>
        <v>0</v>
      </c>
      <c r="M167" s="519"/>
      <c r="N167" s="519"/>
      <c r="O167" s="519"/>
      <c r="P167" s="519"/>
      <c r="Q167" s="519"/>
      <c r="R167" s="519"/>
      <c r="S167" s="519"/>
      <c r="T167" s="519"/>
      <c r="U167" s="519"/>
      <c r="V167" s="519"/>
      <c r="W167" s="519"/>
      <c r="X167" s="519"/>
      <c r="Y167" s="519"/>
      <c r="Z167" s="519"/>
    </row>
    <row r="168" spans="1:26" s="512" customFormat="1" ht="30">
      <c r="A168" s="338" t="s">
        <v>7941</v>
      </c>
      <c r="B168" s="576" t="s">
        <v>5256</v>
      </c>
      <c r="C168" s="576">
        <v>88497</v>
      </c>
      <c r="D168" s="336" t="s">
        <v>6856</v>
      </c>
      <c r="E168" s="341">
        <f>QuantPrédio!J436</f>
        <v>4601.03</v>
      </c>
      <c r="F168" s="342" t="s">
        <v>6339</v>
      </c>
      <c r="G168" s="352">
        <v>9.65</v>
      </c>
      <c r="H168" s="339">
        <f t="shared" ref="H168:H176" si="69">ROUND(G168*$B$13,2)</f>
        <v>2.6</v>
      </c>
      <c r="I168" s="339">
        <f t="shared" ref="I168:I176" si="70">H168+G168</f>
        <v>12.25</v>
      </c>
      <c r="J168" s="431">
        <f t="shared" ref="J168:J176" si="71">ROUND(I168*E168,2)</f>
        <v>56362.62</v>
      </c>
      <c r="K168" s="510">
        <f t="shared" si="67"/>
        <v>44399.94</v>
      </c>
      <c r="L168" s="510">
        <f t="shared" si="68"/>
        <v>11962.68</v>
      </c>
      <c r="M168" s="519"/>
      <c r="N168" s="519"/>
      <c r="O168" s="519"/>
      <c r="P168" s="519"/>
      <c r="Q168" s="519"/>
      <c r="R168" s="519"/>
      <c r="S168" s="519"/>
      <c r="T168" s="519"/>
      <c r="U168" s="519"/>
      <c r="V168" s="519"/>
      <c r="W168" s="519"/>
      <c r="X168" s="519">
        <f t="shared" ref="X168:X176" si="72">0.3*J168</f>
        <v>16908.786</v>
      </c>
      <c r="Y168" s="519">
        <f t="shared" ref="Y168:Y176" si="73">0.3*J168</f>
        <v>16908.786</v>
      </c>
      <c r="Z168" s="519">
        <f t="shared" ref="Z168:Z176" si="74">0.4*J168</f>
        <v>22545.048000000003</v>
      </c>
    </row>
    <row r="169" spans="1:26" s="512" customFormat="1" ht="45">
      <c r="A169" s="338" t="s">
        <v>7942</v>
      </c>
      <c r="B169" s="576" t="s">
        <v>5256</v>
      </c>
      <c r="C169" s="576">
        <v>96131</v>
      </c>
      <c r="D169" s="336" t="s">
        <v>7960</v>
      </c>
      <c r="E169" s="341">
        <f>QuantPrédio!J443</f>
        <v>931.59</v>
      </c>
      <c r="F169" s="342" t="s">
        <v>6339</v>
      </c>
      <c r="G169" s="352">
        <v>16.27</v>
      </c>
      <c r="H169" s="339">
        <f t="shared" si="69"/>
        <v>4.38</v>
      </c>
      <c r="I169" s="339">
        <f t="shared" si="70"/>
        <v>20.65</v>
      </c>
      <c r="J169" s="431">
        <f t="shared" si="71"/>
        <v>19237.330000000002</v>
      </c>
      <c r="K169" s="510">
        <f t="shared" si="67"/>
        <v>15156.97</v>
      </c>
      <c r="L169" s="510">
        <f t="shared" si="68"/>
        <v>4080.36</v>
      </c>
      <c r="M169" s="519"/>
      <c r="N169" s="519"/>
      <c r="O169" s="519"/>
      <c r="P169" s="519"/>
      <c r="Q169" s="519"/>
      <c r="R169" s="519"/>
      <c r="S169" s="519"/>
      <c r="T169" s="519"/>
      <c r="U169" s="519"/>
      <c r="V169" s="519"/>
      <c r="W169" s="519"/>
      <c r="X169" s="519">
        <f t="shared" si="72"/>
        <v>5771.1990000000005</v>
      </c>
      <c r="Y169" s="519">
        <f t="shared" si="73"/>
        <v>5771.1990000000005</v>
      </c>
      <c r="Z169" s="519">
        <f t="shared" si="74"/>
        <v>7694.9320000000007</v>
      </c>
    </row>
    <row r="170" spans="1:26" s="512" customFormat="1" ht="30">
      <c r="A170" s="338" t="s">
        <v>7942</v>
      </c>
      <c r="B170" s="576" t="s">
        <v>5256</v>
      </c>
      <c r="C170" s="576">
        <v>88496</v>
      </c>
      <c r="D170" s="336" t="s">
        <v>6857</v>
      </c>
      <c r="E170" s="341">
        <f>E164</f>
        <v>104.67</v>
      </c>
      <c r="F170" s="342" t="s">
        <v>6339</v>
      </c>
      <c r="G170" s="352">
        <v>17.14</v>
      </c>
      <c r="H170" s="339">
        <f t="shared" si="69"/>
        <v>4.62</v>
      </c>
      <c r="I170" s="339">
        <f t="shared" si="70"/>
        <v>21.76</v>
      </c>
      <c r="J170" s="431">
        <f t="shared" si="71"/>
        <v>2277.62</v>
      </c>
      <c r="K170" s="510">
        <f t="shared" si="67"/>
        <v>1794.04</v>
      </c>
      <c r="L170" s="510">
        <f t="shared" si="68"/>
        <v>483.58</v>
      </c>
      <c r="M170" s="519"/>
      <c r="N170" s="519"/>
      <c r="O170" s="519"/>
      <c r="P170" s="519"/>
      <c r="Q170" s="519"/>
      <c r="R170" s="519"/>
      <c r="S170" s="519"/>
      <c r="T170" s="519"/>
      <c r="U170" s="519"/>
      <c r="V170" s="519"/>
      <c r="W170" s="519"/>
      <c r="X170" s="519">
        <f t="shared" si="72"/>
        <v>683.28599999999994</v>
      </c>
      <c r="Y170" s="519">
        <f t="shared" si="73"/>
        <v>683.28599999999994</v>
      </c>
      <c r="Z170" s="519">
        <f t="shared" si="74"/>
        <v>911.048</v>
      </c>
    </row>
    <row r="171" spans="1:26" s="512" customFormat="1" ht="30">
      <c r="A171" s="338" t="s">
        <v>7943</v>
      </c>
      <c r="B171" s="576" t="s">
        <v>5256</v>
      </c>
      <c r="C171" s="576">
        <v>88485</v>
      </c>
      <c r="D171" s="336" t="s">
        <v>6858</v>
      </c>
      <c r="E171" s="341">
        <f>E169+E168</f>
        <v>5532.62</v>
      </c>
      <c r="F171" s="342" t="s">
        <v>6339</v>
      </c>
      <c r="G171" s="352">
        <v>1.79</v>
      </c>
      <c r="H171" s="339">
        <f t="shared" si="69"/>
        <v>0.48</v>
      </c>
      <c r="I171" s="339">
        <f t="shared" si="70"/>
        <v>2.27</v>
      </c>
      <c r="J171" s="431">
        <f t="shared" si="71"/>
        <v>12559.05</v>
      </c>
      <c r="K171" s="510">
        <f t="shared" si="67"/>
        <v>9903.39</v>
      </c>
      <c r="L171" s="510">
        <f t="shared" si="68"/>
        <v>2655.66</v>
      </c>
      <c r="M171" s="519"/>
      <c r="N171" s="519"/>
      <c r="O171" s="519"/>
      <c r="P171" s="519"/>
      <c r="Q171" s="519"/>
      <c r="R171" s="519"/>
      <c r="S171" s="519"/>
      <c r="T171" s="519"/>
      <c r="U171" s="519"/>
      <c r="V171" s="519"/>
      <c r="W171" s="519"/>
      <c r="X171" s="519">
        <f t="shared" si="72"/>
        <v>3767.7149999999997</v>
      </c>
      <c r="Y171" s="519">
        <f t="shared" si="73"/>
        <v>3767.7149999999997</v>
      </c>
      <c r="Z171" s="519">
        <f t="shared" si="74"/>
        <v>5023.62</v>
      </c>
    </row>
    <row r="172" spans="1:26" s="512" customFormat="1" ht="30">
      <c r="A172" s="338" t="s">
        <v>7944</v>
      </c>
      <c r="B172" s="576" t="s">
        <v>5256</v>
      </c>
      <c r="C172" s="576">
        <v>88482</v>
      </c>
      <c r="D172" s="336" t="s">
        <v>6859</v>
      </c>
      <c r="E172" s="341">
        <f>E164</f>
        <v>104.67</v>
      </c>
      <c r="F172" s="342" t="s">
        <v>6339</v>
      </c>
      <c r="G172" s="352">
        <v>2.62</v>
      </c>
      <c r="H172" s="339">
        <f t="shared" si="69"/>
        <v>0.71</v>
      </c>
      <c r="I172" s="339">
        <f t="shared" si="70"/>
        <v>3.33</v>
      </c>
      <c r="J172" s="431">
        <f t="shared" si="71"/>
        <v>348.55</v>
      </c>
      <c r="K172" s="510">
        <f t="shared" si="67"/>
        <v>274.24</v>
      </c>
      <c r="L172" s="510">
        <f t="shared" si="68"/>
        <v>74.319999999999993</v>
      </c>
      <c r="M172" s="519"/>
      <c r="N172" s="519"/>
      <c r="O172" s="519"/>
      <c r="P172" s="519"/>
      <c r="Q172" s="519"/>
      <c r="R172" s="519"/>
      <c r="S172" s="519"/>
      <c r="T172" s="519"/>
      <c r="U172" s="519"/>
      <c r="V172" s="519"/>
      <c r="W172" s="519"/>
      <c r="X172" s="519">
        <f t="shared" si="72"/>
        <v>104.565</v>
      </c>
      <c r="Y172" s="519">
        <f t="shared" si="73"/>
        <v>104.565</v>
      </c>
      <c r="Z172" s="519">
        <f t="shared" si="74"/>
        <v>139.42000000000002</v>
      </c>
    </row>
    <row r="173" spans="1:26" s="512" customFormat="1" ht="30">
      <c r="A173" s="338" t="s">
        <v>6863</v>
      </c>
      <c r="B173" s="576" t="s">
        <v>5256</v>
      </c>
      <c r="C173" s="576">
        <v>88486</v>
      </c>
      <c r="D173" s="336" t="s">
        <v>6860</v>
      </c>
      <c r="E173" s="341">
        <f>E164</f>
        <v>104.67</v>
      </c>
      <c r="F173" s="342" t="s">
        <v>6339</v>
      </c>
      <c r="G173" s="352">
        <v>8.34</v>
      </c>
      <c r="H173" s="339">
        <f t="shared" si="69"/>
        <v>2.25</v>
      </c>
      <c r="I173" s="339">
        <f t="shared" si="70"/>
        <v>10.59</v>
      </c>
      <c r="J173" s="431">
        <f t="shared" si="71"/>
        <v>1108.46</v>
      </c>
      <c r="K173" s="510">
        <f t="shared" si="67"/>
        <v>872.95</v>
      </c>
      <c r="L173" s="510">
        <f t="shared" si="68"/>
        <v>235.51</v>
      </c>
      <c r="M173" s="519"/>
      <c r="N173" s="519"/>
      <c r="O173" s="519"/>
      <c r="P173" s="519"/>
      <c r="Q173" s="519"/>
      <c r="R173" s="519"/>
      <c r="S173" s="519"/>
      <c r="T173" s="519"/>
      <c r="U173" s="519"/>
      <c r="V173" s="519"/>
      <c r="W173" s="519"/>
      <c r="X173" s="519">
        <f t="shared" si="72"/>
        <v>332.53800000000001</v>
      </c>
      <c r="Y173" s="519">
        <f t="shared" si="73"/>
        <v>332.53800000000001</v>
      </c>
      <c r="Z173" s="519">
        <f t="shared" si="74"/>
        <v>443.38400000000001</v>
      </c>
    </row>
    <row r="174" spans="1:26" s="512" customFormat="1" ht="30">
      <c r="A174" s="338" t="s">
        <v>6864</v>
      </c>
      <c r="B174" s="576" t="s">
        <v>5256</v>
      </c>
      <c r="C174" s="576">
        <v>95622</v>
      </c>
      <c r="D174" s="336" t="s">
        <v>6861</v>
      </c>
      <c r="E174" s="341">
        <f>E171</f>
        <v>5532.62</v>
      </c>
      <c r="F174" s="342" t="s">
        <v>6339</v>
      </c>
      <c r="G174" s="352">
        <v>9.3699999999999992</v>
      </c>
      <c r="H174" s="339">
        <f t="shared" si="69"/>
        <v>2.52</v>
      </c>
      <c r="I174" s="339">
        <f t="shared" si="70"/>
        <v>11.889999999999999</v>
      </c>
      <c r="J174" s="431">
        <f t="shared" si="71"/>
        <v>65782.850000000006</v>
      </c>
      <c r="K174" s="510">
        <f t="shared" si="67"/>
        <v>51840.65</v>
      </c>
      <c r="L174" s="510">
        <f t="shared" si="68"/>
        <v>13942.2</v>
      </c>
      <c r="M174" s="519"/>
      <c r="N174" s="519"/>
      <c r="O174" s="519"/>
      <c r="P174" s="519"/>
      <c r="Q174" s="519"/>
      <c r="R174" s="519"/>
      <c r="S174" s="519"/>
      <c r="T174" s="519"/>
      <c r="U174" s="519"/>
      <c r="V174" s="519"/>
      <c r="W174" s="519"/>
      <c r="X174" s="519">
        <f t="shared" si="72"/>
        <v>19734.855</v>
      </c>
      <c r="Y174" s="519">
        <f t="shared" si="73"/>
        <v>19734.855</v>
      </c>
      <c r="Z174" s="519">
        <f t="shared" si="74"/>
        <v>26313.140000000003</v>
      </c>
    </row>
    <row r="175" spans="1:26" s="512" customFormat="1" ht="45">
      <c r="A175" s="338" t="s">
        <v>7945</v>
      </c>
      <c r="B175" s="576" t="s">
        <v>5256</v>
      </c>
      <c r="C175" s="576">
        <v>88485</v>
      </c>
      <c r="D175" s="336" t="s">
        <v>6862</v>
      </c>
      <c r="E175" s="341">
        <f>QuantPrédio!J455</f>
        <v>2310.17</v>
      </c>
      <c r="F175" s="342" t="s">
        <v>6339</v>
      </c>
      <c r="G175" s="352">
        <v>1.79</v>
      </c>
      <c r="H175" s="339">
        <f t="shared" si="69"/>
        <v>0.48</v>
      </c>
      <c r="I175" s="339">
        <f t="shared" si="70"/>
        <v>2.27</v>
      </c>
      <c r="J175" s="431">
        <f t="shared" si="71"/>
        <v>5244.09</v>
      </c>
      <c r="K175" s="510">
        <f t="shared" si="67"/>
        <v>4135.2</v>
      </c>
      <c r="L175" s="510">
        <f t="shared" si="68"/>
        <v>1108.8800000000001</v>
      </c>
      <c r="M175" s="519"/>
      <c r="N175" s="519"/>
      <c r="O175" s="519"/>
      <c r="P175" s="519"/>
      <c r="Q175" s="519"/>
      <c r="R175" s="519"/>
      <c r="S175" s="519"/>
      <c r="T175" s="519"/>
      <c r="U175" s="519"/>
      <c r="V175" s="519"/>
      <c r="W175" s="519"/>
      <c r="X175" s="519">
        <f t="shared" si="72"/>
        <v>1573.2270000000001</v>
      </c>
      <c r="Y175" s="519">
        <f t="shared" si="73"/>
        <v>1573.2270000000001</v>
      </c>
      <c r="Z175" s="519">
        <f t="shared" si="74"/>
        <v>2097.636</v>
      </c>
    </row>
    <row r="176" spans="1:26" s="512" customFormat="1" ht="45">
      <c r="A176" s="338" t="s">
        <v>7946</v>
      </c>
      <c r="B176" s="576" t="s">
        <v>6333</v>
      </c>
      <c r="C176" s="576">
        <v>4934</v>
      </c>
      <c r="D176" s="336" t="s">
        <v>7831</v>
      </c>
      <c r="E176" s="341">
        <f>QuantPrédio!J455</f>
        <v>2310.17</v>
      </c>
      <c r="F176" s="342" t="s">
        <v>6339</v>
      </c>
      <c r="G176" s="352">
        <v>5.26</v>
      </c>
      <c r="H176" s="339">
        <f t="shared" si="69"/>
        <v>1.42</v>
      </c>
      <c r="I176" s="339">
        <f t="shared" si="70"/>
        <v>6.68</v>
      </c>
      <c r="J176" s="431">
        <f t="shared" si="71"/>
        <v>15431.94</v>
      </c>
      <c r="K176" s="510">
        <f t="shared" si="67"/>
        <v>12151.49</v>
      </c>
      <c r="L176" s="510">
        <f t="shared" si="68"/>
        <v>3280.44</v>
      </c>
      <c r="M176" s="519"/>
      <c r="N176" s="519"/>
      <c r="O176" s="519"/>
      <c r="P176" s="519"/>
      <c r="Q176" s="519"/>
      <c r="R176" s="519"/>
      <c r="S176" s="519"/>
      <c r="T176" s="519"/>
      <c r="U176" s="519"/>
      <c r="V176" s="519"/>
      <c r="W176" s="519"/>
      <c r="X176" s="519">
        <f t="shared" si="72"/>
        <v>4629.5820000000003</v>
      </c>
      <c r="Y176" s="519">
        <f t="shared" si="73"/>
        <v>4629.5820000000003</v>
      </c>
      <c r="Z176" s="519">
        <f t="shared" si="74"/>
        <v>6172.7760000000007</v>
      </c>
    </row>
    <row r="177" spans="1:26" s="512" customFormat="1" ht="15">
      <c r="A177" s="337" t="s">
        <v>6865</v>
      </c>
      <c r="B177" s="698" t="s">
        <v>6866</v>
      </c>
      <c r="C177" s="698"/>
      <c r="D177" s="698"/>
      <c r="E177" s="698"/>
      <c r="F177" s="698"/>
      <c r="G177" s="698"/>
      <c r="H177" s="698"/>
      <c r="I177" s="698"/>
      <c r="J177" s="698"/>
      <c r="K177" s="510">
        <f t="shared" si="67"/>
        <v>0</v>
      </c>
      <c r="L177" s="510">
        <f t="shared" si="68"/>
        <v>0</v>
      </c>
      <c r="M177" s="519"/>
      <c r="N177" s="519"/>
      <c r="O177" s="519"/>
      <c r="P177" s="519"/>
      <c r="Q177" s="519"/>
      <c r="R177" s="519"/>
      <c r="S177" s="519"/>
      <c r="T177" s="519"/>
      <c r="U177" s="519"/>
      <c r="V177" s="519"/>
      <c r="W177" s="519"/>
      <c r="X177" s="519"/>
      <c r="Y177" s="519"/>
      <c r="Z177" s="519"/>
    </row>
    <row r="178" spans="1:26" s="512" customFormat="1" ht="45">
      <c r="A178" s="338" t="s">
        <v>7947</v>
      </c>
      <c r="B178" s="576" t="s">
        <v>5256</v>
      </c>
      <c r="C178" s="576">
        <v>87745</v>
      </c>
      <c r="D178" s="336" t="s">
        <v>6867</v>
      </c>
      <c r="E178" s="341">
        <v>1209</v>
      </c>
      <c r="F178" s="342" t="s">
        <v>6339</v>
      </c>
      <c r="G178" s="352">
        <v>31.4</v>
      </c>
      <c r="H178" s="339">
        <f t="shared" ref="H178:H184" si="75">ROUND(G178*$B$13,2)</f>
        <v>8.4600000000000009</v>
      </c>
      <c r="I178" s="339">
        <f t="shared" ref="I178:I184" si="76">H178+G178</f>
        <v>39.86</v>
      </c>
      <c r="J178" s="431">
        <f t="shared" ref="J178:J184" si="77">ROUND(I178*E178,2)</f>
        <v>48190.74</v>
      </c>
      <c r="K178" s="510">
        <f t="shared" si="67"/>
        <v>37962.6</v>
      </c>
      <c r="L178" s="510">
        <f t="shared" si="68"/>
        <v>10228.14</v>
      </c>
      <c r="M178" s="519"/>
      <c r="N178" s="519"/>
      <c r="O178" s="519"/>
      <c r="P178" s="519"/>
      <c r="Q178" s="519"/>
      <c r="R178" s="519"/>
      <c r="S178" s="519">
        <f t="shared" ref="S178:S184" si="78">0.4*J178</f>
        <v>19276.295999999998</v>
      </c>
      <c r="T178" s="519">
        <f t="shared" ref="T178:T184" si="79">0.6*J178</f>
        <v>28914.444</v>
      </c>
      <c r="U178" s="519"/>
      <c r="V178" s="519"/>
      <c r="W178" s="519"/>
      <c r="X178" s="519"/>
      <c r="Y178" s="519"/>
      <c r="Z178" s="519"/>
    </row>
    <row r="179" spans="1:26" s="512" customFormat="1" ht="45">
      <c r="A179" s="338" t="s">
        <v>7948</v>
      </c>
      <c r="B179" s="576" t="s">
        <v>5256</v>
      </c>
      <c r="C179" s="576" t="s">
        <v>6873</v>
      </c>
      <c r="D179" s="336" t="s">
        <v>6868</v>
      </c>
      <c r="E179" s="341">
        <f>QuantPrédio!J463</f>
        <v>473.02</v>
      </c>
      <c r="F179" s="342" t="s">
        <v>6339</v>
      </c>
      <c r="G179" s="352">
        <v>66.44</v>
      </c>
      <c r="H179" s="339">
        <f t="shared" si="75"/>
        <v>17.89</v>
      </c>
      <c r="I179" s="339">
        <f t="shared" si="76"/>
        <v>84.33</v>
      </c>
      <c r="J179" s="431">
        <f t="shared" si="77"/>
        <v>39889.78</v>
      </c>
      <c r="K179" s="510">
        <f t="shared" si="67"/>
        <v>31427.45</v>
      </c>
      <c r="L179" s="510">
        <f t="shared" si="68"/>
        <v>8462.33</v>
      </c>
      <c r="M179" s="519"/>
      <c r="N179" s="519"/>
      <c r="O179" s="519"/>
      <c r="P179" s="519"/>
      <c r="Q179" s="519"/>
      <c r="R179" s="519"/>
      <c r="S179" s="519">
        <f t="shared" si="78"/>
        <v>15955.912</v>
      </c>
      <c r="T179" s="519">
        <f t="shared" si="79"/>
        <v>23933.867999999999</v>
      </c>
      <c r="U179" s="519"/>
      <c r="V179" s="519"/>
      <c r="W179" s="519"/>
      <c r="X179" s="519"/>
      <c r="Y179" s="519"/>
      <c r="Z179" s="519"/>
    </row>
    <row r="180" spans="1:26" s="512" customFormat="1" ht="75">
      <c r="A180" s="338" t="s">
        <v>7949</v>
      </c>
      <c r="B180" s="576" t="s">
        <v>5256</v>
      </c>
      <c r="C180" s="576" t="s">
        <v>6872</v>
      </c>
      <c r="D180" s="336" t="s">
        <v>6869</v>
      </c>
      <c r="E180" s="341">
        <f>QuantPrédio!J470</f>
        <v>473.02</v>
      </c>
      <c r="F180" s="342" t="s">
        <v>6339</v>
      </c>
      <c r="G180" s="352">
        <v>37.57</v>
      </c>
      <c r="H180" s="339">
        <f t="shared" si="75"/>
        <v>10.119999999999999</v>
      </c>
      <c r="I180" s="339">
        <f t="shared" si="76"/>
        <v>47.69</v>
      </c>
      <c r="J180" s="431">
        <f t="shared" si="77"/>
        <v>22558.32</v>
      </c>
      <c r="K180" s="510">
        <f t="shared" si="67"/>
        <v>17771.36</v>
      </c>
      <c r="L180" s="510">
        <f t="shared" si="68"/>
        <v>4786.96</v>
      </c>
      <c r="M180" s="519"/>
      <c r="N180" s="519"/>
      <c r="O180" s="519"/>
      <c r="P180" s="519"/>
      <c r="Q180" s="519"/>
      <c r="R180" s="519"/>
      <c r="S180" s="519">
        <f t="shared" si="78"/>
        <v>9023.3279999999995</v>
      </c>
      <c r="T180" s="519">
        <f t="shared" si="79"/>
        <v>13534.992</v>
      </c>
      <c r="U180" s="519"/>
      <c r="V180" s="519"/>
      <c r="W180" s="519"/>
      <c r="X180" s="519"/>
      <c r="Y180" s="519"/>
      <c r="Z180" s="519"/>
    </row>
    <row r="181" spans="1:26" s="512" customFormat="1" ht="45">
      <c r="A181" s="338" t="s">
        <v>6978</v>
      </c>
      <c r="B181" s="576" t="s">
        <v>5256</v>
      </c>
      <c r="C181" s="576">
        <v>98561</v>
      </c>
      <c r="D181" s="336" t="s">
        <v>6870</v>
      </c>
      <c r="E181" s="341">
        <f>QuantPrédio!J477</f>
        <v>165.55</v>
      </c>
      <c r="F181" s="342" t="s">
        <v>6339</v>
      </c>
      <c r="G181" s="352">
        <v>23.9</v>
      </c>
      <c r="H181" s="339">
        <f t="shared" si="75"/>
        <v>6.44</v>
      </c>
      <c r="I181" s="339">
        <f t="shared" si="76"/>
        <v>30.34</v>
      </c>
      <c r="J181" s="431">
        <f t="shared" si="77"/>
        <v>5022.79</v>
      </c>
      <c r="K181" s="510">
        <f t="shared" si="67"/>
        <v>3956.65</v>
      </c>
      <c r="L181" s="510">
        <f t="shared" si="68"/>
        <v>1066.1400000000001</v>
      </c>
      <c r="M181" s="519"/>
      <c r="N181" s="519"/>
      <c r="O181" s="519"/>
      <c r="P181" s="519"/>
      <c r="Q181" s="519"/>
      <c r="R181" s="519"/>
      <c r="S181" s="519">
        <f t="shared" si="78"/>
        <v>2009.116</v>
      </c>
      <c r="T181" s="519">
        <f t="shared" si="79"/>
        <v>3013.674</v>
      </c>
      <c r="U181" s="519"/>
      <c r="V181" s="519"/>
      <c r="W181" s="519"/>
      <c r="X181" s="519"/>
      <c r="Y181" s="519"/>
      <c r="Z181" s="519"/>
    </row>
    <row r="182" spans="1:26" s="512" customFormat="1" ht="60">
      <c r="A182" s="338" t="s">
        <v>7950</v>
      </c>
      <c r="B182" s="576" t="s">
        <v>5256</v>
      </c>
      <c r="C182" s="576">
        <v>98556</v>
      </c>
      <c r="D182" s="336" t="s">
        <v>8621</v>
      </c>
      <c r="E182" s="341">
        <f>QuantPrédio!J487</f>
        <v>23.96</v>
      </c>
      <c r="F182" s="342" t="s">
        <v>6339</v>
      </c>
      <c r="G182" s="352">
        <v>38.85</v>
      </c>
      <c r="H182" s="339">
        <f t="shared" si="75"/>
        <v>10.46</v>
      </c>
      <c r="I182" s="339">
        <f t="shared" si="76"/>
        <v>49.31</v>
      </c>
      <c r="J182" s="431">
        <f t="shared" si="77"/>
        <v>1181.47</v>
      </c>
      <c r="K182" s="510">
        <f t="shared" si="67"/>
        <v>930.85</v>
      </c>
      <c r="L182" s="510">
        <f t="shared" si="68"/>
        <v>250.62</v>
      </c>
      <c r="M182" s="519"/>
      <c r="N182" s="519"/>
      <c r="O182" s="519"/>
      <c r="P182" s="519"/>
      <c r="Q182" s="519"/>
      <c r="R182" s="519"/>
      <c r="S182" s="519">
        <f t="shared" si="78"/>
        <v>472.58800000000002</v>
      </c>
      <c r="T182" s="519">
        <f t="shared" si="79"/>
        <v>708.88199999999995</v>
      </c>
      <c r="U182" s="519"/>
      <c r="V182" s="519"/>
      <c r="W182" s="519"/>
      <c r="X182" s="519"/>
      <c r="Y182" s="519"/>
      <c r="Z182" s="519"/>
    </row>
    <row r="183" spans="1:26" s="512" customFormat="1" ht="45">
      <c r="A183" s="338" t="s">
        <v>7951</v>
      </c>
      <c r="B183" s="576" t="s">
        <v>5256</v>
      </c>
      <c r="C183" s="576">
        <v>98555</v>
      </c>
      <c r="D183" s="336" t="s">
        <v>6871</v>
      </c>
      <c r="E183" s="341">
        <f>QuantPrédio!J497</f>
        <v>7.8</v>
      </c>
      <c r="F183" s="342" t="s">
        <v>6339</v>
      </c>
      <c r="G183" s="352">
        <v>23.04</v>
      </c>
      <c r="H183" s="339">
        <f t="shared" si="75"/>
        <v>6.2</v>
      </c>
      <c r="I183" s="339">
        <f t="shared" si="76"/>
        <v>29.24</v>
      </c>
      <c r="J183" s="431">
        <f t="shared" si="77"/>
        <v>228.07</v>
      </c>
      <c r="K183" s="510">
        <f t="shared" si="67"/>
        <v>179.71</v>
      </c>
      <c r="L183" s="510">
        <f t="shared" si="68"/>
        <v>48.36</v>
      </c>
      <c r="M183" s="519"/>
      <c r="N183" s="519"/>
      <c r="O183" s="519"/>
      <c r="P183" s="519"/>
      <c r="Q183" s="519"/>
      <c r="R183" s="519"/>
      <c r="S183" s="519">
        <f t="shared" si="78"/>
        <v>91.228000000000009</v>
      </c>
      <c r="T183" s="519">
        <f t="shared" si="79"/>
        <v>136.84199999999998</v>
      </c>
      <c r="U183" s="519"/>
      <c r="V183" s="519"/>
      <c r="W183" s="519"/>
      <c r="X183" s="519"/>
      <c r="Y183" s="519"/>
      <c r="Z183" s="519"/>
    </row>
    <row r="184" spans="1:26" s="512" customFormat="1" ht="30">
      <c r="A184" s="338" t="s">
        <v>6979</v>
      </c>
      <c r="B184" s="576" t="s">
        <v>5256</v>
      </c>
      <c r="C184" s="576" t="s">
        <v>4494</v>
      </c>
      <c r="D184" s="336" t="s">
        <v>8636</v>
      </c>
      <c r="E184" s="341">
        <f>QuantPrédio!J509</f>
        <v>404.39</v>
      </c>
      <c r="F184" s="342" t="s">
        <v>6339</v>
      </c>
      <c r="G184" s="352">
        <v>13.04</v>
      </c>
      <c r="H184" s="339">
        <f t="shared" si="75"/>
        <v>3.51</v>
      </c>
      <c r="I184" s="339">
        <f t="shared" si="76"/>
        <v>16.549999999999997</v>
      </c>
      <c r="J184" s="431">
        <f t="shared" si="77"/>
        <v>6692.65</v>
      </c>
      <c r="K184" s="510">
        <f t="shared" si="67"/>
        <v>5273.25</v>
      </c>
      <c r="L184" s="510">
        <f t="shared" si="68"/>
        <v>1419.41</v>
      </c>
      <c r="M184" s="519"/>
      <c r="N184" s="519"/>
      <c r="O184" s="519"/>
      <c r="P184" s="519"/>
      <c r="Q184" s="519"/>
      <c r="R184" s="519"/>
      <c r="S184" s="519">
        <f t="shared" si="78"/>
        <v>2677.06</v>
      </c>
      <c r="T184" s="519">
        <f t="shared" si="79"/>
        <v>4015.5899999999997</v>
      </c>
      <c r="U184" s="519"/>
      <c r="V184" s="519"/>
      <c r="W184" s="519"/>
      <c r="X184" s="519"/>
      <c r="Y184" s="519"/>
      <c r="Z184" s="519"/>
    </row>
    <row r="185" spans="1:26" s="512" customFormat="1" ht="15">
      <c r="A185" s="337" t="s">
        <v>6175</v>
      </c>
      <c r="B185" s="698" t="s">
        <v>6176</v>
      </c>
      <c r="C185" s="698"/>
      <c r="D185" s="698"/>
      <c r="E185" s="698"/>
      <c r="F185" s="698"/>
      <c r="G185" s="698"/>
      <c r="H185" s="698"/>
      <c r="I185" s="698"/>
      <c r="J185" s="698"/>
      <c r="K185" s="510">
        <f t="shared" si="67"/>
        <v>0</v>
      </c>
      <c r="L185" s="510">
        <f t="shared" si="68"/>
        <v>0</v>
      </c>
      <c r="M185" s="519"/>
      <c r="N185" s="519"/>
      <c r="O185" s="519"/>
      <c r="P185" s="519"/>
      <c r="Q185" s="519"/>
      <c r="R185" s="519"/>
      <c r="S185" s="519"/>
      <c r="T185" s="519"/>
      <c r="U185" s="519"/>
      <c r="V185" s="519"/>
      <c r="W185" s="519"/>
      <c r="X185" s="519"/>
      <c r="Y185" s="519"/>
      <c r="Z185" s="519"/>
    </row>
    <row r="186" spans="1:26" s="512" customFormat="1" ht="15">
      <c r="A186" s="460" t="s">
        <v>8118</v>
      </c>
      <c r="B186" s="576" t="s">
        <v>5256</v>
      </c>
      <c r="C186" s="576">
        <v>98685</v>
      </c>
      <c r="D186" s="336" t="s">
        <v>6980</v>
      </c>
      <c r="E186" s="341">
        <f>QuantPrédio!I516</f>
        <v>161.11000000000001</v>
      </c>
      <c r="F186" s="342" t="s">
        <v>6774</v>
      </c>
      <c r="G186" s="352">
        <v>48.03</v>
      </c>
      <c r="H186" s="339">
        <f>ROUND(G186*$B$13,2)</f>
        <v>12.93</v>
      </c>
      <c r="I186" s="339">
        <f>H186+G186</f>
        <v>60.96</v>
      </c>
      <c r="J186" s="431">
        <f>ROUND(I186*E186,2)</f>
        <v>9821.27</v>
      </c>
      <c r="K186" s="510">
        <f t="shared" si="67"/>
        <v>7738.11</v>
      </c>
      <c r="L186" s="510">
        <f t="shared" si="68"/>
        <v>2083.15</v>
      </c>
      <c r="M186" s="519"/>
      <c r="N186" s="519"/>
      <c r="O186" s="519"/>
      <c r="P186" s="519"/>
      <c r="Q186" s="519"/>
      <c r="R186" s="519"/>
      <c r="S186" s="519"/>
      <c r="T186" s="519"/>
      <c r="U186" s="519">
        <f>0.5*J186</f>
        <v>4910.6350000000002</v>
      </c>
      <c r="V186" s="519">
        <f>0.3*J186</f>
        <v>2946.3809999999999</v>
      </c>
      <c r="W186" s="519">
        <f>0.2*J186</f>
        <v>1964.2540000000001</v>
      </c>
      <c r="X186" s="519"/>
      <c r="Y186" s="519"/>
      <c r="Z186" s="519"/>
    </row>
    <row r="187" spans="1:26" s="512" customFormat="1" ht="15">
      <c r="A187" s="460" t="s">
        <v>8119</v>
      </c>
      <c r="B187" s="576" t="s">
        <v>5256</v>
      </c>
      <c r="C187" s="576" t="s">
        <v>4557</v>
      </c>
      <c r="D187" s="336" t="s">
        <v>6982</v>
      </c>
      <c r="E187" s="341">
        <f>QuantPrédio!I524</f>
        <v>887.55</v>
      </c>
      <c r="F187" s="342" t="s">
        <v>6774</v>
      </c>
      <c r="G187" s="352">
        <v>18.13</v>
      </c>
      <c r="H187" s="339">
        <f>ROUND(G187*$B$13,2)</f>
        <v>4.88</v>
      </c>
      <c r="I187" s="339">
        <f>H187+G187</f>
        <v>23.009999999999998</v>
      </c>
      <c r="J187" s="431">
        <f>ROUND(I187*E187,2)</f>
        <v>20422.53</v>
      </c>
      <c r="K187" s="510">
        <f t="shared" si="67"/>
        <v>16091.28</v>
      </c>
      <c r="L187" s="510">
        <f t="shared" si="68"/>
        <v>4331.24</v>
      </c>
      <c r="M187" s="519"/>
      <c r="N187" s="519"/>
      <c r="O187" s="519"/>
      <c r="P187" s="519"/>
      <c r="Q187" s="519"/>
      <c r="R187" s="519"/>
      <c r="S187" s="519"/>
      <c r="T187" s="519"/>
      <c r="U187" s="519">
        <f>0.5*J187</f>
        <v>10211.264999999999</v>
      </c>
      <c r="V187" s="519">
        <f>0.3*J187</f>
        <v>6126.7589999999991</v>
      </c>
      <c r="W187" s="519">
        <f>0.2*J187</f>
        <v>4084.5059999999999</v>
      </c>
      <c r="X187" s="519"/>
      <c r="Y187" s="519"/>
      <c r="Z187" s="519"/>
    </row>
    <row r="188" spans="1:26" s="512" customFormat="1" ht="45">
      <c r="A188" s="338" t="s">
        <v>6983</v>
      </c>
      <c r="B188" s="576" t="s">
        <v>5256</v>
      </c>
      <c r="C188" s="576">
        <v>98689</v>
      </c>
      <c r="D188" s="336" t="s">
        <v>6984</v>
      </c>
      <c r="E188" s="341">
        <f>QuantPrédio!I531</f>
        <v>9.8000000000000007</v>
      </c>
      <c r="F188" s="342" t="s">
        <v>6774</v>
      </c>
      <c r="G188" s="352">
        <v>67.849999999999994</v>
      </c>
      <c r="H188" s="339">
        <f>ROUND(G188*$B$13,2)</f>
        <v>18.27</v>
      </c>
      <c r="I188" s="339">
        <f>H188+G188</f>
        <v>86.11999999999999</v>
      </c>
      <c r="J188" s="431">
        <f>ROUND(I188*E188,2)</f>
        <v>843.98</v>
      </c>
      <c r="K188" s="510">
        <f t="shared" si="67"/>
        <v>664.93</v>
      </c>
      <c r="L188" s="510">
        <f t="shared" si="68"/>
        <v>179.05</v>
      </c>
      <c r="M188" s="519"/>
      <c r="N188" s="519"/>
      <c r="O188" s="519"/>
      <c r="P188" s="519"/>
      <c r="Q188" s="519"/>
      <c r="R188" s="519"/>
      <c r="S188" s="519"/>
      <c r="T188" s="519"/>
      <c r="U188" s="519">
        <f>0.5*J188</f>
        <v>421.99</v>
      </c>
      <c r="V188" s="519">
        <f>0.3*J188</f>
        <v>253.19399999999999</v>
      </c>
      <c r="W188" s="519">
        <f>0.2*J188</f>
        <v>168.79600000000002</v>
      </c>
      <c r="X188" s="519"/>
      <c r="Y188" s="519"/>
      <c r="Z188" s="519"/>
    </row>
    <row r="189" spans="1:26" s="512" customFormat="1" ht="30">
      <c r="A189" s="338" t="s">
        <v>6986</v>
      </c>
      <c r="B189" s="576" t="s">
        <v>5256</v>
      </c>
      <c r="C189" s="576" t="s">
        <v>15398</v>
      </c>
      <c r="D189" s="336" t="s">
        <v>6985</v>
      </c>
      <c r="E189" s="341">
        <f>QuantPrédio!I545</f>
        <v>192.86</v>
      </c>
      <c r="F189" s="342" t="s">
        <v>6774</v>
      </c>
      <c r="G189" s="352">
        <v>19.37</v>
      </c>
      <c r="H189" s="339">
        <f>ROUND(G189*$B$13,2)</f>
        <v>5.22</v>
      </c>
      <c r="I189" s="339">
        <f>H189+G189</f>
        <v>24.59</v>
      </c>
      <c r="J189" s="431">
        <f>ROUND(I189*E189,2)</f>
        <v>4742.43</v>
      </c>
      <c r="K189" s="510">
        <f t="shared" si="67"/>
        <v>3735.7</v>
      </c>
      <c r="L189" s="510">
        <f t="shared" si="68"/>
        <v>1006.73</v>
      </c>
      <c r="M189" s="519"/>
      <c r="N189" s="519"/>
      <c r="O189" s="519"/>
      <c r="P189" s="519"/>
      <c r="Q189" s="519"/>
      <c r="R189" s="519"/>
      <c r="S189" s="519"/>
      <c r="T189" s="519"/>
      <c r="U189" s="519">
        <f>0.5*J189</f>
        <v>2371.2150000000001</v>
      </c>
      <c r="V189" s="519">
        <f>0.3*J189</f>
        <v>1422.729</v>
      </c>
      <c r="W189" s="519">
        <f>0.2*J189</f>
        <v>948.4860000000001</v>
      </c>
      <c r="X189" s="519"/>
      <c r="Y189" s="519"/>
      <c r="Z189" s="519"/>
    </row>
    <row r="190" spans="1:26" s="512" customFormat="1" ht="30">
      <c r="A190" s="338" t="s">
        <v>6987</v>
      </c>
      <c r="B190" s="576" t="s">
        <v>5256</v>
      </c>
      <c r="C190" s="576" t="s">
        <v>1618</v>
      </c>
      <c r="D190" s="336" t="s">
        <v>8628</v>
      </c>
      <c r="E190" s="341">
        <f>QuantPrédio!I555</f>
        <v>22</v>
      </c>
      <c r="F190" s="342" t="s">
        <v>6774</v>
      </c>
      <c r="G190" s="352">
        <v>24.45</v>
      </c>
      <c r="H190" s="339">
        <f>ROUND(G190*$B$13,2)</f>
        <v>6.58</v>
      </c>
      <c r="I190" s="339">
        <f>H190+G190</f>
        <v>31.03</v>
      </c>
      <c r="J190" s="431">
        <f>ROUND(I190*E190,2)</f>
        <v>682.66</v>
      </c>
      <c r="K190" s="510">
        <f t="shared" si="67"/>
        <v>537.9</v>
      </c>
      <c r="L190" s="510">
        <f t="shared" si="68"/>
        <v>144.76</v>
      </c>
      <c r="M190" s="519"/>
      <c r="N190" s="519"/>
      <c r="O190" s="519"/>
      <c r="P190" s="519"/>
      <c r="Q190" s="519"/>
      <c r="R190" s="519"/>
      <c r="S190" s="519"/>
      <c r="T190" s="519"/>
      <c r="U190" s="519">
        <f>0.5*J190</f>
        <v>341.33</v>
      </c>
      <c r="V190" s="519">
        <f>0.3*J190</f>
        <v>204.79799999999997</v>
      </c>
      <c r="W190" s="519">
        <f>0.2*J190</f>
        <v>136.53200000000001</v>
      </c>
      <c r="X190" s="519"/>
      <c r="Y190" s="519"/>
      <c r="Z190" s="519"/>
    </row>
    <row r="191" spans="1:26" s="512" customFormat="1" ht="15">
      <c r="A191" s="337" t="s">
        <v>6177</v>
      </c>
      <c r="B191" s="698" t="s">
        <v>6178</v>
      </c>
      <c r="C191" s="698"/>
      <c r="D191" s="698"/>
      <c r="E191" s="698"/>
      <c r="F191" s="698"/>
      <c r="G191" s="698"/>
      <c r="H191" s="698"/>
      <c r="I191" s="698"/>
      <c r="J191" s="698"/>
      <c r="K191" s="510">
        <f t="shared" si="67"/>
        <v>0</v>
      </c>
      <c r="L191" s="510">
        <f t="shared" si="68"/>
        <v>0</v>
      </c>
      <c r="M191" s="519"/>
      <c r="N191" s="519"/>
      <c r="O191" s="519"/>
      <c r="P191" s="519"/>
      <c r="Q191" s="519"/>
      <c r="R191" s="519"/>
      <c r="S191" s="519"/>
      <c r="T191" s="519"/>
      <c r="U191" s="519"/>
      <c r="V191" s="519"/>
      <c r="W191" s="519"/>
      <c r="X191" s="519"/>
      <c r="Y191" s="519"/>
      <c r="Z191" s="519"/>
    </row>
    <row r="192" spans="1:26" s="512" customFormat="1" ht="75">
      <c r="A192" s="338" t="s">
        <v>7952</v>
      </c>
      <c r="B192" s="576" t="s">
        <v>6775</v>
      </c>
      <c r="C192" s="576">
        <v>7</v>
      </c>
      <c r="D192" s="336" t="s">
        <v>6992</v>
      </c>
      <c r="E192" s="341">
        <f>QuantPrédio!I570</f>
        <v>60.58</v>
      </c>
      <c r="F192" s="342" t="s">
        <v>6774</v>
      </c>
      <c r="G192" s="352">
        <v>245.97000000000003</v>
      </c>
      <c r="H192" s="339">
        <f>ROUND(G192*$B$13,2)</f>
        <v>66.239999999999995</v>
      </c>
      <c r="I192" s="339">
        <f t="shared" ref="I192:I203" si="80">H192+G192</f>
        <v>312.21000000000004</v>
      </c>
      <c r="J192" s="431">
        <f t="shared" ref="J192:J203" si="81">ROUND(I192*E192,2)</f>
        <v>18913.68</v>
      </c>
      <c r="K192" s="510">
        <f t="shared" si="67"/>
        <v>14900.86</v>
      </c>
      <c r="L192" s="510">
        <f t="shared" si="68"/>
        <v>4012.82</v>
      </c>
      <c r="M192" s="519"/>
      <c r="N192" s="519"/>
      <c r="O192" s="519"/>
      <c r="P192" s="519"/>
      <c r="Q192" s="519"/>
      <c r="R192" s="519"/>
      <c r="S192" s="519"/>
      <c r="T192" s="519"/>
      <c r="U192" s="519"/>
      <c r="V192" s="519">
        <f>0.7*J192</f>
        <v>13239.575999999999</v>
      </c>
      <c r="W192" s="519">
        <f>0.3*J192</f>
        <v>5674.1040000000003</v>
      </c>
      <c r="X192" s="519"/>
      <c r="Y192" s="519"/>
      <c r="Z192" s="519"/>
    </row>
    <row r="193" spans="1:26" s="512" customFormat="1" ht="60">
      <c r="A193" s="338" t="s">
        <v>7953</v>
      </c>
      <c r="B193" s="576" t="s">
        <v>6775</v>
      </c>
      <c r="C193" s="576">
        <v>8</v>
      </c>
      <c r="D193" s="336" t="s">
        <v>6993</v>
      </c>
      <c r="E193" s="341">
        <f>QuantPrédio!I578</f>
        <v>11.04</v>
      </c>
      <c r="F193" s="342" t="s">
        <v>6774</v>
      </c>
      <c r="G193" s="352">
        <v>300.52999999999997</v>
      </c>
      <c r="H193" s="339">
        <f>ROUND(G193*$B$13,2)</f>
        <v>80.930000000000007</v>
      </c>
      <c r="I193" s="339">
        <f t="shared" si="80"/>
        <v>381.46</v>
      </c>
      <c r="J193" s="431">
        <f t="shared" si="81"/>
        <v>4211.32</v>
      </c>
      <c r="K193" s="510">
        <f t="shared" si="67"/>
        <v>3317.85</v>
      </c>
      <c r="L193" s="510">
        <f t="shared" si="68"/>
        <v>893.47</v>
      </c>
      <c r="M193" s="519"/>
      <c r="N193" s="519"/>
      <c r="O193" s="519"/>
      <c r="P193" s="519"/>
      <c r="Q193" s="519"/>
      <c r="R193" s="519"/>
      <c r="S193" s="519"/>
      <c r="T193" s="519"/>
      <c r="U193" s="519"/>
      <c r="V193" s="519">
        <f>0.7*J193</f>
        <v>2947.9239999999995</v>
      </c>
      <c r="W193" s="519">
        <f>0.3*J193</f>
        <v>1263.396</v>
      </c>
      <c r="X193" s="519"/>
      <c r="Y193" s="519"/>
      <c r="Z193" s="519"/>
    </row>
    <row r="194" spans="1:26" s="512" customFormat="1" ht="60">
      <c r="A194" s="338" t="s">
        <v>7954</v>
      </c>
      <c r="B194" s="576" t="s">
        <v>6775</v>
      </c>
      <c r="C194" s="576">
        <v>9</v>
      </c>
      <c r="D194" s="336" t="s">
        <v>6994</v>
      </c>
      <c r="E194" s="341">
        <f>QuantPrédio!I588</f>
        <v>35.130000000000003</v>
      </c>
      <c r="F194" s="342" t="s">
        <v>6774</v>
      </c>
      <c r="G194" s="352">
        <v>381.07</v>
      </c>
      <c r="H194" s="339">
        <f>ROUND(G194*$B$13,2)</f>
        <v>102.62</v>
      </c>
      <c r="I194" s="339">
        <f t="shared" si="80"/>
        <v>483.69</v>
      </c>
      <c r="J194" s="431">
        <f t="shared" si="81"/>
        <v>16992.03</v>
      </c>
      <c r="K194" s="510">
        <f t="shared" si="67"/>
        <v>13386.99</v>
      </c>
      <c r="L194" s="510">
        <f t="shared" si="68"/>
        <v>3605.04</v>
      </c>
      <c r="M194" s="519"/>
      <c r="N194" s="519"/>
      <c r="O194" s="519"/>
      <c r="P194" s="519"/>
      <c r="Q194" s="519"/>
      <c r="R194" s="519"/>
      <c r="S194" s="519"/>
      <c r="T194" s="519"/>
      <c r="U194" s="519"/>
      <c r="V194" s="519">
        <f>0.7*J194</f>
        <v>11894.420999999998</v>
      </c>
      <c r="W194" s="519">
        <f>0.3*J194</f>
        <v>5097.6089999999995</v>
      </c>
      <c r="X194" s="519"/>
      <c r="Y194" s="519"/>
      <c r="Z194" s="519"/>
    </row>
    <row r="195" spans="1:26" s="512" customFormat="1" ht="75">
      <c r="A195" s="338" t="s">
        <v>7955</v>
      </c>
      <c r="B195" s="576" t="s">
        <v>6775</v>
      </c>
      <c r="C195" s="576">
        <v>10</v>
      </c>
      <c r="D195" s="336" t="s">
        <v>6995</v>
      </c>
      <c r="E195" s="341">
        <f>QuantPrédio!I596</f>
        <v>14.37</v>
      </c>
      <c r="F195" s="342" t="s">
        <v>6774</v>
      </c>
      <c r="G195" s="352">
        <v>461.59999999999997</v>
      </c>
      <c r="H195" s="339">
        <f>ROUND(G195*$B$13,2)</f>
        <v>124.31</v>
      </c>
      <c r="I195" s="339">
        <f t="shared" si="80"/>
        <v>585.91</v>
      </c>
      <c r="J195" s="431">
        <f t="shared" si="81"/>
        <v>8419.5300000000007</v>
      </c>
      <c r="K195" s="510">
        <f t="shared" si="67"/>
        <v>6633.19</v>
      </c>
      <c r="L195" s="510">
        <f t="shared" si="68"/>
        <v>1786.33</v>
      </c>
      <c r="M195" s="519"/>
      <c r="N195" s="519"/>
      <c r="O195" s="519"/>
      <c r="P195" s="519"/>
      <c r="Q195" s="519"/>
      <c r="R195" s="519"/>
      <c r="S195" s="519"/>
      <c r="T195" s="519"/>
      <c r="U195" s="519"/>
      <c r="V195" s="519">
        <f>0.7*J195</f>
        <v>5893.6710000000003</v>
      </c>
      <c r="W195" s="519">
        <f>0.3*J195</f>
        <v>2525.8589999999999</v>
      </c>
      <c r="X195" s="519"/>
      <c r="Y195" s="519"/>
      <c r="Z195" s="519"/>
    </row>
    <row r="196" spans="1:26" s="512" customFormat="1" ht="90">
      <c r="A196" s="338" t="s">
        <v>9096</v>
      </c>
      <c r="B196" s="576" t="s">
        <v>6753</v>
      </c>
      <c r="C196" s="576" t="s">
        <v>9015</v>
      </c>
      <c r="D196" s="336" t="s">
        <v>9570</v>
      </c>
      <c r="E196" s="341">
        <f>QuantPrédio!J604</f>
        <v>655.12</v>
      </c>
      <c r="F196" s="342" t="s">
        <v>6339</v>
      </c>
      <c r="G196" s="352">
        <v>159.31</v>
      </c>
      <c r="H196" s="339">
        <f>ROUND(G196*$B$14,2)</f>
        <v>33.340000000000003</v>
      </c>
      <c r="I196" s="339">
        <f t="shared" si="80"/>
        <v>192.65</v>
      </c>
      <c r="J196" s="431">
        <f t="shared" si="81"/>
        <v>126208.87</v>
      </c>
      <c r="K196" s="510">
        <f t="shared" si="67"/>
        <v>104367.17</v>
      </c>
      <c r="L196" s="510">
        <f t="shared" si="68"/>
        <v>21841.7</v>
      </c>
      <c r="M196" s="519"/>
      <c r="N196" s="519"/>
      <c r="O196" s="519"/>
      <c r="P196" s="519"/>
      <c r="Q196" s="519"/>
      <c r="R196" s="519"/>
      <c r="S196" s="519"/>
      <c r="T196" s="519"/>
      <c r="U196" s="519"/>
      <c r="V196" s="519"/>
      <c r="W196" s="519"/>
      <c r="X196" s="519">
        <f>0.4*J196</f>
        <v>50483.548000000003</v>
      </c>
      <c r="Y196" s="519">
        <f>0.4*J196</f>
        <v>50483.548000000003</v>
      </c>
      <c r="Z196" s="519">
        <f>0.2*J196</f>
        <v>25241.774000000001</v>
      </c>
    </row>
    <row r="197" spans="1:26" s="512" customFormat="1" ht="45">
      <c r="A197" s="338" t="s">
        <v>9097</v>
      </c>
      <c r="B197" s="576" t="s">
        <v>5256</v>
      </c>
      <c r="C197" s="576" t="s">
        <v>15567</v>
      </c>
      <c r="D197" s="336" t="s">
        <v>9571</v>
      </c>
      <c r="E197" s="341">
        <f>E196</f>
        <v>655.12</v>
      </c>
      <c r="F197" s="342" t="s">
        <v>6339</v>
      </c>
      <c r="G197" s="352">
        <v>81.169999999999987</v>
      </c>
      <c r="H197" s="339">
        <f>ROUND(G197*$B$14,2)</f>
        <v>16.989999999999998</v>
      </c>
      <c r="I197" s="339">
        <f t="shared" si="80"/>
        <v>98.159999999999982</v>
      </c>
      <c r="J197" s="431">
        <f t="shared" si="81"/>
        <v>64306.58</v>
      </c>
      <c r="K197" s="510">
        <f t="shared" si="67"/>
        <v>53176.09</v>
      </c>
      <c r="L197" s="510">
        <f t="shared" si="68"/>
        <v>11130.49</v>
      </c>
      <c r="M197" s="519"/>
      <c r="N197" s="519"/>
      <c r="O197" s="519"/>
      <c r="P197" s="519"/>
      <c r="Q197" s="519"/>
      <c r="R197" s="519"/>
      <c r="S197" s="519"/>
      <c r="T197" s="519"/>
      <c r="U197" s="519"/>
      <c r="V197" s="519"/>
      <c r="W197" s="519"/>
      <c r="X197" s="519">
        <f>0.4*J197</f>
        <v>25722.632000000001</v>
      </c>
      <c r="Y197" s="519">
        <f>0.4*J197</f>
        <v>25722.632000000001</v>
      </c>
      <c r="Z197" s="519">
        <f>0.2*J197</f>
        <v>12861.316000000001</v>
      </c>
    </row>
    <row r="198" spans="1:26" s="512" customFormat="1" ht="30">
      <c r="A198" s="576" t="s">
        <v>8835</v>
      </c>
      <c r="B198" s="576" t="s">
        <v>5256</v>
      </c>
      <c r="C198" s="576" t="s">
        <v>1534</v>
      </c>
      <c r="D198" s="336" t="s">
        <v>6996</v>
      </c>
      <c r="E198" s="341">
        <v>1</v>
      </c>
      <c r="F198" s="342" t="s">
        <v>6337</v>
      </c>
      <c r="G198" s="352">
        <v>79.23</v>
      </c>
      <c r="H198" s="339">
        <f t="shared" ref="H198:H203" si="82">ROUND(G198*$B$13,2)</f>
        <v>21.34</v>
      </c>
      <c r="I198" s="339">
        <f t="shared" si="80"/>
        <v>100.57000000000001</v>
      </c>
      <c r="J198" s="431">
        <f t="shared" si="81"/>
        <v>100.57</v>
      </c>
      <c r="K198" s="510">
        <f t="shared" si="67"/>
        <v>79.23</v>
      </c>
      <c r="L198" s="510">
        <f t="shared" si="68"/>
        <v>21.34</v>
      </c>
      <c r="M198" s="519"/>
      <c r="N198" s="519"/>
      <c r="O198" s="519"/>
      <c r="P198" s="519"/>
      <c r="Q198" s="519"/>
      <c r="R198" s="519"/>
      <c r="S198" s="519"/>
      <c r="T198" s="519"/>
      <c r="U198" s="519">
        <f t="shared" ref="U198:U203" si="83">0.5*J198</f>
        <v>50.284999999999997</v>
      </c>
      <c r="V198" s="519">
        <f t="shared" ref="V198:V203" si="84">0.5*J198</f>
        <v>50.284999999999997</v>
      </c>
      <c r="W198" s="519"/>
      <c r="X198" s="519"/>
      <c r="Y198" s="519"/>
      <c r="Z198" s="519"/>
    </row>
    <row r="199" spans="1:26" s="512" customFormat="1" ht="75">
      <c r="A199" s="338" t="s">
        <v>6998</v>
      </c>
      <c r="B199" s="576" t="s">
        <v>5256</v>
      </c>
      <c r="C199" s="576">
        <v>73665</v>
      </c>
      <c r="D199" s="336" t="s">
        <v>6997</v>
      </c>
      <c r="E199" s="341">
        <v>5.2</v>
      </c>
      <c r="F199" s="342" t="s">
        <v>6774</v>
      </c>
      <c r="G199" s="352">
        <v>48.19</v>
      </c>
      <c r="H199" s="339">
        <f t="shared" si="82"/>
        <v>12.98</v>
      </c>
      <c r="I199" s="339">
        <f t="shared" si="80"/>
        <v>61.17</v>
      </c>
      <c r="J199" s="431">
        <f t="shared" si="81"/>
        <v>318.08</v>
      </c>
      <c r="K199" s="510">
        <f t="shared" si="67"/>
        <v>250.59</v>
      </c>
      <c r="L199" s="510">
        <f t="shared" si="68"/>
        <v>67.5</v>
      </c>
      <c r="M199" s="519"/>
      <c r="N199" s="519"/>
      <c r="O199" s="519"/>
      <c r="P199" s="519"/>
      <c r="Q199" s="519"/>
      <c r="R199" s="519"/>
      <c r="S199" s="519"/>
      <c r="T199" s="519"/>
      <c r="U199" s="519">
        <f t="shared" si="83"/>
        <v>159.04</v>
      </c>
      <c r="V199" s="519">
        <f t="shared" si="84"/>
        <v>159.04</v>
      </c>
      <c r="W199" s="519"/>
      <c r="X199" s="519"/>
      <c r="Y199" s="519"/>
      <c r="Z199" s="519"/>
    </row>
    <row r="200" spans="1:26" s="512" customFormat="1" ht="30">
      <c r="A200" s="338" t="s">
        <v>7956</v>
      </c>
      <c r="B200" s="576" t="s">
        <v>6333</v>
      </c>
      <c r="C200" s="576">
        <v>10759</v>
      </c>
      <c r="D200" s="336" t="s">
        <v>7001</v>
      </c>
      <c r="E200" s="341">
        <f>QuantPrédio!J635</f>
        <v>233.88</v>
      </c>
      <c r="F200" s="342" t="s">
        <v>6339</v>
      </c>
      <c r="G200" s="352">
        <v>426.88000000000005</v>
      </c>
      <c r="H200" s="339">
        <f t="shared" si="82"/>
        <v>114.96</v>
      </c>
      <c r="I200" s="339">
        <f t="shared" si="80"/>
        <v>541.84</v>
      </c>
      <c r="J200" s="431">
        <f t="shared" si="81"/>
        <v>126725.54</v>
      </c>
      <c r="K200" s="510">
        <f t="shared" si="67"/>
        <v>99838.69</v>
      </c>
      <c r="L200" s="510">
        <f t="shared" si="68"/>
        <v>26886.84</v>
      </c>
      <c r="M200" s="519"/>
      <c r="N200" s="519"/>
      <c r="O200" s="519"/>
      <c r="P200" s="519"/>
      <c r="Q200" s="519"/>
      <c r="R200" s="519"/>
      <c r="S200" s="519"/>
      <c r="T200" s="519"/>
      <c r="U200" s="519">
        <f t="shared" si="83"/>
        <v>63362.77</v>
      </c>
      <c r="V200" s="519">
        <f t="shared" si="84"/>
        <v>63362.77</v>
      </c>
      <c r="W200" s="519"/>
      <c r="X200" s="519"/>
      <c r="Y200" s="519"/>
      <c r="Z200" s="519"/>
    </row>
    <row r="201" spans="1:26" s="512" customFormat="1" ht="15">
      <c r="A201" s="338" t="s">
        <v>7957</v>
      </c>
      <c r="B201" s="576" t="s">
        <v>5256</v>
      </c>
      <c r="C201" s="576">
        <v>98685</v>
      </c>
      <c r="D201" s="336" t="s">
        <v>7002</v>
      </c>
      <c r="E201" s="341">
        <f>QuantPrédio!I666</f>
        <v>122.77</v>
      </c>
      <c r="F201" s="342" t="s">
        <v>6774</v>
      </c>
      <c r="G201" s="352">
        <v>48.03</v>
      </c>
      <c r="H201" s="339">
        <f t="shared" si="82"/>
        <v>12.93</v>
      </c>
      <c r="I201" s="339">
        <f t="shared" si="80"/>
        <v>60.96</v>
      </c>
      <c r="J201" s="431">
        <f t="shared" si="81"/>
        <v>7484.06</v>
      </c>
      <c r="K201" s="510">
        <f t="shared" si="67"/>
        <v>5896.64</v>
      </c>
      <c r="L201" s="510">
        <f t="shared" si="68"/>
        <v>1587.42</v>
      </c>
      <c r="M201" s="519"/>
      <c r="N201" s="519"/>
      <c r="O201" s="519"/>
      <c r="P201" s="519"/>
      <c r="Q201" s="519"/>
      <c r="R201" s="519"/>
      <c r="S201" s="519"/>
      <c r="T201" s="519"/>
      <c r="U201" s="519">
        <f t="shared" si="83"/>
        <v>3742.03</v>
      </c>
      <c r="V201" s="519">
        <f t="shared" si="84"/>
        <v>3742.03</v>
      </c>
      <c r="W201" s="519"/>
      <c r="X201" s="519"/>
      <c r="Y201" s="519"/>
      <c r="Z201" s="519"/>
    </row>
    <row r="202" spans="1:26" s="512" customFormat="1" ht="45">
      <c r="A202" s="338" t="s">
        <v>7958</v>
      </c>
      <c r="B202" s="576" t="s">
        <v>5256</v>
      </c>
      <c r="C202" s="576" t="s">
        <v>6989</v>
      </c>
      <c r="D202" s="336" t="s">
        <v>6988</v>
      </c>
      <c r="E202" s="341">
        <f>QuantPrédio!J674</f>
        <v>3.81</v>
      </c>
      <c r="F202" s="342" t="s">
        <v>6339</v>
      </c>
      <c r="G202" s="352">
        <v>534.73</v>
      </c>
      <c r="H202" s="339">
        <f t="shared" si="82"/>
        <v>144</v>
      </c>
      <c r="I202" s="339">
        <f t="shared" si="80"/>
        <v>678.73</v>
      </c>
      <c r="J202" s="431">
        <f t="shared" si="81"/>
        <v>2585.96</v>
      </c>
      <c r="K202" s="510">
        <f t="shared" si="67"/>
        <v>2037.32</v>
      </c>
      <c r="L202" s="510">
        <f t="shared" si="68"/>
        <v>548.64</v>
      </c>
      <c r="M202" s="519"/>
      <c r="N202" s="519"/>
      <c r="O202" s="519"/>
      <c r="P202" s="519"/>
      <c r="Q202" s="519"/>
      <c r="R202" s="519"/>
      <c r="S202" s="519"/>
      <c r="T202" s="519"/>
      <c r="U202" s="519">
        <f t="shared" si="83"/>
        <v>1292.98</v>
      </c>
      <c r="V202" s="519">
        <f t="shared" si="84"/>
        <v>1292.98</v>
      </c>
      <c r="W202" s="519"/>
      <c r="X202" s="519"/>
      <c r="Y202" s="519"/>
      <c r="Z202" s="519"/>
    </row>
    <row r="203" spans="1:26" s="512" customFormat="1" ht="60">
      <c r="A203" s="338" t="s">
        <v>6991</v>
      </c>
      <c r="B203" s="576" t="s">
        <v>5256</v>
      </c>
      <c r="C203" s="576">
        <v>95574</v>
      </c>
      <c r="D203" s="336" t="s">
        <v>6990</v>
      </c>
      <c r="E203" s="341">
        <f>QuantPrédio!I705</f>
        <v>30</v>
      </c>
      <c r="F203" s="342" t="s">
        <v>6337</v>
      </c>
      <c r="G203" s="352">
        <v>23.98</v>
      </c>
      <c r="H203" s="339">
        <f t="shared" si="82"/>
        <v>6.46</v>
      </c>
      <c r="I203" s="339">
        <f t="shared" si="80"/>
        <v>30.44</v>
      </c>
      <c r="J203" s="431">
        <f t="shared" si="81"/>
        <v>913.2</v>
      </c>
      <c r="K203" s="510">
        <f t="shared" si="67"/>
        <v>719.4</v>
      </c>
      <c r="L203" s="510">
        <f t="shared" si="68"/>
        <v>193.8</v>
      </c>
      <c r="M203" s="519"/>
      <c r="N203" s="519"/>
      <c r="O203" s="519"/>
      <c r="P203" s="519"/>
      <c r="Q203" s="519"/>
      <c r="R203" s="519"/>
      <c r="S203" s="519"/>
      <c r="T203" s="519"/>
      <c r="U203" s="519">
        <f t="shared" si="83"/>
        <v>456.6</v>
      </c>
      <c r="V203" s="519">
        <f t="shared" si="84"/>
        <v>456.6</v>
      </c>
      <c r="W203" s="519"/>
      <c r="X203" s="519"/>
      <c r="Y203" s="519"/>
      <c r="Z203" s="519"/>
    </row>
    <row r="204" spans="1:26" s="512" customFormat="1" ht="15">
      <c r="A204" s="337" t="s">
        <v>9557</v>
      </c>
      <c r="B204" s="698" t="s">
        <v>9095</v>
      </c>
      <c r="C204" s="698"/>
      <c r="D204" s="698"/>
      <c r="E204" s="698"/>
      <c r="F204" s="698"/>
      <c r="G204" s="698"/>
      <c r="H204" s="698"/>
      <c r="I204" s="698"/>
      <c r="J204" s="698"/>
      <c r="K204" s="510">
        <f t="shared" si="67"/>
        <v>0</v>
      </c>
      <c r="L204" s="510">
        <f t="shared" si="68"/>
        <v>0</v>
      </c>
      <c r="M204" s="519"/>
      <c r="N204" s="519"/>
      <c r="O204" s="519"/>
      <c r="P204" s="519"/>
      <c r="Q204" s="519"/>
      <c r="R204" s="519"/>
      <c r="S204" s="519"/>
      <c r="T204" s="519"/>
      <c r="U204" s="519"/>
      <c r="V204" s="519"/>
      <c r="W204" s="519"/>
      <c r="X204" s="519"/>
      <c r="Y204" s="519"/>
      <c r="Z204" s="519"/>
    </row>
    <row r="205" spans="1:26" s="512" customFormat="1" ht="30">
      <c r="A205" s="338" t="s">
        <v>9556</v>
      </c>
      <c r="B205" s="576" t="s">
        <v>6333</v>
      </c>
      <c r="C205" s="576">
        <v>2031</v>
      </c>
      <c r="D205" s="336" t="s">
        <v>7004</v>
      </c>
      <c r="E205" s="341">
        <v>4</v>
      </c>
      <c r="F205" s="342" t="s">
        <v>6337</v>
      </c>
      <c r="G205" s="352">
        <v>25.160000000000004</v>
      </c>
      <c r="H205" s="339">
        <f t="shared" ref="H205:H213" si="85">ROUND(G205*$B$13,2)</f>
        <v>6.78</v>
      </c>
      <c r="I205" s="339">
        <f t="shared" ref="I205:I213" si="86">H205+G205</f>
        <v>31.940000000000005</v>
      </c>
      <c r="J205" s="431">
        <f t="shared" ref="J205:J213" si="87">ROUND(I205*E205,2)</f>
        <v>127.76</v>
      </c>
      <c r="K205" s="510">
        <f t="shared" si="67"/>
        <v>100.64</v>
      </c>
      <c r="L205" s="510">
        <f t="shared" si="68"/>
        <v>27.12</v>
      </c>
      <c r="M205" s="519"/>
      <c r="N205" s="519"/>
      <c r="O205" s="519"/>
      <c r="P205" s="519"/>
      <c r="Q205" s="519"/>
      <c r="R205" s="519"/>
      <c r="S205" s="519"/>
      <c r="T205" s="519"/>
      <c r="U205" s="519"/>
      <c r="V205" s="519">
        <f t="shared" ref="V205:V213" si="88">0.1*J205</f>
        <v>12.776000000000002</v>
      </c>
      <c r="W205" s="519">
        <f t="shared" ref="W205:W213" si="89">0.2*J205</f>
        <v>25.552000000000003</v>
      </c>
      <c r="X205" s="519">
        <f t="shared" ref="X205:X213" si="90">0.2*J205</f>
        <v>25.552000000000003</v>
      </c>
      <c r="Y205" s="519">
        <f t="shared" ref="Y205:Y213" si="91">0.5*J205</f>
        <v>63.88</v>
      </c>
      <c r="Z205" s="519"/>
    </row>
    <row r="206" spans="1:26" s="512" customFormat="1" ht="15">
      <c r="A206" s="338" t="s">
        <v>9558</v>
      </c>
      <c r="B206" s="576" t="s">
        <v>6333</v>
      </c>
      <c r="C206" s="576">
        <v>2037</v>
      </c>
      <c r="D206" s="336" t="s">
        <v>7005</v>
      </c>
      <c r="E206" s="341">
        <v>32</v>
      </c>
      <c r="F206" s="342" t="s">
        <v>6337</v>
      </c>
      <c r="G206" s="352">
        <v>15.6</v>
      </c>
      <c r="H206" s="339">
        <f t="shared" si="85"/>
        <v>4.2</v>
      </c>
      <c r="I206" s="339">
        <f t="shared" si="86"/>
        <v>19.8</v>
      </c>
      <c r="J206" s="431">
        <f t="shared" si="87"/>
        <v>633.6</v>
      </c>
      <c r="K206" s="510">
        <f t="shared" si="67"/>
        <v>499.2</v>
      </c>
      <c r="L206" s="510">
        <f t="shared" si="68"/>
        <v>134.4</v>
      </c>
      <c r="M206" s="519"/>
      <c r="N206" s="519"/>
      <c r="O206" s="519"/>
      <c r="P206" s="519"/>
      <c r="Q206" s="519"/>
      <c r="R206" s="519"/>
      <c r="S206" s="519"/>
      <c r="T206" s="519"/>
      <c r="U206" s="519"/>
      <c r="V206" s="519">
        <f t="shared" si="88"/>
        <v>63.360000000000007</v>
      </c>
      <c r="W206" s="519">
        <f t="shared" si="89"/>
        <v>126.72000000000001</v>
      </c>
      <c r="X206" s="519">
        <f t="shared" si="90"/>
        <v>126.72000000000001</v>
      </c>
      <c r="Y206" s="519">
        <f t="shared" si="91"/>
        <v>316.8</v>
      </c>
      <c r="Z206" s="519"/>
    </row>
    <row r="207" spans="1:26" s="512" customFormat="1" ht="30">
      <c r="A207" s="338" t="s">
        <v>9559</v>
      </c>
      <c r="B207" s="576" t="s">
        <v>6333</v>
      </c>
      <c r="C207" s="576">
        <v>7611</v>
      </c>
      <c r="D207" s="336" t="s">
        <v>7006</v>
      </c>
      <c r="E207" s="341">
        <v>18</v>
      </c>
      <c r="F207" s="342" t="s">
        <v>6337</v>
      </c>
      <c r="G207" s="352">
        <v>42.96</v>
      </c>
      <c r="H207" s="339">
        <f t="shared" si="85"/>
        <v>11.57</v>
      </c>
      <c r="I207" s="339">
        <f t="shared" si="86"/>
        <v>54.53</v>
      </c>
      <c r="J207" s="431">
        <f t="shared" si="87"/>
        <v>981.54</v>
      </c>
      <c r="K207" s="510">
        <f t="shared" si="67"/>
        <v>773.28</v>
      </c>
      <c r="L207" s="510">
        <f t="shared" si="68"/>
        <v>208.26</v>
      </c>
      <c r="M207" s="519"/>
      <c r="N207" s="519"/>
      <c r="O207" s="519"/>
      <c r="P207" s="519"/>
      <c r="Q207" s="519"/>
      <c r="R207" s="519"/>
      <c r="S207" s="519"/>
      <c r="T207" s="519"/>
      <c r="U207" s="519"/>
      <c r="V207" s="519">
        <f t="shared" si="88"/>
        <v>98.153999999999996</v>
      </c>
      <c r="W207" s="519">
        <f t="shared" si="89"/>
        <v>196.30799999999999</v>
      </c>
      <c r="X207" s="519">
        <f t="shared" si="90"/>
        <v>196.30799999999999</v>
      </c>
      <c r="Y207" s="519">
        <f t="shared" si="91"/>
        <v>490.77</v>
      </c>
      <c r="Z207" s="519"/>
    </row>
    <row r="208" spans="1:26" s="512" customFormat="1" ht="30">
      <c r="A208" s="338" t="s">
        <v>9560</v>
      </c>
      <c r="B208" s="576" t="s">
        <v>6333</v>
      </c>
      <c r="C208" s="576">
        <v>4287</v>
      </c>
      <c r="D208" s="336" t="s">
        <v>7007</v>
      </c>
      <c r="E208" s="341">
        <v>8</v>
      </c>
      <c r="F208" s="342" t="s">
        <v>6337</v>
      </c>
      <c r="G208" s="352">
        <v>40.620000000000005</v>
      </c>
      <c r="H208" s="339">
        <f t="shared" si="85"/>
        <v>10.94</v>
      </c>
      <c r="I208" s="339">
        <f t="shared" si="86"/>
        <v>51.56</v>
      </c>
      <c r="J208" s="431">
        <f t="shared" si="87"/>
        <v>412.48</v>
      </c>
      <c r="K208" s="510">
        <f t="shared" si="67"/>
        <v>324.95999999999998</v>
      </c>
      <c r="L208" s="510">
        <f t="shared" si="68"/>
        <v>87.52</v>
      </c>
      <c r="M208" s="519"/>
      <c r="N208" s="519"/>
      <c r="O208" s="519"/>
      <c r="P208" s="519"/>
      <c r="Q208" s="519"/>
      <c r="R208" s="519"/>
      <c r="S208" s="519"/>
      <c r="T208" s="519"/>
      <c r="U208" s="519"/>
      <c r="V208" s="519">
        <f t="shared" si="88"/>
        <v>41.248000000000005</v>
      </c>
      <c r="W208" s="519">
        <f t="shared" si="89"/>
        <v>82.496000000000009</v>
      </c>
      <c r="X208" s="519">
        <f t="shared" si="90"/>
        <v>82.496000000000009</v>
      </c>
      <c r="Y208" s="519">
        <f t="shared" si="91"/>
        <v>206.24</v>
      </c>
      <c r="Z208" s="519"/>
    </row>
    <row r="209" spans="1:26" s="512" customFormat="1" ht="30">
      <c r="A209" s="338" t="s">
        <v>9561</v>
      </c>
      <c r="B209" s="576" t="s">
        <v>5256</v>
      </c>
      <c r="C209" s="576">
        <v>95547</v>
      </c>
      <c r="D209" s="336" t="s">
        <v>7008</v>
      </c>
      <c r="E209" s="341">
        <v>20</v>
      </c>
      <c r="F209" s="342" t="s">
        <v>6337</v>
      </c>
      <c r="G209" s="352">
        <v>42.25</v>
      </c>
      <c r="H209" s="339">
        <f t="shared" si="85"/>
        <v>11.38</v>
      </c>
      <c r="I209" s="339">
        <f t="shared" si="86"/>
        <v>53.63</v>
      </c>
      <c r="J209" s="431">
        <f t="shared" si="87"/>
        <v>1072.5999999999999</v>
      </c>
      <c r="K209" s="510">
        <f t="shared" si="67"/>
        <v>845</v>
      </c>
      <c r="L209" s="510">
        <f t="shared" si="68"/>
        <v>227.6</v>
      </c>
      <c r="M209" s="519"/>
      <c r="N209" s="519"/>
      <c r="O209" s="519"/>
      <c r="P209" s="519"/>
      <c r="Q209" s="519"/>
      <c r="R209" s="519"/>
      <c r="S209" s="519"/>
      <c r="T209" s="519"/>
      <c r="U209" s="519"/>
      <c r="V209" s="519">
        <f t="shared" si="88"/>
        <v>107.25999999999999</v>
      </c>
      <c r="W209" s="519">
        <f t="shared" si="89"/>
        <v>214.51999999999998</v>
      </c>
      <c r="X209" s="519">
        <f t="shared" si="90"/>
        <v>214.51999999999998</v>
      </c>
      <c r="Y209" s="519">
        <f t="shared" si="91"/>
        <v>536.29999999999995</v>
      </c>
      <c r="Z209" s="519"/>
    </row>
    <row r="210" spans="1:26" s="512" customFormat="1" ht="15">
      <c r="A210" s="338" t="s">
        <v>9562</v>
      </c>
      <c r="B210" s="576" t="s">
        <v>6333</v>
      </c>
      <c r="C210" s="576">
        <v>2066</v>
      </c>
      <c r="D210" s="336" t="s">
        <v>7009</v>
      </c>
      <c r="E210" s="341">
        <v>14</v>
      </c>
      <c r="F210" s="342" t="s">
        <v>6337</v>
      </c>
      <c r="G210" s="352">
        <v>31.68</v>
      </c>
      <c r="H210" s="339">
        <f t="shared" si="85"/>
        <v>8.5299999999999994</v>
      </c>
      <c r="I210" s="339">
        <f t="shared" si="86"/>
        <v>40.21</v>
      </c>
      <c r="J210" s="431">
        <f t="shared" si="87"/>
        <v>562.94000000000005</v>
      </c>
      <c r="K210" s="510">
        <f t="shared" si="67"/>
        <v>443.52</v>
      </c>
      <c r="L210" s="510">
        <f t="shared" si="68"/>
        <v>119.42</v>
      </c>
      <c r="M210" s="519"/>
      <c r="N210" s="519"/>
      <c r="O210" s="519"/>
      <c r="P210" s="519"/>
      <c r="Q210" s="519"/>
      <c r="R210" s="519"/>
      <c r="S210" s="519"/>
      <c r="T210" s="519"/>
      <c r="U210" s="519"/>
      <c r="V210" s="519">
        <f t="shared" si="88"/>
        <v>56.294000000000011</v>
      </c>
      <c r="W210" s="519">
        <f t="shared" si="89"/>
        <v>112.58800000000002</v>
      </c>
      <c r="X210" s="519">
        <f t="shared" si="90"/>
        <v>112.58800000000002</v>
      </c>
      <c r="Y210" s="519">
        <f t="shared" si="91"/>
        <v>281.47000000000003</v>
      </c>
      <c r="Z210" s="519"/>
    </row>
    <row r="211" spans="1:26" s="512" customFormat="1" ht="15">
      <c r="A211" s="338" t="s">
        <v>9563</v>
      </c>
      <c r="B211" s="576" t="s">
        <v>6799</v>
      </c>
      <c r="C211" s="576">
        <v>190977</v>
      </c>
      <c r="D211" s="336" t="s">
        <v>7010</v>
      </c>
      <c r="E211" s="341">
        <v>4</v>
      </c>
      <c r="F211" s="342" t="s">
        <v>6337</v>
      </c>
      <c r="G211" s="352">
        <v>446.31</v>
      </c>
      <c r="H211" s="339">
        <f t="shared" si="85"/>
        <v>120.19</v>
      </c>
      <c r="I211" s="339">
        <f t="shared" si="86"/>
        <v>566.5</v>
      </c>
      <c r="J211" s="431">
        <f t="shared" si="87"/>
        <v>2266</v>
      </c>
      <c r="K211" s="510">
        <f t="shared" si="67"/>
        <v>1785.24</v>
      </c>
      <c r="L211" s="510">
        <f t="shared" si="68"/>
        <v>480.76</v>
      </c>
      <c r="M211" s="519"/>
      <c r="N211" s="519"/>
      <c r="O211" s="519"/>
      <c r="P211" s="519"/>
      <c r="Q211" s="519"/>
      <c r="R211" s="519"/>
      <c r="S211" s="519"/>
      <c r="T211" s="519"/>
      <c r="U211" s="519"/>
      <c r="V211" s="519">
        <f t="shared" si="88"/>
        <v>226.60000000000002</v>
      </c>
      <c r="W211" s="519">
        <f t="shared" si="89"/>
        <v>453.20000000000005</v>
      </c>
      <c r="X211" s="519">
        <f t="shared" si="90"/>
        <v>453.20000000000005</v>
      </c>
      <c r="Y211" s="519">
        <f t="shared" si="91"/>
        <v>1133</v>
      </c>
      <c r="Z211" s="519"/>
    </row>
    <row r="212" spans="1:26" s="512" customFormat="1" ht="15">
      <c r="A212" s="338" t="s">
        <v>9564</v>
      </c>
      <c r="B212" s="576" t="s">
        <v>6333</v>
      </c>
      <c r="C212" s="576">
        <v>8492</v>
      </c>
      <c r="D212" s="336" t="s">
        <v>7011</v>
      </c>
      <c r="E212" s="341">
        <v>16</v>
      </c>
      <c r="F212" s="342" t="s">
        <v>6337</v>
      </c>
      <c r="G212" s="352">
        <v>134.43</v>
      </c>
      <c r="H212" s="339">
        <f t="shared" si="85"/>
        <v>36.200000000000003</v>
      </c>
      <c r="I212" s="339">
        <f t="shared" si="86"/>
        <v>170.63</v>
      </c>
      <c r="J212" s="431">
        <f t="shared" si="87"/>
        <v>2730.08</v>
      </c>
      <c r="K212" s="510">
        <f t="shared" si="67"/>
        <v>2150.88</v>
      </c>
      <c r="L212" s="510">
        <f t="shared" si="68"/>
        <v>579.20000000000005</v>
      </c>
      <c r="M212" s="519"/>
      <c r="N212" s="519"/>
      <c r="O212" s="519"/>
      <c r="P212" s="519"/>
      <c r="Q212" s="519"/>
      <c r="R212" s="519"/>
      <c r="S212" s="519"/>
      <c r="T212" s="519"/>
      <c r="U212" s="519"/>
      <c r="V212" s="519">
        <f t="shared" si="88"/>
        <v>273.00799999999998</v>
      </c>
      <c r="W212" s="519">
        <f t="shared" si="89"/>
        <v>546.01599999999996</v>
      </c>
      <c r="X212" s="519">
        <f t="shared" si="90"/>
        <v>546.01599999999996</v>
      </c>
      <c r="Y212" s="519">
        <f t="shared" si="91"/>
        <v>1365.04</v>
      </c>
      <c r="Z212" s="519"/>
    </row>
    <row r="213" spans="1:26" s="512" customFormat="1" ht="15">
      <c r="A213" s="338" t="s">
        <v>9565</v>
      </c>
      <c r="B213" s="576" t="s">
        <v>6333</v>
      </c>
      <c r="C213" s="576">
        <v>12127</v>
      </c>
      <c r="D213" s="336" t="s">
        <v>7012</v>
      </c>
      <c r="E213" s="341">
        <v>4</v>
      </c>
      <c r="F213" s="342" t="s">
        <v>6337</v>
      </c>
      <c r="G213" s="352">
        <v>269.44</v>
      </c>
      <c r="H213" s="339">
        <f t="shared" si="85"/>
        <v>72.56</v>
      </c>
      <c r="I213" s="339">
        <f t="shared" si="86"/>
        <v>342</v>
      </c>
      <c r="J213" s="431">
        <f t="shared" si="87"/>
        <v>1368</v>
      </c>
      <c r="K213" s="510">
        <f t="shared" si="67"/>
        <v>1077.76</v>
      </c>
      <c r="L213" s="510">
        <f t="shared" si="68"/>
        <v>290.24</v>
      </c>
      <c r="M213" s="519"/>
      <c r="N213" s="519"/>
      <c r="O213" s="519"/>
      <c r="P213" s="519"/>
      <c r="Q213" s="519"/>
      <c r="R213" s="519"/>
      <c r="S213" s="519"/>
      <c r="T213" s="519"/>
      <c r="U213" s="519"/>
      <c r="V213" s="519">
        <f t="shared" si="88"/>
        <v>136.80000000000001</v>
      </c>
      <c r="W213" s="519">
        <f t="shared" si="89"/>
        <v>273.60000000000002</v>
      </c>
      <c r="X213" s="519">
        <f t="shared" si="90"/>
        <v>273.60000000000002</v>
      </c>
      <c r="Y213" s="519">
        <f t="shared" si="91"/>
        <v>684</v>
      </c>
      <c r="Z213" s="519"/>
    </row>
    <row r="214" spans="1:26" s="6" customFormat="1" ht="15">
      <c r="A214" s="700" t="s">
        <v>7003</v>
      </c>
      <c r="B214" s="700"/>
      <c r="C214" s="700"/>
      <c r="D214" s="700"/>
      <c r="E214" s="700"/>
      <c r="F214" s="700"/>
      <c r="G214" s="700"/>
      <c r="H214" s="700"/>
      <c r="I214" s="700"/>
      <c r="J214" s="432">
        <f>SUM(J103:J213)</f>
        <v>2115313.0600000005</v>
      </c>
      <c r="K214" s="513"/>
      <c r="L214" s="117"/>
      <c r="M214" s="514">
        <f t="shared" ref="M214:Z214" si="92">SUM(M103:M213)</f>
        <v>0</v>
      </c>
      <c r="N214" s="514">
        <f t="shared" si="92"/>
        <v>0</v>
      </c>
      <c r="O214" s="514">
        <f t="shared" si="92"/>
        <v>0</v>
      </c>
      <c r="P214" s="514">
        <f t="shared" si="92"/>
        <v>0</v>
      </c>
      <c r="Q214" s="514">
        <f t="shared" si="92"/>
        <v>0</v>
      </c>
      <c r="R214" s="514">
        <f t="shared" si="92"/>
        <v>44285.222000000002</v>
      </c>
      <c r="S214" s="514">
        <f t="shared" si="92"/>
        <v>227678.01550000001</v>
      </c>
      <c r="T214" s="514">
        <f t="shared" si="92"/>
        <v>294440.7035</v>
      </c>
      <c r="U214" s="514">
        <f t="shared" si="92"/>
        <v>237720.21399999998</v>
      </c>
      <c r="V214" s="514">
        <f t="shared" si="92"/>
        <v>373575.35649999982</v>
      </c>
      <c r="W214" s="514">
        <f t="shared" si="92"/>
        <v>279813.31800000003</v>
      </c>
      <c r="X214" s="514">
        <f t="shared" si="92"/>
        <v>273401.40849999996</v>
      </c>
      <c r="Y214" s="514">
        <f t="shared" si="92"/>
        <v>249464.266</v>
      </c>
      <c r="Z214" s="514">
        <f t="shared" si="92"/>
        <v>134934.55600000001</v>
      </c>
    </row>
    <row r="215" spans="1:26" s="6" customFormat="1" ht="15">
      <c r="A215" s="29"/>
      <c r="B215" s="29"/>
      <c r="C215" s="29"/>
      <c r="D215" s="29"/>
      <c r="E215" s="189"/>
      <c r="F215" s="29"/>
      <c r="G215" s="353"/>
      <c r="H215" s="28"/>
      <c r="I215" s="28"/>
      <c r="J215" s="433"/>
      <c r="K215" s="155"/>
      <c r="L215" s="117"/>
      <c r="M215" s="358"/>
      <c r="N215" s="358"/>
      <c r="O215" s="358"/>
      <c r="P215" s="358"/>
      <c r="Q215" s="358"/>
      <c r="R215" s="358"/>
      <c r="S215" s="358"/>
      <c r="T215" s="358"/>
      <c r="U215" s="358"/>
      <c r="V215" s="358"/>
      <c r="W215" s="358"/>
      <c r="X215" s="358"/>
      <c r="Y215" s="358"/>
      <c r="Z215" s="358"/>
    </row>
    <row r="216" spans="1:26" s="6" customFormat="1" ht="15">
      <c r="A216" s="197" t="s">
        <v>7834</v>
      </c>
      <c r="B216" s="699" t="s">
        <v>7835</v>
      </c>
      <c r="C216" s="699"/>
      <c r="D216" s="699"/>
      <c r="E216" s="699"/>
      <c r="F216" s="699"/>
      <c r="G216" s="699"/>
      <c r="H216" s="699"/>
      <c r="I216" s="699"/>
      <c r="J216" s="699"/>
      <c r="K216" s="509"/>
      <c r="L216" s="117"/>
      <c r="M216" s="358"/>
      <c r="N216" s="358"/>
      <c r="O216" s="358"/>
      <c r="P216" s="358"/>
      <c r="Q216" s="358"/>
      <c r="R216" s="358"/>
      <c r="S216" s="358"/>
      <c r="T216" s="358"/>
      <c r="U216" s="358"/>
      <c r="V216" s="358"/>
      <c r="W216" s="358"/>
      <c r="X216" s="358"/>
      <c r="Y216" s="358"/>
      <c r="Z216" s="358"/>
    </row>
    <row r="217" spans="1:26" s="512" customFormat="1" ht="45">
      <c r="A217" s="338" t="s">
        <v>8752</v>
      </c>
      <c r="B217" s="576" t="s">
        <v>6328</v>
      </c>
      <c r="C217" s="576">
        <v>37539</v>
      </c>
      <c r="D217" s="336" t="s">
        <v>8749</v>
      </c>
      <c r="E217" s="341">
        <f>7+7+3+4+3+3+4+2</f>
        <v>33</v>
      </c>
      <c r="F217" s="342" t="s">
        <v>6337</v>
      </c>
      <c r="G217" s="352">
        <v>20.25</v>
      </c>
      <c r="H217" s="339">
        <f>ROUND(G217*$B$13,2)</f>
        <v>5.45</v>
      </c>
      <c r="I217" s="339">
        <f>H217+G217</f>
        <v>25.7</v>
      </c>
      <c r="J217" s="431">
        <f>ROUND(I217*E217,2)</f>
        <v>848.1</v>
      </c>
      <c r="K217" s="510">
        <f t="shared" ref="K217:K219" si="93">ROUND(G217*E217,2)</f>
        <v>668.25</v>
      </c>
      <c r="L217" s="510">
        <f>ROUND(H217*E217,2)</f>
        <v>179.85</v>
      </c>
      <c r="M217" s="519"/>
      <c r="N217" s="519"/>
      <c r="O217" s="519"/>
      <c r="P217" s="519"/>
      <c r="Q217" s="519"/>
      <c r="R217" s="519"/>
      <c r="S217" s="519"/>
      <c r="T217" s="519"/>
      <c r="U217" s="519"/>
      <c r="V217" s="519"/>
      <c r="W217" s="519"/>
      <c r="X217" s="519"/>
      <c r="Y217" s="519"/>
      <c r="Z217" s="519">
        <f>J217</f>
        <v>848.1</v>
      </c>
    </row>
    <row r="218" spans="1:26" s="512" customFormat="1" ht="45">
      <c r="A218" s="338" t="s">
        <v>8753</v>
      </c>
      <c r="B218" s="576" t="s">
        <v>6328</v>
      </c>
      <c r="C218" s="576">
        <v>37556</v>
      </c>
      <c r="D218" s="336" t="s">
        <v>8750</v>
      </c>
      <c r="E218" s="341">
        <f>7+5</f>
        <v>12</v>
      </c>
      <c r="F218" s="342" t="s">
        <v>6337</v>
      </c>
      <c r="G218" s="352">
        <v>23.42</v>
      </c>
      <c r="H218" s="339">
        <f>ROUND(G218*$B$13,2)</f>
        <v>6.31</v>
      </c>
      <c r="I218" s="339">
        <f>H218+G218</f>
        <v>29.73</v>
      </c>
      <c r="J218" s="431">
        <f>ROUND(I218*E218,2)</f>
        <v>356.76</v>
      </c>
      <c r="K218" s="510">
        <f t="shared" si="93"/>
        <v>281.04000000000002</v>
      </c>
      <c r="L218" s="510">
        <f t="shared" ref="L218:L219" si="94">ROUND(H218*E218,2)</f>
        <v>75.72</v>
      </c>
      <c r="M218" s="519"/>
      <c r="N218" s="519"/>
      <c r="O218" s="519"/>
      <c r="P218" s="519"/>
      <c r="Q218" s="519"/>
      <c r="R218" s="519"/>
      <c r="S218" s="519"/>
      <c r="T218" s="519"/>
      <c r="U218" s="519"/>
      <c r="V218" s="519"/>
      <c r="W218" s="519"/>
      <c r="X218" s="519"/>
      <c r="Y218" s="519"/>
      <c r="Z218" s="519">
        <f>J218</f>
        <v>356.76</v>
      </c>
    </row>
    <row r="219" spans="1:26" s="512" customFormat="1" ht="45">
      <c r="A219" s="338" t="s">
        <v>8754</v>
      </c>
      <c r="B219" s="576" t="s">
        <v>6328</v>
      </c>
      <c r="C219" s="576">
        <v>37557</v>
      </c>
      <c r="D219" s="336" t="s">
        <v>8751</v>
      </c>
      <c r="E219" s="341">
        <f>2+2</f>
        <v>4</v>
      </c>
      <c r="F219" s="342" t="s">
        <v>6337</v>
      </c>
      <c r="G219" s="352">
        <v>12.1</v>
      </c>
      <c r="H219" s="339">
        <f>ROUND(G219*$B$13,2)</f>
        <v>3.26</v>
      </c>
      <c r="I219" s="339">
        <f>H219+G219</f>
        <v>15.36</v>
      </c>
      <c r="J219" s="431">
        <f>ROUND(I219*E219,2)</f>
        <v>61.44</v>
      </c>
      <c r="K219" s="510">
        <f t="shared" si="93"/>
        <v>48.4</v>
      </c>
      <c r="L219" s="510">
        <f t="shared" si="94"/>
        <v>13.04</v>
      </c>
      <c r="M219" s="519"/>
      <c r="N219" s="519"/>
      <c r="O219" s="519"/>
      <c r="P219" s="519"/>
      <c r="Q219" s="519"/>
      <c r="R219" s="519"/>
      <c r="S219" s="519"/>
      <c r="T219" s="519"/>
      <c r="U219" s="519"/>
      <c r="V219" s="519"/>
      <c r="W219" s="519"/>
      <c r="X219" s="519"/>
      <c r="Y219" s="519"/>
      <c r="Z219" s="519">
        <f>J219</f>
        <v>61.44</v>
      </c>
    </row>
    <row r="220" spans="1:26" s="6" customFormat="1" ht="15">
      <c r="A220" s="700" t="s">
        <v>7003</v>
      </c>
      <c r="B220" s="700"/>
      <c r="C220" s="700"/>
      <c r="D220" s="700"/>
      <c r="E220" s="700"/>
      <c r="F220" s="700"/>
      <c r="G220" s="700"/>
      <c r="H220" s="700"/>
      <c r="I220" s="700"/>
      <c r="J220" s="432">
        <f>SUM(J216:J219)</f>
        <v>1266.3000000000002</v>
      </c>
      <c r="K220" s="513"/>
      <c r="L220" s="117"/>
      <c r="M220" s="514">
        <f t="shared" ref="M220:Z220" si="95">SUM(M216:M219)</f>
        <v>0</v>
      </c>
      <c r="N220" s="514">
        <f t="shared" si="95"/>
        <v>0</v>
      </c>
      <c r="O220" s="514">
        <f t="shared" si="95"/>
        <v>0</v>
      </c>
      <c r="P220" s="514">
        <f t="shared" si="95"/>
        <v>0</v>
      </c>
      <c r="Q220" s="514">
        <f t="shared" si="95"/>
        <v>0</v>
      </c>
      <c r="R220" s="514">
        <f t="shared" si="95"/>
        <v>0</v>
      </c>
      <c r="S220" s="514">
        <f t="shared" si="95"/>
        <v>0</v>
      </c>
      <c r="T220" s="514">
        <f t="shared" si="95"/>
        <v>0</v>
      </c>
      <c r="U220" s="514">
        <f t="shared" si="95"/>
        <v>0</v>
      </c>
      <c r="V220" s="514">
        <f t="shared" si="95"/>
        <v>0</v>
      </c>
      <c r="W220" s="514">
        <f t="shared" si="95"/>
        <v>0</v>
      </c>
      <c r="X220" s="514">
        <f t="shared" si="95"/>
        <v>0</v>
      </c>
      <c r="Y220" s="514">
        <f t="shared" si="95"/>
        <v>0</v>
      </c>
      <c r="Z220" s="514">
        <f t="shared" si="95"/>
        <v>1266.3000000000002</v>
      </c>
    </row>
    <row r="221" spans="1:26" s="6" customFormat="1" ht="15">
      <c r="A221" s="29"/>
      <c r="B221" s="29"/>
      <c r="C221" s="29"/>
      <c r="D221" s="29"/>
      <c r="E221" s="189"/>
      <c r="F221" s="29"/>
      <c r="G221" s="353"/>
      <c r="H221" s="28"/>
      <c r="I221" s="28"/>
      <c r="J221" s="433"/>
      <c r="K221" s="155"/>
      <c r="L221" s="117"/>
      <c r="M221" s="358"/>
      <c r="N221" s="358"/>
      <c r="O221" s="358"/>
      <c r="P221" s="358"/>
      <c r="Q221" s="358"/>
      <c r="R221" s="358"/>
      <c r="S221" s="358"/>
      <c r="T221" s="358"/>
      <c r="U221" s="358"/>
      <c r="V221" s="358"/>
      <c r="W221" s="358"/>
      <c r="X221" s="358"/>
      <c r="Y221" s="358"/>
      <c r="Z221" s="358"/>
    </row>
    <row r="222" spans="1:26" ht="15">
      <c r="A222" s="701" t="s">
        <v>7016</v>
      </c>
      <c r="B222" s="701"/>
      <c r="C222" s="701"/>
      <c r="D222" s="701"/>
      <c r="E222" s="701"/>
      <c r="F222" s="701"/>
      <c r="G222" s="701"/>
      <c r="H222" s="701"/>
      <c r="I222" s="701"/>
      <c r="J222" s="434">
        <f>J214+J220</f>
        <v>2116579.3600000003</v>
      </c>
      <c r="K222" s="515"/>
      <c r="M222" s="516">
        <f t="shared" ref="M222:Z222" si="96">M214+M220</f>
        <v>0</v>
      </c>
      <c r="N222" s="516">
        <f t="shared" si="96"/>
        <v>0</v>
      </c>
      <c r="O222" s="516">
        <f t="shared" si="96"/>
        <v>0</v>
      </c>
      <c r="P222" s="516">
        <f t="shared" si="96"/>
        <v>0</v>
      </c>
      <c r="Q222" s="516">
        <f t="shared" si="96"/>
        <v>0</v>
      </c>
      <c r="R222" s="516">
        <f t="shared" si="96"/>
        <v>44285.222000000002</v>
      </c>
      <c r="S222" s="516">
        <f t="shared" si="96"/>
        <v>227678.01550000001</v>
      </c>
      <c r="T222" s="516">
        <f t="shared" si="96"/>
        <v>294440.7035</v>
      </c>
      <c r="U222" s="516">
        <f t="shared" si="96"/>
        <v>237720.21399999998</v>
      </c>
      <c r="V222" s="516">
        <f t="shared" si="96"/>
        <v>373575.35649999982</v>
      </c>
      <c r="W222" s="516">
        <f t="shared" si="96"/>
        <v>279813.31800000003</v>
      </c>
      <c r="X222" s="516">
        <f t="shared" si="96"/>
        <v>273401.40849999996</v>
      </c>
      <c r="Y222" s="516">
        <f t="shared" si="96"/>
        <v>249464.266</v>
      </c>
      <c r="Z222" s="516">
        <f t="shared" si="96"/>
        <v>136200.856</v>
      </c>
    </row>
    <row r="223" spans="1:26" s="6" customFormat="1" ht="15">
      <c r="A223" s="338"/>
      <c r="B223" s="576"/>
      <c r="C223" s="576"/>
      <c r="D223" s="336"/>
      <c r="E223" s="341"/>
      <c r="F223" s="342"/>
      <c r="G223" s="354"/>
      <c r="H223" s="11"/>
      <c r="I223" s="11"/>
      <c r="J223" s="435"/>
      <c r="K223" s="146"/>
      <c r="L223" s="117"/>
      <c r="M223" s="517">
        <f>M222/$J$222</f>
        <v>0</v>
      </c>
      <c r="N223" s="517">
        <f t="shared" ref="N223:Z223" si="97">N222/$J$222</f>
        <v>0</v>
      </c>
      <c r="O223" s="517">
        <f t="shared" si="97"/>
        <v>0</v>
      </c>
      <c r="P223" s="517">
        <f t="shared" si="97"/>
        <v>0</v>
      </c>
      <c r="Q223" s="517">
        <f t="shared" si="97"/>
        <v>0</v>
      </c>
      <c r="R223" s="517">
        <f t="shared" si="97"/>
        <v>2.0923015142697034E-2</v>
      </c>
      <c r="S223" s="517">
        <f t="shared" si="97"/>
        <v>0.10756885369041866</v>
      </c>
      <c r="T223" s="517">
        <f t="shared" si="97"/>
        <v>0.13911158214261332</v>
      </c>
      <c r="U223" s="517">
        <f t="shared" si="97"/>
        <v>0.11231339513770934</v>
      </c>
      <c r="V223" s="517">
        <f t="shared" si="97"/>
        <v>0.17649957453048193</v>
      </c>
      <c r="W223" s="517">
        <f t="shared" si="97"/>
        <v>0.13220072126187604</v>
      </c>
      <c r="X223" s="517">
        <f t="shared" si="97"/>
        <v>0.12917134772588915</v>
      </c>
      <c r="Y223" s="517">
        <f t="shared" si="97"/>
        <v>0.11786199502578536</v>
      </c>
      <c r="Z223" s="517">
        <f t="shared" si="97"/>
        <v>6.434951534252889E-2</v>
      </c>
    </row>
    <row r="224" spans="1:26" ht="15">
      <c r="A224" s="457" t="s">
        <v>5935</v>
      </c>
      <c r="B224" s="696" t="s">
        <v>5943</v>
      </c>
      <c r="C224" s="697"/>
      <c r="D224" s="697"/>
      <c r="E224" s="697"/>
      <c r="F224" s="697"/>
      <c r="G224" s="697"/>
      <c r="H224" s="697"/>
      <c r="I224" s="697"/>
      <c r="J224" s="697"/>
      <c r="K224" s="505"/>
      <c r="L224" s="518"/>
      <c r="M224" s="506"/>
      <c r="N224" s="506"/>
      <c r="O224" s="506"/>
    </row>
    <row r="225" spans="1:26" s="6" customFormat="1" ht="15">
      <c r="A225" s="573" t="s">
        <v>0</v>
      </c>
      <c r="B225" s="572" t="s">
        <v>7880</v>
      </c>
      <c r="C225" s="573"/>
      <c r="D225" s="23" t="s">
        <v>1</v>
      </c>
      <c r="E225" s="193" t="s">
        <v>134</v>
      </c>
      <c r="F225" s="24" t="s">
        <v>11</v>
      </c>
      <c r="G225" s="351" t="s">
        <v>12</v>
      </c>
      <c r="H225" s="182" t="s">
        <v>6735</v>
      </c>
      <c r="I225" s="182" t="s">
        <v>6736</v>
      </c>
      <c r="J225" s="430" t="s">
        <v>133</v>
      </c>
      <c r="K225" s="508"/>
      <c r="L225" s="518"/>
      <c r="M225" s="506"/>
      <c r="N225" s="506"/>
      <c r="O225" s="506"/>
      <c r="P225" s="358"/>
      <c r="Q225" s="358"/>
      <c r="R225" s="358"/>
      <c r="S225" s="358"/>
      <c r="T225" s="358"/>
      <c r="U225" s="358"/>
      <c r="V225" s="358"/>
      <c r="W225" s="358"/>
      <c r="X225" s="358"/>
      <c r="Y225" s="358"/>
      <c r="Z225" s="358"/>
    </row>
    <row r="226" spans="1:26" s="6" customFormat="1" ht="15">
      <c r="A226" s="197" t="s">
        <v>5936</v>
      </c>
      <c r="B226" s="699" t="s">
        <v>5944</v>
      </c>
      <c r="C226" s="699"/>
      <c r="D226" s="699"/>
      <c r="E226" s="699"/>
      <c r="F226" s="699"/>
      <c r="G226" s="699"/>
      <c r="H226" s="699"/>
      <c r="I226" s="699"/>
      <c r="J226" s="699"/>
      <c r="K226" s="509"/>
      <c r="L226" s="117"/>
      <c r="M226" s="358"/>
      <c r="N226" s="358"/>
      <c r="O226" s="358"/>
      <c r="P226" s="358"/>
      <c r="Q226" s="358"/>
      <c r="R226" s="358"/>
      <c r="S226" s="358"/>
      <c r="T226" s="358"/>
      <c r="U226" s="358"/>
      <c r="V226" s="358"/>
      <c r="W226" s="358"/>
      <c r="X226" s="358"/>
      <c r="Y226" s="358"/>
      <c r="Z226" s="358"/>
    </row>
    <row r="227" spans="1:26" s="6" customFormat="1" ht="15">
      <c r="A227" s="337" t="s">
        <v>7017</v>
      </c>
      <c r="B227" s="698" t="s">
        <v>7018</v>
      </c>
      <c r="C227" s="698"/>
      <c r="D227" s="698"/>
      <c r="E227" s="698"/>
      <c r="F227" s="698"/>
      <c r="G227" s="698"/>
      <c r="H227" s="698"/>
      <c r="I227" s="698"/>
      <c r="J227" s="698"/>
      <c r="K227" s="39"/>
      <c r="L227" s="117"/>
      <c r="M227" s="358"/>
      <c r="N227" s="358"/>
      <c r="O227" s="358"/>
      <c r="P227" s="358"/>
      <c r="Q227" s="358"/>
      <c r="R227" s="358"/>
      <c r="S227" s="358"/>
      <c r="T227" s="358"/>
      <c r="U227" s="358"/>
      <c r="V227" s="358"/>
      <c r="W227" s="358"/>
      <c r="X227" s="358"/>
      <c r="Y227" s="358"/>
      <c r="Z227" s="358"/>
    </row>
    <row r="228" spans="1:26" s="512" customFormat="1" ht="30">
      <c r="A228" s="338" t="s">
        <v>8159</v>
      </c>
      <c r="B228" s="576" t="s">
        <v>5256</v>
      </c>
      <c r="C228" s="576">
        <v>89356</v>
      </c>
      <c r="D228" s="336" t="s">
        <v>7020</v>
      </c>
      <c r="E228" s="341">
        <v>397.87999999999994</v>
      </c>
      <c r="F228" s="342" t="s">
        <v>6774</v>
      </c>
      <c r="G228" s="352">
        <v>12.43</v>
      </c>
      <c r="H228" s="339">
        <f t="shared" ref="H228:H259" si="98">ROUND(G228*$B$13,2)</f>
        <v>3.35</v>
      </c>
      <c r="I228" s="339">
        <f t="shared" ref="I228:I259" si="99">H228+G228</f>
        <v>15.78</v>
      </c>
      <c r="J228" s="431">
        <f t="shared" ref="J228:J259" si="100">ROUND(I228*E228,2)</f>
        <v>6278.55</v>
      </c>
      <c r="K228" s="510">
        <f t="shared" ref="K228:K291" si="101">ROUND(G228*E228,2)</f>
        <v>4945.6499999999996</v>
      </c>
      <c r="L228" s="510">
        <f t="shared" ref="L228:L291" si="102">ROUND(H228*E228,2)</f>
        <v>1332.9</v>
      </c>
      <c r="M228" s="519"/>
      <c r="N228" s="519"/>
      <c r="O228" s="519"/>
      <c r="P228" s="519">
        <f>0.05*J228</f>
        <v>313.92750000000001</v>
      </c>
      <c r="Q228" s="519"/>
      <c r="R228" s="519"/>
      <c r="S228" s="519">
        <f>0.1*J228</f>
        <v>627.85500000000002</v>
      </c>
      <c r="T228" s="519">
        <f>0.1*J228</f>
        <v>627.85500000000002</v>
      </c>
      <c r="U228" s="519">
        <f>0.2*J228</f>
        <v>1255.71</v>
      </c>
      <c r="V228" s="519">
        <f>0.25*J228</f>
        <v>1569.6375</v>
      </c>
      <c r="W228" s="519">
        <f>0.3*J228</f>
        <v>1883.5650000000001</v>
      </c>
      <c r="X228" s="519"/>
      <c r="Y228" s="519"/>
      <c r="Z228" s="519"/>
    </row>
    <row r="229" spans="1:26" s="512" customFormat="1" ht="30">
      <c r="A229" s="338" t="s">
        <v>8160</v>
      </c>
      <c r="B229" s="576" t="s">
        <v>5256</v>
      </c>
      <c r="C229" s="576">
        <v>89357</v>
      </c>
      <c r="D229" s="336" t="s">
        <v>7021</v>
      </c>
      <c r="E229" s="341">
        <v>177.76</v>
      </c>
      <c r="F229" s="342" t="s">
        <v>6774</v>
      </c>
      <c r="G229" s="352">
        <v>17.170000000000002</v>
      </c>
      <c r="H229" s="339">
        <f t="shared" si="98"/>
        <v>4.62</v>
      </c>
      <c r="I229" s="339">
        <f t="shared" si="99"/>
        <v>21.790000000000003</v>
      </c>
      <c r="J229" s="431">
        <f t="shared" si="100"/>
        <v>3873.39</v>
      </c>
      <c r="K229" s="510">
        <f t="shared" si="101"/>
        <v>3052.14</v>
      </c>
      <c r="L229" s="510">
        <f t="shared" si="102"/>
        <v>821.25</v>
      </c>
      <c r="M229" s="519"/>
      <c r="N229" s="519"/>
      <c r="O229" s="519"/>
      <c r="P229" s="519">
        <f>0.05*J229</f>
        <v>193.6695</v>
      </c>
      <c r="Q229" s="519"/>
      <c r="R229" s="519"/>
      <c r="S229" s="519">
        <f>0.1*J229</f>
        <v>387.339</v>
      </c>
      <c r="T229" s="519">
        <f>0.1*J229</f>
        <v>387.339</v>
      </c>
      <c r="U229" s="519">
        <f>0.2*J229</f>
        <v>774.678</v>
      </c>
      <c r="V229" s="519">
        <f>0.25*J229</f>
        <v>968.34749999999997</v>
      </c>
      <c r="W229" s="519">
        <f>0.3*J229</f>
        <v>1162.0169999999998</v>
      </c>
      <c r="X229" s="519"/>
      <c r="Y229" s="519"/>
      <c r="Z229" s="519"/>
    </row>
    <row r="230" spans="1:26" s="512" customFormat="1" ht="30">
      <c r="A230" s="338" t="s">
        <v>8161</v>
      </c>
      <c r="B230" s="576" t="s">
        <v>5256</v>
      </c>
      <c r="C230" s="576">
        <v>89448</v>
      </c>
      <c r="D230" s="336" t="s">
        <v>7022</v>
      </c>
      <c r="E230" s="341">
        <v>114.11999999999999</v>
      </c>
      <c r="F230" s="342" t="s">
        <v>6774</v>
      </c>
      <c r="G230" s="352">
        <v>7.9</v>
      </c>
      <c r="H230" s="339">
        <f t="shared" si="98"/>
        <v>2.13</v>
      </c>
      <c r="I230" s="339">
        <f t="shared" si="99"/>
        <v>10.030000000000001</v>
      </c>
      <c r="J230" s="431">
        <f t="shared" si="100"/>
        <v>1144.6199999999999</v>
      </c>
      <c r="K230" s="510">
        <f t="shared" si="101"/>
        <v>901.55</v>
      </c>
      <c r="L230" s="510">
        <f t="shared" si="102"/>
        <v>243.08</v>
      </c>
      <c r="M230" s="519"/>
      <c r="N230" s="519"/>
      <c r="O230" s="519"/>
      <c r="P230" s="519">
        <f t="shared" ref="P230:P282" si="103">0.05*J230</f>
        <v>57.230999999999995</v>
      </c>
      <c r="Q230" s="519"/>
      <c r="R230" s="519"/>
      <c r="S230" s="519">
        <f t="shared" ref="S230:S282" si="104">0.1*J230</f>
        <v>114.46199999999999</v>
      </c>
      <c r="T230" s="519">
        <f t="shared" ref="T230:T282" si="105">0.1*J230</f>
        <v>114.46199999999999</v>
      </c>
      <c r="U230" s="519">
        <f t="shared" ref="U230:U282" si="106">0.2*J230</f>
        <v>228.92399999999998</v>
      </c>
      <c r="V230" s="519">
        <f t="shared" ref="V230:V282" si="107">0.25*J230</f>
        <v>286.15499999999997</v>
      </c>
      <c r="W230" s="519">
        <f t="shared" ref="W230:W282" si="108">0.3*J230</f>
        <v>343.38599999999997</v>
      </c>
      <c r="X230" s="519"/>
      <c r="Y230" s="519"/>
      <c r="Z230" s="519"/>
    </row>
    <row r="231" spans="1:26" s="512" customFormat="1" ht="30">
      <c r="A231" s="338" t="s">
        <v>8162</v>
      </c>
      <c r="B231" s="576" t="s">
        <v>5256</v>
      </c>
      <c r="C231" s="576">
        <v>89449</v>
      </c>
      <c r="D231" s="336" t="s">
        <v>7023</v>
      </c>
      <c r="E231" s="341">
        <v>151.18</v>
      </c>
      <c r="F231" s="342" t="s">
        <v>6774</v>
      </c>
      <c r="G231" s="352">
        <v>9.09</v>
      </c>
      <c r="H231" s="339">
        <f t="shared" si="98"/>
        <v>2.4500000000000002</v>
      </c>
      <c r="I231" s="339">
        <f t="shared" si="99"/>
        <v>11.54</v>
      </c>
      <c r="J231" s="431">
        <f t="shared" si="100"/>
        <v>1744.62</v>
      </c>
      <c r="K231" s="510">
        <f t="shared" si="101"/>
        <v>1374.23</v>
      </c>
      <c r="L231" s="510">
        <f t="shared" si="102"/>
        <v>370.39</v>
      </c>
      <c r="M231" s="519"/>
      <c r="N231" s="519"/>
      <c r="O231" s="519"/>
      <c r="P231" s="519">
        <f t="shared" si="103"/>
        <v>87.230999999999995</v>
      </c>
      <c r="Q231" s="519"/>
      <c r="R231" s="519"/>
      <c r="S231" s="519">
        <f t="shared" si="104"/>
        <v>174.46199999999999</v>
      </c>
      <c r="T231" s="519">
        <f t="shared" si="105"/>
        <v>174.46199999999999</v>
      </c>
      <c r="U231" s="519">
        <f t="shared" si="106"/>
        <v>348.92399999999998</v>
      </c>
      <c r="V231" s="519">
        <f t="shared" si="107"/>
        <v>436.15499999999997</v>
      </c>
      <c r="W231" s="519">
        <f t="shared" si="108"/>
        <v>523.38599999999997</v>
      </c>
      <c r="X231" s="519"/>
      <c r="Y231" s="519"/>
      <c r="Z231" s="519"/>
    </row>
    <row r="232" spans="1:26" s="512" customFormat="1" ht="30">
      <c r="A232" s="338" t="s">
        <v>8163</v>
      </c>
      <c r="B232" s="576" t="s">
        <v>5256</v>
      </c>
      <c r="C232" s="576">
        <v>89450</v>
      </c>
      <c r="D232" s="336" t="s">
        <v>7024</v>
      </c>
      <c r="E232" s="341">
        <v>31.14</v>
      </c>
      <c r="F232" s="342" t="s">
        <v>6774</v>
      </c>
      <c r="G232" s="352">
        <v>14.94</v>
      </c>
      <c r="H232" s="339">
        <f t="shared" si="98"/>
        <v>4.0199999999999996</v>
      </c>
      <c r="I232" s="339">
        <f t="shared" si="99"/>
        <v>18.96</v>
      </c>
      <c r="J232" s="431">
        <f t="shared" si="100"/>
        <v>590.41</v>
      </c>
      <c r="K232" s="510">
        <f t="shared" si="101"/>
        <v>465.23</v>
      </c>
      <c r="L232" s="510">
        <f t="shared" si="102"/>
        <v>125.18</v>
      </c>
      <c r="M232" s="519"/>
      <c r="N232" s="519"/>
      <c r="O232" s="519"/>
      <c r="P232" s="519">
        <f t="shared" si="103"/>
        <v>29.520499999999998</v>
      </c>
      <c r="Q232" s="519"/>
      <c r="R232" s="519"/>
      <c r="S232" s="519">
        <f t="shared" si="104"/>
        <v>59.040999999999997</v>
      </c>
      <c r="T232" s="519">
        <f t="shared" si="105"/>
        <v>59.040999999999997</v>
      </c>
      <c r="U232" s="519">
        <f t="shared" si="106"/>
        <v>118.08199999999999</v>
      </c>
      <c r="V232" s="519">
        <f t="shared" si="107"/>
        <v>147.60249999999999</v>
      </c>
      <c r="W232" s="519">
        <f t="shared" si="108"/>
        <v>177.12299999999999</v>
      </c>
      <c r="X232" s="519"/>
      <c r="Y232" s="519"/>
      <c r="Z232" s="519"/>
    </row>
    <row r="233" spans="1:26" s="512" customFormat="1" ht="30">
      <c r="A233" s="338" t="s">
        <v>8164</v>
      </c>
      <c r="B233" s="576" t="s">
        <v>5256</v>
      </c>
      <c r="C233" s="576">
        <v>89451</v>
      </c>
      <c r="D233" s="336" t="s">
        <v>7025</v>
      </c>
      <c r="E233" s="341">
        <v>53.04</v>
      </c>
      <c r="F233" s="342" t="s">
        <v>6774</v>
      </c>
      <c r="G233" s="352">
        <v>24.62</v>
      </c>
      <c r="H233" s="339">
        <f t="shared" si="98"/>
        <v>6.63</v>
      </c>
      <c r="I233" s="339">
        <f t="shared" si="99"/>
        <v>31.25</v>
      </c>
      <c r="J233" s="431">
        <f t="shared" si="100"/>
        <v>1657.5</v>
      </c>
      <c r="K233" s="510">
        <f t="shared" si="101"/>
        <v>1305.8399999999999</v>
      </c>
      <c r="L233" s="510">
        <f t="shared" si="102"/>
        <v>351.66</v>
      </c>
      <c r="M233" s="519"/>
      <c r="N233" s="519"/>
      <c r="O233" s="519"/>
      <c r="P233" s="519">
        <f t="shared" si="103"/>
        <v>82.875</v>
      </c>
      <c r="Q233" s="519"/>
      <c r="R233" s="519"/>
      <c r="S233" s="519">
        <f t="shared" si="104"/>
        <v>165.75</v>
      </c>
      <c r="T233" s="519">
        <f t="shared" si="105"/>
        <v>165.75</v>
      </c>
      <c r="U233" s="519">
        <f t="shared" si="106"/>
        <v>331.5</v>
      </c>
      <c r="V233" s="519">
        <f t="shared" si="107"/>
        <v>414.375</v>
      </c>
      <c r="W233" s="519">
        <f t="shared" si="108"/>
        <v>497.25</v>
      </c>
      <c r="X233" s="519"/>
      <c r="Y233" s="519"/>
      <c r="Z233" s="519"/>
    </row>
    <row r="234" spans="1:26" s="512" customFormat="1" ht="45">
      <c r="A234" s="338" t="s">
        <v>8165</v>
      </c>
      <c r="B234" s="576" t="s">
        <v>5256</v>
      </c>
      <c r="C234" s="576">
        <v>94709</v>
      </c>
      <c r="D234" s="336" t="s">
        <v>7843</v>
      </c>
      <c r="E234" s="341">
        <v>1</v>
      </c>
      <c r="F234" s="342" t="s">
        <v>6337</v>
      </c>
      <c r="G234" s="352">
        <v>18.2</v>
      </c>
      <c r="H234" s="339">
        <f t="shared" si="98"/>
        <v>4.9000000000000004</v>
      </c>
      <c r="I234" s="339">
        <f t="shared" si="99"/>
        <v>23.1</v>
      </c>
      <c r="J234" s="431">
        <f t="shared" si="100"/>
        <v>23.1</v>
      </c>
      <c r="K234" s="510">
        <f t="shared" si="101"/>
        <v>18.2</v>
      </c>
      <c r="L234" s="510">
        <f t="shared" si="102"/>
        <v>4.9000000000000004</v>
      </c>
      <c r="M234" s="519"/>
      <c r="N234" s="519"/>
      <c r="O234" s="519"/>
      <c r="P234" s="519">
        <f t="shared" si="103"/>
        <v>1.155</v>
      </c>
      <c r="Q234" s="519"/>
      <c r="R234" s="519"/>
      <c r="S234" s="519">
        <f t="shared" si="104"/>
        <v>2.31</v>
      </c>
      <c r="T234" s="519">
        <f t="shared" si="105"/>
        <v>2.31</v>
      </c>
      <c r="U234" s="519">
        <f t="shared" si="106"/>
        <v>4.62</v>
      </c>
      <c r="V234" s="519">
        <f t="shared" si="107"/>
        <v>5.7750000000000004</v>
      </c>
      <c r="W234" s="519">
        <f t="shared" si="108"/>
        <v>6.9300000000000006</v>
      </c>
      <c r="X234" s="519"/>
      <c r="Y234" s="519"/>
      <c r="Z234" s="519"/>
    </row>
    <row r="235" spans="1:26" s="512" customFormat="1" ht="45">
      <c r="A235" s="338" t="s">
        <v>8166</v>
      </c>
      <c r="B235" s="576" t="s">
        <v>5256</v>
      </c>
      <c r="C235" s="576">
        <v>94711</v>
      </c>
      <c r="D235" s="336" t="s">
        <v>7026</v>
      </c>
      <c r="E235" s="341">
        <v>4</v>
      </c>
      <c r="F235" s="342" t="s">
        <v>6337</v>
      </c>
      <c r="G235" s="352">
        <v>33.39</v>
      </c>
      <c r="H235" s="339">
        <f t="shared" si="98"/>
        <v>8.99</v>
      </c>
      <c r="I235" s="339">
        <f t="shared" si="99"/>
        <v>42.38</v>
      </c>
      <c r="J235" s="431">
        <f t="shared" si="100"/>
        <v>169.52</v>
      </c>
      <c r="K235" s="510">
        <f t="shared" si="101"/>
        <v>133.56</v>
      </c>
      <c r="L235" s="510">
        <f t="shared" si="102"/>
        <v>35.96</v>
      </c>
      <c r="M235" s="519"/>
      <c r="N235" s="519"/>
      <c r="O235" s="519"/>
      <c r="P235" s="519">
        <f t="shared" si="103"/>
        <v>8.4760000000000009</v>
      </c>
      <c r="Q235" s="519"/>
      <c r="R235" s="519"/>
      <c r="S235" s="519">
        <f t="shared" si="104"/>
        <v>16.952000000000002</v>
      </c>
      <c r="T235" s="519">
        <f t="shared" si="105"/>
        <v>16.952000000000002</v>
      </c>
      <c r="U235" s="519">
        <f t="shared" si="106"/>
        <v>33.904000000000003</v>
      </c>
      <c r="V235" s="519">
        <f t="shared" si="107"/>
        <v>42.38</v>
      </c>
      <c r="W235" s="519">
        <f t="shared" si="108"/>
        <v>50.856000000000002</v>
      </c>
      <c r="X235" s="519"/>
      <c r="Y235" s="519"/>
      <c r="Z235" s="519"/>
    </row>
    <row r="236" spans="1:26" s="512" customFormat="1" ht="45">
      <c r="A236" s="338" t="s">
        <v>8167</v>
      </c>
      <c r="B236" s="576" t="s">
        <v>5256</v>
      </c>
      <c r="C236" s="576">
        <v>94789</v>
      </c>
      <c r="D236" s="336" t="s">
        <v>7027</v>
      </c>
      <c r="E236" s="341">
        <v>5</v>
      </c>
      <c r="F236" s="342" t="s">
        <v>6337</v>
      </c>
      <c r="G236" s="352">
        <v>137.6</v>
      </c>
      <c r="H236" s="339">
        <f t="shared" si="98"/>
        <v>37.06</v>
      </c>
      <c r="I236" s="339">
        <f t="shared" si="99"/>
        <v>174.66</v>
      </c>
      <c r="J236" s="431">
        <f t="shared" si="100"/>
        <v>873.3</v>
      </c>
      <c r="K236" s="510">
        <f t="shared" si="101"/>
        <v>688</v>
      </c>
      <c r="L236" s="510">
        <f t="shared" si="102"/>
        <v>185.3</v>
      </c>
      <c r="M236" s="519"/>
      <c r="N236" s="519"/>
      <c r="O236" s="519"/>
      <c r="P236" s="519">
        <f t="shared" si="103"/>
        <v>43.664999999999999</v>
      </c>
      <c r="Q236" s="519"/>
      <c r="R236" s="519"/>
      <c r="S236" s="519">
        <f t="shared" si="104"/>
        <v>87.33</v>
      </c>
      <c r="T236" s="519">
        <f t="shared" si="105"/>
        <v>87.33</v>
      </c>
      <c r="U236" s="519">
        <f t="shared" si="106"/>
        <v>174.66</v>
      </c>
      <c r="V236" s="519">
        <f t="shared" si="107"/>
        <v>218.32499999999999</v>
      </c>
      <c r="W236" s="519">
        <f t="shared" si="108"/>
        <v>261.98999999999995</v>
      </c>
      <c r="X236" s="519"/>
      <c r="Y236" s="519"/>
      <c r="Z236" s="519"/>
    </row>
    <row r="237" spans="1:26" s="512" customFormat="1" ht="45">
      <c r="A237" s="338" t="s">
        <v>8168</v>
      </c>
      <c r="B237" s="576" t="s">
        <v>5256</v>
      </c>
      <c r="C237" s="576">
        <v>94656</v>
      </c>
      <c r="D237" s="336" t="s">
        <v>7028</v>
      </c>
      <c r="E237" s="341">
        <v>63</v>
      </c>
      <c r="F237" s="342" t="s">
        <v>6337</v>
      </c>
      <c r="G237" s="352">
        <v>3.63</v>
      </c>
      <c r="H237" s="339">
        <f t="shared" si="98"/>
        <v>0.98</v>
      </c>
      <c r="I237" s="339">
        <f t="shared" si="99"/>
        <v>4.6099999999999994</v>
      </c>
      <c r="J237" s="431">
        <f t="shared" si="100"/>
        <v>290.43</v>
      </c>
      <c r="K237" s="510">
        <f t="shared" si="101"/>
        <v>228.69</v>
      </c>
      <c r="L237" s="510">
        <f t="shared" si="102"/>
        <v>61.74</v>
      </c>
      <c r="M237" s="519"/>
      <c r="N237" s="519"/>
      <c r="O237" s="519"/>
      <c r="P237" s="519">
        <f t="shared" si="103"/>
        <v>14.521500000000001</v>
      </c>
      <c r="Q237" s="519"/>
      <c r="R237" s="519"/>
      <c r="S237" s="519">
        <f t="shared" si="104"/>
        <v>29.043000000000003</v>
      </c>
      <c r="T237" s="519">
        <f t="shared" si="105"/>
        <v>29.043000000000003</v>
      </c>
      <c r="U237" s="519">
        <f t="shared" si="106"/>
        <v>58.086000000000006</v>
      </c>
      <c r="V237" s="519">
        <f t="shared" si="107"/>
        <v>72.607500000000002</v>
      </c>
      <c r="W237" s="519">
        <f t="shared" si="108"/>
        <v>87.129000000000005</v>
      </c>
      <c r="X237" s="519"/>
      <c r="Y237" s="519"/>
      <c r="Z237" s="519"/>
    </row>
    <row r="238" spans="1:26" s="512" customFormat="1" ht="45">
      <c r="A238" s="338" t="s">
        <v>8169</v>
      </c>
      <c r="B238" s="576" t="s">
        <v>5256</v>
      </c>
      <c r="C238" s="576">
        <v>94658</v>
      </c>
      <c r="D238" s="336" t="s">
        <v>7029</v>
      </c>
      <c r="E238" s="341">
        <v>20</v>
      </c>
      <c r="F238" s="342" t="s">
        <v>6337</v>
      </c>
      <c r="G238" s="352">
        <v>4.16</v>
      </c>
      <c r="H238" s="339">
        <f t="shared" si="98"/>
        <v>1.1200000000000001</v>
      </c>
      <c r="I238" s="339">
        <f t="shared" si="99"/>
        <v>5.28</v>
      </c>
      <c r="J238" s="431">
        <f t="shared" si="100"/>
        <v>105.6</v>
      </c>
      <c r="K238" s="510">
        <f t="shared" si="101"/>
        <v>83.2</v>
      </c>
      <c r="L238" s="510">
        <f t="shared" si="102"/>
        <v>22.4</v>
      </c>
      <c r="M238" s="519"/>
      <c r="N238" s="519"/>
      <c r="O238" s="519"/>
      <c r="P238" s="519">
        <f t="shared" si="103"/>
        <v>5.28</v>
      </c>
      <c r="Q238" s="519"/>
      <c r="R238" s="519"/>
      <c r="S238" s="519">
        <f t="shared" si="104"/>
        <v>10.56</v>
      </c>
      <c r="T238" s="519">
        <f t="shared" si="105"/>
        <v>10.56</v>
      </c>
      <c r="U238" s="519">
        <f t="shared" si="106"/>
        <v>21.12</v>
      </c>
      <c r="V238" s="519">
        <f t="shared" si="107"/>
        <v>26.4</v>
      </c>
      <c r="W238" s="519">
        <f t="shared" si="108"/>
        <v>31.679999999999996</v>
      </c>
      <c r="X238" s="519"/>
      <c r="Y238" s="519"/>
      <c r="Z238" s="519"/>
    </row>
    <row r="239" spans="1:26" s="512" customFormat="1" ht="45">
      <c r="A239" s="338" t="s">
        <v>8170</v>
      </c>
      <c r="B239" s="576" t="s">
        <v>5256</v>
      </c>
      <c r="C239" s="576">
        <v>94662</v>
      </c>
      <c r="D239" s="336" t="s">
        <v>7030</v>
      </c>
      <c r="E239" s="341">
        <v>22</v>
      </c>
      <c r="F239" s="342" t="s">
        <v>6337</v>
      </c>
      <c r="G239" s="352">
        <v>7.32</v>
      </c>
      <c r="H239" s="339">
        <f t="shared" si="98"/>
        <v>1.97</v>
      </c>
      <c r="I239" s="339">
        <f t="shared" si="99"/>
        <v>9.2900000000000009</v>
      </c>
      <c r="J239" s="431">
        <f t="shared" si="100"/>
        <v>204.38</v>
      </c>
      <c r="K239" s="510">
        <f t="shared" si="101"/>
        <v>161.04</v>
      </c>
      <c r="L239" s="510">
        <f t="shared" si="102"/>
        <v>43.34</v>
      </c>
      <c r="M239" s="519"/>
      <c r="N239" s="519"/>
      <c r="O239" s="519"/>
      <c r="P239" s="519">
        <f t="shared" si="103"/>
        <v>10.219000000000001</v>
      </c>
      <c r="Q239" s="519"/>
      <c r="R239" s="519"/>
      <c r="S239" s="519">
        <f t="shared" si="104"/>
        <v>20.438000000000002</v>
      </c>
      <c r="T239" s="519">
        <f t="shared" si="105"/>
        <v>20.438000000000002</v>
      </c>
      <c r="U239" s="519">
        <f t="shared" si="106"/>
        <v>40.876000000000005</v>
      </c>
      <c r="V239" s="519">
        <f t="shared" si="107"/>
        <v>51.094999999999999</v>
      </c>
      <c r="W239" s="519">
        <f t="shared" si="108"/>
        <v>61.313999999999993</v>
      </c>
      <c r="X239" s="519"/>
      <c r="Y239" s="519"/>
      <c r="Z239" s="519"/>
    </row>
    <row r="240" spans="1:26" s="512" customFormat="1" ht="30">
      <c r="A240" s="338" t="s">
        <v>8171</v>
      </c>
      <c r="B240" s="576" t="s">
        <v>5256</v>
      </c>
      <c r="C240" s="576" t="s">
        <v>7039</v>
      </c>
      <c r="D240" s="336" t="s">
        <v>7031</v>
      </c>
      <c r="E240" s="341">
        <v>3</v>
      </c>
      <c r="F240" s="342" t="s">
        <v>6337</v>
      </c>
      <c r="G240" s="352">
        <v>4.67</v>
      </c>
      <c r="H240" s="339">
        <f t="shared" si="98"/>
        <v>1.26</v>
      </c>
      <c r="I240" s="339">
        <f t="shared" si="99"/>
        <v>5.93</v>
      </c>
      <c r="J240" s="431">
        <f t="shared" si="100"/>
        <v>17.79</v>
      </c>
      <c r="K240" s="510">
        <f t="shared" si="101"/>
        <v>14.01</v>
      </c>
      <c r="L240" s="510">
        <f t="shared" si="102"/>
        <v>3.78</v>
      </c>
      <c r="M240" s="519"/>
      <c r="N240" s="519"/>
      <c r="O240" s="519"/>
      <c r="P240" s="519">
        <f t="shared" si="103"/>
        <v>0.88949999999999996</v>
      </c>
      <c r="Q240" s="519"/>
      <c r="R240" s="519"/>
      <c r="S240" s="519">
        <f t="shared" si="104"/>
        <v>1.7789999999999999</v>
      </c>
      <c r="T240" s="519">
        <f t="shared" si="105"/>
        <v>1.7789999999999999</v>
      </c>
      <c r="U240" s="519">
        <f t="shared" si="106"/>
        <v>3.5579999999999998</v>
      </c>
      <c r="V240" s="519">
        <f t="shared" si="107"/>
        <v>4.4474999999999998</v>
      </c>
      <c r="W240" s="519">
        <f t="shared" si="108"/>
        <v>5.3369999999999997</v>
      </c>
      <c r="X240" s="519"/>
      <c r="Y240" s="519"/>
      <c r="Z240" s="519"/>
    </row>
    <row r="241" spans="1:26" s="512" customFormat="1" ht="30">
      <c r="A241" s="338" t="s">
        <v>8172</v>
      </c>
      <c r="B241" s="576" t="s">
        <v>5256</v>
      </c>
      <c r="C241" s="576">
        <v>90375</v>
      </c>
      <c r="D241" s="336" t="s">
        <v>7032</v>
      </c>
      <c r="E241" s="341">
        <v>6</v>
      </c>
      <c r="F241" s="342" t="s">
        <v>6337</v>
      </c>
      <c r="G241" s="352">
        <v>5.26</v>
      </c>
      <c r="H241" s="339">
        <f t="shared" si="98"/>
        <v>1.42</v>
      </c>
      <c r="I241" s="339">
        <f t="shared" si="99"/>
        <v>6.68</v>
      </c>
      <c r="J241" s="431">
        <f t="shared" si="100"/>
        <v>40.08</v>
      </c>
      <c r="K241" s="510">
        <f t="shared" si="101"/>
        <v>31.56</v>
      </c>
      <c r="L241" s="510">
        <f t="shared" si="102"/>
        <v>8.52</v>
      </c>
      <c r="M241" s="519"/>
      <c r="N241" s="519"/>
      <c r="O241" s="519"/>
      <c r="P241" s="519">
        <f t="shared" si="103"/>
        <v>2.004</v>
      </c>
      <c r="Q241" s="519"/>
      <c r="R241" s="519"/>
      <c r="S241" s="519">
        <f t="shared" si="104"/>
        <v>4.008</v>
      </c>
      <c r="T241" s="519">
        <f t="shared" si="105"/>
        <v>4.008</v>
      </c>
      <c r="U241" s="519">
        <f t="shared" si="106"/>
        <v>8.016</v>
      </c>
      <c r="V241" s="519">
        <f t="shared" si="107"/>
        <v>10.02</v>
      </c>
      <c r="W241" s="519">
        <f t="shared" si="108"/>
        <v>12.023999999999999</v>
      </c>
      <c r="X241" s="519"/>
      <c r="Y241" s="519"/>
      <c r="Z241" s="519"/>
    </row>
    <row r="242" spans="1:26" s="512" customFormat="1" ht="30">
      <c r="A242" s="338" t="s">
        <v>8173</v>
      </c>
      <c r="B242" s="576" t="s">
        <v>5256</v>
      </c>
      <c r="C242" s="576" t="s">
        <v>7040</v>
      </c>
      <c r="D242" s="336" t="s">
        <v>7033</v>
      </c>
      <c r="E242" s="341">
        <v>2</v>
      </c>
      <c r="F242" s="342" t="s">
        <v>6337</v>
      </c>
      <c r="G242" s="352">
        <v>5.98</v>
      </c>
      <c r="H242" s="339">
        <f t="shared" si="98"/>
        <v>1.61</v>
      </c>
      <c r="I242" s="339">
        <f t="shared" si="99"/>
        <v>7.5900000000000007</v>
      </c>
      <c r="J242" s="431">
        <f t="shared" si="100"/>
        <v>15.18</v>
      </c>
      <c r="K242" s="510">
        <f t="shared" si="101"/>
        <v>11.96</v>
      </c>
      <c r="L242" s="510">
        <f t="shared" si="102"/>
        <v>3.22</v>
      </c>
      <c r="M242" s="519"/>
      <c r="N242" s="519"/>
      <c r="O242" s="519"/>
      <c r="P242" s="519">
        <f t="shared" si="103"/>
        <v>0.75900000000000001</v>
      </c>
      <c r="Q242" s="519"/>
      <c r="R242" s="519"/>
      <c r="S242" s="519">
        <f t="shared" si="104"/>
        <v>1.518</v>
      </c>
      <c r="T242" s="519">
        <f t="shared" si="105"/>
        <v>1.518</v>
      </c>
      <c r="U242" s="519">
        <f t="shared" si="106"/>
        <v>3.036</v>
      </c>
      <c r="V242" s="519">
        <f t="shared" si="107"/>
        <v>3.7949999999999999</v>
      </c>
      <c r="W242" s="519">
        <f t="shared" si="108"/>
        <v>4.5539999999999994</v>
      </c>
      <c r="X242" s="519"/>
      <c r="Y242" s="519"/>
      <c r="Z242" s="519"/>
    </row>
    <row r="243" spans="1:26" s="512" customFormat="1" ht="30">
      <c r="A243" s="338" t="s">
        <v>8174</v>
      </c>
      <c r="B243" s="576" t="s">
        <v>5256</v>
      </c>
      <c r="C243" s="576" t="s">
        <v>7041</v>
      </c>
      <c r="D243" s="336" t="s">
        <v>7034</v>
      </c>
      <c r="E243" s="341">
        <v>20</v>
      </c>
      <c r="F243" s="342" t="s">
        <v>6337</v>
      </c>
      <c r="G243" s="352">
        <v>7.2200000000000006</v>
      </c>
      <c r="H243" s="339">
        <f t="shared" si="98"/>
        <v>1.94</v>
      </c>
      <c r="I243" s="339">
        <f t="shared" si="99"/>
        <v>9.16</v>
      </c>
      <c r="J243" s="431">
        <f t="shared" si="100"/>
        <v>183.2</v>
      </c>
      <c r="K243" s="510">
        <f t="shared" si="101"/>
        <v>144.4</v>
      </c>
      <c r="L243" s="510">
        <f t="shared" si="102"/>
        <v>38.799999999999997</v>
      </c>
      <c r="M243" s="519"/>
      <c r="N243" s="519"/>
      <c r="O243" s="519"/>
      <c r="P243" s="519">
        <f t="shared" si="103"/>
        <v>9.16</v>
      </c>
      <c r="Q243" s="519"/>
      <c r="R243" s="519"/>
      <c r="S243" s="519">
        <f t="shared" si="104"/>
        <v>18.32</v>
      </c>
      <c r="T243" s="519">
        <f t="shared" si="105"/>
        <v>18.32</v>
      </c>
      <c r="U243" s="519">
        <f t="shared" si="106"/>
        <v>36.64</v>
      </c>
      <c r="V243" s="519">
        <f t="shared" si="107"/>
        <v>45.8</v>
      </c>
      <c r="W243" s="519">
        <f t="shared" si="108"/>
        <v>54.959999999999994</v>
      </c>
      <c r="X243" s="519"/>
      <c r="Y243" s="519"/>
      <c r="Z243" s="519"/>
    </row>
    <row r="244" spans="1:26" s="512" customFormat="1" ht="30">
      <c r="A244" s="338" t="s">
        <v>8175</v>
      </c>
      <c r="B244" s="576" t="s">
        <v>5256</v>
      </c>
      <c r="C244" s="576" t="s">
        <v>7042</v>
      </c>
      <c r="D244" s="336" t="s">
        <v>7035</v>
      </c>
      <c r="E244" s="341">
        <v>2</v>
      </c>
      <c r="F244" s="342" t="s">
        <v>6337</v>
      </c>
      <c r="G244" s="352">
        <v>13.36</v>
      </c>
      <c r="H244" s="339">
        <f t="shared" si="98"/>
        <v>3.6</v>
      </c>
      <c r="I244" s="339">
        <f t="shared" si="99"/>
        <v>16.96</v>
      </c>
      <c r="J244" s="431">
        <f t="shared" si="100"/>
        <v>33.92</v>
      </c>
      <c r="K244" s="510">
        <f t="shared" si="101"/>
        <v>26.72</v>
      </c>
      <c r="L244" s="510">
        <f t="shared" si="102"/>
        <v>7.2</v>
      </c>
      <c r="M244" s="519"/>
      <c r="N244" s="519"/>
      <c r="O244" s="519"/>
      <c r="P244" s="519">
        <f t="shared" si="103"/>
        <v>1.6960000000000002</v>
      </c>
      <c r="Q244" s="519"/>
      <c r="R244" s="519"/>
      <c r="S244" s="519">
        <f t="shared" si="104"/>
        <v>3.3920000000000003</v>
      </c>
      <c r="T244" s="519">
        <f t="shared" si="105"/>
        <v>3.3920000000000003</v>
      </c>
      <c r="U244" s="519">
        <f t="shared" si="106"/>
        <v>6.7840000000000007</v>
      </c>
      <c r="V244" s="519">
        <f t="shared" si="107"/>
        <v>8.48</v>
      </c>
      <c r="W244" s="519">
        <f t="shared" si="108"/>
        <v>10.176</v>
      </c>
      <c r="X244" s="519"/>
      <c r="Y244" s="519"/>
      <c r="Z244" s="519"/>
    </row>
    <row r="245" spans="1:26" s="512" customFormat="1" ht="30">
      <c r="A245" s="338" t="s">
        <v>8176</v>
      </c>
      <c r="B245" s="576" t="s">
        <v>5256</v>
      </c>
      <c r="C245" s="576" t="s">
        <v>7043</v>
      </c>
      <c r="D245" s="336" t="s">
        <v>7036</v>
      </c>
      <c r="E245" s="341">
        <v>2</v>
      </c>
      <c r="F245" s="342" t="s">
        <v>6337</v>
      </c>
      <c r="G245" s="352">
        <v>6.3100000000000005</v>
      </c>
      <c r="H245" s="339">
        <f t="shared" si="98"/>
        <v>1.7</v>
      </c>
      <c r="I245" s="339">
        <f t="shared" si="99"/>
        <v>8.01</v>
      </c>
      <c r="J245" s="431">
        <f t="shared" si="100"/>
        <v>16.02</v>
      </c>
      <c r="K245" s="510">
        <f t="shared" si="101"/>
        <v>12.62</v>
      </c>
      <c r="L245" s="510">
        <f t="shared" si="102"/>
        <v>3.4</v>
      </c>
      <c r="M245" s="519"/>
      <c r="N245" s="519"/>
      <c r="O245" s="519"/>
      <c r="P245" s="519">
        <f t="shared" si="103"/>
        <v>0.80100000000000005</v>
      </c>
      <c r="Q245" s="519"/>
      <c r="R245" s="519"/>
      <c r="S245" s="519">
        <f t="shared" si="104"/>
        <v>1.6020000000000001</v>
      </c>
      <c r="T245" s="519">
        <f t="shared" si="105"/>
        <v>1.6020000000000001</v>
      </c>
      <c r="U245" s="519">
        <f t="shared" si="106"/>
        <v>3.2040000000000002</v>
      </c>
      <c r="V245" s="519">
        <f t="shared" si="107"/>
        <v>4.0049999999999999</v>
      </c>
      <c r="W245" s="519">
        <f t="shared" si="108"/>
        <v>4.806</v>
      </c>
      <c r="X245" s="519"/>
      <c r="Y245" s="519"/>
      <c r="Z245" s="519"/>
    </row>
    <row r="246" spans="1:26" s="512" customFormat="1" ht="30">
      <c r="A246" s="338" t="s">
        <v>8177</v>
      </c>
      <c r="B246" s="576" t="s">
        <v>5256</v>
      </c>
      <c r="C246" s="576" t="s">
        <v>7044</v>
      </c>
      <c r="D246" s="336" t="s">
        <v>7037</v>
      </c>
      <c r="E246" s="341">
        <v>1</v>
      </c>
      <c r="F246" s="342" t="s">
        <v>6337</v>
      </c>
      <c r="G246" s="352">
        <v>6.51</v>
      </c>
      <c r="H246" s="339">
        <f t="shared" si="98"/>
        <v>1.75</v>
      </c>
      <c r="I246" s="339">
        <f t="shared" si="99"/>
        <v>8.26</v>
      </c>
      <c r="J246" s="431">
        <f t="shared" si="100"/>
        <v>8.26</v>
      </c>
      <c r="K246" s="510">
        <f t="shared" si="101"/>
        <v>6.51</v>
      </c>
      <c r="L246" s="510">
        <f t="shared" si="102"/>
        <v>1.75</v>
      </c>
      <c r="M246" s="519"/>
      <c r="N246" s="519"/>
      <c r="O246" s="519"/>
      <c r="P246" s="519">
        <f t="shared" si="103"/>
        <v>0.41300000000000003</v>
      </c>
      <c r="Q246" s="519"/>
      <c r="R246" s="519"/>
      <c r="S246" s="519">
        <f t="shared" si="104"/>
        <v>0.82600000000000007</v>
      </c>
      <c r="T246" s="519">
        <f t="shared" si="105"/>
        <v>0.82600000000000007</v>
      </c>
      <c r="U246" s="519">
        <f t="shared" si="106"/>
        <v>1.6520000000000001</v>
      </c>
      <c r="V246" s="519">
        <f t="shared" si="107"/>
        <v>2.0649999999999999</v>
      </c>
      <c r="W246" s="519">
        <f t="shared" si="108"/>
        <v>2.4779999999999998</v>
      </c>
      <c r="X246" s="519"/>
      <c r="Y246" s="519"/>
      <c r="Z246" s="519"/>
    </row>
    <row r="247" spans="1:26" s="512" customFormat="1" ht="30">
      <c r="A247" s="338" t="s">
        <v>8178</v>
      </c>
      <c r="B247" s="576" t="s">
        <v>5256</v>
      </c>
      <c r="C247" s="576" t="s">
        <v>7045</v>
      </c>
      <c r="D247" s="336" t="s">
        <v>7038</v>
      </c>
      <c r="E247" s="341">
        <v>3</v>
      </c>
      <c r="F247" s="342" t="s">
        <v>6337</v>
      </c>
      <c r="G247" s="352">
        <v>7.1400000000000006</v>
      </c>
      <c r="H247" s="339">
        <f t="shared" si="98"/>
        <v>1.92</v>
      </c>
      <c r="I247" s="339">
        <f t="shared" si="99"/>
        <v>9.06</v>
      </c>
      <c r="J247" s="431">
        <f t="shared" si="100"/>
        <v>27.18</v>
      </c>
      <c r="K247" s="510">
        <f t="shared" si="101"/>
        <v>21.42</v>
      </c>
      <c r="L247" s="510">
        <f t="shared" si="102"/>
        <v>5.76</v>
      </c>
      <c r="M247" s="519"/>
      <c r="N247" s="519"/>
      <c r="O247" s="519"/>
      <c r="P247" s="519">
        <f t="shared" si="103"/>
        <v>1.359</v>
      </c>
      <c r="Q247" s="519"/>
      <c r="R247" s="519"/>
      <c r="S247" s="519">
        <f t="shared" si="104"/>
        <v>2.718</v>
      </c>
      <c r="T247" s="519">
        <f t="shared" si="105"/>
        <v>2.718</v>
      </c>
      <c r="U247" s="519">
        <f t="shared" si="106"/>
        <v>5.4359999999999999</v>
      </c>
      <c r="V247" s="519">
        <f t="shared" si="107"/>
        <v>6.7949999999999999</v>
      </c>
      <c r="W247" s="519">
        <f t="shared" si="108"/>
        <v>8.1539999999999999</v>
      </c>
      <c r="X247" s="519"/>
      <c r="Y247" s="519"/>
      <c r="Z247" s="519"/>
    </row>
    <row r="248" spans="1:26" s="512" customFormat="1" ht="30">
      <c r="A248" s="338" t="s">
        <v>7048</v>
      </c>
      <c r="B248" s="576" t="s">
        <v>5256</v>
      </c>
      <c r="C248" s="576" t="s">
        <v>7047</v>
      </c>
      <c r="D248" s="336" t="s">
        <v>7046</v>
      </c>
      <c r="E248" s="341">
        <v>44</v>
      </c>
      <c r="F248" s="342" t="s">
        <v>6337</v>
      </c>
      <c r="G248" s="352">
        <v>2.9699999999999998</v>
      </c>
      <c r="H248" s="339">
        <f t="shared" si="98"/>
        <v>0.8</v>
      </c>
      <c r="I248" s="339">
        <f t="shared" si="99"/>
        <v>3.7699999999999996</v>
      </c>
      <c r="J248" s="431">
        <f t="shared" si="100"/>
        <v>165.88</v>
      </c>
      <c r="K248" s="510">
        <f t="shared" si="101"/>
        <v>130.68</v>
      </c>
      <c r="L248" s="510">
        <f t="shared" si="102"/>
        <v>35.200000000000003</v>
      </c>
      <c r="M248" s="519"/>
      <c r="N248" s="519"/>
      <c r="O248" s="519"/>
      <c r="P248" s="519">
        <f t="shared" si="103"/>
        <v>8.2940000000000005</v>
      </c>
      <c r="Q248" s="519"/>
      <c r="R248" s="519"/>
      <c r="S248" s="519">
        <f t="shared" si="104"/>
        <v>16.588000000000001</v>
      </c>
      <c r="T248" s="519">
        <f t="shared" si="105"/>
        <v>16.588000000000001</v>
      </c>
      <c r="U248" s="519">
        <f t="shared" si="106"/>
        <v>33.176000000000002</v>
      </c>
      <c r="V248" s="519">
        <f t="shared" si="107"/>
        <v>41.47</v>
      </c>
      <c r="W248" s="519">
        <f t="shared" si="108"/>
        <v>49.763999999999996</v>
      </c>
      <c r="X248" s="519"/>
      <c r="Y248" s="519"/>
      <c r="Z248" s="519"/>
    </row>
    <row r="249" spans="1:26" s="512" customFormat="1" ht="30">
      <c r="A249" s="338" t="s">
        <v>8179</v>
      </c>
      <c r="B249" s="576" t="s">
        <v>5256</v>
      </c>
      <c r="C249" s="576">
        <v>89490</v>
      </c>
      <c r="D249" s="336" t="s">
        <v>7049</v>
      </c>
      <c r="E249" s="341">
        <v>1</v>
      </c>
      <c r="F249" s="342" t="s">
        <v>6337</v>
      </c>
      <c r="G249" s="352">
        <v>3.6</v>
      </c>
      <c r="H249" s="339">
        <f t="shared" si="98"/>
        <v>0.97</v>
      </c>
      <c r="I249" s="339">
        <f t="shared" si="99"/>
        <v>4.57</v>
      </c>
      <c r="J249" s="431">
        <f t="shared" si="100"/>
        <v>4.57</v>
      </c>
      <c r="K249" s="510">
        <f t="shared" si="101"/>
        <v>3.6</v>
      </c>
      <c r="L249" s="510">
        <f t="shared" si="102"/>
        <v>0.97</v>
      </c>
      <c r="M249" s="519"/>
      <c r="N249" s="519"/>
      <c r="O249" s="519"/>
      <c r="P249" s="519">
        <f t="shared" si="103"/>
        <v>0.22850000000000004</v>
      </c>
      <c r="Q249" s="519"/>
      <c r="R249" s="519"/>
      <c r="S249" s="519">
        <f t="shared" si="104"/>
        <v>0.45700000000000007</v>
      </c>
      <c r="T249" s="519">
        <f t="shared" si="105"/>
        <v>0.45700000000000007</v>
      </c>
      <c r="U249" s="519">
        <f t="shared" si="106"/>
        <v>0.91400000000000015</v>
      </c>
      <c r="V249" s="519">
        <f t="shared" si="107"/>
        <v>1.1425000000000001</v>
      </c>
      <c r="W249" s="519">
        <f t="shared" si="108"/>
        <v>1.371</v>
      </c>
      <c r="X249" s="519"/>
      <c r="Y249" s="519"/>
      <c r="Z249" s="519"/>
    </row>
    <row r="250" spans="1:26" s="512" customFormat="1" ht="30">
      <c r="A250" s="338" t="s">
        <v>8180</v>
      </c>
      <c r="B250" s="576" t="s">
        <v>5256</v>
      </c>
      <c r="C250" s="576">
        <v>89519</v>
      </c>
      <c r="D250" s="336" t="s">
        <v>7050</v>
      </c>
      <c r="E250" s="341">
        <v>2</v>
      </c>
      <c r="F250" s="342" t="s">
        <v>6337</v>
      </c>
      <c r="G250" s="352">
        <v>25.92</v>
      </c>
      <c r="H250" s="339">
        <f t="shared" si="98"/>
        <v>6.98</v>
      </c>
      <c r="I250" s="339">
        <f t="shared" si="99"/>
        <v>32.900000000000006</v>
      </c>
      <c r="J250" s="431">
        <f t="shared" si="100"/>
        <v>65.8</v>
      </c>
      <c r="K250" s="510">
        <f t="shared" si="101"/>
        <v>51.84</v>
      </c>
      <c r="L250" s="510">
        <f t="shared" si="102"/>
        <v>13.96</v>
      </c>
      <c r="M250" s="519"/>
      <c r="N250" s="519"/>
      <c r="O250" s="519"/>
      <c r="P250" s="519">
        <f t="shared" si="103"/>
        <v>3.29</v>
      </c>
      <c r="Q250" s="519"/>
      <c r="R250" s="519"/>
      <c r="S250" s="519">
        <f t="shared" si="104"/>
        <v>6.58</v>
      </c>
      <c r="T250" s="519">
        <f t="shared" si="105"/>
        <v>6.58</v>
      </c>
      <c r="U250" s="519">
        <f t="shared" si="106"/>
        <v>13.16</v>
      </c>
      <c r="V250" s="519">
        <f t="shared" si="107"/>
        <v>16.45</v>
      </c>
      <c r="W250" s="519">
        <f t="shared" si="108"/>
        <v>19.739999999999998</v>
      </c>
      <c r="X250" s="519"/>
      <c r="Y250" s="519"/>
      <c r="Z250" s="519"/>
    </row>
    <row r="251" spans="1:26" s="512" customFormat="1" ht="30">
      <c r="A251" s="338" t="s">
        <v>8181</v>
      </c>
      <c r="B251" s="576" t="s">
        <v>5256</v>
      </c>
      <c r="C251" s="576">
        <v>89489</v>
      </c>
      <c r="D251" s="336" t="s">
        <v>7051</v>
      </c>
      <c r="E251" s="341">
        <v>165</v>
      </c>
      <c r="F251" s="342" t="s">
        <v>6337</v>
      </c>
      <c r="G251" s="352">
        <v>4</v>
      </c>
      <c r="H251" s="339">
        <f t="shared" si="98"/>
        <v>1.08</v>
      </c>
      <c r="I251" s="339">
        <f t="shared" si="99"/>
        <v>5.08</v>
      </c>
      <c r="J251" s="431">
        <f t="shared" si="100"/>
        <v>838.2</v>
      </c>
      <c r="K251" s="510">
        <f t="shared" si="101"/>
        <v>660</v>
      </c>
      <c r="L251" s="510">
        <f t="shared" si="102"/>
        <v>178.2</v>
      </c>
      <c r="M251" s="519"/>
      <c r="N251" s="519"/>
      <c r="O251" s="519"/>
      <c r="P251" s="519">
        <f t="shared" si="103"/>
        <v>41.910000000000004</v>
      </c>
      <c r="Q251" s="519"/>
      <c r="R251" s="519"/>
      <c r="S251" s="519">
        <f t="shared" si="104"/>
        <v>83.820000000000007</v>
      </c>
      <c r="T251" s="519">
        <f t="shared" si="105"/>
        <v>83.820000000000007</v>
      </c>
      <c r="U251" s="519">
        <f t="shared" si="106"/>
        <v>167.64000000000001</v>
      </c>
      <c r="V251" s="519">
        <f t="shared" si="107"/>
        <v>209.55</v>
      </c>
      <c r="W251" s="519">
        <f t="shared" si="108"/>
        <v>251.46</v>
      </c>
      <c r="X251" s="519"/>
      <c r="Y251" s="519"/>
      <c r="Z251" s="519"/>
    </row>
    <row r="252" spans="1:26" s="512" customFormat="1" ht="30">
      <c r="A252" s="338" t="s">
        <v>8182</v>
      </c>
      <c r="B252" s="576" t="s">
        <v>5256</v>
      </c>
      <c r="C252" s="576">
        <v>89494</v>
      </c>
      <c r="D252" s="336" t="s">
        <v>7052</v>
      </c>
      <c r="E252" s="341">
        <v>28</v>
      </c>
      <c r="F252" s="342" t="s">
        <v>6337</v>
      </c>
      <c r="G252" s="352">
        <v>6.76</v>
      </c>
      <c r="H252" s="339">
        <f t="shared" si="98"/>
        <v>1.82</v>
      </c>
      <c r="I252" s="339">
        <f t="shared" si="99"/>
        <v>8.58</v>
      </c>
      <c r="J252" s="431">
        <f t="shared" si="100"/>
        <v>240.24</v>
      </c>
      <c r="K252" s="510">
        <f t="shared" si="101"/>
        <v>189.28</v>
      </c>
      <c r="L252" s="510">
        <f t="shared" si="102"/>
        <v>50.96</v>
      </c>
      <c r="M252" s="519"/>
      <c r="N252" s="519"/>
      <c r="O252" s="519"/>
      <c r="P252" s="519">
        <f t="shared" si="103"/>
        <v>12.012</v>
      </c>
      <c r="Q252" s="519"/>
      <c r="R252" s="519"/>
      <c r="S252" s="519">
        <f t="shared" si="104"/>
        <v>24.024000000000001</v>
      </c>
      <c r="T252" s="519">
        <f t="shared" si="105"/>
        <v>24.024000000000001</v>
      </c>
      <c r="U252" s="519">
        <f t="shared" si="106"/>
        <v>48.048000000000002</v>
      </c>
      <c r="V252" s="519">
        <f t="shared" si="107"/>
        <v>60.06</v>
      </c>
      <c r="W252" s="519">
        <f t="shared" si="108"/>
        <v>72.072000000000003</v>
      </c>
      <c r="X252" s="519"/>
      <c r="Y252" s="519"/>
      <c r="Z252" s="519"/>
    </row>
    <row r="253" spans="1:26" s="512" customFormat="1" ht="30">
      <c r="A253" s="338" t="s">
        <v>8183</v>
      </c>
      <c r="B253" s="576" t="s">
        <v>5256</v>
      </c>
      <c r="C253" s="576">
        <v>89499</v>
      </c>
      <c r="D253" s="336" t="s">
        <v>7053</v>
      </c>
      <c r="E253" s="341">
        <v>6</v>
      </c>
      <c r="F253" s="342" t="s">
        <v>6337</v>
      </c>
      <c r="G253" s="352">
        <v>10.51</v>
      </c>
      <c r="H253" s="339">
        <f t="shared" si="98"/>
        <v>2.83</v>
      </c>
      <c r="I253" s="339">
        <f t="shared" si="99"/>
        <v>13.34</v>
      </c>
      <c r="J253" s="431">
        <f t="shared" si="100"/>
        <v>80.040000000000006</v>
      </c>
      <c r="K253" s="510">
        <f t="shared" si="101"/>
        <v>63.06</v>
      </c>
      <c r="L253" s="510">
        <f t="shared" si="102"/>
        <v>16.98</v>
      </c>
      <c r="M253" s="519"/>
      <c r="N253" s="519"/>
      <c r="O253" s="519"/>
      <c r="P253" s="519">
        <f t="shared" si="103"/>
        <v>4.0020000000000007</v>
      </c>
      <c r="Q253" s="519"/>
      <c r="R253" s="519"/>
      <c r="S253" s="519">
        <f t="shared" si="104"/>
        <v>8.0040000000000013</v>
      </c>
      <c r="T253" s="519">
        <f t="shared" si="105"/>
        <v>8.0040000000000013</v>
      </c>
      <c r="U253" s="519">
        <f t="shared" si="106"/>
        <v>16.008000000000003</v>
      </c>
      <c r="V253" s="519">
        <f t="shared" si="107"/>
        <v>20.010000000000002</v>
      </c>
      <c r="W253" s="519">
        <f t="shared" si="108"/>
        <v>24.012</v>
      </c>
      <c r="X253" s="519"/>
      <c r="Y253" s="519"/>
      <c r="Z253" s="519"/>
    </row>
    <row r="254" spans="1:26" s="512" customFormat="1" ht="30">
      <c r="A254" s="338" t="s">
        <v>8184</v>
      </c>
      <c r="B254" s="576" t="s">
        <v>5256</v>
      </c>
      <c r="C254" s="576">
        <v>89503</v>
      </c>
      <c r="D254" s="336" t="s">
        <v>7054</v>
      </c>
      <c r="E254" s="341">
        <v>49</v>
      </c>
      <c r="F254" s="342" t="s">
        <v>6337</v>
      </c>
      <c r="G254" s="352">
        <v>13.15</v>
      </c>
      <c r="H254" s="339">
        <f t="shared" si="98"/>
        <v>3.54</v>
      </c>
      <c r="I254" s="339">
        <f t="shared" si="99"/>
        <v>16.690000000000001</v>
      </c>
      <c r="J254" s="431">
        <f t="shared" si="100"/>
        <v>817.81</v>
      </c>
      <c r="K254" s="510">
        <f t="shared" si="101"/>
        <v>644.35</v>
      </c>
      <c r="L254" s="510">
        <f t="shared" si="102"/>
        <v>173.46</v>
      </c>
      <c r="M254" s="519"/>
      <c r="N254" s="519"/>
      <c r="O254" s="519"/>
      <c r="P254" s="519">
        <f t="shared" si="103"/>
        <v>40.890500000000003</v>
      </c>
      <c r="Q254" s="519"/>
      <c r="R254" s="519"/>
      <c r="S254" s="519">
        <f t="shared" si="104"/>
        <v>81.781000000000006</v>
      </c>
      <c r="T254" s="519">
        <f t="shared" si="105"/>
        <v>81.781000000000006</v>
      </c>
      <c r="U254" s="519">
        <f t="shared" si="106"/>
        <v>163.56200000000001</v>
      </c>
      <c r="V254" s="519">
        <f t="shared" si="107"/>
        <v>204.45249999999999</v>
      </c>
      <c r="W254" s="519">
        <f t="shared" si="108"/>
        <v>245.34299999999996</v>
      </c>
      <c r="X254" s="519"/>
      <c r="Y254" s="519"/>
      <c r="Z254" s="519"/>
    </row>
    <row r="255" spans="1:26" s="512" customFormat="1" ht="30">
      <c r="A255" s="338" t="s">
        <v>8185</v>
      </c>
      <c r="B255" s="576" t="s">
        <v>5256</v>
      </c>
      <c r="C255" s="576">
        <v>89507</v>
      </c>
      <c r="D255" s="336" t="s">
        <v>7055</v>
      </c>
      <c r="E255" s="341">
        <v>3</v>
      </c>
      <c r="F255" s="342" t="s">
        <v>6337</v>
      </c>
      <c r="G255" s="352">
        <v>26.81</v>
      </c>
      <c r="H255" s="339">
        <f t="shared" si="98"/>
        <v>7.22</v>
      </c>
      <c r="I255" s="339">
        <f t="shared" si="99"/>
        <v>34.03</v>
      </c>
      <c r="J255" s="431">
        <f t="shared" si="100"/>
        <v>102.09</v>
      </c>
      <c r="K255" s="510">
        <f t="shared" si="101"/>
        <v>80.430000000000007</v>
      </c>
      <c r="L255" s="510">
        <f t="shared" si="102"/>
        <v>21.66</v>
      </c>
      <c r="M255" s="519"/>
      <c r="N255" s="519"/>
      <c r="O255" s="519"/>
      <c r="P255" s="519">
        <f t="shared" si="103"/>
        <v>5.1045000000000007</v>
      </c>
      <c r="Q255" s="519"/>
      <c r="R255" s="519"/>
      <c r="S255" s="519">
        <f t="shared" si="104"/>
        <v>10.209000000000001</v>
      </c>
      <c r="T255" s="519">
        <f t="shared" si="105"/>
        <v>10.209000000000001</v>
      </c>
      <c r="U255" s="519">
        <f t="shared" si="106"/>
        <v>20.418000000000003</v>
      </c>
      <c r="V255" s="519">
        <f t="shared" si="107"/>
        <v>25.522500000000001</v>
      </c>
      <c r="W255" s="519">
        <f t="shared" si="108"/>
        <v>30.626999999999999</v>
      </c>
      <c r="X255" s="519"/>
      <c r="Y255" s="519"/>
      <c r="Z255" s="519"/>
    </row>
    <row r="256" spans="1:26" s="512" customFormat="1" ht="30">
      <c r="A256" s="338" t="s">
        <v>8186</v>
      </c>
      <c r="B256" s="576" t="s">
        <v>5256</v>
      </c>
      <c r="C256" s="576">
        <v>89517</v>
      </c>
      <c r="D256" s="336" t="s">
        <v>7056</v>
      </c>
      <c r="E256" s="341">
        <v>15</v>
      </c>
      <c r="F256" s="342" t="s">
        <v>6337</v>
      </c>
      <c r="G256" s="352">
        <v>38.090000000000003</v>
      </c>
      <c r="H256" s="339">
        <f t="shared" si="98"/>
        <v>10.26</v>
      </c>
      <c r="I256" s="339">
        <f t="shared" si="99"/>
        <v>48.35</v>
      </c>
      <c r="J256" s="431">
        <f t="shared" si="100"/>
        <v>725.25</v>
      </c>
      <c r="K256" s="510">
        <f t="shared" si="101"/>
        <v>571.35</v>
      </c>
      <c r="L256" s="510">
        <f t="shared" si="102"/>
        <v>153.9</v>
      </c>
      <c r="M256" s="519"/>
      <c r="N256" s="519"/>
      <c r="O256" s="519"/>
      <c r="P256" s="519">
        <f t="shared" si="103"/>
        <v>36.262500000000003</v>
      </c>
      <c r="Q256" s="519"/>
      <c r="R256" s="519"/>
      <c r="S256" s="519">
        <f t="shared" si="104"/>
        <v>72.525000000000006</v>
      </c>
      <c r="T256" s="519">
        <f t="shared" si="105"/>
        <v>72.525000000000006</v>
      </c>
      <c r="U256" s="519">
        <f t="shared" si="106"/>
        <v>145.05000000000001</v>
      </c>
      <c r="V256" s="519">
        <f t="shared" si="107"/>
        <v>181.3125</v>
      </c>
      <c r="W256" s="519">
        <f t="shared" si="108"/>
        <v>217.57499999999999</v>
      </c>
      <c r="X256" s="519"/>
      <c r="Y256" s="519"/>
      <c r="Z256" s="519"/>
    </row>
    <row r="257" spans="1:26" s="512" customFormat="1" ht="30">
      <c r="A257" s="338" t="s">
        <v>8187</v>
      </c>
      <c r="B257" s="576" t="s">
        <v>5256</v>
      </c>
      <c r="C257" s="576">
        <v>89502</v>
      </c>
      <c r="D257" s="336" t="s">
        <v>7057</v>
      </c>
      <c r="E257" s="341">
        <v>2</v>
      </c>
      <c r="F257" s="342" t="s">
        <v>6337</v>
      </c>
      <c r="G257" s="352">
        <v>8.7899999999999991</v>
      </c>
      <c r="H257" s="339">
        <f t="shared" si="98"/>
        <v>2.37</v>
      </c>
      <c r="I257" s="339">
        <f t="shared" si="99"/>
        <v>11.16</v>
      </c>
      <c r="J257" s="431">
        <f t="shared" si="100"/>
        <v>22.32</v>
      </c>
      <c r="K257" s="510">
        <f t="shared" si="101"/>
        <v>17.579999999999998</v>
      </c>
      <c r="L257" s="510">
        <f t="shared" si="102"/>
        <v>4.74</v>
      </c>
      <c r="M257" s="519"/>
      <c r="N257" s="519"/>
      <c r="O257" s="519"/>
      <c r="P257" s="519">
        <f t="shared" si="103"/>
        <v>1.1160000000000001</v>
      </c>
      <c r="Q257" s="519"/>
      <c r="R257" s="519"/>
      <c r="S257" s="519">
        <f t="shared" si="104"/>
        <v>2.2320000000000002</v>
      </c>
      <c r="T257" s="519">
        <f t="shared" si="105"/>
        <v>2.2320000000000002</v>
      </c>
      <c r="U257" s="519">
        <f t="shared" si="106"/>
        <v>4.4640000000000004</v>
      </c>
      <c r="V257" s="519">
        <f t="shared" si="107"/>
        <v>5.58</v>
      </c>
      <c r="W257" s="519">
        <f t="shared" si="108"/>
        <v>6.6959999999999997</v>
      </c>
      <c r="X257" s="519"/>
      <c r="Y257" s="519"/>
      <c r="Z257" s="519"/>
    </row>
    <row r="258" spans="1:26" s="512" customFormat="1" ht="30">
      <c r="A258" s="338" t="s">
        <v>8188</v>
      </c>
      <c r="B258" s="576" t="s">
        <v>5256</v>
      </c>
      <c r="C258" s="576">
        <v>89366</v>
      </c>
      <c r="D258" s="336" t="s">
        <v>7058</v>
      </c>
      <c r="E258" s="341">
        <v>5</v>
      </c>
      <c r="F258" s="342" t="s">
        <v>6337</v>
      </c>
      <c r="G258" s="352">
        <v>8.85</v>
      </c>
      <c r="H258" s="339">
        <f t="shared" si="98"/>
        <v>2.38</v>
      </c>
      <c r="I258" s="339">
        <f t="shared" si="99"/>
        <v>11.23</v>
      </c>
      <c r="J258" s="431">
        <f t="shared" si="100"/>
        <v>56.15</v>
      </c>
      <c r="K258" s="510">
        <f t="shared" si="101"/>
        <v>44.25</v>
      </c>
      <c r="L258" s="510">
        <f t="shared" si="102"/>
        <v>11.9</v>
      </c>
      <c r="M258" s="519"/>
      <c r="N258" s="519"/>
      <c r="O258" s="519"/>
      <c r="P258" s="519">
        <f t="shared" si="103"/>
        <v>2.8075000000000001</v>
      </c>
      <c r="Q258" s="519"/>
      <c r="R258" s="519"/>
      <c r="S258" s="519">
        <f t="shared" si="104"/>
        <v>5.6150000000000002</v>
      </c>
      <c r="T258" s="519">
        <f t="shared" si="105"/>
        <v>5.6150000000000002</v>
      </c>
      <c r="U258" s="519">
        <f t="shared" si="106"/>
        <v>11.23</v>
      </c>
      <c r="V258" s="519">
        <f t="shared" si="107"/>
        <v>14.0375</v>
      </c>
      <c r="W258" s="519">
        <f t="shared" si="108"/>
        <v>16.844999999999999</v>
      </c>
      <c r="X258" s="519"/>
      <c r="Y258" s="519"/>
      <c r="Z258" s="519"/>
    </row>
    <row r="259" spans="1:26" s="512" customFormat="1" ht="30">
      <c r="A259" s="338" t="s">
        <v>8189</v>
      </c>
      <c r="B259" s="576" t="s">
        <v>5256</v>
      </c>
      <c r="C259" s="576" t="s">
        <v>7063</v>
      </c>
      <c r="D259" s="336" t="s">
        <v>7059</v>
      </c>
      <c r="E259" s="341">
        <v>55</v>
      </c>
      <c r="F259" s="342" t="s">
        <v>6337</v>
      </c>
      <c r="G259" s="352">
        <v>6.8999999999999995</v>
      </c>
      <c r="H259" s="339">
        <f t="shared" si="98"/>
        <v>1.86</v>
      </c>
      <c r="I259" s="339">
        <f t="shared" si="99"/>
        <v>8.76</v>
      </c>
      <c r="J259" s="431">
        <f t="shared" si="100"/>
        <v>481.8</v>
      </c>
      <c r="K259" s="510">
        <f t="shared" si="101"/>
        <v>379.5</v>
      </c>
      <c r="L259" s="510">
        <f t="shared" si="102"/>
        <v>102.3</v>
      </c>
      <c r="M259" s="519"/>
      <c r="N259" s="519"/>
      <c r="O259" s="519"/>
      <c r="P259" s="519">
        <f t="shared" si="103"/>
        <v>24.090000000000003</v>
      </c>
      <c r="Q259" s="519"/>
      <c r="R259" s="519"/>
      <c r="S259" s="519">
        <f t="shared" si="104"/>
        <v>48.180000000000007</v>
      </c>
      <c r="T259" s="519">
        <f t="shared" si="105"/>
        <v>48.180000000000007</v>
      </c>
      <c r="U259" s="519">
        <f t="shared" si="106"/>
        <v>96.360000000000014</v>
      </c>
      <c r="V259" s="519">
        <f t="shared" si="107"/>
        <v>120.45</v>
      </c>
      <c r="W259" s="519">
        <f t="shared" si="108"/>
        <v>144.54</v>
      </c>
      <c r="X259" s="519"/>
      <c r="Y259" s="519"/>
      <c r="Z259" s="519"/>
    </row>
    <row r="260" spans="1:26" s="512" customFormat="1" ht="30">
      <c r="A260" s="338" t="s">
        <v>8190</v>
      </c>
      <c r="B260" s="576" t="s">
        <v>5256</v>
      </c>
      <c r="C260" s="576" t="s">
        <v>7064</v>
      </c>
      <c r="D260" s="336" t="s">
        <v>7060</v>
      </c>
      <c r="E260" s="341">
        <v>10</v>
      </c>
      <c r="F260" s="342" t="s">
        <v>6337</v>
      </c>
      <c r="G260" s="352">
        <v>12.25</v>
      </c>
      <c r="H260" s="339">
        <f t="shared" ref="H260:H282" si="109">ROUND(G260*$B$13,2)</f>
        <v>3.3</v>
      </c>
      <c r="I260" s="339">
        <f t="shared" ref="I260:I282" si="110">H260+G260</f>
        <v>15.55</v>
      </c>
      <c r="J260" s="431">
        <f t="shared" ref="J260:J282" si="111">ROUND(I260*E260,2)</f>
        <v>155.5</v>
      </c>
      <c r="K260" s="510">
        <f t="shared" si="101"/>
        <v>122.5</v>
      </c>
      <c r="L260" s="510">
        <f t="shared" si="102"/>
        <v>33</v>
      </c>
      <c r="M260" s="519"/>
      <c r="N260" s="519"/>
      <c r="O260" s="519"/>
      <c r="P260" s="519">
        <f t="shared" si="103"/>
        <v>7.7750000000000004</v>
      </c>
      <c r="Q260" s="519"/>
      <c r="R260" s="519"/>
      <c r="S260" s="519">
        <f t="shared" si="104"/>
        <v>15.55</v>
      </c>
      <c r="T260" s="519">
        <f t="shared" si="105"/>
        <v>15.55</v>
      </c>
      <c r="U260" s="519">
        <f t="shared" si="106"/>
        <v>31.1</v>
      </c>
      <c r="V260" s="519">
        <f t="shared" si="107"/>
        <v>38.875</v>
      </c>
      <c r="W260" s="519">
        <f t="shared" si="108"/>
        <v>46.65</v>
      </c>
      <c r="X260" s="519"/>
      <c r="Y260" s="519"/>
      <c r="Z260" s="519"/>
    </row>
    <row r="261" spans="1:26" s="512" customFormat="1" ht="30">
      <c r="A261" s="338" t="s">
        <v>8191</v>
      </c>
      <c r="B261" s="576" t="s">
        <v>5256</v>
      </c>
      <c r="C261" s="576" t="s">
        <v>7065</v>
      </c>
      <c r="D261" s="336" t="s">
        <v>7061</v>
      </c>
      <c r="E261" s="341">
        <v>52</v>
      </c>
      <c r="F261" s="342" t="s">
        <v>6337</v>
      </c>
      <c r="G261" s="352">
        <v>12.290000000000001</v>
      </c>
      <c r="H261" s="339">
        <f t="shared" si="109"/>
        <v>3.31</v>
      </c>
      <c r="I261" s="339">
        <f t="shared" si="110"/>
        <v>15.600000000000001</v>
      </c>
      <c r="J261" s="431">
        <f t="shared" si="111"/>
        <v>811.2</v>
      </c>
      <c r="K261" s="510">
        <f t="shared" si="101"/>
        <v>639.08000000000004</v>
      </c>
      <c r="L261" s="510">
        <f t="shared" si="102"/>
        <v>172.12</v>
      </c>
      <c r="M261" s="519"/>
      <c r="N261" s="519"/>
      <c r="O261" s="519"/>
      <c r="P261" s="519">
        <f t="shared" si="103"/>
        <v>40.56</v>
      </c>
      <c r="Q261" s="519"/>
      <c r="R261" s="519"/>
      <c r="S261" s="519">
        <f t="shared" si="104"/>
        <v>81.12</v>
      </c>
      <c r="T261" s="519">
        <f t="shared" si="105"/>
        <v>81.12</v>
      </c>
      <c r="U261" s="519">
        <f t="shared" si="106"/>
        <v>162.24</v>
      </c>
      <c r="V261" s="519">
        <f t="shared" si="107"/>
        <v>202.8</v>
      </c>
      <c r="W261" s="519">
        <f t="shared" si="108"/>
        <v>243.36</v>
      </c>
      <c r="X261" s="519"/>
      <c r="Y261" s="519"/>
      <c r="Z261" s="519"/>
    </row>
    <row r="262" spans="1:26" s="512" customFormat="1" ht="30">
      <c r="A262" s="338" t="s">
        <v>15399</v>
      </c>
      <c r="B262" s="576" t="s">
        <v>5256</v>
      </c>
      <c r="C262" s="576" t="s">
        <v>7066</v>
      </c>
      <c r="D262" s="336" t="s">
        <v>7062</v>
      </c>
      <c r="E262" s="341">
        <v>16</v>
      </c>
      <c r="F262" s="342" t="s">
        <v>6337</v>
      </c>
      <c r="G262" s="352">
        <v>8.01</v>
      </c>
      <c r="H262" s="339">
        <f t="shared" si="109"/>
        <v>2.16</v>
      </c>
      <c r="I262" s="339">
        <f t="shared" si="110"/>
        <v>10.17</v>
      </c>
      <c r="J262" s="431">
        <f t="shared" si="111"/>
        <v>162.72</v>
      </c>
      <c r="K262" s="510">
        <f t="shared" si="101"/>
        <v>128.16</v>
      </c>
      <c r="L262" s="510">
        <f t="shared" si="102"/>
        <v>34.56</v>
      </c>
      <c r="M262" s="519"/>
      <c r="N262" s="519"/>
      <c r="O262" s="519"/>
      <c r="P262" s="519">
        <f t="shared" si="103"/>
        <v>8.136000000000001</v>
      </c>
      <c r="Q262" s="519"/>
      <c r="R262" s="519"/>
      <c r="S262" s="519">
        <f t="shared" si="104"/>
        <v>16.272000000000002</v>
      </c>
      <c r="T262" s="519">
        <f t="shared" si="105"/>
        <v>16.272000000000002</v>
      </c>
      <c r="U262" s="519">
        <f t="shared" si="106"/>
        <v>32.544000000000004</v>
      </c>
      <c r="V262" s="519">
        <f t="shared" si="107"/>
        <v>40.68</v>
      </c>
      <c r="W262" s="519">
        <f t="shared" si="108"/>
        <v>48.815999999999995</v>
      </c>
      <c r="X262" s="519"/>
      <c r="Y262" s="519"/>
      <c r="Z262" s="519"/>
    </row>
    <row r="263" spans="1:26" s="512" customFormat="1" ht="30">
      <c r="A263" s="338" t="s">
        <v>8192</v>
      </c>
      <c r="B263" s="576" t="s">
        <v>5256</v>
      </c>
      <c r="C263" s="576">
        <v>89380</v>
      </c>
      <c r="D263" s="336" t="s">
        <v>7067</v>
      </c>
      <c r="E263" s="341">
        <v>20</v>
      </c>
      <c r="F263" s="342" t="s">
        <v>6337</v>
      </c>
      <c r="G263" s="352">
        <v>5.48</v>
      </c>
      <c r="H263" s="339">
        <f t="shared" si="109"/>
        <v>1.48</v>
      </c>
      <c r="I263" s="339">
        <f t="shared" si="110"/>
        <v>6.9600000000000009</v>
      </c>
      <c r="J263" s="431">
        <f t="shared" si="111"/>
        <v>139.19999999999999</v>
      </c>
      <c r="K263" s="510">
        <f t="shared" si="101"/>
        <v>109.6</v>
      </c>
      <c r="L263" s="510">
        <f t="shared" si="102"/>
        <v>29.6</v>
      </c>
      <c r="M263" s="519"/>
      <c r="N263" s="519"/>
      <c r="O263" s="519"/>
      <c r="P263" s="519">
        <f t="shared" si="103"/>
        <v>6.96</v>
      </c>
      <c r="Q263" s="519"/>
      <c r="R263" s="519"/>
      <c r="S263" s="519">
        <f t="shared" si="104"/>
        <v>13.92</v>
      </c>
      <c r="T263" s="519">
        <f t="shared" si="105"/>
        <v>13.92</v>
      </c>
      <c r="U263" s="519">
        <f t="shared" si="106"/>
        <v>27.84</v>
      </c>
      <c r="V263" s="519">
        <f t="shared" si="107"/>
        <v>34.799999999999997</v>
      </c>
      <c r="W263" s="519">
        <f t="shared" si="108"/>
        <v>41.76</v>
      </c>
      <c r="X263" s="519"/>
      <c r="Y263" s="519"/>
      <c r="Z263" s="519"/>
    </row>
    <row r="264" spans="1:26" s="512" customFormat="1" ht="30">
      <c r="A264" s="338" t="s">
        <v>8193</v>
      </c>
      <c r="B264" s="576" t="s">
        <v>5256</v>
      </c>
      <c r="C264" s="576">
        <v>89562</v>
      </c>
      <c r="D264" s="336" t="s">
        <v>7850</v>
      </c>
      <c r="E264" s="341">
        <v>7</v>
      </c>
      <c r="F264" s="342" t="s">
        <v>6337</v>
      </c>
      <c r="G264" s="352">
        <v>5.22</v>
      </c>
      <c r="H264" s="339">
        <f t="shared" si="109"/>
        <v>1.41</v>
      </c>
      <c r="I264" s="339">
        <f t="shared" si="110"/>
        <v>6.63</v>
      </c>
      <c r="J264" s="431">
        <f t="shared" si="111"/>
        <v>46.41</v>
      </c>
      <c r="K264" s="510">
        <f t="shared" si="101"/>
        <v>36.54</v>
      </c>
      <c r="L264" s="510">
        <f t="shared" si="102"/>
        <v>9.8699999999999992</v>
      </c>
      <c r="M264" s="519"/>
      <c r="N264" s="519"/>
      <c r="O264" s="519"/>
      <c r="P264" s="519">
        <f t="shared" si="103"/>
        <v>2.3205</v>
      </c>
      <c r="Q264" s="519"/>
      <c r="R264" s="519"/>
      <c r="S264" s="519">
        <f t="shared" si="104"/>
        <v>4.641</v>
      </c>
      <c r="T264" s="519">
        <f t="shared" si="105"/>
        <v>4.641</v>
      </c>
      <c r="U264" s="519">
        <f t="shared" si="106"/>
        <v>9.282</v>
      </c>
      <c r="V264" s="519">
        <f t="shared" si="107"/>
        <v>11.602499999999999</v>
      </c>
      <c r="W264" s="519">
        <f t="shared" si="108"/>
        <v>13.922999999999998</v>
      </c>
      <c r="X264" s="519"/>
      <c r="Y264" s="519"/>
      <c r="Z264" s="519"/>
    </row>
    <row r="265" spans="1:26" s="512" customFormat="1" ht="30">
      <c r="A265" s="338" t="s">
        <v>8194</v>
      </c>
      <c r="B265" s="576" t="s">
        <v>5256</v>
      </c>
      <c r="C265" s="576">
        <v>89579</v>
      </c>
      <c r="D265" s="336" t="s">
        <v>7068</v>
      </c>
      <c r="E265" s="341">
        <v>1</v>
      </c>
      <c r="F265" s="342" t="s">
        <v>6337</v>
      </c>
      <c r="G265" s="352">
        <v>6.38</v>
      </c>
      <c r="H265" s="339">
        <f t="shared" si="109"/>
        <v>1.72</v>
      </c>
      <c r="I265" s="339">
        <f t="shared" si="110"/>
        <v>8.1</v>
      </c>
      <c r="J265" s="431">
        <f t="shared" si="111"/>
        <v>8.1</v>
      </c>
      <c r="K265" s="510">
        <f t="shared" si="101"/>
        <v>6.38</v>
      </c>
      <c r="L265" s="510">
        <f t="shared" si="102"/>
        <v>1.72</v>
      </c>
      <c r="M265" s="519"/>
      <c r="N265" s="519"/>
      <c r="O265" s="519"/>
      <c r="P265" s="519">
        <f t="shared" si="103"/>
        <v>0.40500000000000003</v>
      </c>
      <c r="Q265" s="519"/>
      <c r="R265" s="519"/>
      <c r="S265" s="519">
        <f t="shared" si="104"/>
        <v>0.81</v>
      </c>
      <c r="T265" s="519">
        <f t="shared" si="105"/>
        <v>0.81</v>
      </c>
      <c r="U265" s="519">
        <f t="shared" si="106"/>
        <v>1.62</v>
      </c>
      <c r="V265" s="519">
        <f t="shared" si="107"/>
        <v>2.0249999999999999</v>
      </c>
      <c r="W265" s="519">
        <f t="shared" si="108"/>
        <v>2.4299999999999997</v>
      </c>
      <c r="X265" s="519"/>
      <c r="Y265" s="519"/>
      <c r="Z265" s="519"/>
    </row>
    <row r="266" spans="1:26" s="512" customFormat="1" ht="30">
      <c r="A266" s="338" t="s">
        <v>8195</v>
      </c>
      <c r="B266" s="576" t="s">
        <v>5256</v>
      </c>
      <c r="C266" s="576" t="s">
        <v>7074</v>
      </c>
      <c r="D266" s="336" t="s">
        <v>7069</v>
      </c>
      <c r="E266" s="341">
        <v>3</v>
      </c>
      <c r="F266" s="342" t="s">
        <v>6337</v>
      </c>
      <c r="G266" s="352">
        <v>6.4799999999999995</v>
      </c>
      <c r="H266" s="339">
        <f t="shared" si="109"/>
        <v>1.75</v>
      </c>
      <c r="I266" s="339">
        <f t="shared" si="110"/>
        <v>8.23</v>
      </c>
      <c r="J266" s="431">
        <f t="shared" si="111"/>
        <v>24.69</v>
      </c>
      <c r="K266" s="510">
        <f t="shared" si="101"/>
        <v>19.440000000000001</v>
      </c>
      <c r="L266" s="510">
        <f t="shared" si="102"/>
        <v>5.25</v>
      </c>
      <c r="M266" s="519"/>
      <c r="N266" s="519"/>
      <c r="O266" s="519"/>
      <c r="P266" s="519">
        <f t="shared" si="103"/>
        <v>1.2345000000000002</v>
      </c>
      <c r="Q266" s="519"/>
      <c r="R266" s="519"/>
      <c r="S266" s="519">
        <f t="shared" si="104"/>
        <v>2.4690000000000003</v>
      </c>
      <c r="T266" s="519">
        <f t="shared" si="105"/>
        <v>2.4690000000000003</v>
      </c>
      <c r="U266" s="519">
        <f t="shared" si="106"/>
        <v>4.9380000000000006</v>
      </c>
      <c r="V266" s="519">
        <f t="shared" si="107"/>
        <v>6.1725000000000003</v>
      </c>
      <c r="W266" s="519">
        <f t="shared" si="108"/>
        <v>7.407</v>
      </c>
      <c r="X266" s="519"/>
      <c r="Y266" s="519"/>
      <c r="Z266" s="519"/>
    </row>
    <row r="267" spans="1:26" s="512" customFormat="1" ht="30">
      <c r="A267" s="338" t="s">
        <v>8196</v>
      </c>
      <c r="B267" s="576" t="s">
        <v>5256</v>
      </c>
      <c r="C267" s="576">
        <v>89385</v>
      </c>
      <c r="D267" s="336" t="s">
        <v>7070</v>
      </c>
      <c r="E267" s="341">
        <v>7</v>
      </c>
      <c r="F267" s="342" t="s">
        <v>6337</v>
      </c>
      <c r="G267" s="352">
        <v>4.33</v>
      </c>
      <c r="H267" s="339">
        <f t="shared" si="109"/>
        <v>1.17</v>
      </c>
      <c r="I267" s="339">
        <f t="shared" si="110"/>
        <v>5.5</v>
      </c>
      <c r="J267" s="431">
        <f t="shared" si="111"/>
        <v>38.5</v>
      </c>
      <c r="K267" s="510">
        <f t="shared" si="101"/>
        <v>30.31</v>
      </c>
      <c r="L267" s="510">
        <f t="shared" si="102"/>
        <v>8.19</v>
      </c>
      <c r="M267" s="519"/>
      <c r="N267" s="519"/>
      <c r="O267" s="519"/>
      <c r="P267" s="519">
        <f t="shared" si="103"/>
        <v>1.925</v>
      </c>
      <c r="Q267" s="519"/>
      <c r="R267" s="519"/>
      <c r="S267" s="519">
        <f t="shared" si="104"/>
        <v>3.85</v>
      </c>
      <c r="T267" s="519">
        <f t="shared" si="105"/>
        <v>3.85</v>
      </c>
      <c r="U267" s="519">
        <f t="shared" si="106"/>
        <v>7.7</v>
      </c>
      <c r="V267" s="519">
        <f t="shared" si="107"/>
        <v>9.625</v>
      </c>
      <c r="W267" s="519">
        <f t="shared" si="108"/>
        <v>11.549999999999999</v>
      </c>
      <c r="X267" s="519"/>
      <c r="Y267" s="519"/>
      <c r="Z267" s="519"/>
    </row>
    <row r="268" spans="1:26" s="512" customFormat="1" ht="30">
      <c r="A268" s="338" t="s">
        <v>8197</v>
      </c>
      <c r="B268" s="576" t="s">
        <v>5256</v>
      </c>
      <c r="C268" s="576">
        <v>89611</v>
      </c>
      <c r="D268" s="336" t="s">
        <v>7072</v>
      </c>
      <c r="E268" s="341">
        <v>2</v>
      </c>
      <c r="F268" s="342" t="s">
        <v>6337</v>
      </c>
      <c r="G268" s="352">
        <v>18.440000000000001</v>
      </c>
      <c r="H268" s="339">
        <f t="shared" si="109"/>
        <v>4.97</v>
      </c>
      <c r="I268" s="339">
        <f t="shared" si="110"/>
        <v>23.41</v>
      </c>
      <c r="J268" s="431">
        <f t="shared" si="111"/>
        <v>46.82</v>
      </c>
      <c r="K268" s="510">
        <f t="shared" si="101"/>
        <v>36.880000000000003</v>
      </c>
      <c r="L268" s="510">
        <f t="shared" si="102"/>
        <v>9.94</v>
      </c>
      <c r="M268" s="519"/>
      <c r="N268" s="519"/>
      <c r="O268" s="519"/>
      <c r="P268" s="519">
        <f t="shared" si="103"/>
        <v>2.3410000000000002</v>
      </c>
      <c r="Q268" s="519"/>
      <c r="R268" s="519"/>
      <c r="S268" s="519">
        <f t="shared" si="104"/>
        <v>4.6820000000000004</v>
      </c>
      <c r="T268" s="519">
        <f t="shared" si="105"/>
        <v>4.6820000000000004</v>
      </c>
      <c r="U268" s="519">
        <f t="shared" si="106"/>
        <v>9.3640000000000008</v>
      </c>
      <c r="V268" s="519">
        <f t="shared" si="107"/>
        <v>11.705</v>
      </c>
      <c r="W268" s="519">
        <f t="shared" si="108"/>
        <v>14.045999999999999</v>
      </c>
      <c r="X268" s="519"/>
      <c r="Y268" s="519"/>
      <c r="Z268" s="519"/>
    </row>
    <row r="269" spans="1:26" s="512" customFormat="1" ht="30">
      <c r="A269" s="338" t="s">
        <v>8198</v>
      </c>
      <c r="B269" s="576" t="s">
        <v>5256</v>
      </c>
      <c r="C269" s="576">
        <v>89575</v>
      </c>
      <c r="D269" s="336" t="s">
        <v>7073</v>
      </c>
      <c r="E269" s="341">
        <v>5</v>
      </c>
      <c r="F269" s="342" t="s">
        <v>6337</v>
      </c>
      <c r="G269" s="352">
        <v>6.24</v>
      </c>
      <c r="H269" s="339">
        <f t="shared" si="109"/>
        <v>1.68</v>
      </c>
      <c r="I269" s="339">
        <f t="shared" si="110"/>
        <v>7.92</v>
      </c>
      <c r="J269" s="431">
        <f t="shared" si="111"/>
        <v>39.6</v>
      </c>
      <c r="K269" s="510">
        <f t="shared" si="101"/>
        <v>31.2</v>
      </c>
      <c r="L269" s="510">
        <f t="shared" si="102"/>
        <v>8.4</v>
      </c>
      <c r="M269" s="519"/>
      <c r="N269" s="519"/>
      <c r="O269" s="519"/>
      <c r="P269" s="519">
        <f t="shared" si="103"/>
        <v>1.9800000000000002</v>
      </c>
      <c r="Q269" s="519"/>
      <c r="R269" s="519"/>
      <c r="S269" s="519">
        <f t="shared" si="104"/>
        <v>3.9600000000000004</v>
      </c>
      <c r="T269" s="519">
        <f t="shared" si="105"/>
        <v>3.9600000000000004</v>
      </c>
      <c r="U269" s="519">
        <f t="shared" si="106"/>
        <v>7.9200000000000008</v>
      </c>
      <c r="V269" s="519">
        <f t="shared" si="107"/>
        <v>9.9</v>
      </c>
      <c r="W269" s="519">
        <f t="shared" si="108"/>
        <v>11.88</v>
      </c>
      <c r="X269" s="519"/>
      <c r="Y269" s="519"/>
      <c r="Z269" s="519"/>
    </row>
    <row r="270" spans="1:26" s="512" customFormat="1" ht="30">
      <c r="A270" s="338" t="s">
        <v>8199</v>
      </c>
      <c r="B270" s="576" t="s">
        <v>5256</v>
      </c>
      <c r="C270" s="576">
        <v>89395</v>
      </c>
      <c r="D270" s="336" t="s">
        <v>7075</v>
      </c>
      <c r="E270" s="341">
        <v>111</v>
      </c>
      <c r="F270" s="342" t="s">
        <v>6337</v>
      </c>
      <c r="G270" s="352">
        <v>7.22</v>
      </c>
      <c r="H270" s="339">
        <f t="shared" si="109"/>
        <v>1.94</v>
      </c>
      <c r="I270" s="339">
        <f t="shared" si="110"/>
        <v>9.16</v>
      </c>
      <c r="J270" s="431">
        <f t="shared" si="111"/>
        <v>1016.76</v>
      </c>
      <c r="K270" s="510">
        <f t="shared" si="101"/>
        <v>801.42</v>
      </c>
      <c r="L270" s="510">
        <f t="shared" si="102"/>
        <v>215.34</v>
      </c>
      <c r="M270" s="519"/>
      <c r="N270" s="519"/>
      <c r="O270" s="519"/>
      <c r="P270" s="519">
        <f t="shared" si="103"/>
        <v>50.838000000000001</v>
      </c>
      <c r="Q270" s="519"/>
      <c r="R270" s="519"/>
      <c r="S270" s="519">
        <f t="shared" si="104"/>
        <v>101.676</v>
      </c>
      <c r="T270" s="519">
        <f t="shared" si="105"/>
        <v>101.676</v>
      </c>
      <c r="U270" s="519">
        <f t="shared" si="106"/>
        <v>203.352</v>
      </c>
      <c r="V270" s="519">
        <f t="shared" si="107"/>
        <v>254.19</v>
      </c>
      <c r="W270" s="519">
        <f t="shared" si="108"/>
        <v>305.02799999999996</v>
      </c>
      <c r="X270" s="519"/>
      <c r="Y270" s="519"/>
      <c r="Z270" s="519"/>
    </row>
    <row r="271" spans="1:26" s="512" customFormat="1" ht="30">
      <c r="A271" s="338" t="s">
        <v>8200</v>
      </c>
      <c r="B271" s="576" t="s">
        <v>5256</v>
      </c>
      <c r="C271" s="576">
        <v>89398</v>
      </c>
      <c r="D271" s="336" t="s">
        <v>7076</v>
      </c>
      <c r="E271" s="341">
        <v>12</v>
      </c>
      <c r="F271" s="342" t="s">
        <v>6337</v>
      </c>
      <c r="G271" s="352">
        <v>10.23</v>
      </c>
      <c r="H271" s="339">
        <f t="shared" si="109"/>
        <v>2.75</v>
      </c>
      <c r="I271" s="339">
        <f t="shared" si="110"/>
        <v>12.98</v>
      </c>
      <c r="J271" s="431">
        <f t="shared" si="111"/>
        <v>155.76</v>
      </c>
      <c r="K271" s="510">
        <f t="shared" si="101"/>
        <v>122.76</v>
      </c>
      <c r="L271" s="510">
        <f t="shared" si="102"/>
        <v>33</v>
      </c>
      <c r="M271" s="519"/>
      <c r="N271" s="519"/>
      <c r="O271" s="519"/>
      <c r="P271" s="519">
        <f t="shared" si="103"/>
        <v>7.7880000000000003</v>
      </c>
      <c r="Q271" s="519"/>
      <c r="R271" s="519"/>
      <c r="S271" s="519">
        <f t="shared" si="104"/>
        <v>15.576000000000001</v>
      </c>
      <c r="T271" s="519">
        <f t="shared" si="105"/>
        <v>15.576000000000001</v>
      </c>
      <c r="U271" s="519">
        <f t="shared" si="106"/>
        <v>31.152000000000001</v>
      </c>
      <c r="V271" s="519">
        <f t="shared" si="107"/>
        <v>38.94</v>
      </c>
      <c r="W271" s="519">
        <f t="shared" si="108"/>
        <v>46.727999999999994</v>
      </c>
      <c r="X271" s="519"/>
      <c r="Y271" s="519"/>
      <c r="Z271" s="519"/>
    </row>
    <row r="272" spans="1:26" s="512" customFormat="1" ht="30">
      <c r="A272" s="338" t="s">
        <v>8201</v>
      </c>
      <c r="B272" s="576" t="s">
        <v>5256</v>
      </c>
      <c r="C272" s="576">
        <v>89623</v>
      </c>
      <c r="D272" s="336" t="s">
        <v>7077</v>
      </c>
      <c r="E272" s="341">
        <v>17</v>
      </c>
      <c r="F272" s="342" t="s">
        <v>6337</v>
      </c>
      <c r="G272" s="352">
        <v>10</v>
      </c>
      <c r="H272" s="339">
        <f t="shared" si="109"/>
        <v>2.69</v>
      </c>
      <c r="I272" s="339">
        <f t="shared" si="110"/>
        <v>12.69</v>
      </c>
      <c r="J272" s="431">
        <f t="shared" si="111"/>
        <v>215.73</v>
      </c>
      <c r="K272" s="510">
        <f t="shared" si="101"/>
        <v>170</v>
      </c>
      <c r="L272" s="510">
        <f t="shared" si="102"/>
        <v>45.73</v>
      </c>
      <c r="M272" s="519"/>
      <c r="N272" s="519"/>
      <c r="O272" s="519"/>
      <c r="P272" s="519">
        <f t="shared" si="103"/>
        <v>10.7865</v>
      </c>
      <c r="Q272" s="519"/>
      <c r="R272" s="519"/>
      <c r="S272" s="519">
        <f t="shared" si="104"/>
        <v>21.573</v>
      </c>
      <c r="T272" s="519">
        <f t="shared" si="105"/>
        <v>21.573</v>
      </c>
      <c r="U272" s="519">
        <f t="shared" si="106"/>
        <v>43.146000000000001</v>
      </c>
      <c r="V272" s="519">
        <f t="shared" si="107"/>
        <v>53.932499999999997</v>
      </c>
      <c r="W272" s="519">
        <f t="shared" si="108"/>
        <v>64.718999999999994</v>
      </c>
      <c r="X272" s="519"/>
      <c r="Y272" s="519"/>
      <c r="Z272" s="519"/>
    </row>
    <row r="273" spans="1:26" s="512" customFormat="1" ht="30">
      <c r="A273" s="338" t="s">
        <v>8202</v>
      </c>
      <c r="B273" s="576" t="s">
        <v>5256</v>
      </c>
      <c r="C273" s="576">
        <v>89625</v>
      </c>
      <c r="D273" s="336" t="s">
        <v>7078</v>
      </c>
      <c r="E273" s="341">
        <v>6</v>
      </c>
      <c r="F273" s="342" t="s">
        <v>6337</v>
      </c>
      <c r="G273" s="352">
        <v>12.12</v>
      </c>
      <c r="H273" s="339">
        <f t="shared" si="109"/>
        <v>3.26</v>
      </c>
      <c r="I273" s="339">
        <f t="shared" si="110"/>
        <v>15.379999999999999</v>
      </c>
      <c r="J273" s="431">
        <f t="shared" si="111"/>
        <v>92.28</v>
      </c>
      <c r="K273" s="510">
        <f t="shared" si="101"/>
        <v>72.72</v>
      </c>
      <c r="L273" s="510">
        <f t="shared" si="102"/>
        <v>19.559999999999999</v>
      </c>
      <c r="M273" s="519"/>
      <c r="N273" s="519"/>
      <c r="O273" s="519"/>
      <c r="P273" s="519">
        <f t="shared" si="103"/>
        <v>4.6139999999999999</v>
      </c>
      <c r="Q273" s="519"/>
      <c r="R273" s="519"/>
      <c r="S273" s="519">
        <f t="shared" si="104"/>
        <v>9.2279999999999998</v>
      </c>
      <c r="T273" s="519">
        <f t="shared" si="105"/>
        <v>9.2279999999999998</v>
      </c>
      <c r="U273" s="519">
        <f t="shared" si="106"/>
        <v>18.456</v>
      </c>
      <c r="V273" s="519">
        <f t="shared" si="107"/>
        <v>23.07</v>
      </c>
      <c r="W273" s="519">
        <f t="shared" si="108"/>
        <v>27.684000000000001</v>
      </c>
      <c r="X273" s="519"/>
      <c r="Y273" s="519"/>
      <c r="Z273" s="519"/>
    </row>
    <row r="274" spans="1:26" s="512" customFormat="1" ht="30">
      <c r="A274" s="338" t="s">
        <v>8203</v>
      </c>
      <c r="B274" s="576" t="s">
        <v>5256</v>
      </c>
      <c r="C274" s="576">
        <v>89628</v>
      </c>
      <c r="D274" s="336" t="s">
        <v>7079</v>
      </c>
      <c r="E274" s="341">
        <v>15</v>
      </c>
      <c r="F274" s="342" t="s">
        <v>6337</v>
      </c>
      <c r="G274" s="352">
        <v>24.98</v>
      </c>
      <c r="H274" s="339">
        <f t="shared" si="109"/>
        <v>6.73</v>
      </c>
      <c r="I274" s="339">
        <f t="shared" si="110"/>
        <v>31.71</v>
      </c>
      <c r="J274" s="431">
        <f t="shared" si="111"/>
        <v>475.65</v>
      </c>
      <c r="K274" s="510">
        <f t="shared" si="101"/>
        <v>374.7</v>
      </c>
      <c r="L274" s="510">
        <f t="shared" si="102"/>
        <v>100.95</v>
      </c>
      <c r="M274" s="519"/>
      <c r="N274" s="519"/>
      <c r="O274" s="519"/>
      <c r="P274" s="519">
        <f t="shared" si="103"/>
        <v>23.782499999999999</v>
      </c>
      <c r="Q274" s="519"/>
      <c r="R274" s="519"/>
      <c r="S274" s="519">
        <f t="shared" si="104"/>
        <v>47.564999999999998</v>
      </c>
      <c r="T274" s="519">
        <f t="shared" si="105"/>
        <v>47.564999999999998</v>
      </c>
      <c r="U274" s="519">
        <f t="shared" si="106"/>
        <v>95.13</v>
      </c>
      <c r="V274" s="519">
        <f t="shared" si="107"/>
        <v>118.91249999999999</v>
      </c>
      <c r="W274" s="519">
        <f t="shared" si="108"/>
        <v>142.69499999999999</v>
      </c>
      <c r="X274" s="519"/>
      <c r="Y274" s="519"/>
      <c r="Z274" s="519"/>
    </row>
    <row r="275" spans="1:26" s="512" customFormat="1" ht="30">
      <c r="A275" s="338" t="s">
        <v>8204</v>
      </c>
      <c r="B275" s="576" t="s">
        <v>5256</v>
      </c>
      <c r="C275" s="576">
        <v>89629</v>
      </c>
      <c r="D275" s="336" t="s">
        <v>7080</v>
      </c>
      <c r="E275" s="341">
        <v>4</v>
      </c>
      <c r="F275" s="342" t="s">
        <v>6337</v>
      </c>
      <c r="G275" s="352">
        <v>45.42</v>
      </c>
      <c r="H275" s="339">
        <f t="shared" si="109"/>
        <v>12.23</v>
      </c>
      <c r="I275" s="339">
        <f t="shared" si="110"/>
        <v>57.650000000000006</v>
      </c>
      <c r="J275" s="431">
        <f t="shared" si="111"/>
        <v>230.6</v>
      </c>
      <c r="K275" s="510">
        <f t="shared" si="101"/>
        <v>181.68</v>
      </c>
      <c r="L275" s="510">
        <f t="shared" si="102"/>
        <v>48.92</v>
      </c>
      <c r="M275" s="519"/>
      <c r="N275" s="519"/>
      <c r="O275" s="519"/>
      <c r="P275" s="519">
        <f t="shared" si="103"/>
        <v>11.530000000000001</v>
      </c>
      <c r="Q275" s="519"/>
      <c r="R275" s="519"/>
      <c r="S275" s="519">
        <f t="shared" si="104"/>
        <v>23.060000000000002</v>
      </c>
      <c r="T275" s="519">
        <f t="shared" si="105"/>
        <v>23.060000000000002</v>
      </c>
      <c r="U275" s="519">
        <f t="shared" si="106"/>
        <v>46.120000000000005</v>
      </c>
      <c r="V275" s="519">
        <f t="shared" si="107"/>
        <v>57.65</v>
      </c>
      <c r="W275" s="519">
        <f t="shared" si="108"/>
        <v>69.179999999999993</v>
      </c>
      <c r="X275" s="519"/>
      <c r="Y275" s="519"/>
      <c r="Z275" s="519"/>
    </row>
    <row r="276" spans="1:26" s="512" customFormat="1" ht="30">
      <c r="A276" s="338" t="s">
        <v>8205</v>
      </c>
      <c r="B276" s="576" t="s">
        <v>5256</v>
      </c>
      <c r="C276" s="576">
        <v>89622</v>
      </c>
      <c r="D276" s="336" t="s">
        <v>7081</v>
      </c>
      <c r="E276" s="341">
        <v>21</v>
      </c>
      <c r="F276" s="342" t="s">
        <v>6337</v>
      </c>
      <c r="G276" s="352">
        <v>7.44</v>
      </c>
      <c r="H276" s="339">
        <f t="shared" si="109"/>
        <v>2</v>
      </c>
      <c r="I276" s="339">
        <f t="shared" si="110"/>
        <v>9.4400000000000013</v>
      </c>
      <c r="J276" s="431">
        <f t="shared" si="111"/>
        <v>198.24</v>
      </c>
      <c r="K276" s="510">
        <f t="shared" si="101"/>
        <v>156.24</v>
      </c>
      <c r="L276" s="510">
        <f t="shared" si="102"/>
        <v>42</v>
      </c>
      <c r="M276" s="519"/>
      <c r="N276" s="519"/>
      <c r="O276" s="519"/>
      <c r="P276" s="519">
        <f t="shared" si="103"/>
        <v>9.9120000000000008</v>
      </c>
      <c r="Q276" s="519"/>
      <c r="R276" s="519"/>
      <c r="S276" s="519">
        <f t="shared" si="104"/>
        <v>19.824000000000002</v>
      </c>
      <c r="T276" s="519">
        <f t="shared" si="105"/>
        <v>19.824000000000002</v>
      </c>
      <c r="U276" s="519">
        <f t="shared" si="106"/>
        <v>39.648000000000003</v>
      </c>
      <c r="V276" s="519">
        <f t="shared" si="107"/>
        <v>49.56</v>
      </c>
      <c r="W276" s="519">
        <f t="shared" si="108"/>
        <v>59.472000000000001</v>
      </c>
      <c r="X276" s="519"/>
      <c r="Y276" s="519"/>
      <c r="Z276" s="519"/>
    </row>
    <row r="277" spans="1:26" s="512" customFormat="1" ht="30">
      <c r="A277" s="338" t="s">
        <v>8206</v>
      </c>
      <c r="B277" s="576" t="s">
        <v>5256</v>
      </c>
      <c r="C277" s="576">
        <v>89624</v>
      </c>
      <c r="D277" s="336" t="s">
        <v>7082</v>
      </c>
      <c r="E277" s="341">
        <v>7</v>
      </c>
      <c r="F277" s="342" t="s">
        <v>6337</v>
      </c>
      <c r="G277" s="352">
        <v>10.56</v>
      </c>
      <c r="H277" s="339">
        <f t="shared" si="109"/>
        <v>2.84</v>
      </c>
      <c r="I277" s="339">
        <f t="shared" si="110"/>
        <v>13.4</v>
      </c>
      <c r="J277" s="431">
        <f t="shared" si="111"/>
        <v>93.8</v>
      </c>
      <c r="K277" s="510">
        <f t="shared" si="101"/>
        <v>73.92</v>
      </c>
      <c r="L277" s="510">
        <f t="shared" si="102"/>
        <v>19.88</v>
      </c>
      <c r="M277" s="519"/>
      <c r="N277" s="519"/>
      <c r="O277" s="519"/>
      <c r="P277" s="519">
        <f t="shared" si="103"/>
        <v>4.6900000000000004</v>
      </c>
      <c r="Q277" s="519"/>
      <c r="R277" s="519"/>
      <c r="S277" s="519">
        <f t="shared" si="104"/>
        <v>9.3800000000000008</v>
      </c>
      <c r="T277" s="519">
        <f t="shared" si="105"/>
        <v>9.3800000000000008</v>
      </c>
      <c r="U277" s="519">
        <f t="shared" si="106"/>
        <v>18.760000000000002</v>
      </c>
      <c r="V277" s="519">
        <f t="shared" si="107"/>
        <v>23.45</v>
      </c>
      <c r="W277" s="519">
        <f t="shared" si="108"/>
        <v>28.139999999999997</v>
      </c>
      <c r="X277" s="519"/>
      <c r="Y277" s="519"/>
      <c r="Z277" s="519"/>
    </row>
    <row r="278" spans="1:26" s="512" customFormat="1" ht="30">
      <c r="A278" s="338" t="s">
        <v>8207</v>
      </c>
      <c r="B278" s="576" t="s">
        <v>5256</v>
      </c>
      <c r="C278" s="576">
        <v>94698</v>
      </c>
      <c r="D278" s="336" t="s">
        <v>7083</v>
      </c>
      <c r="E278" s="341">
        <v>1</v>
      </c>
      <c r="F278" s="342" t="s">
        <v>6337</v>
      </c>
      <c r="G278" s="352">
        <v>43.8</v>
      </c>
      <c r="H278" s="339">
        <f t="shared" si="109"/>
        <v>11.8</v>
      </c>
      <c r="I278" s="339">
        <f t="shared" si="110"/>
        <v>55.599999999999994</v>
      </c>
      <c r="J278" s="431">
        <f t="shared" si="111"/>
        <v>55.6</v>
      </c>
      <c r="K278" s="510">
        <f t="shared" si="101"/>
        <v>43.8</v>
      </c>
      <c r="L278" s="510">
        <f t="shared" si="102"/>
        <v>11.8</v>
      </c>
      <c r="M278" s="519"/>
      <c r="N278" s="519"/>
      <c r="O278" s="519"/>
      <c r="P278" s="519">
        <f t="shared" si="103"/>
        <v>2.7800000000000002</v>
      </c>
      <c r="Q278" s="519"/>
      <c r="R278" s="519"/>
      <c r="S278" s="519">
        <f t="shared" si="104"/>
        <v>5.5600000000000005</v>
      </c>
      <c r="T278" s="519">
        <f t="shared" si="105"/>
        <v>5.5600000000000005</v>
      </c>
      <c r="U278" s="519">
        <f t="shared" si="106"/>
        <v>11.120000000000001</v>
      </c>
      <c r="V278" s="519">
        <f t="shared" si="107"/>
        <v>13.9</v>
      </c>
      <c r="W278" s="519">
        <f t="shared" si="108"/>
        <v>16.68</v>
      </c>
      <c r="X278" s="519"/>
      <c r="Y278" s="519"/>
      <c r="Z278" s="519"/>
    </row>
    <row r="279" spans="1:26" s="512" customFormat="1" ht="45">
      <c r="A279" s="338" t="s">
        <v>8208</v>
      </c>
      <c r="B279" s="576" t="s">
        <v>5256</v>
      </c>
      <c r="C279" s="576">
        <v>89396</v>
      </c>
      <c r="D279" s="336" t="s">
        <v>7084</v>
      </c>
      <c r="E279" s="341">
        <v>26</v>
      </c>
      <c r="F279" s="342" t="s">
        <v>6337</v>
      </c>
      <c r="G279" s="352">
        <v>11.47</v>
      </c>
      <c r="H279" s="339">
        <f t="shared" si="109"/>
        <v>3.09</v>
      </c>
      <c r="I279" s="339">
        <f t="shared" si="110"/>
        <v>14.56</v>
      </c>
      <c r="J279" s="431">
        <f t="shared" si="111"/>
        <v>378.56</v>
      </c>
      <c r="K279" s="510">
        <f t="shared" si="101"/>
        <v>298.22000000000003</v>
      </c>
      <c r="L279" s="510">
        <f t="shared" si="102"/>
        <v>80.34</v>
      </c>
      <c r="M279" s="519"/>
      <c r="N279" s="519"/>
      <c r="O279" s="519"/>
      <c r="P279" s="519">
        <f t="shared" si="103"/>
        <v>18.928000000000001</v>
      </c>
      <c r="Q279" s="519"/>
      <c r="R279" s="519"/>
      <c r="S279" s="519">
        <f t="shared" si="104"/>
        <v>37.856000000000002</v>
      </c>
      <c r="T279" s="519">
        <f t="shared" si="105"/>
        <v>37.856000000000002</v>
      </c>
      <c r="U279" s="519">
        <f t="shared" si="106"/>
        <v>75.712000000000003</v>
      </c>
      <c r="V279" s="519">
        <f t="shared" si="107"/>
        <v>94.64</v>
      </c>
      <c r="W279" s="519">
        <f t="shared" si="108"/>
        <v>113.568</v>
      </c>
      <c r="X279" s="519"/>
      <c r="Y279" s="519"/>
      <c r="Z279" s="519"/>
    </row>
    <row r="280" spans="1:26" s="512" customFormat="1" ht="30">
      <c r="A280" s="338" t="s">
        <v>8209</v>
      </c>
      <c r="B280" s="576" t="s">
        <v>5256</v>
      </c>
      <c r="C280" s="576">
        <v>89394</v>
      </c>
      <c r="D280" s="336" t="s">
        <v>7851</v>
      </c>
      <c r="E280" s="341">
        <v>1</v>
      </c>
      <c r="F280" s="342" t="s">
        <v>6337</v>
      </c>
      <c r="G280" s="352">
        <v>11.02</v>
      </c>
      <c r="H280" s="339">
        <f t="shared" si="109"/>
        <v>2.97</v>
      </c>
      <c r="I280" s="339">
        <f t="shared" si="110"/>
        <v>13.99</v>
      </c>
      <c r="J280" s="431">
        <f t="shared" si="111"/>
        <v>13.99</v>
      </c>
      <c r="K280" s="510">
        <f t="shared" si="101"/>
        <v>11.02</v>
      </c>
      <c r="L280" s="510">
        <f t="shared" si="102"/>
        <v>2.97</v>
      </c>
      <c r="M280" s="519"/>
      <c r="N280" s="519"/>
      <c r="O280" s="519"/>
      <c r="P280" s="519">
        <f t="shared" si="103"/>
        <v>0.69950000000000001</v>
      </c>
      <c r="Q280" s="519"/>
      <c r="R280" s="519"/>
      <c r="S280" s="519">
        <f t="shared" si="104"/>
        <v>1.399</v>
      </c>
      <c r="T280" s="519">
        <f t="shared" si="105"/>
        <v>1.399</v>
      </c>
      <c r="U280" s="519">
        <f t="shared" si="106"/>
        <v>2.798</v>
      </c>
      <c r="V280" s="519">
        <f t="shared" si="107"/>
        <v>3.4975000000000001</v>
      </c>
      <c r="W280" s="519">
        <f t="shared" si="108"/>
        <v>4.1970000000000001</v>
      </c>
      <c r="X280" s="519"/>
      <c r="Y280" s="519"/>
      <c r="Z280" s="519"/>
    </row>
    <row r="281" spans="1:26" s="512" customFormat="1" ht="30">
      <c r="A281" s="338" t="s">
        <v>8210</v>
      </c>
      <c r="B281" s="576" t="s">
        <v>5256</v>
      </c>
      <c r="C281" s="576">
        <v>90374</v>
      </c>
      <c r="D281" s="336" t="s">
        <v>7085</v>
      </c>
      <c r="E281" s="341">
        <v>6</v>
      </c>
      <c r="F281" s="342" t="s">
        <v>6337</v>
      </c>
      <c r="G281" s="352">
        <v>12.71</v>
      </c>
      <c r="H281" s="339">
        <f t="shared" si="109"/>
        <v>3.42</v>
      </c>
      <c r="I281" s="339">
        <f t="shared" si="110"/>
        <v>16.130000000000003</v>
      </c>
      <c r="J281" s="431">
        <f t="shared" si="111"/>
        <v>96.78</v>
      </c>
      <c r="K281" s="510">
        <f t="shared" si="101"/>
        <v>76.260000000000005</v>
      </c>
      <c r="L281" s="510">
        <f t="shared" si="102"/>
        <v>20.52</v>
      </c>
      <c r="M281" s="519"/>
      <c r="N281" s="519"/>
      <c r="O281" s="519"/>
      <c r="P281" s="519">
        <f t="shared" si="103"/>
        <v>4.8390000000000004</v>
      </c>
      <c r="Q281" s="519"/>
      <c r="R281" s="519"/>
      <c r="S281" s="519">
        <f t="shared" si="104"/>
        <v>9.6780000000000008</v>
      </c>
      <c r="T281" s="519">
        <f t="shared" si="105"/>
        <v>9.6780000000000008</v>
      </c>
      <c r="U281" s="519">
        <f t="shared" si="106"/>
        <v>19.356000000000002</v>
      </c>
      <c r="V281" s="519">
        <f t="shared" si="107"/>
        <v>24.195</v>
      </c>
      <c r="W281" s="519">
        <f t="shared" si="108"/>
        <v>29.033999999999999</v>
      </c>
      <c r="X281" s="519"/>
      <c r="Y281" s="519"/>
      <c r="Z281" s="519"/>
    </row>
    <row r="282" spans="1:26" s="512" customFormat="1" ht="30">
      <c r="A282" s="338" t="s">
        <v>7087</v>
      </c>
      <c r="B282" s="576" t="s">
        <v>5256</v>
      </c>
      <c r="C282" s="576">
        <v>89594</v>
      </c>
      <c r="D282" s="336" t="s">
        <v>7086</v>
      </c>
      <c r="E282" s="341">
        <v>1</v>
      </c>
      <c r="F282" s="342" t="s">
        <v>6337</v>
      </c>
      <c r="G282" s="352">
        <v>21</v>
      </c>
      <c r="H282" s="339">
        <f t="shared" si="109"/>
        <v>5.66</v>
      </c>
      <c r="I282" s="339">
        <f t="shared" si="110"/>
        <v>26.66</v>
      </c>
      <c r="J282" s="431">
        <f t="shared" si="111"/>
        <v>26.66</v>
      </c>
      <c r="K282" s="510">
        <f t="shared" si="101"/>
        <v>21</v>
      </c>
      <c r="L282" s="510">
        <f t="shared" si="102"/>
        <v>5.66</v>
      </c>
      <c r="M282" s="519"/>
      <c r="N282" s="519"/>
      <c r="O282" s="519"/>
      <c r="P282" s="519">
        <f t="shared" si="103"/>
        <v>1.3330000000000002</v>
      </c>
      <c r="Q282" s="519"/>
      <c r="R282" s="519"/>
      <c r="S282" s="519">
        <f t="shared" si="104"/>
        <v>2.6660000000000004</v>
      </c>
      <c r="T282" s="519">
        <f t="shared" si="105"/>
        <v>2.6660000000000004</v>
      </c>
      <c r="U282" s="519">
        <f t="shared" si="106"/>
        <v>5.3320000000000007</v>
      </c>
      <c r="V282" s="519">
        <f t="shared" si="107"/>
        <v>6.665</v>
      </c>
      <c r="W282" s="519">
        <f t="shared" si="108"/>
        <v>7.9979999999999993</v>
      </c>
      <c r="X282" s="519"/>
      <c r="Y282" s="519"/>
      <c r="Z282" s="519"/>
    </row>
    <row r="283" spans="1:26" s="512" customFormat="1" ht="15">
      <c r="A283" s="337" t="s">
        <v>7088</v>
      </c>
      <c r="B283" s="698" t="s">
        <v>7089</v>
      </c>
      <c r="C283" s="698"/>
      <c r="D283" s="698"/>
      <c r="E283" s="698"/>
      <c r="F283" s="698"/>
      <c r="G283" s="698"/>
      <c r="H283" s="698"/>
      <c r="I283" s="698"/>
      <c r="J283" s="698"/>
      <c r="K283" s="510">
        <f t="shared" si="101"/>
        <v>0</v>
      </c>
      <c r="L283" s="510">
        <f t="shared" si="102"/>
        <v>0</v>
      </c>
      <c r="M283" s="519"/>
      <c r="N283" s="519"/>
      <c r="O283" s="519"/>
      <c r="P283" s="519"/>
      <c r="Q283" s="519"/>
      <c r="R283" s="519"/>
      <c r="S283" s="519"/>
      <c r="T283" s="519"/>
      <c r="U283" s="519"/>
      <c r="V283" s="519"/>
      <c r="W283" s="519"/>
      <c r="X283" s="519"/>
      <c r="Y283" s="519"/>
      <c r="Z283" s="519"/>
    </row>
    <row r="284" spans="1:26" s="512" customFormat="1" ht="45">
      <c r="A284" s="338" t="s">
        <v>8213</v>
      </c>
      <c r="B284" s="576" t="s">
        <v>5256</v>
      </c>
      <c r="C284" s="576" t="s">
        <v>7278</v>
      </c>
      <c r="D284" s="336" t="s">
        <v>7279</v>
      </c>
      <c r="E284" s="341">
        <v>16</v>
      </c>
      <c r="F284" s="342" t="s">
        <v>6337</v>
      </c>
      <c r="G284" s="352">
        <v>203.53</v>
      </c>
      <c r="H284" s="339">
        <f t="shared" ref="H284:H309" si="112">ROUND(G284*$B$13,2)</f>
        <v>54.81</v>
      </c>
      <c r="I284" s="339">
        <f t="shared" ref="I284:I309" si="113">H284+G284</f>
        <v>258.34000000000003</v>
      </c>
      <c r="J284" s="431">
        <f t="shared" ref="J284:J309" si="114">ROUND(I284*E284,2)</f>
        <v>4133.4399999999996</v>
      </c>
      <c r="K284" s="510">
        <f t="shared" si="101"/>
        <v>3256.48</v>
      </c>
      <c r="L284" s="510">
        <f t="shared" si="102"/>
        <v>876.96</v>
      </c>
      <c r="M284" s="519"/>
      <c r="N284" s="519"/>
      <c r="O284" s="519"/>
      <c r="P284" s="519">
        <f t="shared" ref="P284:P309" si="115">0.05*J284</f>
        <v>206.672</v>
      </c>
      <c r="Q284" s="519"/>
      <c r="R284" s="519"/>
      <c r="S284" s="519">
        <f t="shared" ref="S284:S309" si="116">0.1*J284</f>
        <v>413.34399999999999</v>
      </c>
      <c r="T284" s="519">
        <f t="shared" ref="T284:T309" si="117">0.1*J284</f>
        <v>413.34399999999999</v>
      </c>
      <c r="U284" s="519">
        <f t="shared" ref="U284:U309" si="118">0.2*J284</f>
        <v>826.68799999999999</v>
      </c>
      <c r="V284" s="519">
        <f t="shared" ref="V284:V309" si="119">0.25*J284</f>
        <v>1033.3599999999999</v>
      </c>
      <c r="W284" s="519">
        <f t="shared" ref="W284:W309" si="120">0.3*J284</f>
        <v>1240.0319999999999</v>
      </c>
      <c r="X284" s="519"/>
      <c r="Y284" s="519"/>
      <c r="Z284" s="519"/>
    </row>
    <row r="285" spans="1:26" s="512" customFormat="1" ht="75">
      <c r="A285" s="338" t="s">
        <v>8214</v>
      </c>
      <c r="B285" s="576" t="s">
        <v>6333</v>
      </c>
      <c r="C285" s="576">
        <v>7759</v>
      </c>
      <c r="D285" s="336" t="s">
        <v>7090</v>
      </c>
      <c r="E285" s="341">
        <v>4</v>
      </c>
      <c r="F285" s="342" t="s">
        <v>6337</v>
      </c>
      <c r="G285" s="352">
        <v>388.35</v>
      </c>
      <c r="H285" s="339">
        <f t="shared" si="112"/>
        <v>104.58</v>
      </c>
      <c r="I285" s="339">
        <f t="shared" si="113"/>
        <v>492.93</v>
      </c>
      <c r="J285" s="431">
        <f t="shared" si="114"/>
        <v>1971.72</v>
      </c>
      <c r="K285" s="510">
        <f t="shared" si="101"/>
        <v>1553.4</v>
      </c>
      <c r="L285" s="510">
        <f t="shared" si="102"/>
        <v>418.32</v>
      </c>
      <c r="M285" s="519"/>
      <c r="N285" s="519"/>
      <c r="O285" s="519"/>
      <c r="P285" s="519">
        <f t="shared" si="115"/>
        <v>98.586000000000013</v>
      </c>
      <c r="Q285" s="519"/>
      <c r="R285" s="519"/>
      <c r="S285" s="519">
        <f t="shared" si="116"/>
        <v>197.17200000000003</v>
      </c>
      <c r="T285" s="519">
        <f t="shared" si="117"/>
        <v>197.17200000000003</v>
      </c>
      <c r="U285" s="519">
        <f t="shared" si="118"/>
        <v>394.34400000000005</v>
      </c>
      <c r="V285" s="519">
        <f t="shared" si="119"/>
        <v>492.93</v>
      </c>
      <c r="W285" s="519">
        <f t="shared" si="120"/>
        <v>591.51599999999996</v>
      </c>
      <c r="X285" s="519"/>
      <c r="Y285" s="519"/>
      <c r="Z285" s="519"/>
    </row>
    <row r="286" spans="1:26" s="512" customFormat="1" ht="30">
      <c r="A286" s="338" t="s">
        <v>8215</v>
      </c>
      <c r="B286" s="576" t="s">
        <v>5256</v>
      </c>
      <c r="C286" s="576">
        <v>95469</v>
      </c>
      <c r="D286" s="336" t="s">
        <v>8211</v>
      </c>
      <c r="E286" s="341">
        <v>14</v>
      </c>
      <c r="F286" s="342" t="s">
        <v>6337</v>
      </c>
      <c r="G286" s="352">
        <v>142.57</v>
      </c>
      <c r="H286" s="339">
        <f t="shared" si="112"/>
        <v>38.39</v>
      </c>
      <c r="I286" s="339">
        <f t="shared" si="113"/>
        <v>180.95999999999998</v>
      </c>
      <c r="J286" s="431">
        <f t="shared" si="114"/>
        <v>2533.44</v>
      </c>
      <c r="K286" s="510">
        <f t="shared" si="101"/>
        <v>1995.98</v>
      </c>
      <c r="L286" s="510">
        <f t="shared" si="102"/>
        <v>537.46</v>
      </c>
      <c r="M286" s="519"/>
      <c r="N286" s="519"/>
      <c r="O286" s="519"/>
      <c r="P286" s="519">
        <f t="shared" si="115"/>
        <v>126.67200000000001</v>
      </c>
      <c r="Q286" s="519"/>
      <c r="R286" s="519"/>
      <c r="S286" s="519">
        <f t="shared" si="116"/>
        <v>253.34400000000002</v>
      </c>
      <c r="T286" s="519">
        <f t="shared" si="117"/>
        <v>253.34400000000002</v>
      </c>
      <c r="U286" s="519">
        <f t="shared" si="118"/>
        <v>506.68800000000005</v>
      </c>
      <c r="V286" s="519">
        <f t="shared" si="119"/>
        <v>633.36</v>
      </c>
      <c r="W286" s="519">
        <f t="shared" si="120"/>
        <v>760.03200000000004</v>
      </c>
      <c r="X286" s="519"/>
      <c r="Y286" s="519"/>
      <c r="Z286" s="519"/>
    </row>
    <row r="287" spans="1:26" s="512" customFormat="1" ht="45">
      <c r="A287" s="338" t="s">
        <v>8216</v>
      </c>
      <c r="B287" s="576" t="s">
        <v>5256</v>
      </c>
      <c r="C287" s="576">
        <v>95471</v>
      </c>
      <c r="D287" s="336" t="s">
        <v>8212</v>
      </c>
      <c r="E287" s="341">
        <v>4</v>
      </c>
      <c r="F287" s="342" t="s">
        <v>6337</v>
      </c>
      <c r="G287" s="352">
        <v>515.30999999999995</v>
      </c>
      <c r="H287" s="339">
        <f t="shared" si="112"/>
        <v>138.77000000000001</v>
      </c>
      <c r="I287" s="339">
        <f t="shared" si="113"/>
        <v>654.07999999999993</v>
      </c>
      <c r="J287" s="431">
        <f t="shared" si="114"/>
        <v>2616.3200000000002</v>
      </c>
      <c r="K287" s="510">
        <f t="shared" si="101"/>
        <v>2061.2399999999998</v>
      </c>
      <c r="L287" s="510">
        <f t="shared" si="102"/>
        <v>555.08000000000004</v>
      </c>
      <c r="M287" s="519"/>
      <c r="N287" s="519"/>
      <c r="O287" s="519"/>
      <c r="P287" s="519">
        <f t="shared" si="115"/>
        <v>130.816</v>
      </c>
      <c r="Q287" s="519"/>
      <c r="R287" s="519"/>
      <c r="S287" s="519">
        <f t="shared" si="116"/>
        <v>261.63200000000001</v>
      </c>
      <c r="T287" s="519">
        <f t="shared" si="117"/>
        <v>261.63200000000001</v>
      </c>
      <c r="U287" s="519">
        <f t="shared" si="118"/>
        <v>523.26400000000001</v>
      </c>
      <c r="V287" s="519">
        <f t="shared" si="119"/>
        <v>654.08000000000004</v>
      </c>
      <c r="W287" s="519">
        <f t="shared" si="120"/>
        <v>784.89600000000007</v>
      </c>
      <c r="X287" s="519"/>
      <c r="Y287" s="519"/>
      <c r="Z287" s="519"/>
    </row>
    <row r="288" spans="1:26" s="512" customFormat="1" ht="30">
      <c r="A288" s="338" t="s">
        <v>8218</v>
      </c>
      <c r="B288" s="576" t="s">
        <v>6333</v>
      </c>
      <c r="C288" s="576">
        <v>3707</v>
      </c>
      <c r="D288" s="336" t="s">
        <v>8217</v>
      </c>
      <c r="E288" s="341">
        <v>18</v>
      </c>
      <c r="F288" s="342" t="s">
        <v>6337</v>
      </c>
      <c r="G288" s="352">
        <v>58.29</v>
      </c>
      <c r="H288" s="339">
        <f t="shared" si="112"/>
        <v>15.7</v>
      </c>
      <c r="I288" s="339">
        <f t="shared" si="113"/>
        <v>73.989999999999995</v>
      </c>
      <c r="J288" s="431">
        <f t="shared" si="114"/>
        <v>1331.82</v>
      </c>
      <c r="K288" s="510">
        <f t="shared" si="101"/>
        <v>1049.22</v>
      </c>
      <c r="L288" s="510">
        <f t="shared" si="102"/>
        <v>282.60000000000002</v>
      </c>
      <c r="M288" s="519"/>
      <c r="N288" s="519"/>
      <c r="O288" s="519"/>
      <c r="P288" s="519">
        <f t="shared" si="115"/>
        <v>66.590999999999994</v>
      </c>
      <c r="Q288" s="519"/>
      <c r="R288" s="519"/>
      <c r="S288" s="519">
        <f t="shared" si="116"/>
        <v>133.18199999999999</v>
      </c>
      <c r="T288" s="519">
        <f t="shared" si="117"/>
        <v>133.18199999999999</v>
      </c>
      <c r="U288" s="519">
        <f t="shared" si="118"/>
        <v>266.36399999999998</v>
      </c>
      <c r="V288" s="519">
        <f t="shared" si="119"/>
        <v>332.95499999999998</v>
      </c>
      <c r="W288" s="519">
        <f t="shared" si="120"/>
        <v>399.54599999999999</v>
      </c>
      <c r="X288" s="519"/>
      <c r="Y288" s="519"/>
      <c r="Z288" s="519"/>
    </row>
    <row r="289" spans="1:26" s="512" customFormat="1" ht="15">
      <c r="A289" s="338" t="s">
        <v>8237</v>
      </c>
      <c r="B289" s="576" t="s">
        <v>6333</v>
      </c>
      <c r="C289" s="576">
        <v>802</v>
      </c>
      <c r="D289" s="336" t="s">
        <v>8238</v>
      </c>
      <c r="E289" s="341">
        <v>4</v>
      </c>
      <c r="F289" s="342" t="s">
        <v>6337</v>
      </c>
      <c r="G289" s="352">
        <v>552.29999999999995</v>
      </c>
      <c r="H289" s="339">
        <f t="shared" si="112"/>
        <v>148.72999999999999</v>
      </c>
      <c r="I289" s="339">
        <f t="shared" si="113"/>
        <v>701.03</v>
      </c>
      <c r="J289" s="431">
        <f t="shared" si="114"/>
        <v>2804.12</v>
      </c>
      <c r="K289" s="510">
        <f t="shared" si="101"/>
        <v>2209.1999999999998</v>
      </c>
      <c r="L289" s="510">
        <f t="shared" si="102"/>
        <v>594.91999999999996</v>
      </c>
      <c r="M289" s="519"/>
      <c r="N289" s="519"/>
      <c r="O289" s="519"/>
      <c r="P289" s="519">
        <f t="shared" si="115"/>
        <v>140.20599999999999</v>
      </c>
      <c r="Q289" s="519"/>
      <c r="R289" s="519"/>
      <c r="S289" s="519">
        <f t="shared" si="116"/>
        <v>280.41199999999998</v>
      </c>
      <c r="T289" s="519">
        <f t="shared" si="117"/>
        <v>280.41199999999998</v>
      </c>
      <c r="U289" s="519">
        <f t="shared" si="118"/>
        <v>560.82399999999996</v>
      </c>
      <c r="V289" s="519">
        <f t="shared" si="119"/>
        <v>701.03</v>
      </c>
      <c r="W289" s="519">
        <f t="shared" si="120"/>
        <v>841.23599999999999</v>
      </c>
      <c r="X289" s="519"/>
      <c r="Y289" s="519"/>
      <c r="Z289" s="519"/>
    </row>
    <row r="290" spans="1:26" s="512" customFormat="1" ht="60">
      <c r="A290" s="338" t="s">
        <v>7110</v>
      </c>
      <c r="B290" s="576" t="s">
        <v>5256</v>
      </c>
      <c r="C290" s="576" t="s">
        <v>3646</v>
      </c>
      <c r="D290" s="336" t="s">
        <v>7091</v>
      </c>
      <c r="E290" s="341">
        <v>6</v>
      </c>
      <c r="F290" s="342" t="s">
        <v>6337</v>
      </c>
      <c r="G290" s="352">
        <v>376.78</v>
      </c>
      <c r="H290" s="339">
        <f t="shared" si="112"/>
        <v>101.47</v>
      </c>
      <c r="I290" s="339">
        <f t="shared" si="113"/>
        <v>478.25</v>
      </c>
      <c r="J290" s="431">
        <f t="shared" si="114"/>
        <v>2869.5</v>
      </c>
      <c r="K290" s="510">
        <f t="shared" si="101"/>
        <v>2260.6799999999998</v>
      </c>
      <c r="L290" s="510">
        <f t="shared" si="102"/>
        <v>608.82000000000005</v>
      </c>
      <c r="M290" s="519"/>
      <c r="N290" s="519"/>
      <c r="O290" s="519"/>
      <c r="P290" s="519">
        <f t="shared" si="115"/>
        <v>143.47499999999999</v>
      </c>
      <c r="Q290" s="519"/>
      <c r="R290" s="519"/>
      <c r="S290" s="519">
        <f t="shared" si="116"/>
        <v>286.95</v>
      </c>
      <c r="T290" s="519">
        <f t="shared" si="117"/>
        <v>286.95</v>
      </c>
      <c r="U290" s="519">
        <f t="shared" si="118"/>
        <v>573.9</v>
      </c>
      <c r="V290" s="519">
        <f t="shared" si="119"/>
        <v>717.375</v>
      </c>
      <c r="W290" s="519">
        <f t="shared" si="120"/>
        <v>860.85</v>
      </c>
      <c r="X290" s="519"/>
      <c r="Y290" s="519"/>
      <c r="Z290" s="519"/>
    </row>
    <row r="291" spans="1:26" s="512" customFormat="1" ht="45">
      <c r="A291" s="338" t="s">
        <v>8221</v>
      </c>
      <c r="B291" s="576" t="s">
        <v>5256</v>
      </c>
      <c r="C291" s="576">
        <v>86936</v>
      </c>
      <c r="D291" s="336" t="s">
        <v>7092</v>
      </c>
      <c r="E291" s="341">
        <v>1</v>
      </c>
      <c r="F291" s="342" t="s">
        <v>6337</v>
      </c>
      <c r="G291" s="352">
        <v>236.9</v>
      </c>
      <c r="H291" s="339">
        <f t="shared" si="112"/>
        <v>63.8</v>
      </c>
      <c r="I291" s="339">
        <f t="shared" si="113"/>
        <v>300.7</v>
      </c>
      <c r="J291" s="431">
        <f t="shared" si="114"/>
        <v>300.7</v>
      </c>
      <c r="K291" s="510">
        <f t="shared" si="101"/>
        <v>236.9</v>
      </c>
      <c r="L291" s="510">
        <f t="shared" si="102"/>
        <v>63.8</v>
      </c>
      <c r="M291" s="519"/>
      <c r="N291" s="519"/>
      <c r="O291" s="519"/>
      <c r="P291" s="519">
        <f t="shared" si="115"/>
        <v>15.035</v>
      </c>
      <c r="Q291" s="519"/>
      <c r="R291" s="519"/>
      <c r="S291" s="519">
        <f t="shared" si="116"/>
        <v>30.07</v>
      </c>
      <c r="T291" s="519">
        <f t="shared" si="117"/>
        <v>30.07</v>
      </c>
      <c r="U291" s="519">
        <f t="shared" si="118"/>
        <v>60.14</v>
      </c>
      <c r="V291" s="519">
        <f t="shared" si="119"/>
        <v>75.174999999999997</v>
      </c>
      <c r="W291" s="519">
        <f t="shared" si="120"/>
        <v>90.21</v>
      </c>
      <c r="X291" s="519"/>
      <c r="Y291" s="519"/>
      <c r="Z291" s="519"/>
    </row>
    <row r="292" spans="1:26" s="512" customFormat="1" ht="60">
      <c r="A292" s="338" t="s">
        <v>8222</v>
      </c>
      <c r="B292" s="576" t="s">
        <v>5256</v>
      </c>
      <c r="C292" s="576" t="s">
        <v>7111</v>
      </c>
      <c r="D292" s="336" t="s">
        <v>7093</v>
      </c>
      <c r="E292" s="341">
        <v>28</v>
      </c>
      <c r="F292" s="342" t="s">
        <v>6337</v>
      </c>
      <c r="G292" s="352">
        <v>457.27</v>
      </c>
      <c r="H292" s="339">
        <f t="shared" si="112"/>
        <v>123.14</v>
      </c>
      <c r="I292" s="339">
        <f t="shared" si="113"/>
        <v>580.41</v>
      </c>
      <c r="J292" s="431">
        <f t="shared" si="114"/>
        <v>16251.48</v>
      </c>
      <c r="K292" s="510">
        <f t="shared" ref="K292:K315" si="121">ROUND(G292*E292,2)</f>
        <v>12803.56</v>
      </c>
      <c r="L292" s="510">
        <f t="shared" ref="L292:L315" si="122">ROUND(H292*E292,2)</f>
        <v>3447.92</v>
      </c>
      <c r="M292" s="519"/>
      <c r="N292" s="519"/>
      <c r="O292" s="519"/>
      <c r="P292" s="519">
        <f t="shared" si="115"/>
        <v>812.57400000000007</v>
      </c>
      <c r="Q292" s="519"/>
      <c r="R292" s="519"/>
      <c r="S292" s="519">
        <f t="shared" si="116"/>
        <v>1625.1480000000001</v>
      </c>
      <c r="T292" s="519">
        <f t="shared" si="117"/>
        <v>1625.1480000000001</v>
      </c>
      <c r="U292" s="519">
        <f t="shared" si="118"/>
        <v>3250.2960000000003</v>
      </c>
      <c r="V292" s="519">
        <f t="shared" si="119"/>
        <v>4062.87</v>
      </c>
      <c r="W292" s="519">
        <f t="shared" si="120"/>
        <v>4875.4439999999995</v>
      </c>
      <c r="X292" s="519"/>
      <c r="Y292" s="519"/>
      <c r="Z292" s="519"/>
    </row>
    <row r="293" spans="1:26" s="512" customFormat="1" ht="60">
      <c r="A293" s="338" t="s">
        <v>8223</v>
      </c>
      <c r="B293" s="576" t="s">
        <v>5256</v>
      </c>
      <c r="C293" s="576" t="s">
        <v>7112</v>
      </c>
      <c r="D293" s="336" t="s">
        <v>7094</v>
      </c>
      <c r="E293" s="341">
        <v>5</v>
      </c>
      <c r="F293" s="342" t="s">
        <v>6337</v>
      </c>
      <c r="G293" s="352">
        <v>738.81999999999994</v>
      </c>
      <c r="H293" s="339">
        <f t="shared" si="112"/>
        <v>198.96</v>
      </c>
      <c r="I293" s="339">
        <f t="shared" si="113"/>
        <v>937.78</v>
      </c>
      <c r="J293" s="431">
        <f t="shared" si="114"/>
        <v>4688.8999999999996</v>
      </c>
      <c r="K293" s="510">
        <f t="shared" si="121"/>
        <v>3694.1</v>
      </c>
      <c r="L293" s="510">
        <f t="shared" si="122"/>
        <v>994.8</v>
      </c>
      <c r="M293" s="519"/>
      <c r="N293" s="519"/>
      <c r="O293" s="519"/>
      <c r="P293" s="519">
        <f t="shared" si="115"/>
        <v>234.44499999999999</v>
      </c>
      <c r="Q293" s="519"/>
      <c r="R293" s="519"/>
      <c r="S293" s="519">
        <f t="shared" si="116"/>
        <v>468.89</v>
      </c>
      <c r="T293" s="519">
        <f t="shared" si="117"/>
        <v>468.89</v>
      </c>
      <c r="U293" s="519">
        <f t="shared" si="118"/>
        <v>937.78</v>
      </c>
      <c r="V293" s="519">
        <f t="shared" si="119"/>
        <v>1172.2249999999999</v>
      </c>
      <c r="W293" s="519">
        <f t="shared" si="120"/>
        <v>1406.6699999999998</v>
      </c>
      <c r="X293" s="519"/>
      <c r="Y293" s="519"/>
      <c r="Z293" s="519"/>
    </row>
    <row r="294" spans="1:26" s="512" customFormat="1" ht="60">
      <c r="A294" s="338" t="s">
        <v>8224</v>
      </c>
      <c r="B294" s="576" t="s">
        <v>5256</v>
      </c>
      <c r="C294" s="576" t="s">
        <v>7113</v>
      </c>
      <c r="D294" s="336" t="s">
        <v>7095</v>
      </c>
      <c r="E294" s="341">
        <v>10</v>
      </c>
      <c r="F294" s="342" t="s">
        <v>6337</v>
      </c>
      <c r="G294" s="352">
        <v>900.37999999999988</v>
      </c>
      <c r="H294" s="339">
        <f t="shared" si="112"/>
        <v>242.47</v>
      </c>
      <c r="I294" s="339">
        <f t="shared" si="113"/>
        <v>1142.8499999999999</v>
      </c>
      <c r="J294" s="431">
        <f t="shared" si="114"/>
        <v>11428.5</v>
      </c>
      <c r="K294" s="510">
        <f t="shared" si="121"/>
        <v>9003.7999999999993</v>
      </c>
      <c r="L294" s="510">
        <f t="shared" si="122"/>
        <v>2424.6999999999998</v>
      </c>
      <c r="M294" s="519"/>
      <c r="N294" s="519"/>
      <c r="O294" s="519"/>
      <c r="P294" s="519">
        <f t="shared" si="115"/>
        <v>571.42500000000007</v>
      </c>
      <c r="Q294" s="519"/>
      <c r="R294" s="519"/>
      <c r="S294" s="519">
        <f t="shared" si="116"/>
        <v>1142.8500000000001</v>
      </c>
      <c r="T294" s="519">
        <f t="shared" si="117"/>
        <v>1142.8500000000001</v>
      </c>
      <c r="U294" s="519">
        <f t="shared" si="118"/>
        <v>2285.7000000000003</v>
      </c>
      <c r="V294" s="519">
        <f t="shared" si="119"/>
        <v>2857.125</v>
      </c>
      <c r="W294" s="519">
        <f t="shared" si="120"/>
        <v>3428.5499999999997</v>
      </c>
      <c r="X294" s="519"/>
      <c r="Y294" s="519"/>
      <c r="Z294" s="519"/>
    </row>
    <row r="295" spans="1:26" s="512" customFormat="1" ht="30">
      <c r="A295" s="338" t="s">
        <v>7114</v>
      </c>
      <c r="B295" s="576" t="s">
        <v>5256</v>
      </c>
      <c r="C295" s="576">
        <v>86872</v>
      </c>
      <c r="D295" s="336" t="s">
        <v>7096</v>
      </c>
      <c r="E295" s="341">
        <v>1</v>
      </c>
      <c r="F295" s="342" t="s">
        <v>6337</v>
      </c>
      <c r="G295" s="352">
        <v>505.92</v>
      </c>
      <c r="H295" s="339">
        <f t="shared" si="112"/>
        <v>136.24</v>
      </c>
      <c r="I295" s="339">
        <f t="shared" si="113"/>
        <v>642.16000000000008</v>
      </c>
      <c r="J295" s="431">
        <f t="shared" si="114"/>
        <v>642.16</v>
      </c>
      <c r="K295" s="510">
        <f t="shared" si="121"/>
        <v>505.92</v>
      </c>
      <c r="L295" s="510">
        <f t="shared" si="122"/>
        <v>136.24</v>
      </c>
      <c r="M295" s="519"/>
      <c r="N295" s="519"/>
      <c r="O295" s="519"/>
      <c r="P295" s="519">
        <f t="shared" si="115"/>
        <v>32.107999999999997</v>
      </c>
      <c r="Q295" s="519"/>
      <c r="R295" s="519"/>
      <c r="S295" s="519">
        <f t="shared" si="116"/>
        <v>64.215999999999994</v>
      </c>
      <c r="T295" s="519">
        <f t="shared" si="117"/>
        <v>64.215999999999994</v>
      </c>
      <c r="U295" s="519">
        <f t="shared" si="118"/>
        <v>128.43199999999999</v>
      </c>
      <c r="V295" s="519">
        <f t="shared" si="119"/>
        <v>160.54</v>
      </c>
      <c r="W295" s="519">
        <f t="shared" si="120"/>
        <v>192.648</v>
      </c>
      <c r="X295" s="519"/>
      <c r="Y295" s="519"/>
      <c r="Z295" s="519"/>
    </row>
    <row r="296" spans="1:26" s="512" customFormat="1" ht="30">
      <c r="A296" s="338" t="s">
        <v>8225</v>
      </c>
      <c r="B296" s="576" t="s">
        <v>5256</v>
      </c>
      <c r="C296" s="576" t="s">
        <v>7115</v>
      </c>
      <c r="D296" s="336" t="s">
        <v>7097</v>
      </c>
      <c r="E296" s="341">
        <v>20</v>
      </c>
      <c r="F296" s="342" t="s">
        <v>6337</v>
      </c>
      <c r="G296" s="352">
        <v>118.12</v>
      </c>
      <c r="H296" s="339">
        <f t="shared" si="112"/>
        <v>31.81</v>
      </c>
      <c r="I296" s="339">
        <f t="shared" si="113"/>
        <v>149.93</v>
      </c>
      <c r="J296" s="431">
        <f t="shared" si="114"/>
        <v>2998.6</v>
      </c>
      <c r="K296" s="510">
        <f t="shared" si="121"/>
        <v>2362.4</v>
      </c>
      <c r="L296" s="510">
        <f t="shared" si="122"/>
        <v>636.20000000000005</v>
      </c>
      <c r="M296" s="519"/>
      <c r="N296" s="519"/>
      <c r="O296" s="519"/>
      <c r="P296" s="519">
        <f t="shared" si="115"/>
        <v>149.93</v>
      </c>
      <c r="Q296" s="519"/>
      <c r="R296" s="519"/>
      <c r="S296" s="519">
        <f t="shared" si="116"/>
        <v>299.86</v>
      </c>
      <c r="T296" s="519">
        <f t="shared" si="117"/>
        <v>299.86</v>
      </c>
      <c r="U296" s="519">
        <f t="shared" si="118"/>
        <v>599.72</v>
      </c>
      <c r="V296" s="519">
        <f t="shared" si="119"/>
        <v>749.65</v>
      </c>
      <c r="W296" s="519">
        <f t="shared" si="120"/>
        <v>899.57999999999993</v>
      </c>
      <c r="X296" s="519"/>
      <c r="Y296" s="519"/>
      <c r="Z296" s="519"/>
    </row>
    <row r="297" spans="1:26" s="512" customFormat="1" ht="45">
      <c r="A297" s="338" t="s">
        <v>8226</v>
      </c>
      <c r="B297" s="576" t="s">
        <v>5256</v>
      </c>
      <c r="C297" s="576">
        <v>86910</v>
      </c>
      <c r="D297" s="336" t="s">
        <v>7098</v>
      </c>
      <c r="E297" s="341">
        <v>45</v>
      </c>
      <c r="F297" s="342" t="s">
        <v>6337</v>
      </c>
      <c r="G297" s="352">
        <v>69.64</v>
      </c>
      <c r="H297" s="339">
        <f t="shared" si="112"/>
        <v>18.75</v>
      </c>
      <c r="I297" s="339">
        <f t="shared" si="113"/>
        <v>88.39</v>
      </c>
      <c r="J297" s="431">
        <f t="shared" si="114"/>
        <v>3977.55</v>
      </c>
      <c r="K297" s="510">
        <f t="shared" si="121"/>
        <v>3133.8</v>
      </c>
      <c r="L297" s="510">
        <f t="shared" si="122"/>
        <v>843.75</v>
      </c>
      <c r="M297" s="519"/>
      <c r="N297" s="519"/>
      <c r="O297" s="519"/>
      <c r="P297" s="519">
        <f t="shared" si="115"/>
        <v>198.87750000000003</v>
      </c>
      <c r="Q297" s="519"/>
      <c r="R297" s="519"/>
      <c r="S297" s="519">
        <f t="shared" si="116"/>
        <v>397.75500000000005</v>
      </c>
      <c r="T297" s="519">
        <f t="shared" si="117"/>
        <v>397.75500000000005</v>
      </c>
      <c r="U297" s="519">
        <f t="shared" si="118"/>
        <v>795.5100000000001</v>
      </c>
      <c r="V297" s="519">
        <f t="shared" si="119"/>
        <v>994.38750000000005</v>
      </c>
      <c r="W297" s="519">
        <f t="shared" si="120"/>
        <v>1193.2650000000001</v>
      </c>
      <c r="X297" s="519"/>
      <c r="Y297" s="519"/>
      <c r="Z297" s="519"/>
    </row>
    <row r="298" spans="1:26" s="512" customFormat="1" ht="30">
      <c r="A298" s="338" t="s">
        <v>8227</v>
      </c>
      <c r="B298" s="576" t="s">
        <v>6333</v>
      </c>
      <c r="C298" s="576">
        <v>4392</v>
      </c>
      <c r="D298" s="336" t="s">
        <v>7099</v>
      </c>
      <c r="E298" s="341">
        <v>2</v>
      </c>
      <c r="F298" s="342" t="s">
        <v>6337</v>
      </c>
      <c r="G298" s="352">
        <v>358.00999999999993</v>
      </c>
      <c r="H298" s="339">
        <f t="shared" si="112"/>
        <v>96.41</v>
      </c>
      <c r="I298" s="339">
        <f t="shared" si="113"/>
        <v>454.41999999999996</v>
      </c>
      <c r="J298" s="431">
        <f t="shared" si="114"/>
        <v>908.84</v>
      </c>
      <c r="K298" s="510">
        <f t="shared" si="121"/>
        <v>716.02</v>
      </c>
      <c r="L298" s="510">
        <f t="shared" si="122"/>
        <v>192.82</v>
      </c>
      <c r="M298" s="519"/>
      <c r="N298" s="519"/>
      <c r="O298" s="519"/>
      <c r="P298" s="519">
        <f t="shared" si="115"/>
        <v>45.442000000000007</v>
      </c>
      <c r="Q298" s="519"/>
      <c r="R298" s="519"/>
      <c r="S298" s="519">
        <f t="shared" si="116"/>
        <v>90.884000000000015</v>
      </c>
      <c r="T298" s="519">
        <f t="shared" si="117"/>
        <v>90.884000000000015</v>
      </c>
      <c r="U298" s="519">
        <f t="shared" si="118"/>
        <v>181.76800000000003</v>
      </c>
      <c r="V298" s="519">
        <f t="shared" si="119"/>
        <v>227.21</v>
      </c>
      <c r="W298" s="519">
        <f t="shared" si="120"/>
        <v>272.65199999999999</v>
      </c>
      <c r="X298" s="519"/>
      <c r="Y298" s="519"/>
      <c r="Z298" s="519"/>
    </row>
    <row r="299" spans="1:26" s="512" customFormat="1" ht="30">
      <c r="A299" s="338" t="s">
        <v>8228</v>
      </c>
      <c r="B299" s="576" t="s">
        <v>5256</v>
      </c>
      <c r="C299" s="576">
        <v>86913</v>
      </c>
      <c r="D299" s="336" t="s">
        <v>8230</v>
      </c>
      <c r="E299" s="341">
        <f>4+9</f>
        <v>13</v>
      </c>
      <c r="F299" s="342" t="s">
        <v>6337</v>
      </c>
      <c r="G299" s="352">
        <v>13.86</v>
      </c>
      <c r="H299" s="339">
        <f t="shared" si="112"/>
        <v>3.73</v>
      </c>
      <c r="I299" s="339">
        <f t="shared" si="113"/>
        <v>17.59</v>
      </c>
      <c r="J299" s="431">
        <f t="shared" si="114"/>
        <v>228.67</v>
      </c>
      <c r="K299" s="510">
        <f t="shared" si="121"/>
        <v>180.18</v>
      </c>
      <c r="L299" s="510">
        <f t="shared" si="122"/>
        <v>48.49</v>
      </c>
      <c r="M299" s="519"/>
      <c r="N299" s="519"/>
      <c r="O299" s="519"/>
      <c r="P299" s="519">
        <f t="shared" si="115"/>
        <v>11.4335</v>
      </c>
      <c r="Q299" s="519"/>
      <c r="R299" s="519"/>
      <c r="S299" s="519">
        <f t="shared" si="116"/>
        <v>22.867000000000001</v>
      </c>
      <c r="T299" s="519">
        <f t="shared" si="117"/>
        <v>22.867000000000001</v>
      </c>
      <c r="U299" s="519">
        <f t="shared" si="118"/>
        <v>45.734000000000002</v>
      </c>
      <c r="V299" s="519">
        <f t="shared" si="119"/>
        <v>57.167499999999997</v>
      </c>
      <c r="W299" s="519">
        <f t="shared" si="120"/>
        <v>68.600999999999999</v>
      </c>
      <c r="X299" s="519"/>
      <c r="Y299" s="519"/>
      <c r="Z299" s="519"/>
    </row>
    <row r="300" spans="1:26" s="512" customFormat="1" ht="30">
      <c r="A300" s="338" t="s">
        <v>8229</v>
      </c>
      <c r="B300" s="576" t="s">
        <v>5256</v>
      </c>
      <c r="C300" s="576" t="s">
        <v>7116</v>
      </c>
      <c r="D300" s="336" t="s">
        <v>7101</v>
      </c>
      <c r="E300" s="341">
        <v>9</v>
      </c>
      <c r="F300" s="342" t="s">
        <v>6337</v>
      </c>
      <c r="G300" s="352">
        <v>43.94</v>
      </c>
      <c r="H300" s="339">
        <f t="shared" si="112"/>
        <v>11.83</v>
      </c>
      <c r="I300" s="339">
        <f t="shared" si="113"/>
        <v>55.769999999999996</v>
      </c>
      <c r="J300" s="431">
        <f t="shared" si="114"/>
        <v>501.93</v>
      </c>
      <c r="K300" s="510">
        <f t="shared" si="121"/>
        <v>395.46</v>
      </c>
      <c r="L300" s="510">
        <f t="shared" si="122"/>
        <v>106.47</v>
      </c>
      <c r="M300" s="519"/>
      <c r="N300" s="519"/>
      <c r="O300" s="519"/>
      <c r="P300" s="519">
        <f t="shared" si="115"/>
        <v>25.096500000000002</v>
      </c>
      <c r="Q300" s="519"/>
      <c r="R300" s="519"/>
      <c r="S300" s="519">
        <f t="shared" si="116"/>
        <v>50.193000000000005</v>
      </c>
      <c r="T300" s="519">
        <f t="shared" si="117"/>
        <v>50.193000000000005</v>
      </c>
      <c r="U300" s="519">
        <f t="shared" si="118"/>
        <v>100.38600000000001</v>
      </c>
      <c r="V300" s="519">
        <f t="shared" si="119"/>
        <v>125.4825</v>
      </c>
      <c r="W300" s="519">
        <f t="shared" si="120"/>
        <v>150.57900000000001</v>
      </c>
      <c r="X300" s="519"/>
      <c r="Y300" s="519"/>
      <c r="Z300" s="519"/>
    </row>
    <row r="301" spans="1:26" s="512" customFormat="1" ht="45">
      <c r="A301" s="338" t="s">
        <v>7117</v>
      </c>
      <c r="B301" s="576" t="s">
        <v>5256</v>
      </c>
      <c r="C301" s="576">
        <v>89985</v>
      </c>
      <c r="D301" s="336" t="s">
        <v>7102</v>
      </c>
      <c r="E301" s="341">
        <v>7</v>
      </c>
      <c r="F301" s="342" t="s">
        <v>6337</v>
      </c>
      <c r="G301" s="352">
        <v>47.13</v>
      </c>
      <c r="H301" s="339">
        <f t="shared" si="112"/>
        <v>12.69</v>
      </c>
      <c r="I301" s="339">
        <f t="shared" si="113"/>
        <v>59.82</v>
      </c>
      <c r="J301" s="431">
        <f t="shared" si="114"/>
        <v>418.74</v>
      </c>
      <c r="K301" s="510">
        <f t="shared" si="121"/>
        <v>329.91</v>
      </c>
      <c r="L301" s="510">
        <f t="shared" si="122"/>
        <v>88.83</v>
      </c>
      <c r="M301" s="519"/>
      <c r="N301" s="519"/>
      <c r="O301" s="519"/>
      <c r="P301" s="519">
        <f t="shared" si="115"/>
        <v>20.937000000000001</v>
      </c>
      <c r="Q301" s="519"/>
      <c r="R301" s="519"/>
      <c r="S301" s="519">
        <f t="shared" si="116"/>
        <v>41.874000000000002</v>
      </c>
      <c r="T301" s="519">
        <f t="shared" si="117"/>
        <v>41.874000000000002</v>
      </c>
      <c r="U301" s="519">
        <f t="shared" si="118"/>
        <v>83.748000000000005</v>
      </c>
      <c r="V301" s="519">
        <f t="shared" si="119"/>
        <v>104.685</v>
      </c>
      <c r="W301" s="519">
        <f t="shared" si="120"/>
        <v>125.622</v>
      </c>
      <c r="X301" s="519"/>
      <c r="Y301" s="519"/>
      <c r="Z301" s="519"/>
    </row>
    <row r="302" spans="1:26" s="512" customFormat="1" ht="45">
      <c r="A302" s="338" t="s">
        <v>8231</v>
      </c>
      <c r="B302" s="576" t="s">
        <v>5256</v>
      </c>
      <c r="C302" s="576">
        <v>89987</v>
      </c>
      <c r="D302" s="336" t="s">
        <v>7103</v>
      </c>
      <c r="E302" s="341">
        <v>27</v>
      </c>
      <c r="F302" s="342" t="s">
        <v>6337</v>
      </c>
      <c r="G302" s="352">
        <v>49.52</v>
      </c>
      <c r="H302" s="339">
        <f t="shared" si="112"/>
        <v>13.34</v>
      </c>
      <c r="I302" s="339">
        <f t="shared" si="113"/>
        <v>62.86</v>
      </c>
      <c r="J302" s="431">
        <f t="shared" si="114"/>
        <v>1697.22</v>
      </c>
      <c r="K302" s="510">
        <f t="shared" si="121"/>
        <v>1337.04</v>
      </c>
      <c r="L302" s="510">
        <f t="shared" si="122"/>
        <v>360.18</v>
      </c>
      <c r="M302" s="519"/>
      <c r="N302" s="519"/>
      <c r="O302" s="519"/>
      <c r="P302" s="519">
        <f t="shared" si="115"/>
        <v>84.861000000000004</v>
      </c>
      <c r="Q302" s="519"/>
      <c r="R302" s="519"/>
      <c r="S302" s="519">
        <f t="shared" si="116"/>
        <v>169.72200000000001</v>
      </c>
      <c r="T302" s="519">
        <f t="shared" si="117"/>
        <v>169.72200000000001</v>
      </c>
      <c r="U302" s="519">
        <f t="shared" si="118"/>
        <v>339.44400000000002</v>
      </c>
      <c r="V302" s="519">
        <f t="shared" si="119"/>
        <v>424.30500000000001</v>
      </c>
      <c r="W302" s="519">
        <f t="shared" si="120"/>
        <v>509.166</v>
      </c>
      <c r="X302" s="519"/>
      <c r="Y302" s="519"/>
      <c r="Z302" s="519"/>
    </row>
    <row r="303" spans="1:26" s="512" customFormat="1" ht="45">
      <c r="A303" s="338" t="s">
        <v>8232</v>
      </c>
      <c r="B303" s="576" t="s">
        <v>5256</v>
      </c>
      <c r="C303" s="576">
        <v>94495</v>
      </c>
      <c r="D303" s="336" t="s">
        <v>7104</v>
      </c>
      <c r="E303" s="341">
        <v>11</v>
      </c>
      <c r="F303" s="342" t="s">
        <v>6337</v>
      </c>
      <c r="G303" s="352">
        <v>48.45</v>
      </c>
      <c r="H303" s="339">
        <f t="shared" si="112"/>
        <v>13.05</v>
      </c>
      <c r="I303" s="339">
        <f t="shared" si="113"/>
        <v>61.5</v>
      </c>
      <c r="J303" s="431">
        <f t="shared" si="114"/>
        <v>676.5</v>
      </c>
      <c r="K303" s="510">
        <f t="shared" si="121"/>
        <v>532.95000000000005</v>
      </c>
      <c r="L303" s="510">
        <f t="shared" si="122"/>
        <v>143.55000000000001</v>
      </c>
      <c r="M303" s="519"/>
      <c r="N303" s="519"/>
      <c r="O303" s="519"/>
      <c r="P303" s="519">
        <f t="shared" si="115"/>
        <v>33.825000000000003</v>
      </c>
      <c r="Q303" s="519"/>
      <c r="R303" s="519"/>
      <c r="S303" s="519">
        <f t="shared" si="116"/>
        <v>67.650000000000006</v>
      </c>
      <c r="T303" s="519">
        <f t="shared" si="117"/>
        <v>67.650000000000006</v>
      </c>
      <c r="U303" s="519">
        <f t="shared" si="118"/>
        <v>135.30000000000001</v>
      </c>
      <c r="V303" s="519">
        <f t="shared" si="119"/>
        <v>169.125</v>
      </c>
      <c r="W303" s="519">
        <f t="shared" si="120"/>
        <v>202.95</v>
      </c>
      <c r="X303" s="519"/>
      <c r="Y303" s="519"/>
      <c r="Z303" s="519"/>
    </row>
    <row r="304" spans="1:26" s="512" customFormat="1" ht="30">
      <c r="A304" s="338" t="s">
        <v>8233</v>
      </c>
      <c r="B304" s="576" t="s">
        <v>5256</v>
      </c>
      <c r="C304" s="576">
        <v>94499</v>
      </c>
      <c r="D304" s="336" t="s">
        <v>7105</v>
      </c>
      <c r="E304" s="341">
        <v>5</v>
      </c>
      <c r="F304" s="342" t="s">
        <v>6337</v>
      </c>
      <c r="G304" s="352">
        <v>157.93</v>
      </c>
      <c r="H304" s="339">
        <f t="shared" si="112"/>
        <v>42.53</v>
      </c>
      <c r="I304" s="339">
        <f t="shared" si="113"/>
        <v>200.46</v>
      </c>
      <c r="J304" s="431">
        <f t="shared" si="114"/>
        <v>1002.3</v>
      </c>
      <c r="K304" s="510">
        <f t="shared" si="121"/>
        <v>789.65</v>
      </c>
      <c r="L304" s="510">
        <f t="shared" si="122"/>
        <v>212.65</v>
      </c>
      <c r="M304" s="519"/>
      <c r="N304" s="519"/>
      <c r="O304" s="519"/>
      <c r="P304" s="519">
        <f t="shared" si="115"/>
        <v>50.115000000000002</v>
      </c>
      <c r="Q304" s="519"/>
      <c r="R304" s="519"/>
      <c r="S304" s="519">
        <f t="shared" si="116"/>
        <v>100.23</v>
      </c>
      <c r="T304" s="519">
        <f t="shared" si="117"/>
        <v>100.23</v>
      </c>
      <c r="U304" s="519">
        <f t="shared" si="118"/>
        <v>200.46</v>
      </c>
      <c r="V304" s="519">
        <f t="shared" si="119"/>
        <v>250.57499999999999</v>
      </c>
      <c r="W304" s="519">
        <f t="shared" si="120"/>
        <v>300.69</v>
      </c>
      <c r="X304" s="519"/>
      <c r="Y304" s="519"/>
      <c r="Z304" s="519"/>
    </row>
    <row r="305" spans="1:26" s="512" customFormat="1" ht="30">
      <c r="A305" s="338" t="s">
        <v>8234</v>
      </c>
      <c r="B305" s="576" t="s">
        <v>5256</v>
      </c>
      <c r="C305" s="576">
        <v>94497</v>
      </c>
      <c r="D305" s="336" t="s">
        <v>7106</v>
      </c>
      <c r="E305" s="341">
        <v>2</v>
      </c>
      <c r="F305" s="342" t="s">
        <v>6337</v>
      </c>
      <c r="G305" s="352">
        <v>68.55</v>
      </c>
      <c r="H305" s="339">
        <f t="shared" si="112"/>
        <v>18.46</v>
      </c>
      <c r="I305" s="339">
        <f t="shared" si="113"/>
        <v>87.009999999999991</v>
      </c>
      <c r="J305" s="431">
        <f t="shared" si="114"/>
        <v>174.02</v>
      </c>
      <c r="K305" s="510">
        <f t="shared" si="121"/>
        <v>137.1</v>
      </c>
      <c r="L305" s="510">
        <f t="shared" si="122"/>
        <v>36.92</v>
      </c>
      <c r="M305" s="519"/>
      <c r="N305" s="519"/>
      <c r="O305" s="519"/>
      <c r="P305" s="519">
        <f t="shared" si="115"/>
        <v>8.7010000000000005</v>
      </c>
      <c r="Q305" s="519"/>
      <c r="R305" s="519"/>
      <c r="S305" s="519">
        <f t="shared" si="116"/>
        <v>17.402000000000001</v>
      </c>
      <c r="T305" s="519">
        <f t="shared" si="117"/>
        <v>17.402000000000001</v>
      </c>
      <c r="U305" s="519">
        <f t="shared" si="118"/>
        <v>34.804000000000002</v>
      </c>
      <c r="V305" s="519">
        <f t="shared" si="119"/>
        <v>43.505000000000003</v>
      </c>
      <c r="W305" s="519">
        <f t="shared" si="120"/>
        <v>52.206000000000003</v>
      </c>
      <c r="X305" s="519"/>
      <c r="Y305" s="519"/>
      <c r="Z305" s="519"/>
    </row>
    <row r="306" spans="1:26" s="512" customFormat="1" ht="30">
      <c r="A306" s="338" t="s">
        <v>8219</v>
      </c>
      <c r="B306" s="576" t="s">
        <v>5256</v>
      </c>
      <c r="C306" s="576">
        <v>86884</v>
      </c>
      <c r="D306" s="336" t="s">
        <v>8236</v>
      </c>
      <c r="E306" s="341">
        <v>25</v>
      </c>
      <c r="F306" s="342" t="s">
        <v>6337</v>
      </c>
      <c r="G306" s="352">
        <v>5.43</v>
      </c>
      <c r="H306" s="339">
        <f t="shared" si="112"/>
        <v>1.46</v>
      </c>
      <c r="I306" s="339">
        <f t="shared" si="113"/>
        <v>6.89</v>
      </c>
      <c r="J306" s="431">
        <f t="shared" si="114"/>
        <v>172.25</v>
      </c>
      <c r="K306" s="510">
        <f t="shared" si="121"/>
        <v>135.75</v>
      </c>
      <c r="L306" s="510">
        <f t="shared" si="122"/>
        <v>36.5</v>
      </c>
      <c r="M306" s="519"/>
      <c r="N306" s="519"/>
      <c r="O306" s="519"/>
      <c r="P306" s="519">
        <f t="shared" si="115"/>
        <v>8.6125000000000007</v>
      </c>
      <c r="Q306" s="519"/>
      <c r="R306" s="519"/>
      <c r="S306" s="519">
        <f t="shared" si="116"/>
        <v>17.225000000000001</v>
      </c>
      <c r="T306" s="519">
        <f t="shared" si="117"/>
        <v>17.225000000000001</v>
      </c>
      <c r="U306" s="519">
        <f t="shared" si="118"/>
        <v>34.450000000000003</v>
      </c>
      <c r="V306" s="519">
        <f t="shared" si="119"/>
        <v>43.0625</v>
      </c>
      <c r="W306" s="519">
        <f t="shared" si="120"/>
        <v>51.674999999999997</v>
      </c>
      <c r="X306" s="519"/>
      <c r="Y306" s="519"/>
      <c r="Z306" s="519"/>
    </row>
    <row r="307" spans="1:26" s="512" customFormat="1" ht="30">
      <c r="A307" s="338" t="s">
        <v>8837</v>
      </c>
      <c r="B307" s="576" t="s">
        <v>5256</v>
      </c>
      <c r="C307" s="576">
        <v>9535</v>
      </c>
      <c r="D307" s="336" t="s">
        <v>7107</v>
      </c>
      <c r="E307" s="341">
        <v>2</v>
      </c>
      <c r="F307" s="342" t="s">
        <v>6337</v>
      </c>
      <c r="G307" s="352">
        <v>51.1</v>
      </c>
      <c r="H307" s="339">
        <f t="shared" si="112"/>
        <v>13.76</v>
      </c>
      <c r="I307" s="339">
        <f t="shared" si="113"/>
        <v>64.86</v>
      </c>
      <c r="J307" s="431">
        <f t="shared" si="114"/>
        <v>129.72</v>
      </c>
      <c r="K307" s="510">
        <f t="shared" si="121"/>
        <v>102.2</v>
      </c>
      <c r="L307" s="510">
        <f t="shared" si="122"/>
        <v>27.52</v>
      </c>
      <c r="M307" s="519"/>
      <c r="N307" s="519"/>
      <c r="O307" s="519"/>
      <c r="P307" s="519">
        <f t="shared" si="115"/>
        <v>6.4860000000000007</v>
      </c>
      <c r="Q307" s="519"/>
      <c r="R307" s="519"/>
      <c r="S307" s="519">
        <f t="shared" si="116"/>
        <v>12.972000000000001</v>
      </c>
      <c r="T307" s="519">
        <f t="shared" si="117"/>
        <v>12.972000000000001</v>
      </c>
      <c r="U307" s="519">
        <f t="shared" si="118"/>
        <v>25.944000000000003</v>
      </c>
      <c r="V307" s="519">
        <f t="shared" si="119"/>
        <v>32.43</v>
      </c>
      <c r="W307" s="519">
        <f t="shared" si="120"/>
        <v>38.915999999999997</v>
      </c>
      <c r="X307" s="519"/>
      <c r="Y307" s="519"/>
      <c r="Z307" s="519"/>
    </row>
    <row r="308" spans="1:26" s="512" customFormat="1" ht="30">
      <c r="A308" s="338" t="s">
        <v>8838</v>
      </c>
      <c r="B308" s="576" t="s">
        <v>6333</v>
      </c>
      <c r="C308" s="576">
        <v>10041</v>
      </c>
      <c r="D308" s="336" t="s">
        <v>7108</v>
      </c>
      <c r="E308" s="341">
        <v>10</v>
      </c>
      <c r="F308" s="342" t="s">
        <v>6337</v>
      </c>
      <c r="G308" s="352">
        <v>1208.3799999999999</v>
      </c>
      <c r="H308" s="339">
        <f t="shared" si="112"/>
        <v>325.42</v>
      </c>
      <c r="I308" s="339">
        <f t="shared" si="113"/>
        <v>1533.8</v>
      </c>
      <c r="J308" s="431">
        <f t="shared" si="114"/>
        <v>15338</v>
      </c>
      <c r="K308" s="510">
        <f t="shared" si="121"/>
        <v>12083.8</v>
      </c>
      <c r="L308" s="510">
        <f t="shared" si="122"/>
        <v>3254.2</v>
      </c>
      <c r="M308" s="519"/>
      <c r="N308" s="519"/>
      <c r="O308" s="519"/>
      <c r="P308" s="519">
        <f t="shared" si="115"/>
        <v>766.90000000000009</v>
      </c>
      <c r="Q308" s="519"/>
      <c r="R308" s="519"/>
      <c r="S308" s="519">
        <f t="shared" si="116"/>
        <v>1533.8000000000002</v>
      </c>
      <c r="T308" s="519">
        <f t="shared" si="117"/>
        <v>1533.8000000000002</v>
      </c>
      <c r="U308" s="519">
        <f t="shared" si="118"/>
        <v>3067.6000000000004</v>
      </c>
      <c r="V308" s="519">
        <f t="shared" si="119"/>
        <v>3834.5</v>
      </c>
      <c r="W308" s="519">
        <f t="shared" si="120"/>
        <v>4601.3999999999996</v>
      </c>
      <c r="X308" s="519"/>
      <c r="Y308" s="519"/>
      <c r="Z308" s="519"/>
    </row>
    <row r="309" spans="1:26" s="512" customFormat="1" ht="45">
      <c r="A309" s="338" t="s">
        <v>7118</v>
      </c>
      <c r="B309" s="576" t="s">
        <v>5256</v>
      </c>
      <c r="C309" s="576">
        <v>99635</v>
      </c>
      <c r="D309" s="336" t="s">
        <v>7109</v>
      </c>
      <c r="E309" s="341">
        <v>18</v>
      </c>
      <c r="F309" s="342" t="s">
        <v>6337</v>
      </c>
      <c r="G309" s="352">
        <v>159.41999999999999</v>
      </c>
      <c r="H309" s="339">
        <f t="shared" si="112"/>
        <v>42.93</v>
      </c>
      <c r="I309" s="339">
        <f t="shared" si="113"/>
        <v>202.35</v>
      </c>
      <c r="J309" s="431">
        <f t="shared" si="114"/>
        <v>3642.3</v>
      </c>
      <c r="K309" s="510">
        <f t="shared" si="121"/>
        <v>2869.56</v>
      </c>
      <c r="L309" s="510">
        <f t="shared" si="122"/>
        <v>772.74</v>
      </c>
      <c r="M309" s="519"/>
      <c r="N309" s="519"/>
      <c r="O309" s="519"/>
      <c r="P309" s="519">
        <f t="shared" si="115"/>
        <v>182.11500000000001</v>
      </c>
      <c r="Q309" s="519"/>
      <c r="R309" s="519"/>
      <c r="S309" s="519">
        <f t="shared" si="116"/>
        <v>364.23</v>
      </c>
      <c r="T309" s="519">
        <f t="shared" si="117"/>
        <v>364.23</v>
      </c>
      <c r="U309" s="519">
        <f t="shared" si="118"/>
        <v>728.46</v>
      </c>
      <c r="V309" s="519">
        <f t="shared" si="119"/>
        <v>910.57500000000005</v>
      </c>
      <c r="W309" s="519">
        <f t="shared" si="120"/>
        <v>1092.69</v>
      </c>
      <c r="X309" s="519"/>
      <c r="Y309" s="519"/>
      <c r="Z309" s="519"/>
    </row>
    <row r="310" spans="1:26" s="512" customFormat="1" ht="15">
      <c r="A310" s="337" t="s">
        <v>7124</v>
      </c>
      <c r="B310" s="698" t="s">
        <v>7125</v>
      </c>
      <c r="C310" s="698"/>
      <c r="D310" s="698"/>
      <c r="E310" s="698"/>
      <c r="F310" s="698"/>
      <c r="G310" s="698"/>
      <c r="H310" s="698"/>
      <c r="I310" s="698"/>
      <c r="J310" s="698"/>
      <c r="K310" s="510">
        <f t="shared" si="121"/>
        <v>0</v>
      </c>
      <c r="L310" s="510">
        <f t="shared" si="122"/>
        <v>0</v>
      </c>
      <c r="M310" s="519"/>
      <c r="N310" s="519"/>
      <c r="O310" s="519"/>
      <c r="P310" s="519"/>
      <c r="Q310" s="519"/>
      <c r="R310" s="519"/>
      <c r="S310" s="519"/>
      <c r="T310" s="519"/>
      <c r="U310" s="519"/>
      <c r="V310" s="519"/>
      <c r="W310" s="519"/>
      <c r="X310" s="519"/>
      <c r="Y310" s="519"/>
      <c r="Z310" s="519"/>
    </row>
    <row r="311" spans="1:26" s="512" customFormat="1" ht="15">
      <c r="A311" s="338" t="s">
        <v>7135</v>
      </c>
      <c r="B311" s="576" t="s">
        <v>5256</v>
      </c>
      <c r="C311" s="576">
        <v>88547</v>
      </c>
      <c r="D311" s="336" t="s">
        <v>7129</v>
      </c>
      <c r="E311" s="341">
        <v>2</v>
      </c>
      <c r="F311" s="342" t="s">
        <v>6337</v>
      </c>
      <c r="G311" s="352">
        <v>58.54</v>
      </c>
      <c r="H311" s="339">
        <f>ROUND(G311*$B$13,2)</f>
        <v>15.76</v>
      </c>
      <c r="I311" s="339">
        <f>H311+G311</f>
        <v>74.3</v>
      </c>
      <c r="J311" s="431">
        <f>ROUND(I311*E311,2)</f>
        <v>148.6</v>
      </c>
      <c r="K311" s="510">
        <f t="shared" si="121"/>
        <v>117.08</v>
      </c>
      <c r="L311" s="510">
        <f t="shared" si="122"/>
        <v>31.52</v>
      </c>
      <c r="M311" s="519"/>
      <c r="N311" s="519"/>
      <c r="O311" s="519"/>
      <c r="P311" s="519">
        <f t="shared" ref="P311:P315" si="123">0.05*J311</f>
        <v>7.43</v>
      </c>
      <c r="Q311" s="519"/>
      <c r="R311" s="519"/>
      <c r="S311" s="519">
        <f t="shared" ref="S311:S315" si="124">0.1*J311</f>
        <v>14.86</v>
      </c>
      <c r="T311" s="519">
        <f t="shared" ref="T311:T315" si="125">0.1*J311</f>
        <v>14.86</v>
      </c>
      <c r="U311" s="519">
        <f t="shared" ref="U311:U315" si="126">0.2*J311</f>
        <v>29.72</v>
      </c>
      <c r="V311" s="519">
        <f t="shared" ref="V311:V315" si="127">0.25*J311</f>
        <v>37.15</v>
      </c>
      <c r="W311" s="519">
        <f t="shared" ref="W311:W315" si="128">0.3*J311</f>
        <v>44.58</v>
      </c>
      <c r="X311" s="519"/>
      <c r="Y311" s="519"/>
      <c r="Z311" s="519"/>
    </row>
    <row r="312" spans="1:26" s="512" customFormat="1" ht="30">
      <c r="A312" s="338" t="s">
        <v>7136</v>
      </c>
      <c r="B312" s="576" t="s">
        <v>6753</v>
      </c>
      <c r="C312" s="576" t="s">
        <v>7137</v>
      </c>
      <c r="D312" s="336" t="s">
        <v>7130</v>
      </c>
      <c r="E312" s="341">
        <v>2</v>
      </c>
      <c r="F312" s="342" t="s">
        <v>6337</v>
      </c>
      <c r="G312" s="352">
        <v>22106.5</v>
      </c>
      <c r="H312" s="339">
        <f>ROUND(G312*$B$13,2)</f>
        <v>5953.28</v>
      </c>
      <c r="I312" s="339">
        <f>H312+G312</f>
        <v>28059.78</v>
      </c>
      <c r="J312" s="431">
        <f>ROUND(I312*E312,2)</f>
        <v>56119.56</v>
      </c>
      <c r="K312" s="510">
        <f t="shared" si="121"/>
        <v>44213</v>
      </c>
      <c r="L312" s="510">
        <f t="shared" si="122"/>
        <v>11906.56</v>
      </c>
      <c r="M312" s="519"/>
      <c r="N312" s="519"/>
      <c r="O312" s="519"/>
      <c r="P312" s="519">
        <f t="shared" si="123"/>
        <v>2805.9780000000001</v>
      </c>
      <c r="Q312" s="519"/>
      <c r="R312" s="519"/>
      <c r="S312" s="519">
        <f t="shared" si="124"/>
        <v>5611.9560000000001</v>
      </c>
      <c r="T312" s="519">
        <f t="shared" si="125"/>
        <v>5611.9560000000001</v>
      </c>
      <c r="U312" s="519">
        <f t="shared" si="126"/>
        <v>11223.912</v>
      </c>
      <c r="V312" s="519">
        <f t="shared" si="127"/>
        <v>14029.89</v>
      </c>
      <c r="W312" s="519">
        <f t="shared" si="128"/>
        <v>16835.867999999999</v>
      </c>
      <c r="X312" s="519"/>
      <c r="Y312" s="519"/>
      <c r="Z312" s="519"/>
    </row>
    <row r="313" spans="1:26" s="512" customFormat="1" ht="30">
      <c r="A313" s="338" t="s">
        <v>8841</v>
      </c>
      <c r="B313" s="576" t="s">
        <v>5256</v>
      </c>
      <c r="C313" s="576" t="s">
        <v>7134</v>
      </c>
      <c r="D313" s="336" t="s">
        <v>7131</v>
      </c>
      <c r="E313" s="341">
        <v>1</v>
      </c>
      <c r="F313" s="342" t="s">
        <v>6337</v>
      </c>
      <c r="G313" s="352">
        <v>282.78999999999996</v>
      </c>
      <c r="H313" s="339">
        <f>ROUND(G313*$B$13,2)</f>
        <v>76.16</v>
      </c>
      <c r="I313" s="339">
        <f>H313+G313</f>
        <v>358.94999999999993</v>
      </c>
      <c r="J313" s="431">
        <f>ROUND(I313*E313,2)</f>
        <v>358.95</v>
      </c>
      <c r="K313" s="510">
        <f t="shared" si="121"/>
        <v>282.79000000000002</v>
      </c>
      <c r="L313" s="510">
        <f t="shared" si="122"/>
        <v>76.16</v>
      </c>
      <c r="M313" s="519"/>
      <c r="N313" s="519"/>
      <c r="O313" s="519"/>
      <c r="P313" s="519">
        <f t="shared" si="123"/>
        <v>17.947500000000002</v>
      </c>
      <c r="Q313" s="519"/>
      <c r="R313" s="519"/>
      <c r="S313" s="519">
        <f t="shared" si="124"/>
        <v>35.895000000000003</v>
      </c>
      <c r="T313" s="519">
        <f t="shared" si="125"/>
        <v>35.895000000000003</v>
      </c>
      <c r="U313" s="519">
        <f t="shared" si="126"/>
        <v>71.790000000000006</v>
      </c>
      <c r="V313" s="519">
        <f t="shared" si="127"/>
        <v>89.737499999999997</v>
      </c>
      <c r="W313" s="519">
        <f t="shared" si="128"/>
        <v>107.68499999999999</v>
      </c>
      <c r="X313" s="519"/>
      <c r="Y313" s="519"/>
      <c r="Z313" s="519"/>
    </row>
    <row r="314" spans="1:26" s="512" customFormat="1" ht="45">
      <c r="A314" s="338" t="s">
        <v>8842</v>
      </c>
      <c r="B314" s="576" t="s">
        <v>5256</v>
      </c>
      <c r="C314" s="576">
        <v>95635</v>
      </c>
      <c r="D314" s="336" t="s">
        <v>7132</v>
      </c>
      <c r="E314" s="341">
        <v>1</v>
      </c>
      <c r="F314" s="342" t="s">
        <v>6337</v>
      </c>
      <c r="G314" s="352">
        <v>97.86</v>
      </c>
      <c r="H314" s="339">
        <f>ROUND(G314*$B$13,2)</f>
        <v>26.35</v>
      </c>
      <c r="I314" s="339">
        <f>H314+G314</f>
        <v>124.21000000000001</v>
      </c>
      <c r="J314" s="431">
        <f>ROUND(I314*E314,2)</f>
        <v>124.21</v>
      </c>
      <c r="K314" s="510">
        <f t="shared" si="121"/>
        <v>97.86</v>
      </c>
      <c r="L314" s="510">
        <f t="shared" si="122"/>
        <v>26.35</v>
      </c>
      <c r="M314" s="519"/>
      <c r="N314" s="519"/>
      <c r="O314" s="519"/>
      <c r="P314" s="519">
        <f t="shared" si="123"/>
        <v>6.2104999999999997</v>
      </c>
      <c r="Q314" s="519"/>
      <c r="R314" s="519"/>
      <c r="S314" s="519">
        <f t="shared" si="124"/>
        <v>12.420999999999999</v>
      </c>
      <c r="T314" s="519">
        <f t="shared" si="125"/>
        <v>12.420999999999999</v>
      </c>
      <c r="U314" s="519">
        <f t="shared" si="126"/>
        <v>24.841999999999999</v>
      </c>
      <c r="V314" s="519">
        <f t="shared" si="127"/>
        <v>31.052499999999998</v>
      </c>
      <c r="W314" s="519">
        <f t="shared" si="128"/>
        <v>37.262999999999998</v>
      </c>
      <c r="X314" s="519"/>
      <c r="Y314" s="519"/>
      <c r="Z314" s="519"/>
    </row>
    <row r="315" spans="1:26" s="512" customFormat="1" ht="30">
      <c r="A315" s="338" t="s">
        <v>8843</v>
      </c>
      <c r="B315" s="576" t="s">
        <v>5256</v>
      </c>
      <c r="C315" s="576">
        <v>95676</v>
      </c>
      <c r="D315" s="336" t="s">
        <v>7133</v>
      </c>
      <c r="E315" s="341">
        <v>1</v>
      </c>
      <c r="F315" s="342" t="s">
        <v>6337</v>
      </c>
      <c r="G315" s="352">
        <v>69.08</v>
      </c>
      <c r="H315" s="339">
        <f>ROUND(G315*$B$13,2)</f>
        <v>18.600000000000001</v>
      </c>
      <c r="I315" s="339">
        <f>H315+G315</f>
        <v>87.68</v>
      </c>
      <c r="J315" s="431">
        <f>ROUND(I315*E315,2)</f>
        <v>87.68</v>
      </c>
      <c r="K315" s="510">
        <f t="shared" si="121"/>
        <v>69.08</v>
      </c>
      <c r="L315" s="510">
        <f t="shared" si="122"/>
        <v>18.600000000000001</v>
      </c>
      <c r="M315" s="519"/>
      <c r="N315" s="519"/>
      <c r="O315" s="519"/>
      <c r="P315" s="519">
        <f t="shared" si="123"/>
        <v>4.3840000000000003</v>
      </c>
      <c r="Q315" s="519"/>
      <c r="R315" s="519"/>
      <c r="S315" s="519">
        <f t="shared" si="124"/>
        <v>8.7680000000000007</v>
      </c>
      <c r="T315" s="519">
        <f t="shared" si="125"/>
        <v>8.7680000000000007</v>
      </c>
      <c r="U315" s="519">
        <f t="shared" si="126"/>
        <v>17.536000000000001</v>
      </c>
      <c r="V315" s="519">
        <f t="shared" si="127"/>
        <v>21.92</v>
      </c>
      <c r="W315" s="519">
        <f t="shared" si="128"/>
        <v>26.304000000000002</v>
      </c>
      <c r="X315" s="519"/>
      <c r="Y315" s="519"/>
      <c r="Z315" s="519"/>
    </row>
    <row r="316" spans="1:26" s="6" customFormat="1" ht="15">
      <c r="A316" s="700" t="s">
        <v>7019</v>
      </c>
      <c r="B316" s="700"/>
      <c r="C316" s="700"/>
      <c r="D316" s="700"/>
      <c r="E316" s="700"/>
      <c r="F316" s="700"/>
      <c r="G316" s="700"/>
      <c r="H316" s="700"/>
      <c r="I316" s="700"/>
      <c r="J316" s="432">
        <f>SUM(J226:J315)</f>
        <v>165698.09000000003</v>
      </c>
      <c r="K316" s="513"/>
      <c r="L316" s="117"/>
      <c r="M316" s="514">
        <f t="shared" ref="M316:Z316" si="129">SUM(M226:M315)</f>
        <v>0</v>
      </c>
      <c r="N316" s="514">
        <f t="shared" si="129"/>
        <v>0</v>
      </c>
      <c r="O316" s="514">
        <f t="shared" si="129"/>
        <v>0</v>
      </c>
      <c r="P316" s="514">
        <f t="shared" si="129"/>
        <v>8284.9044999999987</v>
      </c>
      <c r="Q316" s="514">
        <f t="shared" si="129"/>
        <v>0</v>
      </c>
      <c r="R316" s="514">
        <f t="shared" si="129"/>
        <v>0</v>
      </c>
      <c r="S316" s="514">
        <f t="shared" si="129"/>
        <v>16569.808999999997</v>
      </c>
      <c r="T316" s="514">
        <f t="shared" si="129"/>
        <v>16569.808999999997</v>
      </c>
      <c r="U316" s="514">
        <f t="shared" si="129"/>
        <v>33139.617999999995</v>
      </c>
      <c r="V316" s="514">
        <f t="shared" si="129"/>
        <v>41424.522500000006</v>
      </c>
      <c r="W316" s="514">
        <f t="shared" si="129"/>
        <v>49709.426999999989</v>
      </c>
      <c r="X316" s="514">
        <f t="shared" si="129"/>
        <v>0</v>
      </c>
      <c r="Y316" s="514">
        <f t="shared" si="129"/>
        <v>0</v>
      </c>
      <c r="Z316" s="514">
        <f t="shared" si="129"/>
        <v>0</v>
      </c>
    </row>
    <row r="317" spans="1:26" s="6" customFormat="1" ht="15">
      <c r="A317" s="29"/>
      <c r="B317" s="29"/>
      <c r="C317" s="29"/>
      <c r="D317" s="29"/>
      <c r="E317" s="189"/>
      <c r="F317" s="29"/>
      <c r="G317" s="353"/>
      <c r="H317" s="28"/>
      <c r="I317" s="28"/>
      <c r="J317" s="433"/>
      <c r="K317" s="155"/>
      <c r="L317" s="117"/>
      <c r="M317" s="358"/>
      <c r="N317" s="358"/>
      <c r="O317" s="358"/>
      <c r="P317" s="358"/>
      <c r="Q317" s="358"/>
      <c r="R317" s="358"/>
      <c r="S317" s="358"/>
      <c r="T317" s="358"/>
      <c r="U317" s="358"/>
      <c r="V317" s="358"/>
      <c r="W317" s="358"/>
      <c r="X317" s="358"/>
      <c r="Y317" s="358"/>
      <c r="Z317" s="358"/>
    </row>
    <row r="318" spans="1:26" s="6" customFormat="1" ht="15">
      <c r="A318" s="197" t="s">
        <v>5937</v>
      </c>
      <c r="B318" s="699" t="s">
        <v>5945</v>
      </c>
      <c r="C318" s="699"/>
      <c r="D318" s="699"/>
      <c r="E318" s="699"/>
      <c r="F318" s="699"/>
      <c r="G318" s="699"/>
      <c r="H318" s="699"/>
      <c r="I318" s="699"/>
      <c r="J318" s="699"/>
      <c r="K318" s="509"/>
      <c r="L318" s="117"/>
      <c r="M318" s="358"/>
      <c r="N318" s="358"/>
      <c r="O318" s="358"/>
      <c r="P318" s="358"/>
      <c r="Q318" s="358"/>
      <c r="R318" s="358"/>
      <c r="S318" s="358"/>
      <c r="T318" s="358"/>
      <c r="U318" s="358"/>
      <c r="V318" s="358"/>
      <c r="W318" s="358"/>
      <c r="X318" s="358"/>
      <c r="Y318" s="358"/>
      <c r="Z318" s="358"/>
    </row>
    <row r="319" spans="1:26" s="6" customFormat="1" ht="15">
      <c r="A319" s="337" t="s">
        <v>5938</v>
      </c>
      <c r="B319" s="698" t="s">
        <v>7139</v>
      </c>
      <c r="C319" s="698"/>
      <c r="D319" s="698"/>
      <c r="E319" s="698"/>
      <c r="F319" s="698"/>
      <c r="G319" s="698"/>
      <c r="H319" s="698"/>
      <c r="I319" s="698"/>
      <c r="J319" s="698"/>
      <c r="K319" s="39"/>
      <c r="L319" s="117"/>
      <c r="M319" s="358"/>
      <c r="N319" s="358"/>
      <c r="O319" s="358"/>
      <c r="P319" s="358"/>
      <c r="Q319" s="358"/>
      <c r="R319" s="358"/>
      <c r="S319" s="358"/>
      <c r="T319" s="358"/>
      <c r="U319" s="358"/>
      <c r="V319" s="358"/>
      <c r="W319" s="358"/>
      <c r="X319" s="358"/>
      <c r="Y319" s="358"/>
      <c r="Z319" s="358"/>
    </row>
    <row r="320" spans="1:26" s="512" customFormat="1" ht="30">
      <c r="A320" s="338" t="s">
        <v>7141</v>
      </c>
      <c r="B320" s="576" t="s">
        <v>6333</v>
      </c>
      <c r="C320" s="576">
        <v>4283</v>
      </c>
      <c r="D320" s="336" t="s">
        <v>7140</v>
      </c>
      <c r="E320" s="341">
        <v>18</v>
      </c>
      <c r="F320" s="342" t="s">
        <v>6337</v>
      </c>
      <c r="G320" s="352">
        <v>23.47</v>
      </c>
      <c r="H320" s="339">
        <f>ROUND(G320*$B$13,2)</f>
        <v>6.32</v>
      </c>
      <c r="I320" s="339">
        <f>H320+G320</f>
        <v>29.79</v>
      </c>
      <c r="J320" s="431">
        <f>ROUND(I320*E320,2)</f>
        <v>536.22</v>
      </c>
      <c r="K320" s="510">
        <f t="shared" ref="K320:K335" si="130">ROUND(G320*E320,2)</f>
        <v>422.46</v>
      </c>
      <c r="L320" s="510">
        <f t="shared" ref="L320:L335" si="131">ROUND(H320*E320,2)</f>
        <v>113.76</v>
      </c>
      <c r="M320" s="519"/>
      <c r="N320" s="519"/>
      <c r="O320" s="519"/>
      <c r="P320" s="519">
        <f>0.1*J320</f>
        <v>53.622000000000007</v>
      </c>
      <c r="Q320" s="519"/>
      <c r="R320" s="519"/>
      <c r="S320" s="519"/>
      <c r="T320" s="519"/>
      <c r="U320" s="519">
        <f>0.3*J320</f>
        <v>160.86600000000001</v>
      </c>
      <c r="V320" s="519">
        <f>0.3*J320</f>
        <v>160.86600000000001</v>
      </c>
      <c r="W320" s="519">
        <f>0.3*J320</f>
        <v>160.86600000000001</v>
      </c>
      <c r="X320" s="519"/>
      <c r="Y320" s="519"/>
      <c r="Z320" s="519"/>
    </row>
    <row r="321" spans="1:26" s="512" customFormat="1" ht="15">
      <c r="A321" s="337" t="s">
        <v>7142</v>
      </c>
      <c r="B321" s="698" t="s">
        <v>7143</v>
      </c>
      <c r="C321" s="698"/>
      <c r="D321" s="698"/>
      <c r="E321" s="698"/>
      <c r="F321" s="698"/>
      <c r="G321" s="698"/>
      <c r="H321" s="698"/>
      <c r="I321" s="698"/>
      <c r="J321" s="698"/>
      <c r="K321" s="510">
        <f t="shared" si="130"/>
        <v>0</v>
      </c>
      <c r="L321" s="510">
        <f t="shared" si="131"/>
        <v>0</v>
      </c>
      <c r="M321" s="519"/>
      <c r="N321" s="519"/>
      <c r="O321" s="519"/>
      <c r="P321" s="519"/>
      <c r="Q321" s="519"/>
      <c r="R321" s="519"/>
      <c r="S321" s="519"/>
      <c r="T321" s="519"/>
      <c r="U321" s="519"/>
      <c r="V321" s="519"/>
      <c r="W321" s="519"/>
      <c r="X321" s="519"/>
      <c r="Y321" s="519"/>
      <c r="Z321" s="519"/>
    </row>
    <row r="322" spans="1:26" s="512" customFormat="1" ht="30">
      <c r="A322" s="338" t="s">
        <v>7152</v>
      </c>
      <c r="B322" s="576" t="s">
        <v>5256</v>
      </c>
      <c r="C322" s="576">
        <v>89512</v>
      </c>
      <c r="D322" s="336" t="s">
        <v>7144</v>
      </c>
      <c r="E322" s="341">
        <f>337.72+6.44+12.59</f>
        <v>356.75</v>
      </c>
      <c r="F322" s="342" t="s">
        <v>6774</v>
      </c>
      <c r="G322" s="352">
        <v>34.770000000000003</v>
      </c>
      <c r="H322" s="339">
        <f t="shared" ref="H322:H328" si="132">ROUND(G322*$B$13,2)</f>
        <v>9.36</v>
      </c>
      <c r="I322" s="339">
        <f t="shared" ref="I322:I328" si="133">H322+G322</f>
        <v>44.13</v>
      </c>
      <c r="J322" s="431">
        <f t="shared" ref="J322:J328" si="134">ROUND(I322*E322,2)</f>
        <v>15743.38</v>
      </c>
      <c r="K322" s="510">
        <f t="shared" si="130"/>
        <v>12404.2</v>
      </c>
      <c r="L322" s="510">
        <f t="shared" si="131"/>
        <v>3339.18</v>
      </c>
      <c r="M322" s="519"/>
      <c r="N322" s="519"/>
      <c r="O322" s="519"/>
      <c r="P322" s="519">
        <f>0.1*J322</f>
        <v>1574.338</v>
      </c>
      <c r="Q322" s="519"/>
      <c r="R322" s="519"/>
      <c r="S322" s="519"/>
      <c r="T322" s="519"/>
      <c r="U322" s="519">
        <f>0.3*J322</f>
        <v>4723.0139999999992</v>
      </c>
      <c r="V322" s="519">
        <f>0.3*J322</f>
        <v>4723.0139999999992</v>
      </c>
      <c r="W322" s="519">
        <f>0.3*J322</f>
        <v>4723.0139999999992</v>
      </c>
      <c r="X322" s="519"/>
      <c r="Y322" s="519"/>
      <c r="Z322" s="519"/>
    </row>
    <row r="323" spans="1:26" s="512" customFormat="1" ht="15">
      <c r="A323" s="338" t="s">
        <v>7153</v>
      </c>
      <c r="B323" s="576" t="s">
        <v>5256</v>
      </c>
      <c r="C323" s="576">
        <v>72295</v>
      </c>
      <c r="D323" s="336" t="s">
        <v>7145</v>
      </c>
      <c r="E323" s="341">
        <v>6</v>
      </c>
      <c r="F323" s="342" t="s">
        <v>6337</v>
      </c>
      <c r="G323" s="352">
        <v>8.7100000000000009</v>
      </c>
      <c r="H323" s="339">
        <f t="shared" si="132"/>
        <v>2.35</v>
      </c>
      <c r="I323" s="339">
        <f t="shared" si="133"/>
        <v>11.06</v>
      </c>
      <c r="J323" s="431">
        <f t="shared" si="134"/>
        <v>66.36</v>
      </c>
      <c r="K323" s="510">
        <f t="shared" si="130"/>
        <v>52.26</v>
      </c>
      <c r="L323" s="510">
        <f t="shared" si="131"/>
        <v>14.1</v>
      </c>
      <c r="M323" s="519"/>
      <c r="N323" s="519"/>
      <c r="O323" s="519"/>
      <c r="P323" s="519">
        <f>0.1*J323</f>
        <v>6.6360000000000001</v>
      </c>
      <c r="Q323" s="519"/>
      <c r="R323" s="519"/>
      <c r="S323" s="519"/>
      <c r="T323" s="519"/>
      <c r="U323" s="519">
        <f>0.3*J323</f>
        <v>19.907999999999998</v>
      </c>
      <c r="V323" s="519">
        <f>0.3*J323</f>
        <v>19.907999999999998</v>
      </c>
      <c r="W323" s="519">
        <f>0.3*J323</f>
        <v>19.907999999999998</v>
      </c>
      <c r="X323" s="519"/>
      <c r="Y323" s="519"/>
      <c r="Z323" s="519"/>
    </row>
    <row r="324" spans="1:26" s="512" customFormat="1" ht="30">
      <c r="A324" s="338" t="s">
        <v>8858</v>
      </c>
      <c r="B324" s="576" t="s">
        <v>5256</v>
      </c>
      <c r="C324" s="576" t="s">
        <v>7151</v>
      </c>
      <c r="D324" s="336" t="s">
        <v>7146</v>
      </c>
      <c r="E324" s="341">
        <v>12</v>
      </c>
      <c r="F324" s="342" t="s">
        <v>6337</v>
      </c>
      <c r="G324" s="352">
        <v>26.54</v>
      </c>
      <c r="H324" s="339">
        <f t="shared" si="132"/>
        <v>7.15</v>
      </c>
      <c r="I324" s="339">
        <f t="shared" si="133"/>
        <v>33.69</v>
      </c>
      <c r="J324" s="431">
        <f t="shared" si="134"/>
        <v>404.28</v>
      </c>
      <c r="K324" s="510">
        <f t="shared" si="130"/>
        <v>318.48</v>
      </c>
      <c r="L324" s="510">
        <f t="shared" si="131"/>
        <v>85.8</v>
      </c>
      <c r="M324" s="519"/>
      <c r="N324" s="519"/>
      <c r="O324" s="519"/>
      <c r="P324" s="519">
        <f>0.1*J324</f>
        <v>40.427999999999997</v>
      </c>
      <c r="Q324" s="519"/>
      <c r="R324" s="519"/>
      <c r="S324" s="519"/>
      <c r="T324" s="519"/>
      <c r="U324" s="519">
        <f>0.3*J324</f>
        <v>121.28399999999999</v>
      </c>
      <c r="V324" s="519">
        <f>0.3*J324</f>
        <v>121.28399999999999</v>
      </c>
      <c r="W324" s="519">
        <f>0.3*J324</f>
        <v>121.28399999999999</v>
      </c>
      <c r="X324" s="519"/>
      <c r="Y324" s="519"/>
      <c r="Z324" s="519"/>
    </row>
    <row r="325" spans="1:26" s="512" customFormat="1" ht="30">
      <c r="A325" s="338" t="s">
        <v>8859</v>
      </c>
      <c r="B325" s="576" t="s">
        <v>5256</v>
      </c>
      <c r="C325" s="576">
        <v>95695</v>
      </c>
      <c r="D325" s="336" t="s">
        <v>7147</v>
      </c>
      <c r="E325" s="341">
        <v>11</v>
      </c>
      <c r="F325" s="342" t="s">
        <v>6337</v>
      </c>
      <c r="G325" s="352">
        <v>32.57</v>
      </c>
      <c r="H325" s="339">
        <f t="shared" si="132"/>
        <v>8.77</v>
      </c>
      <c r="I325" s="339">
        <f t="shared" si="133"/>
        <v>41.34</v>
      </c>
      <c r="J325" s="431">
        <f t="shared" si="134"/>
        <v>454.74</v>
      </c>
      <c r="K325" s="510">
        <f t="shared" si="130"/>
        <v>358.27</v>
      </c>
      <c r="L325" s="510">
        <f t="shared" si="131"/>
        <v>96.47</v>
      </c>
      <c r="M325" s="519"/>
      <c r="N325" s="519"/>
      <c r="O325" s="519"/>
      <c r="P325" s="519">
        <f>0.1*J325</f>
        <v>45.474000000000004</v>
      </c>
      <c r="Q325" s="519"/>
      <c r="R325" s="519"/>
      <c r="S325" s="519"/>
      <c r="T325" s="519"/>
      <c r="U325" s="519">
        <f>0.3*J325</f>
        <v>136.422</v>
      </c>
      <c r="V325" s="519">
        <f>0.3*J325</f>
        <v>136.422</v>
      </c>
      <c r="W325" s="519">
        <f>0.3*J325</f>
        <v>136.422</v>
      </c>
      <c r="X325" s="519"/>
      <c r="Y325" s="519"/>
      <c r="Z325" s="519"/>
    </row>
    <row r="326" spans="1:26" s="512" customFormat="1" ht="30">
      <c r="A326" s="338" t="s">
        <v>7154</v>
      </c>
      <c r="B326" s="576" t="s">
        <v>5256</v>
      </c>
      <c r="C326" s="576">
        <v>89690</v>
      </c>
      <c r="D326" s="336" t="s">
        <v>7148</v>
      </c>
      <c r="E326" s="341">
        <v>4</v>
      </c>
      <c r="F326" s="342" t="s">
        <v>6337</v>
      </c>
      <c r="G326" s="352">
        <v>36.68</v>
      </c>
      <c r="H326" s="339">
        <f t="shared" si="132"/>
        <v>9.8800000000000008</v>
      </c>
      <c r="I326" s="339">
        <f t="shared" si="133"/>
        <v>46.56</v>
      </c>
      <c r="J326" s="431">
        <f t="shared" si="134"/>
        <v>186.24</v>
      </c>
      <c r="K326" s="510">
        <f t="shared" si="130"/>
        <v>146.72</v>
      </c>
      <c r="L326" s="510">
        <f t="shared" si="131"/>
        <v>39.520000000000003</v>
      </c>
      <c r="M326" s="519"/>
      <c r="N326" s="519"/>
      <c r="O326" s="519"/>
      <c r="P326" s="519">
        <f>0.1*J326</f>
        <v>18.624000000000002</v>
      </c>
      <c r="Q326" s="519"/>
      <c r="R326" s="519"/>
      <c r="S326" s="519"/>
      <c r="T326" s="519"/>
      <c r="U326" s="519">
        <f>0.3*J326</f>
        <v>55.872</v>
      </c>
      <c r="V326" s="519">
        <f>0.3*J326</f>
        <v>55.872</v>
      </c>
      <c r="W326" s="519">
        <f>0.3*J326</f>
        <v>55.872</v>
      </c>
      <c r="X326" s="519"/>
      <c r="Y326" s="519"/>
      <c r="Z326" s="519"/>
    </row>
    <row r="327" spans="1:26" s="512" customFormat="1" ht="30">
      <c r="A327" s="338" t="s">
        <v>8860</v>
      </c>
      <c r="B327" s="576" t="s">
        <v>5256</v>
      </c>
      <c r="C327" s="576">
        <v>89669</v>
      </c>
      <c r="D327" s="336" t="s">
        <v>7149</v>
      </c>
      <c r="E327" s="341">
        <v>14</v>
      </c>
      <c r="F327" s="342" t="s">
        <v>6337</v>
      </c>
      <c r="G327" s="352">
        <v>11.46</v>
      </c>
      <c r="H327" s="339">
        <f t="shared" si="132"/>
        <v>3.09</v>
      </c>
      <c r="I327" s="339">
        <f t="shared" si="133"/>
        <v>14.55</v>
      </c>
      <c r="J327" s="431">
        <f t="shared" si="134"/>
        <v>203.7</v>
      </c>
      <c r="K327" s="510">
        <f t="shared" si="130"/>
        <v>160.44</v>
      </c>
      <c r="L327" s="510">
        <f t="shared" si="131"/>
        <v>43.26</v>
      </c>
      <c r="M327" s="519"/>
      <c r="N327" s="519"/>
      <c r="O327" s="519"/>
      <c r="P327" s="519">
        <f t="shared" ref="P327:P328" si="135">0.1*J327</f>
        <v>20.37</v>
      </c>
      <c r="Q327" s="519"/>
      <c r="R327" s="519"/>
      <c r="S327" s="519"/>
      <c r="T327" s="519"/>
      <c r="U327" s="519">
        <f t="shared" ref="U327:U328" si="136">0.3*J327</f>
        <v>61.109999999999992</v>
      </c>
      <c r="V327" s="519">
        <f t="shared" ref="V327:V328" si="137">0.3*J327</f>
        <v>61.109999999999992</v>
      </c>
      <c r="W327" s="519">
        <f t="shared" ref="W327:W328" si="138">0.3*J327</f>
        <v>61.109999999999992</v>
      </c>
      <c r="X327" s="519"/>
      <c r="Y327" s="519"/>
      <c r="Z327" s="519"/>
    </row>
    <row r="328" spans="1:26" s="512" customFormat="1" ht="30">
      <c r="A328" s="338" t="s">
        <v>8861</v>
      </c>
      <c r="B328" s="576" t="s">
        <v>5256</v>
      </c>
      <c r="C328" s="576">
        <v>89761</v>
      </c>
      <c r="D328" s="336" t="s">
        <v>7150</v>
      </c>
      <c r="E328" s="341">
        <v>11</v>
      </c>
      <c r="F328" s="342" t="s">
        <v>6337</v>
      </c>
      <c r="G328" s="352">
        <v>12.26</v>
      </c>
      <c r="H328" s="339">
        <f t="shared" si="132"/>
        <v>3.3</v>
      </c>
      <c r="I328" s="339">
        <f t="shared" si="133"/>
        <v>15.559999999999999</v>
      </c>
      <c r="J328" s="431">
        <f t="shared" si="134"/>
        <v>171.16</v>
      </c>
      <c r="K328" s="510">
        <f t="shared" si="130"/>
        <v>134.86000000000001</v>
      </c>
      <c r="L328" s="510">
        <f t="shared" si="131"/>
        <v>36.299999999999997</v>
      </c>
      <c r="M328" s="519"/>
      <c r="N328" s="519"/>
      <c r="O328" s="519"/>
      <c r="P328" s="519">
        <f t="shared" si="135"/>
        <v>17.116</v>
      </c>
      <c r="Q328" s="519"/>
      <c r="R328" s="519"/>
      <c r="S328" s="519"/>
      <c r="T328" s="519"/>
      <c r="U328" s="519">
        <f t="shared" si="136"/>
        <v>51.347999999999999</v>
      </c>
      <c r="V328" s="519">
        <f t="shared" si="137"/>
        <v>51.347999999999999</v>
      </c>
      <c r="W328" s="519">
        <f t="shared" si="138"/>
        <v>51.347999999999999</v>
      </c>
      <c r="X328" s="519"/>
      <c r="Y328" s="519"/>
      <c r="Z328" s="519"/>
    </row>
    <row r="329" spans="1:26" s="512" customFormat="1" ht="15">
      <c r="A329" s="337" t="s">
        <v>7859</v>
      </c>
      <c r="B329" s="698" t="s">
        <v>7860</v>
      </c>
      <c r="C329" s="698"/>
      <c r="D329" s="698"/>
      <c r="E329" s="698"/>
      <c r="F329" s="698"/>
      <c r="G329" s="698"/>
      <c r="H329" s="698"/>
      <c r="I329" s="698"/>
      <c r="J329" s="698"/>
      <c r="K329" s="510">
        <f t="shared" si="130"/>
        <v>0</v>
      </c>
      <c r="L329" s="510">
        <f t="shared" si="131"/>
        <v>0</v>
      </c>
      <c r="M329" s="519"/>
      <c r="N329" s="519"/>
      <c r="O329" s="519"/>
      <c r="P329" s="519"/>
      <c r="Q329" s="519"/>
      <c r="R329" s="519"/>
      <c r="S329" s="519"/>
      <c r="T329" s="519"/>
      <c r="U329" s="519"/>
      <c r="V329" s="519"/>
      <c r="W329" s="519"/>
      <c r="X329" s="519"/>
      <c r="Y329" s="519"/>
      <c r="Z329" s="519"/>
    </row>
    <row r="330" spans="1:26" s="512" customFormat="1" ht="45">
      <c r="A330" s="338" t="s">
        <v>7861</v>
      </c>
      <c r="B330" s="576" t="s">
        <v>5256</v>
      </c>
      <c r="C330" s="576">
        <v>92210</v>
      </c>
      <c r="D330" s="336" t="s">
        <v>7862</v>
      </c>
      <c r="E330" s="341">
        <v>292.79000000000002</v>
      </c>
      <c r="F330" s="342" t="s">
        <v>6774</v>
      </c>
      <c r="G330" s="352">
        <v>84.62</v>
      </c>
      <c r="H330" s="339">
        <f>ROUND(G330*$B$13,2)</f>
        <v>22.79</v>
      </c>
      <c r="I330" s="339">
        <f>H330+G330</f>
        <v>107.41</v>
      </c>
      <c r="J330" s="431">
        <f>ROUND(I330*E330,2)</f>
        <v>31448.57</v>
      </c>
      <c r="K330" s="510">
        <f t="shared" si="130"/>
        <v>24775.89</v>
      </c>
      <c r="L330" s="510">
        <f t="shared" si="131"/>
        <v>6672.68</v>
      </c>
      <c r="M330" s="519"/>
      <c r="N330" s="519"/>
      <c r="O330" s="519"/>
      <c r="P330" s="519">
        <f t="shared" ref="P330" si="139">0.1*J330</f>
        <v>3144.857</v>
      </c>
      <c r="Q330" s="519"/>
      <c r="R330" s="519"/>
      <c r="S330" s="519"/>
      <c r="T330" s="519"/>
      <c r="U330" s="519">
        <f t="shared" ref="U330" si="140">0.3*J330</f>
        <v>9434.5709999999999</v>
      </c>
      <c r="V330" s="519">
        <f t="shared" ref="V330" si="141">0.3*J330</f>
        <v>9434.5709999999999</v>
      </c>
      <c r="W330" s="519">
        <f t="shared" ref="W330" si="142">0.3*J330</f>
        <v>9434.5709999999999</v>
      </c>
      <c r="X330" s="519"/>
      <c r="Y330" s="519"/>
      <c r="Z330" s="519"/>
    </row>
    <row r="331" spans="1:26" s="512" customFormat="1" ht="15">
      <c r="A331" s="337" t="s">
        <v>7155</v>
      </c>
      <c r="B331" s="698" t="s">
        <v>7156</v>
      </c>
      <c r="C331" s="698"/>
      <c r="D331" s="698"/>
      <c r="E331" s="698"/>
      <c r="F331" s="698"/>
      <c r="G331" s="698"/>
      <c r="H331" s="698"/>
      <c r="I331" s="698"/>
      <c r="J331" s="698"/>
      <c r="K331" s="510">
        <f t="shared" si="130"/>
        <v>0</v>
      </c>
      <c r="L331" s="510">
        <f t="shared" si="131"/>
        <v>0</v>
      </c>
      <c r="M331" s="519"/>
      <c r="N331" s="519"/>
      <c r="O331" s="519"/>
      <c r="P331" s="519"/>
      <c r="Q331" s="519"/>
      <c r="R331" s="519"/>
      <c r="S331" s="519"/>
      <c r="T331" s="519"/>
      <c r="U331" s="519"/>
      <c r="V331" s="519"/>
      <c r="W331" s="519"/>
      <c r="X331" s="519"/>
      <c r="Y331" s="519"/>
      <c r="Z331" s="519"/>
    </row>
    <row r="332" spans="1:26" s="512" customFormat="1" ht="30">
      <c r="A332" s="338" t="s">
        <v>7161</v>
      </c>
      <c r="B332" s="576" t="s">
        <v>5256</v>
      </c>
      <c r="C332" s="576" t="s">
        <v>7165</v>
      </c>
      <c r="D332" s="336" t="s">
        <v>7157</v>
      </c>
      <c r="E332" s="341">
        <v>16</v>
      </c>
      <c r="F332" s="342" t="s">
        <v>6337</v>
      </c>
      <c r="G332" s="352">
        <v>125.99</v>
      </c>
      <c r="H332" s="339">
        <f>ROUND(G332*$B$13,2)</f>
        <v>33.93</v>
      </c>
      <c r="I332" s="339">
        <f>H332+G332</f>
        <v>159.91999999999999</v>
      </c>
      <c r="J332" s="431">
        <f>ROUND(I332*E332,2)</f>
        <v>2558.7199999999998</v>
      </c>
      <c r="K332" s="510">
        <f t="shared" si="130"/>
        <v>2015.84</v>
      </c>
      <c r="L332" s="510">
        <f t="shared" si="131"/>
        <v>542.88</v>
      </c>
      <c r="M332" s="519"/>
      <c r="N332" s="519"/>
      <c r="O332" s="519"/>
      <c r="P332" s="519">
        <f t="shared" ref="P332:P335" si="143">0.1*J332</f>
        <v>255.87199999999999</v>
      </c>
      <c r="Q332" s="519"/>
      <c r="R332" s="519"/>
      <c r="S332" s="519"/>
      <c r="T332" s="519"/>
      <c r="U332" s="519">
        <f t="shared" ref="U332:U335" si="144">0.3*J332</f>
        <v>767.61599999999987</v>
      </c>
      <c r="V332" s="519">
        <f t="shared" ref="V332:V335" si="145">0.3*J332</f>
        <v>767.61599999999987</v>
      </c>
      <c r="W332" s="519">
        <f t="shared" ref="W332:W335" si="146">0.3*J332</f>
        <v>767.61599999999987</v>
      </c>
      <c r="X332" s="519"/>
      <c r="Y332" s="519"/>
      <c r="Z332" s="519"/>
    </row>
    <row r="333" spans="1:26" s="512" customFormat="1" ht="15">
      <c r="A333" s="338" t="s">
        <v>7162</v>
      </c>
      <c r="B333" s="576" t="s">
        <v>5256</v>
      </c>
      <c r="C333" s="576">
        <v>6171</v>
      </c>
      <c r="D333" s="336" t="s">
        <v>7158</v>
      </c>
      <c r="E333" s="341">
        <v>16</v>
      </c>
      <c r="F333" s="342" t="s">
        <v>6337</v>
      </c>
      <c r="G333" s="352">
        <v>18.260000000000002</v>
      </c>
      <c r="H333" s="339">
        <f>ROUND(G333*$B$13,2)</f>
        <v>4.92</v>
      </c>
      <c r="I333" s="339">
        <f>H333+G333</f>
        <v>23.18</v>
      </c>
      <c r="J333" s="431">
        <f>ROUND(I333*E333,2)</f>
        <v>370.88</v>
      </c>
      <c r="K333" s="510">
        <f t="shared" si="130"/>
        <v>292.16000000000003</v>
      </c>
      <c r="L333" s="510">
        <f t="shared" si="131"/>
        <v>78.72</v>
      </c>
      <c r="M333" s="519"/>
      <c r="N333" s="519"/>
      <c r="O333" s="519"/>
      <c r="P333" s="519">
        <f t="shared" si="143"/>
        <v>37.088000000000001</v>
      </c>
      <c r="Q333" s="519"/>
      <c r="R333" s="519"/>
      <c r="S333" s="519"/>
      <c r="T333" s="519"/>
      <c r="U333" s="519">
        <f t="shared" si="144"/>
        <v>111.264</v>
      </c>
      <c r="V333" s="519">
        <f t="shared" si="145"/>
        <v>111.264</v>
      </c>
      <c r="W333" s="519">
        <f t="shared" si="146"/>
        <v>111.264</v>
      </c>
      <c r="X333" s="519"/>
      <c r="Y333" s="519"/>
      <c r="Z333" s="519"/>
    </row>
    <row r="334" spans="1:26" s="512" customFormat="1" ht="15">
      <c r="A334" s="338" t="s">
        <v>7163</v>
      </c>
      <c r="B334" s="576" t="s">
        <v>5256</v>
      </c>
      <c r="C334" s="576">
        <v>93358</v>
      </c>
      <c r="D334" s="336" t="s">
        <v>7159</v>
      </c>
      <c r="E334" s="341">
        <f>16*0.6*0.6*0.6</f>
        <v>3.456</v>
      </c>
      <c r="F334" s="342" t="s">
        <v>6741</v>
      </c>
      <c r="G334" s="352">
        <v>46.01</v>
      </c>
      <c r="H334" s="339">
        <f>ROUND(G334*$B$13,2)</f>
        <v>12.39</v>
      </c>
      <c r="I334" s="339">
        <f>H334+G334</f>
        <v>58.4</v>
      </c>
      <c r="J334" s="431">
        <f>ROUND(I334*E334,2)</f>
        <v>201.83</v>
      </c>
      <c r="K334" s="510">
        <f t="shared" si="130"/>
        <v>159.01</v>
      </c>
      <c r="L334" s="510">
        <f t="shared" si="131"/>
        <v>42.82</v>
      </c>
      <c r="M334" s="519"/>
      <c r="N334" s="519"/>
      <c r="O334" s="519"/>
      <c r="P334" s="519">
        <f t="shared" si="143"/>
        <v>20.183000000000003</v>
      </c>
      <c r="Q334" s="519"/>
      <c r="R334" s="519"/>
      <c r="S334" s="519"/>
      <c r="T334" s="519"/>
      <c r="U334" s="519">
        <f t="shared" si="144"/>
        <v>60.548999999999999</v>
      </c>
      <c r="V334" s="519">
        <f t="shared" si="145"/>
        <v>60.548999999999999</v>
      </c>
      <c r="W334" s="519">
        <f t="shared" si="146"/>
        <v>60.548999999999999</v>
      </c>
      <c r="X334" s="519"/>
      <c r="Y334" s="519"/>
      <c r="Z334" s="519"/>
    </row>
    <row r="335" spans="1:26" s="512" customFormat="1" ht="30">
      <c r="A335" s="338" t="s">
        <v>7164</v>
      </c>
      <c r="B335" s="576" t="s">
        <v>5256</v>
      </c>
      <c r="C335" s="576">
        <v>90724</v>
      </c>
      <c r="D335" s="336" t="s">
        <v>7160</v>
      </c>
      <c r="E335" s="341">
        <v>48</v>
      </c>
      <c r="F335" s="342" t="s">
        <v>6337</v>
      </c>
      <c r="G335" s="352">
        <v>13.34</v>
      </c>
      <c r="H335" s="339">
        <f>ROUND(G335*$B$13,2)</f>
        <v>3.59</v>
      </c>
      <c r="I335" s="339">
        <f>H335+G335</f>
        <v>16.93</v>
      </c>
      <c r="J335" s="431">
        <f>ROUND(I335*E335,2)</f>
        <v>812.64</v>
      </c>
      <c r="K335" s="510">
        <f t="shared" si="130"/>
        <v>640.32000000000005</v>
      </c>
      <c r="L335" s="510">
        <f t="shared" si="131"/>
        <v>172.32</v>
      </c>
      <c r="M335" s="519"/>
      <c r="N335" s="519"/>
      <c r="O335" s="519"/>
      <c r="P335" s="519">
        <f t="shared" si="143"/>
        <v>81.26400000000001</v>
      </c>
      <c r="Q335" s="519"/>
      <c r="R335" s="519"/>
      <c r="S335" s="519"/>
      <c r="T335" s="519"/>
      <c r="U335" s="519">
        <f t="shared" si="144"/>
        <v>243.79199999999997</v>
      </c>
      <c r="V335" s="519">
        <f t="shared" si="145"/>
        <v>243.79199999999997</v>
      </c>
      <c r="W335" s="519">
        <f t="shared" si="146"/>
        <v>243.79199999999997</v>
      </c>
      <c r="X335" s="519"/>
      <c r="Y335" s="519"/>
      <c r="Z335" s="519"/>
    </row>
    <row r="336" spans="1:26" s="6" customFormat="1" ht="15">
      <c r="A336" s="700" t="s">
        <v>7138</v>
      </c>
      <c r="B336" s="700"/>
      <c r="C336" s="700"/>
      <c r="D336" s="700"/>
      <c r="E336" s="700"/>
      <c r="F336" s="700"/>
      <c r="G336" s="700"/>
      <c r="H336" s="700"/>
      <c r="I336" s="700"/>
      <c r="J336" s="432">
        <f>SUM(J318:J335)</f>
        <v>53158.720000000001</v>
      </c>
      <c r="K336" s="513"/>
      <c r="L336" s="117"/>
      <c r="M336" s="514">
        <f t="shared" ref="M336:Z336" si="147">SUM(M318:M335)</f>
        <v>0</v>
      </c>
      <c r="N336" s="514">
        <f t="shared" si="147"/>
        <v>0</v>
      </c>
      <c r="O336" s="514">
        <f t="shared" si="147"/>
        <v>0</v>
      </c>
      <c r="P336" s="514">
        <f t="shared" si="147"/>
        <v>5315.8720000000003</v>
      </c>
      <c r="Q336" s="514">
        <f t="shared" si="147"/>
        <v>0</v>
      </c>
      <c r="R336" s="514">
        <f t="shared" si="147"/>
        <v>0</v>
      </c>
      <c r="S336" s="514">
        <f t="shared" si="147"/>
        <v>0</v>
      </c>
      <c r="T336" s="514">
        <f t="shared" si="147"/>
        <v>0</v>
      </c>
      <c r="U336" s="514">
        <f t="shared" si="147"/>
        <v>15947.615999999998</v>
      </c>
      <c r="V336" s="514">
        <f t="shared" si="147"/>
        <v>15947.615999999998</v>
      </c>
      <c r="W336" s="514">
        <f t="shared" si="147"/>
        <v>15947.615999999998</v>
      </c>
      <c r="X336" s="514">
        <f t="shared" si="147"/>
        <v>0</v>
      </c>
      <c r="Y336" s="514">
        <f t="shared" si="147"/>
        <v>0</v>
      </c>
      <c r="Z336" s="514">
        <f t="shared" si="147"/>
        <v>0</v>
      </c>
    </row>
    <row r="337" spans="1:26" s="6" customFormat="1" ht="15">
      <c r="A337" s="29"/>
      <c r="B337" s="29"/>
      <c r="C337" s="29"/>
      <c r="D337" s="29"/>
      <c r="E337" s="189"/>
      <c r="F337" s="29"/>
      <c r="G337" s="353"/>
      <c r="H337" s="28"/>
      <c r="I337" s="28"/>
      <c r="J337" s="433"/>
      <c r="K337" s="155"/>
      <c r="L337" s="117"/>
      <c r="M337" s="358"/>
      <c r="N337" s="358"/>
      <c r="O337" s="358"/>
      <c r="P337" s="358"/>
      <c r="Q337" s="358"/>
      <c r="R337" s="358"/>
      <c r="S337" s="358"/>
      <c r="T337" s="358"/>
      <c r="U337" s="358"/>
      <c r="V337" s="358"/>
      <c r="W337" s="358"/>
      <c r="X337" s="358"/>
      <c r="Y337" s="358"/>
      <c r="Z337" s="358"/>
    </row>
    <row r="338" spans="1:26" s="6" customFormat="1" ht="15">
      <c r="A338" s="197" t="s">
        <v>5941</v>
      </c>
      <c r="B338" s="699" t="s">
        <v>5946</v>
      </c>
      <c r="C338" s="699"/>
      <c r="D338" s="699"/>
      <c r="E338" s="699"/>
      <c r="F338" s="699"/>
      <c r="G338" s="699"/>
      <c r="H338" s="699"/>
      <c r="I338" s="699"/>
      <c r="J338" s="699"/>
      <c r="K338" s="509"/>
      <c r="L338" s="117"/>
      <c r="M338" s="358"/>
      <c r="N338" s="358"/>
      <c r="O338" s="358"/>
      <c r="P338" s="358"/>
      <c r="Q338" s="358"/>
      <c r="R338" s="358"/>
      <c r="S338" s="358"/>
      <c r="T338" s="358"/>
      <c r="U338" s="358"/>
      <c r="V338" s="358"/>
      <c r="W338" s="358"/>
      <c r="X338" s="358"/>
      <c r="Y338" s="358"/>
      <c r="Z338" s="358"/>
    </row>
    <row r="339" spans="1:26" s="6" customFormat="1" ht="15">
      <c r="A339" s="337" t="s">
        <v>5942</v>
      </c>
      <c r="B339" s="698" t="s">
        <v>7166</v>
      </c>
      <c r="C339" s="698"/>
      <c r="D339" s="698"/>
      <c r="E339" s="698"/>
      <c r="F339" s="698"/>
      <c r="G339" s="698"/>
      <c r="H339" s="698"/>
      <c r="I339" s="698"/>
      <c r="J339" s="698"/>
      <c r="K339" s="39"/>
      <c r="L339" s="117"/>
      <c r="M339" s="358"/>
      <c r="N339" s="358"/>
      <c r="O339" s="358"/>
      <c r="P339" s="358"/>
      <c r="Q339" s="358"/>
      <c r="R339" s="358"/>
      <c r="S339" s="358"/>
      <c r="T339" s="358"/>
      <c r="U339" s="358"/>
      <c r="V339" s="358"/>
      <c r="W339" s="358"/>
      <c r="X339" s="358"/>
      <c r="Y339" s="358"/>
      <c r="Z339" s="358"/>
    </row>
    <row r="340" spans="1:26" s="512" customFormat="1" ht="30">
      <c r="A340" s="338" t="s">
        <v>8862</v>
      </c>
      <c r="B340" s="576" t="s">
        <v>5256</v>
      </c>
      <c r="C340" s="576">
        <v>89711</v>
      </c>
      <c r="D340" s="336" t="s">
        <v>7168</v>
      </c>
      <c r="E340" s="341">
        <f>66.53+115.1</f>
        <v>181.63</v>
      </c>
      <c r="F340" s="342" t="s">
        <v>6774</v>
      </c>
      <c r="G340" s="352">
        <v>10.93</v>
      </c>
      <c r="H340" s="339">
        <f t="shared" ref="H340:H371" si="148">ROUND(G340*$B$13,2)</f>
        <v>2.94</v>
      </c>
      <c r="I340" s="339">
        <f t="shared" ref="I340:I371" si="149">H340+G340</f>
        <v>13.87</v>
      </c>
      <c r="J340" s="431">
        <f t="shared" ref="J340:J371" si="150">ROUND(I340*E340,2)</f>
        <v>2519.21</v>
      </c>
      <c r="K340" s="510">
        <f t="shared" ref="K340:K397" si="151">ROUND(G340*E340,2)</f>
        <v>1985.22</v>
      </c>
      <c r="L340" s="510">
        <f t="shared" ref="L340:L397" si="152">ROUND(H340*E340,2)</f>
        <v>533.99</v>
      </c>
      <c r="M340" s="519"/>
      <c r="N340" s="519"/>
      <c r="O340" s="519"/>
      <c r="P340" s="519">
        <f>0.2*J340</f>
        <v>503.84200000000004</v>
      </c>
      <c r="Q340" s="519"/>
      <c r="R340" s="519"/>
      <c r="S340" s="519">
        <f>0.05*J340</f>
        <v>125.96050000000001</v>
      </c>
      <c r="T340" s="519">
        <f>0.05*J340</f>
        <v>125.96050000000001</v>
      </c>
      <c r="U340" s="519">
        <f>0.5*J340</f>
        <v>1259.605</v>
      </c>
      <c r="V340" s="519">
        <f>0.2*J340</f>
        <v>503.84200000000004</v>
      </c>
      <c r="W340" s="519"/>
      <c r="X340" s="519"/>
      <c r="Y340" s="519"/>
      <c r="Z340" s="519"/>
    </row>
    <row r="341" spans="1:26" s="512" customFormat="1" ht="30">
      <c r="A341" s="338" t="s">
        <v>8863</v>
      </c>
      <c r="B341" s="576" t="s">
        <v>5256</v>
      </c>
      <c r="C341" s="576">
        <v>89712</v>
      </c>
      <c r="D341" s="336" t="s">
        <v>7169</v>
      </c>
      <c r="E341" s="341">
        <f>0.12+119+6.55+63.87+6.06</f>
        <v>195.6</v>
      </c>
      <c r="F341" s="342" t="s">
        <v>6774</v>
      </c>
      <c r="G341" s="352">
        <v>16.12</v>
      </c>
      <c r="H341" s="339">
        <f t="shared" si="148"/>
        <v>4.34</v>
      </c>
      <c r="I341" s="339">
        <f t="shared" si="149"/>
        <v>20.46</v>
      </c>
      <c r="J341" s="431">
        <f t="shared" si="150"/>
        <v>4001.98</v>
      </c>
      <c r="K341" s="510">
        <f t="shared" si="151"/>
        <v>3153.07</v>
      </c>
      <c r="L341" s="510">
        <f t="shared" si="152"/>
        <v>848.9</v>
      </c>
      <c r="M341" s="519"/>
      <c r="N341" s="519"/>
      <c r="O341" s="519"/>
      <c r="P341" s="519">
        <f t="shared" ref="P341:P389" si="153">0.2*J341</f>
        <v>800.39600000000007</v>
      </c>
      <c r="Q341" s="519"/>
      <c r="R341" s="519"/>
      <c r="S341" s="519">
        <f t="shared" ref="S341:S389" si="154">0.05*J341</f>
        <v>200.09900000000002</v>
      </c>
      <c r="T341" s="519">
        <f t="shared" ref="T341:T389" si="155">0.05*J341</f>
        <v>200.09900000000002</v>
      </c>
      <c r="U341" s="519">
        <f t="shared" ref="U341:U389" si="156">0.5*J341</f>
        <v>2000.99</v>
      </c>
      <c r="V341" s="519">
        <f t="shared" ref="V341:V389" si="157">0.2*J341</f>
        <v>800.39600000000007</v>
      </c>
      <c r="W341" s="519"/>
      <c r="X341" s="519"/>
      <c r="Y341" s="519"/>
      <c r="Z341" s="519"/>
    </row>
    <row r="342" spans="1:26" s="512" customFormat="1" ht="30">
      <c r="A342" s="338" t="s">
        <v>8864</v>
      </c>
      <c r="B342" s="576" t="s">
        <v>5256</v>
      </c>
      <c r="C342" s="576">
        <v>89713</v>
      </c>
      <c r="D342" s="336" t="s">
        <v>7170</v>
      </c>
      <c r="E342" s="341">
        <f>85.59+107.22+3.91+102.67+113.64+2.65+2.65+13.75</f>
        <v>432.07999999999993</v>
      </c>
      <c r="F342" s="342" t="s">
        <v>6774</v>
      </c>
      <c r="G342" s="352">
        <v>24.58</v>
      </c>
      <c r="H342" s="339">
        <f t="shared" si="148"/>
        <v>6.62</v>
      </c>
      <c r="I342" s="339">
        <f t="shared" si="149"/>
        <v>31.2</v>
      </c>
      <c r="J342" s="431">
        <f t="shared" si="150"/>
        <v>13480.9</v>
      </c>
      <c r="K342" s="510">
        <f t="shared" si="151"/>
        <v>10620.53</v>
      </c>
      <c r="L342" s="510">
        <f t="shared" si="152"/>
        <v>2860.37</v>
      </c>
      <c r="M342" s="519"/>
      <c r="N342" s="519"/>
      <c r="O342" s="519"/>
      <c r="P342" s="519">
        <f t="shared" si="153"/>
        <v>2696.1800000000003</v>
      </c>
      <c r="Q342" s="519"/>
      <c r="R342" s="519"/>
      <c r="S342" s="519">
        <f t="shared" si="154"/>
        <v>674.04500000000007</v>
      </c>
      <c r="T342" s="519">
        <f t="shared" si="155"/>
        <v>674.04500000000007</v>
      </c>
      <c r="U342" s="519">
        <f t="shared" si="156"/>
        <v>6740.45</v>
      </c>
      <c r="V342" s="519">
        <f t="shared" si="157"/>
        <v>2696.1800000000003</v>
      </c>
      <c r="W342" s="519"/>
      <c r="X342" s="519"/>
      <c r="Y342" s="519"/>
      <c r="Z342" s="519"/>
    </row>
    <row r="343" spans="1:26" s="512" customFormat="1" ht="30">
      <c r="A343" s="338" t="s">
        <v>8865</v>
      </c>
      <c r="B343" s="576" t="s">
        <v>5256</v>
      </c>
      <c r="C343" s="576">
        <v>89714</v>
      </c>
      <c r="D343" s="336" t="s">
        <v>7171</v>
      </c>
      <c r="E343" s="341">
        <f>0.17+178.34+6.67+71.04+10.61</f>
        <v>266.83</v>
      </c>
      <c r="F343" s="342" t="s">
        <v>6774</v>
      </c>
      <c r="G343" s="352">
        <v>31.74</v>
      </c>
      <c r="H343" s="339">
        <f t="shared" si="148"/>
        <v>8.5500000000000007</v>
      </c>
      <c r="I343" s="339">
        <f t="shared" si="149"/>
        <v>40.29</v>
      </c>
      <c r="J343" s="431">
        <f t="shared" si="150"/>
        <v>10750.58</v>
      </c>
      <c r="K343" s="510">
        <f t="shared" si="151"/>
        <v>8469.18</v>
      </c>
      <c r="L343" s="510">
        <f t="shared" si="152"/>
        <v>2281.4</v>
      </c>
      <c r="M343" s="519"/>
      <c r="N343" s="519"/>
      <c r="O343" s="519"/>
      <c r="P343" s="519">
        <f t="shared" si="153"/>
        <v>2150.116</v>
      </c>
      <c r="Q343" s="519"/>
      <c r="R343" s="519"/>
      <c r="S343" s="519">
        <f t="shared" si="154"/>
        <v>537.529</v>
      </c>
      <c r="T343" s="519">
        <f t="shared" si="155"/>
        <v>537.529</v>
      </c>
      <c r="U343" s="519">
        <f t="shared" si="156"/>
        <v>5375.29</v>
      </c>
      <c r="V343" s="519">
        <f t="shared" si="157"/>
        <v>2150.116</v>
      </c>
      <c r="W343" s="519"/>
      <c r="X343" s="519"/>
      <c r="Y343" s="519"/>
      <c r="Z343" s="519"/>
    </row>
    <row r="344" spans="1:26" s="512" customFormat="1" ht="30">
      <c r="A344" s="338" t="s">
        <v>8866</v>
      </c>
      <c r="B344" s="576" t="s">
        <v>5256</v>
      </c>
      <c r="C344" s="576">
        <v>89849</v>
      </c>
      <c r="D344" s="336" t="s">
        <v>7172</v>
      </c>
      <c r="E344" s="341">
        <f>9.82+73.96</f>
        <v>83.78</v>
      </c>
      <c r="F344" s="342" t="s">
        <v>6774</v>
      </c>
      <c r="G344" s="352">
        <v>30.71</v>
      </c>
      <c r="H344" s="339">
        <f t="shared" si="148"/>
        <v>8.27</v>
      </c>
      <c r="I344" s="339">
        <f t="shared" si="149"/>
        <v>38.980000000000004</v>
      </c>
      <c r="J344" s="431">
        <f t="shared" si="150"/>
        <v>3265.74</v>
      </c>
      <c r="K344" s="510">
        <f t="shared" si="151"/>
        <v>2572.88</v>
      </c>
      <c r="L344" s="510">
        <f t="shared" si="152"/>
        <v>692.86</v>
      </c>
      <c r="M344" s="519"/>
      <c r="N344" s="519"/>
      <c r="O344" s="519"/>
      <c r="P344" s="519">
        <f t="shared" si="153"/>
        <v>653.14800000000002</v>
      </c>
      <c r="Q344" s="519"/>
      <c r="R344" s="519"/>
      <c r="S344" s="519">
        <f t="shared" si="154"/>
        <v>163.28700000000001</v>
      </c>
      <c r="T344" s="519">
        <f t="shared" si="155"/>
        <v>163.28700000000001</v>
      </c>
      <c r="U344" s="519">
        <f t="shared" si="156"/>
        <v>1632.87</v>
      </c>
      <c r="V344" s="519">
        <f t="shared" si="157"/>
        <v>653.14800000000002</v>
      </c>
      <c r="W344" s="519"/>
      <c r="X344" s="519"/>
      <c r="Y344" s="519"/>
      <c r="Z344" s="519"/>
    </row>
    <row r="345" spans="1:26" s="512" customFormat="1" ht="30">
      <c r="A345" s="338" t="s">
        <v>8867</v>
      </c>
      <c r="B345" s="576" t="s">
        <v>5256</v>
      </c>
      <c r="C345" s="576">
        <v>72293</v>
      </c>
      <c r="D345" s="336" t="s">
        <v>7173</v>
      </c>
      <c r="E345" s="341">
        <f>10</f>
        <v>10</v>
      </c>
      <c r="F345" s="342" t="s">
        <v>6337</v>
      </c>
      <c r="G345" s="352">
        <v>4.1900000000000004</v>
      </c>
      <c r="H345" s="339">
        <f t="shared" si="148"/>
        <v>1.1299999999999999</v>
      </c>
      <c r="I345" s="339">
        <f t="shared" si="149"/>
        <v>5.32</v>
      </c>
      <c r="J345" s="431">
        <f t="shared" si="150"/>
        <v>53.2</v>
      </c>
      <c r="K345" s="510">
        <f t="shared" si="151"/>
        <v>41.9</v>
      </c>
      <c r="L345" s="510">
        <f t="shared" si="152"/>
        <v>11.3</v>
      </c>
      <c r="M345" s="519"/>
      <c r="N345" s="519"/>
      <c r="O345" s="519"/>
      <c r="P345" s="519">
        <f t="shared" si="153"/>
        <v>10.64</v>
      </c>
      <c r="Q345" s="519"/>
      <c r="R345" s="519"/>
      <c r="S345" s="519">
        <f t="shared" si="154"/>
        <v>2.66</v>
      </c>
      <c r="T345" s="519">
        <f t="shared" si="155"/>
        <v>2.66</v>
      </c>
      <c r="U345" s="519">
        <f t="shared" si="156"/>
        <v>26.6</v>
      </c>
      <c r="V345" s="519">
        <f t="shared" si="157"/>
        <v>10.64</v>
      </c>
      <c r="W345" s="519"/>
      <c r="X345" s="519"/>
      <c r="Y345" s="519"/>
      <c r="Z345" s="519"/>
    </row>
    <row r="346" spans="1:26" s="512" customFormat="1" ht="30">
      <c r="A346" s="338" t="s">
        <v>8868</v>
      </c>
      <c r="B346" s="576" t="s">
        <v>5256</v>
      </c>
      <c r="C346" s="576">
        <v>72294</v>
      </c>
      <c r="D346" s="336" t="s">
        <v>7174</v>
      </c>
      <c r="E346" s="341">
        <f>9</f>
        <v>9</v>
      </c>
      <c r="F346" s="342" t="s">
        <v>6337</v>
      </c>
      <c r="G346" s="352">
        <v>6.29</v>
      </c>
      <c r="H346" s="339">
        <f t="shared" si="148"/>
        <v>1.69</v>
      </c>
      <c r="I346" s="339">
        <f t="shared" si="149"/>
        <v>7.98</v>
      </c>
      <c r="J346" s="431">
        <f t="shared" si="150"/>
        <v>71.819999999999993</v>
      </c>
      <c r="K346" s="510">
        <f t="shared" si="151"/>
        <v>56.61</v>
      </c>
      <c r="L346" s="510">
        <f t="shared" si="152"/>
        <v>15.21</v>
      </c>
      <c r="M346" s="519"/>
      <c r="N346" s="519"/>
      <c r="O346" s="519"/>
      <c r="P346" s="519">
        <f t="shared" si="153"/>
        <v>14.363999999999999</v>
      </c>
      <c r="Q346" s="519"/>
      <c r="R346" s="519"/>
      <c r="S346" s="519">
        <f t="shared" si="154"/>
        <v>3.5909999999999997</v>
      </c>
      <c r="T346" s="519">
        <f t="shared" si="155"/>
        <v>3.5909999999999997</v>
      </c>
      <c r="U346" s="519">
        <f t="shared" si="156"/>
        <v>35.909999999999997</v>
      </c>
      <c r="V346" s="519">
        <f t="shared" si="157"/>
        <v>14.363999999999999</v>
      </c>
      <c r="W346" s="519"/>
      <c r="X346" s="519"/>
      <c r="Y346" s="519"/>
      <c r="Z346" s="519"/>
    </row>
    <row r="347" spans="1:26" s="512" customFormat="1" ht="30">
      <c r="A347" s="338" t="s">
        <v>8869</v>
      </c>
      <c r="B347" s="576" t="s">
        <v>5256</v>
      </c>
      <c r="C347" s="576">
        <v>72295</v>
      </c>
      <c r="D347" s="336" t="s">
        <v>7175</v>
      </c>
      <c r="E347" s="341">
        <f>4</f>
        <v>4</v>
      </c>
      <c r="F347" s="342" t="s">
        <v>6337</v>
      </c>
      <c r="G347" s="352">
        <v>8.7100000000000009</v>
      </c>
      <c r="H347" s="339">
        <f t="shared" si="148"/>
        <v>2.35</v>
      </c>
      <c r="I347" s="339">
        <f t="shared" si="149"/>
        <v>11.06</v>
      </c>
      <c r="J347" s="431">
        <f t="shared" si="150"/>
        <v>44.24</v>
      </c>
      <c r="K347" s="510">
        <f t="shared" si="151"/>
        <v>34.840000000000003</v>
      </c>
      <c r="L347" s="510">
        <f t="shared" si="152"/>
        <v>9.4</v>
      </c>
      <c r="M347" s="519"/>
      <c r="N347" s="519"/>
      <c r="O347" s="519"/>
      <c r="P347" s="519">
        <f t="shared" si="153"/>
        <v>8.8480000000000008</v>
      </c>
      <c r="Q347" s="519"/>
      <c r="R347" s="519"/>
      <c r="S347" s="519">
        <f t="shared" si="154"/>
        <v>2.2120000000000002</v>
      </c>
      <c r="T347" s="519">
        <f t="shared" si="155"/>
        <v>2.2120000000000002</v>
      </c>
      <c r="U347" s="519">
        <f t="shared" si="156"/>
        <v>22.12</v>
      </c>
      <c r="V347" s="519">
        <f t="shared" si="157"/>
        <v>8.8480000000000008</v>
      </c>
      <c r="W347" s="519"/>
      <c r="X347" s="519"/>
      <c r="Y347" s="519"/>
      <c r="Z347" s="519"/>
    </row>
    <row r="348" spans="1:26" s="512" customFormat="1" ht="30">
      <c r="A348" s="338" t="s">
        <v>8870</v>
      </c>
      <c r="B348" s="576" t="s">
        <v>5256</v>
      </c>
      <c r="C348" s="576" t="s">
        <v>7216</v>
      </c>
      <c r="D348" s="336" t="s">
        <v>7176</v>
      </c>
      <c r="E348" s="341">
        <f>1</f>
        <v>1</v>
      </c>
      <c r="F348" s="342" t="s">
        <v>6337</v>
      </c>
      <c r="G348" s="352">
        <v>22.48</v>
      </c>
      <c r="H348" s="339">
        <f t="shared" si="148"/>
        <v>6.05</v>
      </c>
      <c r="I348" s="339">
        <f t="shared" si="149"/>
        <v>28.53</v>
      </c>
      <c r="J348" s="431">
        <f t="shared" si="150"/>
        <v>28.53</v>
      </c>
      <c r="K348" s="510">
        <f t="shared" si="151"/>
        <v>22.48</v>
      </c>
      <c r="L348" s="510">
        <f t="shared" si="152"/>
        <v>6.05</v>
      </c>
      <c r="M348" s="519"/>
      <c r="N348" s="519"/>
      <c r="O348" s="519"/>
      <c r="P348" s="519">
        <f t="shared" si="153"/>
        <v>5.7060000000000004</v>
      </c>
      <c r="Q348" s="519"/>
      <c r="R348" s="519"/>
      <c r="S348" s="519">
        <f t="shared" si="154"/>
        <v>1.4265000000000001</v>
      </c>
      <c r="T348" s="519">
        <f t="shared" si="155"/>
        <v>1.4265000000000001</v>
      </c>
      <c r="U348" s="519">
        <f t="shared" si="156"/>
        <v>14.265000000000001</v>
      </c>
      <c r="V348" s="519">
        <f t="shared" si="157"/>
        <v>5.7060000000000004</v>
      </c>
      <c r="W348" s="519"/>
      <c r="X348" s="519"/>
      <c r="Y348" s="519"/>
      <c r="Z348" s="519"/>
    </row>
    <row r="349" spans="1:26" s="512" customFormat="1" ht="30">
      <c r="A349" s="338" t="s">
        <v>8871</v>
      </c>
      <c r="B349" s="576" t="s">
        <v>5256</v>
      </c>
      <c r="C349" s="576" t="s">
        <v>7219</v>
      </c>
      <c r="D349" s="336" t="s">
        <v>7177</v>
      </c>
      <c r="E349" s="341">
        <f>19+36</f>
        <v>55</v>
      </c>
      <c r="F349" s="342" t="s">
        <v>6337</v>
      </c>
      <c r="G349" s="352">
        <v>26.54</v>
      </c>
      <c r="H349" s="339">
        <f t="shared" si="148"/>
        <v>7.15</v>
      </c>
      <c r="I349" s="339">
        <f t="shared" si="149"/>
        <v>33.69</v>
      </c>
      <c r="J349" s="431">
        <f t="shared" si="150"/>
        <v>1852.95</v>
      </c>
      <c r="K349" s="510">
        <f t="shared" si="151"/>
        <v>1459.7</v>
      </c>
      <c r="L349" s="510">
        <f t="shared" si="152"/>
        <v>393.25</v>
      </c>
      <c r="M349" s="519"/>
      <c r="N349" s="519"/>
      <c r="O349" s="519"/>
      <c r="P349" s="519">
        <f t="shared" si="153"/>
        <v>370.59000000000003</v>
      </c>
      <c r="Q349" s="519"/>
      <c r="R349" s="519"/>
      <c r="S349" s="519">
        <f t="shared" si="154"/>
        <v>92.647500000000008</v>
      </c>
      <c r="T349" s="519">
        <f t="shared" si="155"/>
        <v>92.647500000000008</v>
      </c>
      <c r="U349" s="519">
        <f t="shared" si="156"/>
        <v>926.47500000000002</v>
      </c>
      <c r="V349" s="519">
        <f t="shared" si="157"/>
        <v>370.59000000000003</v>
      </c>
      <c r="W349" s="519"/>
      <c r="X349" s="519"/>
      <c r="Y349" s="519"/>
      <c r="Z349" s="519"/>
    </row>
    <row r="350" spans="1:26" s="512" customFormat="1" ht="30">
      <c r="A350" s="338" t="s">
        <v>8872</v>
      </c>
      <c r="B350" s="576" t="s">
        <v>5256</v>
      </c>
      <c r="C350" s="576" t="s">
        <v>7217</v>
      </c>
      <c r="D350" s="336" t="s">
        <v>7178</v>
      </c>
      <c r="E350" s="341">
        <f>37+1+18+2</f>
        <v>58</v>
      </c>
      <c r="F350" s="342" t="s">
        <v>6337</v>
      </c>
      <c r="G350" s="352">
        <v>10.3</v>
      </c>
      <c r="H350" s="339">
        <f t="shared" si="148"/>
        <v>2.77</v>
      </c>
      <c r="I350" s="339">
        <f t="shared" si="149"/>
        <v>13.07</v>
      </c>
      <c r="J350" s="431">
        <f t="shared" si="150"/>
        <v>758.06</v>
      </c>
      <c r="K350" s="510">
        <f t="shared" si="151"/>
        <v>597.4</v>
      </c>
      <c r="L350" s="510">
        <f t="shared" si="152"/>
        <v>160.66</v>
      </c>
      <c r="M350" s="519"/>
      <c r="N350" s="519"/>
      <c r="O350" s="519"/>
      <c r="P350" s="519">
        <f t="shared" si="153"/>
        <v>151.61199999999999</v>
      </c>
      <c r="Q350" s="519"/>
      <c r="R350" s="519"/>
      <c r="S350" s="519">
        <f t="shared" si="154"/>
        <v>37.902999999999999</v>
      </c>
      <c r="T350" s="519">
        <f t="shared" si="155"/>
        <v>37.902999999999999</v>
      </c>
      <c r="U350" s="519">
        <f t="shared" si="156"/>
        <v>379.03</v>
      </c>
      <c r="V350" s="519">
        <f t="shared" si="157"/>
        <v>151.61199999999999</v>
      </c>
      <c r="W350" s="519"/>
      <c r="X350" s="519"/>
      <c r="Y350" s="519"/>
      <c r="Z350" s="519"/>
    </row>
    <row r="351" spans="1:26" s="512" customFormat="1" ht="30">
      <c r="A351" s="338" t="s">
        <v>8873</v>
      </c>
      <c r="B351" s="576" t="s">
        <v>5256</v>
      </c>
      <c r="C351" s="576" t="s">
        <v>7220</v>
      </c>
      <c r="D351" s="336" t="s">
        <v>7179</v>
      </c>
      <c r="E351" s="341">
        <f>17+9+23+10</f>
        <v>59</v>
      </c>
      <c r="F351" s="342" t="s">
        <v>6337</v>
      </c>
      <c r="G351" s="352">
        <v>24.71</v>
      </c>
      <c r="H351" s="339">
        <f t="shared" si="148"/>
        <v>6.65</v>
      </c>
      <c r="I351" s="339">
        <f t="shared" si="149"/>
        <v>31.36</v>
      </c>
      <c r="J351" s="431">
        <f t="shared" si="150"/>
        <v>1850.24</v>
      </c>
      <c r="K351" s="510">
        <f t="shared" si="151"/>
        <v>1457.89</v>
      </c>
      <c r="L351" s="510">
        <f t="shared" si="152"/>
        <v>392.35</v>
      </c>
      <c r="M351" s="519"/>
      <c r="N351" s="519"/>
      <c r="O351" s="519"/>
      <c r="P351" s="519">
        <f t="shared" si="153"/>
        <v>370.048</v>
      </c>
      <c r="Q351" s="519"/>
      <c r="R351" s="519"/>
      <c r="S351" s="519">
        <f t="shared" si="154"/>
        <v>92.512</v>
      </c>
      <c r="T351" s="519">
        <f t="shared" si="155"/>
        <v>92.512</v>
      </c>
      <c r="U351" s="519">
        <f t="shared" si="156"/>
        <v>925.12</v>
      </c>
      <c r="V351" s="519">
        <f t="shared" si="157"/>
        <v>370.048</v>
      </c>
      <c r="W351" s="519"/>
      <c r="X351" s="519"/>
      <c r="Y351" s="519"/>
      <c r="Z351" s="519"/>
    </row>
    <row r="352" spans="1:26" s="512" customFormat="1" ht="30">
      <c r="A352" s="338" t="s">
        <v>8874</v>
      </c>
      <c r="B352" s="576" t="s">
        <v>5256</v>
      </c>
      <c r="C352" s="576" t="s">
        <v>7218</v>
      </c>
      <c r="D352" s="336" t="s">
        <v>7180</v>
      </c>
      <c r="E352" s="341">
        <f>19+16</f>
        <v>35</v>
      </c>
      <c r="F352" s="342" t="s">
        <v>6337</v>
      </c>
      <c r="G352" s="352">
        <v>30.64</v>
      </c>
      <c r="H352" s="339">
        <f t="shared" si="148"/>
        <v>8.25</v>
      </c>
      <c r="I352" s="339">
        <f t="shared" si="149"/>
        <v>38.89</v>
      </c>
      <c r="J352" s="431">
        <f t="shared" si="150"/>
        <v>1361.15</v>
      </c>
      <c r="K352" s="510">
        <f t="shared" si="151"/>
        <v>1072.4000000000001</v>
      </c>
      <c r="L352" s="510">
        <f t="shared" si="152"/>
        <v>288.75</v>
      </c>
      <c r="M352" s="519"/>
      <c r="N352" s="519"/>
      <c r="O352" s="519"/>
      <c r="P352" s="519">
        <f t="shared" si="153"/>
        <v>272.23</v>
      </c>
      <c r="Q352" s="519"/>
      <c r="R352" s="519"/>
      <c r="S352" s="519">
        <f t="shared" si="154"/>
        <v>68.057500000000005</v>
      </c>
      <c r="T352" s="519">
        <f t="shared" si="155"/>
        <v>68.057500000000005</v>
      </c>
      <c r="U352" s="519">
        <f t="shared" si="156"/>
        <v>680.57500000000005</v>
      </c>
      <c r="V352" s="519">
        <f t="shared" si="157"/>
        <v>272.23</v>
      </c>
      <c r="W352" s="519"/>
      <c r="X352" s="519"/>
      <c r="Y352" s="519"/>
      <c r="Z352" s="519"/>
    </row>
    <row r="353" spans="1:26" s="512" customFormat="1" ht="30">
      <c r="A353" s="338" t="s">
        <v>8875</v>
      </c>
      <c r="B353" s="576" t="s">
        <v>5256</v>
      </c>
      <c r="C353" s="576">
        <v>89728</v>
      </c>
      <c r="D353" s="336" t="s">
        <v>7181</v>
      </c>
      <c r="E353" s="341">
        <f>42+76</f>
        <v>118</v>
      </c>
      <c r="F353" s="342" t="s">
        <v>6337</v>
      </c>
      <c r="G353" s="352">
        <v>5.81</v>
      </c>
      <c r="H353" s="339">
        <f t="shared" si="148"/>
        <v>1.56</v>
      </c>
      <c r="I353" s="339">
        <f t="shared" si="149"/>
        <v>7.3699999999999992</v>
      </c>
      <c r="J353" s="431">
        <f t="shared" si="150"/>
        <v>869.66</v>
      </c>
      <c r="K353" s="510">
        <f t="shared" si="151"/>
        <v>685.58</v>
      </c>
      <c r="L353" s="510">
        <f t="shared" si="152"/>
        <v>184.08</v>
      </c>
      <c r="M353" s="519"/>
      <c r="N353" s="519"/>
      <c r="O353" s="519"/>
      <c r="P353" s="519">
        <f t="shared" si="153"/>
        <v>173.93200000000002</v>
      </c>
      <c r="Q353" s="519"/>
      <c r="R353" s="519"/>
      <c r="S353" s="519">
        <f t="shared" si="154"/>
        <v>43.483000000000004</v>
      </c>
      <c r="T353" s="519">
        <f t="shared" si="155"/>
        <v>43.483000000000004</v>
      </c>
      <c r="U353" s="519">
        <f t="shared" si="156"/>
        <v>434.83</v>
      </c>
      <c r="V353" s="519">
        <f t="shared" si="157"/>
        <v>173.93200000000002</v>
      </c>
      <c r="W353" s="519"/>
      <c r="X353" s="519"/>
      <c r="Y353" s="519"/>
      <c r="Z353" s="519"/>
    </row>
    <row r="354" spans="1:26" s="512" customFormat="1" ht="30">
      <c r="A354" s="338" t="s">
        <v>8876</v>
      </c>
      <c r="B354" s="576" t="s">
        <v>5256</v>
      </c>
      <c r="C354" s="576">
        <v>89733</v>
      </c>
      <c r="D354" s="336" t="s">
        <v>7182</v>
      </c>
      <c r="E354" s="341">
        <f>1</f>
        <v>1</v>
      </c>
      <c r="F354" s="342" t="s">
        <v>6337</v>
      </c>
      <c r="G354" s="352">
        <v>9.59</v>
      </c>
      <c r="H354" s="339">
        <f t="shared" si="148"/>
        <v>2.58</v>
      </c>
      <c r="I354" s="339">
        <f t="shared" si="149"/>
        <v>12.17</v>
      </c>
      <c r="J354" s="431">
        <f t="shared" si="150"/>
        <v>12.17</v>
      </c>
      <c r="K354" s="510">
        <f t="shared" si="151"/>
        <v>9.59</v>
      </c>
      <c r="L354" s="510">
        <f t="shared" si="152"/>
        <v>2.58</v>
      </c>
      <c r="M354" s="519"/>
      <c r="N354" s="519"/>
      <c r="O354" s="519"/>
      <c r="P354" s="519">
        <f t="shared" si="153"/>
        <v>2.4340000000000002</v>
      </c>
      <c r="Q354" s="519"/>
      <c r="R354" s="519"/>
      <c r="S354" s="519">
        <f t="shared" si="154"/>
        <v>0.60850000000000004</v>
      </c>
      <c r="T354" s="519">
        <f t="shared" si="155"/>
        <v>0.60850000000000004</v>
      </c>
      <c r="U354" s="519">
        <f t="shared" si="156"/>
        <v>6.085</v>
      </c>
      <c r="V354" s="519">
        <f t="shared" si="157"/>
        <v>2.4340000000000002</v>
      </c>
      <c r="W354" s="519"/>
      <c r="X354" s="519"/>
      <c r="Y354" s="519"/>
      <c r="Z354" s="519"/>
    </row>
    <row r="355" spans="1:26" s="512" customFormat="1" ht="30">
      <c r="A355" s="338" t="s">
        <v>8877</v>
      </c>
      <c r="B355" s="576" t="s">
        <v>5256</v>
      </c>
      <c r="C355" s="576">
        <v>89742</v>
      </c>
      <c r="D355" s="336" t="s">
        <v>7183</v>
      </c>
      <c r="E355" s="341">
        <f>3+9+2+1</f>
        <v>15</v>
      </c>
      <c r="F355" s="342" t="s">
        <v>6337</v>
      </c>
      <c r="G355" s="352">
        <v>16.260000000000002</v>
      </c>
      <c r="H355" s="339">
        <f t="shared" si="148"/>
        <v>4.38</v>
      </c>
      <c r="I355" s="339">
        <f t="shared" si="149"/>
        <v>20.64</v>
      </c>
      <c r="J355" s="431">
        <f t="shared" si="150"/>
        <v>309.60000000000002</v>
      </c>
      <c r="K355" s="510">
        <f t="shared" si="151"/>
        <v>243.9</v>
      </c>
      <c r="L355" s="510">
        <f t="shared" si="152"/>
        <v>65.7</v>
      </c>
      <c r="M355" s="519"/>
      <c r="N355" s="519"/>
      <c r="O355" s="519"/>
      <c r="P355" s="519">
        <f t="shared" si="153"/>
        <v>61.920000000000009</v>
      </c>
      <c r="Q355" s="519"/>
      <c r="R355" s="519"/>
      <c r="S355" s="519">
        <f t="shared" si="154"/>
        <v>15.480000000000002</v>
      </c>
      <c r="T355" s="519">
        <f t="shared" si="155"/>
        <v>15.480000000000002</v>
      </c>
      <c r="U355" s="519">
        <f t="shared" si="156"/>
        <v>154.80000000000001</v>
      </c>
      <c r="V355" s="519">
        <f t="shared" si="157"/>
        <v>61.920000000000009</v>
      </c>
      <c r="W355" s="519"/>
      <c r="X355" s="519"/>
      <c r="Y355" s="519"/>
      <c r="Z355" s="519"/>
    </row>
    <row r="356" spans="1:26" s="512" customFormat="1" ht="30">
      <c r="A356" s="338" t="s">
        <v>8878</v>
      </c>
      <c r="B356" s="576" t="s">
        <v>5256</v>
      </c>
      <c r="C356" s="576">
        <v>89748</v>
      </c>
      <c r="D356" s="336" t="s">
        <v>7184</v>
      </c>
      <c r="E356" s="341">
        <f>6</f>
        <v>6</v>
      </c>
      <c r="F356" s="342" t="s">
        <v>6337</v>
      </c>
      <c r="G356" s="352">
        <v>19.93</v>
      </c>
      <c r="H356" s="339">
        <f t="shared" si="148"/>
        <v>5.37</v>
      </c>
      <c r="I356" s="339">
        <f t="shared" si="149"/>
        <v>25.3</v>
      </c>
      <c r="J356" s="431">
        <f t="shared" si="150"/>
        <v>151.80000000000001</v>
      </c>
      <c r="K356" s="510">
        <f t="shared" si="151"/>
        <v>119.58</v>
      </c>
      <c r="L356" s="510">
        <f t="shared" si="152"/>
        <v>32.22</v>
      </c>
      <c r="M356" s="519"/>
      <c r="N356" s="519"/>
      <c r="O356" s="519"/>
      <c r="P356" s="519">
        <f t="shared" si="153"/>
        <v>30.360000000000003</v>
      </c>
      <c r="Q356" s="519"/>
      <c r="R356" s="519"/>
      <c r="S356" s="519">
        <f t="shared" si="154"/>
        <v>7.5900000000000007</v>
      </c>
      <c r="T356" s="519">
        <f t="shared" si="155"/>
        <v>7.5900000000000007</v>
      </c>
      <c r="U356" s="519">
        <f t="shared" si="156"/>
        <v>75.900000000000006</v>
      </c>
      <c r="V356" s="519">
        <f t="shared" si="157"/>
        <v>30.360000000000003</v>
      </c>
      <c r="W356" s="519"/>
      <c r="X356" s="519"/>
      <c r="Y356" s="519"/>
      <c r="Z356" s="519"/>
    </row>
    <row r="357" spans="1:26" s="512" customFormat="1" ht="30">
      <c r="A357" s="338" t="s">
        <v>8879</v>
      </c>
      <c r="B357" s="576" t="s">
        <v>5256</v>
      </c>
      <c r="C357" s="576">
        <v>89804</v>
      </c>
      <c r="D357" s="336" t="s">
        <v>7185</v>
      </c>
      <c r="E357" s="341">
        <f>3+2</f>
        <v>5</v>
      </c>
      <c r="F357" s="342" t="s">
        <v>6337</v>
      </c>
      <c r="G357" s="352">
        <v>7.61</v>
      </c>
      <c r="H357" s="339">
        <f t="shared" si="148"/>
        <v>2.0499999999999998</v>
      </c>
      <c r="I357" s="339">
        <f t="shared" si="149"/>
        <v>9.66</v>
      </c>
      <c r="J357" s="431">
        <f t="shared" si="150"/>
        <v>48.3</v>
      </c>
      <c r="K357" s="510">
        <f t="shared" si="151"/>
        <v>38.049999999999997</v>
      </c>
      <c r="L357" s="510">
        <f t="shared" si="152"/>
        <v>10.25</v>
      </c>
      <c r="M357" s="519"/>
      <c r="N357" s="519"/>
      <c r="O357" s="519"/>
      <c r="P357" s="519">
        <f t="shared" si="153"/>
        <v>9.66</v>
      </c>
      <c r="Q357" s="519"/>
      <c r="R357" s="519"/>
      <c r="S357" s="519">
        <f t="shared" si="154"/>
        <v>2.415</v>
      </c>
      <c r="T357" s="519">
        <f t="shared" si="155"/>
        <v>2.415</v>
      </c>
      <c r="U357" s="519">
        <f t="shared" si="156"/>
        <v>24.15</v>
      </c>
      <c r="V357" s="519">
        <f t="shared" si="157"/>
        <v>9.66</v>
      </c>
      <c r="W357" s="519"/>
      <c r="X357" s="519"/>
      <c r="Y357" s="519"/>
      <c r="Z357" s="519"/>
    </row>
    <row r="358" spans="1:26" s="512" customFormat="1" ht="30">
      <c r="A358" s="338" t="s">
        <v>8880</v>
      </c>
      <c r="B358" s="576" t="s">
        <v>5256</v>
      </c>
      <c r="C358" s="576">
        <v>89808</v>
      </c>
      <c r="D358" s="336" t="s">
        <v>7186</v>
      </c>
      <c r="E358" s="341">
        <f>7+6</f>
        <v>13</v>
      </c>
      <c r="F358" s="342" t="s">
        <v>6337</v>
      </c>
      <c r="G358" s="352">
        <v>19.23</v>
      </c>
      <c r="H358" s="339">
        <f t="shared" si="148"/>
        <v>5.18</v>
      </c>
      <c r="I358" s="339">
        <f t="shared" si="149"/>
        <v>24.41</v>
      </c>
      <c r="J358" s="431">
        <f t="shared" si="150"/>
        <v>317.33</v>
      </c>
      <c r="K358" s="510">
        <f t="shared" si="151"/>
        <v>249.99</v>
      </c>
      <c r="L358" s="510">
        <f t="shared" si="152"/>
        <v>67.34</v>
      </c>
      <c r="M358" s="519"/>
      <c r="N358" s="519"/>
      <c r="O358" s="519"/>
      <c r="P358" s="519">
        <f t="shared" si="153"/>
        <v>63.466000000000001</v>
      </c>
      <c r="Q358" s="519"/>
      <c r="R358" s="519"/>
      <c r="S358" s="519">
        <f t="shared" si="154"/>
        <v>15.8665</v>
      </c>
      <c r="T358" s="519">
        <f t="shared" si="155"/>
        <v>15.8665</v>
      </c>
      <c r="U358" s="519">
        <f t="shared" si="156"/>
        <v>158.66499999999999</v>
      </c>
      <c r="V358" s="519">
        <f t="shared" si="157"/>
        <v>63.466000000000001</v>
      </c>
      <c r="W358" s="519"/>
      <c r="X358" s="519"/>
      <c r="Y358" s="519"/>
      <c r="Z358" s="519"/>
    </row>
    <row r="359" spans="1:26" s="512" customFormat="1" ht="30">
      <c r="A359" s="338" t="s">
        <v>8881</v>
      </c>
      <c r="B359" s="576" t="s">
        <v>5256</v>
      </c>
      <c r="C359" s="576">
        <v>89812</v>
      </c>
      <c r="D359" s="336" t="s">
        <v>7187</v>
      </c>
      <c r="E359" s="341">
        <f>1</f>
        <v>1</v>
      </c>
      <c r="F359" s="342" t="s">
        <v>6337</v>
      </c>
      <c r="G359" s="352">
        <v>27.87</v>
      </c>
      <c r="H359" s="339">
        <f t="shared" si="148"/>
        <v>7.51</v>
      </c>
      <c r="I359" s="339">
        <f t="shared" si="149"/>
        <v>35.380000000000003</v>
      </c>
      <c r="J359" s="431">
        <f t="shared" si="150"/>
        <v>35.380000000000003</v>
      </c>
      <c r="K359" s="510">
        <f t="shared" si="151"/>
        <v>27.87</v>
      </c>
      <c r="L359" s="510">
        <f t="shared" si="152"/>
        <v>7.51</v>
      </c>
      <c r="M359" s="519"/>
      <c r="N359" s="519"/>
      <c r="O359" s="519"/>
      <c r="P359" s="519">
        <f t="shared" si="153"/>
        <v>7.0760000000000005</v>
      </c>
      <c r="Q359" s="519"/>
      <c r="R359" s="519"/>
      <c r="S359" s="519">
        <f t="shared" si="154"/>
        <v>1.7690000000000001</v>
      </c>
      <c r="T359" s="519">
        <f t="shared" si="155"/>
        <v>1.7690000000000001</v>
      </c>
      <c r="U359" s="519">
        <f t="shared" si="156"/>
        <v>17.690000000000001</v>
      </c>
      <c r="V359" s="519">
        <f t="shared" si="157"/>
        <v>7.0760000000000005</v>
      </c>
      <c r="W359" s="519"/>
      <c r="X359" s="519"/>
      <c r="Y359" s="519"/>
      <c r="Z359" s="519"/>
    </row>
    <row r="360" spans="1:26" s="512" customFormat="1" ht="30">
      <c r="A360" s="338" t="s">
        <v>8882</v>
      </c>
      <c r="B360" s="576" t="s">
        <v>5256</v>
      </c>
      <c r="C360" s="576">
        <v>89726</v>
      </c>
      <c r="D360" s="336" t="s">
        <v>7188</v>
      </c>
      <c r="E360" s="341">
        <f>1</f>
        <v>1</v>
      </c>
      <c r="F360" s="342" t="s">
        <v>6337</v>
      </c>
      <c r="G360" s="352">
        <v>4.2699999999999996</v>
      </c>
      <c r="H360" s="339">
        <f t="shared" si="148"/>
        <v>1.1499999999999999</v>
      </c>
      <c r="I360" s="339">
        <f t="shared" si="149"/>
        <v>5.42</v>
      </c>
      <c r="J360" s="431">
        <f t="shared" si="150"/>
        <v>5.42</v>
      </c>
      <c r="K360" s="510">
        <f t="shared" si="151"/>
        <v>4.2699999999999996</v>
      </c>
      <c r="L360" s="510">
        <f t="shared" si="152"/>
        <v>1.1499999999999999</v>
      </c>
      <c r="M360" s="519"/>
      <c r="N360" s="519"/>
      <c r="O360" s="519"/>
      <c r="P360" s="519">
        <f t="shared" si="153"/>
        <v>1.0840000000000001</v>
      </c>
      <c r="Q360" s="519"/>
      <c r="R360" s="519"/>
      <c r="S360" s="519">
        <f t="shared" si="154"/>
        <v>0.27100000000000002</v>
      </c>
      <c r="T360" s="519">
        <f t="shared" si="155"/>
        <v>0.27100000000000002</v>
      </c>
      <c r="U360" s="519">
        <f t="shared" si="156"/>
        <v>2.71</v>
      </c>
      <c r="V360" s="519">
        <f t="shared" si="157"/>
        <v>1.0840000000000001</v>
      </c>
      <c r="W360" s="519"/>
      <c r="X360" s="519"/>
      <c r="Y360" s="519"/>
      <c r="Z360" s="519"/>
    </row>
    <row r="361" spans="1:26" s="512" customFormat="1" ht="30">
      <c r="A361" s="338" t="s">
        <v>8883</v>
      </c>
      <c r="B361" s="576" t="s">
        <v>5256</v>
      </c>
      <c r="C361" s="576">
        <v>89732</v>
      </c>
      <c r="D361" s="336" t="s">
        <v>7189</v>
      </c>
      <c r="E361" s="341">
        <f>2+2</f>
        <v>4</v>
      </c>
      <c r="F361" s="342" t="s">
        <v>6337</v>
      </c>
      <c r="G361" s="352">
        <v>6.45</v>
      </c>
      <c r="H361" s="339">
        <f t="shared" si="148"/>
        <v>1.74</v>
      </c>
      <c r="I361" s="339">
        <f t="shared" si="149"/>
        <v>8.19</v>
      </c>
      <c r="J361" s="431">
        <f t="shared" si="150"/>
        <v>32.76</v>
      </c>
      <c r="K361" s="510">
        <f t="shared" si="151"/>
        <v>25.8</v>
      </c>
      <c r="L361" s="510">
        <f t="shared" si="152"/>
        <v>6.96</v>
      </c>
      <c r="M361" s="519"/>
      <c r="N361" s="519"/>
      <c r="O361" s="519"/>
      <c r="P361" s="519">
        <f t="shared" si="153"/>
        <v>6.5519999999999996</v>
      </c>
      <c r="Q361" s="519"/>
      <c r="R361" s="519"/>
      <c r="S361" s="519">
        <f t="shared" si="154"/>
        <v>1.6379999999999999</v>
      </c>
      <c r="T361" s="519">
        <f t="shared" si="155"/>
        <v>1.6379999999999999</v>
      </c>
      <c r="U361" s="519">
        <f t="shared" si="156"/>
        <v>16.38</v>
      </c>
      <c r="V361" s="519">
        <f t="shared" si="157"/>
        <v>6.5519999999999996</v>
      </c>
      <c r="W361" s="519"/>
      <c r="X361" s="519"/>
      <c r="Y361" s="519"/>
      <c r="Z361" s="519"/>
    </row>
    <row r="362" spans="1:26" s="512" customFormat="1" ht="30">
      <c r="A362" s="338" t="s">
        <v>8884</v>
      </c>
      <c r="B362" s="576" t="s">
        <v>5256</v>
      </c>
      <c r="C362" s="576">
        <v>89737</v>
      </c>
      <c r="D362" s="336" t="s">
        <v>7190</v>
      </c>
      <c r="E362" s="341">
        <f>9+1+6</f>
        <v>16</v>
      </c>
      <c r="F362" s="342" t="s">
        <v>6337</v>
      </c>
      <c r="G362" s="352">
        <v>10.31</v>
      </c>
      <c r="H362" s="339">
        <f t="shared" si="148"/>
        <v>2.78</v>
      </c>
      <c r="I362" s="339">
        <f t="shared" si="149"/>
        <v>13.09</v>
      </c>
      <c r="J362" s="431">
        <f t="shared" si="150"/>
        <v>209.44</v>
      </c>
      <c r="K362" s="510">
        <f t="shared" si="151"/>
        <v>164.96</v>
      </c>
      <c r="L362" s="510">
        <f t="shared" si="152"/>
        <v>44.48</v>
      </c>
      <c r="M362" s="519"/>
      <c r="N362" s="519"/>
      <c r="O362" s="519"/>
      <c r="P362" s="519">
        <f t="shared" si="153"/>
        <v>41.888000000000005</v>
      </c>
      <c r="Q362" s="519"/>
      <c r="R362" s="519"/>
      <c r="S362" s="519">
        <f t="shared" si="154"/>
        <v>10.472000000000001</v>
      </c>
      <c r="T362" s="519">
        <f t="shared" si="155"/>
        <v>10.472000000000001</v>
      </c>
      <c r="U362" s="519">
        <f t="shared" si="156"/>
        <v>104.72</v>
      </c>
      <c r="V362" s="519">
        <f t="shared" si="157"/>
        <v>41.888000000000005</v>
      </c>
      <c r="W362" s="519"/>
      <c r="X362" s="519"/>
      <c r="Y362" s="519"/>
      <c r="Z362" s="519"/>
    </row>
    <row r="363" spans="1:26" s="512" customFormat="1" ht="30">
      <c r="A363" s="338" t="s">
        <v>8885</v>
      </c>
      <c r="B363" s="576" t="s">
        <v>5256</v>
      </c>
      <c r="C363" s="576">
        <v>89746</v>
      </c>
      <c r="D363" s="336" t="s">
        <v>7191</v>
      </c>
      <c r="E363" s="341">
        <f>5</f>
        <v>5</v>
      </c>
      <c r="F363" s="342" t="s">
        <v>6337</v>
      </c>
      <c r="G363" s="352">
        <v>13.42</v>
      </c>
      <c r="H363" s="339">
        <f t="shared" si="148"/>
        <v>3.61</v>
      </c>
      <c r="I363" s="339">
        <f t="shared" si="149"/>
        <v>17.03</v>
      </c>
      <c r="J363" s="431">
        <f t="shared" si="150"/>
        <v>85.15</v>
      </c>
      <c r="K363" s="510">
        <f t="shared" si="151"/>
        <v>67.099999999999994</v>
      </c>
      <c r="L363" s="510">
        <f t="shared" si="152"/>
        <v>18.05</v>
      </c>
      <c r="M363" s="519"/>
      <c r="N363" s="519"/>
      <c r="O363" s="519"/>
      <c r="P363" s="519">
        <f t="shared" si="153"/>
        <v>17.03</v>
      </c>
      <c r="Q363" s="519"/>
      <c r="R363" s="519"/>
      <c r="S363" s="519">
        <f t="shared" si="154"/>
        <v>4.2575000000000003</v>
      </c>
      <c r="T363" s="519">
        <f t="shared" si="155"/>
        <v>4.2575000000000003</v>
      </c>
      <c r="U363" s="519">
        <f t="shared" si="156"/>
        <v>42.575000000000003</v>
      </c>
      <c r="V363" s="519">
        <f t="shared" si="157"/>
        <v>17.03</v>
      </c>
      <c r="W363" s="519"/>
      <c r="X363" s="519"/>
      <c r="Y363" s="519"/>
      <c r="Z363" s="519"/>
    </row>
    <row r="364" spans="1:26" s="512" customFormat="1" ht="30">
      <c r="A364" s="338" t="s">
        <v>8886</v>
      </c>
      <c r="B364" s="576" t="s">
        <v>5256</v>
      </c>
      <c r="C364" s="576">
        <v>89724</v>
      </c>
      <c r="D364" s="336" t="s">
        <v>7192</v>
      </c>
      <c r="E364" s="341">
        <f>35+72</f>
        <v>107</v>
      </c>
      <c r="F364" s="342" t="s">
        <v>6337</v>
      </c>
      <c r="G364" s="352">
        <v>5.5</v>
      </c>
      <c r="H364" s="339">
        <f t="shared" si="148"/>
        <v>1.48</v>
      </c>
      <c r="I364" s="339">
        <f t="shared" si="149"/>
        <v>6.98</v>
      </c>
      <c r="J364" s="431">
        <f t="shared" si="150"/>
        <v>746.86</v>
      </c>
      <c r="K364" s="510">
        <f t="shared" si="151"/>
        <v>588.5</v>
      </c>
      <c r="L364" s="510">
        <f t="shared" si="152"/>
        <v>158.36000000000001</v>
      </c>
      <c r="M364" s="519"/>
      <c r="N364" s="519"/>
      <c r="O364" s="519"/>
      <c r="P364" s="519">
        <f t="shared" si="153"/>
        <v>149.37200000000001</v>
      </c>
      <c r="Q364" s="519"/>
      <c r="R364" s="519"/>
      <c r="S364" s="519">
        <f t="shared" si="154"/>
        <v>37.343000000000004</v>
      </c>
      <c r="T364" s="519">
        <f t="shared" si="155"/>
        <v>37.343000000000004</v>
      </c>
      <c r="U364" s="519">
        <f t="shared" si="156"/>
        <v>373.43</v>
      </c>
      <c r="V364" s="519">
        <f t="shared" si="157"/>
        <v>149.37200000000001</v>
      </c>
      <c r="W364" s="519"/>
      <c r="X364" s="519"/>
      <c r="Y364" s="519"/>
      <c r="Z364" s="519"/>
    </row>
    <row r="365" spans="1:26" s="512" customFormat="1" ht="30">
      <c r="A365" s="338" t="s">
        <v>8887</v>
      </c>
      <c r="B365" s="576" t="s">
        <v>5256</v>
      </c>
      <c r="C365" s="576">
        <v>89801</v>
      </c>
      <c r="D365" s="336" t="s">
        <v>7193</v>
      </c>
      <c r="E365" s="341">
        <f>53+9+31+3</f>
        <v>96</v>
      </c>
      <c r="F365" s="342" t="s">
        <v>6337</v>
      </c>
      <c r="G365" s="352">
        <v>3.69</v>
      </c>
      <c r="H365" s="339">
        <f t="shared" si="148"/>
        <v>0.99</v>
      </c>
      <c r="I365" s="339">
        <f t="shared" si="149"/>
        <v>4.68</v>
      </c>
      <c r="J365" s="431">
        <f t="shared" si="150"/>
        <v>449.28</v>
      </c>
      <c r="K365" s="510">
        <f t="shared" si="151"/>
        <v>354.24</v>
      </c>
      <c r="L365" s="510">
        <f t="shared" si="152"/>
        <v>95.04</v>
      </c>
      <c r="M365" s="519"/>
      <c r="N365" s="519"/>
      <c r="O365" s="519"/>
      <c r="P365" s="519">
        <f t="shared" si="153"/>
        <v>89.855999999999995</v>
      </c>
      <c r="Q365" s="519"/>
      <c r="R365" s="519"/>
      <c r="S365" s="519">
        <f t="shared" si="154"/>
        <v>22.463999999999999</v>
      </c>
      <c r="T365" s="519">
        <f t="shared" si="155"/>
        <v>22.463999999999999</v>
      </c>
      <c r="U365" s="519">
        <f t="shared" si="156"/>
        <v>224.64</v>
      </c>
      <c r="V365" s="519">
        <f t="shared" si="157"/>
        <v>89.855999999999995</v>
      </c>
      <c r="W365" s="519"/>
      <c r="X365" s="519"/>
      <c r="Y365" s="519"/>
      <c r="Z365" s="519"/>
    </row>
    <row r="366" spans="1:26" s="512" customFormat="1" ht="30">
      <c r="A366" s="338" t="s">
        <v>8888</v>
      </c>
      <c r="B366" s="576" t="s">
        <v>5256</v>
      </c>
      <c r="C366" s="576">
        <v>89805</v>
      </c>
      <c r="D366" s="336" t="s">
        <v>7194</v>
      </c>
      <c r="E366" s="341">
        <f>17+24+25+20</f>
        <v>86</v>
      </c>
      <c r="F366" s="342" t="s">
        <v>6337</v>
      </c>
      <c r="G366" s="352">
        <v>7.3</v>
      </c>
      <c r="H366" s="339">
        <f t="shared" si="148"/>
        <v>1.97</v>
      </c>
      <c r="I366" s="339">
        <f t="shared" si="149"/>
        <v>9.27</v>
      </c>
      <c r="J366" s="431">
        <f t="shared" si="150"/>
        <v>797.22</v>
      </c>
      <c r="K366" s="510">
        <f t="shared" si="151"/>
        <v>627.79999999999995</v>
      </c>
      <c r="L366" s="510">
        <f t="shared" si="152"/>
        <v>169.42</v>
      </c>
      <c r="M366" s="519"/>
      <c r="N366" s="519"/>
      <c r="O366" s="519"/>
      <c r="P366" s="519">
        <f t="shared" si="153"/>
        <v>159.44400000000002</v>
      </c>
      <c r="Q366" s="519"/>
      <c r="R366" s="519"/>
      <c r="S366" s="519">
        <f t="shared" si="154"/>
        <v>39.861000000000004</v>
      </c>
      <c r="T366" s="519">
        <f t="shared" si="155"/>
        <v>39.861000000000004</v>
      </c>
      <c r="U366" s="519">
        <f t="shared" si="156"/>
        <v>398.61</v>
      </c>
      <c r="V366" s="519">
        <f t="shared" si="157"/>
        <v>159.44400000000002</v>
      </c>
      <c r="W366" s="519"/>
      <c r="X366" s="519"/>
      <c r="Y366" s="519"/>
      <c r="Z366" s="519"/>
    </row>
    <row r="367" spans="1:26" s="512" customFormat="1" ht="30">
      <c r="A367" s="338" t="s">
        <v>8889</v>
      </c>
      <c r="B367" s="576" t="s">
        <v>5256</v>
      </c>
      <c r="C367" s="576">
        <v>89809</v>
      </c>
      <c r="D367" s="336" t="s">
        <v>7195</v>
      </c>
      <c r="E367" s="341">
        <f>9</f>
        <v>9</v>
      </c>
      <c r="F367" s="342" t="s">
        <v>6337</v>
      </c>
      <c r="G367" s="352">
        <v>9.9</v>
      </c>
      <c r="H367" s="339">
        <f t="shared" si="148"/>
        <v>2.67</v>
      </c>
      <c r="I367" s="339">
        <f t="shared" si="149"/>
        <v>12.57</v>
      </c>
      <c r="J367" s="431">
        <f t="shared" si="150"/>
        <v>113.13</v>
      </c>
      <c r="K367" s="510">
        <f t="shared" si="151"/>
        <v>89.1</v>
      </c>
      <c r="L367" s="510">
        <f t="shared" si="152"/>
        <v>24.03</v>
      </c>
      <c r="M367" s="519"/>
      <c r="N367" s="519"/>
      <c r="O367" s="519"/>
      <c r="P367" s="519">
        <f t="shared" si="153"/>
        <v>22.626000000000001</v>
      </c>
      <c r="Q367" s="519"/>
      <c r="R367" s="519"/>
      <c r="S367" s="519">
        <f t="shared" si="154"/>
        <v>5.6565000000000003</v>
      </c>
      <c r="T367" s="519">
        <f t="shared" si="155"/>
        <v>5.6565000000000003</v>
      </c>
      <c r="U367" s="519">
        <f t="shared" si="156"/>
        <v>56.564999999999998</v>
      </c>
      <c r="V367" s="519">
        <f t="shared" si="157"/>
        <v>22.626000000000001</v>
      </c>
      <c r="W367" s="519"/>
      <c r="X367" s="519"/>
      <c r="Y367" s="519"/>
      <c r="Z367" s="519"/>
    </row>
    <row r="368" spans="1:26" s="512" customFormat="1" ht="30">
      <c r="A368" s="338" t="s">
        <v>8890</v>
      </c>
      <c r="B368" s="576" t="s">
        <v>5256</v>
      </c>
      <c r="C368" s="576" t="s">
        <v>7221</v>
      </c>
      <c r="D368" s="336" t="s">
        <v>7196</v>
      </c>
      <c r="E368" s="341">
        <f>9</f>
        <v>9</v>
      </c>
      <c r="F368" s="342" t="s">
        <v>6337</v>
      </c>
      <c r="G368" s="352">
        <v>16.12</v>
      </c>
      <c r="H368" s="339">
        <f t="shared" si="148"/>
        <v>4.34</v>
      </c>
      <c r="I368" s="339">
        <f t="shared" si="149"/>
        <v>20.46</v>
      </c>
      <c r="J368" s="431">
        <f t="shared" si="150"/>
        <v>184.14</v>
      </c>
      <c r="K368" s="510">
        <f t="shared" si="151"/>
        <v>145.08000000000001</v>
      </c>
      <c r="L368" s="510">
        <f t="shared" si="152"/>
        <v>39.06</v>
      </c>
      <c r="M368" s="519"/>
      <c r="N368" s="519"/>
      <c r="O368" s="519"/>
      <c r="P368" s="519">
        <f t="shared" si="153"/>
        <v>36.827999999999996</v>
      </c>
      <c r="Q368" s="519"/>
      <c r="R368" s="519"/>
      <c r="S368" s="519">
        <f t="shared" si="154"/>
        <v>9.206999999999999</v>
      </c>
      <c r="T368" s="519">
        <f t="shared" si="155"/>
        <v>9.206999999999999</v>
      </c>
      <c r="U368" s="519">
        <f t="shared" si="156"/>
        <v>92.07</v>
      </c>
      <c r="V368" s="519">
        <f t="shared" si="157"/>
        <v>36.827999999999996</v>
      </c>
      <c r="W368" s="519"/>
      <c r="X368" s="519"/>
      <c r="Y368" s="519"/>
      <c r="Z368" s="519"/>
    </row>
    <row r="369" spans="1:26" s="512" customFormat="1" ht="30">
      <c r="A369" s="338" t="s">
        <v>8891</v>
      </c>
      <c r="B369" s="576" t="s">
        <v>5256</v>
      </c>
      <c r="C369" s="576" t="s">
        <v>7222</v>
      </c>
      <c r="D369" s="336" t="s">
        <v>7197</v>
      </c>
      <c r="E369" s="341">
        <f>4+3+3</f>
        <v>10</v>
      </c>
      <c r="F369" s="342" t="s">
        <v>6337</v>
      </c>
      <c r="G369" s="352">
        <v>16.079999999999998</v>
      </c>
      <c r="H369" s="339">
        <f t="shared" si="148"/>
        <v>4.33</v>
      </c>
      <c r="I369" s="339">
        <f t="shared" si="149"/>
        <v>20.409999999999997</v>
      </c>
      <c r="J369" s="431">
        <f t="shared" si="150"/>
        <v>204.1</v>
      </c>
      <c r="K369" s="510">
        <f t="shared" si="151"/>
        <v>160.80000000000001</v>
      </c>
      <c r="L369" s="510">
        <f t="shared" si="152"/>
        <v>43.3</v>
      </c>
      <c r="M369" s="519"/>
      <c r="N369" s="519"/>
      <c r="O369" s="519"/>
      <c r="P369" s="519">
        <f t="shared" si="153"/>
        <v>40.82</v>
      </c>
      <c r="Q369" s="519"/>
      <c r="R369" s="519"/>
      <c r="S369" s="519">
        <f t="shared" si="154"/>
        <v>10.205</v>
      </c>
      <c r="T369" s="519">
        <f t="shared" si="155"/>
        <v>10.205</v>
      </c>
      <c r="U369" s="519">
        <f t="shared" si="156"/>
        <v>102.05</v>
      </c>
      <c r="V369" s="519">
        <f t="shared" si="157"/>
        <v>40.82</v>
      </c>
      <c r="W369" s="519"/>
      <c r="X369" s="519"/>
      <c r="Y369" s="519"/>
      <c r="Z369" s="519"/>
    </row>
    <row r="370" spans="1:26" s="512" customFormat="1" ht="30">
      <c r="A370" s="338" t="s">
        <v>8892</v>
      </c>
      <c r="B370" s="576" t="s">
        <v>5256</v>
      </c>
      <c r="C370" s="576" t="s">
        <v>7223</v>
      </c>
      <c r="D370" s="336" t="s">
        <v>7198</v>
      </c>
      <c r="E370" s="341">
        <f>2+4</f>
        <v>6</v>
      </c>
      <c r="F370" s="342" t="s">
        <v>6337</v>
      </c>
      <c r="G370" s="352">
        <v>21.799999999999997</v>
      </c>
      <c r="H370" s="339">
        <f t="shared" si="148"/>
        <v>5.87</v>
      </c>
      <c r="I370" s="339">
        <f t="shared" si="149"/>
        <v>27.669999999999998</v>
      </c>
      <c r="J370" s="431">
        <f t="shared" si="150"/>
        <v>166.02</v>
      </c>
      <c r="K370" s="510">
        <f t="shared" si="151"/>
        <v>130.80000000000001</v>
      </c>
      <c r="L370" s="510">
        <f t="shared" si="152"/>
        <v>35.22</v>
      </c>
      <c r="M370" s="519"/>
      <c r="N370" s="519"/>
      <c r="O370" s="519"/>
      <c r="P370" s="519">
        <f t="shared" si="153"/>
        <v>33.204000000000001</v>
      </c>
      <c r="Q370" s="519"/>
      <c r="R370" s="519"/>
      <c r="S370" s="519">
        <f t="shared" si="154"/>
        <v>8.3010000000000002</v>
      </c>
      <c r="T370" s="519">
        <f t="shared" si="155"/>
        <v>8.3010000000000002</v>
      </c>
      <c r="U370" s="519">
        <f t="shared" si="156"/>
        <v>83.01</v>
      </c>
      <c r="V370" s="519">
        <f t="shared" si="157"/>
        <v>33.204000000000001</v>
      </c>
      <c r="W370" s="519"/>
      <c r="X370" s="519"/>
      <c r="Y370" s="519"/>
      <c r="Z370" s="519"/>
    </row>
    <row r="371" spans="1:26" s="512" customFormat="1" ht="30">
      <c r="A371" s="338" t="s">
        <v>8893</v>
      </c>
      <c r="B371" s="576" t="s">
        <v>5256</v>
      </c>
      <c r="C371" s="576">
        <v>89569</v>
      </c>
      <c r="D371" s="336" t="s">
        <v>7199</v>
      </c>
      <c r="E371" s="341">
        <f>9+17</f>
        <v>26</v>
      </c>
      <c r="F371" s="342" t="s">
        <v>6337</v>
      </c>
      <c r="G371" s="352">
        <v>36.17</v>
      </c>
      <c r="H371" s="339">
        <f t="shared" si="148"/>
        <v>9.74</v>
      </c>
      <c r="I371" s="339">
        <f t="shared" si="149"/>
        <v>45.910000000000004</v>
      </c>
      <c r="J371" s="431">
        <f t="shared" si="150"/>
        <v>1193.6600000000001</v>
      </c>
      <c r="K371" s="510">
        <f t="shared" si="151"/>
        <v>940.42</v>
      </c>
      <c r="L371" s="510">
        <f t="shared" si="152"/>
        <v>253.24</v>
      </c>
      <c r="M371" s="519"/>
      <c r="N371" s="519"/>
      <c r="O371" s="519"/>
      <c r="P371" s="519">
        <f t="shared" si="153"/>
        <v>238.73200000000003</v>
      </c>
      <c r="Q371" s="519"/>
      <c r="R371" s="519"/>
      <c r="S371" s="519">
        <f t="shared" si="154"/>
        <v>59.683000000000007</v>
      </c>
      <c r="T371" s="519">
        <f t="shared" si="155"/>
        <v>59.683000000000007</v>
      </c>
      <c r="U371" s="519">
        <f t="shared" si="156"/>
        <v>596.83000000000004</v>
      </c>
      <c r="V371" s="519">
        <f t="shared" si="157"/>
        <v>238.73200000000003</v>
      </c>
      <c r="W371" s="519"/>
      <c r="X371" s="519"/>
      <c r="Y371" s="519"/>
      <c r="Z371" s="519"/>
    </row>
    <row r="372" spans="1:26" s="512" customFormat="1" ht="30">
      <c r="A372" s="338" t="s">
        <v>8894</v>
      </c>
      <c r="B372" s="576" t="s">
        <v>5256</v>
      </c>
      <c r="C372" s="576">
        <v>89785</v>
      </c>
      <c r="D372" s="336" t="s">
        <v>7200</v>
      </c>
      <c r="E372" s="341">
        <f>3+5</f>
        <v>8</v>
      </c>
      <c r="F372" s="342" t="s">
        <v>6337</v>
      </c>
      <c r="G372" s="352">
        <v>11.66</v>
      </c>
      <c r="H372" s="339">
        <f t="shared" ref="H372:H389" si="158">ROUND(G372*$B$13,2)</f>
        <v>3.14</v>
      </c>
      <c r="I372" s="339">
        <f t="shared" ref="I372:I389" si="159">H372+G372</f>
        <v>14.8</v>
      </c>
      <c r="J372" s="431">
        <f t="shared" ref="J372:J389" si="160">ROUND(I372*E372,2)</f>
        <v>118.4</v>
      </c>
      <c r="K372" s="510">
        <f t="shared" si="151"/>
        <v>93.28</v>
      </c>
      <c r="L372" s="510">
        <f t="shared" si="152"/>
        <v>25.12</v>
      </c>
      <c r="M372" s="519"/>
      <c r="N372" s="519"/>
      <c r="O372" s="519"/>
      <c r="P372" s="519">
        <f t="shared" si="153"/>
        <v>23.680000000000003</v>
      </c>
      <c r="Q372" s="519"/>
      <c r="R372" s="519"/>
      <c r="S372" s="519">
        <f t="shared" si="154"/>
        <v>5.9200000000000008</v>
      </c>
      <c r="T372" s="519">
        <f t="shared" si="155"/>
        <v>5.9200000000000008</v>
      </c>
      <c r="U372" s="519">
        <f t="shared" si="156"/>
        <v>59.2</v>
      </c>
      <c r="V372" s="519">
        <f t="shared" si="157"/>
        <v>23.680000000000003</v>
      </c>
      <c r="W372" s="519"/>
      <c r="X372" s="519"/>
      <c r="Y372" s="519"/>
      <c r="Z372" s="519"/>
    </row>
    <row r="373" spans="1:26" s="512" customFormat="1" ht="30">
      <c r="A373" s="338" t="s">
        <v>8895</v>
      </c>
      <c r="B373" s="576" t="s">
        <v>5256</v>
      </c>
      <c r="C373" s="576">
        <v>89795</v>
      </c>
      <c r="D373" s="336" t="s">
        <v>7201</v>
      </c>
      <c r="E373" s="341">
        <f>9+13+19</f>
        <v>41</v>
      </c>
      <c r="F373" s="342" t="s">
        <v>6337</v>
      </c>
      <c r="G373" s="352">
        <v>18.73</v>
      </c>
      <c r="H373" s="339">
        <f t="shared" si="158"/>
        <v>5.04</v>
      </c>
      <c r="I373" s="339">
        <f t="shared" si="159"/>
        <v>23.77</v>
      </c>
      <c r="J373" s="431">
        <f t="shared" si="160"/>
        <v>974.57</v>
      </c>
      <c r="K373" s="510">
        <f t="shared" si="151"/>
        <v>767.93</v>
      </c>
      <c r="L373" s="510">
        <f t="shared" si="152"/>
        <v>206.64</v>
      </c>
      <c r="M373" s="519"/>
      <c r="N373" s="519"/>
      <c r="O373" s="519"/>
      <c r="P373" s="519">
        <f t="shared" si="153"/>
        <v>194.91400000000002</v>
      </c>
      <c r="Q373" s="519"/>
      <c r="R373" s="519"/>
      <c r="S373" s="519">
        <f t="shared" si="154"/>
        <v>48.728500000000004</v>
      </c>
      <c r="T373" s="519">
        <f t="shared" si="155"/>
        <v>48.728500000000004</v>
      </c>
      <c r="U373" s="519">
        <f t="shared" si="156"/>
        <v>487.28500000000003</v>
      </c>
      <c r="V373" s="519">
        <f t="shared" si="157"/>
        <v>194.91400000000002</v>
      </c>
      <c r="W373" s="519"/>
      <c r="X373" s="519"/>
      <c r="Y373" s="519"/>
      <c r="Z373" s="519"/>
    </row>
    <row r="374" spans="1:26" s="512" customFormat="1" ht="30">
      <c r="A374" s="338" t="s">
        <v>8896</v>
      </c>
      <c r="B374" s="576" t="s">
        <v>5256</v>
      </c>
      <c r="C374" s="576">
        <v>89797</v>
      </c>
      <c r="D374" s="336" t="s">
        <v>7202</v>
      </c>
      <c r="E374" s="341">
        <f>10+17</f>
        <v>27</v>
      </c>
      <c r="F374" s="342" t="s">
        <v>6337</v>
      </c>
      <c r="G374" s="352">
        <v>24.63</v>
      </c>
      <c r="H374" s="339">
        <f t="shared" si="158"/>
        <v>6.63</v>
      </c>
      <c r="I374" s="339">
        <f t="shared" si="159"/>
        <v>31.259999999999998</v>
      </c>
      <c r="J374" s="431">
        <f t="shared" si="160"/>
        <v>844.02</v>
      </c>
      <c r="K374" s="510">
        <f t="shared" si="151"/>
        <v>665.01</v>
      </c>
      <c r="L374" s="510">
        <f t="shared" si="152"/>
        <v>179.01</v>
      </c>
      <c r="M374" s="519"/>
      <c r="N374" s="519"/>
      <c r="O374" s="519"/>
      <c r="P374" s="519">
        <f t="shared" si="153"/>
        <v>168.804</v>
      </c>
      <c r="Q374" s="519"/>
      <c r="R374" s="519"/>
      <c r="S374" s="519">
        <f t="shared" si="154"/>
        <v>42.201000000000001</v>
      </c>
      <c r="T374" s="519">
        <f t="shared" si="155"/>
        <v>42.201000000000001</v>
      </c>
      <c r="U374" s="519">
        <f t="shared" si="156"/>
        <v>422.01</v>
      </c>
      <c r="V374" s="519">
        <f t="shared" si="157"/>
        <v>168.804</v>
      </c>
      <c r="W374" s="519"/>
      <c r="X374" s="519"/>
      <c r="Y374" s="519"/>
      <c r="Z374" s="519"/>
    </row>
    <row r="375" spans="1:26" s="512" customFormat="1" ht="30">
      <c r="A375" s="338" t="s">
        <v>8897</v>
      </c>
      <c r="B375" s="576" t="s">
        <v>5256</v>
      </c>
      <c r="C375" s="576">
        <v>89813</v>
      </c>
      <c r="D375" s="336" t="s">
        <v>7203</v>
      </c>
      <c r="E375" s="341">
        <f>45+1+26+4</f>
        <v>76</v>
      </c>
      <c r="F375" s="342" t="s">
        <v>6337</v>
      </c>
      <c r="G375" s="352">
        <v>3.59</v>
      </c>
      <c r="H375" s="339">
        <f t="shared" si="158"/>
        <v>0.97</v>
      </c>
      <c r="I375" s="339">
        <f t="shared" si="159"/>
        <v>4.5599999999999996</v>
      </c>
      <c r="J375" s="431">
        <f t="shared" si="160"/>
        <v>346.56</v>
      </c>
      <c r="K375" s="510">
        <f t="shared" si="151"/>
        <v>272.83999999999997</v>
      </c>
      <c r="L375" s="510">
        <f t="shared" si="152"/>
        <v>73.72</v>
      </c>
      <c r="M375" s="519"/>
      <c r="N375" s="519"/>
      <c r="O375" s="519"/>
      <c r="P375" s="519">
        <f t="shared" si="153"/>
        <v>69.311999999999998</v>
      </c>
      <c r="Q375" s="519"/>
      <c r="R375" s="519"/>
      <c r="S375" s="519">
        <f t="shared" si="154"/>
        <v>17.327999999999999</v>
      </c>
      <c r="T375" s="519">
        <f t="shared" si="155"/>
        <v>17.327999999999999</v>
      </c>
      <c r="U375" s="519">
        <f t="shared" si="156"/>
        <v>173.28</v>
      </c>
      <c r="V375" s="519">
        <f t="shared" si="157"/>
        <v>69.311999999999998</v>
      </c>
      <c r="W375" s="519"/>
      <c r="X375" s="519"/>
      <c r="Y375" s="519"/>
      <c r="Z375" s="519"/>
    </row>
    <row r="376" spans="1:26" s="512" customFormat="1" ht="30">
      <c r="A376" s="338" t="s">
        <v>8898</v>
      </c>
      <c r="B376" s="576" t="s">
        <v>5256</v>
      </c>
      <c r="C376" s="576">
        <v>89817</v>
      </c>
      <c r="D376" s="336" t="s">
        <v>7204</v>
      </c>
      <c r="E376" s="341">
        <f>40+42+52+48</f>
        <v>182</v>
      </c>
      <c r="F376" s="342" t="s">
        <v>6337</v>
      </c>
      <c r="G376" s="352">
        <v>6.25</v>
      </c>
      <c r="H376" s="339">
        <f t="shared" si="158"/>
        <v>1.68</v>
      </c>
      <c r="I376" s="339">
        <f t="shared" si="159"/>
        <v>7.93</v>
      </c>
      <c r="J376" s="431">
        <f t="shared" si="160"/>
        <v>1443.26</v>
      </c>
      <c r="K376" s="510">
        <f t="shared" si="151"/>
        <v>1137.5</v>
      </c>
      <c r="L376" s="510">
        <f t="shared" si="152"/>
        <v>305.76</v>
      </c>
      <c r="M376" s="519"/>
      <c r="N376" s="519"/>
      <c r="O376" s="519"/>
      <c r="P376" s="519">
        <f t="shared" si="153"/>
        <v>288.65199999999999</v>
      </c>
      <c r="Q376" s="519"/>
      <c r="R376" s="519"/>
      <c r="S376" s="519">
        <f t="shared" si="154"/>
        <v>72.162999999999997</v>
      </c>
      <c r="T376" s="519">
        <f t="shared" si="155"/>
        <v>72.162999999999997</v>
      </c>
      <c r="U376" s="519">
        <f t="shared" si="156"/>
        <v>721.63</v>
      </c>
      <c r="V376" s="519">
        <f t="shared" si="157"/>
        <v>288.65199999999999</v>
      </c>
      <c r="W376" s="519"/>
      <c r="X376" s="519"/>
      <c r="Y376" s="519"/>
      <c r="Z376" s="519"/>
    </row>
    <row r="377" spans="1:26" s="512" customFormat="1" ht="30">
      <c r="A377" s="338" t="s">
        <v>8899</v>
      </c>
      <c r="B377" s="576" t="s">
        <v>5256</v>
      </c>
      <c r="C377" s="576">
        <v>89821</v>
      </c>
      <c r="D377" s="336" t="s">
        <v>7205</v>
      </c>
      <c r="E377" s="341">
        <f>44+55</f>
        <v>99</v>
      </c>
      <c r="F377" s="342" t="s">
        <v>6337</v>
      </c>
      <c r="G377" s="352">
        <v>7.87</v>
      </c>
      <c r="H377" s="339">
        <f t="shared" si="158"/>
        <v>2.12</v>
      </c>
      <c r="I377" s="339">
        <f t="shared" si="159"/>
        <v>9.99</v>
      </c>
      <c r="J377" s="431">
        <f t="shared" si="160"/>
        <v>989.01</v>
      </c>
      <c r="K377" s="510">
        <f t="shared" si="151"/>
        <v>779.13</v>
      </c>
      <c r="L377" s="510">
        <f t="shared" si="152"/>
        <v>209.88</v>
      </c>
      <c r="M377" s="519"/>
      <c r="N377" s="519"/>
      <c r="O377" s="519"/>
      <c r="P377" s="519">
        <f t="shared" si="153"/>
        <v>197.80200000000002</v>
      </c>
      <c r="Q377" s="519"/>
      <c r="R377" s="519"/>
      <c r="S377" s="519">
        <f t="shared" si="154"/>
        <v>49.450500000000005</v>
      </c>
      <c r="T377" s="519">
        <f t="shared" si="155"/>
        <v>49.450500000000005</v>
      </c>
      <c r="U377" s="519">
        <f t="shared" si="156"/>
        <v>494.505</v>
      </c>
      <c r="V377" s="519">
        <f t="shared" si="157"/>
        <v>197.80200000000002</v>
      </c>
      <c r="W377" s="519"/>
      <c r="X377" s="519"/>
      <c r="Y377" s="519"/>
      <c r="Z377" s="519"/>
    </row>
    <row r="378" spans="1:26" s="512" customFormat="1" ht="30">
      <c r="A378" s="338" t="s">
        <v>8900</v>
      </c>
      <c r="B378" s="576" t="s">
        <v>5256</v>
      </c>
      <c r="C378" s="576">
        <v>89819</v>
      </c>
      <c r="D378" s="336" t="s">
        <v>7206</v>
      </c>
      <c r="E378" s="341">
        <v>1</v>
      </c>
      <c r="F378" s="342" t="s">
        <v>6337</v>
      </c>
      <c r="G378" s="352">
        <v>8.9499999999999993</v>
      </c>
      <c r="H378" s="339">
        <f t="shared" si="158"/>
        <v>2.41</v>
      </c>
      <c r="I378" s="339">
        <f t="shared" si="159"/>
        <v>11.36</v>
      </c>
      <c r="J378" s="431">
        <f t="shared" si="160"/>
        <v>11.36</v>
      </c>
      <c r="K378" s="510">
        <f t="shared" si="151"/>
        <v>8.9499999999999993</v>
      </c>
      <c r="L378" s="510">
        <f t="shared" si="152"/>
        <v>2.41</v>
      </c>
      <c r="M378" s="519"/>
      <c r="N378" s="519"/>
      <c r="O378" s="519"/>
      <c r="P378" s="519">
        <f t="shared" si="153"/>
        <v>2.2719999999999998</v>
      </c>
      <c r="Q378" s="519"/>
      <c r="R378" s="519"/>
      <c r="S378" s="519">
        <f t="shared" si="154"/>
        <v>0.56799999999999995</v>
      </c>
      <c r="T378" s="519">
        <f t="shared" si="155"/>
        <v>0.56799999999999995</v>
      </c>
      <c r="U378" s="519">
        <f t="shared" si="156"/>
        <v>5.68</v>
      </c>
      <c r="V378" s="519">
        <f t="shared" si="157"/>
        <v>2.2719999999999998</v>
      </c>
      <c r="W378" s="519"/>
      <c r="X378" s="519"/>
      <c r="Y378" s="519"/>
      <c r="Z378" s="519"/>
    </row>
    <row r="379" spans="1:26" s="512" customFormat="1" ht="30">
      <c r="A379" s="338" t="s">
        <v>8901</v>
      </c>
      <c r="B379" s="576" t="s">
        <v>5256</v>
      </c>
      <c r="C379" s="576">
        <v>89546</v>
      </c>
      <c r="D379" s="336" t="s">
        <v>7207</v>
      </c>
      <c r="E379" s="341">
        <f>31+13</f>
        <v>44</v>
      </c>
      <c r="F379" s="342" t="s">
        <v>6337</v>
      </c>
      <c r="G379" s="352">
        <v>5.69</v>
      </c>
      <c r="H379" s="339">
        <f t="shared" si="158"/>
        <v>1.53</v>
      </c>
      <c r="I379" s="339">
        <f t="shared" si="159"/>
        <v>7.2200000000000006</v>
      </c>
      <c r="J379" s="431">
        <f t="shared" si="160"/>
        <v>317.68</v>
      </c>
      <c r="K379" s="510">
        <f t="shared" si="151"/>
        <v>250.36</v>
      </c>
      <c r="L379" s="510">
        <f t="shared" si="152"/>
        <v>67.319999999999993</v>
      </c>
      <c r="M379" s="519"/>
      <c r="N379" s="519"/>
      <c r="O379" s="519"/>
      <c r="P379" s="519">
        <f t="shared" si="153"/>
        <v>63.536000000000001</v>
      </c>
      <c r="Q379" s="519"/>
      <c r="R379" s="519"/>
      <c r="S379" s="519">
        <f t="shared" si="154"/>
        <v>15.884</v>
      </c>
      <c r="T379" s="519">
        <f t="shared" si="155"/>
        <v>15.884</v>
      </c>
      <c r="U379" s="519">
        <f t="shared" si="156"/>
        <v>158.84</v>
      </c>
      <c r="V379" s="519">
        <f t="shared" si="157"/>
        <v>63.536000000000001</v>
      </c>
      <c r="W379" s="519"/>
      <c r="X379" s="519"/>
      <c r="Y379" s="519"/>
      <c r="Z379" s="519"/>
    </row>
    <row r="380" spans="1:26" s="512" customFormat="1" ht="30">
      <c r="A380" s="338" t="s">
        <v>8902</v>
      </c>
      <c r="B380" s="576" t="s">
        <v>5256</v>
      </c>
      <c r="C380" s="576">
        <v>89665</v>
      </c>
      <c r="D380" s="336" t="s">
        <v>7208</v>
      </c>
      <c r="E380" s="341">
        <f>12+6+9+4</f>
        <v>31</v>
      </c>
      <c r="F380" s="342" t="s">
        <v>6337</v>
      </c>
      <c r="G380" s="352">
        <v>6.92</v>
      </c>
      <c r="H380" s="339">
        <f t="shared" si="158"/>
        <v>1.86</v>
      </c>
      <c r="I380" s="339">
        <f t="shared" si="159"/>
        <v>8.7799999999999994</v>
      </c>
      <c r="J380" s="431">
        <f t="shared" si="160"/>
        <v>272.18</v>
      </c>
      <c r="K380" s="510">
        <f t="shared" si="151"/>
        <v>214.52</v>
      </c>
      <c r="L380" s="510">
        <f t="shared" si="152"/>
        <v>57.66</v>
      </c>
      <c r="M380" s="519"/>
      <c r="N380" s="519"/>
      <c r="O380" s="519"/>
      <c r="P380" s="519">
        <f t="shared" si="153"/>
        <v>54.436000000000007</v>
      </c>
      <c r="Q380" s="519"/>
      <c r="R380" s="519"/>
      <c r="S380" s="519">
        <f t="shared" si="154"/>
        <v>13.609000000000002</v>
      </c>
      <c r="T380" s="519">
        <f t="shared" si="155"/>
        <v>13.609000000000002</v>
      </c>
      <c r="U380" s="519">
        <f t="shared" si="156"/>
        <v>136.09</v>
      </c>
      <c r="V380" s="519">
        <f t="shared" si="157"/>
        <v>54.436000000000007</v>
      </c>
      <c r="W380" s="519"/>
      <c r="X380" s="519"/>
      <c r="Y380" s="519"/>
      <c r="Z380" s="519"/>
    </row>
    <row r="381" spans="1:26" s="512" customFormat="1" ht="30">
      <c r="A381" s="338" t="s">
        <v>8903</v>
      </c>
      <c r="B381" s="576" t="s">
        <v>5256</v>
      </c>
      <c r="C381" s="576">
        <v>89557</v>
      </c>
      <c r="D381" s="336" t="s">
        <v>7209</v>
      </c>
      <c r="E381" s="341">
        <f>7+5</f>
        <v>12</v>
      </c>
      <c r="F381" s="342" t="s">
        <v>6337</v>
      </c>
      <c r="G381" s="352">
        <v>13.98</v>
      </c>
      <c r="H381" s="339">
        <f t="shared" si="158"/>
        <v>3.76</v>
      </c>
      <c r="I381" s="339">
        <f t="shared" si="159"/>
        <v>17.740000000000002</v>
      </c>
      <c r="J381" s="431">
        <f t="shared" si="160"/>
        <v>212.88</v>
      </c>
      <c r="K381" s="510">
        <f t="shared" si="151"/>
        <v>167.76</v>
      </c>
      <c r="L381" s="510">
        <f t="shared" si="152"/>
        <v>45.12</v>
      </c>
      <c r="M381" s="519"/>
      <c r="N381" s="519"/>
      <c r="O381" s="519"/>
      <c r="P381" s="519">
        <f t="shared" si="153"/>
        <v>42.576000000000001</v>
      </c>
      <c r="Q381" s="519"/>
      <c r="R381" s="519"/>
      <c r="S381" s="519">
        <f t="shared" si="154"/>
        <v>10.644</v>
      </c>
      <c r="T381" s="519">
        <f t="shared" si="155"/>
        <v>10.644</v>
      </c>
      <c r="U381" s="519">
        <f t="shared" si="156"/>
        <v>106.44</v>
      </c>
      <c r="V381" s="519">
        <f t="shared" si="157"/>
        <v>42.576000000000001</v>
      </c>
      <c r="W381" s="519"/>
      <c r="X381" s="519"/>
      <c r="Y381" s="519"/>
      <c r="Z381" s="519"/>
    </row>
    <row r="382" spans="1:26" s="512" customFormat="1" ht="30">
      <c r="A382" s="338" t="s">
        <v>8904</v>
      </c>
      <c r="B382" s="576" t="s">
        <v>5256</v>
      </c>
      <c r="C382" s="576">
        <v>89825</v>
      </c>
      <c r="D382" s="336" t="s">
        <v>7210</v>
      </c>
      <c r="E382" s="341">
        <f>19+6+3</f>
        <v>28</v>
      </c>
      <c r="F382" s="342" t="s">
        <v>6337</v>
      </c>
      <c r="G382" s="352">
        <v>7.83</v>
      </c>
      <c r="H382" s="339">
        <f t="shared" si="158"/>
        <v>2.11</v>
      </c>
      <c r="I382" s="339">
        <f t="shared" si="159"/>
        <v>9.94</v>
      </c>
      <c r="J382" s="431">
        <f t="shared" si="160"/>
        <v>278.32</v>
      </c>
      <c r="K382" s="510">
        <f t="shared" si="151"/>
        <v>219.24</v>
      </c>
      <c r="L382" s="510">
        <f t="shared" si="152"/>
        <v>59.08</v>
      </c>
      <c r="M382" s="519"/>
      <c r="N382" s="519"/>
      <c r="O382" s="519"/>
      <c r="P382" s="519">
        <f t="shared" si="153"/>
        <v>55.664000000000001</v>
      </c>
      <c r="Q382" s="519"/>
      <c r="R382" s="519"/>
      <c r="S382" s="519">
        <f t="shared" si="154"/>
        <v>13.916</v>
      </c>
      <c r="T382" s="519">
        <f t="shared" si="155"/>
        <v>13.916</v>
      </c>
      <c r="U382" s="519">
        <f t="shared" si="156"/>
        <v>139.16</v>
      </c>
      <c r="V382" s="519">
        <f t="shared" si="157"/>
        <v>55.664000000000001</v>
      </c>
      <c r="W382" s="519"/>
      <c r="X382" s="519"/>
      <c r="Y382" s="519"/>
      <c r="Z382" s="519"/>
    </row>
    <row r="383" spans="1:26" s="512" customFormat="1" ht="30">
      <c r="A383" s="338" t="s">
        <v>8905</v>
      </c>
      <c r="B383" s="576" t="s">
        <v>5256</v>
      </c>
      <c r="C383" s="576">
        <v>89829</v>
      </c>
      <c r="D383" s="336" t="s">
        <v>7211</v>
      </c>
      <c r="E383" s="341">
        <f>12+23+16+20</f>
        <v>71</v>
      </c>
      <c r="F383" s="342" t="s">
        <v>6337</v>
      </c>
      <c r="G383" s="352">
        <v>13.76</v>
      </c>
      <c r="H383" s="339">
        <f t="shared" si="158"/>
        <v>3.71</v>
      </c>
      <c r="I383" s="339">
        <f t="shared" si="159"/>
        <v>17.47</v>
      </c>
      <c r="J383" s="431">
        <f t="shared" si="160"/>
        <v>1240.3699999999999</v>
      </c>
      <c r="K383" s="510">
        <f t="shared" si="151"/>
        <v>976.96</v>
      </c>
      <c r="L383" s="510">
        <f t="shared" si="152"/>
        <v>263.41000000000003</v>
      </c>
      <c r="M383" s="519"/>
      <c r="N383" s="519"/>
      <c r="O383" s="519"/>
      <c r="P383" s="519">
        <f t="shared" si="153"/>
        <v>248.07399999999998</v>
      </c>
      <c r="Q383" s="519"/>
      <c r="R383" s="519"/>
      <c r="S383" s="519">
        <f t="shared" si="154"/>
        <v>62.018499999999996</v>
      </c>
      <c r="T383" s="519">
        <f t="shared" si="155"/>
        <v>62.018499999999996</v>
      </c>
      <c r="U383" s="519">
        <f t="shared" si="156"/>
        <v>620.18499999999995</v>
      </c>
      <c r="V383" s="519">
        <f t="shared" si="157"/>
        <v>248.07399999999998</v>
      </c>
      <c r="W383" s="519"/>
      <c r="X383" s="519"/>
      <c r="Y383" s="519"/>
      <c r="Z383" s="519"/>
    </row>
    <row r="384" spans="1:26" s="512" customFormat="1" ht="30">
      <c r="A384" s="338" t="s">
        <v>8906</v>
      </c>
      <c r="B384" s="576" t="s">
        <v>5256</v>
      </c>
      <c r="C384" s="576">
        <v>89833</v>
      </c>
      <c r="D384" s="336" t="s">
        <v>7212</v>
      </c>
      <c r="E384" s="341">
        <f>1+1</f>
        <v>2</v>
      </c>
      <c r="F384" s="342" t="s">
        <v>6337</v>
      </c>
      <c r="G384" s="352">
        <v>17.3</v>
      </c>
      <c r="H384" s="339">
        <f t="shared" si="158"/>
        <v>4.66</v>
      </c>
      <c r="I384" s="339">
        <f t="shared" si="159"/>
        <v>21.96</v>
      </c>
      <c r="J384" s="431">
        <f t="shared" si="160"/>
        <v>43.92</v>
      </c>
      <c r="K384" s="510">
        <f t="shared" si="151"/>
        <v>34.6</v>
      </c>
      <c r="L384" s="510">
        <f t="shared" si="152"/>
        <v>9.32</v>
      </c>
      <c r="M384" s="519"/>
      <c r="N384" s="519"/>
      <c r="O384" s="519"/>
      <c r="P384" s="519">
        <f t="shared" si="153"/>
        <v>8.7840000000000007</v>
      </c>
      <c r="Q384" s="519"/>
      <c r="R384" s="519"/>
      <c r="S384" s="519">
        <f t="shared" si="154"/>
        <v>2.1960000000000002</v>
      </c>
      <c r="T384" s="519">
        <f t="shared" si="155"/>
        <v>2.1960000000000002</v>
      </c>
      <c r="U384" s="519">
        <f t="shared" si="156"/>
        <v>21.96</v>
      </c>
      <c r="V384" s="519">
        <f t="shared" si="157"/>
        <v>8.7840000000000007</v>
      </c>
      <c r="W384" s="519"/>
      <c r="X384" s="519"/>
      <c r="Y384" s="519"/>
      <c r="Z384" s="519"/>
    </row>
    <row r="385" spans="1:26" s="512" customFormat="1" ht="30">
      <c r="A385" s="338" t="s">
        <v>8907</v>
      </c>
      <c r="B385" s="576" t="s">
        <v>5256</v>
      </c>
      <c r="C385" s="576" t="s">
        <v>7282</v>
      </c>
      <c r="D385" s="336" t="s">
        <v>7280</v>
      </c>
      <c r="E385" s="341">
        <f>2</f>
        <v>2</v>
      </c>
      <c r="F385" s="342" t="s">
        <v>6337</v>
      </c>
      <c r="G385" s="352">
        <v>18.5</v>
      </c>
      <c r="H385" s="339">
        <f t="shared" si="158"/>
        <v>4.9800000000000004</v>
      </c>
      <c r="I385" s="339">
        <f t="shared" si="159"/>
        <v>23.48</v>
      </c>
      <c r="J385" s="431">
        <f t="shared" si="160"/>
        <v>46.96</v>
      </c>
      <c r="K385" s="510">
        <f t="shared" si="151"/>
        <v>37</v>
      </c>
      <c r="L385" s="510">
        <f t="shared" si="152"/>
        <v>9.9600000000000009</v>
      </c>
      <c r="M385" s="519"/>
      <c r="N385" s="519"/>
      <c r="O385" s="519"/>
      <c r="P385" s="519">
        <f t="shared" si="153"/>
        <v>9.3920000000000012</v>
      </c>
      <c r="Q385" s="519"/>
      <c r="R385" s="519"/>
      <c r="S385" s="519">
        <f t="shared" si="154"/>
        <v>2.3480000000000003</v>
      </c>
      <c r="T385" s="519">
        <f t="shared" si="155"/>
        <v>2.3480000000000003</v>
      </c>
      <c r="U385" s="519">
        <f t="shared" si="156"/>
        <v>23.48</v>
      </c>
      <c r="V385" s="519">
        <f t="shared" si="157"/>
        <v>9.3920000000000012</v>
      </c>
      <c r="W385" s="519"/>
      <c r="X385" s="519"/>
      <c r="Y385" s="519"/>
      <c r="Z385" s="519"/>
    </row>
    <row r="386" spans="1:26" s="512" customFormat="1" ht="30">
      <c r="A386" s="338" t="s">
        <v>8908</v>
      </c>
      <c r="B386" s="576" t="s">
        <v>5256</v>
      </c>
      <c r="C386" s="576" t="s">
        <v>7281</v>
      </c>
      <c r="D386" s="336" t="s">
        <v>7213</v>
      </c>
      <c r="E386" s="341">
        <f>2+7+6+10</f>
        <v>25</v>
      </c>
      <c r="F386" s="342" t="s">
        <v>6337</v>
      </c>
      <c r="G386" s="352">
        <v>18.829999999999998</v>
      </c>
      <c r="H386" s="339">
        <f t="shared" si="158"/>
        <v>5.07</v>
      </c>
      <c r="I386" s="339">
        <f t="shared" si="159"/>
        <v>23.9</v>
      </c>
      <c r="J386" s="431">
        <f t="shared" si="160"/>
        <v>597.5</v>
      </c>
      <c r="K386" s="510">
        <f t="shared" si="151"/>
        <v>470.75</v>
      </c>
      <c r="L386" s="510">
        <f t="shared" si="152"/>
        <v>126.75</v>
      </c>
      <c r="M386" s="519"/>
      <c r="N386" s="519"/>
      <c r="O386" s="519"/>
      <c r="P386" s="519">
        <f t="shared" si="153"/>
        <v>119.5</v>
      </c>
      <c r="Q386" s="519"/>
      <c r="R386" s="519"/>
      <c r="S386" s="519">
        <f t="shared" si="154"/>
        <v>29.875</v>
      </c>
      <c r="T386" s="519">
        <f t="shared" si="155"/>
        <v>29.875</v>
      </c>
      <c r="U386" s="519">
        <f t="shared" si="156"/>
        <v>298.75</v>
      </c>
      <c r="V386" s="519">
        <f t="shared" si="157"/>
        <v>119.5</v>
      </c>
      <c r="W386" s="519"/>
      <c r="X386" s="519"/>
      <c r="Y386" s="519"/>
      <c r="Z386" s="519"/>
    </row>
    <row r="387" spans="1:26" s="512" customFormat="1" ht="30">
      <c r="A387" s="338" t="s">
        <v>8909</v>
      </c>
      <c r="B387" s="576" t="s">
        <v>5256</v>
      </c>
      <c r="C387" s="576" t="s">
        <v>7224</v>
      </c>
      <c r="D387" s="336" t="s">
        <v>7214</v>
      </c>
      <c r="E387" s="341">
        <f>1+1+2+2</f>
        <v>6</v>
      </c>
      <c r="F387" s="342" t="s">
        <v>6337</v>
      </c>
      <c r="G387" s="352">
        <v>14.74</v>
      </c>
      <c r="H387" s="339">
        <f t="shared" si="158"/>
        <v>3.97</v>
      </c>
      <c r="I387" s="339">
        <f t="shared" si="159"/>
        <v>18.71</v>
      </c>
      <c r="J387" s="431">
        <f t="shared" si="160"/>
        <v>112.26</v>
      </c>
      <c r="K387" s="510">
        <f t="shared" si="151"/>
        <v>88.44</v>
      </c>
      <c r="L387" s="510">
        <f t="shared" si="152"/>
        <v>23.82</v>
      </c>
      <c r="M387" s="519"/>
      <c r="N387" s="519"/>
      <c r="O387" s="519"/>
      <c r="P387" s="519">
        <f t="shared" si="153"/>
        <v>22.452000000000002</v>
      </c>
      <c r="Q387" s="519"/>
      <c r="R387" s="519"/>
      <c r="S387" s="519">
        <f t="shared" si="154"/>
        <v>5.6130000000000004</v>
      </c>
      <c r="T387" s="519">
        <f t="shared" si="155"/>
        <v>5.6130000000000004</v>
      </c>
      <c r="U387" s="519">
        <f t="shared" si="156"/>
        <v>56.13</v>
      </c>
      <c r="V387" s="519">
        <f t="shared" si="157"/>
        <v>22.452000000000002</v>
      </c>
      <c r="W387" s="519"/>
      <c r="X387" s="519"/>
      <c r="Y387" s="519"/>
      <c r="Z387" s="519"/>
    </row>
    <row r="388" spans="1:26" s="512" customFormat="1" ht="30">
      <c r="A388" s="338" t="s">
        <v>8910</v>
      </c>
      <c r="B388" s="576" t="s">
        <v>6333</v>
      </c>
      <c r="C388" s="576">
        <v>10266</v>
      </c>
      <c r="D388" s="336" t="s">
        <v>7215</v>
      </c>
      <c r="E388" s="341">
        <f>4</f>
        <v>4</v>
      </c>
      <c r="F388" s="342" t="s">
        <v>6337</v>
      </c>
      <c r="G388" s="352">
        <v>11.08</v>
      </c>
      <c r="H388" s="339">
        <f t="shared" si="158"/>
        <v>2.98</v>
      </c>
      <c r="I388" s="339">
        <f t="shared" si="159"/>
        <v>14.06</v>
      </c>
      <c r="J388" s="431">
        <f t="shared" si="160"/>
        <v>56.24</v>
      </c>
      <c r="K388" s="510">
        <f t="shared" si="151"/>
        <v>44.32</v>
      </c>
      <c r="L388" s="510">
        <f t="shared" si="152"/>
        <v>11.92</v>
      </c>
      <c r="M388" s="519"/>
      <c r="N388" s="519"/>
      <c r="O388" s="519"/>
      <c r="P388" s="519">
        <f t="shared" si="153"/>
        <v>11.248000000000001</v>
      </c>
      <c r="Q388" s="519"/>
      <c r="R388" s="519"/>
      <c r="S388" s="519">
        <f t="shared" si="154"/>
        <v>2.8120000000000003</v>
      </c>
      <c r="T388" s="519">
        <f t="shared" si="155"/>
        <v>2.8120000000000003</v>
      </c>
      <c r="U388" s="519">
        <f t="shared" si="156"/>
        <v>28.12</v>
      </c>
      <c r="V388" s="519">
        <f t="shared" si="157"/>
        <v>11.248000000000001</v>
      </c>
      <c r="W388" s="519"/>
      <c r="X388" s="519"/>
      <c r="Y388" s="519"/>
      <c r="Z388" s="519"/>
    </row>
    <row r="389" spans="1:26" s="512" customFormat="1" ht="30">
      <c r="A389" s="338" t="s">
        <v>8911</v>
      </c>
      <c r="B389" s="576" t="s">
        <v>6333</v>
      </c>
      <c r="C389" s="576">
        <v>7594</v>
      </c>
      <c r="D389" s="336" t="s">
        <v>7283</v>
      </c>
      <c r="E389" s="341">
        <f>2+9</f>
        <v>11</v>
      </c>
      <c r="F389" s="342" t="s">
        <v>6337</v>
      </c>
      <c r="G389" s="352">
        <v>6.0200000000000005</v>
      </c>
      <c r="H389" s="339">
        <f t="shared" si="158"/>
        <v>1.62</v>
      </c>
      <c r="I389" s="339">
        <f t="shared" si="159"/>
        <v>7.6400000000000006</v>
      </c>
      <c r="J389" s="431">
        <f t="shared" si="160"/>
        <v>84.04</v>
      </c>
      <c r="K389" s="510">
        <f t="shared" si="151"/>
        <v>66.22</v>
      </c>
      <c r="L389" s="510">
        <f t="shared" si="152"/>
        <v>17.82</v>
      </c>
      <c r="M389" s="519"/>
      <c r="N389" s="519"/>
      <c r="O389" s="519"/>
      <c r="P389" s="519">
        <f t="shared" si="153"/>
        <v>16.808000000000003</v>
      </c>
      <c r="Q389" s="519"/>
      <c r="R389" s="519"/>
      <c r="S389" s="519">
        <f t="shared" si="154"/>
        <v>4.2020000000000008</v>
      </c>
      <c r="T389" s="519">
        <f t="shared" si="155"/>
        <v>4.2020000000000008</v>
      </c>
      <c r="U389" s="519">
        <f t="shared" si="156"/>
        <v>42.02</v>
      </c>
      <c r="V389" s="519">
        <f t="shared" si="157"/>
        <v>16.808000000000003</v>
      </c>
      <c r="W389" s="519"/>
      <c r="X389" s="519"/>
      <c r="Y389" s="519"/>
      <c r="Z389" s="519"/>
    </row>
    <row r="390" spans="1:26" s="512" customFormat="1" ht="15">
      <c r="A390" s="337" t="s">
        <v>7225</v>
      </c>
      <c r="B390" s="698" t="s">
        <v>7226</v>
      </c>
      <c r="C390" s="698"/>
      <c r="D390" s="698"/>
      <c r="E390" s="698"/>
      <c r="F390" s="698"/>
      <c r="G390" s="698"/>
      <c r="H390" s="698"/>
      <c r="I390" s="698"/>
      <c r="J390" s="698"/>
      <c r="K390" s="510">
        <f t="shared" si="151"/>
        <v>0</v>
      </c>
      <c r="L390" s="510">
        <f t="shared" si="152"/>
        <v>0</v>
      </c>
      <c r="M390" s="519"/>
      <c r="N390" s="519"/>
      <c r="O390" s="519"/>
      <c r="P390" s="519"/>
      <c r="Q390" s="519"/>
      <c r="R390" s="519"/>
      <c r="S390" s="519"/>
      <c r="T390" s="519"/>
      <c r="U390" s="519"/>
      <c r="V390" s="519"/>
      <c r="W390" s="519"/>
      <c r="X390" s="519"/>
      <c r="Y390" s="519"/>
      <c r="Z390" s="519"/>
    </row>
    <row r="391" spans="1:26" s="512" customFormat="1" ht="30">
      <c r="A391" s="338" t="s">
        <v>8912</v>
      </c>
      <c r="B391" s="576" t="s">
        <v>5256</v>
      </c>
      <c r="C391" s="576" t="s">
        <v>7233</v>
      </c>
      <c r="D391" s="336" t="s">
        <v>7227</v>
      </c>
      <c r="E391" s="341">
        <f>1+1</f>
        <v>2</v>
      </c>
      <c r="F391" s="342" t="s">
        <v>6337</v>
      </c>
      <c r="G391" s="352">
        <v>23.66</v>
      </c>
      <c r="H391" s="339">
        <f t="shared" ref="H391:H397" si="161">ROUND(G391*$B$13,2)</f>
        <v>6.37</v>
      </c>
      <c r="I391" s="339">
        <f t="shared" ref="I391:I397" si="162">H391+G391</f>
        <v>30.03</v>
      </c>
      <c r="J391" s="431">
        <f t="shared" ref="J391:J397" si="163">ROUND(I391*E391,2)</f>
        <v>60.06</v>
      </c>
      <c r="K391" s="510">
        <f t="shared" si="151"/>
        <v>47.32</v>
      </c>
      <c r="L391" s="510">
        <f t="shared" si="152"/>
        <v>12.74</v>
      </c>
      <c r="M391" s="519"/>
      <c r="N391" s="519"/>
      <c r="O391" s="519"/>
      <c r="P391" s="519">
        <f t="shared" ref="P391:P397" si="164">0.2*J391</f>
        <v>12.012</v>
      </c>
      <c r="Q391" s="519"/>
      <c r="R391" s="519"/>
      <c r="S391" s="519">
        <f t="shared" ref="S391:S397" si="165">0.05*J391</f>
        <v>3.0030000000000001</v>
      </c>
      <c r="T391" s="519">
        <f t="shared" ref="T391:T397" si="166">0.05*J391</f>
        <v>3.0030000000000001</v>
      </c>
      <c r="U391" s="519">
        <f t="shared" ref="U391:U397" si="167">0.5*J391</f>
        <v>30.03</v>
      </c>
      <c r="V391" s="519">
        <f t="shared" ref="V391:V397" si="168">0.2*J391</f>
        <v>12.012</v>
      </c>
      <c r="W391" s="519"/>
      <c r="X391" s="519"/>
      <c r="Y391" s="519"/>
      <c r="Z391" s="519"/>
    </row>
    <row r="392" spans="1:26" s="512" customFormat="1" ht="30">
      <c r="A392" s="338" t="s">
        <v>8913</v>
      </c>
      <c r="B392" s="576" t="s">
        <v>5256</v>
      </c>
      <c r="C392" s="576" t="s">
        <v>7234</v>
      </c>
      <c r="D392" s="336" t="s">
        <v>7228</v>
      </c>
      <c r="E392" s="341">
        <f>17+15</f>
        <v>32</v>
      </c>
      <c r="F392" s="342" t="s">
        <v>6337</v>
      </c>
      <c r="G392" s="352">
        <v>36.449999999999996</v>
      </c>
      <c r="H392" s="339">
        <f t="shared" si="161"/>
        <v>9.82</v>
      </c>
      <c r="I392" s="339">
        <f t="shared" si="162"/>
        <v>46.269999999999996</v>
      </c>
      <c r="J392" s="431">
        <f t="shared" si="163"/>
        <v>1480.64</v>
      </c>
      <c r="K392" s="510">
        <f t="shared" si="151"/>
        <v>1166.4000000000001</v>
      </c>
      <c r="L392" s="510">
        <f t="shared" si="152"/>
        <v>314.24</v>
      </c>
      <c r="M392" s="519"/>
      <c r="N392" s="519"/>
      <c r="O392" s="519"/>
      <c r="P392" s="519">
        <f t="shared" si="164"/>
        <v>296.12800000000004</v>
      </c>
      <c r="Q392" s="519"/>
      <c r="R392" s="519"/>
      <c r="S392" s="519">
        <f t="shared" si="165"/>
        <v>74.032000000000011</v>
      </c>
      <c r="T392" s="519">
        <f t="shared" si="166"/>
        <v>74.032000000000011</v>
      </c>
      <c r="U392" s="519">
        <f t="shared" si="167"/>
        <v>740.32</v>
      </c>
      <c r="V392" s="519">
        <f t="shared" si="168"/>
        <v>296.12800000000004</v>
      </c>
      <c r="W392" s="519"/>
      <c r="X392" s="519"/>
      <c r="Y392" s="519"/>
      <c r="Z392" s="519"/>
    </row>
    <row r="393" spans="1:26" s="512" customFormat="1" ht="30">
      <c r="A393" s="338" t="s">
        <v>8914</v>
      </c>
      <c r="B393" s="576" t="s">
        <v>5256</v>
      </c>
      <c r="C393" s="576">
        <v>89708</v>
      </c>
      <c r="D393" s="336" t="s">
        <v>7229</v>
      </c>
      <c r="E393" s="341">
        <f>15+24</f>
        <v>39</v>
      </c>
      <c r="F393" s="342" t="s">
        <v>6337</v>
      </c>
      <c r="G393" s="352">
        <v>44.3</v>
      </c>
      <c r="H393" s="339">
        <f t="shared" si="161"/>
        <v>11.93</v>
      </c>
      <c r="I393" s="339">
        <f t="shared" si="162"/>
        <v>56.23</v>
      </c>
      <c r="J393" s="431">
        <f t="shared" si="163"/>
        <v>2192.9699999999998</v>
      </c>
      <c r="K393" s="510">
        <f t="shared" si="151"/>
        <v>1727.7</v>
      </c>
      <c r="L393" s="510">
        <f t="shared" si="152"/>
        <v>465.27</v>
      </c>
      <c r="M393" s="519"/>
      <c r="N393" s="519"/>
      <c r="O393" s="519"/>
      <c r="P393" s="519">
        <f t="shared" si="164"/>
        <v>438.59399999999999</v>
      </c>
      <c r="Q393" s="519"/>
      <c r="R393" s="519"/>
      <c r="S393" s="519">
        <f t="shared" si="165"/>
        <v>109.6485</v>
      </c>
      <c r="T393" s="519">
        <f t="shared" si="166"/>
        <v>109.6485</v>
      </c>
      <c r="U393" s="519">
        <f t="shared" si="167"/>
        <v>1096.4849999999999</v>
      </c>
      <c r="V393" s="519">
        <f t="shared" si="168"/>
        <v>438.59399999999999</v>
      </c>
      <c r="W393" s="519"/>
      <c r="X393" s="519"/>
      <c r="Y393" s="519"/>
      <c r="Z393" s="519"/>
    </row>
    <row r="394" spans="1:26" s="512" customFormat="1" ht="15">
      <c r="A394" s="338" t="s">
        <v>7276</v>
      </c>
      <c r="B394" s="576" t="s">
        <v>5256</v>
      </c>
      <c r="C394" s="576">
        <v>89709</v>
      </c>
      <c r="D394" s="336" t="s">
        <v>7277</v>
      </c>
      <c r="E394" s="341">
        <f>2+2</f>
        <v>4</v>
      </c>
      <c r="F394" s="342" t="s">
        <v>6337</v>
      </c>
      <c r="G394" s="352">
        <v>7.39</v>
      </c>
      <c r="H394" s="339">
        <f t="shared" si="161"/>
        <v>1.99</v>
      </c>
      <c r="I394" s="339">
        <f t="shared" si="162"/>
        <v>9.379999999999999</v>
      </c>
      <c r="J394" s="431">
        <f t="shared" si="163"/>
        <v>37.520000000000003</v>
      </c>
      <c r="K394" s="510">
        <f t="shared" si="151"/>
        <v>29.56</v>
      </c>
      <c r="L394" s="510">
        <f t="shared" si="152"/>
        <v>7.96</v>
      </c>
      <c r="M394" s="519"/>
      <c r="N394" s="519"/>
      <c r="O394" s="519"/>
      <c r="P394" s="519">
        <f t="shared" si="164"/>
        <v>7.5040000000000013</v>
      </c>
      <c r="Q394" s="519"/>
      <c r="R394" s="519"/>
      <c r="S394" s="519">
        <f t="shared" si="165"/>
        <v>1.8760000000000003</v>
      </c>
      <c r="T394" s="519">
        <f t="shared" si="166"/>
        <v>1.8760000000000003</v>
      </c>
      <c r="U394" s="519">
        <f t="shared" si="167"/>
        <v>18.760000000000002</v>
      </c>
      <c r="V394" s="519">
        <f t="shared" si="168"/>
        <v>7.5040000000000013</v>
      </c>
      <c r="W394" s="519"/>
      <c r="X394" s="519"/>
      <c r="Y394" s="519"/>
      <c r="Z394" s="519"/>
    </row>
    <row r="395" spans="1:26" s="512" customFormat="1" ht="15">
      <c r="A395" s="338" t="s">
        <v>8987</v>
      </c>
      <c r="B395" s="576" t="s">
        <v>5256</v>
      </c>
      <c r="C395" s="576">
        <v>98105</v>
      </c>
      <c r="D395" s="336" t="s">
        <v>7230</v>
      </c>
      <c r="E395" s="341">
        <f>1</f>
        <v>1</v>
      </c>
      <c r="F395" s="342" t="s">
        <v>6337</v>
      </c>
      <c r="G395" s="352">
        <v>383.76</v>
      </c>
      <c r="H395" s="339">
        <f t="shared" si="161"/>
        <v>103.35</v>
      </c>
      <c r="I395" s="339">
        <f t="shared" si="162"/>
        <v>487.11</v>
      </c>
      <c r="J395" s="431">
        <f t="shared" si="163"/>
        <v>487.11</v>
      </c>
      <c r="K395" s="510">
        <f t="shared" si="151"/>
        <v>383.76</v>
      </c>
      <c r="L395" s="510">
        <f t="shared" si="152"/>
        <v>103.35</v>
      </c>
      <c r="M395" s="519"/>
      <c r="N395" s="519"/>
      <c r="O395" s="519"/>
      <c r="P395" s="519">
        <f t="shared" si="164"/>
        <v>97.422000000000011</v>
      </c>
      <c r="Q395" s="519"/>
      <c r="R395" s="519"/>
      <c r="S395" s="519">
        <f t="shared" si="165"/>
        <v>24.355500000000003</v>
      </c>
      <c r="T395" s="519">
        <f t="shared" si="166"/>
        <v>24.355500000000003</v>
      </c>
      <c r="U395" s="519">
        <f t="shared" si="167"/>
        <v>243.55500000000001</v>
      </c>
      <c r="V395" s="519">
        <f t="shared" si="168"/>
        <v>97.422000000000011</v>
      </c>
      <c r="W395" s="519"/>
      <c r="X395" s="519"/>
      <c r="Y395" s="519"/>
      <c r="Z395" s="519"/>
    </row>
    <row r="396" spans="1:26" s="512" customFormat="1" ht="15">
      <c r="A396" s="338" t="s">
        <v>8988</v>
      </c>
      <c r="B396" s="576" t="s">
        <v>5256</v>
      </c>
      <c r="C396" s="576">
        <v>98106</v>
      </c>
      <c r="D396" s="336" t="s">
        <v>7235</v>
      </c>
      <c r="E396" s="341">
        <f>1</f>
        <v>1</v>
      </c>
      <c r="F396" s="342" t="s">
        <v>6337</v>
      </c>
      <c r="G396" s="352">
        <v>634.45000000000005</v>
      </c>
      <c r="H396" s="339">
        <f t="shared" si="161"/>
        <v>170.86</v>
      </c>
      <c r="I396" s="339">
        <f t="shared" si="162"/>
        <v>805.31000000000006</v>
      </c>
      <c r="J396" s="431">
        <f t="shared" si="163"/>
        <v>805.31</v>
      </c>
      <c r="K396" s="510">
        <f t="shared" si="151"/>
        <v>634.45000000000005</v>
      </c>
      <c r="L396" s="510">
        <f t="shared" si="152"/>
        <v>170.86</v>
      </c>
      <c r="M396" s="519"/>
      <c r="N396" s="519"/>
      <c r="O396" s="519"/>
      <c r="P396" s="519">
        <f t="shared" si="164"/>
        <v>161.06200000000001</v>
      </c>
      <c r="Q396" s="519"/>
      <c r="R396" s="519"/>
      <c r="S396" s="519">
        <f t="shared" si="165"/>
        <v>40.265500000000003</v>
      </c>
      <c r="T396" s="519">
        <f t="shared" si="166"/>
        <v>40.265500000000003</v>
      </c>
      <c r="U396" s="519">
        <f t="shared" si="167"/>
        <v>402.65499999999997</v>
      </c>
      <c r="V396" s="519">
        <f t="shared" si="168"/>
        <v>161.06200000000001</v>
      </c>
      <c r="W396" s="519"/>
      <c r="X396" s="519"/>
      <c r="Y396" s="519"/>
      <c r="Z396" s="519"/>
    </row>
    <row r="397" spans="1:26" s="512" customFormat="1" ht="30">
      <c r="A397" s="338" t="s">
        <v>7232</v>
      </c>
      <c r="B397" s="576" t="s">
        <v>7236</v>
      </c>
      <c r="C397" s="576">
        <v>72289</v>
      </c>
      <c r="D397" s="336" t="s">
        <v>7231</v>
      </c>
      <c r="E397" s="341">
        <f>12</f>
        <v>12</v>
      </c>
      <c r="F397" s="342" t="s">
        <v>6337</v>
      </c>
      <c r="G397" s="352">
        <v>278.08000000000004</v>
      </c>
      <c r="H397" s="339">
        <f t="shared" si="161"/>
        <v>74.89</v>
      </c>
      <c r="I397" s="339">
        <f t="shared" si="162"/>
        <v>352.97</v>
      </c>
      <c r="J397" s="431">
        <f t="shared" si="163"/>
        <v>4235.6400000000003</v>
      </c>
      <c r="K397" s="510">
        <f t="shared" si="151"/>
        <v>3336.96</v>
      </c>
      <c r="L397" s="510">
        <f t="shared" si="152"/>
        <v>898.68</v>
      </c>
      <c r="M397" s="519"/>
      <c r="N397" s="519"/>
      <c r="O397" s="519"/>
      <c r="P397" s="519">
        <f t="shared" si="164"/>
        <v>847.12800000000016</v>
      </c>
      <c r="Q397" s="519"/>
      <c r="R397" s="519"/>
      <c r="S397" s="519">
        <f t="shared" si="165"/>
        <v>211.78200000000004</v>
      </c>
      <c r="T397" s="519">
        <f t="shared" si="166"/>
        <v>211.78200000000004</v>
      </c>
      <c r="U397" s="519">
        <f t="shared" si="167"/>
        <v>2117.8200000000002</v>
      </c>
      <c r="V397" s="519">
        <f t="shared" si="168"/>
        <v>847.12800000000016</v>
      </c>
      <c r="W397" s="519"/>
      <c r="X397" s="519"/>
      <c r="Y397" s="519"/>
      <c r="Z397" s="519"/>
    </row>
    <row r="398" spans="1:26" s="6" customFormat="1" ht="15">
      <c r="A398" s="700" t="s">
        <v>7167</v>
      </c>
      <c r="B398" s="700"/>
      <c r="C398" s="700"/>
      <c r="D398" s="700"/>
      <c r="E398" s="700"/>
      <c r="F398" s="700"/>
      <c r="G398" s="700"/>
      <c r="H398" s="700"/>
      <c r="I398" s="700"/>
      <c r="J398" s="432">
        <f>SUM(J338:J397)</f>
        <v>63258.799999999981</v>
      </c>
      <c r="K398" s="513"/>
      <c r="L398" s="117"/>
      <c r="M398" s="514">
        <f>SUM(M338:M397)</f>
        <v>0</v>
      </c>
      <c r="N398" s="514">
        <f t="shared" ref="N398:Z398" si="169">SUM(N338:N397)</f>
        <v>0</v>
      </c>
      <c r="O398" s="514">
        <f t="shared" si="169"/>
        <v>0</v>
      </c>
      <c r="P398" s="514">
        <f t="shared" si="169"/>
        <v>12651.760000000004</v>
      </c>
      <c r="Q398" s="514">
        <f t="shared" si="169"/>
        <v>0</v>
      </c>
      <c r="R398" s="514">
        <f t="shared" si="169"/>
        <v>0</v>
      </c>
      <c r="S398" s="514">
        <f t="shared" si="169"/>
        <v>3162.940000000001</v>
      </c>
      <c r="T398" s="514">
        <f t="shared" si="169"/>
        <v>3162.940000000001</v>
      </c>
      <c r="U398" s="514">
        <f t="shared" si="169"/>
        <v>31629.399999999991</v>
      </c>
      <c r="V398" s="514">
        <f t="shared" si="169"/>
        <v>12651.760000000004</v>
      </c>
      <c r="W398" s="514">
        <f t="shared" si="169"/>
        <v>0</v>
      </c>
      <c r="X398" s="514">
        <f t="shared" si="169"/>
        <v>0</v>
      </c>
      <c r="Y398" s="514">
        <f t="shared" si="169"/>
        <v>0</v>
      </c>
      <c r="Z398" s="514">
        <f t="shared" si="169"/>
        <v>0</v>
      </c>
    </row>
    <row r="399" spans="1:26" s="6" customFormat="1" ht="15">
      <c r="A399" s="29"/>
      <c r="B399" s="29"/>
      <c r="C399" s="29"/>
      <c r="D399" s="29"/>
      <c r="E399" s="189"/>
      <c r="F399" s="29"/>
      <c r="G399" s="353"/>
      <c r="H399" s="28"/>
      <c r="I399" s="28"/>
      <c r="J399" s="433"/>
      <c r="K399" s="155"/>
      <c r="L399" s="117"/>
      <c r="M399" s="358"/>
      <c r="N399" s="358"/>
      <c r="O399" s="358"/>
      <c r="P399" s="358"/>
      <c r="Q399" s="358"/>
      <c r="R399" s="358"/>
      <c r="S399" s="358"/>
      <c r="T399" s="358"/>
      <c r="U399" s="358"/>
      <c r="V399" s="358"/>
      <c r="W399" s="358"/>
      <c r="X399" s="358"/>
      <c r="Y399" s="358"/>
      <c r="Z399" s="358"/>
    </row>
    <row r="400" spans="1:26" ht="15">
      <c r="A400" s="701" t="s">
        <v>7237</v>
      </c>
      <c r="B400" s="701"/>
      <c r="C400" s="701"/>
      <c r="D400" s="701"/>
      <c r="E400" s="701"/>
      <c r="F400" s="701"/>
      <c r="G400" s="701"/>
      <c r="H400" s="701"/>
      <c r="I400" s="701"/>
      <c r="J400" s="434">
        <f>J398+J336+J316</f>
        <v>282115.61</v>
      </c>
      <c r="K400" s="515"/>
      <c r="M400" s="516">
        <f>M398+M336+M316</f>
        <v>0</v>
      </c>
      <c r="N400" s="516">
        <f t="shared" ref="N400:Z400" si="170">N398+N336+N316</f>
        <v>0</v>
      </c>
      <c r="O400" s="516">
        <f t="shared" si="170"/>
        <v>0</v>
      </c>
      <c r="P400" s="516">
        <f t="shared" si="170"/>
        <v>26252.536500000002</v>
      </c>
      <c r="Q400" s="516">
        <f t="shared" si="170"/>
        <v>0</v>
      </c>
      <c r="R400" s="516">
        <f t="shared" si="170"/>
        <v>0</v>
      </c>
      <c r="S400" s="516">
        <f t="shared" si="170"/>
        <v>19732.749</v>
      </c>
      <c r="T400" s="516">
        <f t="shared" si="170"/>
        <v>19732.749</v>
      </c>
      <c r="U400" s="516">
        <f t="shared" si="170"/>
        <v>80716.633999999991</v>
      </c>
      <c r="V400" s="516">
        <f t="shared" si="170"/>
        <v>70023.89850000001</v>
      </c>
      <c r="W400" s="516">
        <f t="shared" si="170"/>
        <v>65657.042999999991</v>
      </c>
      <c r="X400" s="516">
        <f t="shared" si="170"/>
        <v>0</v>
      </c>
      <c r="Y400" s="516">
        <f t="shared" si="170"/>
        <v>0</v>
      </c>
      <c r="Z400" s="516">
        <f t="shared" si="170"/>
        <v>0</v>
      </c>
    </row>
    <row r="401" spans="1:26" s="6" customFormat="1" ht="15">
      <c r="A401" s="338"/>
      <c r="B401" s="576"/>
      <c r="C401" s="576"/>
      <c r="D401" s="336"/>
      <c r="E401" s="341"/>
      <c r="F401" s="342"/>
      <c r="G401" s="354"/>
      <c r="H401" s="11"/>
      <c r="I401" s="11"/>
      <c r="J401" s="435"/>
      <c r="K401" s="146"/>
      <c r="L401" s="117"/>
      <c r="M401" s="517">
        <f>M400/$J$400</f>
        <v>0</v>
      </c>
      <c r="N401" s="517">
        <f t="shared" ref="N401:Z401" si="171">N400/$J$400</f>
        <v>0</v>
      </c>
      <c r="O401" s="517">
        <f t="shared" si="171"/>
        <v>0</v>
      </c>
      <c r="P401" s="517">
        <f t="shared" si="171"/>
        <v>9.3055951423602554E-2</v>
      </c>
      <c r="Q401" s="517">
        <f t="shared" si="171"/>
        <v>0</v>
      </c>
      <c r="R401" s="517">
        <f t="shared" si="171"/>
        <v>0</v>
      </c>
      <c r="S401" s="517">
        <f t="shared" si="171"/>
        <v>6.9945612013457892E-2</v>
      </c>
      <c r="T401" s="517">
        <f t="shared" si="171"/>
        <v>6.9945612013457892E-2</v>
      </c>
      <c r="U401" s="517">
        <f t="shared" si="171"/>
        <v>0.28611190284720506</v>
      </c>
      <c r="V401" s="517">
        <f t="shared" si="171"/>
        <v>0.2482099395350722</v>
      </c>
      <c r="W401" s="517">
        <f t="shared" si="171"/>
        <v>0.23273098216720442</v>
      </c>
      <c r="X401" s="517">
        <f t="shared" si="171"/>
        <v>0</v>
      </c>
      <c r="Y401" s="517">
        <f t="shared" si="171"/>
        <v>0</v>
      </c>
      <c r="Z401" s="517">
        <f t="shared" si="171"/>
        <v>0</v>
      </c>
    </row>
    <row r="402" spans="1:26" ht="15">
      <c r="A402" s="457" t="s">
        <v>5</v>
      </c>
      <c r="B402" s="696" t="s">
        <v>5806</v>
      </c>
      <c r="C402" s="697"/>
      <c r="D402" s="697"/>
      <c r="E402" s="697"/>
      <c r="F402" s="697"/>
      <c r="G402" s="697"/>
      <c r="H402" s="697"/>
      <c r="I402" s="697"/>
      <c r="J402" s="697"/>
      <c r="K402" s="505"/>
      <c r="L402" s="518"/>
      <c r="M402" s="506"/>
      <c r="N402" s="506"/>
      <c r="O402" s="506"/>
    </row>
    <row r="403" spans="1:26" s="6" customFormat="1" ht="15">
      <c r="A403" s="573" t="s">
        <v>0</v>
      </c>
      <c r="B403" s="692" t="s">
        <v>7880</v>
      </c>
      <c r="C403" s="693"/>
      <c r="D403" s="23" t="s">
        <v>1</v>
      </c>
      <c r="E403" s="193" t="s">
        <v>134</v>
      </c>
      <c r="F403" s="24" t="s">
        <v>11</v>
      </c>
      <c r="G403" s="351" t="s">
        <v>12</v>
      </c>
      <c r="H403" s="182" t="s">
        <v>6735</v>
      </c>
      <c r="I403" s="182" t="s">
        <v>6736</v>
      </c>
      <c r="J403" s="430" t="s">
        <v>133</v>
      </c>
      <c r="K403" s="508"/>
      <c r="L403" s="518"/>
      <c r="M403" s="506"/>
      <c r="N403" s="506"/>
      <c r="O403" s="506"/>
      <c r="P403" s="358"/>
      <c r="Q403" s="358"/>
      <c r="R403" s="358"/>
      <c r="S403" s="358"/>
      <c r="T403" s="358"/>
      <c r="U403" s="358"/>
      <c r="V403" s="358"/>
      <c r="W403" s="358"/>
      <c r="X403" s="358"/>
      <c r="Y403" s="358"/>
      <c r="Z403" s="358"/>
    </row>
    <row r="404" spans="1:26" s="6" customFormat="1" ht="15">
      <c r="A404" s="197" t="s">
        <v>5807</v>
      </c>
      <c r="B404" s="699" t="s">
        <v>5949</v>
      </c>
      <c r="C404" s="699"/>
      <c r="D404" s="699"/>
      <c r="E404" s="699"/>
      <c r="F404" s="699"/>
      <c r="G404" s="699"/>
      <c r="H404" s="699"/>
      <c r="I404" s="699"/>
      <c r="J404" s="699"/>
      <c r="K404" s="509"/>
      <c r="L404" s="117"/>
      <c r="M404" s="358"/>
      <c r="N404" s="358"/>
      <c r="O404" s="358"/>
      <c r="P404" s="358"/>
      <c r="Q404" s="358"/>
      <c r="R404" s="358"/>
      <c r="S404" s="358"/>
      <c r="T404" s="358"/>
      <c r="U404" s="358"/>
      <c r="V404" s="358"/>
      <c r="W404" s="358"/>
      <c r="X404" s="358"/>
      <c r="Y404" s="358"/>
      <c r="Z404" s="358"/>
    </row>
    <row r="405" spans="1:26" s="6" customFormat="1" ht="15">
      <c r="A405" s="337" t="s">
        <v>15443</v>
      </c>
      <c r="B405" s="698" t="s">
        <v>15453</v>
      </c>
      <c r="C405" s="698"/>
      <c r="D405" s="698"/>
      <c r="E405" s="698"/>
      <c r="F405" s="698"/>
      <c r="G405" s="698"/>
      <c r="H405" s="698"/>
      <c r="I405" s="698"/>
      <c r="J405" s="698"/>
      <c r="K405" s="380"/>
      <c r="L405" s="358"/>
      <c r="M405" s="358"/>
      <c r="N405" s="358"/>
      <c r="O405" s="358"/>
      <c r="P405" s="358"/>
      <c r="Q405" s="358"/>
      <c r="R405" s="358"/>
      <c r="S405" s="358"/>
      <c r="T405" s="358"/>
      <c r="U405" s="358"/>
      <c r="V405" s="358"/>
      <c r="W405" s="358"/>
      <c r="X405" s="358"/>
      <c r="Y405" s="358"/>
      <c r="Z405" s="358"/>
    </row>
    <row r="406" spans="1:26" s="512" customFormat="1" ht="30">
      <c r="A406" s="338" t="s">
        <v>15444</v>
      </c>
      <c r="B406" s="576" t="s">
        <v>6753</v>
      </c>
      <c r="C406" s="576" t="s">
        <v>15502</v>
      </c>
      <c r="D406" s="336" t="s">
        <v>15501</v>
      </c>
      <c r="E406" s="341">
        <v>439.68</v>
      </c>
      <c r="F406" s="342" t="s">
        <v>6774</v>
      </c>
      <c r="G406" s="339">
        <v>43.38</v>
      </c>
      <c r="H406" s="339">
        <f>ROUND(G406*$B$13,2)</f>
        <v>11.68</v>
      </c>
      <c r="I406" s="339">
        <f>H406+G406</f>
        <v>55.06</v>
      </c>
      <c r="J406" s="431">
        <f>ROUND(I406*E406,2)</f>
        <v>24208.78</v>
      </c>
      <c r="K406" s="520">
        <f>ROUND(G406*E406,2)</f>
        <v>19073.32</v>
      </c>
      <c r="L406" s="519">
        <f>ROUND(H406*E406,2)</f>
        <v>5135.46</v>
      </c>
      <c r="M406" s="519"/>
      <c r="N406" s="519"/>
      <c r="O406" s="519"/>
      <c r="P406" s="519"/>
      <c r="Q406" s="519"/>
      <c r="R406" s="519"/>
      <c r="S406" s="519"/>
      <c r="T406" s="519">
        <f>0.05*J406</f>
        <v>1210.4390000000001</v>
      </c>
      <c r="U406" s="519"/>
      <c r="V406" s="519">
        <f>0.1*J406</f>
        <v>2420.8780000000002</v>
      </c>
      <c r="W406" s="519">
        <f>0.15*J406</f>
        <v>3631.3169999999996</v>
      </c>
      <c r="X406" s="519">
        <f>0.2*J406</f>
        <v>4841.7560000000003</v>
      </c>
      <c r="Y406" s="519">
        <f>0.3*J406</f>
        <v>7262.6339999999991</v>
      </c>
      <c r="Z406" s="519">
        <f>0.2*J406</f>
        <v>4841.7560000000003</v>
      </c>
    </row>
    <row r="407" spans="1:26" s="512" customFormat="1" ht="30">
      <c r="A407" s="338" t="s">
        <v>15445</v>
      </c>
      <c r="B407" s="576" t="s">
        <v>6753</v>
      </c>
      <c r="C407" s="576" t="s">
        <v>15506</v>
      </c>
      <c r="D407" s="336" t="s">
        <v>15505</v>
      </c>
      <c r="E407" s="341">
        <f>1758.72</f>
        <v>1758.72</v>
      </c>
      <c r="F407" s="342" t="s">
        <v>6774</v>
      </c>
      <c r="G407" s="339">
        <v>79.55</v>
      </c>
      <c r="H407" s="339">
        <f>ROUND(G407*$B$13,2)</f>
        <v>21.42</v>
      </c>
      <c r="I407" s="339">
        <f>H407+G407</f>
        <v>100.97</v>
      </c>
      <c r="J407" s="431">
        <f>ROUND(I407*E407,2)</f>
        <v>177577.96</v>
      </c>
      <c r="K407" s="520">
        <f>ROUND(G407*E407,2)</f>
        <v>139906.18</v>
      </c>
      <c r="L407" s="519">
        <f>ROUND(H407*E407,2)</f>
        <v>37671.78</v>
      </c>
      <c r="M407" s="519"/>
      <c r="N407" s="519"/>
      <c r="O407" s="519"/>
      <c r="P407" s="519"/>
      <c r="Q407" s="519"/>
      <c r="R407" s="519"/>
      <c r="S407" s="519"/>
      <c r="T407" s="519">
        <f t="shared" ref="T407:T409" si="172">0.05*J407</f>
        <v>8878.8979999999992</v>
      </c>
      <c r="U407" s="519"/>
      <c r="V407" s="519">
        <f t="shared" ref="V407:V409" si="173">0.1*J407</f>
        <v>17757.795999999998</v>
      </c>
      <c r="W407" s="519">
        <f t="shared" ref="W407:W409" si="174">0.15*J407</f>
        <v>26636.694</v>
      </c>
      <c r="X407" s="519">
        <f t="shared" ref="X407:X409" si="175">0.2*J407</f>
        <v>35515.591999999997</v>
      </c>
      <c r="Y407" s="519">
        <f t="shared" ref="Y407:Y409" si="176">0.3*J407</f>
        <v>53273.387999999999</v>
      </c>
      <c r="Z407" s="519">
        <f t="shared" ref="Z407:Z409" si="177">0.2*J407</f>
        <v>35515.591999999997</v>
      </c>
    </row>
    <row r="408" spans="1:26" s="512" customFormat="1" ht="15">
      <c r="A408" s="338" t="s">
        <v>15448</v>
      </c>
      <c r="B408" s="576" t="s">
        <v>5256</v>
      </c>
      <c r="C408" s="576">
        <v>97670</v>
      </c>
      <c r="D408" s="336" t="s">
        <v>15439</v>
      </c>
      <c r="E408" s="341">
        <v>251.56</v>
      </c>
      <c r="F408" s="342" t="s">
        <v>6774</v>
      </c>
      <c r="G408" s="339">
        <v>15.81</v>
      </c>
      <c r="H408" s="339">
        <f>ROUND(G408*$B$13,2)</f>
        <v>4.26</v>
      </c>
      <c r="I408" s="339">
        <f>H408+G408</f>
        <v>20.07</v>
      </c>
      <c r="J408" s="431">
        <f>ROUND(I408*E408,2)</f>
        <v>5048.8100000000004</v>
      </c>
      <c r="K408" s="520"/>
      <c r="L408" s="519"/>
      <c r="M408" s="519"/>
      <c r="N408" s="519"/>
      <c r="O408" s="519"/>
      <c r="P408" s="519"/>
      <c r="Q408" s="519"/>
      <c r="R408" s="519"/>
      <c r="S408" s="519"/>
      <c r="T408" s="519">
        <f t="shared" si="172"/>
        <v>252.44050000000004</v>
      </c>
      <c r="U408" s="519"/>
      <c r="V408" s="519">
        <f t="shared" si="173"/>
        <v>504.88100000000009</v>
      </c>
      <c r="W408" s="519">
        <f t="shared" si="174"/>
        <v>757.32150000000001</v>
      </c>
      <c r="X408" s="519">
        <f t="shared" si="175"/>
        <v>1009.7620000000002</v>
      </c>
      <c r="Y408" s="519">
        <f t="shared" si="176"/>
        <v>1514.643</v>
      </c>
      <c r="Z408" s="519">
        <f t="shared" si="177"/>
        <v>1009.7620000000002</v>
      </c>
    </row>
    <row r="409" spans="1:26" s="512" customFormat="1" ht="60">
      <c r="A409" s="338" t="s">
        <v>15446</v>
      </c>
      <c r="B409" s="576" t="s">
        <v>6333</v>
      </c>
      <c r="C409" s="576">
        <v>2813</v>
      </c>
      <c r="D409" s="336" t="s">
        <v>15459</v>
      </c>
      <c r="E409" s="341">
        <v>2</v>
      </c>
      <c r="F409" s="342" t="s">
        <v>6337</v>
      </c>
      <c r="G409" s="339">
        <v>936.68000000000006</v>
      </c>
      <c r="H409" s="339">
        <f>ROUND(G409*$B$13,2)</f>
        <v>252.25</v>
      </c>
      <c r="I409" s="339">
        <f>H409+G409</f>
        <v>1188.93</v>
      </c>
      <c r="J409" s="431">
        <f>ROUND(I409*E409,2)</f>
        <v>2377.86</v>
      </c>
      <c r="K409" s="520">
        <f>ROUND(G409*E409,2)</f>
        <v>1873.36</v>
      </c>
      <c r="L409" s="519">
        <f>ROUND(H409*E409,2)</f>
        <v>504.5</v>
      </c>
      <c r="M409" s="519"/>
      <c r="N409" s="519"/>
      <c r="O409" s="519"/>
      <c r="P409" s="519"/>
      <c r="Q409" s="519"/>
      <c r="R409" s="519"/>
      <c r="S409" s="519"/>
      <c r="T409" s="519">
        <f t="shared" si="172"/>
        <v>118.89300000000001</v>
      </c>
      <c r="U409" s="519"/>
      <c r="V409" s="519">
        <f t="shared" si="173"/>
        <v>237.78600000000003</v>
      </c>
      <c r="W409" s="519">
        <f t="shared" si="174"/>
        <v>356.67900000000003</v>
      </c>
      <c r="X409" s="519">
        <f t="shared" si="175"/>
        <v>475.57200000000006</v>
      </c>
      <c r="Y409" s="519">
        <f t="shared" si="176"/>
        <v>713.35800000000006</v>
      </c>
      <c r="Z409" s="519">
        <f t="shared" si="177"/>
        <v>475.57200000000006</v>
      </c>
    </row>
    <row r="410" spans="1:26" s="512" customFormat="1" ht="15">
      <c r="A410" s="337" t="s">
        <v>8927</v>
      </c>
      <c r="B410" s="698" t="s">
        <v>15441</v>
      </c>
      <c r="C410" s="698"/>
      <c r="D410" s="698"/>
      <c r="E410" s="698"/>
      <c r="F410" s="698"/>
      <c r="G410" s="698"/>
      <c r="H410" s="698"/>
      <c r="I410" s="698"/>
      <c r="J410" s="698"/>
      <c r="K410" s="520"/>
      <c r="L410" s="519"/>
      <c r="M410" s="519"/>
      <c r="N410" s="519"/>
      <c r="O410" s="519"/>
      <c r="P410" s="519"/>
      <c r="Q410" s="519"/>
      <c r="R410" s="519"/>
      <c r="S410" s="519"/>
      <c r="T410" s="519"/>
      <c r="U410" s="519"/>
      <c r="V410" s="519"/>
      <c r="W410" s="519"/>
      <c r="X410" s="519"/>
      <c r="Y410" s="519"/>
      <c r="Z410" s="519"/>
    </row>
    <row r="411" spans="1:26" s="512" customFormat="1" ht="15">
      <c r="A411" s="338" t="s">
        <v>15452</v>
      </c>
      <c r="B411" s="576" t="s">
        <v>6753</v>
      </c>
      <c r="C411" s="576" t="s">
        <v>15461</v>
      </c>
      <c r="D411" s="336" t="s">
        <v>15438</v>
      </c>
      <c r="E411" s="341">
        <v>60</v>
      </c>
      <c r="F411" s="342" t="s">
        <v>6774</v>
      </c>
      <c r="G411" s="339">
        <v>66.710000000000008</v>
      </c>
      <c r="H411" s="339">
        <f>ROUND(G411*$B$13,2)</f>
        <v>17.97</v>
      </c>
      <c r="I411" s="339">
        <f>H411+G411</f>
        <v>84.68</v>
      </c>
      <c r="J411" s="431">
        <f>ROUND(I411*E411,2)</f>
        <v>5080.8</v>
      </c>
      <c r="K411" s="520">
        <f>ROUND(G411*E411,2)</f>
        <v>4002.6</v>
      </c>
      <c r="L411" s="519">
        <f>ROUND(H411*E411,2)</f>
        <v>1078.2</v>
      </c>
      <c r="M411" s="519"/>
      <c r="N411" s="519"/>
      <c r="O411" s="519"/>
      <c r="P411" s="519"/>
      <c r="Q411" s="519"/>
      <c r="R411" s="519"/>
      <c r="S411" s="519"/>
      <c r="T411" s="519">
        <f t="shared" ref="T411:T415" si="178">0.05*J411</f>
        <v>254.04000000000002</v>
      </c>
      <c r="U411" s="519"/>
      <c r="V411" s="519">
        <f t="shared" ref="V411:V415" si="179">0.1*J411</f>
        <v>508.08000000000004</v>
      </c>
      <c r="W411" s="519">
        <f t="shared" ref="W411:W415" si="180">0.15*J411</f>
        <v>762.12</v>
      </c>
      <c r="X411" s="519">
        <f t="shared" ref="X411:X415" si="181">0.2*J411</f>
        <v>1016.1600000000001</v>
      </c>
      <c r="Y411" s="519">
        <f t="shared" ref="Y411:Y415" si="182">0.3*J411</f>
        <v>1524.24</v>
      </c>
      <c r="Z411" s="519">
        <f t="shared" ref="Z411:Z415" si="183">0.2*J411</f>
        <v>1016.1600000000001</v>
      </c>
    </row>
    <row r="412" spans="1:26" s="512" customFormat="1" ht="30">
      <c r="A412" s="338" t="s">
        <v>15454</v>
      </c>
      <c r="B412" s="576" t="s">
        <v>6333</v>
      </c>
      <c r="C412" s="576" t="s">
        <v>15470</v>
      </c>
      <c r="D412" s="336" t="s">
        <v>15434</v>
      </c>
      <c r="E412" s="341">
        <v>3</v>
      </c>
      <c r="F412" s="342" t="s">
        <v>6337</v>
      </c>
      <c r="G412" s="339">
        <v>25.05</v>
      </c>
      <c r="H412" s="339">
        <f>ROUND(G412*$B$13,2)</f>
        <v>6.75</v>
      </c>
      <c r="I412" s="339">
        <f>H412+G412</f>
        <v>31.8</v>
      </c>
      <c r="J412" s="431">
        <f>ROUND(I412*E412,2)</f>
        <v>95.4</v>
      </c>
      <c r="K412" s="520"/>
      <c r="L412" s="519"/>
      <c r="M412" s="519"/>
      <c r="N412" s="519"/>
      <c r="O412" s="519"/>
      <c r="P412" s="519"/>
      <c r="Q412" s="519"/>
      <c r="R412" s="519"/>
      <c r="S412" s="519"/>
      <c r="T412" s="519">
        <f t="shared" si="178"/>
        <v>4.7700000000000005</v>
      </c>
      <c r="U412" s="519"/>
      <c r="V412" s="519">
        <f t="shared" si="179"/>
        <v>9.5400000000000009</v>
      </c>
      <c r="W412" s="519">
        <f t="shared" si="180"/>
        <v>14.31</v>
      </c>
      <c r="X412" s="519">
        <f t="shared" si="181"/>
        <v>19.080000000000002</v>
      </c>
      <c r="Y412" s="519">
        <f t="shared" si="182"/>
        <v>28.62</v>
      </c>
      <c r="Z412" s="519">
        <f t="shared" si="183"/>
        <v>19.080000000000002</v>
      </c>
    </row>
    <row r="413" spans="1:26" s="512" customFormat="1" ht="15">
      <c r="A413" s="338" t="s">
        <v>15455</v>
      </c>
      <c r="B413" s="576" t="s">
        <v>6753</v>
      </c>
      <c r="C413" s="576" t="s">
        <v>15471</v>
      </c>
      <c r="D413" s="336" t="s">
        <v>15437</v>
      </c>
      <c r="E413" s="341">
        <v>3</v>
      </c>
      <c r="F413" s="342" t="s">
        <v>6337</v>
      </c>
      <c r="G413" s="339">
        <v>139.15</v>
      </c>
      <c r="H413" s="339">
        <f>ROUND(G413*$B$13,2)</f>
        <v>37.47</v>
      </c>
      <c r="I413" s="339">
        <f>H413+G413</f>
        <v>176.62</v>
      </c>
      <c r="J413" s="431">
        <f>ROUND(I413*E413,2)</f>
        <v>529.86</v>
      </c>
      <c r="K413" s="520"/>
      <c r="L413" s="519"/>
      <c r="M413" s="519"/>
      <c r="N413" s="519"/>
      <c r="O413" s="519"/>
      <c r="P413" s="519"/>
      <c r="Q413" s="519"/>
      <c r="R413" s="519"/>
      <c r="S413" s="519"/>
      <c r="T413" s="519">
        <f t="shared" si="178"/>
        <v>26.493000000000002</v>
      </c>
      <c r="U413" s="519"/>
      <c r="V413" s="519">
        <f t="shared" si="179"/>
        <v>52.986000000000004</v>
      </c>
      <c r="W413" s="519">
        <f t="shared" si="180"/>
        <v>79.478999999999999</v>
      </c>
      <c r="X413" s="519">
        <f t="shared" si="181"/>
        <v>105.97200000000001</v>
      </c>
      <c r="Y413" s="519">
        <f t="shared" si="182"/>
        <v>158.958</v>
      </c>
      <c r="Z413" s="519">
        <f t="shared" si="183"/>
        <v>105.97200000000001</v>
      </c>
    </row>
    <row r="414" spans="1:26" s="512" customFormat="1" ht="60">
      <c r="A414" s="338" t="s">
        <v>15447</v>
      </c>
      <c r="B414" s="576" t="s">
        <v>6753</v>
      </c>
      <c r="C414" s="576" t="s">
        <v>15474</v>
      </c>
      <c r="D414" s="336" t="s">
        <v>15436</v>
      </c>
      <c r="E414" s="341">
        <v>1</v>
      </c>
      <c r="F414" s="342" t="s">
        <v>6337</v>
      </c>
      <c r="G414" s="339">
        <v>34764.300000000003</v>
      </c>
      <c r="H414" s="339">
        <f>ROUND(G414*$B$13,2)</f>
        <v>9362.0300000000007</v>
      </c>
      <c r="I414" s="339">
        <f>H414+G414</f>
        <v>44126.33</v>
      </c>
      <c r="J414" s="431">
        <f>ROUND(I414*E414,2)</f>
        <v>44126.33</v>
      </c>
      <c r="K414" s="520">
        <f>ROUND(G414*E414,2)</f>
        <v>34764.300000000003</v>
      </c>
      <c r="L414" s="519">
        <f>ROUND(H414*E414,2)</f>
        <v>9362.0300000000007</v>
      </c>
      <c r="M414" s="519"/>
      <c r="N414" s="519"/>
      <c r="O414" s="519"/>
      <c r="P414" s="519"/>
      <c r="Q414" s="519"/>
      <c r="R414" s="519"/>
      <c r="S414" s="519"/>
      <c r="T414" s="519">
        <f t="shared" si="178"/>
        <v>2206.3165000000004</v>
      </c>
      <c r="U414" s="519"/>
      <c r="V414" s="519">
        <f t="shared" si="179"/>
        <v>4412.6330000000007</v>
      </c>
      <c r="W414" s="519">
        <f t="shared" si="180"/>
        <v>6618.9494999999997</v>
      </c>
      <c r="X414" s="519">
        <f t="shared" si="181"/>
        <v>8825.2660000000014</v>
      </c>
      <c r="Y414" s="519">
        <f t="shared" si="182"/>
        <v>13237.898999999999</v>
      </c>
      <c r="Z414" s="519">
        <f t="shared" si="183"/>
        <v>8825.2660000000014</v>
      </c>
    </row>
    <row r="415" spans="1:26" s="512" customFormat="1" ht="30">
      <c r="A415" s="338" t="s">
        <v>15456</v>
      </c>
      <c r="B415" s="576" t="s">
        <v>6333</v>
      </c>
      <c r="C415" s="576" t="s">
        <v>15477</v>
      </c>
      <c r="D415" s="336" t="s">
        <v>15435</v>
      </c>
      <c r="E415" s="341">
        <v>3.81</v>
      </c>
      <c r="F415" s="342" t="s">
        <v>6744</v>
      </c>
      <c r="G415" s="339">
        <v>92.69</v>
      </c>
      <c r="H415" s="339">
        <f>ROUND(G415*$B$13,2)</f>
        <v>24.96</v>
      </c>
      <c r="I415" s="339">
        <f>H415+G415</f>
        <v>117.65</v>
      </c>
      <c r="J415" s="431">
        <f>ROUND(I415*E415,2)</f>
        <v>448.25</v>
      </c>
      <c r="K415" s="520"/>
      <c r="L415" s="519"/>
      <c r="M415" s="519"/>
      <c r="N415" s="519"/>
      <c r="O415" s="519"/>
      <c r="P415" s="519"/>
      <c r="Q415" s="519"/>
      <c r="R415" s="519"/>
      <c r="S415" s="519"/>
      <c r="T415" s="519">
        <f t="shared" si="178"/>
        <v>22.412500000000001</v>
      </c>
      <c r="U415" s="519"/>
      <c r="V415" s="519">
        <f t="shared" si="179"/>
        <v>44.825000000000003</v>
      </c>
      <c r="W415" s="519">
        <f t="shared" si="180"/>
        <v>67.237499999999997</v>
      </c>
      <c r="X415" s="519">
        <f t="shared" si="181"/>
        <v>89.65</v>
      </c>
      <c r="Y415" s="519">
        <f t="shared" si="182"/>
        <v>134.47499999999999</v>
      </c>
      <c r="Z415" s="519">
        <f t="shared" si="183"/>
        <v>89.65</v>
      </c>
    </row>
    <row r="416" spans="1:26" s="512" customFormat="1" ht="15">
      <c r="A416" s="337" t="s">
        <v>7238</v>
      </c>
      <c r="B416" s="698" t="s">
        <v>7239</v>
      </c>
      <c r="C416" s="698"/>
      <c r="D416" s="698"/>
      <c r="E416" s="698"/>
      <c r="F416" s="698"/>
      <c r="G416" s="698"/>
      <c r="H416" s="698"/>
      <c r="I416" s="698"/>
      <c r="J416" s="698"/>
      <c r="K416" s="39"/>
      <c r="L416" s="521"/>
      <c r="M416" s="519"/>
      <c r="N416" s="519"/>
      <c r="O416" s="519"/>
      <c r="P416" s="519"/>
      <c r="Q416" s="519"/>
      <c r="R416" s="519"/>
      <c r="S416" s="519"/>
      <c r="T416" s="519"/>
      <c r="U416" s="519"/>
      <c r="V416" s="519"/>
      <c r="W416" s="519"/>
      <c r="X416" s="519"/>
      <c r="Y416" s="519"/>
      <c r="Z416" s="519"/>
    </row>
    <row r="417" spans="1:26" s="512" customFormat="1" ht="30">
      <c r="A417" s="338" t="s">
        <v>15442</v>
      </c>
      <c r="B417" s="576" t="s">
        <v>6333</v>
      </c>
      <c r="C417" s="576" t="s">
        <v>8939</v>
      </c>
      <c r="D417" s="336" t="s">
        <v>8937</v>
      </c>
      <c r="E417" s="341">
        <v>1</v>
      </c>
      <c r="F417" s="531" t="s">
        <v>8940</v>
      </c>
      <c r="G417" s="339">
        <v>4910.13</v>
      </c>
      <c r="H417" s="339">
        <f t="shared" ref="H417:H448" si="184">ROUND(G417*$B$13,2)</f>
        <v>1322.3</v>
      </c>
      <c r="I417" s="339">
        <f t="shared" ref="I417:I448" si="185">H417+G417</f>
        <v>6232.43</v>
      </c>
      <c r="J417" s="431">
        <f t="shared" ref="J417:J448" si="186">ROUND(I417*E417,2)</f>
        <v>6232.43</v>
      </c>
      <c r="K417" s="520">
        <f>ROUND(G417*E417,2)</f>
        <v>4910.13</v>
      </c>
      <c r="L417" s="519">
        <f>ROUND(H417*E417,2)</f>
        <v>1322.3</v>
      </c>
      <c r="M417" s="519"/>
      <c r="N417" s="519"/>
      <c r="O417" s="519"/>
      <c r="P417" s="519"/>
      <c r="Q417" s="519"/>
      <c r="R417" s="519"/>
      <c r="S417" s="519"/>
      <c r="T417" s="519">
        <f t="shared" ref="T417:T480" si="187">0.05*J417</f>
        <v>311.62150000000003</v>
      </c>
      <c r="U417" s="519"/>
      <c r="V417" s="519">
        <f t="shared" ref="V417:V480" si="188">0.1*J417</f>
        <v>623.24300000000005</v>
      </c>
      <c r="W417" s="519">
        <f t="shared" ref="W417:W480" si="189">0.15*J417</f>
        <v>934.86450000000002</v>
      </c>
      <c r="X417" s="519">
        <f t="shared" ref="X417:X480" si="190">0.2*J417</f>
        <v>1246.4860000000001</v>
      </c>
      <c r="Y417" s="519">
        <f t="shared" ref="Y417:Y480" si="191">0.3*J417</f>
        <v>1869.729</v>
      </c>
      <c r="Z417" s="519">
        <f t="shared" ref="Z417:Z480" si="192">0.2*J417</f>
        <v>1246.4860000000001</v>
      </c>
    </row>
    <row r="418" spans="1:26" s="512" customFormat="1" ht="45">
      <c r="A418" s="338" t="s">
        <v>8320</v>
      </c>
      <c r="B418" s="576" t="s">
        <v>6333</v>
      </c>
      <c r="C418" s="576" t="s">
        <v>8312</v>
      </c>
      <c r="D418" s="336" t="s">
        <v>8304</v>
      </c>
      <c r="E418" s="341">
        <v>3</v>
      </c>
      <c r="F418" s="342" t="s">
        <v>6337</v>
      </c>
      <c r="G418" s="352">
        <v>502.26</v>
      </c>
      <c r="H418" s="339">
        <f t="shared" si="184"/>
        <v>135.26</v>
      </c>
      <c r="I418" s="339">
        <f t="shared" si="185"/>
        <v>637.52</v>
      </c>
      <c r="J418" s="431">
        <f t="shared" si="186"/>
        <v>1912.56</v>
      </c>
      <c r="K418" s="510">
        <f t="shared" ref="K418:K481" si="193">ROUND(G418*E418,2)</f>
        <v>1506.78</v>
      </c>
      <c r="L418" s="510">
        <f t="shared" ref="L418:L481" si="194">ROUND(H418*E418,2)</f>
        <v>405.78</v>
      </c>
      <c r="M418" s="519"/>
      <c r="N418" s="519"/>
      <c r="O418" s="519"/>
      <c r="P418" s="519"/>
      <c r="Q418" s="519"/>
      <c r="R418" s="519"/>
      <c r="S418" s="519"/>
      <c r="T418" s="519">
        <f t="shared" si="187"/>
        <v>95.628</v>
      </c>
      <c r="U418" s="519"/>
      <c r="V418" s="519">
        <f t="shared" si="188"/>
        <v>191.256</v>
      </c>
      <c r="W418" s="519">
        <f t="shared" si="189"/>
        <v>286.88399999999996</v>
      </c>
      <c r="X418" s="519">
        <f t="shared" si="190"/>
        <v>382.512</v>
      </c>
      <c r="Y418" s="519">
        <f t="shared" si="191"/>
        <v>573.76799999999992</v>
      </c>
      <c r="Z418" s="519">
        <f t="shared" si="192"/>
        <v>382.512</v>
      </c>
    </row>
    <row r="419" spans="1:26" s="512" customFormat="1" ht="45">
      <c r="A419" s="338" t="s">
        <v>8321</v>
      </c>
      <c r="B419" s="576" t="s">
        <v>6333</v>
      </c>
      <c r="C419" s="576" t="s">
        <v>8313</v>
      </c>
      <c r="D419" s="336" t="s">
        <v>8305</v>
      </c>
      <c r="E419" s="341">
        <v>6</v>
      </c>
      <c r="F419" s="342" t="s">
        <v>6337</v>
      </c>
      <c r="G419" s="352">
        <v>540.23</v>
      </c>
      <c r="H419" s="339">
        <f t="shared" si="184"/>
        <v>145.47999999999999</v>
      </c>
      <c r="I419" s="339">
        <f t="shared" si="185"/>
        <v>685.71</v>
      </c>
      <c r="J419" s="431">
        <f t="shared" si="186"/>
        <v>4114.26</v>
      </c>
      <c r="K419" s="510">
        <f t="shared" si="193"/>
        <v>3241.38</v>
      </c>
      <c r="L419" s="510">
        <f t="shared" si="194"/>
        <v>872.88</v>
      </c>
      <c r="M419" s="519"/>
      <c r="N419" s="519"/>
      <c r="O419" s="519"/>
      <c r="P419" s="519"/>
      <c r="Q419" s="519"/>
      <c r="R419" s="519"/>
      <c r="S419" s="519"/>
      <c r="T419" s="519">
        <f t="shared" si="187"/>
        <v>205.71300000000002</v>
      </c>
      <c r="U419" s="519"/>
      <c r="V419" s="519">
        <f t="shared" si="188"/>
        <v>411.42600000000004</v>
      </c>
      <c r="W419" s="519">
        <f t="shared" si="189"/>
        <v>617.13900000000001</v>
      </c>
      <c r="X419" s="519">
        <f t="shared" si="190"/>
        <v>822.85200000000009</v>
      </c>
      <c r="Y419" s="519">
        <f t="shared" si="191"/>
        <v>1234.278</v>
      </c>
      <c r="Z419" s="519">
        <f t="shared" si="192"/>
        <v>822.85200000000009</v>
      </c>
    </row>
    <row r="420" spans="1:26" s="512" customFormat="1" ht="45">
      <c r="A420" s="338" t="s">
        <v>8322</v>
      </c>
      <c r="B420" s="576" t="s">
        <v>6333</v>
      </c>
      <c r="C420" s="576" t="s">
        <v>8314</v>
      </c>
      <c r="D420" s="336" t="s">
        <v>8306</v>
      </c>
      <c r="E420" s="341">
        <v>7</v>
      </c>
      <c r="F420" s="342" t="s">
        <v>6337</v>
      </c>
      <c r="G420" s="352">
        <v>641.37</v>
      </c>
      <c r="H420" s="339">
        <f t="shared" si="184"/>
        <v>172.72</v>
      </c>
      <c r="I420" s="339">
        <f t="shared" si="185"/>
        <v>814.09</v>
      </c>
      <c r="J420" s="431">
        <f t="shared" si="186"/>
        <v>5698.63</v>
      </c>
      <c r="K420" s="510">
        <f t="shared" si="193"/>
        <v>4489.59</v>
      </c>
      <c r="L420" s="510">
        <f t="shared" si="194"/>
        <v>1209.04</v>
      </c>
      <c r="M420" s="519"/>
      <c r="N420" s="519"/>
      <c r="O420" s="519"/>
      <c r="P420" s="519"/>
      <c r="Q420" s="519"/>
      <c r="R420" s="519"/>
      <c r="S420" s="519"/>
      <c r="T420" s="519">
        <f t="shared" si="187"/>
        <v>284.93150000000003</v>
      </c>
      <c r="U420" s="519"/>
      <c r="V420" s="519">
        <f t="shared" si="188"/>
        <v>569.86300000000006</v>
      </c>
      <c r="W420" s="519">
        <f t="shared" si="189"/>
        <v>854.79449999999997</v>
      </c>
      <c r="X420" s="519">
        <f t="shared" si="190"/>
        <v>1139.7260000000001</v>
      </c>
      <c r="Y420" s="519">
        <f t="shared" si="191"/>
        <v>1709.5889999999999</v>
      </c>
      <c r="Z420" s="519">
        <f t="shared" si="192"/>
        <v>1139.7260000000001</v>
      </c>
    </row>
    <row r="421" spans="1:26" s="512" customFormat="1" ht="45">
      <c r="A421" s="338" t="s">
        <v>8323</v>
      </c>
      <c r="B421" s="576" t="s">
        <v>6333</v>
      </c>
      <c r="C421" s="576" t="s">
        <v>8315</v>
      </c>
      <c r="D421" s="336" t="s">
        <v>8307</v>
      </c>
      <c r="E421" s="341">
        <v>4</v>
      </c>
      <c r="F421" s="342" t="s">
        <v>6337</v>
      </c>
      <c r="G421" s="352">
        <v>673.6</v>
      </c>
      <c r="H421" s="339">
        <f t="shared" si="184"/>
        <v>181.4</v>
      </c>
      <c r="I421" s="339">
        <f t="shared" si="185"/>
        <v>855</v>
      </c>
      <c r="J421" s="431">
        <f t="shared" si="186"/>
        <v>3420</v>
      </c>
      <c r="K421" s="510">
        <f t="shared" si="193"/>
        <v>2694.4</v>
      </c>
      <c r="L421" s="510">
        <f t="shared" si="194"/>
        <v>725.6</v>
      </c>
      <c r="M421" s="519"/>
      <c r="N421" s="519"/>
      <c r="O421" s="519"/>
      <c r="P421" s="519"/>
      <c r="Q421" s="519"/>
      <c r="R421" s="519"/>
      <c r="S421" s="519"/>
      <c r="T421" s="519">
        <f t="shared" si="187"/>
        <v>171</v>
      </c>
      <c r="U421" s="519"/>
      <c r="V421" s="519">
        <f t="shared" si="188"/>
        <v>342</v>
      </c>
      <c r="W421" s="519">
        <f t="shared" si="189"/>
        <v>513</v>
      </c>
      <c r="X421" s="519">
        <f t="shared" si="190"/>
        <v>684</v>
      </c>
      <c r="Y421" s="519">
        <f t="shared" si="191"/>
        <v>1026</v>
      </c>
      <c r="Z421" s="519">
        <f t="shared" si="192"/>
        <v>684</v>
      </c>
    </row>
    <row r="422" spans="1:26" s="512" customFormat="1" ht="45">
      <c r="A422" s="338" t="s">
        <v>8324</v>
      </c>
      <c r="B422" s="576" t="s">
        <v>6333</v>
      </c>
      <c r="C422" s="576" t="s">
        <v>8316</v>
      </c>
      <c r="D422" s="336" t="s">
        <v>8308</v>
      </c>
      <c r="E422" s="341">
        <v>1</v>
      </c>
      <c r="F422" s="342" t="s">
        <v>6337</v>
      </c>
      <c r="G422" s="352">
        <v>821.90000000000009</v>
      </c>
      <c r="H422" s="339">
        <f t="shared" si="184"/>
        <v>221.34</v>
      </c>
      <c r="I422" s="339">
        <f t="shared" si="185"/>
        <v>1043.24</v>
      </c>
      <c r="J422" s="431">
        <f t="shared" si="186"/>
        <v>1043.24</v>
      </c>
      <c r="K422" s="510">
        <f t="shared" si="193"/>
        <v>821.9</v>
      </c>
      <c r="L422" s="510">
        <f t="shared" si="194"/>
        <v>221.34</v>
      </c>
      <c r="M422" s="519"/>
      <c r="N422" s="519"/>
      <c r="O422" s="519"/>
      <c r="P422" s="519"/>
      <c r="Q422" s="519"/>
      <c r="R422" s="519"/>
      <c r="S422" s="519"/>
      <c r="T422" s="519">
        <f t="shared" si="187"/>
        <v>52.162000000000006</v>
      </c>
      <c r="U422" s="519"/>
      <c r="V422" s="519">
        <f t="shared" si="188"/>
        <v>104.32400000000001</v>
      </c>
      <c r="W422" s="519">
        <f t="shared" si="189"/>
        <v>156.48599999999999</v>
      </c>
      <c r="X422" s="519">
        <f t="shared" si="190"/>
        <v>208.64800000000002</v>
      </c>
      <c r="Y422" s="519">
        <f t="shared" si="191"/>
        <v>312.97199999999998</v>
      </c>
      <c r="Z422" s="519">
        <f t="shared" si="192"/>
        <v>208.64800000000002</v>
      </c>
    </row>
    <row r="423" spans="1:26" s="512" customFormat="1" ht="45">
      <c r="A423" s="338" t="s">
        <v>8325</v>
      </c>
      <c r="B423" s="576" t="s">
        <v>6333</v>
      </c>
      <c r="C423" s="576" t="s">
        <v>8317</v>
      </c>
      <c r="D423" s="336" t="s">
        <v>8309</v>
      </c>
      <c r="E423" s="341">
        <v>2</v>
      </c>
      <c r="F423" s="342" t="s">
        <v>6337</v>
      </c>
      <c r="G423" s="352">
        <v>1058.46</v>
      </c>
      <c r="H423" s="339">
        <f t="shared" si="184"/>
        <v>285.04000000000002</v>
      </c>
      <c r="I423" s="339">
        <f t="shared" si="185"/>
        <v>1343.5</v>
      </c>
      <c r="J423" s="431">
        <f t="shared" si="186"/>
        <v>2687</v>
      </c>
      <c r="K423" s="510">
        <f t="shared" si="193"/>
        <v>2116.92</v>
      </c>
      <c r="L423" s="510">
        <f t="shared" si="194"/>
        <v>570.08000000000004</v>
      </c>
      <c r="M423" s="519"/>
      <c r="N423" s="519"/>
      <c r="O423" s="519"/>
      <c r="P423" s="519"/>
      <c r="Q423" s="519"/>
      <c r="R423" s="519"/>
      <c r="S423" s="519"/>
      <c r="T423" s="519">
        <f t="shared" si="187"/>
        <v>134.35</v>
      </c>
      <c r="U423" s="519"/>
      <c r="V423" s="519">
        <f t="shared" si="188"/>
        <v>268.7</v>
      </c>
      <c r="W423" s="519">
        <f t="shared" si="189"/>
        <v>403.05</v>
      </c>
      <c r="X423" s="519">
        <f t="shared" si="190"/>
        <v>537.4</v>
      </c>
      <c r="Y423" s="519">
        <f t="shared" si="191"/>
        <v>806.1</v>
      </c>
      <c r="Z423" s="519">
        <f t="shared" si="192"/>
        <v>537.4</v>
      </c>
    </row>
    <row r="424" spans="1:26" s="512" customFormat="1" ht="45">
      <c r="A424" s="338" t="s">
        <v>8326</v>
      </c>
      <c r="B424" s="576" t="s">
        <v>6333</v>
      </c>
      <c r="C424" s="576" t="s">
        <v>8318</v>
      </c>
      <c r="D424" s="336" t="s">
        <v>8310</v>
      </c>
      <c r="E424" s="341">
        <v>2</v>
      </c>
      <c r="F424" s="342" t="s">
        <v>6337</v>
      </c>
      <c r="G424" s="352">
        <v>1062.51</v>
      </c>
      <c r="H424" s="339">
        <f t="shared" si="184"/>
        <v>286.13</v>
      </c>
      <c r="I424" s="339">
        <f t="shared" si="185"/>
        <v>1348.6399999999999</v>
      </c>
      <c r="J424" s="431">
        <f t="shared" si="186"/>
        <v>2697.28</v>
      </c>
      <c r="K424" s="510">
        <f t="shared" si="193"/>
        <v>2125.02</v>
      </c>
      <c r="L424" s="510">
        <f t="shared" si="194"/>
        <v>572.26</v>
      </c>
      <c r="M424" s="519"/>
      <c r="N424" s="519"/>
      <c r="O424" s="519"/>
      <c r="P424" s="519"/>
      <c r="Q424" s="519"/>
      <c r="R424" s="519"/>
      <c r="S424" s="519"/>
      <c r="T424" s="519">
        <f t="shared" si="187"/>
        <v>134.864</v>
      </c>
      <c r="U424" s="519"/>
      <c r="V424" s="519">
        <f t="shared" si="188"/>
        <v>269.72800000000001</v>
      </c>
      <c r="W424" s="519">
        <f t="shared" si="189"/>
        <v>404.59200000000004</v>
      </c>
      <c r="X424" s="519">
        <f t="shared" si="190"/>
        <v>539.45600000000002</v>
      </c>
      <c r="Y424" s="519">
        <f t="shared" si="191"/>
        <v>809.18400000000008</v>
      </c>
      <c r="Z424" s="519">
        <f t="shared" si="192"/>
        <v>539.45600000000002</v>
      </c>
    </row>
    <row r="425" spans="1:26" s="512" customFormat="1" ht="45">
      <c r="A425" s="338" t="s">
        <v>8327</v>
      </c>
      <c r="B425" s="576" t="s">
        <v>6333</v>
      </c>
      <c r="C425" s="576" t="s">
        <v>8319</v>
      </c>
      <c r="D425" s="336" t="s">
        <v>8311</v>
      </c>
      <c r="E425" s="341">
        <v>2</v>
      </c>
      <c r="F425" s="342" t="s">
        <v>6337</v>
      </c>
      <c r="G425" s="352">
        <v>1310.58</v>
      </c>
      <c r="H425" s="339">
        <f t="shared" si="184"/>
        <v>352.94</v>
      </c>
      <c r="I425" s="339">
        <f t="shared" si="185"/>
        <v>1663.52</v>
      </c>
      <c r="J425" s="431">
        <f t="shared" si="186"/>
        <v>3327.04</v>
      </c>
      <c r="K425" s="510">
        <f t="shared" si="193"/>
        <v>2621.16</v>
      </c>
      <c r="L425" s="510">
        <f t="shared" si="194"/>
        <v>705.88</v>
      </c>
      <c r="M425" s="519"/>
      <c r="N425" s="519"/>
      <c r="O425" s="519"/>
      <c r="P425" s="519"/>
      <c r="Q425" s="519"/>
      <c r="R425" s="519"/>
      <c r="S425" s="519"/>
      <c r="T425" s="519">
        <f t="shared" si="187"/>
        <v>166.352</v>
      </c>
      <c r="U425" s="519"/>
      <c r="V425" s="519">
        <f t="shared" si="188"/>
        <v>332.70400000000001</v>
      </c>
      <c r="W425" s="519">
        <f t="shared" si="189"/>
        <v>499.05599999999998</v>
      </c>
      <c r="X425" s="519">
        <f t="shared" si="190"/>
        <v>665.40800000000002</v>
      </c>
      <c r="Y425" s="519">
        <f t="shared" si="191"/>
        <v>998.11199999999997</v>
      </c>
      <c r="Z425" s="519">
        <f t="shared" si="192"/>
        <v>665.40800000000002</v>
      </c>
    </row>
    <row r="426" spans="1:26" s="512" customFormat="1" ht="30">
      <c r="A426" s="338" t="s">
        <v>8328</v>
      </c>
      <c r="B426" s="576" t="s">
        <v>5256</v>
      </c>
      <c r="C426" s="576" t="s">
        <v>7284</v>
      </c>
      <c r="D426" s="336" t="s">
        <v>7240</v>
      </c>
      <c r="E426" s="341">
        <v>3750</v>
      </c>
      <c r="F426" s="342" t="s">
        <v>6774</v>
      </c>
      <c r="G426" s="352">
        <v>6.38</v>
      </c>
      <c r="H426" s="339">
        <f t="shared" si="184"/>
        <v>1.72</v>
      </c>
      <c r="I426" s="339">
        <f t="shared" si="185"/>
        <v>8.1</v>
      </c>
      <c r="J426" s="431">
        <f t="shared" si="186"/>
        <v>30375</v>
      </c>
      <c r="K426" s="510">
        <f t="shared" si="193"/>
        <v>23925</v>
      </c>
      <c r="L426" s="510">
        <f t="shared" si="194"/>
        <v>6450</v>
      </c>
      <c r="M426" s="519"/>
      <c r="N426" s="519"/>
      <c r="O426" s="519"/>
      <c r="P426" s="519"/>
      <c r="Q426" s="519"/>
      <c r="R426" s="519"/>
      <c r="S426" s="519"/>
      <c r="T426" s="519">
        <f t="shared" si="187"/>
        <v>1518.75</v>
      </c>
      <c r="U426" s="519"/>
      <c r="V426" s="519">
        <f t="shared" si="188"/>
        <v>3037.5</v>
      </c>
      <c r="W426" s="519">
        <f t="shared" si="189"/>
        <v>4556.25</v>
      </c>
      <c r="X426" s="519">
        <f t="shared" si="190"/>
        <v>6075</v>
      </c>
      <c r="Y426" s="519">
        <f t="shared" si="191"/>
        <v>9112.5</v>
      </c>
      <c r="Z426" s="519">
        <f t="shared" si="192"/>
        <v>6075</v>
      </c>
    </row>
    <row r="427" spans="1:26" s="512" customFormat="1" ht="30">
      <c r="A427" s="338" t="s">
        <v>8329</v>
      </c>
      <c r="B427" s="576" t="s">
        <v>5256</v>
      </c>
      <c r="C427" s="576" t="s">
        <v>7285</v>
      </c>
      <c r="D427" s="336" t="s">
        <v>7241</v>
      </c>
      <c r="E427" s="341">
        <v>120</v>
      </c>
      <c r="F427" s="342" t="s">
        <v>6774</v>
      </c>
      <c r="G427" s="352">
        <v>8.0299999999999994</v>
      </c>
      <c r="H427" s="339">
        <f t="shared" si="184"/>
        <v>2.16</v>
      </c>
      <c r="I427" s="339">
        <f t="shared" si="185"/>
        <v>10.19</v>
      </c>
      <c r="J427" s="431">
        <f t="shared" si="186"/>
        <v>1222.8</v>
      </c>
      <c r="K427" s="510">
        <f t="shared" si="193"/>
        <v>963.6</v>
      </c>
      <c r="L427" s="510">
        <f t="shared" si="194"/>
        <v>259.2</v>
      </c>
      <c r="M427" s="519"/>
      <c r="N427" s="519"/>
      <c r="O427" s="519"/>
      <c r="P427" s="519"/>
      <c r="Q427" s="519"/>
      <c r="R427" s="519"/>
      <c r="S427" s="519"/>
      <c r="T427" s="519">
        <f t="shared" si="187"/>
        <v>61.14</v>
      </c>
      <c r="U427" s="519"/>
      <c r="V427" s="519">
        <f t="shared" si="188"/>
        <v>122.28</v>
      </c>
      <c r="W427" s="519">
        <f t="shared" si="189"/>
        <v>183.42</v>
      </c>
      <c r="X427" s="519">
        <f t="shared" si="190"/>
        <v>244.56</v>
      </c>
      <c r="Y427" s="519">
        <f t="shared" si="191"/>
        <v>366.84</v>
      </c>
      <c r="Z427" s="519">
        <f t="shared" si="192"/>
        <v>244.56</v>
      </c>
    </row>
    <row r="428" spans="1:26" s="512" customFormat="1" ht="15">
      <c r="A428" s="338" t="s">
        <v>8330</v>
      </c>
      <c r="B428" s="576" t="s">
        <v>5256</v>
      </c>
      <c r="C428" s="576">
        <v>93008</v>
      </c>
      <c r="D428" s="336" t="s">
        <v>7242</v>
      </c>
      <c r="E428" s="341">
        <v>126</v>
      </c>
      <c r="F428" s="342" t="s">
        <v>6774</v>
      </c>
      <c r="G428" s="352">
        <v>8.83</v>
      </c>
      <c r="H428" s="339">
        <f t="shared" si="184"/>
        <v>2.38</v>
      </c>
      <c r="I428" s="339">
        <f t="shared" si="185"/>
        <v>11.21</v>
      </c>
      <c r="J428" s="431">
        <f t="shared" si="186"/>
        <v>1412.46</v>
      </c>
      <c r="K428" s="510">
        <f t="shared" si="193"/>
        <v>1112.58</v>
      </c>
      <c r="L428" s="510">
        <f t="shared" si="194"/>
        <v>299.88</v>
      </c>
      <c r="M428" s="519"/>
      <c r="N428" s="519"/>
      <c r="O428" s="519"/>
      <c r="P428" s="519"/>
      <c r="Q428" s="519"/>
      <c r="R428" s="519"/>
      <c r="S428" s="519"/>
      <c r="T428" s="519">
        <f t="shared" si="187"/>
        <v>70.623000000000005</v>
      </c>
      <c r="U428" s="519"/>
      <c r="V428" s="519">
        <f t="shared" si="188"/>
        <v>141.24600000000001</v>
      </c>
      <c r="W428" s="519">
        <f t="shared" si="189"/>
        <v>211.869</v>
      </c>
      <c r="X428" s="519">
        <f t="shared" si="190"/>
        <v>282.49200000000002</v>
      </c>
      <c r="Y428" s="519">
        <f t="shared" si="191"/>
        <v>423.738</v>
      </c>
      <c r="Z428" s="519">
        <f t="shared" si="192"/>
        <v>282.49200000000002</v>
      </c>
    </row>
    <row r="429" spans="1:26" s="512" customFormat="1" ht="15">
      <c r="A429" s="338" t="s">
        <v>8331</v>
      </c>
      <c r="B429" s="576" t="s">
        <v>5256</v>
      </c>
      <c r="C429" s="576">
        <v>93012</v>
      </c>
      <c r="D429" s="336" t="s">
        <v>7243</v>
      </c>
      <c r="E429" s="341">
        <v>51</v>
      </c>
      <c r="F429" s="342" t="s">
        <v>6774</v>
      </c>
      <c r="G429" s="352">
        <v>32.76</v>
      </c>
      <c r="H429" s="339">
        <f t="shared" si="184"/>
        <v>8.82</v>
      </c>
      <c r="I429" s="339">
        <f t="shared" si="185"/>
        <v>41.58</v>
      </c>
      <c r="J429" s="431">
        <f t="shared" si="186"/>
        <v>2120.58</v>
      </c>
      <c r="K429" s="510">
        <f t="shared" si="193"/>
        <v>1670.76</v>
      </c>
      <c r="L429" s="510">
        <f t="shared" si="194"/>
        <v>449.82</v>
      </c>
      <c r="M429" s="519"/>
      <c r="N429" s="519"/>
      <c r="O429" s="519"/>
      <c r="P429" s="519"/>
      <c r="Q429" s="519"/>
      <c r="R429" s="519"/>
      <c r="S429" s="519"/>
      <c r="T429" s="519">
        <f t="shared" si="187"/>
        <v>106.029</v>
      </c>
      <c r="U429" s="519"/>
      <c r="V429" s="519">
        <f t="shared" si="188"/>
        <v>212.05799999999999</v>
      </c>
      <c r="W429" s="519">
        <f t="shared" si="189"/>
        <v>318.08699999999999</v>
      </c>
      <c r="X429" s="519">
        <f t="shared" si="190"/>
        <v>424.11599999999999</v>
      </c>
      <c r="Y429" s="519">
        <f t="shared" si="191"/>
        <v>636.17399999999998</v>
      </c>
      <c r="Z429" s="519">
        <f t="shared" si="192"/>
        <v>424.11599999999999</v>
      </c>
    </row>
    <row r="430" spans="1:26" s="512" customFormat="1" ht="45">
      <c r="A430" s="338" t="s">
        <v>8452</v>
      </c>
      <c r="B430" s="576" t="s">
        <v>5256</v>
      </c>
      <c r="C430" s="576">
        <v>95802</v>
      </c>
      <c r="D430" s="336" t="s">
        <v>8453</v>
      </c>
      <c r="E430" s="341">
        <v>700</v>
      </c>
      <c r="F430" s="342" t="s">
        <v>6337</v>
      </c>
      <c r="G430" s="352">
        <v>24.75</v>
      </c>
      <c r="H430" s="339">
        <f t="shared" si="184"/>
        <v>6.67</v>
      </c>
      <c r="I430" s="339">
        <f t="shared" si="185"/>
        <v>31.42</v>
      </c>
      <c r="J430" s="431">
        <f t="shared" si="186"/>
        <v>21994</v>
      </c>
      <c r="K430" s="510">
        <f t="shared" si="193"/>
        <v>17325</v>
      </c>
      <c r="L430" s="510">
        <f t="shared" si="194"/>
        <v>4669</v>
      </c>
      <c r="M430" s="519"/>
      <c r="N430" s="519"/>
      <c r="O430" s="519"/>
      <c r="P430" s="519"/>
      <c r="Q430" s="519"/>
      <c r="R430" s="519"/>
      <c r="S430" s="519"/>
      <c r="T430" s="519">
        <f t="shared" si="187"/>
        <v>1099.7</v>
      </c>
      <c r="U430" s="519"/>
      <c r="V430" s="519">
        <f t="shared" si="188"/>
        <v>2199.4</v>
      </c>
      <c r="W430" s="519">
        <f t="shared" si="189"/>
        <v>3299.1</v>
      </c>
      <c r="X430" s="519">
        <f t="shared" si="190"/>
        <v>4398.8</v>
      </c>
      <c r="Y430" s="519">
        <f t="shared" si="191"/>
        <v>6598.2</v>
      </c>
      <c r="Z430" s="519">
        <f t="shared" si="192"/>
        <v>4398.8</v>
      </c>
    </row>
    <row r="431" spans="1:26" s="512" customFormat="1" ht="15">
      <c r="A431" s="338" t="s">
        <v>8463</v>
      </c>
      <c r="B431" s="576" t="s">
        <v>5256</v>
      </c>
      <c r="C431" s="576">
        <v>93026</v>
      </c>
      <c r="D431" s="336" t="s">
        <v>8457</v>
      </c>
      <c r="E431" s="341">
        <v>8</v>
      </c>
      <c r="F431" s="342" t="s">
        <v>6337</v>
      </c>
      <c r="G431" s="352">
        <v>42.95</v>
      </c>
      <c r="H431" s="339">
        <f t="shared" si="184"/>
        <v>11.57</v>
      </c>
      <c r="I431" s="339">
        <f t="shared" si="185"/>
        <v>54.52</v>
      </c>
      <c r="J431" s="431">
        <f t="shared" si="186"/>
        <v>436.16</v>
      </c>
      <c r="K431" s="510">
        <f t="shared" si="193"/>
        <v>343.6</v>
      </c>
      <c r="L431" s="510">
        <f t="shared" si="194"/>
        <v>92.56</v>
      </c>
      <c r="M431" s="519"/>
      <c r="N431" s="519"/>
      <c r="O431" s="519"/>
      <c r="P431" s="519"/>
      <c r="Q431" s="519"/>
      <c r="R431" s="519"/>
      <c r="S431" s="519"/>
      <c r="T431" s="519">
        <f t="shared" si="187"/>
        <v>21.808000000000003</v>
      </c>
      <c r="U431" s="519"/>
      <c r="V431" s="519">
        <f t="shared" si="188"/>
        <v>43.616000000000007</v>
      </c>
      <c r="W431" s="519">
        <f t="shared" si="189"/>
        <v>65.424000000000007</v>
      </c>
      <c r="X431" s="519">
        <f t="shared" si="190"/>
        <v>87.232000000000014</v>
      </c>
      <c r="Y431" s="519">
        <f t="shared" si="191"/>
        <v>130.84800000000001</v>
      </c>
      <c r="Z431" s="519">
        <f t="shared" si="192"/>
        <v>87.232000000000014</v>
      </c>
    </row>
    <row r="432" spans="1:26" s="512" customFormat="1" ht="15">
      <c r="A432" s="338" t="s">
        <v>8464</v>
      </c>
      <c r="B432" s="576" t="s">
        <v>5256</v>
      </c>
      <c r="C432" s="576">
        <v>93018</v>
      </c>
      <c r="D432" s="336" t="s">
        <v>8471</v>
      </c>
      <c r="E432" s="341">
        <v>22</v>
      </c>
      <c r="F432" s="342" t="s">
        <v>6337</v>
      </c>
      <c r="G432" s="352">
        <v>12.46</v>
      </c>
      <c r="H432" s="339">
        <f t="shared" si="184"/>
        <v>3.36</v>
      </c>
      <c r="I432" s="339">
        <f t="shared" si="185"/>
        <v>15.82</v>
      </c>
      <c r="J432" s="431">
        <f t="shared" si="186"/>
        <v>348.04</v>
      </c>
      <c r="K432" s="510">
        <f t="shared" si="193"/>
        <v>274.12</v>
      </c>
      <c r="L432" s="510">
        <f t="shared" si="194"/>
        <v>73.92</v>
      </c>
      <c r="M432" s="519"/>
      <c r="N432" s="519"/>
      <c r="O432" s="519"/>
      <c r="P432" s="519"/>
      <c r="Q432" s="519"/>
      <c r="R432" s="519"/>
      <c r="S432" s="519"/>
      <c r="T432" s="519">
        <f t="shared" si="187"/>
        <v>17.402000000000001</v>
      </c>
      <c r="U432" s="519"/>
      <c r="V432" s="519">
        <f t="shared" si="188"/>
        <v>34.804000000000002</v>
      </c>
      <c r="W432" s="519">
        <f t="shared" si="189"/>
        <v>52.206000000000003</v>
      </c>
      <c r="X432" s="519">
        <f t="shared" si="190"/>
        <v>69.608000000000004</v>
      </c>
      <c r="Y432" s="519">
        <f t="shared" si="191"/>
        <v>104.41200000000001</v>
      </c>
      <c r="Z432" s="519">
        <f t="shared" si="192"/>
        <v>69.608000000000004</v>
      </c>
    </row>
    <row r="433" spans="1:26" s="512" customFormat="1" ht="15">
      <c r="A433" s="338" t="s">
        <v>8465</v>
      </c>
      <c r="B433" s="576" t="s">
        <v>5256</v>
      </c>
      <c r="C433" s="576">
        <v>91917</v>
      </c>
      <c r="D433" s="336" t="s">
        <v>8458</v>
      </c>
      <c r="E433" s="341">
        <v>18</v>
      </c>
      <c r="F433" s="342" t="s">
        <v>6337</v>
      </c>
      <c r="G433" s="352">
        <v>9.8699999999999992</v>
      </c>
      <c r="H433" s="339">
        <f t="shared" si="184"/>
        <v>2.66</v>
      </c>
      <c r="I433" s="339">
        <f t="shared" si="185"/>
        <v>12.53</v>
      </c>
      <c r="J433" s="431">
        <f t="shared" si="186"/>
        <v>225.54</v>
      </c>
      <c r="K433" s="510">
        <f t="shared" si="193"/>
        <v>177.66</v>
      </c>
      <c r="L433" s="510">
        <f t="shared" si="194"/>
        <v>47.88</v>
      </c>
      <c r="M433" s="519"/>
      <c r="N433" s="519"/>
      <c r="O433" s="519"/>
      <c r="P433" s="519"/>
      <c r="Q433" s="519"/>
      <c r="R433" s="519"/>
      <c r="S433" s="519"/>
      <c r="T433" s="519">
        <f t="shared" si="187"/>
        <v>11.277000000000001</v>
      </c>
      <c r="U433" s="519"/>
      <c r="V433" s="519">
        <f t="shared" si="188"/>
        <v>22.554000000000002</v>
      </c>
      <c r="W433" s="519">
        <f t="shared" si="189"/>
        <v>33.830999999999996</v>
      </c>
      <c r="X433" s="519">
        <f t="shared" si="190"/>
        <v>45.108000000000004</v>
      </c>
      <c r="Y433" s="519">
        <f t="shared" si="191"/>
        <v>67.661999999999992</v>
      </c>
      <c r="Z433" s="519">
        <f t="shared" si="192"/>
        <v>45.108000000000004</v>
      </c>
    </row>
    <row r="434" spans="1:26" s="512" customFormat="1" ht="15">
      <c r="A434" s="338" t="s">
        <v>8466</v>
      </c>
      <c r="B434" s="576" t="s">
        <v>5256</v>
      </c>
      <c r="C434" s="576">
        <v>91914</v>
      </c>
      <c r="D434" s="336" t="s">
        <v>8459</v>
      </c>
      <c r="E434" s="341">
        <v>530</v>
      </c>
      <c r="F434" s="342" t="s">
        <v>6337</v>
      </c>
      <c r="G434" s="352">
        <v>8.17</v>
      </c>
      <c r="H434" s="339">
        <f t="shared" si="184"/>
        <v>2.2000000000000002</v>
      </c>
      <c r="I434" s="339">
        <f t="shared" si="185"/>
        <v>10.370000000000001</v>
      </c>
      <c r="J434" s="431">
        <f t="shared" si="186"/>
        <v>5496.1</v>
      </c>
      <c r="K434" s="510">
        <f t="shared" si="193"/>
        <v>4330.1000000000004</v>
      </c>
      <c r="L434" s="510">
        <f t="shared" si="194"/>
        <v>1166</v>
      </c>
      <c r="M434" s="519"/>
      <c r="N434" s="519"/>
      <c r="O434" s="519"/>
      <c r="P434" s="519"/>
      <c r="Q434" s="519"/>
      <c r="R434" s="519"/>
      <c r="S434" s="519"/>
      <c r="T434" s="519">
        <f t="shared" si="187"/>
        <v>274.80500000000001</v>
      </c>
      <c r="U434" s="519"/>
      <c r="V434" s="519">
        <f t="shared" si="188"/>
        <v>549.61</v>
      </c>
      <c r="W434" s="519">
        <f t="shared" si="189"/>
        <v>824.41500000000008</v>
      </c>
      <c r="X434" s="519">
        <f t="shared" si="190"/>
        <v>1099.22</v>
      </c>
      <c r="Y434" s="519">
        <f t="shared" si="191"/>
        <v>1648.8300000000002</v>
      </c>
      <c r="Z434" s="519">
        <f t="shared" si="192"/>
        <v>1099.22</v>
      </c>
    </row>
    <row r="435" spans="1:26" s="512" customFormat="1" ht="15">
      <c r="A435" s="338" t="s">
        <v>8467</v>
      </c>
      <c r="B435" s="576" t="s">
        <v>5256</v>
      </c>
      <c r="C435" s="576">
        <v>93017</v>
      </c>
      <c r="D435" s="336" t="s">
        <v>8460</v>
      </c>
      <c r="E435" s="341">
        <v>33</v>
      </c>
      <c r="F435" s="342" t="s">
        <v>6337</v>
      </c>
      <c r="G435" s="352">
        <v>26.17</v>
      </c>
      <c r="H435" s="339">
        <f t="shared" si="184"/>
        <v>7.05</v>
      </c>
      <c r="I435" s="339">
        <f t="shared" si="185"/>
        <v>33.22</v>
      </c>
      <c r="J435" s="431">
        <f t="shared" si="186"/>
        <v>1096.26</v>
      </c>
      <c r="K435" s="510">
        <f t="shared" si="193"/>
        <v>863.61</v>
      </c>
      <c r="L435" s="510">
        <f t="shared" si="194"/>
        <v>232.65</v>
      </c>
      <c r="M435" s="519"/>
      <c r="N435" s="519"/>
      <c r="O435" s="519"/>
      <c r="P435" s="519"/>
      <c r="Q435" s="519"/>
      <c r="R435" s="519"/>
      <c r="S435" s="519"/>
      <c r="T435" s="519">
        <f t="shared" si="187"/>
        <v>54.813000000000002</v>
      </c>
      <c r="U435" s="519"/>
      <c r="V435" s="519">
        <f t="shared" si="188"/>
        <v>109.626</v>
      </c>
      <c r="W435" s="519">
        <f t="shared" si="189"/>
        <v>164.43899999999999</v>
      </c>
      <c r="X435" s="519">
        <f t="shared" si="190"/>
        <v>219.25200000000001</v>
      </c>
      <c r="Y435" s="519">
        <f t="shared" si="191"/>
        <v>328.87799999999999</v>
      </c>
      <c r="Z435" s="519">
        <f t="shared" si="192"/>
        <v>219.25200000000001</v>
      </c>
    </row>
    <row r="436" spans="1:26" s="512" customFormat="1" ht="15">
      <c r="A436" s="338" t="s">
        <v>8468</v>
      </c>
      <c r="B436" s="576" t="s">
        <v>5256</v>
      </c>
      <c r="C436" s="576">
        <v>93013</v>
      </c>
      <c r="D436" s="336" t="s">
        <v>8472</v>
      </c>
      <c r="E436" s="341">
        <v>86</v>
      </c>
      <c r="F436" s="342" t="s">
        <v>6337</v>
      </c>
      <c r="G436" s="352">
        <v>8.17</v>
      </c>
      <c r="H436" s="339">
        <f t="shared" si="184"/>
        <v>2.2000000000000002</v>
      </c>
      <c r="I436" s="339">
        <f t="shared" si="185"/>
        <v>10.370000000000001</v>
      </c>
      <c r="J436" s="431">
        <f t="shared" si="186"/>
        <v>891.82</v>
      </c>
      <c r="K436" s="510">
        <f t="shared" si="193"/>
        <v>702.62</v>
      </c>
      <c r="L436" s="510">
        <f t="shared" si="194"/>
        <v>189.2</v>
      </c>
      <c r="M436" s="519"/>
      <c r="N436" s="519"/>
      <c r="O436" s="519"/>
      <c r="P436" s="519"/>
      <c r="Q436" s="519"/>
      <c r="R436" s="519"/>
      <c r="S436" s="519"/>
      <c r="T436" s="519">
        <f t="shared" si="187"/>
        <v>44.591000000000008</v>
      </c>
      <c r="U436" s="519"/>
      <c r="V436" s="519">
        <f t="shared" si="188"/>
        <v>89.182000000000016</v>
      </c>
      <c r="W436" s="519">
        <f t="shared" si="189"/>
        <v>133.773</v>
      </c>
      <c r="X436" s="519">
        <f t="shared" si="190"/>
        <v>178.36400000000003</v>
      </c>
      <c r="Y436" s="519">
        <f t="shared" si="191"/>
        <v>267.54599999999999</v>
      </c>
      <c r="Z436" s="519">
        <f t="shared" si="192"/>
        <v>178.36400000000003</v>
      </c>
    </row>
    <row r="437" spans="1:26" s="512" customFormat="1" ht="15">
      <c r="A437" s="338" t="s">
        <v>8469</v>
      </c>
      <c r="B437" s="576" t="s">
        <v>5256</v>
      </c>
      <c r="C437" s="576">
        <v>91885</v>
      </c>
      <c r="D437" s="336" t="s">
        <v>8461</v>
      </c>
      <c r="E437" s="341">
        <v>76</v>
      </c>
      <c r="F437" s="342" t="s">
        <v>6337</v>
      </c>
      <c r="G437" s="352">
        <v>6</v>
      </c>
      <c r="H437" s="339">
        <f t="shared" si="184"/>
        <v>1.62</v>
      </c>
      <c r="I437" s="339">
        <f t="shared" si="185"/>
        <v>7.62</v>
      </c>
      <c r="J437" s="431">
        <f t="shared" si="186"/>
        <v>579.12</v>
      </c>
      <c r="K437" s="510">
        <f t="shared" si="193"/>
        <v>456</v>
      </c>
      <c r="L437" s="510">
        <f t="shared" si="194"/>
        <v>123.12</v>
      </c>
      <c r="M437" s="519"/>
      <c r="N437" s="519"/>
      <c r="O437" s="519"/>
      <c r="P437" s="519"/>
      <c r="Q437" s="519"/>
      <c r="R437" s="519"/>
      <c r="S437" s="519"/>
      <c r="T437" s="519">
        <f t="shared" si="187"/>
        <v>28.956000000000003</v>
      </c>
      <c r="U437" s="519"/>
      <c r="V437" s="519">
        <f t="shared" si="188"/>
        <v>57.912000000000006</v>
      </c>
      <c r="W437" s="519">
        <f t="shared" si="189"/>
        <v>86.867999999999995</v>
      </c>
      <c r="X437" s="519">
        <f t="shared" si="190"/>
        <v>115.82400000000001</v>
      </c>
      <c r="Y437" s="519">
        <f t="shared" si="191"/>
        <v>173.73599999999999</v>
      </c>
      <c r="Z437" s="519">
        <f t="shared" si="192"/>
        <v>115.82400000000001</v>
      </c>
    </row>
    <row r="438" spans="1:26" s="512" customFormat="1" ht="15">
      <c r="A438" s="338" t="s">
        <v>8470</v>
      </c>
      <c r="B438" s="576" t="s">
        <v>5256</v>
      </c>
      <c r="C438" s="576">
        <v>91884</v>
      </c>
      <c r="D438" s="336" t="s">
        <v>8462</v>
      </c>
      <c r="E438" s="341">
        <v>2310</v>
      </c>
      <c r="F438" s="342" t="s">
        <v>6337</v>
      </c>
      <c r="G438" s="352">
        <v>5.09</v>
      </c>
      <c r="H438" s="339">
        <f t="shared" si="184"/>
        <v>1.37</v>
      </c>
      <c r="I438" s="339">
        <f t="shared" si="185"/>
        <v>6.46</v>
      </c>
      <c r="J438" s="431">
        <f t="shared" si="186"/>
        <v>14922.6</v>
      </c>
      <c r="K438" s="510">
        <f t="shared" si="193"/>
        <v>11757.9</v>
      </c>
      <c r="L438" s="510">
        <f t="shared" si="194"/>
        <v>3164.7</v>
      </c>
      <c r="M438" s="519"/>
      <c r="N438" s="519"/>
      <c r="O438" s="519"/>
      <c r="P438" s="519"/>
      <c r="Q438" s="519"/>
      <c r="R438" s="519"/>
      <c r="S438" s="519"/>
      <c r="T438" s="519">
        <f t="shared" si="187"/>
        <v>746.13000000000011</v>
      </c>
      <c r="U438" s="519"/>
      <c r="V438" s="519">
        <f t="shared" si="188"/>
        <v>1492.2600000000002</v>
      </c>
      <c r="W438" s="519">
        <f t="shared" si="189"/>
        <v>2238.39</v>
      </c>
      <c r="X438" s="519">
        <f t="shared" si="190"/>
        <v>2984.5200000000004</v>
      </c>
      <c r="Y438" s="519">
        <f t="shared" si="191"/>
        <v>4476.78</v>
      </c>
      <c r="Z438" s="519">
        <f t="shared" si="192"/>
        <v>2984.5200000000004</v>
      </c>
    </row>
    <row r="439" spans="1:26" s="512" customFormat="1" ht="30">
      <c r="A439" s="338" t="s">
        <v>8332</v>
      </c>
      <c r="B439" s="576" t="s">
        <v>5256</v>
      </c>
      <c r="C439" s="576">
        <v>91926</v>
      </c>
      <c r="D439" s="336" t="s">
        <v>7244</v>
      </c>
      <c r="E439" s="341">
        <v>21000</v>
      </c>
      <c r="F439" s="342" t="s">
        <v>6774</v>
      </c>
      <c r="G439" s="352">
        <v>2.29</v>
      </c>
      <c r="H439" s="339">
        <f t="shared" si="184"/>
        <v>0.62</v>
      </c>
      <c r="I439" s="339">
        <f t="shared" si="185"/>
        <v>2.91</v>
      </c>
      <c r="J439" s="431">
        <f t="shared" si="186"/>
        <v>61110</v>
      </c>
      <c r="K439" s="510">
        <f t="shared" si="193"/>
        <v>48090</v>
      </c>
      <c r="L439" s="510">
        <f t="shared" si="194"/>
        <v>13020</v>
      </c>
      <c r="M439" s="519"/>
      <c r="N439" s="519"/>
      <c r="O439" s="519"/>
      <c r="P439" s="519"/>
      <c r="Q439" s="519"/>
      <c r="R439" s="519"/>
      <c r="S439" s="519"/>
      <c r="T439" s="519">
        <f t="shared" si="187"/>
        <v>3055.5</v>
      </c>
      <c r="U439" s="519"/>
      <c r="V439" s="519">
        <f t="shared" si="188"/>
        <v>6111</v>
      </c>
      <c r="W439" s="519">
        <f t="shared" si="189"/>
        <v>9166.5</v>
      </c>
      <c r="X439" s="519">
        <f t="shared" si="190"/>
        <v>12222</v>
      </c>
      <c r="Y439" s="519">
        <f t="shared" si="191"/>
        <v>18333</v>
      </c>
      <c r="Z439" s="519">
        <f t="shared" si="192"/>
        <v>12222</v>
      </c>
    </row>
    <row r="440" spans="1:26" s="512" customFormat="1" ht="30">
      <c r="A440" s="338" t="s">
        <v>8333</v>
      </c>
      <c r="B440" s="576" t="s">
        <v>5256</v>
      </c>
      <c r="C440" s="576">
        <v>91928</v>
      </c>
      <c r="D440" s="336" t="s">
        <v>7245</v>
      </c>
      <c r="E440" s="341">
        <v>10000</v>
      </c>
      <c r="F440" s="342" t="s">
        <v>6774</v>
      </c>
      <c r="G440" s="352">
        <v>3.69</v>
      </c>
      <c r="H440" s="339">
        <f t="shared" si="184"/>
        <v>0.99</v>
      </c>
      <c r="I440" s="339">
        <f t="shared" si="185"/>
        <v>4.68</v>
      </c>
      <c r="J440" s="431">
        <f t="shared" si="186"/>
        <v>46800</v>
      </c>
      <c r="K440" s="510">
        <f t="shared" si="193"/>
        <v>36900</v>
      </c>
      <c r="L440" s="510">
        <f t="shared" si="194"/>
        <v>9900</v>
      </c>
      <c r="M440" s="519"/>
      <c r="N440" s="519"/>
      <c r="O440" s="519"/>
      <c r="P440" s="519"/>
      <c r="Q440" s="519"/>
      <c r="R440" s="519"/>
      <c r="S440" s="519"/>
      <c r="T440" s="519">
        <f t="shared" si="187"/>
        <v>2340</v>
      </c>
      <c r="U440" s="519"/>
      <c r="V440" s="519">
        <f t="shared" si="188"/>
        <v>4680</v>
      </c>
      <c r="W440" s="519">
        <f t="shared" si="189"/>
        <v>7020</v>
      </c>
      <c r="X440" s="519">
        <f t="shared" si="190"/>
        <v>9360</v>
      </c>
      <c r="Y440" s="519">
        <f t="shared" si="191"/>
        <v>14040</v>
      </c>
      <c r="Z440" s="519">
        <f t="shared" si="192"/>
        <v>9360</v>
      </c>
    </row>
    <row r="441" spans="1:26" s="512" customFormat="1" ht="30">
      <c r="A441" s="338" t="s">
        <v>8334</v>
      </c>
      <c r="B441" s="576" t="s">
        <v>5256</v>
      </c>
      <c r="C441" s="576">
        <v>91930</v>
      </c>
      <c r="D441" s="336" t="s">
        <v>7246</v>
      </c>
      <c r="E441" s="341">
        <v>700</v>
      </c>
      <c r="F441" s="342" t="s">
        <v>6774</v>
      </c>
      <c r="G441" s="352">
        <v>5.0599999999999996</v>
      </c>
      <c r="H441" s="339">
        <f t="shared" si="184"/>
        <v>1.36</v>
      </c>
      <c r="I441" s="339">
        <f t="shared" si="185"/>
        <v>6.42</v>
      </c>
      <c r="J441" s="431">
        <f t="shared" si="186"/>
        <v>4494</v>
      </c>
      <c r="K441" s="510">
        <f t="shared" si="193"/>
        <v>3542</v>
      </c>
      <c r="L441" s="510">
        <f t="shared" si="194"/>
        <v>952</v>
      </c>
      <c r="M441" s="519"/>
      <c r="N441" s="519"/>
      <c r="O441" s="519"/>
      <c r="P441" s="519"/>
      <c r="Q441" s="519"/>
      <c r="R441" s="519"/>
      <c r="S441" s="519"/>
      <c r="T441" s="519">
        <f t="shared" si="187"/>
        <v>224.70000000000002</v>
      </c>
      <c r="U441" s="519"/>
      <c r="V441" s="519">
        <f t="shared" si="188"/>
        <v>449.40000000000003</v>
      </c>
      <c r="W441" s="519">
        <f t="shared" si="189"/>
        <v>674.1</v>
      </c>
      <c r="X441" s="519">
        <f t="shared" si="190"/>
        <v>898.80000000000007</v>
      </c>
      <c r="Y441" s="519">
        <f t="shared" si="191"/>
        <v>1348.2</v>
      </c>
      <c r="Z441" s="519">
        <f t="shared" si="192"/>
        <v>898.80000000000007</v>
      </c>
    </row>
    <row r="442" spans="1:26" s="512" customFormat="1" ht="30">
      <c r="A442" s="338" t="s">
        <v>8335</v>
      </c>
      <c r="B442" s="576" t="s">
        <v>6753</v>
      </c>
      <c r="C442" s="576" t="s">
        <v>15515</v>
      </c>
      <c r="D442" s="336" t="s">
        <v>15509</v>
      </c>
      <c r="E442" s="341">
        <v>2000</v>
      </c>
      <c r="F442" s="342" t="s">
        <v>6774</v>
      </c>
      <c r="G442" s="352">
        <v>2.9800000000000004</v>
      </c>
      <c r="H442" s="339">
        <f t="shared" si="184"/>
        <v>0.8</v>
      </c>
      <c r="I442" s="339">
        <f t="shared" si="185"/>
        <v>3.7800000000000002</v>
      </c>
      <c r="J442" s="431">
        <f t="shared" si="186"/>
        <v>7560</v>
      </c>
      <c r="K442" s="510">
        <f t="shared" si="193"/>
        <v>5960</v>
      </c>
      <c r="L442" s="510">
        <f t="shared" si="194"/>
        <v>1600</v>
      </c>
      <c r="M442" s="519"/>
      <c r="N442" s="519"/>
      <c r="O442" s="519"/>
      <c r="P442" s="519"/>
      <c r="Q442" s="519"/>
      <c r="R442" s="519"/>
      <c r="S442" s="519"/>
      <c r="T442" s="519">
        <f t="shared" si="187"/>
        <v>378</v>
      </c>
      <c r="U442" s="519"/>
      <c r="V442" s="519">
        <f t="shared" si="188"/>
        <v>756</v>
      </c>
      <c r="W442" s="519">
        <f t="shared" si="189"/>
        <v>1134</v>
      </c>
      <c r="X442" s="519">
        <f t="shared" si="190"/>
        <v>1512</v>
      </c>
      <c r="Y442" s="519">
        <f t="shared" si="191"/>
        <v>2268</v>
      </c>
      <c r="Z442" s="519">
        <f t="shared" si="192"/>
        <v>1512</v>
      </c>
    </row>
    <row r="443" spans="1:26" s="512" customFormat="1" ht="30">
      <c r="A443" s="338" t="s">
        <v>8336</v>
      </c>
      <c r="B443" s="576" t="s">
        <v>6753</v>
      </c>
      <c r="C443" s="576" t="s">
        <v>15516</v>
      </c>
      <c r="D443" s="336" t="s">
        <v>15512</v>
      </c>
      <c r="E443" s="341">
        <v>2700</v>
      </c>
      <c r="F443" s="342" t="s">
        <v>6774</v>
      </c>
      <c r="G443" s="352">
        <v>3.8200000000000003</v>
      </c>
      <c r="H443" s="339">
        <f t="shared" si="184"/>
        <v>1.03</v>
      </c>
      <c r="I443" s="339">
        <f t="shared" si="185"/>
        <v>4.8500000000000005</v>
      </c>
      <c r="J443" s="431">
        <f t="shared" si="186"/>
        <v>13095</v>
      </c>
      <c r="K443" s="510">
        <f t="shared" si="193"/>
        <v>10314</v>
      </c>
      <c r="L443" s="510">
        <f t="shared" si="194"/>
        <v>2781</v>
      </c>
      <c r="M443" s="519"/>
      <c r="N443" s="519"/>
      <c r="O443" s="519"/>
      <c r="P443" s="519"/>
      <c r="Q443" s="519"/>
      <c r="R443" s="519"/>
      <c r="S443" s="519"/>
      <c r="T443" s="519">
        <f t="shared" si="187"/>
        <v>654.75</v>
      </c>
      <c r="U443" s="519"/>
      <c r="V443" s="519">
        <f t="shared" si="188"/>
        <v>1309.5</v>
      </c>
      <c r="W443" s="519">
        <f t="shared" si="189"/>
        <v>1964.25</v>
      </c>
      <c r="X443" s="519">
        <f t="shared" si="190"/>
        <v>2619</v>
      </c>
      <c r="Y443" s="519">
        <f t="shared" si="191"/>
        <v>3928.5</v>
      </c>
      <c r="Z443" s="519">
        <f t="shared" si="192"/>
        <v>2619</v>
      </c>
    </row>
    <row r="444" spans="1:26" s="512" customFormat="1" ht="30">
      <c r="A444" s="338" t="s">
        <v>8337</v>
      </c>
      <c r="B444" s="576" t="s">
        <v>6753</v>
      </c>
      <c r="C444" s="576" t="s">
        <v>15517</v>
      </c>
      <c r="D444" s="336" t="s">
        <v>15520</v>
      </c>
      <c r="E444" s="341">
        <v>1000</v>
      </c>
      <c r="F444" s="342" t="s">
        <v>6774</v>
      </c>
      <c r="G444" s="352">
        <v>4.8100000000000005</v>
      </c>
      <c r="H444" s="339">
        <f t="shared" si="184"/>
        <v>1.3</v>
      </c>
      <c r="I444" s="339">
        <f t="shared" si="185"/>
        <v>6.11</v>
      </c>
      <c r="J444" s="431">
        <f t="shared" si="186"/>
        <v>6110</v>
      </c>
      <c r="K444" s="510">
        <f t="shared" si="193"/>
        <v>4810</v>
      </c>
      <c r="L444" s="510">
        <f t="shared" si="194"/>
        <v>1300</v>
      </c>
      <c r="M444" s="519"/>
      <c r="N444" s="519"/>
      <c r="O444" s="519"/>
      <c r="P444" s="519"/>
      <c r="Q444" s="519"/>
      <c r="R444" s="519"/>
      <c r="S444" s="519"/>
      <c r="T444" s="519">
        <f t="shared" si="187"/>
        <v>305.5</v>
      </c>
      <c r="U444" s="519"/>
      <c r="V444" s="519">
        <f t="shared" si="188"/>
        <v>611</v>
      </c>
      <c r="W444" s="519">
        <f t="shared" si="189"/>
        <v>916.5</v>
      </c>
      <c r="X444" s="519">
        <f t="shared" si="190"/>
        <v>1222</v>
      </c>
      <c r="Y444" s="519">
        <f t="shared" si="191"/>
        <v>1833</v>
      </c>
      <c r="Z444" s="519">
        <f t="shared" si="192"/>
        <v>1222</v>
      </c>
    </row>
    <row r="445" spans="1:26" s="512" customFormat="1" ht="30">
      <c r="A445" s="338" t="s">
        <v>8338</v>
      </c>
      <c r="B445" s="576" t="s">
        <v>6753</v>
      </c>
      <c r="C445" s="576" t="s">
        <v>15521</v>
      </c>
      <c r="D445" s="336" t="s">
        <v>15522</v>
      </c>
      <c r="E445" s="341">
        <v>4500</v>
      </c>
      <c r="F445" s="342" t="s">
        <v>6774</v>
      </c>
      <c r="G445" s="352">
        <v>6.59</v>
      </c>
      <c r="H445" s="339">
        <f t="shared" si="184"/>
        <v>1.77</v>
      </c>
      <c r="I445" s="339">
        <f t="shared" si="185"/>
        <v>8.36</v>
      </c>
      <c r="J445" s="431">
        <f t="shared" si="186"/>
        <v>37620</v>
      </c>
      <c r="K445" s="510">
        <f t="shared" si="193"/>
        <v>29655</v>
      </c>
      <c r="L445" s="510">
        <f t="shared" si="194"/>
        <v>7965</v>
      </c>
      <c r="M445" s="519"/>
      <c r="N445" s="519"/>
      <c r="O445" s="519"/>
      <c r="P445" s="519"/>
      <c r="Q445" s="519"/>
      <c r="R445" s="519"/>
      <c r="S445" s="519"/>
      <c r="T445" s="519">
        <f t="shared" si="187"/>
        <v>1881</v>
      </c>
      <c r="U445" s="519"/>
      <c r="V445" s="519">
        <f t="shared" si="188"/>
        <v>3762</v>
      </c>
      <c r="W445" s="519">
        <f t="shared" si="189"/>
        <v>5643</v>
      </c>
      <c r="X445" s="519">
        <f t="shared" si="190"/>
        <v>7524</v>
      </c>
      <c r="Y445" s="519">
        <f t="shared" si="191"/>
        <v>11286</v>
      </c>
      <c r="Z445" s="519">
        <f t="shared" si="192"/>
        <v>7524</v>
      </c>
    </row>
    <row r="446" spans="1:26" s="512" customFormat="1" ht="30">
      <c r="A446" s="338" t="s">
        <v>8339</v>
      </c>
      <c r="B446" s="576" t="s">
        <v>6753</v>
      </c>
      <c r="C446" s="576" t="s">
        <v>15525</v>
      </c>
      <c r="D446" s="336" t="s">
        <v>15528</v>
      </c>
      <c r="E446" s="341">
        <v>1150</v>
      </c>
      <c r="F446" s="342" t="s">
        <v>6774</v>
      </c>
      <c r="G446" s="352">
        <v>9.1</v>
      </c>
      <c r="H446" s="339">
        <f t="shared" si="184"/>
        <v>2.4500000000000002</v>
      </c>
      <c r="I446" s="339">
        <f t="shared" si="185"/>
        <v>11.55</v>
      </c>
      <c r="J446" s="431">
        <f t="shared" si="186"/>
        <v>13282.5</v>
      </c>
      <c r="K446" s="510">
        <f t="shared" si="193"/>
        <v>10465</v>
      </c>
      <c r="L446" s="510">
        <f t="shared" si="194"/>
        <v>2817.5</v>
      </c>
      <c r="M446" s="519"/>
      <c r="N446" s="519"/>
      <c r="O446" s="519"/>
      <c r="P446" s="519"/>
      <c r="Q446" s="519"/>
      <c r="R446" s="519"/>
      <c r="S446" s="519"/>
      <c r="T446" s="519">
        <f t="shared" si="187"/>
        <v>664.125</v>
      </c>
      <c r="U446" s="519"/>
      <c r="V446" s="519">
        <f t="shared" si="188"/>
        <v>1328.25</v>
      </c>
      <c r="W446" s="519">
        <f t="shared" si="189"/>
        <v>1992.375</v>
      </c>
      <c r="X446" s="519">
        <f t="shared" si="190"/>
        <v>2656.5</v>
      </c>
      <c r="Y446" s="519">
        <f t="shared" si="191"/>
        <v>3984.75</v>
      </c>
      <c r="Z446" s="519">
        <f t="shared" si="192"/>
        <v>2656.5</v>
      </c>
    </row>
    <row r="447" spans="1:26" s="512" customFormat="1" ht="30">
      <c r="A447" s="338" t="s">
        <v>8340</v>
      </c>
      <c r="B447" s="576" t="s">
        <v>6753</v>
      </c>
      <c r="C447" s="576" t="s">
        <v>15529</v>
      </c>
      <c r="D447" s="336" t="s">
        <v>15532</v>
      </c>
      <c r="E447" s="341">
        <v>1100</v>
      </c>
      <c r="F447" s="342" t="s">
        <v>6774</v>
      </c>
      <c r="G447" s="352">
        <v>12.700000000000001</v>
      </c>
      <c r="H447" s="339">
        <f t="shared" si="184"/>
        <v>3.42</v>
      </c>
      <c r="I447" s="339">
        <f t="shared" si="185"/>
        <v>16.12</v>
      </c>
      <c r="J447" s="431">
        <f t="shared" si="186"/>
        <v>17732</v>
      </c>
      <c r="K447" s="510">
        <f t="shared" si="193"/>
        <v>13970</v>
      </c>
      <c r="L447" s="510">
        <f t="shared" si="194"/>
        <v>3762</v>
      </c>
      <c r="M447" s="519"/>
      <c r="N447" s="519"/>
      <c r="O447" s="519"/>
      <c r="P447" s="519"/>
      <c r="Q447" s="519"/>
      <c r="R447" s="519"/>
      <c r="S447" s="519"/>
      <c r="T447" s="519">
        <f t="shared" si="187"/>
        <v>886.6</v>
      </c>
      <c r="U447" s="519"/>
      <c r="V447" s="519">
        <f t="shared" si="188"/>
        <v>1773.2</v>
      </c>
      <c r="W447" s="519">
        <f t="shared" si="189"/>
        <v>2659.7999999999997</v>
      </c>
      <c r="X447" s="519">
        <f t="shared" si="190"/>
        <v>3546.4</v>
      </c>
      <c r="Y447" s="519">
        <f t="shared" si="191"/>
        <v>5319.5999999999995</v>
      </c>
      <c r="Z447" s="519">
        <f t="shared" si="192"/>
        <v>3546.4</v>
      </c>
    </row>
    <row r="448" spans="1:26" s="512" customFormat="1" ht="30">
      <c r="A448" s="338" t="s">
        <v>8341</v>
      </c>
      <c r="B448" s="576" t="s">
        <v>6753</v>
      </c>
      <c r="C448" s="576" t="s">
        <v>15533</v>
      </c>
      <c r="D448" s="336" t="s">
        <v>15534</v>
      </c>
      <c r="E448" s="341">
        <v>1700</v>
      </c>
      <c r="F448" s="342" t="s">
        <v>6774</v>
      </c>
      <c r="G448" s="352">
        <v>17.560000000000002</v>
      </c>
      <c r="H448" s="339">
        <f t="shared" si="184"/>
        <v>4.7300000000000004</v>
      </c>
      <c r="I448" s="339">
        <f t="shared" si="185"/>
        <v>22.290000000000003</v>
      </c>
      <c r="J448" s="431">
        <f t="shared" si="186"/>
        <v>37893</v>
      </c>
      <c r="K448" s="510">
        <f t="shared" si="193"/>
        <v>29852</v>
      </c>
      <c r="L448" s="510">
        <f t="shared" si="194"/>
        <v>8041</v>
      </c>
      <c r="M448" s="519"/>
      <c r="N448" s="519"/>
      <c r="O448" s="519"/>
      <c r="P448" s="519"/>
      <c r="Q448" s="519"/>
      <c r="R448" s="519"/>
      <c r="S448" s="519"/>
      <c r="T448" s="519">
        <f t="shared" si="187"/>
        <v>1894.65</v>
      </c>
      <c r="U448" s="519"/>
      <c r="V448" s="519">
        <f t="shared" si="188"/>
        <v>3789.3</v>
      </c>
      <c r="W448" s="519">
        <f t="shared" si="189"/>
        <v>5683.95</v>
      </c>
      <c r="X448" s="519">
        <f t="shared" si="190"/>
        <v>7578.6</v>
      </c>
      <c r="Y448" s="519">
        <f t="shared" si="191"/>
        <v>11367.9</v>
      </c>
      <c r="Z448" s="519">
        <f t="shared" si="192"/>
        <v>7578.6</v>
      </c>
    </row>
    <row r="449" spans="1:26" s="512" customFormat="1" ht="30">
      <c r="A449" s="338" t="s">
        <v>8342</v>
      </c>
      <c r="B449" s="576" t="s">
        <v>6753</v>
      </c>
      <c r="C449" s="576" t="s">
        <v>15537</v>
      </c>
      <c r="D449" s="336" t="s">
        <v>15538</v>
      </c>
      <c r="E449" s="341">
        <v>300</v>
      </c>
      <c r="F449" s="342" t="s">
        <v>6774</v>
      </c>
      <c r="G449" s="352">
        <v>25.07</v>
      </c>
      <c r="H449" s="339">
        <f t="shared" ref="H449:H480" si="195">ROUND(G449*$B$13,2)</f>
        <v>6.75</v>
      </c>
      <c r="I449" s="339">
        <f t="shared" ref="I449:I480" si="196">H449+G449</f>
        <v>31.82</v>
      </c>
      <c r="J449" s="431">
        <f t="shared" ref="J449:J480" si="197">ROUND(I449*E449,2)</f>
        <v>9546</v>
      </c>
      <c r="K449" s="510">
        <f t="shared" si="193"/>
        <v>7521</v>
      </c>
      <c r="L449" s="510">
        <f t="shared" si="194"/>
        <v>2025</v>
      </c>
      <c r="M449" s="519"/>
      <c r="N449" s="519"/>
      <c r="O449" s="519"/>
      <c r="P449" s="519"/>
      <c r="Q449" s="519"/>
      <c r="R449" s="519"/>
      <c r="S449" s="519"/>
      <c r="T449" s="519">
        <f t="shared" si="187"/>
        <v>477.3</v>
      </c>
      <c r="U449" s="519"/>
      <c r="V449" s="519">
        <f t="shared" si="188"/>
        <v>954.6</v>
      </c>
      <c r="W449" s="519">
        <f t="shared" si="189"/>
        <v>1431.8999999999999</v>
      </c>
      <c r="X449" s="519">
        <f t="shared" si="190"/>
        <v>1909.2</v>
      </c>
      <c r="Y449" s="519">
        <f t="shared" si="191"/>
        <v>2863.7999999999997</v>
      </c>
      <c r="Z449" s="519">
        <f t="shared" si="192"/>
        <v>1909.2</v>
      </c>
    </row>
    <row r="450" spans="1:26" s="512" customFormat="1" ht="30">
      <c r="A450" s="338" t="s">
        <v>8343</v>
      </c>
      <c r="B450" s="576" t="s">
        <v>6753</v>
      </c>
      <c r="C450" s="576" t="s">
        <v>15541</v>
      </c>
      <c r="D450" s="336" t="s">
        <v>15542</v>
      </c>
      <c r="E450" s="341">
        <v>50</v>
      </c>
      <c r="F450" s="342" t="s">
        <v>6774</v>
      </c>
      <c r="G450" s="352">
        <v>33.58</v>
      </c>
      <c r="H450" s="339">
        <f t="shared" si="195"/>
        <v>9.0399999999999991</v>
      </c>
      <c r="I450" s="339">
        <f t="shared" si="196"/>
        <v>42.62</v>
      </c>
      <c r="J450" s="431">
        <f t="shared" si="197"/>
        <v>2131</v>
      </c>
      <c r="K450" s="510">
        <f t="shared" si="193"/>
        <v>1679</v>
      </c>
      <c r="L450" s="510">
        <f t="shared" si="194"/>
        <v>452</v>
      </c>
      <c r="M450" s="519"/>
      <c r="N450" s="519"/>
      <c r="O450" s="519"/>
      <c r="P450" s="519"/>
      <c r="Q450" s="519"/>
      <c r="R450" s="519"/>
      <c r="S450" s="519"/>
      <c r="T450" s="519">
        <f t="shared" si="187"/>
        <v>106.55000000000001</v>
      </c>
      <c r="U450" s="519"/>
      <c r="V450" s="519">
        <f t="shared" si="188"/>
        <v>213.10000000000002</v>
      </c>
      <c r="W450" s="519">
        <f t="shared" si="189"/>
        <v>319.64999999999998</v>
      </c>
      <c r="X450" s="519">
        <f t="shared" si="190"/>
        <v>426.20000000000005</v>
      </c>
      <c r="Y450" s="519">
        <f t="shared" si="191"/>
        <v>639.29999999999995</v>
      </c>
      <c r="Z450" s="519">
        <f t="shared" si="192"/>
        <v>426.20000000000005</v>
      </c>
    </row>
    <row r="451" spans="1:26" s="512" customFormat="1" ht="30">
      <c r="A451" s="338" t="s">
        <v>8344</v>
      </c>
      <c r="B451" s="576" t="s">
        <v>6753</v>
      </c>
      <c r="C451" s="576" t="s">
        <v>15502</v>
      </c>
      <c r="D451" s="336" t="s">
        <v>15501</v>
      </c>
      <c r="E451" s="341">
        <v>80</v>
      </c>
      <c r="F451" s="342" t="s">
        <v>6774</v>
      </c>
      <c r="G451" s="352">
        <v>43.38</v>
      </c>
      <c r="H451" s="339">
        <f t="shared" si="195"/>
        <v>11.68</v>
      </c>
      <c r="I451" s="339">
        <f t="shared" si="196"/>
        <v>55.06</v>
      </c>
      <c r="J451" s="431">
        <f t="shared" si="197"/>
        <v>4404.8</v>
      </c>
      <c r="K451" s="510">
        <f t="shared" si="193"/>
        <v>3470.4</v>
      </c>
      <c r="L451" s="510">
        <f t="shared" si="194"/>
        <v>934.4</v>
      </c>
      <c r="M451" s="519"/>
      <c r="N451" s="519"/>
      <c r="O451" s="519"/>
      <c r="P451" s="519"/>
      <c r="Q451" s="519"/>
      <c r="R451" s="519"/>
      <c r="S451" s="519"/>
      <c r="T451" s="519">
        <f t="shared" si="187"/>
        <v>220.24</v>
      </c>
      <c r="U451" s="519"/>
      <c r="V451" s="519">
        <f t="shared" si="188"/>
        <v>440.48</v>
      </c>
      <c r="W451" s="519">
        <f t="shared" si="189"/>
        <v>660.72</v>
      </c>
      <c r="X451" s="519">
        <f t="shared" si="190"/>
        <v>880.96</v>
      </c>
      <c r="Y451" s="519">
        <f t="shared" si="191"/>
        <v>1321.44</v>
      </c>
      <c r="Z451" s="519">
        <f t="shared" si="192"/>
        <v>880.96</v>
      </c>
    </row>
    <row r="452" spans="1:26" s="512" customFormat="1" ht="30">
      <c r="A452" s="338" t="s">
        <v>15545</v>
      </c>
      <c r="B452" s="576" t="s">
        <v>6753</v>
      </c>
      <c r="C452" s="576" t="s">
        <v>15506</v>
      </c>
      <c r="D452" s="336" t="s">
        <v>15505</v>
      </c>
      <c r="E452" s="341">
        <v>300</v>
      </c>
      <c r="F452" s="342" t="s">
        <v>6774</v>
      </c>
      <c r="G452" s="352">
        <v>79.55</v>
      </c>
      <c r="H452" s="339">
        <f t="shared" si="195"/>
        <v>21.42</v>
      </c>
      <c r="I452" s="339">
        <f t="shared" si="196"/>
        <v>100.97</v>
      </c>
      <c r="J452" s="431">
        <f t="shared" si="197"/>
        <v>30291</v>
      </c>
      <c r="K452" s="510">
        <f t="shared" si="193"/>
        <v>23865</v>
      </c>
      <c r="L452" s="510">
        <f t="shared" si="194"/>
        <v>6426</v>
      </c>
      <c r="M452" s="519"/>
      <c r="N452" s="519"/>
      <c r="O452" s="519"/>
      <c r="P452" s="519"/>
      <c r="Q452" s="519"/>
      <c r="R452" s="519"/>
      <c r="S452" s="519"/>
      <c r="T452" s="519">
        <f t="shared" si="187"/>
        <v>1514.5500000000002</v>
      </c>
      <c r="U452" s="519"/>
      <c r="V452" s="519">
        <f t="shared" si="188"/>
        <v>3029.1000000000004</v>
      </c>
      <c r="W452" s="519">
        <f t="shared" si="189"/>
        <v>4543.6499999999996</v>
      </c>
      <c r="X452" s="519">
        <f t="shared" si="190"/>
        <v>6058.2000000000007</v>
      </c>
      <c r="Y452" s="519">
        <f t="shared" si="191"/>
        <v>9087.2999999999993</v>
      </c>
      <c r="Z452" s="519">
        <f t="shared" si="192"/>
        <v>6058.2000000000007</v>
      </c>
    </row>
    <row r="453" spans="1:26" s="512" customFormat="1" ht="30">
      <c r="A453" s="338" t="s">
        <v>8345</v>
      </c>
      <c r="B453" s="576" t="s">
        <v>5256</v>
      </c>
      <c r="C453" s="576">
        <v>83371</v>
      </c>
      <c r="D453" s="336" t="s">
        <v>7257</v>
      </c>
      <c r="E453" s="341">
        <v>1</v>
      </c>
      <c r="F453" s="342" t="s">
        <v>6337</v>
      </c>
      <c r="G453" s="352">
        <v>97.87</v>
      </c>
      <c r="H453" s="339">
        <f t="shared" si="195"/>
        <v>26.36</v>
      </c>
      <c r="I453" s="339">
        <f t="shared" si="196"/>
        <v>124.23</v>
      </c>
      <c r="J453" s="431">
        <f t="shared" si="197"/>
        <v>124.23</v>
      </c>
      <c r="K453" s="510">
        <f t="shared" si="193"/>
        <v>97.87</v>
      </c>
      <c r="L453" s="510">
        <f t="shared" si="194"/>
        <v>26.36</v>
      </c>
      <c r="M453" s="519"/>
      <c r="N453" s="519"/>
      <c r="O453" s="519"/>
      <c r="P453" s="519"/>
      <c r="Q453" s="519"/>
      <c r="R453" s="519"/>
      <c r="S453" s="519"/>
      <c r="T453" s="519">
        <f t="shared" si="187"/>
        <v>6.2115000000000009</v>
      </c>
      <c r="U453" s="519"/>
      <c r="V453" s="519">
        <f t="shared" si="188"/>
        <v>12.423000000000002</v>
      </c>
      <c r="W453" s="519">
        <f t="shared" si="189"/>
        <v>18.634499999999999</v>
      </c>
      <c r="X453" s="519">
        <f t="shared" si="190"/>
        <v>24.846000000000004</v>
      </c>
      <c r="Y453" s="519">
        <f t="shared" si="191"/>
        <v>37.268999999999998</v>
      </c>
      <c r="Z453" s="519">
        <f t="shared" si="192"/>
        <v>24.846000000000004</v>
      </c>
    </row>
    <row r="454" spans="1:26" s="512" customFormat="1" ht="30">
      <c r="A454" s="338" t="s">
        <v>8346</v>
      </c>
      <c r="B454" s="576" t="s">
        <v>5256</v>
      </c>
      <c r="C454" s="576">
        <v>84676</v>
      </c>
      <c r="D454" s="336" t="s">
        <v>7258</v>
      </c>
      <c r="E454" s="341">
        <v>1</v>
      </c>
      <c r="F454" s="342" t="s">
        <v>6337</v>
      </c>
      <c r="G454" s="352">
        <v>416.97</v>
      </c>
      <c r="H454" s="339">
        <f t="shared" si="195"/>
        <v>112.29</v>
      </c>
      <c r="I454" s="339">
        <f t="shared" si="196"/>
        <v>529.26</v>
      </c>
      <c r="J454" s="431">
        <f t="shared" si="197"/>
        <v>529.26</v>
      </c>
      <c r="K454" s="510">
        <f t="shared" si="193"/>
        <v>416.97</v>
      </c>
      <c r="L454" s="510">
        <f t="shared" si="194"/>
        <v>112.29</v>
      </c>
      <c r="M454" s="519"/>
      <c r="N454" s="519"/>
      <c r="O454" s="519"/>
      <c r="P454" s="519"/>
      <c r="Q454" s="519"/>
      <c r="R454" s="519"/>
      <c r="S454" s="519"/>
      <c r="T454" s="519">
        <f t="shared" si="187"/>
        <v>26.463000000000001</v>
      </c>
      <c r="U454" s="519"/>
      <c r="V454" s="519">
        <f t="shared" si="188"/>
        <v>52.926000000000002</v>
      </c>
      <c r="W454" s="519">
        <f t="shared" si="189"/>
        <v>79.388999999999996</v>
      </c>
      <c r="X454" s="519">
        <f t="shared" si="190"/>
        <v>105.852</v>
      </c>
      <c r="Y454" s="519">
        <f t="shared" si="191"/>
        <v>158.77799999999999</v>
      </c>
      <c r="Z454" s="519">
        <f t="shared" si="192"/>
        <v>105.852</v>
      </c>
    </row>
    <row r="455" spans="1:26" s="512" customFormat="1" ht="30">
      <c r="A455" s="338" t="s">
        <v>8347</v>
      </c>
      <c r="B455" s="576" t="s">
        <v>5256</v>
      </c>
      <c r="C455" s="576">
        <v>92872</v>
      </c>
      <c r="D455" s="336" t="s">
        <v>7259</v>
      </c>
      <c r="E455" s="341">
        <v>120</v>
      </c>
      <c r="F455" s="342" t="s">
        <v>6337</v>
      </c>
      <c r="G455" s="352">
        <v>8.1999999999999993</v>
      </c>
      <c r="H455" s="339">
        <f t="shared" si="195"/>
        <v>2.21</v>
      </c>
      <c r="I455" s="339">
        <f t="shared" si="196"/>
        <v>10.41</v>
      </c>
      <c r="J455" s="431">
        <f t="shared" si="197"/>
        <v>1249.2</v>
      </c>
      <c r="K455" s="510">
        <f t="shared" si="193"/>
        <v>984</v>
      </c>
      <c r="L455" s="510">
        <f t="shared" si="194"/>
        <v>265.2</v>
      </c>
      <c r="M455" s="519"/>
      <c r="N455" s="519"/>
      <c r="O455" s="519"/>
      <c r="P455" s="519"/>
      <c r="Q455" s="519"/>
      <c r="R455" s="519"/>
      <c r="S455" s="519"/>
      <c r="T455" s="519">
        <f t="shared" si="187"/>
        <v>62.460000000000008</v>
      </c>
      <c r="U455" s="519"/>
      <c r="V455" s="519">
        <f t="shared" si="188"/>
        <v>124.92000000000002</v>
      </c>
      <c r="W455" s="519">
        <f t="shared" si="189"/>
        <v>187.38</v>
      </c>
      <c r="X455" s="519">
        <f t="shared" si="190"/>
        <v>249.84000000000003</v>
      </c>
      <c r="Y455" s="519">
        <f t="shared" si="191"/>
        <v>374.76</v>
      </c>
      <c r="Z455" s="519">
        <f t="shared" si="192"/>
        <v>249.84000000000003</v>
      </c>
    </row>
    <row r="456" spans="1:26" s="512" customFormat="1" ht="15">
      <c r="A456" s="338" t="s">
        <v>8348</v>
      </c>
      <c r="B456" s="576" t="s">
        <v>5256</v>
      </c>
      <c r="C456" s="576">
        <v>92866</v>
      </c>
      <c r="D456" s="336" t="s">
        <v>7260</v>
      </c>
      <c r="E456" s="341">
        <v>30</v>
      </c>
      <c r="F456" s="342" t="s">
        <v>6337</v>
      </c>
      <c r="G456" s="352">
        <v>5.63</v>
      </c>
      <c r="H456" s="339">
        <f t="shared" si="195"/>
        <v>1.52</v>
      </c>
      <c r="I456" s="339">
        <f t="shared" si="196"/>
        <v>7.15</v>
      </c>
      <c r="J456" s="431">
        <f t="shared" si="197"/>
        <v>214.5</v>
      </c>
      <c r="K456" s="510">
        <f t="shared" si="193"/>
        <v>168.9</v>
      </c>
      <c r="L456" s="510">
        <f t="shared" si="194"/>
        <v>45.6</v>
      </c>
      <c r="M456" s="519"/>
      <c r="N456" s="519"/>
      <c r="O456" s="519"/>
      <c r="P456" s="519"/>
      <c r="Q456" s="519"/>
      <c r="R456" s="519"/>
      <c r="S456" s="519"/>
      <c r="T456" s="519">
        <f t="shared" si="187"/>
        <v>10.725000000000001</v>
      </c>
      <c r="U456" s="519"/>
      <c r="V456" s="519">
        <f t="shared" si="188"/>
        <v>21.450000000000003</v>
      </c>
      <c r="W456" s="519">
        <f t="shared" si="189"/>
        <v>32.174999999999997</v>
      </c>
      <c r="X456" s="519">
        <f t="shared" si="190"/>
        <v>42.900000000000006</v>
      </c>
      <c r="Y456" s="519">
        <f t="shared" si="191"/>
        <v>64.349999999999994</v>
      </c>
      <c r="Z456" s="519">
        <f t="shared" si="192"/>
        <v>42.900000000000006</v>
      </c>
    </row>
    <row r="457" spans="1:26" s="512" customFormat="1" ht="15">
      <c r="A457" s="338" t="s">
        <v>8349</v>
      </c>
      <c r="B457" s="576" t="s">
        <v>5256</v>
      </c>
      <c r="C457" s="576">
        <v>92865</v>
      </c>
      <c r="D457" s="336" t="s">
        <v>7261</v>
      </c>
      <c r="E457" s="341">
        <v>380</v>
      </c>
      <c r="F457" s="342" t="s">
        <v>6337</v>
      </c>
      <c r="G457" s="352">
        <v>7.14</v>
      </c>
      <c r="H457" s="339">
        <f t="shared" si="195"/>
        <v>1.92</v>
      </c>
      <c r="I457" s="339">
        <f t="shared" si="196"/>
        <v>9.0599999999999987</v>
      </c>
      <c r="J457" s="431">
        <f t="shared" si="197"/>
        <v>3442.8</v>
      </c>
      <c r="K457" s="510">
        <f t="shared" si="193"/>
        <v>2713.2</v>
      </c>
      <c r="L457" s="510">
        <f t="shared" si="194"/>
        <v>729.6</v>
      </c>
      <c r="M457" s="519"/>
      <c r="N457" s="519"/>
      <c r="O457" s="519"/>
      <c r="P457" s="519"/>
      <c r="Q457" s="519"/>
      <c r="R457" s="519"/>
      <c r="S457" s="519"/>
      <c r="T457" s="519">
        <f t="shared" si="187"/>
        <v>172.14000000000001</v>
      </c>
      <c r="U457" s="519"/>
      <c r="V457" s="519">
        <f t="shared" si="188"/>
        <v>344.28000000000003</v>
      </c>
      <c r="W457" s="519">
        <f t="shared" si="189"/>
        <v>516.41999999999996</v>
      </c>
      <c r="X457" s="519">
        <f t="shared" si="190"/>
        <v>688.56000000000006</v>
      </c>
      <c r="Y457" s="519">
        <f t="shared" si="191"/>
        <v>1032.8399999999999</v>
      </c>
      <c r="Z457" s="519">
        <f t="shared" si="192"/>
        <v>688.56000000000006</v>
      </c>
    </row>
    <row r="458" spans="1:26" s="512" customFormat="1" ht="15">
      <c r="A458" s="338" t="s">
        <v>8350</v>
      </c>
      <c r="B458" s="576" t="s">
        <v>5256</v>
      </c>
      <c r="C458" s="576">
        <v>91936</v>
      </c>
      <c r="D458" s="336" t="s">
        <v>7262</v>
      </c>
      <c r="E458" s="341">
        <v>20</v>
      </c>
      <c r="F458" s="342" t="s">
        <v>6337</v>
      </c>
      <c r="G458" s="352">
        <v>7.24</v>
      </c>
      <c r="H458" s="339">
        <f t="shared" si="195"/>
        <v>1.95</v>
      </c>
      <c r="I458" s="339">
        <f t="shared" si="196"/>
        <v>9.19</v>
      </c>
      <c r="J458" s="431">
        <f t="shared" si="197"/>
        <v>183.8</v>
      </c>
      <c r="K458" s="510">
        <f t="shared" si="193"/>
        <v>144.80000000000001</v>
      </c>
      <c r="L458" s="510">
        <f t="shared" si="194"/>
        <v>39</v>
      </c>
      <c r="M458" s="519"/>
      <c r="N458" s="519"/>
      <c r="O458" s="519"/>
      <c r="P458" s="519"/>
      <c r="Q458" s="519"/>
      <c r="R458" s="519"/>
      <c r="S458" s="519"/>
      <c r="T458" s="519">
        <f t="shared" si="187"/>
        <v>9.1900000000000013</v>
      </c>
      <c r="U458" s="519"/>
      <c r="V458" s="519">
        <f t="shared" si="188"/>
        <v>18.380000000000003</v>
      </c>
      <c r="W458" s="519">
        <f t="shared" si="189"/>
        <v>27.57</v>
      </c>
      <c r="X458" s="519">
        <f t="shared" si="190"/>
        <v>36.760000000000005</v>
      </c>
      <c r="Y458" s="519">
        <f t="shared" si="191"/>
        <v>55.14</v>
      </c>
      <c r="Z458" s="519">
        <f t="shared" si="192"/>
        <v>36.760000000000005</v>
      </c>
    </row>
    <row r="459" spans="1:26" s="512" customFormat="1" ht="30">
      <c r="A459" s="338" t="s">
        <v>8351</v>
      </c>
      <c r="B459" s="576" t="s">
        <v>7236</v>
      </c>
      <c r="C459" s="576">
        <v>83448</v>
      </c>
      <c r="D459" s="336" t="s">
        <v>7263</v>
      </c>
      <c r="E459" s="341">
        <v>4</v>
      </c>
      <c r="F459" s="342" t="s">
        <v>6337</v>
      </c>
      <c r="G459" s="352">
        <v>191.55</v>
      </c>
      <c r="H459" s="339">
        <f t="shared" si="195"/>
        <v>51.58</v>
      </c>
      <c r="I459" s="339">
        <f t="shared" si="196"/>
        <v>243.13</v>
      </c>
      <c r="J459" s="431">
        <f t="shared" si="197"/>
        <v>972.52</v>
      </c>
      <c r="K459" s="510">
        <f t="shared" si="193"/>
        <v>766.2</v>
      </c>
      <c r="L459" s="510">
        <f t="shared" si="194"/>
        <v>206.32</v>
      </c>
      <c r="M459" s="519"/>
      <c r="N459" s="519"/>
      <c r="O459" s="519"/>
      <c r="P459" s="519"/>
      <c r="Q459" s="519"/>
      <c r="R459" s="519"/>
      <c r="S459" s="519"/>
      <c r="T459" s="519">
        <f t="shared" si="187"/>
        <v>48.626000000000005</v>
      </c>
      <c r="U459" s="519"/>
      <c r="V459" s="519">
        <f t="shared" si="188"/>
        <v>97.25200000000001</v>
      </c>
      <c r="W459" s="519">
        <f t="shared" si="189"/>
        <v>145.87799999999999</v>
      </c>
      <c r="X459" s="519">
        <f t="shared" si="190"/>
        <v>194.50400000000002</v>
      </c>
      <c r="Y459" s="519">
        <f t="shared" si="191"/>
        <v>291.75599999999997</v>
      </c>
      <c r="Z459" s="519">
        <f t="shared" si="192"/>
        <v>194.50400000000002</v>
      </c>
    </row>
    <row r="460" spans="1:26" s="512" customFormat="1" ht="30">
      <c r="A460" s="338" t="s">
        <v>8352</v>
      </c>
      <c r="B460" s="576" t="s">
        <v>7236</v>
      </c>
      <c r="C460" s="576">
        <v>83450</v>
      </c>
      <c r="D460" s="336" t="s">
        <v>7264</v>
      </c>
      <c r="E460" s="341">
        <v>2</v>
      </c>
      <c r="F460" s="342" t="s">
        <v>6337</v>
      </c>
      <c r="G460" s="352">
        <v>269.87</v>
      </c>
      <c r="H460" s="339">
        <f t="shared" si="195"/>
        <v>72.680000000000007</v>
      </c>
      <c r="I460" s="339">
        <f t="shared" si="196"/>
        <v>342.55</v>
      </c>
      <c r="J460" s="431">
        <f t="shared" si="197"/>
        <v>685.1</v>
      </c>
      <c r="K460" s="510">
        <f t="shared" si="193"/>
        <v>539.74</v>
      </c>
      <c r="L460" s="510">
        <f t="shared" si="194"/>
        <v>145.36000000000001</v>
      </c>
      <c r="M460" s="519"/>
      <c r="N460" s="519"/>
      <c r="O460" s="519"/>
      <c r="P460" s="519"/>
      <c r="Q460" s="519"/>
      <c r="R460" s="519"/>
      <c r="S460" s="519"/>
      <c r="T460" s="519">
        <f t="shared" si="187"/>
        <v>34.255000000000003</v>
      </c>
      <c r="U460" s="519"/>
      <c r="V460" s="519">
        <f t="shared" si="188"/>
        <v>68.510000000000005</v>
      </c>
      <c r="W460" s="519">
        <f t="shared" si="189"/>
        <v>102.765</v>
      </c>
      <c r="X460" s="519">
        <f t="shared" si="190"/>
        <v>137.02000000000001</v>
      </c>
      <c r="Y460" s="519">
        <f t="shared" si="191"/>
        <v>205.53</v>
      </c>
      <c r="Z460" s="519">
        <f t="shared" si="192"/>
        <v>137.02000000000001</v>
      </c>
    </row>
    <row r="461" spans="1:26" s="512" customFormat="1" ht="30">
      <c r="A461" s="338" t="s">
        <v>8353</v>
      </c>
      <c r="B461" s="576" t="s">
        <v>5256</v>
      </c>
      <c r="C461" s="576">
        <v>93654</v>
      </c>
      <c r="D461" s="336" t="s">
        <v>7265</v>
      </c>
      <c r="E461" s="341">
        <v>221</v>
      </c>
      <c r="F461" s="342" t="s">
        <v>6337</v>
      </c>
      <c r="G461" s="352">
        <v>8.49</v>
      </c>
      <c r="H461" s="339">
        <f t="shared" si="195"/>
        <v>2.29</v>
      </c>
      <c r="I461" s="339">
        <f t="shared" si="196"/>
        <v>10.780000000000001</v>
      </c>
      <c r="J461" s="431">
        <f t="shared" si="197"/>
        <v>2382.38</v>
      </c>
      <c r="K461" s="510">
        <f t="shared" si="193"/>
        <v>1876.29</v>
      </c>
      <c r="L461" s="510">
        <f t="shared" si="194"/>
        <v>506.09</v>
      </c>
      <c r="M461" s="519"/>
      <c r="N461" s="519"/>
      <c r="O461" s="519"/>
      <c r="P461" s="519"/>
      <c r="Q461" s="519"/>
      <c r="R461" s="519"/>
      <c r="S461" s="519"/>
      <c r="T461" s="519">
        <f t="shared" si="187"/>
        <v>119.11900000000001</v>
      </c>
      <c r="U461" s="519"/>
      <c r="V461" s="519">
        <f t="shared" si="188"/>
        <v>238.23800000000003</v>
      </c>
      <c r="W461" s="519">
        <f t="shared" si="189"/>
        <v>357.35700000000003</v>
      </c>
      <c r="X461" s="519">
        <f t="shared" si="190"/>
        <v>476.47600000000006</v>
      </c>
      <c r="Y461" s="519">
        <f t="shared" si="191"/>
        <v>714.71400000000006</v>
      </c>
      <c r="Z461" s="519">
        <f t="shared" si="192"/>
        <v>476.47600000000006</v>
      </c>
    </row>
    <row r="462" spans="1:26" s="512" customFormat="1" ht="30">
      <c r="A462" s="338" t="s">
        <v>8354</v>
      </c>
      <c r="B462" s="576" t="s">
        <v>5256</v>
      </c>
      <c r="C462" s="576">
        <v>93655</v>
      </c>
      <c r="D462" s="336" t="s">
        <v>7266</v>
      </c>
      <c r="E462" s="341">
        <v>119</v>
      </c>
      <c r="F462" s="342" t="s">
        <v>6337</v>
      </c>
      <c r="G462" s="352">
        <v>9.14</v>
      </c>
      <c r="H462" s="339">
        <f t="shared" si="195"/>
        <v>2.46</v>
      </c>
      <c r="I462" s="339">
        <f t="shared" si="196"/>
        <v>11.600000000000001</v>
      </c>
      <c r="J462" s="431">
        <f t="shared" si="197"/>
        <v>1380.4</v>
      </c>
      <c r="K462" s="510">
        <f t="shared" si="193"/>
        <v>1087.6600000000001</v>
      </c>
      <c r="L462" s="510">
        <f t="shared" si="194"/>
        <v>292.74</v>
      </c>
      <c r="M462" s="519"/>
      <c r="N462" s="519"/>
      <c r="O462" s="519"/>
      <c r="P462" s="519"/>
      <c r="Q462" s="519"/>
      <c r="R462" s="519"/>
      <c r="S462" s="519"/>
      <c r="T462" s="519">
        <f t="shared" si="187"/>
        <v>69.02000000000001</v>
      </c>
      <c r="U462" s="519"/>
      <c r="V462" s="519">
        <f t="shared" si="188"/>
        <v>138.04000000000002</v>
      </c>
      <c r="W462" s="519">
        <f t="shared" si="189"/>
        <v>207.06</v>
      </c>
      <c r="X462" s="519">
        <f t="shared" si="190"/>
        <v>276.08000000000004</v>
      </c>
      <c r="Y462" s="519">
        <f t="shared" si="191"/>
        <v>414.12</v>
      </c>
      <c r="Z462" s="519">
        <f t="shared" si="192"/>
        <v>276.08000000000004</v>
      </c>
    </row>
    <row r="463" spans="1:26" s="512" customFormat="1" ht="30">
      <c r="A463" s="338" t="s">
        <v>8355</v>
      </c>
      <c r="B463" s="576" t="s">
        <v>5256</v>
      </c>
      <c r="C463" s="576">
        <v>93657</v>
      </c>
      <c r="D463" s="336" t="s">
        <v>7267</v>
      </c>
      <c r="E463" s="341">
        <v>20</v>
      </c>
      <c r="F463" s="342" t="s">
        <v>6337</v>
      </c>
      <c r="G463" s="352">
        <v>9.9499999999999993</v>
      </c>
      <c r="H463" s="339">
        <f t="shared" si="195"/>
        <v>2.68</v>
      </c>
      <c r="I463" s="339">
        <f t="shared" si="196"/>
        <v>12.629999999999999</v>
      </c>
      <c r="J463" s="431">
        <f t="shared" si="197"/>
        <v>252.6</v>
      </c>
      <c r="K463" s="510">
        <f t="shared" si="193"/>
        <v>199</v>
      </c>
      <c r="L463" s="510">
        <f t="shared" si="194"/>
        <v>53.6</v>
      </c>
      <c r="M463" s="519"/>
      <c r="N463" s="519"/>
      <c r="O463" s="519"/>
      <c r="P463" s="519"/>
      <c r="Q463" s="519"/>
      <c r="R463" s="519"/>
      <c r="S463" s="519"/>
      <c r="T463" s="519">
        <f t="shared" si="187"/>
        <v>12.63</v>
      </c>
      <c r="U463" s="519"/>
      <c r="V463" s="519">
        <f t="shared" si="188"/>
        <v>25.26</v>
      </c>
      <c r="W463" s="519">
        <f t="shared" si="189"/>
        <v>37.89</v>
      </c>
      <c r="X463" s="519">
        <f t="shared" si="190"/>
        <v>50.52</v>
      </c>
      <c r="Y463" s="519">
        <f t="shared" si="191"/>
        <v>75.78</v>
      </c>
      <c r="Z463" s="519">
        <f t="shared" si="192"/>
        <v>50.52</v>
      </c>
    </row>
    <row r="464" spans="1:26" s="512" customFormat="1" ht="30">
      <c r="A464" s="338" t="s">
        <v>8356</v>
      </c>
      <c r="B464" s="576" t="s">
        <v>5256</v>
      </c>
      <c r="C464" s="576">
        <v>93658</v>
      </c>
      <c r="D464" s="336" t="s">
        <v>7268</v>
      </c>
      <c r="E464" s="341">
        <v>14</v>
      </c>
      <c r="F464" s="342" t="s">
        <v>6337</v>
      </c>
      <c r="G464" s="352">
        <v>14.48</v>
      </c>
      <c r="H464" s="339">
        <f t="shared" si="195"/>
        <v>3.9</v>
      </c>
      <c r="I464" s="339">
        <f t="shared" si="196"/>
        <v>18.38</v>
      </c>
      <c r="J464" s="431">
        <f t="shared" si="197"/>
        <v>257.32</v>
      </c>
      <c r="K464" s="510">
        <f t="shared" si="193"/>
        <v>202.72</v>
      </c>
      <c r="L464" s="510">
        <f t="shared" si="194"/>
        <v>54.6</v>
      </c>
      <c r="M464" s="519"/>
      <c r="N464" s="519"/>
      <c r="O464" s="519"/>
      <c r="P464" s="519"/>
      <c r="Q464" s="519"/>
      <c r="R464" s="519"/>
      <c r="S464" s="519"/>
      <c r="T464" s="519">
        <f t="shared" si="187"/>
        <v>12.866</v>
      </c>
      <c r="U464" s="519"/>
      <c r="V464" s="519">
        <f t="shared" si="188"/>
        <v>25.731999999999999</v>
      </c>
      <c r="W464" s="519">
        <f t="shared" si="189"/>
        <v>38.597999999999999</v>
      </c>
      <c r="X464" s="519">
        <f t="shared" si="190"/>
        <v>51.463999999999999</v>
      </c>
      <c r="Y464" s="519">
        <f t="shared" si="191"/>
        <v>77.195999999999998</v>
      </c>
      <c r="Z464" s="519">
        <f t="shared" si="192"/>
        <v>51.463999999999999</v>
      </c>
    </row>
    <row r="465" spans="1:26" s="512" customFormat="1" ht="30">
      <c r="A465" s="338" t="s">
        <v>8357</v>
      </c>
      <c r="B465" s="576" t="s">
        <v>5256</v>
      </c>
      <c r="C465" s="576">
        <v>93659</v>
      </c>
      <c r="D465" s="336" t="s">
        <v>7269</v>
      </c>
      <c r="E465" s="341">
        <v>2</v>
      </c>
      <c r="F465" s="342" t="s">
        <v>6337</v>
      </c>
      <c r="G465" s="352">
        <v>16.149999999999999</v>
      </c>
      <c r="H465" s="339">
        <f t="shared" si="195"/>
        <v>4.3499999999999996</v>
      </c>
      <c r="I465" s="339">
        <f t="shared" si="196"/>
        <v>20.5</v>
      </c>
      <c r="J465" s="431">
        <f t="shared" si="197"/>
        <v>41</v>
      </c>
      <c r="K465" s="510">
        <f t="shared" si="193"/>
        <v>32.299999999999997</v>
      </c>
      <c r="L465" s="510">
        <f t="shared" si="194"/>
        <v>8.6999999999999993</v>
      </c>
      <c r="M465" s="519"/>
      <c r="N465" s="519"/>
      <c r="O465" s="519"/>
      <c r="P465" s="519"/>
      <c r="Q465" s="519"/>
      <c r="R465" s="519"/>
      <c r="S465" s="519"/>
      <c r="T465" s="519">
        <f t="shared" si="187"/>
        <v>2.0500000000000003</v>
      </c>
      <c r="U465" s="519"/>
      <c r="V465" s="519">
        <f t="shared" si="188"/>
        <v>4.1000000000000005</v>
      </c>
      <c r="W465" s="519">
        <f t="shared" si="189"/>
        <v>6.1499999999999995</v>
      </c>
      <c r="X465" s="519">
        <f t="shared" si="190"/>
        <v>8.2000000000000011</v>
      </c>
      <c r="Y465" s="519">
        <f t="shared" si="191"/>
        <v>12.299999999999999</v>
      </c>
      <c r="Z465" s="519">
        <f t="shared" si="192"/>
        <v>8.2000000000000011</v>
      </c>
    </row>
    <row r="466" spans="1:26" s="512" customFormat="1" ht="30">
      <c r="A466" s="338" t="s">
        <v>8358</v>
      </c>
      <c r="B466" s="576" t="s">
        <v>5256</v>
      </c>
      <c r="C466" s="576">
        <v>93669</v>
      </c>
      <c r="D466" s="336" t="s">
        <v>8383</v>
      </c>
      <c r="E466" s="341">
        <v>3</v>
      </c>
      <c r="F466" s="342" t="s">
        <v>6337</v>
      </c>
      <c r="G466" s="352">
        <v>54.39</v>
      </c>
      <c r="H466" s="339">
        <f t="shared" si="195"/>
        <v>14.65</v>
      </c>
      <c r="I466" s="339">
        <f t="shared" si="196"/>
        <v>69.040000000000006</v>
      </c>
      <c r="J466" s="431">
        <f t="shared" si="197"/>
        <v>207.12</v>
      </c>
      <c r="K466" s="510">
        <f t="shared" si="193"/>
        <v>163.16999999999999</v>
      </c>
      <c r="L466" s="510">
        <f t="shared" si="194"/>
        <v>43.95</v>
      </c>
      <c r="M466" s="519"/>
      <c r="N466" s="519"/>
      <c r="O466" s="519"/>
      <c r="P466" s="519"/>
      <c r="Q466" s="519"/>
      <c r="R466" s="519"/>
      <c r="S466" s="519"/>
      <c r="T466" s="519">
        <f t="shared" si="187"/>
        <v>10.356000000000002</v>
      </c>
      <c r="U466" s="519"/>
      <c r="V466" s="519">
        <f t="shared" si="188"/>
        <v>20.712000000000003</v>
      </c>
      <c r="W466" s="519">
        <f t="shared" si="189"/>
        <v>31.067999999999998</v>
      </c>
      <c r="X466" s="519">
        <f t="shared" si="190"/>
        <v>41.424000000000007</v>
      </c>
      <c r="Y466" s="519">
        <f t="shared" si="191"/>
        <v>62.135999999999996</v>
      </c>
      <c r="Z466" s="519">
        <f t="shared" si="192"/>
        <v>41.424000000000007</v>
      </c>
    </row>
    <row r="467" spans="1:26" s="512" customFormat="1" ht="30">
      <c r="A467" s="338" t="s">
        <v>8359</v>
      </c>
      <c r="B467" s="576" t="s">
        <v>5256</v>
      </c>
      <c r="C467" s="576">
        <v>93669</v>
      </c>
      <c r="D467" s="336" t="s">
        <v>8387</v>
      </c>
      <c r="E467" s="341">
        <v>5</v>
      </c>
      <c r="F467" s="342" t="s">
        <v>6337</v>
      </c>
      <c r="G467" s="352">
        <v>54.39</v>
      </c>
      <c r="H467" s="339">
        <f t="shared" si="195"/>
        <v>14.65</v>
      </c>
      <c r="I467" s="339">
        <f t="shared" si="196"/>
        <v>69.040000000000006</v>
      </c>
      <c r="J467" s="431">
        <f t="shared" si="197"/>
        <v>345.2</v>
      </c>
      <c r="K467" s="510">
        <f t="shared" si="193"/>
        <v>271.95</v>
      </c>
      <c r="L467" s="510">
        <f t="shared" si="194"/>
        <v>73.25</v>
      </c>
      <c r="M467" s="519"/>
      <c r="N467" s="519"/>
      <c r="O467" s="519"/>
      <c r="P467" s="519"/>
      <c r="Q467" s="519"/>
      <c r="R467" s="519"/>
      <c r="S467" s="519"/>
      <c r="T467" s="519">
        <f t="shared" si="187"/>
        <v>17.260000000000002</v>
      </c>
      <c r="U467" s="519"/>
      <c r="V467" s="519">
        <f t="shared" si="188"/>
        <v>34.520000000000003</v>
      </c>
      <c r="W467" s="519">
        <f t="shared" si="189"/>
        <v>51.779999999999994</v>
      </c>
      <c r="X467" s="519">
        <f t="shared" si="190"/>
        <v>69.040000000000006</v>
      </c>
      <c r="Y467" s="519">
        <f t="shared" si="191"/>
        <v>103.55999999999999</v>
      </c>
      <c r="Z467" s="519">
        <f t="shared" si="192"/>
        <v>69.040000000000006</v>
      </c>
    </row>
    <row r="468" spans="1:26" s="512" customFormat="1" ht="30">
      <c r="A468" s="338" t="s">
        <v>8360</v>
      </c>
      <c r="B468" s="576" t="s">
        <v>5256</v>
      </c>
      <c r="C468" s="576">
        <v>93671</v>
      </c>
      <c r="D468" s="336" t="s">
        <v>8384</v>
      </c>
      <c r="E468" s="341">
        <v>10</v>
      </c>
      <c r="F468" s="342" t="s">
        <v>6337</v>
      </c>
      <c r="G468" s="352">
        <v>56.81</v>
      </c>
      <c r="H468" s="339">
        <f t="shared" si="195"/>
        <v>15.3</v>
      </c>
      <c r="I468" s="339">
        <f t="shared" si="196"/>
        <v>72.11</v>
      </c>
      <c r="J468" s="431">
        <f t="shared" si="197"/>
        <v>721.1</v>
      </c>
      <c r="K468" s="510">
        <f t="shared" si="193"/>
        <v>568.1</v>
      </c>
      <c r="L468" s="510">
        <f t="shared" si="194"/>
        <v>153</v>
      </c>
      <c r="M468" s="519"/>
      <c r="N468" s="519"/>
      <c r="O468" s="519"/>
      <c r="P468" s="519"/>
      <c r="Q468" s="519"/>
      <c r="R468" s="519"/>
      <c r="S468" s="519"/>
      <c r="T468" s="519">
        <f t="shared" si="187"/>
        <v>36.055</v>
      </c>
      <c r="U468" s="519"/>
      <c r="V468" s="519">
        <f t="shared" si="188"/>
        <v>72.11</v>
      </c>
      <c r="W468" s="519">
        <f t="shared" si="189"/>
        <v>108.16500000000001</v>
      </c>
      <c r="X468" s="519">
        <f t="shared" si="190"/>
        <v>144.22</v>
      </c>
      <c r="Y468" s="519">
        <f t="shared" si="191"/>
        <v>216.33</v>
      </c>
      <c r="Z468" s="519">
        <f t="shared" si="192"/>
        <v>144.22</v>
      </c>
    </row>
    <row r="469" spans="1:26" s="512" customFormat="1" ht="30">
      <c r="A469" s="338" t="s">
        <v>8361</v>
      </c>
      <c r="B469" s="576" t="s">
        <v>5256</v>
      </c>
      <c r="C469" s="576">
        <v>93671</v>
      </c>
      <c r="D469" s="336" t="s">
        <v>8388</v>
      </c>
      <c r="E469" s="341">
        <v>14</v>
      </c>
      <c r="F469" s="342" t="s">
        <v>6337</v>
      </c>
      <c r="G469" s="352">
        <v>56.81</v>
      </c>
      <c r="H469" s="339">
        <f t="shared" si="195"/>
        <v>15.3</v>
      </c>
      <c r="I469" s="339">
        <f t="shared" si="196"/>
        <v>72.11</v>
      </c>
      <c r="J469" s="431">
        <f t="shared" si="197"/>
        <v>1009.54</v>
      </c>
      <c r="K469" s="510">
        <f t="shared" si="193"/>
        <v>795.34</v>
      </c>
      <c r="L469" s="510">
        <f t="shared" si="194"/>
        <v>214.2</v>
      </c>
      <c r="M469" s="519"/>
      <c r="N469" s="519"/>
      <c r="O469" s="519"/>
      <c r="P469" s="519"/>
      <c r="Q469" s="519"/>
      <c r="R469" s="519"/>
      <c r="S469" s="519"/>
      <c r="T469" s="519">
        <f t="shared" si="187"/>
        <v>50.477000000000004</v>
      </c>
      <c r="U469" s="519"/>
      <c r="V469" s="519">
        <f t="shared" si="188"/>
        <v>100.95400000000001</v>
      </c>
      <c r="W469" s="519">
        <f t="shared" si="189"/>
        <v>151.43099999999998</v>
      </c>
      <c r="X469" s="519">
        <f t="shared" si="190"/>
        <v>201.90800000000002</v>
      </c>
      <c r="Y469" s="519">
        <f t="shared" si="191"/>
        <v>302.86199999999997</v>
      </c>
      <c r="Z469" s="519">
        <f t="shared" si="192"/>
        <v>201.90800000000002</v>
      </c>
    </row>
    <row r="470" spans="1:26" s="512" customFormat="1" ht="30">
      <c r="A470" s="338" t="s">
        <v>8362</v>
      </c>
      <c r="B470" s="576" t="s">
        <v>5256</v>
      </c>
      <c r="C470" s="576">
        <v>93672</v>
      </c>
      <c r="D470" s="336" t="s">
        <v>8385</v>
      </c>
      <c r="E470" s="341">
        <v>5</v>
      </c>
      <c r="F470" s="342" t="s">
        <v>6337</v>
      </c>
      <c r="G470" s="352">
        <v>60.73</v>
      </c>
      <c r="H470" s="339">
        <f t="shared" si="195"/>
        <v>16.350000000000001</v>
      </c>
      <c r="I470" s="339">
        <f t="shared" si="196"/>
        <v>77.08</v>
      </c>
      <c r="J470" s="431">
        <f t="shared" si="197"/>
        <v>385.4</v>
      </c>
      <c r="K470" s="510">
        <f t="shared" si="193"/>
        <v>303.64999999999998</v>
      </c>
      <c r="L470" s="510">
        <f t="shared" si="194"/>
        <v>81.75</v>
      </c>
      <c r="M470" s="519"/>
      <c r="N470" s="519"/>
      <c r="O470" s="519"/>
      <c r="P470" s="519"/>
      <c r="Q470" s="519"/>
      <c r="R470" s="519"/>
      <c r="S470" s="519"/>
      <c r="T470" s="519">
        <f t="shared" si="187"/>
        <v>19.27</v>
      </c>
      <c r="U470" s="519"/>
      <c r="V470" s="519">
        <f t="shared" si="188"/>
        <v>38.54</v>
      </c>
      <c r="W470" s="519">
        <f t="shared" si="189"/>
        <v>57.809999999999995</v>
      </c>
      <c r="X470" s="519">
        <f t="shared" si="190"/>
        <v>77.08</v>
      </c>
      <c r="Y470" s="519">
        <f t="shared" si="191"/>
        <v>115.61999999999999</v>
      </c>
      <c r="Z470" s="519">
        <f t="shared" si="192"/>
        <v>77.08</v>
      </c>
    </row>
    <row r="471" spans="1:26" s="512" customFormat="1" ht="30">
      <c r="A471" s="338" t="s">
        <v>8363</v>
      </c>
      <c r="B471" s="576" t="s">
        <v>5256</v>
      </c>
      <c r="C471" s="576">
        <v>93672</v>
      </c>
      <c r="D471" s="336" t="s">
        <v>8389</v>
      </c>
      <c r="E471" s="341">
        <v>4</v>
      </c>
      <c r="F471" s="342" t="s">
        <v>6337</v>
      </c>
      <c r="G471" s="352">
        <v>60.73</v>
      </c>
      <c r="H471" s="339">
        <f t="shared" si="195"/>
        <v>16.350000000000001</v>
      </c>
      <c r="I471" s="339">
        <f t="shared" si="196"/>
        <v>77.08</v>
      </c>
      <c r="J471" s="431">
        <f t="shared" si="197"/>
        <v>308.32</v>
      </c>
      <c r="K471" s="510">
        <f t="shared" si="193"/>
        <v>242.92</v>
      </c>
      <c r="L471" s="510">
        <f t="shared" si="194"/>
        <v>65.400000000000006</v>
      </c>
      <c r="M471" s="519"/>
      <c r="N471" s="519"/>
      <c r="O471" s="519"/>
      <c r="P471" s="519"/>
      <c r="Q471" s="519"/>
      <c r="R471" s="519"/>
      <c r="S471" s="519"/>
      <c r="T471" s="519">
        <f t="shared" si="187"/>
        <v>15.416</v>
      </c>
      <c r="U471" s="519"/>
      <c r="V471" s="519">
        <f t="shared" si="188"/>
        <v>30.832000000000001</v>
      </c>
      <c r="W471" s="519">
        <f t="shared" si="189"/>
        <v>46.247999999999998</v>
      </c>
      <c r="X471" s="519">
        <f t="shared" si="190"/>
        <v>61.664000000000001</v>
      </c>
      <c r="Y471" s="519">
        <f t="shared" si="191"/>
        <v>92.495999999999995</v>
      </c>
      <c r="Z471" s="519">
        <f t="shared" si="192"/>
        <v>61.664000000000001</v>
      </c>
    </row>
    <row r="472" spans="1:26" s="512" customFormat="1" ht="30">
      <c r="A472" s="338" t="s">
        <v>8364</v>
      </c>
      <c r="B472" s="576" t="s">
        <v>6333</v>
      </c>
      <c r="C472" s="576">
        <v>452</v>
      </c>
      <c r="D472" s="336" t="s">
        <v>8386</v>
      </c>
      <c r="E472" s="341">
        <v>3</v>
      </c>
      <c r="F472" s="342" t="s">
        <v>6337</v>
      </c>
      <c r="G472" s="352">
        <v>83.38</v>
      </c>
      <c r="H472" s="339">
        <f t="shared" si="195"/>
        <v>22.45</v>
      </c>
      <c r="I472" s="339">
        <f t="shared" si="196"/>
        <v>105.83</v>
      </c>
      <c r="J472" s="431">
        <f t="shared" si="197"/>
        <v>317.49</v>
      </c>
      <c r="K472" s="510">
        <f t="shared" si="193"/>
        <v>250.14</v>
      </c>
      <c r="L472" s="510">
        <f t="shared" si="194"/>
        <v>67.349999999999994</v>
      </c>
      <c r="M472" s="519"/>
      <c r="N472" s="519"/>
      <c r="O472" s="519"/>
      <c r="P472" s="519"/>
      <c r="Q472" s="519"/>
      <c r="R472" s="519"/>
      <c r="S472" s="519"/>
      <c r="T472" s="519">
        <f t="shared" si="187"/>
        <v>15.874500000000001</v>
      </c>
      <c r="U472" s="519"/>
      <c r="V472" s="519">
        <f t="shared" si="188"/>
        <v>31.749000000000002</v>
      </c>
      <c r="W472" s="519">
        <f t="shared" si="189"/>
        <v>47.6235</v>
      </c>
      <c r="X472" s="519">
        <f t="shared" si="190"/>
        <v>63.498000000000005</v>
      </c>
      <c r="Y472" s="519">
        <f t="shared" si="191"/>
        <v>95.247</v>
      </c>
      <c r="Z472" s="519">
        <f t="shared" si="192"/>
        <v>63.498000000000005</v>
      </c>
    </row>
    <row r="473" spans="1:26" s="512" customFormat="1" ht="30">
      <c r="A473" s="338" t="s">
        <v>8365</v>
      </c>
      <c r="B473" s="576" t="s">
        <v>6333</v>
      </c>
      <c r="C473" s="576">
        <v>452</v>
      </c>
      <c r="D473" s="336" t="s">
        <v>8390</v>
      </c>
      <c r="E473" s="341">
        <v>3</v>
      </c>
      <c r="F473" s="342" t="s">
        <v>6337</v>
      </c>
      <c r="G473" s="352">
        <v>83.38</v>
      </c>
      <c r="H473" s="339">
        <f t="shared" si="195"/>
        <v>22.45</v>
      </c>
      <c r="I473" s="339">
        <f t="shared" si="196"/>
        <v>105.83</v>
      </c>
      <c r="J473" s="431">
        <f t="shared" si="197"/>
        <v>317.49</v>
      </c>
      <c r="K473" s="510">
        <f t="shared" si="193"/>
        <v>250.14</v>
      </c>
      <c r="L473" s="510">
        <f t="shared" si="194"/>
        <v>67.349999999999994</v>
      </c>
      <c r="M473" s="519"/>
      <c r="N473" s="519"/>
      <c r="O473" s="519"/>
      <c r="P473" s="519"/>
      <c r="Q473" s="519"/>
      <c r="R473" s="519"/>
      <c r="S473" s="519"/>
      <c r="T473" s="519">
        <f t="shared" si="187"/>
        <v>15.874500000000001</v>
      </c>
      <c r="U473" s="519"/>
      <c r="V473" s="519">
        <f t="shared" si="188"/>
        <v>31.749000000000002</v>
      </c>
      <c r="W473" s="519">
        <f t="shared" si="189"/>
        <v>47.6235</v>
      </c>
      <c r="X473" s="519">
        <f t="shared" si="190"/>
        <v>63.498000000000005</v>
      </c>
      <c r="Y473" s="519">
        <f t="shared" si="191"/>
        <v>95.247</v>
      </c>
      <c r="Z473" s="519">
        <f t="shared" si="192"/>
        <v>63.498000000000005</v>
      </c>
    </row>
    <row r="474" spans="1:26" s="512" customFormat="1" ht="30">
      <c r="A474" s="338" t="s">
        <v>8366</v>
      </c>
      <c r="B474" s="576" t="s">
        <v>6333</v>
      </c>
      <c r="C474" s="576">
        <v>8003</v>
      </c>
      <c r="D474" s="336" t="s">
        <v>8380</v>
      </c>
      <c r="E474" s="341">
        <v>2</v>
      </c>
      <c r="F474" s="342" t="s">
        <v>6337</v>
      </c>
      <c r="G474" s="352">
        <v>94.88</v>
      </c>
      <c r="H474" s="339">
        <f t="shared" si="195"/>
        <v>25.55</v>
      </c>
      <c r="I474" s="339">
        <f t="shared" si="196"/>
        <v>120.42999999999999</v>
      </c>
      <c r="J474" s="431">
        <f t="shared" si="197"/>
        <v>240.86</v>
      </c>
      <c r="K474" s="510">
        <f t="shared" si="193"/>
        <v>189.76</v>
      </c>
      <c r="L474" s="510">
        <f t="shared" si="194"/>
        <v>51.1</v>
      </c>
      <c r="M474" s="519"/>
      <c r="N474" s="519"/>
      <c r="O474" s="519"/>
      <c r="P474" s="519"/>
      <c r="Q474" s="519"/>
      <c r="R474" s="519"/>
      <c r="S474" s="519"/>
      <c r="T474" s="519">
        <f t="shared" si="187"/>
        <v>12.043000000000001</v>
      </c>
      <c r="U474" s="519"/>
      <c r="V474" s="519">
        <f t="shared" si="188"/>
        <v>24.086000000000002</v>
      </c>
      <c r="W474" s="519">
        <f t="shared" si="189"/>
        <v>36.128999999999998</v>
      </c>
      <c r="X474" s="519">
        <f t="shared" si="190"/>
        <v>48.172000000000004</v>
      </c>
      <c r="Y474" s="519">
        <f t="shared" si="191"/>
        <v>72.257999999999996</v>
      </c>
      <c r="Z474" s="519">
        <f t="shared" si="192"/>
        <v>48.172000000000004</v>
      </c>
    </row>
    <row r="475" spans="1:26" s="512" customFormat="1" ht="30">
      <c r="A475" s="338" t="s">
        <v>8367</v>
      </c>
      <c r="B475" s="576" t="s">
        <v>6333</v>
      </c>
      <c r="C475" s="576">
        <v>8003</v>
      </c>
      <c r="D475" s="336" t="s">
        <v>8379</v>
      </c>
      <c r="E475" s="341">
        <v>3</v>
      </c>
      <c r="F475" s="342" t="s">
        <v>6337</v>
      </c>
      <c r="G475" s="352">
        <v>94.88</v>
      </c>
      <c r="H475" s="339">
        <f t="shared" si="195"/>
        <v>25.55</v>
      </c>
      <c r="I475" s="339">
        <f t="shared" si="196"/>
        <v>120.42999999999999</v>
      </c>
      <c r="J475" s="431">
        <f t="shared" si="197"/>
        <v>361.29</v>
      </c>
      <c r="K475" s="510">
        <f t="shared" si="193"/>
        <v>284.64</v>
      </c>
      <c r="L475" s="510">
        <f t="shared" si="194"/>
        <v>76.650000000000006</v>
      </c>
      <c r="M475" s="519"/>
      <c r="N475" s="519"/>
      <c r="O475" s="519"/>
      <c r="P475" s="519"/>
      <c r="Q475" s="519"/>
      <c r="R475" s="519"/>
      <c r="S475" s="519"/>
      <c r="T475" s="519">
        <f t="shared" si="187"/>
        <v>18.064500000000002</v>
      </c>
      <c r="U475" s="519"/>
      <c r="V475" s="519">
        <f t="shared" si="188"/>
        <v>36.129000000000005</v>
      </c>
      <c r="W475" s="519">
        <f t="shared" si="189"/>
        <v>54.1935</v>
      </c>
      <c r="X475" s="519">
        <f t="shared" si="190"/>
        <v>72.25800000000001</v>
      </c>
      <c r="Y475" s="519">
        <f t="shared" si="191"/>
        <v>108.387</v>
      </c>
      <c r="Z475" s="519">
        <f t="shared" si="192"/>
        <v>72.25800000000001</v>
      </c>
    </row>
    <row r="476" spans="1:26" s="512" customFormat="1" ht="45">
      <c r="A476" s="338" t="s">
        <v>8410</v>
      </c>
      <c r="B476" s="576" t="s">
        <v>6333</v>
      </c>
      <c r="C476" s="576">
        <v>11572</v>
      </c>
      <c r="D476" s="336" t="s">
        <v>8394</v>
      </c>
      <c r="E476" s="341">
        <v>2</v>
      </c>
      <c r="F476" s="342" t="s">
        <v>6337</v>
      </c>
      <c r="G476" s="352">
        <v>94.88</v>
      </c>
      <c r="H476" s="339">
        <f t="shared" si="195"/>
        <v>25.55</v>
      </c>
      <c r="I476" s="339">
        <f t="shared" si="196"/>
        <v>120.42999999999999</v>
      </c>
      <c r="J476" s="431">
        <f t="shared" si="197"/>
        <v>240.86</v>
      </c>
      <c r="K476" s="510">
        <f t="shared" si="193"/>
        <v>189.76</v>
      </c>
      <c r="L476" s="510">
        <f t="shared" si="194"/>
        <v>51.1</v>
      </c>
      <c r="M476" s="519"/>
      <c r="N476" s="519"/>
      <c r="O476" s="519"/>
      <c r="P476" s="519"/>
      <c r="Q476" s="519"/>
      <c r="R476" s="519"/>
      <c r="S476" s="519"/>
      <c r="T476" s="519">
        <f t="shared" si="187"/>
        <v>12.043000000000001</v>
      </c>
      <c r="U476" s="519"/>
      <c r="V476" s="519">
        <f t="shared" si="188"/>
        <v>24.086000000000002</v>
      </c>
      <c r="W476" s="519">
        <f t="shared" si="189"/>
        <v>36.128999999999998</v>
      </c>
      <c r="X476" s="519">
        <f t="shared" si="190"/>
        <v>48.172000000000004</v>
      </c>
      <c r="Y476" s="519">
        <f t="shared" si="191"/>
        <v>72.257999999999996</v>
      </c>
      <c r="Z476" s="519">
        <f t="shared" si="192"/>
        <v>48.172000000000004</v>
      </c>
    </row>
    <row r="477" spans="1:26" s="512" customFormat="1" ht="30">
      <c r="A477" s="338" t="s">
        <v>8411</v>
      </c>
      <c r="B477" s="576" t="s">
        <v>6333</v>
      </c>
      <c r="C477" s="576">
        <v>8490</v>
      </c>
      <c r="D477" s="336" t="s">
        <v>8395</v>
      </c>
      <c r="E477" s="341">
        <v>3</v>
      </c>
      <c r="F477" s="342" t="s">
        <v>6337</v>
      </c>
      <c r="G477" s="352">
        <v>297.25</v>
      </c>
      <c r="H477" s="339">
        <f t="shared" si="195"/>
        <v>80.05</v>
      </c>
      <c r="I477" s="339">
        <f t="shared" si="196"/>
        <v>377.3</v>
      </c>
      <c r="J477" s="431">
        <f t="shared" si="197"/>
        <v>1131.9000000000001</v>
      </c>
      <c r="K477" s="510">
        <f t="shared" si="193"/>
        <v>891.75</v>
      </c>
      <c r="L477" s="510">
        <f t="shared" si="194"/>
        <v>240.15</v>
      </c>
      <c r="M477" s="519"/>
      <c r="N477" s="519"/>
      <c r="O477" s="519"/>
      <c r="P477" s="519"/>
      <c r="Q477" s="519"/>
      <c r="R477" s="519"/>
      <c r="S477" s="519"/>
      <c r="T477" s="519">
        <f t="shared" si="187"/>
        <v>56.595000000000006</v>
      </c>
      <c r="U477" s="519"/>
      <c r="V477" s="519">
        <f t="shared" si="188"/>
        <v>113.19000000000001</v>
      </c>
      <c r="W477" s="519">
        <f t="shared" si="189"/>
        <v>169.785</v>
      </c>
      <c r="X477" s="519">
        <f t="shared" si="190"/>
        <v>226.38000000000002</v>
      </c>
      <c r="Y477" s="519">
        <f t="shared" si="191"/>
        <v>339.57</v>
      </c>
      <c r="Z477" s="519">
        <f t="shared" si="192"/>
        <v>226.38000000000002</v>
      </c>
    </row>
    <row r="478" spans="1:26" s="512" customFormat="1" ht="30">
      <c r="A478" s="338" t="s">
        <v>8412</v>
      </c>
      <c r="B478" s="576" t="s">
        <v>6333</v>
      </c>
      <c r="C478" s="576">
        <v>8490</v>
      </c>
      <c r="D478" s="336" t="s">
        <v>8396</v>
      </c>
      <c r="E478" s="341">
        <v>6</v>
      </c>
      <c r="F478" s="342" t="s">
        <v>6337</v>
      </c>
      <c r="G478" s="352">
        <v>297.25</v>
      </c>
      <c r="H478" s="339">
        <f t="shared" si="195"/>
        <v>80.05</v>
      </c>
      <c r="I478" s="339">
        <f t="shared" si="196"/>
        <v>377.3</v>
      </c>
      <c r="J478" s="431">
        <f t="shared" si="197"/>
        <v>2263.8000000000002</v>
      </c>
      <c r="K478" s="510">
        <f t="shared" si="193"/>
        <v>1783.5</v>
      </c>
      <c r="L478" s="510">
        <f t="shared" si="194"/>
        <v>480.3</v>
      </c>
      <c r="M478" s="519"/>
      <c r="N478" s="519"/>
      <c r="O478" s="519"/>
      <c r="P478" s="519"/>
      <c r="Q478" s="519"/>
      <c r="R478" s="519"/>
      <c r="S478" s="519"/>
      <c r="T478" s="519">
        <f t="shared" si="187"/>
        <v>113.19000000000001</v>
      </c>
      <c r="U478" s="519"/>
      <c r="V478" s="519">
        <f t="shared" si="188"/>
        <v>226.38000000000002</v>
      </c>
      <c r="W478" s="519">
        <f t="shared" si="189"/>
        <v>339.57</v>
      </c>
      <c r="X478" s="519">
        <f t="shared" si="190"/>
        <v>452.76000000000005</v>
      </c>
      <c r="Y478" s="519">
        <f t="shared" si="191"/>
        <v>679.14</v>
      </c>
      <c r="Z478" s="519">
        <f t="shared" si="192"/>
        <v>452.76000000000005</v>
      </c>
    </row>
    <row r="479" spans="1:26" s="512" customFormat="1" ht="45">
      <c r="A479" s="338" t="s">
        <v>8413</v>
      </c>
      <c r="B479" s="576" t="s">
        <v>6333</v>
      </c>
      <c r="C479" s="576">
        <v>453</v>
      </c>
      <c r="D479" s="336" t="s">
        <v>8399</v>
      </c>
      <c r="E479" s="341">
        <v>1</v>
      </c>
      <c r="F479" s="342" t="s">
        <v>6337</v>
      </c>
      <c r="G479" s="352">
        <v>345.04</v>
      </c>
      <c r="H479" s="339">
        <f t="shared" si="195"/>
        <v>92.92</v>
      </c>
      <c r="I479" s="339">
        <f t="shared" si="196"/>
        <v>437.96000000000004</v>
      </c>
      <c r="J479" s="431">
        <f t="shared" si="197"/>
        <v>437.96</v>
      </c>
      <c r="K479" s="510">
        <f t="shared" si="193"/>
        <v>345.04</v>
      </c>
      <c r="L479" s="510">
        <f t="shared" si="194"/>
        <v>92.92</v>
      </c>
      <c r="M479" s="519"/>
      <c r="N479" s="519"/>
      <c r="O479" s="519"/>
      <c r="P479" s="519"/>
      <c r="Q479" s="519"/>
      <c r="R479" s="519"/>
      <c r="S479" s="519"/>
      <c r="T479" s="519">
        <f t="shared" si="187"/>
        <v>21.898</v>
      </c>
      <c r="U479" s="519"/>
      <c r="V479" s="519">
        <f t="shared" si="188"/>
        <v>43.795999999999999</v>
      </c>
      <c r="W479" s="519">
        <f t="shared" si="189"/>
        <v>65.693999999999988</v>
      </c>
      <c r="X479" s="519">
        <f t="shared" si="190"/>
        <v>87.591999999999999</v>
      </c>
      <c r="Y479" s="519">
        <f t="shared" si="191"/>
        <v>131.38799999999998</v>
      </c>
      <c r="Z479" s="519">
        <f t="shared" si="192"/>
        <v>87.591999999999999</v>
      </c>
    </row>
    <row r="480" spans="1:26" s="512" customFormat="1" ht="30">
      <c r="A480" s="338" t="s">
        <v>8414</v>
      </c>
      <c r="B480" s="576" t="s">
        <v>6333</v>
      </c>
      <c r="C480" s="576">
        <v>8078</v>
      </c>
      <c r="D480" s="336" t="s">
        <v>8400</v>
      </c>
      <c r="E480" s="341">
        <v>3</v>
      </c>
      <c r="F480" s="342" t="s">
        <v>6337</v>
      </c>
      <c r="G480" s="352">
        <v>362.62</v>
      </c>
      <c r="H480" s="339">
        <f t="shared" si="195"/>
        <v>97.65</v>
      </c>
      <c r="I480" s="339">
        <f t="shared" si="196"/>
        <v>460.27</v>
      </c>
      <c r="J480" s="431">
        <f t="shared" si="197"/>
        <v>1380.81</v>
      </c>
      <c r="K480" s="510">
        <f t="shared" si="193"/>
        <v>1087.8599999999999</v>
      </c>
      <c r="L480" s="510">
        <f t="shared" si="194"/>
        <v>292.95</v>
      </c>
      <c r="M480" s="519"/>
      <c r="N480" s="519"/>
      <c r="O480" s="519"/>
      <c r="P480" s="519"/>
      <c r="Q480" s="519"/>
      <c r="R480" s="519"/>
      <c r="S480" s="519"/>
      <c r="T480" s="519">
        <f t="shared" si="187"/>
        <v>69.040499999999994</v>
      </c>
      <c r="U480" s="519"/>
      <c r="V480" s="519">
        <f t="shared" si="188"/>
        <v>138.08099999999999</v>
      </c>
      <c r="W480" s="519">
        <f t="shared" si="189"/>
        <v>207.1215</v>
      </c>
      <c r="X480" s="519">
        <f t="shared" si="190"/>
        <v>276.16199999999998</v>
      </c>
      <c r="Y480" s="519">
        <f t="shared" si="191"/>
        <v>414.24299999999999</v>
      </c>
      <c r="Z480" s="519">
        <f t="shared" si="192"/>
        <v>276.16199999999998</v>
      </c>
    </row>
    <row r="481" spans="1:26" s="512" customFormat="1" ht="45">
      <c r="A481" s="338" t="s">
        <v>8415</v>
      </c>
      <c r="B481" s="576" t="s">
        <v>6333</v>
      </c>
      <c r="C481" s="576">
        <v>11561</v>
      </c>
      <c r="D481" s="336" t="s">
        <v>8401</v>
      </c>
      <c r="E481" s="341">
        <v>1</v>
      </c>
      <c r="F481" s="342" t="s">
        <v>6337</v>
      </c>
      <c r="G481" s="352">
        <v>439.55</v>
      </c>
      <c r="H481" s="339">
        <f t="shared" ref="H481:H512" si="198">ROUND(G481*$B$13,2)</f>
        <v>118.37</v>
      </c>
      <c r="I481" s="339">
        <f t="shared" ref="I481:I512" si="199">H481+G481</f>
        <v>557.92000000000007</v>
      </c>
      <c r="J481" s="431">
        <f t="shared" ref="J481:J512" si="200">ROUND(I481*E481,2)</f>
        <v>557.91999999999996</v>
      </c>
      <c r="K481" s="510">
        <f t="shared" si="193"/>
        <v>439.55</v>
      </c>
      <c r="L481" s="510">
        <f t="shared" si="194"/>
        <v>118.37</v>
      </c>
      <c r="M481" s="519"/>
      <c r="N481" s="519"/>
      <c r="O481" s="519"/>
      <c r="P481" s="519"/>
      <c r="Q481" s="519"/>
      <c r="R481" s="519"/>
      <c r="S481" s="519"/>
      <c r="T481" s="519">
        <f t="shared" ref="T481:T525" si="201">0.05*J481</f>
        <v>27.896000000000001</v>
      </c>
      <c r="U481" s="519"/>
      <c r="V481" s="519">
        <f t="shared" ref="V481:V525" si="202">0.1*J481</f>
        <v>55.792000000000002</v>
      </c>
      <c r="W481" s="519">
        <f t="shared" ref="W481:W525" si="203">0.15*J481</f>
        <v>83.687999999999988</v>
      </c>
      <c r="X481" s="519">
        <f t="shared" ref="X481:X525" si="204">0.2*J481</f>
        <v>111.584</v>
      </c>
      <c r="Y481" s="519">
        <f t="shared" ref="Y481:Y525" si="205">0.3*J481</f>
        <v>167.37599999999998</v>
      </c>
      <c r="Z481" s="519">
        <f t="shared" ref="Z481:Z525" si="206">0.2*J481</f>
        <v>111.584</v>
      </c>
    </row>
    <row r="482" spans="1:26" s="512" customFormat="1" ht="30">
      <c r="A482" s="338" t="s">
        <v>8416</v>
      </c>
      <c r="B482" s="576" t="s">
        <v>6333</v>
      </c>
      <c r="C482" s="576">
        <v>8420</v>
      </c>
      <c r="D482" s="336" t="s">
        <v>8403</v>
      </c>
      <c r="E482" s="341">
        <v>2</v>
      </c>
      <c r="F482" s="342" t="s">
        <v>6337</v>
      </c>
      <c r="G482" s="352">
        <v>378.28</v>
      </c>
      <c r="H482" s="339">
        <f t="shared" si="198"/>
        <v>101.87</v>
      </c>
      <c r="I482" s="339">
        <f t="shared" si="199"/>
        <v>480.15</v>
      </c>
      <c r="J482" s="431">
        <f t="shared" si="200"/>
        <v>960.3</v>
      </c>
      <c r="K482" s="510">
        <f t="shared" ref="K482:K550" si="207">ROUND(G482*E482,2)</f>
        <v>756.56</v>
      </c>
      <c r="L482" s="510">
        <f t="shared" ref="L482:L550" si="208">ROUND(H482*E482,2)</f>
        <v>203.74</v>
      </c>
      <c r="M482" s="519"/>
      <c r="N482" s="519"/>
      <c r="O482" s="519"/>
      <c r="P482" s="519"/>
      <c r="Q482" s="519"/>
      <c r="R482" s="519"/>
      <c r="S482" s="519"/>
      <c r="T482" s="519">
        <f t="shared" si="201"/>
        <v>48.015000000000001</v>
      </c>
      <c r="U482" s="519"/>
      <c r="V482" s="519">
        <f t="shared" si="202"/>
        <v>96.03</v>
      </c>
      <c r="W482" s="519">
        <f t="shared" si="203"/>
        <v>144.04499999999999</v>
      </c>
      <c r="X482" s="519">
        <f t="shared" si="204"/>
        <v>192.06</v>
      </c>
      <c r="Y482" s="519">
        <f t="shared" si="205"/>
        <v>288.08999999999997</v>
      </c>
      <c r="Z482" s="519">
        <f t="shared" si="206"/>
        <v>192.06</v>
      </c>
    </row>
    <row r="483" spans="1:26" s="512" customFormat="1" ht="45">
      <c r="A483" s="338" t="s">
        <v>8417</v>
      </c>
      <c r="B483" s="576" t="s">
        <v>6333</v>
      </c>
      <c r="C483" s="576">
        <v>9689</v>
      </c>
      <c r="D483" s="336" t="s">
        <v>8405</v>
      </c>
      <c r="E483" s="341">
        <v>1</v>
      </c>
      <c r="F483" s="342" t="s">
        <v>6337</v>
      </c>
      <c r="G483" s="352">
        <v>680.65000000000009</v>
      </c>
      <c r="H483" s="339">
        <f t="shared" si="198"/>
        <v>183.3</v>
      </c>
      <c r="I483" s="339">
        <f t="shared" si="199"/>
        <v>863.95</v>
      </c>
      <c r="J483" s="431">
        <f t="shared" si="200"/>
        <v>863.95</v>
      </c>
      <c r="K483" s="510">
        <f t="shared" si="207"/>
        <v>680.65</v>
      </c>
      <c r="L483" s="510">
        <f t="shared" si="208"/>
        <v>183.3</v>
      </c>
      <c r="M483" s="519"/>
      <c r="N483" s="519"/>
      <c r="O483" s="519"/>
      <c r="P483" s="519"/>
      <c r="Q483" s="519"/>
      <c r="R483" s="519"/>
      <c r="S483" s="519"/>
      <c r="T483" s="519">
        <f t="shared" si="201"/>
        <v>43.197500000000005</v>
      </c>
      <c r="U483" s="519"/>
      <c r="V483" s="519">
        <f t="shared" si="202"/>
        <v>86.39500000000001</v>
      </c>
      <c r="W483" s="519">
        <f t="shared" si="203"/>
        <v>129.5925</v>
      </c>
      <c r="X483" s="519">
        <f t="shared" si="204"/>
        <v>172.79000000000002</v>
      </c>
      <c r="Y483" s="519">
        <f t="shared" si="205"/>
        <v>259.185</v>
      </c>
      <c r="Z483" s="519">
        <f t="shared" si="206"/>
        <v>172.79000000000002</v>
      </c>
    </row>
    <row r="484" spans="1:26" s="512" customFormat="1" ht="30">
      <c r="A484" s="338" t="s">
        <v>8418</v>
      </c>
      <c r="B484" s="576" t="s">
        <v>6333</v>
      </c>
      <c r="C484" s="576">
        <v>9685</v>
      </c>
      <c r="D484" s="336" t="s">
        <v>8406</v>
      </c>
      <c r="E484" s="341">
        <v>1</v>
      </c>
      <c r="F484" s="342" t="s">
        <v>6337</v>
      </c>
      <c r="G484" s="352">
        <v>500.02</v>
      </c>
      <c r="H484" s="339">
        <f t="shared" si="198"/>
        <v>134.66</v>
      </c>
      <c r="I484" s="339">
        <f t="shared" si="199"/>
        <v>634.67999999999995</v>
      </c>
      <c r="J484" s="431">
        <f t="shared" si="200"/>
        <v>634.67999999999995</v>
      </c>
      <c r="K484" s="510">
        <f t="shared" si="207"/>
        <v>500.02</v>
      </c>
      <c r="L484" s="510">
        <f t="shared" si="208"/>
        <v>134.66</v>
      </c>
      <c r="M484" s="519"/>
      <c r="N484" s="519"/>
      <c r="O484" s="519"/>
      <c r="P484" s="519"/>
      <c r="Q484" s="519"/>
      <c r="R484" s="519"/>
      <c r="S484" s="519"/>
      <c r="T484" s="519">
        <f t="shared" si="201"/>
        <v>31.733999999999998</v>
      </c>
      <c r="U484" s="519"/>
      <c r="V484" s="519">
        <f t="shared" si="202"/>
        <v>63.467999999999996</v>
      </c>
      <c r="W484" s="519">
        <f t="shared" si="203"/>
        <v>95.201999999999984</v>
      </c>
      <c r="X484" s="519">
        <f t="shared" si="204"/>
        <v>126.93599999999999</v>
      </c>
      <c r="Y484" s="519">
        <f t="shared" si="205"/>
        <v>190.40399999999997</v>
      </c>
      <c r="Z484" s="519">
        <f t="shared" si="206"/>
        <v>126.93599999999999</v>
      </c>
    </row>
    <row r="485" spans="1:26" s="512" customFormat="1" ht="45">
      <c r="A485" s="338" t="s">
        <v>8419</v>
      </c>
      <c r="B485" s="576" t="s">
        <v>6333</v>
      </c>
      <c r="C485" s="576">
        <v>7832</v>
      </c>
      <c r="D485" s="336" t="s">
        <v>8409</v>
      </c>
      <c r="E485" s="341">
        <v>2</v>
      </c>
      <c r="F485" s="342" t="s">
        <v>6337</v>
      </c>
      <c r="G485" s="352">
        <v>605.54000000000008</v>
      </c>
      <c r="H485" s="339">
        <f t="shared" si="198"/>
        <v>163.07</v>
      </c>
      <c r="I485" s="339">
        <f t="shared" si="199"/>
        <v>768.61000000000013</v>
      </c>
      <c r="J485" s="431">
        <f t="shared" si="200"/>
        <v>1537.22</v>
      </c>
      <c r="K485" s="510">
        <f t="shared" si="207"/>
        <v>1211.08</v>
      </c>
      <c r="L485" s="510">
        <f t="shared" si="208"/>
        <v>326.14</v>
      </c>
      <c r="M485" s="519"/>
      <c r="N485" s="519"/>
      <c r="O485" s="519"/>
      <c r="P485" s="519"/>
      <c r="Q485" s="519"/>
      <c r="R485" s="519"/>
      <c r="S485" s="519"/>
      <c r="T485" s="519">
        <f t="shared" si="201"/>
        <v>76.861000000000004</v>
      </c>
      <c r="U485" s="519"/>
      <c r="V485" s="519">
        <f t="shared" si="202"/>
        <v>153.72200000000001</v>
      </c>
      <c r="W485" s="519">
        <f t="shared" si="203"/>
        <v>230.583</v>
      </c>
      <c r="X485" s="519">
        <f t="shared" si="204"/>
        <v>307.44400000000002</v>
      </c>
      <c r="Y485" s="519">
        <f t="shared" si="205"/>
        <v>461.166</v>
      </c>
      <c r="Z485" s="519">
        <f t="shared" si="206"/>
        <v>307.44400000000002</v>
      </c>
    </row>
    <row r="486" spans="1:26" s="512" customFormat="1" ht="45">
      <c r="A486" s="338" t="s">
        <v>8420</v>
      </c>
      <c r="B486" s="576" t="s">
        <v>6333</v>
      </c>
      <c r="C486" s="576">
        <v>8620</v>
      </c>
      <c r="D486" s="336" t="s">
        <v>15479</v>
      </c>
      <c r="E486" s="341">
        <v>1</v>
      </c>
      <c r="F486" s="342" t="s">
        <v>6337</v>
      </c>
      <c r="G486" s="352">
        <v>2446.1800000000003</v>
      </c>
      <c r="H486" s="339">
        <f t="shared" si="198"/>
        <v>658.76</v>
      </c>
      <c r="I486" s="339">
        <f t="shared" si="199"/>
        <v>3104.9400000000005</v>
      </c>
      <c r="J486" s="431">
        <f t="shared" si="200"/>
        <v>3104.94</v>
      </c>
      <c r="K486" s="510"/>
      <c r="L486" s="510"/>
      <c r="M486" s="519"/>
      <c r="N486" s="519"/>
      <c r="O486" s="519"/>
      <c r="P486" s="519"/>
      <c r="Q486" s="519"/>
      <c r="R486" s="519"/>
      <c r="S486" s="519"/>
      <c r="T486" s="519">
        <f t="shared" si="201"/>
        <v>155.24700000000001</v>
      </c>
      <c r="U486" s="519"/>
      <c r="V486" s="519">
        <f t="shared" si="202"/>
        <v>310.49400000000003</v>
      </c>
      <c r="W486" s="519">
        <f t="shared" si="203"/>
        <v>465.74099999999999</v>
      </c>
      <c r="X486" s="519">
        <f t="shared" si="204"/>
        <v>620.98800000000006</v>
      </c>
      <c r="Y486" s="519">
        <f t="shared" si="205"/>
        <v>931.48199999999997</v>
      </c>
      <c r="Z486" s="519">
        <f t="shared" si="206"/>
        <v>620.98800000000006</v>
      </c>
    </row>
    <row r="487" spans="1:26" s="512" customFormat="1" ht="45">
      <c r="A487" s="338" t="s">
        <v>15480</v>
      </c>
      <c r="B487" s="576" t="s">
        <v>6753</v>
      </c>
      <c r="C487" s="576" t="s">
        <v>8915</v>
      </c>
      <c r="D487" s="336" t="s">
        <v>15482</v>
      </c>
      <c r="E487" s="341">
        <v>2</v>
      </c>
      <c r="F487" s="342" t="s">
        <v>6337</v>
      </c>
      <c r="G487" s="352">
        <v>6135.7199999999993</v>
      </c>
      <c r="H487" s="339">
        <f t="shared" si="198"/>
        <v>1652.35</v>
      </c>
      <c r="I487" s="339">
        <f t="shared" si="199"/>
        <v>7788.07</v>
      </c>
      <c r="J487" s="431">
        <f t="shared" si="200"/>
        <v>15576.14</v>
      </c>
      <c r="K487" s="510">
        <f t="shared" si="207"/>
        <v>12271.44</v>
      </c>
      <c r="L487" s="510">
        <f t="shared" si="208"/>
        <v>3304.7</v>
      </c>
      <c r="M487" s="519"/>
      <c r="N487" s="519"/>
      <c r="O487" s="519"/>
      <c r="P487" s="519"/>
      <c r="Q487" s="519"/>
      <c r="R487" s="519"/>
      <c r="S487" s="519"/>
      <c r="T487" s="519">
        <f t="shared" si="201"/>
        <v>778.80700000000002</v>
      </c>
      <c r="U487" s="519"/>
      <c r="V487" s="519">
        <f t="shared" si="202"/>
        <v>1557.614</v>
      </c>
      <c r="W487" s="519">
        <f t="shared" si="203"/>
        <v>2336.4209999999998</v>
      </c>
      <c r="X487" s="519">
        <f t="shared" si="204"/>
        <v>3115.2280000000001</v>
      </c>
      <c r="Y487" s="519">
        <f t="shared" si="205"/>
        <v>4672.8419999999996</v>
      </c>
      <c r="Z487" s="519">
        <f t="shared" si="206"/>
        <v>3115.2280000000001</v>
      </c>
    </row>
    <row r="488" spans="1:26" s="512" customFormat="1" ht="30">
      <c r="A488" s="338" t="s">
        <v>8368</v>
      </c>
      <c r="B488" s="576" t="s">
        <v>6333</v>
      </c>
      <c r="C488" s="576">
        <v>8100</v>
      </c>
      <c r="D488" s="532" t="s">
        <v>8518</v>
      </c>
      <c r="E488" s="341">
        <v>46.22</v>
      </c>
      <c r="F488" s="342" t="s">
        <v>6774</v>
      </c>
      <c r="G488" s="352">
        <v>54.19</v>
      </c>
      <c r="H488" s="339">
        <f t="shared" si="198"/>
        <v>14.59</v>
      </c>
      <c r="I488" s="339">
        <f t="shared" si="199"/>
        <v>68.78</v>
      </c>
      <c r="J488" s="431">
        <f t="shared" si="200"/>
        <v>3179.01</v>
      </c>
      <c r="K488" s="510">
        <f t="shared" si="207"/>
        <v>2504.66</v>
      </c>
      <c r="L488" s="510">
        <f t="shared" si="208"/>
        <v>674.35</v>
      </c>
      <c r="M488" s="519"/>
      <c r="N488" s="519"/>
      <c r="O488" s="519"/>
      <c r="P488" s="519"/>
      <c r="Q488" s="519"/>
      <c r="R488" s="519"/>
      <c r="S488" s="519"/>
      <c r="T488" s="519">
        <f t="shared" si="201"/>
        <v>158.95050000000003</v>
      </c>
      <c r="U488" s="519"/>
      <c r="V488" s="519">
        <f t="shared" si="202"/>
        <v>317.90100000000007</v>
      </c>
      <c r="W488" s="519">
        <f t="shared" si="203"/>
        <v>476.85149999999999</v>
      </c>
      <c r="X488" s="519">
        <f t="shared" si="204"/>
        <v>635.80200000000013</v>
      </c>
      <c r="Y488" s="519">
        <f t="shared" si="205"/>
        <v>953.70299999999997</v>
      </c>
      <c r="Z488" s="519">
        <f t="shared" si="206"/>
        <v>635.80200000000013</v>
      </c>
    </row>
    <row r="489" spans="1:26" s="512" customFormat="1" ht="30">
      <c r="A489" s="338" t="s">
        <v>8369</v>
      </c>
      <c r="B489" s="576" t="s">
        <v>6333</v>
      </c>
      <c r="C489" s="576">
        <v>764</v>
      </c>
      <c r="D489" s="532" t="s">
        <v>8519</v>
      </c>
      <c r="E489" s="341">
        <v>9</v>
      </c>
      <c r="F489" s="342" t="s">
        <v>6774</v>
      </c>
      <c r="G489" s="352">
        <v>42.010000000000005</v>
      </c>
      <c r="H489" s="339">
        <f t="shared" si="198"/>
        <v>11.31</v>
      </c>
      <c r="I489" s="339">
        <f t="shared" si="199"/>
        <v>53.320000000000007</v>
      </c>
      <c r="J489" s="431">
        <f t="shared" si="200"/>
        <v>479.88</v>
      </c>
      <c r="K489" s="510">
        <f t="shared" si="207"/>
        <v>378.09</v>
      </c>
      <c r="L489" s="510">
        <f t="shared" si="208"/>
        <v>101.79</v>
      </c>
      <c r="M489" s="519"/>
      <c r="N489" s="519"/>
      <c r="O489" s="519"/>
      <c r="P489" s="519"/>
      <c r="Q489" s="519"/>
      <c r="R489" s="519"/>
      <c r="S489" s="519"/>
      <c r="T489" s="519">
        <f t="shared" si="201"/>
        <v>23.994</v>
      </c>
      <c r="U489" s="519"/>
      <c r="V489" s="519">
        <f t="shared" si="202"/>
        <v>47.988</v>
      </c>
      <c r="W489" s="519">
        <f t="shared" si="203"/>
        <v>71.981999999999999</v>
      </c>
      <c r="X489" s="519">
        <f t="shared" si="204"/>
        <v>95.975999999999999</v>
      </c>
      <c r="Y489" s="519">
        <f t="shared" si="205"/>
        <v>143.964</v>
      </c>
      <c r="Z489" s="519">
        <f t="shared" si="206"/>
        <v>95.975999999999999</v>
      </c>
    </row>
    <row r="490" spans="1:26" s="512" customFormat="1" ht="30">
      <c r="A490" s="338" t="s">
        <v>8370</v>
      </c>
      <c r="B490" s="576" t="s">
        <v>6333</v>
      </c>
      <c r="C490" s="576">
        <v>763</v>
      </c>
      <c r="D490" s="532" t="s">
        <v>8520</v>
      </c>
      <c r="E490" s="341">
        <v>150</v>
      </c>
      <c r="F490" s="342" t="s">
        <v>6774</v>
      </c>
      <c r="G490" s="352">
        <v>29.86</v>
      </c>
      <c r="H490" s="339">
        <f t="shared" si="198"/>
        <v>8.0399999999999991</v>
      </c>
      <c r="I490" s="339">
        <f t="shared" si="199"/>
        <v>37.9</v>
      </c>
      <c r="J490" s="431">
        <f t="shared" si="200"/>
        <v>5685</v>
      </c>
      <c r="K490" s="510">
        <f t="shared" si="207"/>
        <v>4479</v>
      </c>
      <c r="L490" s="510">
        <f t="shared" si="208"/>
        <v>1206</v>
      </c>
      <c r="M490" s="519"/>
      <c r="N490" s="519"/>
      <c r="O490" s="519"/>
      <c r="P490" s="519"/>
      <c r="Q490" s="519"/>
      <c r="R490" s="519"/>
      <c r="S490" s="519"/>
      <c r="T490" s="519">
        <f t="shared" si="201"/>
        <v>284.25</v>
      </c>
      <c r="U490" s="519"/>
      <c r="V490" s="519">
        <f t="shared" si="202"/>
        <v>568.5</v>
      </c>
      <c r="W490" s="519">
        <f t="shared" si="203"/>
        <v>852.75</v>
      </c>
      <c r="X490" s="519">
        <f t="shared" si="204"/>
        <v>1137</v>
      </c>
      <c r="Y490" s="519">
        <f t="shared" si="205"/>
        <v>1705.5</v>
      </c>
      <c r="Z490" s="519">
        <f t="shared" si="206"/>
        <v>1137</v>
      </c>
    </row>
    <row r="491" spans="1:26" s="512" customFormat="1" ht="30">
      <c r="A491" s="338" t="s">
        <v>8371</v>
      </c>
      <c r="B491" s="576" t="s">
        <v>6333</v>
      </c>
      <c r="C491" s="576">
        <v>8684</v>
      </c>
      <c r="D491" s="532" t="s">
        <v>8521</v>
      </c>
      <c r="E491" s="341">
        <v>780</v>
      </c>
      <c r="F491" s="342" t="s">
        <v>6774</v>
      </c>
      <c r="G491" s="352">
        <v>24.43</v>
      </c>
      <c r="H491" s="339">
        <f t="shared" si="198"/>
        <v>6.58</v>
      </c>
      <c r="I491" s="339">
        <f t="shared" si="199"/>
        <v>31.009999999999998</v>
      </c>
      <c r="J491" s="431">
        <f t="shared" si="200"/>
        <v>24187.8</v>
      </c>
      <c r="K491" s="510">
        <f t="shared" si="207"/>
        <v>19055.400000000001</v>
      </c>
      <c r="L491" s="510">
        <f t="shared" si="208"/>
        <v>5132.3999999999996</v>
      </c>
      <c r="M491" s="519"/>
      <c r="N491" s="519"/>
      <c r="O491" s="519"/>
      <c r="P491" s="519"/>
      <c r="Q491" s="519"/>
      <c r="R491" s="519"/>
      <c r="S491" s="519"/>
      <c r="T491" s="519">
        <f t="shared" si="201"/>
        <v>1209.3900000000001</v>
      </c>
      <c r="U491" s="519"/>
      <c r="V491" s="519">
        <f t="shared" si="202"/>
        <v>2418.7800000000002</v>
      </c>
      <c r="W491" s="519">
        <f t="shared" si="203"/>
        <v>3628.1699999999996</v>
      </c>
      <c r="X491" s="519">
        <f t="shared" si="204"/>
        <v>4837.5600000000004</v>
      </c>
      <c r="Y491" s="519">
        <f t="shared" si="205"/>
        <v>7256.3399999999992</v>
      </c>
      <c r="Z491" s="519">
        <f t="shared" si="206"/>
        <v>4837.5600000000004</v>
      </c>
    </row>
    <row r="492" spans="1:26" s="512" customFormat="1" ht="30">
      <c r="A492" s="338" t="s">
        <v>8494</v>
      </c>
      <c r="B492" s="576" t="s">
        <v>6333</v>
      </c>
      <c r="C492" s="576">
        <v>8114</v>
      </c>
      <c r="D492" s="532" t="s">
        <v>8473</v>
      </c>
      <c r="E492" s="341">
        <v>2</v>
      </c>
      <c r="F492" s="342" t="s">
        <v>6337</v>
      </c>
      <c r="G492" s="352">
        <v>43.480000000000004</v>
      </c>
      <c r="H492" s="339">
        <f t="shared" si="198"/>
        <v>11.71</v>
      </c>
      <c r="I492" s="339">
        <f t="shared" si="199"/>
        <v>55.190000000000005</v>
      </c>
      <c r="J492" s="431">
        <f t="shared" si="200"/>
        <v>110.38</v>
      </c>
      <c r="K492" s="510">
        <f t="shared" si="207"/>
        <v>86.96</v>
      </c>
      <c r="L492" s="510">
        <f t="shared" si="208"/>
        <v>23.42</v>
      </c>
      <c r="M492" s="519"/>
      <c r="N492" s="519"/>
      <c r="O492" s="519"/>
      <c r="P492" s="519"/>
      <c r="Q492" s="519"/>
      <c r="R492" s="519"/>
      <c r="S492" s="519"/>
      <c r="T492" s="519">
        <f t="shared" si="201"/>
        <v>5.5190000000000001</v>
      </c>
      <c r="U492" s="519"/>
      <c r="V492" s="519">
        <f t="shared" si="202"/>
        <v>11.038</v>
      </c>
      <c r="W492" s="519">
        <f t="shared" si="203"/>
        <v>16.556999999999999</v>
      </c>
      <c r="X492" s="519">
        <f t="shared" si="204"/>
        <v>22.076000000000001</v>
      </c>
      <c r="Y492" s="519">
        <f t="shared" si="205"/>
        <v>33.113999999999997</v>
      </c>
      <c r="Z492" s="519">
        <f t="shared" si="206"/>
        <v>22.076000000000001</v>
      </c>
    </row>
    <row r="493" spans="1:26" s="512" customFormat="1" ht="30">
      <c r="A493" s="338" t="s">
        <v>8495</v>
      </c>
      <c r="B493" s="576" t="s">
        <v>6333</v>
      </c>
      <c r="C493" s="576">
        <v>9520</v>
      </c>
      <c r="D493" s="532" t="s">
        <v>8474</v>
      </c>
      <c r="E493" s="341">
        <v>2</v>
      </c>
      <c r="F493" s="342" t="s">
        <v>6337</v>
      </c>
      <c r="G493" s="352">
        <v>37.880000000000003</v>
      </c>
      <c r="H493" s="339">
        <f t="shared" si="198"/>
        <v>10.199999999999999</v>
      </c>
      <c r="I493" s="339">
        <f t="shared" si="199"/>
        <v>48.08</v>
      </c>
      <c r="J493" s="431">
        <f t="shared" si="200"/>
        <v>96.16</v>
      </c>
      <c r="K493" s="510">
        <f t="shared" si="207"/>
        <v>75.760000000000005</v>
      </c>
      <c r="L493" s="510">
        <f t="shared" si="208"/>
        <v>20.399999999999999</v>
      </c>
      <c r="M493" s="519"/>
      <c r="N493" s="519"/>
      <c r="O493" s="519"/>
      <c r="P493" s="519"/>
      <c r="Q493" s="519"/>
      <c r="R493" s="519"/>
      <c r="S493" s="519"/>
      <c r="T493" s="519">
        <f t="shared" si="201"/>
        <v>4.8079999999999998</v>
      </c>
      <c r="U493" s="519"/>
      <c r="V493" s="519">
        <f t="shared" si="202"/>
        <v>9.6159999999999997</v>
      </c>
      <c r="W493" s="519">
        <f t="shared" si="203"/>
        <v>14.423999999999999</v>
      </c>
      <c r="X493" s="519">
        <f t="shared" si="204"/>
        <v>19.231999999999999</v>
      </c>
      <c r="Y493" s="519">
        <f t="shared" si="205"/>
        <v>28.847999999999999</v>
      </c>
      <c r="Z493" s="519">
        <f t="shared" si="206"/>
        <v>19.231999999999999</v>
      </c>
    </row>
    <row r="494" spans="1:26" s="512" customFormat="1" ht="30">
      <c r="A494" s="338" t="s">
        <v>8496</v>
      </c>
      <c r="B494" s="576" t="s">
        <v>6333</v>
      </c>
      <c r="C494" s="576">
        <v>11290</v>
      </c>
      <c r="D494" s="532" t="s">
        <v>8475</v>
      </c>
      <c r="E494" s="341">
        <v>4</v>
      </c>
      <c r="F494" s="342" t="s">
        <v>6337</v>
      </c>
      <c r="G494" s="352">
        <v>25.82</v>
      </c>
      <c r="H494" s="339">
        <f t="shared" si="198"/>
        <v>6.95</v>
      </c>
      <c r="I494" s="339">
        <f t="shared" si="199"/>
        <v>32.770000000000003</v>
      </c>
      <c r="J494" s="431">
        <f t="shared" si="200"/>
        <v>131.08000000000001</v>
      </c>
      <c r="K494" s="510">
        <f t="shared" si="207"/>
        <v>103.28</v>
      </c>
      <c r="L494" s="510">
        <f t="shared" si="208"/>
        <v>27.8</v>
      </c>
      <c r="M494" s="519"/>
      <c r="N494" s="519"/>
      <c r="O494" s="519"/>
      <c r="P494" s="519"/>
      <c r="Q494" s="519"/>
      <c r="R494" s="519"/>
      <c r="S494" s="519"/>
      <c r="T494" s="519">
        <f t="shared" si="201"/>
        <v>6.5540000000000012</v>
      </c>
      <c r="U494" s="519"/>
      <c r="V494" s="519">
        <f t="shared" si="202"/>
        <v>13.108000000000002</v>
      </c>
      <c r="W494" s="519">
        <f t="shared" si="203"/>
        <v>19.662000000000003</v>
      </c>
      <c r="X494" s="519">
        <f t="shared" si="204"/>
        <v>26.216000000000005</v>
      </c>
      <c r="Y494" s="519">
        <f t="shared" si="205"/>
        <v>39.324000000000005</v>
      </c>
      <c r="Z494" s="519">
        <f t="shared" si="206"/>
        <v>26.216000000000005</v>
      </c>
    </row>
    <row r="495" spans="1:26" s="512" customFormat="1" ht="30">
      <c r="A495" s="338" t="s">
        <v>8497</v>
      </c>
      <c r="B495" s="576" t="s">
        <v>6333</v>
      </c>
      <c r="C495" s="576">
        <v>8701</v>
      </c>
      <c r="D495" s="532" t="s">
        <v>8476</v>
      </c>
      <c r="E495" s="341">
        <v>20</v>
      </c>
      <c r="F495" s="342" t="s">
        <v>6337</v>
      </c>
      <c r="G495" s="352">
        <v>27.51</v>
      </c>
      <c r="H495" s="339">
        <f t="shared" si="198"/>
        <v>7.41</v>
      </c>
      <c r="I495" s="339">
        <f t="shared" si="199"/>
        <v>34.92</v>
      </c>
      <c r="J495" s="431">
        <f t="shared" si="200"/>
        <v>698.4</v>
      </c>
      <c r="K495" s="510">
        <f t="shared" si="207"/>
        <v>550.20000000000005</v>
      </c>
      <c r="L495" s="510">
        <f t="shared" si="208"/>
        <v>148.19999999999999</v>
      </c>
      <c r="M495" s="519"/>
      <c r="N495" s="519"/>
      <c r="O495" s="519"/>
      <c r="P495" s="519"/>
      <c r="Q495" s="519"/>
      <c r="R495" s="519"/>
      <c r="S495" s="519"/>
      <c r="T495" s="519">
        <f t="shared" si="201"/>
        <v>34.92</v>
      </c>
      <c r="U495" s="519"/>
      <c r="V495" s="519">
        <f t="shared" si="202"/>
        <v>69.84</v>
      </c>
      <c r="W495" s="519">
        <f t="shared" si="203"/>
        <v>104.75999999999999</v>
      </c>
      <c r="X495" s="519">
        <f t="shared" si="204"/>
        <v>139.68</v>
      </c>
      <c r="Y495" s="519">
        <f t="shared" si="205"/>
        <v>209.51999999999998</v>
      </c>
      <c r="Z495" s="519">
        <f t="shared" si="206"/>
        <v>139.68</v>
      </c>
    </row>
    <row r="496" spans="1:26" s="512" customFormat="1" ht="30">
      <c r="A496" s="338" t="s">
        <v>8498</v>
      </c>
      <c r="B496" s="576" t="s">
        <v>6333</v>
      </c>
      <c r="C496" s="576" t="s">
        <v>15449</v>
      </c>
      <c r="D496" s="532" t="s">
        <v>15440</v>
      </c>
      <c r="E496" s="341">
        <v>1</v>
      </c>
      <c r="F496" s="342" t="s">
        <v>6337</v>
      </c>
      <c r="G496" s="352">
        <v>53.27</v>
      </c>
      <c r="H496" s="339">
        <f t="shared" si="198"/>
        <v>14.35</v>
      </c>
      <c r="I496" s="339">
        <f t="shared" si="199"/>
        <v>67.62</v>
      </c>
      <c r="J496" s="431">
        <f t="shared" si="200"/>
        <v>67.62</v>
      </c>
      <c r="K496" s="510">
        <f t="shared" si="207"/>
        <v>53.27</v>
      </c>
      <c r="L496" s="510">
        <f t="shared" si="208"/>
        <v>14.35</v>
      </c>
      <c r="M496" s="519"/>
      <c r="N496" s="519"/>
      <c r="O496" s="519"/>
      <c r="P496" s="519"/>
      <c r="Q496" s="519"/>
      <c r="R496" s="519"/>
      <c r="S496" s="519"/>
      <c r="T496" s="519">
        <f t="shared" si="201"/>
        <v>3.3810000000000002</v>
      </c>
      <c r="U496" s="519"/>
      <c r="V496" s="519">
        <f t="shared" si="202"/>
        <v>6.7620000000000005</v>
      </c>
      <c r="W496" s="519">
        <f t="shared" si="203"/>
        <v>10.143000000000001</v>
      </c>
      <c r="X496" s="519">
        <f t="shared" si="204"/>
        <v>13.524000000000001</v>
      </c>
      <c r="Y496" s="519">
        <f t="shared" si="205"/>
        <v>20.286000000000001</v>
      </c>
      <c r="Z496" s="519">
        <f t="shared" si="206"/>
        <v>13.524000000000001</v>
      </c>
    </row>
    <row r="497" spans="1:26" s="512" customFormat="1" ht="30">
      <c r="A497" s="338" t="s">
        <v>8499</v>
      </c>
      <c r="B497" s="576" t="s">
        <v>6333</v>
      </c>
      <c r="C497" s="576">
        <v>9521</v>
      </c>
      <c r="D497" s="532" t="s">
        <v>8477</v>
      </c>
      <c r="E497" s="341">
        <v>1</v>
      </c>
      <c r="F497" s="342" t="s">
        <v>6337</v>
      </c>
      <c r="G497" s="352">
        <v>32.950000000000003</v>
      </c>
      <c r="H497" s="339">
        <f t="shared" si="198"/>
        <v>8.8699999999999992</v>
      </c>
      <c r="I497" s="339">
        <f t="shared" si="199"/>
        <v>41.82</v>
      </c>
      <c r="J497" s="431">
        <f t="shared" si="200"/>
        <v>41.82</v>
      </c>
      <c r="K497" s="510">
        <f t="shared" si="207"/>
        <v>32.950000000000003</v>
      </c>
      <c r="L497" s="510">
        <f t="shared" si="208"/>
        <v>8.8699999999999992</v>
      </c>
      <c r="M497" s="519"/>
      <c r="N497" s="519"/>
      <c r="O497" s="519"/>
      <c r="P497" s="519"/>
      <c r="Q497" s="519"/>
      <c r="R497" s="519"/>
      <c r="S497" s="519"/>
      <c r="T497" s="519">
        <f t="shared" si="201"/>
        <v>2.0910000000000002</v>
      </c>
      <c r="U497" s="519"/>
      <c r="V497" s="519">
        <f t="shared" si="202"/>
        <v>4.1820000000000004</v>
      </c>
      <c r="W497" s="519">
        <f t="shared" si="203"/>
        <v>6.2729999999999997</v>
      </c>
      <c r="X497" s="519">
        <f t="shared" si="204"/>
        <v>8.3640000000000008</v>
      </c>
      <c r="Y497" s="519">
        <f t="shared" si="205"/>
        <v>12.545999999999999</v>
      </c>
      <c r="Z497" s="519">
        <f t="shared" si="206"/>
        <v>8.3640000000000008</v>
      </c>
    </row>
    <row r="498" spans="1:26" s="512" customFormat="1" ht="30">
      <c r="A498" s="338" t="s">
        <v>8500</v>
      </c>
      <c r="B498" s="576" t="s">
        <v>6333</v>
      </c>
      <c r="C498" s="576">
        <v>8356</v>
      </c>
      <c r="D498" s="532" t="s">
        <v>8478</v>
      </c>
      <c r="E498" s="341">
        <v>6</v>
      </c>
      <c r="F498" s="342" t="s">
        <v>6337</v>
      </c>
      <c r="G498" s="352">
        <v>24.85</v>
      </c>
      <c r="H498" s="339">
        <f t="shared" si="198"/>
        <v>6.69</v>
      </c>
      <c r="I498" s="339">
        <f t="shared" si="199"/>
        <v>31.540000000000003</v>
      </c>
      <c r="J498" s="431">
        <f t="shared" si="200"/>
        <v>189.24</v>
      </c>
      <c r="K498" s="510">
        <f t="shared" si="207"/>
        <v>149.1</v>
      </c>
      <c r="L498" s="510">
        <f t="shared" si="208"/>
        <v>40.14</v>
      </c>
      <c r="M498" s="519"/>
      <c r="N498" s="519"/>
      <c r="O498" s="519"/>
      <c r="P498" s="519"/>
      <c r="Q498" s="519"/>
      <c r="R498" s="519"/>
      <c r="S498" s="519"/>
      <c r="T498" s="519">
        <f t="shared" si="201"/>
        <v>9.4620000000000015</v>
      </c>
      <c r="U498" s="519"/>
      <c r="V498" s="519">
        <f t="shared" si="202"/>
        <v>18.924000000000003</v>
      </c>
      <c r="W498" s="519">
        <f t="shared" si="203"/>
        <v>28.385999999999999</v>
      </c>
      <c r="X498" s="519">
        <f t="shared" si="204"/>
        <v>37.848000000000006</v>
      </c>
      <c r="Y498" s="519">
        <f t="shared" si="205"/>
        <v>56.771999999999998</v>
      </c>
      <c r="Z498" s="519">
        <f t="shared" si="206"/>
        <v>37.848000000000006</v>
      </c>
    </row>
    <row r="499" spans="1:26" s="512" customFormat="1" ht="30">
      <c r="A499" s="338" t="s">
        <v>8501</v>
      </c>
      <c r="B499" s="576" t="s">
        <v>6333</v>
      </c>
      <c r="C499" s="576">
        <v>8688</v>
      </c>
      <c r="D499" s="532" t="s">
        <v>8479</v>
      </c>
      <c r="E499" s="341">
        <v>6</v>
      </c>
      <c r="F499" s="342" t="s">
        <v>6337</v>
      </c>
      <c r="G499" s="352">
        <v>15.13</v>
      </c>
      <c r="H499" s="339">
        <f t="shared" si="198"/>
        <v>4.07</v>
      </c>
      <c r="I499" s="339">
        <f t="shared" si="199"/>
        <v>19.200000000000003</v>
      </c>
      <c r="J499" s="431">
        <f t="shared" si="200"/>
        <v>115.2</v>
      </c>
      <c r="K499" s="510">
        <f t="shared" si="207"/>
        <v>90.78</v>
      </c>
      <c r="L499" s="510">
        <f t="shared" si="208"/>
        <v>24.42</v>
      </c>
      <c r="M499" s="519"/>
      <c r="N499" s="519"/>
      <c r="O499" s="519"/>
      <c r="P499" s="519"/>
      <c r="Q499" s="519"/>
      <c r="R499" s="519"/>
      <c r="S499" s="519"/>
      <c r="T499" s="519">
        <f t="shared" si="201"/>
        <v>5.7600000000000007</v>
      </c>
      <c r="U499" s="519"/>
      <c r="V499" s="519">
        <f t="shared" si="202"/>
        <v>11.520000000000001</v>
      </c>
      <c r="W499" s="519">
        <f t="shared" si="203"/>
        <v>17.28</v>
      </c>
      <c r="X499" s="519">
        <f t="shared" si="204"/>
        <v>23.040000000000003</v>
      </c>
      <c r="Y499" s="519">
        <f t="shared" si="205"/>
        <v>34.56</v>
      </c>
      <c r="Z499" s="519">
        <f t="shared" si="206"/>
        <v>23.040000000000003</v>
      </c>
    </row>
    <row r="500" spans="1:26" s="512" customFormat="1" ht="30">
      <c r="A500" s="338" t="s">
        <v>8502</v>
      </c>
      <c r="B500" s="576" t="s">
        <v>6333</v>
      </c>
      <c r="C500" s="576">
        <v>8112</v>
      </c>
      <c r="D500" s="532" t="s">
        <v>8481</v>
      </c>
      <c r="E500" s="341">
        <v>7</v>
      </c>
      <c r="F500" s="342" t="s">
        <v>6337</v>
      </c>
      <c r="G500" s="352">
        <v>100.25999999999999</v>
      </c>
      <c r="H500" s="339">
        <f t="shared" si="198"/>
        <v>27</v>
      </c>
      <c r="I500" s="339">
        <f t="shared" si="199"/>
        <v>127.25999999999999</v>
      </c>
      <c r="J500" s="431">
        <f t="shared" si="200"/>
        <v>890.82</v>
      </c>
      <c r="K500" s="510">
        <f t="shared" si="207"/>
        <v>701.82</v>
      </c>
      <c r="L500" s="510">
        <f t="shared" si="208"/>
        <v>189</v>
      </c>
      <c r="M500" s="519"/>
      <c r="N500" s="519"/>
      <c r="O500" s="519"/>
      <c r="P500" s="519"/>
      <c r="Q500" s="519"/>
      <c r="R500" s="519"/>
      <c r="S500" s="519"/>
      <c r="T500" s="519">
        <f t="shared" si="201"/>
        <v>44.541000000000004</v>
      </c>
      <c r="U500" s="519"/>
      <c r="V500" s="519">
        <f t="shared" si="202"/>
        <v>89.082000000000008</v>
      </c>
      <c r="W500" s="519">
        <f t="shared" si="203"/>
        <v>133.62299999999999</v>
      </c>
      <c r="X500" s="519">
        <f t="shared" si="204"/>
        <v>178.16400000000002</v>
      </c>
      <c r="Y500" s="519">
        <f t="shared" si="205"/>
        <v>267.24599999999998</v>
      </c>
      <c r="Z500" s="519">
        <f t="shared" si="206"/>
        <v>178.16400000000002</v>
      </c>
    </row>
    <row r="501" spans="1:26" s="512" customFormat="1" ht="30">
      <c r="A501" s="338" t="s">
        <v>8503</v>
      </c>
      <c r="B501" s="576" t="s">
        <v>6333</v>
      </c>
      <c r="C501" s="576">
        <v>11292</v>
      </c>
      <c r="D501" s="532" t="s">
        <v>8480</v>
      </c>
      <c r="E501" s="341">
        <v>10</v>
      </c>
      <c r="F501" s="342" t="s">
        <v>6337</v>
      </c>
      <c r="G501" s="352">
        <v>43.800000000000004</v>
      </c>
      <c r="H501" s="339">
        <f t="shared" si="198"/>
        <v>11.8</v>
      </c>
      <c r="I501" s="339">
        <f t="shared" si="199"/>
        <v>55.600000000000009</v>
      </c>
      <c r="J501" s="431">
        <f t="shared" si="200"/>
        <v>556</v>
      </c>
      <c r="K501" s="510">
        <f t="shared" si="207"/>
        <v>438</v>
      </c>
      <c r="L501" s="510">
        <f t="shared" si="208"/>
        <v>118</v>
      </c>
      <c r="M501" s="519"/>
      <c r="N501" s="519"/>
      <c r="O501" s="519"/>
      <c r="P501" s="519"/>
      <c r="Q501" s="519"/>
      <c r="R501" s="519"/>
      <c r="S501" s="519"/>
      <c r="T501" s="519">
        <f t="shared" si="201"/>
        <v>27.8</v>
      </c>
      <c r="U501" s="519"/>
      <c r="V501" s="519">
        <f t="shared" si="202"/>
        <v>55.6</v>
      </c>
      <c r="W501" s="519">
        <f t="shared" si="203"/>
        <v>83.399999999999991</v>
      </c>
      <c r="X501" s="519">
        <f t="shared" si="204"/>
        <v>111.2</v>
      </c>
      <c r="Y501" s="519">
        <f t="shared" si="205"/>
        <v>166.79999999999998</v>
      </c>
      <c r="Z501" s="519">
        <f t="shared" si="206"/>
        <v>111.2</v>
      </c>
    </row>
    <row r="502" spans="1:26" s="512" customFormat="1" ht="30">
      <c r="A502" s="338" t="s">
        <v>8504</v>
      </c>
      <c r="B502" s="576" t="s">
        <v>6333</v>
      </c>
      <c r="C502" s="576">
        <v>8687</v>
      </c>
      <c r="D502" s="532" t="s">
        <v>8483</v>
      </c>
      <c r="E502" s="341">
        <v>7</v>
      </c>
      <c r="F502" s="342" t="s">
        <v>6337</v>
      </c>
      <c r="G502" s="352">
        <v>31.82</v>
      </c>
      <c r="H502" s="339">
        <f t="shared" si="198"/>
        <v>8.57</v>
      </c>
      <c r="I502" s="339">
        <f t="shared" si="199"/>
        <v>40.39</v>
      </c>
      <c r="J502" s="431">
        <f t="shared" si="200"/>
        <v>282.73</v>
      </c>
      <c r="K502" s="510">
        <f t="shared" si="207"/>
        <v>222.74</v>
      </c>
      <c r="L502" s="510">
        <f t="shared" si="208"/>
        <v>59.99</v>
      </c>
      <c r="M502" s="519"/>
      <c r="N502" s="519"/>
      <c r="O502" s="519"/>
      <c r="P502" s="519"/>
      <c r="Q502" s="519"/>
      <c r="R502" s="519"/>
      <c r="S502" s="519"/>
      <c r="T502" s="519">
        <f t="shared" si="201"/>
        <v>14.136500000000002</v>
      </c>
      <c r="U502" s="519"/>
      <c r="V502" s="519">
        <f t="shared" si="202"/>
        <v>28.273000000000003</v>
      </c>
      <c r="W502" s="519">
        <f t="shared" si="203"/>
        <v>42.409500000000001</v>
      </c>
      <c r="X502" s="519">
        <f t="shared" si="204"/>
        <v>56.546000000000006</v>
      </c>
      <c r="Y502" s="519">
        <f t="shared" si="205"/>
        <v>84.819000000000003</v>
      </c>
      <c r="Z502" s="519">
        <f t="shared" si="206"/>
        <v>56.546000000000006</v>
      </c>
    </row>
    <row r="503" spans="1:26" s="512" customFormat="1" ht="30">
      <c r="A503" s="338" t="s">
        <v>8505</v>
      </c>
      <c r="B503" s="576" t="s">
        <v>6753</v>
      </c>
      <c r="C503" s="576" t="s">
        <v>8918</v>
      </c>
      <c r="D503" s="532" t="s">
        <v>8482</v>
      </c>
      <c r="E503" s="341">
        <v>27</v>
      </c>
      <c r="F503" s="342" t="s">
        <v>6337</v>
      </c>
      <c r="G503" s="352">
        <v>14.16</v>
      </c>
      <c r="H503" s="339">
        <f t="shared" si="198"/>
        <v>3.81</v>
      </c>
      <c r="I503" s="339">
        <f t="shared" si="199"/>
        <v>17.97</v>
      </c>
      <c r="J503" s="431">
        <f t="shared" si="200"/>
        <v>485.19</v>
      </c>
      <c r="K503" s="510">
        <f t="shared" si="207"/>
        <v>382.32</v>
      </c>
      <c r="L503" s="510">
        <f t="shared" si="208"/>
        <v>102.87</v>
      </c>
      <c r="M503" s="519"/>
      <c r="N503" s="519"/>
      <c r="O503" s="519"/>
      <c r="P503" s="519"/>
      <c r="Q503" s="519"/>
      <c r="R503" s="519"/>
      <c r="S503" s="519"/>
      <c r="T503" s="519">
        <f t="shared" si="201"/>
        <v>24.259500000000003</v>
      </c>
      <c r="U503" s="519"/>
      <c r="V503" s="519">
        <f t="shared" si="202"/>
        <v>48.519000000000005</v>
      </c>
      <c r="W503" s="519">
        <f t="shared" si="203"/>
        <v>72.778499999999994</v>
      </c>
      <c r="X503" s="519">
        <f t="shared" si="204"/>
        <v>97.038000000000011</v>
      </c>
      <c r="Y503" s="519">
        <f t="shared" si="205"/>
        <v>145.55699999999999</v>
      </c>
      <c r="Z503" s="519">
        <f t="shared" si="206"/>
        <v>97.038000000000011</v>
      </c>
    </row>
    <row r="504" spans="1:26" s="512" customFormat="1" ht="30">
      <c r="A504" s="338" t="s">
        <v>8506</v>
      </c>
      <c r="B504" s="576" t="s">
        <v>6753</v>
      </c>
      <c r="C504" s="576" t="s">
        <v>8922</v>
      </c>
      <c r="D504" s="532" t="s">
        <v>8484</v>
      </c>
      <c r="E504" s="341">
        <v>2</v>
      </c>
      <c r="F504" s="342" t="s">
        <v>6337</v>
      </c>
      <c r="G504" s="352">
        <v>12.93</v>
      </c>
      <c r="H504" s="339">
        <f t="shared" si="198"/>
        <v>3.48</v>
      </c>
      <c r="I504" s="339">
        <f t="shared" si="199"/>
        <v>16.41</v>
      </c>
      <c r="J504" s="431">
        <f t="shared" si="200"/>
        <v>32.82</v>
      </c>
      <c r="K504" s="510">
        <f t="shared" si="207"/>
        <v>25.86</v>
      </c>
      <c r="L504" s="510">
        <f t="shared" si="208"/>
        <v>6.96</v>
      </c>
      <c r="M504" s="519"/>
      <c r="N504" s="519"/>
      <c r="O504" s="519"/>
      <c r="P504" s="519"/>
      <c r="Q504" s="519"/>
      <c r="R504" s="519"/>
      <c r="S504" s="519"/>
      <c r="T504" s="519">
        <f t="shared" si="201"/>
        <v>1.641</v>
      </c>
      <c r="U504" s="519"/>
      <c r="V504" s="519">
        <f t="shared" si="202"/>
        <v>3.282</v>
      </c>
      <c r="W504" s="519">
        <f t="shared" si="203"/>
        <v>4.923</v>
      </c>
      <c r="X504" s="519">
        <f t="shared" si="204"/>
        <v>6.5640000000000001</v>
      </c>
      <c r="Y504" s="519">
        <f t="shared" si="205"/>
        <v>9.8460000000000001</v>
      </c>
      <c r="Z504" s="519">
        <f t="shared" si="206"/>
        <v>6.5640000000000001</v>
      </c>
    </row>
    <row r="505" spans="1:26" s="512" customFormat="1" ht="30">
      <c r="A505" s="338" t="s">
        <v>8507</v>
      </c>
      <c r="B505" s="576" t="s">
        <v>6333</v>
      </c>
      <c r="C505" s="576" t="s">
        <v>8528</v>
      </c>
      <c r="D505" s="532" t="s">
        <v>8485</v>
      </c>
      <c r="E505" s="341">
        <v>65</v>
      </c>
      <c r="F505" s="342" t="s">
        <v>6337</v>
      </c>
      <c r="G505" s="352">
        <v>9.14</v>
      </c>
      <c r="H505" s="339">
        <f t="shared" si="198"/>
        <v>2.46</v>
      </c>
      <c r="I505" s="339">
        <f t="shared" si="199"/>
        <v>11.600000000000001</v>
      </c>
      <c r="J505" s="431">
        <f t="shared" si="200"/>
        <v>754</v>
      </c>
      <c r="K505" s="510">
        <f t="shared" si="207"/>
        <v>594.1</v>
      </c>
      <c r="L505" s="510">
        <f t="shared" si="208"/>
        <v>159.9</v>
      </c>
      <c r="M505" s="519"/>
      <c r="N505" s="519"/>
      <c r="O505" s="519"/>
      <c r="P505" s="519"/>
      <c r="Q505" s="519"/>
      <c r="R505" s="519"/>
      <c r="S505" s="519"/>
      <c r="T505" s="519">
        <f t="shared" si="201"/>
        <v>37.700000000000003</v>
      </c>
      <c r="U505" s="519"/>
      <c r="V505" s="519">
        <f t="shared" si="202"/>
        <v>75.400000000000006</v>
      </c>
      <c r="W505" s="519">
        <f t="shared" si="203"/>
        <v>113.1</v>
      </c>
      <c r="X505" s="519">
        <f t="shared" si="204"/>
        <v>150.80000000000001</v>
      </c>
      <c r="Y505" s="519">
        <f t="shared" si="205"/>
        <v>226.2</v>
      </c>
      <c r="Z505" s="519">
        <f t="shared" si="206"/>
        <v>150.80000000000001</v>
      </c>
    </row>
    <row r="506" spans="1:26" s="512" customFormat="1" ht="30">
      <c r="A506" s="338" t="s">
        <v>8508</v>
      </c>
      <c r="B506" s="576" t="s">
        <v>6333</v>
      </c>
      <c r="C506" s="576">
        <v>8695</v>
      </c>
      <c r="D506" s="532" t="s">
        <v>8486</v>
      </c>
      <c r="E506" s="341">
        <v>450</v>
      </c>
      <c r="F506" s="342" t="s">
        <v>6337</v>
      </c>
      <c r="G506" s="352">
        <v>8.7200000000000006</v>
      </c>
      <c r="H506" s="339">
        <f t="shared" si="198"/>
        <v>2.35</v>
      </c>
      <c r="I506" s="339">
        <f t="shared" si="199"/>
        <v>11.07</v>
      </c>
      <c r="J506" s="431">
        <f t="shared" si="200"/>
        <v>4981.5</v>
      </c>
      <c r="K506" s="510">
        <f t="shared" si="207"/>
        <v>3924</v>
      </c>
      <c r="L506" s="510">
        <f t="shared" si="208"/>
        <v>1057.5</v>
      </c>
      <c r="M506" s="519"/>
      <c r="N506" s="519"/>
      <c r="O506" s="519"/>
      <c r="P506" s="519"/>
      <c r="Q506" s="519"/>
      <c r="R506" s="519"/>
      <c r="S506" s="519"/>
      <c r="T506" s="519">
        <f t="shared" si="201"/>
        <v>249.07500000000002</v>
      </c>
      <c r="U506" s="519"/>
      <c r="V506" s="519">
        <f t="shared" si="202"/>
        <v>498.15000000000003</v>
      </c>
      <c r="W506" s="519">
        <f t="shared" si="203"/>
        <v>747.22500000000002</v>
      </c>
      <c r="X506" s="519">
        <f t="shared" si="204"/>
        <v>996.30000000000007</v>
      </c>
      <c r="Y506" s="519">
        <f t="shared" si="205"/>
        <v>1494.45</v>
      </c>
      <c r="Z506" s="519">
        <f t="shared" si="206"/>
        <v>996.30000000000007</v>
      </c>
    </row>
    <row r="507" spans="1:26" s="512" customFormat="1" ht="30">
      <c r="A507" s="338" t="s">
        <v>8509</v>
      </c>
      <c r="B507" s="576" t="s">
        <v>6333</v>
      </c>
      <c r="C507" s="576">
        <v>8110</v>
      </c>
      <c r="D507" s="532" t="s">
        <v>8487</v>
      </c>
      <c r="E507" s="341">
        <v>34</v>
      </c>
      <c r="F507" s="342" t="s">
        <v>6337</v>
      </c>
      <c r="G507" s="352">
        <v>12.379999999999999</v>
      </c>
      <c r="H507" s="339">
        <f t="shared" si="198"/>
        <v>3.33</v>
      </c>
      <c r="I507" s="339">
        <f t="shared" si="199"/>
        <v>15.709999999999999</v>
      </c>
      <c r="J507" s="431">
        <f t="shared" si="200"/>
        <v>534.14</v>
      </c>
      <c r="K507" s="510">
        <f t="shared" si="207"/>
        <v>420.92</v>
      </c>
      <c r="L507" s="510">
        <f t="shared" si="208"/>
        <v>113.22</v>
      </c>
      <c r="M507" s="519"/>
      <c r="N507" s="519"/>
      <c r="O507" s="519"/>
      <c r="P507" s="519"/>
      <c r="Q507" s="519"/>
      <c r="R507" s="519"/>
      <c r="S507" s="519"/>
      <c r="T507" s="519">
        <f t="shared" si="201"/>
        <v>26.707000000000001</v>
      </c>
      <c r="U507" s="519"/>
      <c r="V507" s="519">
        <f t="shared" si="202"/>
        <v>53.414000000000001</v>
      </c>
      <c r="W507" s="519">
        <f t="shared" si="203"/>
        <v>80.120999999999995</v>
      </c>
      <c r="X507" s="519">
        <f t="shared" si="204"/>
        <v>106.828</v>
      </c>
      <c r="Y507" s="519">
        <f t="shared" si="205"/>
        <v>160.24199999999999</v>
      </c>
      <c r="Z507" s="519">
        <f t="shared" si="206"/>
        <v>106.828</v>
      </c>
    </row>
    <row r="508" spans="1:26" s="512" customFormat="1" ht="30">
      <c r="A508" s="338" t="s">
        <v>8510</v>
      </c>
      <c r="B508" s="576" t="s">
        <v>6333</v>
      </c>
      <c r="C508" s="576" t="s">
        <v>8534</v>
      </c>
      <c r="D508" s="532" t="s">
        <v>8488</v>
      </c>
      <c r="E508" s="341">
        <v>9</v>
      </c>
      <c r="F508" s="342" t="s">
        <v>6337</v>
      </c>
      <c r="G508" s="352">
        <v>11.32</v>
      </c>
      <c r="H508" s="339">
        <f t="shared" si="198"/>
        <v>3.05</v>
      </c>
      <c r="I508" s="339">
        <f t="shared" si="199"/>
        <v>14.370000000000001</v>
      </c>
      <c r="J508" s="431">
        <f t="shared" si="200"/>
        <v>129.33000000000001</v>
      </c>
      <c r="K508" s="510">
        <f t="shared" si="207"/>
        <v>101.88</v>
      </c>
      <c r="L508" s="510">
        <f t="shared" si="208"/>
        <v>27.45</v>
      </c>
      <c r="M508" s="519"/>
      <c r="N508" s="519"/>
      <c r="O508" s="519"/>
      <c r="P508" s="519"/>
      <c r="Q508" s="519"/>
      <c r="R508" s="519"/>
      <c r="S508" s="519"/>
      <c r="T508" s="519">
        <f t="shared" si="201"/>
        <v>6.4665000000000008</v>
      </c>
      <c r="U508" s="519"/>
      <c r="V508" s="519">
        <f t="shared" si="202"/>
        <v>12.933000000000002</v>
      </c>
      <c r="W508" s="519">
        <f t="shared" si="203"/>
        <v>19.3995</v>
      </c>
      <c r="X508" s="519">
        <f t="shared" si="204"/>
        <v>25.866000000000003</v>
      </c>
      <c r="Y508" s="519">
        <f t="shared" si="205"/>
        <v>38.798999999999999</v>
      </c>
      <c r="Z508" s="519">
        <f t="shared" si="206"/>
        <v>25.866000000000003</v>
      </c>
    </row>
    <row r="509" spans="1:26" s="512" customFormat="1" ht="30">
      <c r="A509" s="338" t="s">
        <v>8511</v>
      </c>
      <c r="B509" s="576" t="s">
        <v>6333</v>
      </c>
      <c r="C509" s="576">
        <v>11295</v>
      </c>
      <c r="D509" s="532" t="s">
        <v>8489</v>
      </c>
      <c r="E509" s="341">
        <v>100</v>
      </c>
      <c r="F509" s="342" t="s">
        <v>6337</v>
      </c>
      <c r="G509" s="352">
        <v>9.5300000000000011</v>
      </c>
      <c r="H509" s="339">
        <f t="shared" si="198"/>
        <v>2.57</v>
      </c>
      <c r="I509" s="339">
        <f t="shared" si="199"/>
        <v>12.100000000000001</v>
      </c>
      <c r="J509" s="431">
        <f t="shared" si="200"/>
        <v>1210</v>
      </c>
      <c r="K509" s="510">
        <f t="shared" si="207"/>
        <v>953</v>
      </c>
      <c r="L509" s="510">
        <f t="shared" si="208"/>
        <v>257</v>
      </c>
      <c r="M509" s="519"/>
      <c r="N509" s="519"/>
      <c r="O509" s="519"/>
      <c r="P509" s="519"/>
      <c r="Q509" s="519"/>
      <c r="R509" s="519"/>
      <c r="S509" s="519"/>
      <c r="T509" s="519">
        <f t="shared" si="201"/>
        <v>60.5</v>
      </c>
      <c r="U509" s="519"/>
      <c r="V509" s="519">
        <f t="shared" si="202"/>
        <v>121</v>
      </c>
      <c r="W509" s="519">
        <f t="shared" si="203"/>
        <v>181.5</v>
      </c>
      <c r="X509" s="519">
        <f t="shared" si="204"/>
        <v>242</v>
      </c>
      <c r="Y509" s="519">
        <f t="shared" si="205"/>
        <v>363</v>
      </c>
      <c r="Z509" s="519">
        <f t="shared" si="206"/>
        <v>242</v>
      </c>
    </row>
    <row r="510" spans="1:26" s="512" customFormat="1" ht="30">
      <c r="A510" s="338" t="s">
        <v>8512</v>
      </c>
      <c r="B510" s="576" t="s">
        <v>6333</v>
      </c>
      <c r="C510" s="576">
        <v>11848</v>
      </c>
      <c r="D510" s="532" t="s">
        <v>8490</v>
      </c>
      <c r="E510" s="341">
        <v>333</v>
      </c>
      <c r="F510" s="342" t="s">
        <v>6337</v>
      </c>
      <c r="G510" s="352">
        <v>8.65</v>
      </c>
      <c r="H510" s="339">
        <f t="shared" si="198"/>
        <v>2.33</v>
      </c>
      <c r="I510" s="339">
        <f t="shared" si="199"/>
        <v>10.98</v>
      </c>
      <c r="J510" s="431">
        <f t="shared" si="200"/>
        <v>3656.34</v>
      </c>
      <c r="K510" s="510">
        <f t="shared" si="207"/>
        <v>2880.45</v>
      </c>
      <c r="L510" s="510">
        <f t="shared" si="208"/>
        <v>775.89</v>
      </c>
      <c r="M510" s="519"/>
      <c r="N510" s="519"/>
      <c r="O510" s="519"/>
      <c r="P510" s="519"/>
      <c r="Q510" s="519"/>
      <c r="R510" s="519"/>
      <c r="S510" s="519"/>
      <c r="T510" s="519">
        <f t="shared" si="201"/>
        <v>182.81700000000001</v>
      </c>
      <c r="U510" s="519"/>
      <c r="V510" s="519">
        <f t="shared" si="202"/>
        <v>365.63400000000001</v>
      </c>
      <c r="W510" s="519">
        <f t="shared" si="203"/>
        <v>548.45100000000002</v>
      </c>
      <c r="X510" s="519">
        <f t="shared" si="204"/>
        <v>731.26800000000003</v>
      </c>
      <c r="Y510" s="519">
        <f t="shared" si="205"/>
        <v>1096.902</v>
      </c>
      <c r="Z510" s="519">
        <f t="shared" si="206"/>
        <v>731.26800000000003</v>
      </c>
    </row>
    <row r="511" spans="1:26" s="512" customFormat="1" ht="30">
      <c r="A511" s="338" t="s">
        <v>8513</v>
      </c>
      <c r="B511" s="576" t="s">
        <v>6333</v>
      </c>
      <c r="C511" s="576" t="s">
        <v>8535</v>
      </c>
      <c r="D511" s="532" t="s">
        <v>8491</v>
      </c>
      <c r="E511" s="341">
        <v>1</v>
      </c>
      <c r="F511" s="342" t="s">
        <v>6337</v>
      </c>
      <c r="G511" s="352">
        <v>97.02</v>
      </c>
      <c r="H511" s="339">
        <f t="shared" si="198"/>
        <v>26.13</v>
      </c>
      <c r="I511" s="339">
        <f t="shared" si="199"/>
        <v>123.14999999999999</v>
      </c>
      <c r="J511" s="431">
        <f t="shared" si="200"/>
        <v>123.15</v>
      </c>
      <c r="K511" s="510">
        <f t="shared" si="207"/>
        <v>97.02</v>
      </c>
      <c r="L511" s="510">
        <f t="shared" si="208"/>
        <v>26.13</v>
      </c>
      <c r="M511" s="519"/>
      <c r="N511" s="519"/>
      <c r="O511" s="519"/>
      <c r="P511" s="519"/>
      <c r="Q511" s="519"/>
      <c r="R511" s="519"/>
      <c r="S511" s="519"/>
      <c r="T511" s="519">
        <f t="shared" si="201"/>
        <v>6.1575000000000006</v>
      </c>
      <c r="U511" s="519"/>
      <c r="V511" s="519">
        <f t="shared" si="202"/>
        <v>12.315000000000001</v>
      </c>
      <c r="W511" s="519">
        <f t="shared" si="203"/>
        <v>18.4725</v>
      </c>
      <c r="X511" s="519">
        <f t="shared" si="204"/>
        <v>24.630000000000003</v>
      </c>
      <c r="Y511" s="519">
        <f t="shared" si="205"/>
        <v>36.945</v>
      </c>
      <c r="Z511" s="519">
        <f t="shared" si="206"/>
        <v>24.630000000000003</v>
      </c>
    </row>
    <row r="512" spans="1:26" s="512" customFormat="1" ht="30">
      <c r="A512" s="338" t="s">
        <v>8514</v>
      </c>
      <c r="B512" s="576" t="s">
        <v>6333</v>
      </c>
      <c r="C512" s="576" t="s">
        <v>8536</v>
      </c>
      <c r="D512" s="532" t="s">
        <v>8492</v>
      </c>
      <c r="E512" s="341">
        <v>1</v>
      </c>
      <c r="F512" s="342" t="s">
        <v>6337</v>
      </c>
      <c r="G512" s="352">
        <v>58.870000000000005</v>
      </c>
      <c r="H512" s="339">
        <f t="shared" si="198"/>
        <v>15.85</v>
      </c>
      <c r="I512" s="339">
        <f t="shared" si="199"/>
        <v>74.72</v>
      </c>
      <c r="J512" s="431">
        <f t="shared" si="200"/>
        <v>74.72</v>
      </c>
      <c r="K512" s="510">
        <f t="shared" si="207"/>
        <v>58.87</v>
      </c>
      <c r="L512" s="510">
        <f t="shared" si="208"/>
        <v>15.85</v>
      </c>
      <c r="M512" s="519"/>
      <c r="N512" s="519"/>
      <c r="O512" s="519"/>
      <c r="P512" s="519"/>
      <c r="Q512" s="519"/>
      <c r="R512" s="519"/>
      <c r="S512" s="519"/>
      <c r="T512" s="519">
        <f t="shared" si="201"/>
        <v>3.7360000000000002</v>
      </c>
      <c r="U512" s="519"/>
      <c r="V512" s="519">
        <f t="shared" si="202"/>
        <v>7.4720000000000004</v>
      </c>
      <c r="W512" s="519">
        <f t="shared" si="203"/>
        <v>11.208</v>
      </c>
      <c r="X512" s="519">
        <f t="shared" si="204"/>
        <v>14.944000000000001</v>
      </c>
      <c r="Y512" s="519">
        <f t="shared" si="205"/>
        <v>22.416</v>
      </c>
      <c r="Z512" s="519">
        <f t="shared" si="206"/>
        <v>14.944000000000001</v>
      </c>
    </row>
    <row r="513" spans="1:26" s="512" customFormat="1" ht="30">
      <c r="A513" s="338" t="s">
        <v>15450</v>
      </c>
      <c r="B513" s="576" t="s">
        <v>6333</v>
      </c>
      <c r="C513" s="576" t="s">
        <v>8537</v>
      </c>
      <c r="D513" s="532" t="s">
        <v>8493</v>
      </c>
      <c r="E513" s="341">
        <v>20</v>
      </c>
      <c r="F513" s="342" t="s">
        <v>6337</v>
      </c>
      <c r="G513" s="352">
        <v>45.29</v>
      </c>
      <c r="H513" s="339">
        <f t="shared" ref="H513:H520" si="209">ROUND(G513*$B$13,2)</f>
        <v>12.2</v>
      </c>
      <c r="I513" s="339">
        <f t="shared" ref="I513:I525" si="210">H513+G513</f>
        <v>57.489999999999995</v>
      </c>
      <c r="J513" s="431">
        <f t="shared" ref="J513:J525" si="211">ROUND(I513*E513,2)</f>
        <v>1149.8</v>
      </c>
      <c r="K513" s="510">
        <f t="shared" si="207"/>
        <v>905.8</v>
      </c>
      <c r="L513" s="510">
        <f t="shared" si="208"/>
        <v>244</v>
      </c>
      <c r="M513" s="519"/>
      <c r="N513" s="519"/>
      <c r="O513" s="519"/>
      <c r="P513" s="519"/>
      <c r="Q513" s="519"/>
      <c r="R513" s="519"/>
      <c r="S513" s="519"/>
      <c r="T513" s="519">
        <f t="shared" si="201"/>
        <v>57.49</v>
      </c>
      <c r="U513" s="519"/>
      <c r="V513" s="519">
        <f t="shared" si="202"/>
        <v>114.98</v>
      </c>
      <c r="W513" s="519">
        <f t="shared" si="203"/>
        <v>172.47</v>
      </c>
      <c r="X513" s="519">
        <f t="shared" si="204"/>
        <v>229.96</v>
      </c>
      <c r="Y513" s="519">
        <f t="shared" si="205"/>
        <v>344.94</v>
      </c>
      <c r="Z513" s="519">
        <f t="shared" si="206"/>
        <v>229.96</v>
      </c>
    </row>
    <row r="514" spans="1:26" s="512" customFormat="1" ht="30">
      <c r="A514" s="338" t="s">
        <v>8372</v>
      </c>
      <c r="B514" s="576" t="s">
        <v>6333</v>
      </c>
      <c r="C514" s="576" t="s">
        <v>7290</v>
      </c>
      <c r="D514" s="336" t="s">
        <v>7270</v>
      </c>
      <c r="E514" s="341">
        <v>27</v>
      </c>
      <c r="F514" s="342" t="s">
        <v>6337</v>
      </c>
      <c r="G514" s="352">
        <v>60.44</v>
      </c>
      <c r="H514" s="339">
        <f t="shared" si="209"/>
        <v>16.28</v>
      </c>
      <c r="I514" s="339">
        <f t="shared" si="210"/>
        <v>76.72</v>
      </c>
      <c r="J514" s="431">
        <f t="shared" si="211"/>
        <v>2071.44</v>
      </c>
      <c r="K514" s="510">
        <f t="shared" si="207"/>
        <v>1631.88</v>
      </c>
      <c r="L514" s="510">
        <f t="shared" si="208"/>
        <v>439.56</v>
      </c>
      <c r="M514" s="519"/>
      <c r="N514" s="519"/>
      <c r="O514" s="519"/>
      <c r="P514" s="519"/>
      <c r="Q514" s="519"/>
      <c r="R514" s="519"/>
      <c r="S514" s="519"/>
      <c r="T514" s="519">
        <f t="shared" si="201"/>
        <v>103.572</v>
      </c>
      <c r="U514" s="519"/>
      <c r="V514" s="519">
        <f t="shared" si="202"/>
        <v>207.14400000000001</v>
      </c>
      <c r="W514" s="519">
        <f t="shared" si="203"/>
        <v>310.71600000000001</v>
      </c>
      <c r="X514" s="519">
        <f t="shared" si="204"/>
        <v>414.28800000000001</v>
      </c>
      <c r="Y514" s="519">
        <f t="shared" si="205"/>
        <v>621.43200000000002</v>
      </c>
      <c r="Z514" s="519">
        <f t="shared" si="206"/>
        <v>414.28800000000001</v>
      </c>
    </row>
    <row r="515" spans="1:26" s="512" customFormat="1" ht="30">
      <c r="A515" s="338" t="s">
        <v>8373</v>
      </c>
      <c r="B515" s="576" t="s">
        <v>6333</v>
      </c>
      <c r="C515" s="576" t="s">
        <v>7291</v>
      </c>
      <c r="D515" s="336" t="s">
        <v>7271</v>
      </c>
      <c r="E515" s="341">
        <v>4</v>
      </c>
      <c r="F515" s="342" t="s">
        <v>6337</v>
      </c>
      <c r="G515" s="352">
        <v>85.33</v>
      </c>
      <c r="H515" s="339">
        <f t="shared" si="209"/>
        <v>22.98</v>
      </c>
      <c r="I515" s="339">
        <f t="shared" si="210"/>
        <v>108.31</v>
      </c>
      <c r="J515" s="431">
        <f t="shared" si="211"/>
        <v>433.24</v>
      </c>
      <c r="K515" s="510">
        <f t="shared" si="207"/>
        <v>341.32</v>
      </c>
      <c r="L515" s="510">
        <f t="shared" si="208"/>
        <v>91.92</v>
      </c>
      <c r="M515" s="519"/>
      <c r="N515" s="519"/>
      <c r="O515" s="519"/>
      <c r="P515" s="519"/>
      <c r="Q515" s="519"/>
      <c r="R515" s="519"/>
      <c r="S515" s="519"/>
      <c r="T515" s="519">
        <f t="shared" si="201"/>
        <v>21.662000000000003</v>
      </c>
      <c r="U515" s="519"/>
      <c r="V515" s="519">
        <f t="shared" si="202"/>
        <v>43.324000000000005</v>
      </c>
      <c r="W515" s="519">
        <f t="shared" si="203"/>
        <v>64.986000000000004</v>
      </c>
      <c r="X515" s="519">
        <f t="shared" si="204"/>
        <v>86.64800000000001</v>
      </c>
      <c r="Y515" s="519">
        <f t="shared" si="205"/>
        <v>129.97200000000001</v>
      </c>
      <c r="Z515" s="519">
        <f t="shared" si="206"/>
        <v>86.64800000000001</v>
      </c>
    </row>
    <row r="516" spans="1:26" s="512" customFormat="1" ht="30">
      <c r="A516" s="338" t="s">
        <v>8374</v>
      </c>
      <c r="B516" s="576" t="s">
        <v>6333</v>
      </c>
      <c r="C516" s="576" t="s">
        <v>8422</v>
      </c>
      <c r="D516" s="336" t="s">
        <v>8421</v>
      </c>
      <c r="E516" s="341">
        <v>11</v>
      </c>
      <c r="F516" s="342" t="s">
        <v>6337</v>
      </c>
      <c r="G516" s="352">
        <v>133.96</v>
      </c>
      <c r="H516" s="339">
        <f t="shared" si="209"/>
        <v>36.08</v>
      </c>
      <c r="I516" s="339">
        <f t="shared" si="210"/>
        <v>170.04000000000002</v>
      </c>
      <c r="J516" s="431">
        <f t="shared" si="211"/>
        <v>1870.44</v>
      </c>
      <c r="K516" s="510">
        <f t="shared" si="207"/>
        <v>1473.56</v>
      </c>
      <c r="L516" s="510">
        <f t="shared" si="208"/>
        <v>396.88</v>
      </c>
      <c r="M516" s="519"/>
      <c r="N516" s="519"/>
      <c r="O516" s="519"/>
      <c r="P516" s="519"/>
      <c r="Q516" s="519"/>
      <c r="R516" s="519"/>
      <c r="S516" s="519"/>
      <c r="T516" s="519">
        <f t="shared" si="201"/>
        <v>93.522000000000006</v>
      </c>
      <c r="U516" s="519"/>
      <c r="V516" s="519">
        <f t="shared" si="202"/>
        <v>187.04400000000001</v>
      </c>
      <c r="W516" s="519">
        <f t="shared" si="203"/>
        <v>280.56599999999997</v>
      </c>
      <c r="X516" s="519">
        <f t="shared" si="204"/>
        <v>374.08800000000002</v>
      </c>
      <c r="Y516" s="519">
        <f t="shared" si="205"/>
        <v>561.13199999999995</v>
      </c>
      <c r="Z516" s="519">
        <f t="shared" si="206"/>
        <v>374.08800000000002</v>
      </c>
    </row>
    <row r="517" spans="1:26" s="512" customFormat="1" ht="30">
      <c r="A517" s="338" t="s">
        <v>8375</v>
      </c>
      <c r="B517" s="576" t="s">
        <v>6333</v>
      </c>
      <c r="C517" s="576" t="s">
        <v>8423</v>
      </c>
      <c r="D517" s="336" t="s">
        <v>7272</v>
      </c>
      <c r="E517" s="341">
        <v>8</v>
      </c>
      <c r="F517" s="342" t="s">
        <v>6337</v>
      </c>
      <c r="G517" s="352">
        <v>134.05000000000001</v>
      </c>
      <c r="H517" s="339">
        <f t="shared" si="209"/>
        <v>36.1</v>
      </c>
      <c r="I517" s="339">
        <f t="shared" si="210"/>
        <v>170.15</v>
      </c>
      <c r="J517" s="431">
        <f t="shared" si="211"/>
        <v>1361.2</v>
      </c>
      <c r="K517" s="510">
        <f t="shared" si="207"/>
        <v>1072.4000000000001</v>
      </c>
      <c r="L517" s="510">
        <f t="shared" si="208"/>
        <v>288.8</v>
      </c>
      <c r="M517" s="519"/>
      <c r="N517" s="519"/>
      <c r="O517" s="519"/>
      <c r="P517" s="519"/>
      <c r="Q517" s="519"/>
      <c r="R517" s="519"/>
      <c r="S517" s="519"/>
      <c r="T517" s="519">
        <f t="shared" si="201"/>
        <v>68.06</v>
      </c>
      <c r="U517" s="519"/>
      <c r="V517" s="519">
        <f t="shared" si="202"/>
        <v>136.12</v>
      </c>
      <c r="W517" s="519">
        <f t="shared" si="203"/>
        <v>204.18</v>
      </c>
      <c r="X517" s="519">
        <f t="shared" si="204"/>
        <v>272.24</v>
      </c>
      <c r="Y517" s="519">
        <f t="shared" si="205"/>
        <v>408.36</v>
      </c>
      <c r="Z517" s="519">
        <f t="shared" si="206"/>
        <v>272.24</v>
      </c>
    </row>
    <row r="518" spans="1:26" s="512" customFormat="1" ht="30">
      <c r="A518" s="338" t="s">
        <v>8376</v>
      </c>
      <c r="B518" s="576" t="s">
        <v>6333</v>
      </c>
      <c r="C518" s="576" t="s">
        <v>8424</v>
      </c>
      <c r="D518" s="336" t="s">
        <v>7273</v>
      </c>
      <c r="E518" s="341">
        <v>1</v>
      </c>
      <c r="F518" s="342" t="s">
        <v>6337</v>
      </c>
      <c r="G518" s="352">
        <v>144.64999999999998</v>
      </c>
      <c r="H518" s="339">
        <f t="shared" si="209"/>
        <v>38.950000000000003</v>
      </c>
      <c r="I518" s="339">
        <f t="shared" si="210"/>
        <v>183.59999999999997</v>
      </c>
      <c r="J518" s="431">
        <f t="shared" si="211"/>
        <v>183.6</v>
      </c>
      <c r="K518" s="510">
        <f t="shared" si="207"/>
        <v>144.65</v>
      </c>
      <c r="L518" s="510">
        <f t="shared" si="208"/>
        <v>38.950000000000003</v>
      </c>
      <c r="M518" s="519"/>
      <c r="N518" s="519"/>
      <c r="O518" s="519"/>
      <c r="P518" s="519"/>
      <c r="Q518" s="519"/>
      <c r="R518" s="519"/>
      <c r="S518" s="519"/>
      <c r="T518" s="519">
        <f t="shared" si="201"/>
        <v>9.18</v>
      </c>
      <c r="U518" s="519"/>
      <c r="V518" s="519">
        <f t="shared" si="202"/>
        <v>18.36</v>
      </c>
      <c r="W518" s="519">
        <f t="shared" si="203"/>
        <v>27.54</v>
      </c>
      <c r="X518" s="519">
        <f t="shared" si="204"/>
        <v>36.72</v>
      </c>
      <c r="Y518" s="519">
        <f t="shared" si="205"/>
        <v>55.08</v>
      </c>
      <c r="Z518" s="519">
        <f t="shared" si="206"/>
        <v>36.72</v>
      </c>
    </row>
    <row r="519" spans="1:26" s="512" customFormat="1" ht="30">
      <c r="A519" s="338" t="s">
        <v>8377</v>
      </c>
      <c r="B519" s="576" t="s">
        <v>6333</v>
      </c>
      <c r="C519" s="576" t="s">
        <v>8425</v>
      </c>
      <c r="D519" s="336" t="s">
        <v>7274</v>
      </c>
      <c r="E519" s="341">
        <v>3</v>
      </c>
      <c r="F519" s="342" t="s">
        <v>6337</v>
      </c>
      <c r="G519" s="352">
        <v>255.68</v>
      </c>
      <c r="H519" s="339">
        <f t="shared" si="209"/>
        <v>68.849999999999994</v>
      </c>
      <c r="I519" s="339">
        <f t="shared" si="210"/>
        <v>324.52999999999997</v>
      </c>
      <c r="J519" s="431">
        <f t="shared" si="211"/>
        <v>973.59</v>
      </c>
      <c r="K519" s="510">
        <f t="shared" si="207"/>
        <v>767.04</v>
      </c>
      <c r="L519" s="510">
        <f t="shared" si="208"/>
        <v>206.55</v>
      </c>
      <c r="M519" s="519"/>
      <c r="N519" s="519"/>
      <c r="O519" s="519"/>
      <c r="P519" s="519"/>
      <c r="Q519" s="519"/>
      <c r="R519" s="519"/>
      <c r="S519" s="519"/>
      <c r="T519" s="519">
        <f t="shared" si="201"/>
        <v>48.679500000000004</v>
      </c>
      <c r="U519" s="519"/>
      <c r="V519" s="519">
        <f t="shared" si="202"/>
        <v>97.359000000000009</v>
      </c>
      <c r="W519" s="519">
        <f t="shared" si="203"/>
        <v>146.0385</v>
      </c>
      <c r="X519" s="519">
        <f t="shared" si="204"/>
        <v>194.71800000000002</v>
      </c>
      <c r="Y519" s="519">
        <f t="shared" si="205"/>
        <v>292.077</v>
      </c>
      <c r="Z519" s="519">
        <f t="shared" si="206"/>
        <v>194.71800000000002</v>
      </c>
    </row>
    <row r="520" spans="1:26" s="512" customFormat="1" ht="30">
      <c r="A520" s="338" t="s">
        <v>8378</v>
      </c>
      <c r="B520" s="576" t="s">
        <v>6333</v>
      </c>
      <c r="C520" s="576" t="s">
        <v>8426</v>
      </c>
      <c r="D520" s="336" t="s">
        <v>7275</v>
      </c>
      <c r="E520" s="341">
        <v>3</v>
      </c>
      <c r="F520" s="342" t="s">
        <v>6337</v>
      </c>
      <c r="G520" s="352">
        <v>264.89</v>
      </c>
      <c r="H520" s="339">
        <f t="shared" si="209"/>
        <v>71.33</v>
      </c>
      <c r="I520" s="339">
        <f t="shared" si="210"/>
        <v>336.21999999999997</v>
      </c>
      <c r="J520" s="431">
        <f t="shared" si="211"/>
        <v>1008.66</v>
      </c>
      <c r="K520" s="510">
        <f t="shared" si="207"/>
        <v>794.67</v>
      </c>
      <c r="L520" s="510">
        <f t="shared" si="208"/>
        <v>213.99</v>
      </c>
      <c r="M520" s="519"/>
      <c r="N520" s="519"/>
      <c r="O520" s="519"/>
      <c r="P520" s="519"/>
      <c r="Q520" s="519"/>
      <c r="R520" s="519"/>
      <c r="S520" s="519"/>
      <c r="T520" s="519">
        <f t="shared" si="201"/>
        <v>50.433</v>
      </c>
      <c r="U520" s="519"/>
      <c r="V520" s="519">
        <f t="shared" si="202"/>
        <v>100.866</v>
      </c>
      <c r="W520" s="519">
        <f t="shared" si="203"/>
        <v>151.29899999999998</v>
      </c>
      <c r="X520" s="519">
        <f t="shared" si="204"/>
        <v>201.732</v>
      </c>
      <c r="Y520" s="519">
        <f t="shared" si="205"/>
        <v>302.59799999999996</v>
      </c>
      <c r="Z520" s="519">
        <f t="shared" si="206"/>
        <v>201.732</v>
      </c>
    </row>
    <row r="521" spans="1:26" s="512" customFormat="1" ht="45">
      <c r="A521" s="338" t="s">
        <v>9341</v>
      </c>
      <c r="B521" s="704" t="s">
        <v>9325</v>
      </c>
      <c r="C521" s="704" t="s">
        <v>15568</v>
      </c>
      <c r="D521" s="336" t="s">
        <v>9343</v>
      </c>
      <c r="E521" s="341">
        <v>1</v>
      </c>
      <c r="F521" s="342" t="s">
        <v>6337</v>
      </c>
      <c r="G521" s="352">
        <v>25110</v>
      </c>
      <c r="H521" s="339">
        <f>ROUND(G521*$B$14,2)</f>
        <v>5255.52</v>
      </c>
      <c r="I521" s="339">
        <f t="shared" si="210"/>
        <v>30365.52</v>
      </c>
      <c r="J521" s="431">
        <f t="shared" si="211"/>
        <v>30365.52</v>
      </c>
      <c r="K521" s="510">
        <f t="shared" si="207"/>
        <v>25110</v>
      </c>
      <c r="L521" s="510">
        <f t="shared" si="208"/>
        <v>5255.52</v>
      </c>
      <c r="M521" s="519"/>
      <c r="N521" s="519"/>
      <c r="O521" s="519"/>
      <c r="P521" s="519"/>
      <c r="Q521" s="519"/>
      <c r="R521" s="519"/>
      <c r="S521" s="519"/>
      <c r="T521" s="519">
        <f t="shared" si="201"/>
        <v>1518.2760000000001</v>
      </c>
      <c r="U521" s="519"/>
      <c r="V521" s="519">
        <f t="shared" si="202"/>
        <v>3036.5520000000001</v>
      </c>
      <c r="W521" s="519">
        <f t="shared" si="203"/>
        <v>4554.8279999999995</v>
      </c>
      <c r="X521" s="519">
        <f t="shared" si="204"/>
        <v>6073.1040000000003</v>
      </c>
      <c r="Y521" s="519">
        <f t="shared" si="205"/>
        <v>9109.655999999999</v>
      </c>
      <c r="Z521" s="519">
        <f t="shared" si="206"/>
        <v>6073.1040000000003</v>
      </c>
    </row>
    <row r="522" spans="1:26" s="512" customFormat="1" ht="45">
      <c r="A522" s="338" t="s">
        <v>9342</v>
      </c>
      <c r="B522" s="576" t="s">
        <v>6753</v>
      </c>
      <c r="C522" s="576" t="s">
        <v>8944</v>
      </c>
      <c r="D522" s="336" t="s">
        <v>9344</v>
      </c>
      <c r="E522" s="341">
        <v>1</v>
      </c>
      <c r="F522" s="342" t="s">
        <v>6337</v>
      </c>
      <c r="G522" s="352">
        <v>41.120000000000005</v>
      </c>
      <c r="H522" s="339">
        <f>ROUND(G522*$B$13,2)</f>
        <v>11.07</v>
      </c>
      <c r="I522" s="339">
        <f t="shared" si="210"/>
        <v>52.190000000000005</v>
      </c>
      <c r="J522" s="431">
        <f t="shared" si="211"/>
        <v>52.19</v>
      </c>
      <c r="K522" s="510">
        <f t="shared" si="207"/>
        <v>41.12</v>
      </c>
      <c r="L522" s="510">
        <f t="shared" si="208"/>
        <v>11.07</v>
      </c>
      <c r="M522" s="519"/>
      <c r="N522" s="519"/>
      <c r="O522" s="519"/>
      <c r="P522" s="519"/>
      <c r="Q522" s="519"/>
      <c r="R522" s="519"/>
      <c r="S522" s="519"/>
      <c r="T522" s="519">
        <f t="shared" si="201"/>
        <v>2.6095000000000002</v>
      </c>
      <c r="U522" s="519"/>
      <c r="V522" s="519">
        <f t="shared" si="202"/>
        <v>5.2190000000000003</v>
      </c>
      <c r="W522" s="519">
        <f t="shared" si="203"/>
        <v>7.8284999999999991</v>
      </c>
      <c r="X522" s="519">
        <f t="shared" si="204"/>
        <v>10.438000000000001</v>
      </c>
      <c r="Y522" s="519">
        <f t="shared" si="205"/>
        <v>15.656999999999998</v>
      </c>
      <c r="Z522" s="519">
        <f t="shared" si="206"/>
        <v>10.438000000000001</v>
      </c>
    </row>
    <row r="523" spans="1:26" s="512" customFormat="1" ht="45">
      <c r="A523" s="338" t="s">
        <v>9337</v>
      </c>
      <c r="B523" s="704" t="s">
        <v>9325</v>
      </c>
      <c r="C523" s="704" t="s">
        <v>15569</v>
      </c>
      <c r="D523" s="336" t="s">
        <v>9339</v>
      </c>
      <c r="E523" s="341">
        <v>1</v>
      </c>
      <c r="F523" s="342" t="s">
        <v>6337</v>
      </c>
      <c r="G523" s="352">
        <v>77760</v>
      </c>
      <c r="H523" s="339">
        <f>ROUND(G523*$B$14,2)</f>
        <v>16275.17</v>
      </c>
      <c r="I523" s="339">
        <f t="shared" si="210"/>
        <v>94035.17</v>
      </c>
      <c r="J523" s="431">
        <f t="shared" si="211"/>
        <v>94035.17</v>
      </c>
      <c r="K523" s="510">
        <f t="shared" si="207"/>
        <v>77760</v>
      </c>
      <c r="L523" s="510">
        <f t="shared" si="208"/>
        <v>16275.17</v>
      </c>
      <c r="M523" s="519"/>
      <c r="N523" s="519"/>
      <c r="O523" s="519"/>
      <c r="P523" s="519"/>
      <c r="Q523" s="519"/>
      <c r="R523" s="519"/>
      <c r="S523" s="519"/>
      <c r="T523" s="519">
        <f t="shared" si="201"/>
        <v>4701.7584999999999</v>
      </c>
      <c r="U523" s="519"/>
      <c r="V523" s="519">
        <f t="shared" si="202"/>
        <v>9403.5169999999998</v>
      </c>
      <c r="W523" s="519">
        <f t="shared" si="203"/>
        <v>14105.2755</v>
      </c>
      <c r="X523" s="519">
        <f t="shared" si="204"/>
        <v>18807.034</v>
      </c>
      <c r="Y523" s="519">
        <f t="shared" si="205"/>
        <v>28210.550999999999</v>
      </c>
      <c r="Z523" s="519">
        <f t="shared" si="206"/>
        <v>18807.034</v>
      </c>
    </row>
    <row r="524" spans="1:26" s="512" customFormat="1" ht="45">
      <c r="A524" s="338" t="s">
        <v>9338</v>
      </c>
      <c r="B524" s="576" t="s">
        <v>6753</v>
      </c>
      <c r="C524" s="576" t="s">
        <v>9094</v>
      </c>
      <c r="D524" s="336" t="s">
        <v>9340</v>
      </c>
      <c r="E524" s="341">
        <v>1</v>
      </c>
      <c r="F524" s="342" t="s">
        <v>6337</v>
      </c>
      <c r="G524" s="352">
        <v>78.09</v>
      </c>
      <c r="H524" s="339">
        <f>ROUND(G524*$B$13,2)</f>
        <v>21.03</v>
      </c>
      <c r="I524" s="339">
        <f t="shared" si="210"/>
        <v>99.12</v>
      </c>
      <c r="J524" s="431">
        <f t="shared" si="211"/>
        <v>99.12</v>
      </c>
      <c r="K524" s="510">
        <f t="shared" si="207"/>
        <v>78.09</v>
      </c>
      <c r="L524" s="510">
        <f t="shared" si="208"/>
        <v>21.03</v>
      </c>
      <c r="M524" s="519"/>
      <c r="N524" s="519"/>
      <c r="O524" s="519"/>
      <c r="P524" s="519"/>
      <c r="Q524" s="519"/>
      <c r="R524" s="519"/>
      <c r="S524" s="519"/>
      <c r="T524" s="519">
        <f t="shared" si="201"/>
        <v>4.9560000000000004</v>
      </c>
      <c r="U524" s="519"/>
      <c r="V524" s="519">
        <f t="shared" si="202"/>
        <v>9.9120000000000008</v>
      </c>
      <c r="W524" s="519">
        <f t="shared" si="203"/>
        <v>14.868</v>
      </c>
      <c r="X524" s="519">
        <f t="shared" si="204"/>
        <v>19.824000000000002</v>
      </c>
      <c r="Y524" s="519">
        <f t="shared" si="205"/>
        <v>29.736000000000001</v>
      </c>
      <c r="Z524" s="519">
        <f t="shared" si="206"/>
        <v>19.824000000000002</v>
      </c>
    </row>
    <row r="525" spans="1:26" s="512" customFormat="1" ht="30">
      <c r="A525" s="338" t="s">
        <v>9587</v>
      </c>
      <c r="B525" s="576" t="s">
        <v>6333</v>
      </c>
      <c r="C525" s="576">
        <v>11961</v>
      </c>
      <c r="D525" s="336" t="s">
        <v>9588</v>
      </c>
      <c r="E525" s="341">
        <v>4</v>
      </c>
      <c r="F525" s="342" t="s">
        <v>6337</v>
      </c>
      <c r="G525" s="352">
        <v>377.25</v>
      </c>
      <c r="H525" s="339">
        <f>ROUND(G525*$B$13,2)</f>
        <v>101.59</v>
      </c>
      <c r="I525" s="339">
        <f t="shared" si="210"/>
        <v>478.84000000000003</v>
      </c>
      <c r="J525" s="431">
        <f t="shared" si="211"/>
        <v>1915.36</v>
      </c>
      <c r="K525" s="510">
        <f t="shared" si="207"/>
        <v>1509</v>
      </c>
      <c r="L525" s="510">
        <f t="shared" si="208"/>
        <v>406.36</v>
      </c>
      <c r="M525" s="519"/>
      <c r="N525" s="519"/>
      <c r="O525" s="519"/>
      <c r="P525" s="519"/>
      <c r="Q525" s="519"/>
      <c r="R525" s="519"/>
      <c r="S525" s="519"/>
      <c r="T525" s="519">
        <f t="shared" si="201"/>
        <v>95.768000000000001</v>
      </c>
      <c r="U525" s="519"/>
      <c r="V525" s="519">
        <f t="shared" si="202"/>
        <v>191.536</v>
      </c>
      <c r="W525" s="519">
        <f t="shared" si="203"/>
        <v>287.30399999999997</v>
      </c>
      <c r="X525" s="519">
        <f t="shared" si="204"/>
        <v>383.072</v>
      </c>
      <c r="Y525" s="519">
        <f t="shared" si="205"/>
        <v>574.60799999999995</v>
      </c>
      <c r="Z525" s="519">
        <f t="shared" si="206"/>
        <v>383.072</v>
      </c>
    </row>
    <row r="526" spans="1:26" s="512" customFormat="1" ht="15">
      <c r="A526" s="337" t="s">
        <v>7292</v>
      </c>
      <c r="B526" s="698" t="s">
        <v>7293</v>
      </c>
      <c r="C526" s="698"/>
      <c r="D526" s="698"/>
      <c r="E526" s="698"/>
      <c r="F526" s="698"/>
      <c r="G526" s="698"/>
      <c r="H526" s="698"/>
      <c r="I526" s="698"/>
      <c r="J526" s="698"/>
      <c r="K526" s="510">
        <f t="shared" si="207"/>
        <v>0</v>
      </c>
      <c r="L526" s="510">
        <f t="shared" si="208"/>
        <v>0</v>
      </c>
      <c r="M526" s="519"/>
      <c r="N526" s="519"/>
      <c r="O526" s="519"/>
      <c r="P526" s="519"/>
      <c r="Q526" s="519"/>
      <c r="R526" s="519"/>
      <c r="S526" s="519"/>
      <c r="T526" s="519"/>
      <c r="U526" s="519"/>
      <c r="V526" s="519"/>
      <c r="W526" s="519"/>
      <c r="X526" s="519"/>
      <c r="Y526" s="519"/>
      <c r="Z526" s="519"/>
    </row>
    <row r="527" spans="1:26" s="512" customFormat="1" ht="105">
      <c r="A527" s="338" t="s">
        <v>8427</v>
      </c>
      <c r="B527" s="576" t="s">
        <v>6753</v>
      </c>
      <c r="C527" s="576" t="s">
        <v>7311</v>
      </c>
      <c r="D527" s="336" t="s">
        <v>7294</v>
      </c>
      <c r="E527" s="341">
        <v>2</v>
      </c>
      <c r="F527" s="342" t="s">
        <v>6337</v>
      </c>
      <c r="G527" s="352">
        <v>165.23000000000002</v>
      </c>
      <c r="H527" s="339">
        <f t="shared" ref="H527:H547" si="212">ROUND(G527*$B$13,2)</f>
        <v>44.5</v>
      </c>
      <c r="I527" s="339">
        <f t="shared" ref="I527:I547" si="213">H527+G527</f>
        <v>209.73000000000002</v>
      </c>
      <c r="J527" s="431">
        <f t="shared" ref="J527:J547" si="214">ROUND(I527*E527,2)</f>
        <v>419.46</v>
      </c>
      <c r="K527" s="510">
        <f t="shared" si="207"/>
        <v>330.46</v>
      </c>
      <c r="L527" s="510">
        <f t="shared" si="208"/>
        <v>89</v>
      </c>
      <c r="M527" s="519"/>
      <c r="N527" s="519"/>
      <c r="O527" s="519"/>
      <c r="P527" s="519"/>
      <c r="Q527" s="519"/>
      <c r="R527" s="519"/>
      <c r="S527" s="519"/>
      <c r="T527" s="519">
        <f t="shared" ref="T527:T547" si="215">0.05*J527</f>
        <v>20.972999999999999</v>
      </c>
      <c r="U527" s="519"/>
      <c r="V527" s="519">
        <f t="shared" ref="V527:V547" si="216">0.1*J527</f>
        <v>41.945999999999998</v>
      </c>
      <c r="W527" s="519">
        <f t="shared" ref="W527:W547" si="217">0.15*J527</f>
        <v>62.918999999999997</v>
      </c>
      <c r="X527" s="519">
        <f t="shared" ref="X527:X547" si="218">0.2*J527</f>
        <v>83.891999999999996</v>
      </c>
      <c r="Y527" s="519">
        <f t="shared" ref="Y527:Y547" si="219">0.3*J527</f>
        <v>125.83799999999999</v>
      </c>
      <c r="Z527" s="519">
        <f t="shared" ref="Z527:Z547" si="220">0.2*J527</f>
        <v>83.891999999999996</v>
      </c>
    </row>
    <row r="528" spans="1:26" s="512" customFormat="1" ht="120">
      <c r="A528" s="338" t="s">
        <v>8428</v>
      </c>
      <c r="B528" s="576" t="s">
        <v>6753</v>
      </c>
      <c r="C528" s="576" t="s">
        <v>7319</v>
      </c>
      <c r="D528" s="336" t="s">
        <v>7295</v>
      </c>
      <c r="E528" s="341">
        <v>21</v>
      </c>
      <c r="F528" s="342" t="s">
        <v>6337</v>
      </c>
      <c r="G528" s="352">
        <v>262.33000000000004</v>
      </c>
      <c r="H528" s="339">
        <f t="shared" si="212"/>
        <v>70.650000000000006</v>
      </c>
      <c r="I528" s="339">
        <f t="shared" si="213"/>
        <v>332.98</v>
      </c>
      <c r="J528" s="431">
        <f t="shared" si="214"/>
        <v>6992.58</v>
      </c>
      <c r="K528" s="510">
        <f t="shared" si="207"/>
        <v>5508.93</v>
      </c>
      <c r="L528" s="510">
        <f t="shared" si="208"/>
        <v>1483.65</v>
      </c>
      <c r="M528" s="519"/>
      <c r="N528" s="519"/>
      <c r="O528" s="519"/>
      <c r="P528" s="519"/>
      <c r="Q528" s="519"/>
      <c r="R528" s="519"/>
      <c r="S528" s="519"/>
      <c r="T528" s="519">
        <f t="shared" si="215"/>
        <v>349.62900000000002</v>
      </c>
      <c r="U528" s="519"/>
      <c r="V528" s="519">
        <f t="shared" si="216"/>
        <v>699.25800000000004</v>
      </c>
      <c r="W528" s="519">
        <f t="shared" si="217"/>
        <v>1048.8869999999999</v>
      </c>
      <c r="X528" s="519">
        <f t="shared" si="218"/>
        <v>1398.5160000000001</v>
      </c>
      <c r="Y528" s="519">
        <f t="shared" si="219"/>
        <v>2097.7739999999999</v>
      </c>
      <c r="Z528" s="519">
        <f t="shared" si="220"/>
        <v>1398.5160000000001</v>
      </c>
    </row>
    <row r="529" spans="1:26" s="512" customFormat="1" ht="120">
      <c r="A529" s="338" t="s">
        <v>8429</v>
      </c>
      <c r="B529" s="576" t="s">
        <v>6753</v>
      </c>
      <c r="C529" s="576" t="s">
        <v>7316</v>
      </c>
      <c r="D529" s="336" t="s">
        <v>7296</v>
      </c>
      <c r="E529" s="341">
        <v>199</v>
      </c>
      <c r="F529" s="342" t="s">
        <v>6337</v>
      </c>
      <c r="G529" s="352">
        <v>239.62</v>
      </c>
      <c r="H529" s="339">
        <f t="shared" si="212"/>
        <v>64.53</v>
      </c>
      <c r="I529" s="339">
        <f t="shared" si="213"/>
        <v>304.14999999999998</v>
      </c>
      <c r="J529" s="431">
        <f t="shared" si="214"/>
        <v>60525.85</v>
      </c>
      <c r="K529" s="510">
        <f t="shared" si="207"/>
        <v>47684.38</v>
      </c>
      <c r="L529" s="510">
        <f t="shared" si="208"/>
        <v>12841.47</v>
      </c>
      <c r="M529" s="519"/>
      <c r="N529" s="519"/>
      <c r="O529" s="519"/>
      <c r="P529" s="519"/>
      <c r="Q529" s="519"/>
      <c r="R529" s="519"/>
      <c r="S529" s="519"/>
      <c r="T529" s="519">
        <f t="shared" si="215"/>
        <v>3026.2925</v>
      </c>
      <c r="U529" s="519"/>
      <c r="V529" s="519">
        <f t="shared" si="216"/>
        <v>6052.585</v>
      </c>
      <c r="W529" s="519">
        <f t="shared" si="217"/>
        <v>9078.8774999999987</v>
      </c>
      <c r="X529" s="519">
        <f t="shared" si="218"/>
        <v>12105.17</v>
      </c>
      <c r="Y529" s="519">
        <f t="shared" si="219"/>
        <v>18157.754999999997</v>
      </c>
      <c r="Z529" s="519">
        <f t="shared" si="220"/>
        <v>12105.17</v>
      </c>
    </row>
    <row r="530" spans="1:26" s="512" customFormat="1" ht="135">
      <c r="A530" s="338" t="s">
        <v>8430</v>
      </c>
      <c r="B530" s="576" t="s">
        <v>6753</v>
      </c>
      <c r="C530" s="576" t="s">
        <v>7320</v>
      </c>
      <c r="D530" s="336" t="s">
        <v>7297</v>
      </c>
      <c r="E530" s="341">
        <v>62</v>
      </c>
      <c r="F530" s="342" t="s">
        <v>6337</v>
      </c>
      <c r="G530" s="352">
        <v>226.68</v>
      </c>
      <c r="H530" s="339">
        <f t="shared" si="212"/>
        <v>61.04</v>
      </c>
      <c r="I530" s="339">
        <f t="shared" si="213"/>
        <v>287.72000000000003</v>
      </c>
      <c r="J530" s="431">
        <f t="shared" si="214"/>
        <v>17838.64</v>
      </c>
      <c r="K530" s="510">
        <f t="shared" si="207"/>
        <v>14054.16</v>
      </c>
      <c r="L530" s="510">
        <f t="shared" si="208"/>
        <v>3784.48</v>
      </c>
      <c r="M530" s="519"/>
      <c r="N530" s="519"/>
      <c r="O530" s="519"/>
      <c r="P530" s="519"/>
      <c r="Q530" s="519"/>
      <c r="R530" s="519"/>
      <c r="S530" s="519"/>
      <c r="T530" s="519">
        <f t="shared" si="215"/>
        <v>891.93200000000002</v>
      </c>
      <c r="U530" s="519"/>
      <c r="V530" s="519">
        <f t="shared" si="216"/>
        <v>1783.864</v>
      </c>
      <c r="W530" s="519">
        <f t="shared" si="217"/>
        <v>2675.7959999999998</v>
      </c>
      <c r="X530" s="519">
        <f t="shared" si="218"/>
        <v>3567.7280000000001</v>
      </c>
      <c r="Y530" s="519">
        <f t="shared" si="219"/>
        <v>5351.5919999999996</v>
      </c>
      <c r="Z530" s="519">
        <f t="shared" si="220"/>
        <v>3567.7280000000001</v>
      </c>
    </row>
    <row r="531" spans="1:26" s="512" customFormat="1" ht="90">
      <c r="A531" s="338" t="s">
        <v>8431</v>
      </c>
      <c r="B531" s="576" t="s">
        <v>6753</v>
      </c>
      <c r="C531" s="576" t="s">
        <v>7321</v>
      </c>
      <c r="D531" s="336" t="s">
        <v>7298</v>
      </c>
      <c r="E531" s="341">
        <v>32</v>
      </c>
      <c r="F531" s="342" t="s">
        <v>6337</v>
      </c>
      <c r="G531" s="352">
        <v>113.01000000000002</v>
      </c>
      <c r="H531" s="339">
        <f t="shared" si="212"/>
        <v>30.43</v>
      </c>
      <c r="I531" s="339">
        <f t="shared" si="213"/>
        <v>143.44000000000003</v>
      </c>
      <c r="J531" s="431">
        <f t="shared" si="214"/>
        <v>4590.08</v>
      </c>
      <c r="K531" s="510">
        <f t="shared" si="207"/>
        <v>3616.32</v>
      </c>
      <c r="L531" s="510">
        <f t="shared" si="208"/>
        <v>973.76</v>
      </c>
      <c r="M531" s="519"/>
      <c r="N531" s="519"/>
      <c r="O531" s="519"/>
      <c r="P531" s="519"/>
      <c r="Q531" s="519"/>
      <c r="R531" s="519"/>
      <c r="S531" s="519"/>
      <c r="T531" s="519">
        <f t="shared" si="215"/>
        <v>229.50400000000002</v>
      </c>
      <c r="U531" s="519"/>
      <c r="V531" s="519">
        <f t="shared" si="216"/>
        <v>459.00800000000004</v>
      </c>
      <c r="W531" s="519">
        <f t="shared" si="217"/>
        <v>688.51199999999994</v>
      </c>
      <c r="X531" s="519">
        <f t="shared" si="218"/>
        <v>918.01600000000008</v>
      </c>
      <c r="Y531" s="519">
        <f t="shared" si="219"/>
        <v>1377.0239999999999</v>
      </c>
      <c r="Z531" s="519">
        <f t="shared" si="220"/>
        <v>918.01600000000008</v>
      </c>
    </row>
    <row r="532" spans="1:26" s="512" customFormat="1" ht="135">
      <c r="A532" s="338" t="s">
        <v>8432</v>
      </c>
      <c r="B532" s="576" t="s">
        <v>6333</v>
      </c>
      <c r="C532" s="576">
        <v>7715</v>
      </c>
      <c r="D532" s="336" t="s">
        <v>7299</v>
      </c>
      <c r="E532" s="341">
        <v>35</v>
      </c>
      <c r="F532" s="342" t="s">
        <v>6337</v>
      </c>
      <c r="G532" s="352">
        <v>192</v>
      </c>
      <c r="H532" s="339">
        <f t="shared" si="212"/>
        <v>51.71</v>
      </c>
      <c r="I532" s="339">
        <f t="shared" si="213"/>
        <v>243.71</v>
      </c>
      <c r="J532" s="431">
        <f t="shared" si="214"/>
        <v>8529.85</v>
      </c>
      <c r="K532" s="510">
        <f t="shared" si="207"/>
        <v>6720</v>
      </c>
      <c r="L532" s="510">
        <f t="shared" si="208"/>
        <v>1809.85</v>
      </c>
      <c r="M532" s="519"/>
      <c r="N532" s="519"/>
      <c r="O532" s="519"/>
      <c r="P532" s="519"/>
      <c r="Q532" s="519"/>
      <c r="R532" s="519"/>
      <c r="S532" s="519"/>
      <c r="T532" s="519">
        <f t="shared" si="215"/>
        <v>426.49250000000006</v>
      </c>
      <c r="U532" s="519"/>
      <c r="V532" s="519">
        <f t="shared" si="216"/>
        <v>852.98500000000013</v>
      </c>
      <c r="W532" s="519">
        <f t="shared" si="217"/>
        <v>1279.4775</v>
      </c>
      <c r="X532" s="519">
        <f t="shared" si="218"/>
        <v>1705.9700000000003</v>
      </c>
      <c r="Y532" s="519">
        <f t="shared" si="219"/>
        <v>2558.9549999999999</v>
      </c>
      <c r="Z532" s="519">
        <f t="shared" si="220"/>
        <v>1705.9700000000003</v>
      </c>
    </row>
    <row r="533" spans="1:26" s="512" customFormat="1" ht="105">
      <c r="A533" s="338" t="s">
        <v>8433</v>
      </c>
      <c r="B533" s="576" t="s">
        <v>5256</v>
      </c>
      <c r="C533" s="576" t="s">
        <v>7340</v>
      </c>
      <c r="D533" s="336" t="s">
        <v>7300</v>
      </c>
      <c r="E533" s="341">
        <v>8</v>
      </c>
      <c r="F533" s="342" t="s">
        <v>6337</v>
      </c>
      <c r="G533" s="352">
        <v>52.56</v>
      </c>
      <c r="H533" s="339">
        <f t="shared" si="212"/>
        <v>14.15</v>
      </c>
      <c r="I533" s="339">
        <f t="shared" si="213"/>
        <v>66.710000000000008</v>
      </c>
      <c r="J533" s="431">
        <f t="shared" si="214"/>
        <v>533.67999999999995</v>
      </c>
      <c r="K533" s="510">
        <f t="shared" si="207"/>
        <v>420.48</v>
      </c>
      <c r="L533" s="510">
        <f t="shared" si="208"/>
        <v>113.2</v>
      </c>
      <c r="M533" s="519"/>
      <c r="N533" s="519"/>
      <c r="O533" s="519"/>
      <c r="P533" s="519"/>
      <c r="Q533" s="519"/>
      <c r="R533" s="519"/>
      <c r="S533" s="519"/>
      <c r="T533" s="519">
        <f t="shared" si="215"/>
        <v>26.683999999999997</v>
      </c>
      <c r="U533" s="519"/>
      <c r="V533" s="519">
        <f t="shared" si="216"/>
        <v>53.367999999999995</v>
      </c>
      <c r="W533" s="519">
        <f t="shared" si="217"/>
        <v>80.051999999999992</v>
      </c>
      <c r="X533" s="519">
        <f t="shared" si="218"/>
        <v>106.73599999999999</v>
      </c>
      <c r="Y533" s="519">
        <f t="shared" si="219"/>
        <v>160.10399999999998</v>
      </c>
      <c r="Z533" s="519">
        <f t="shared" si="220"/>
        <v>106.73599999999999</v>
      </c>
    </row>
    <row r="534" spans="1:26" s="512" customFormat="1" ht="90">
      <c r="A534" s="338" t="s">
        <v>8434</v>
      </c>
      <c r="B534" s="576" t="s">
        <v>6753</v>
      </c>
      <c r="C534" s="576" t="s">
        <v>15570</v>
      </c>
      <c r="D534" s="336" t="s">
        <v>7301</v>
      </c>
      <c r="E534" s="341">
        <v>6</v>
      </c>
      <c r="F534" s="342" t="s">
        <v>6337</v>
      </c>
      <c r="G534" s="352">
        <v>89.01</v>
      </c>
      <c r="H534" s="339">
        <f t="shared" si="212"/>
        <v>23.97</v>
      </c>
      <c r="I534" s="339">
        <f t="shared" si="213"/>
        <v>112.98</v>
      </c>
      <c r="J534" s="431">
        <f t="shared" si="214"/>
        <v>677.88</v>
      </c>
      <c r="K534" s="510">
        <f t="shared" si="207"/>
        <v>534.05999999999995</v>
      </c>
      <c r="L534" s="510">
        <f t="shared" si="208"/>
        <v>143.82</v>
      </c>
      <c r="M534" s="519"/>
      <c r="N534" s="519"/>
      <c r="O534" s="519"/>
      <c r="P534" s="519"/>
      <c r="Q534" s="519"/>
      <c r="R534" s="519"/>
      <c r="S534" s="519"/>
      <c r="T534" s="519">
        <f t="shared" si="215"/>
        <v>33.893999999999998</v>
      </c>
      <c r="U534" s="519"/>
      <c r="V534" s="519">
        <f t="shared" si="216"/>
        <v>67.787999999999997</v>
      </c>
      <c r="W534" s="519">
        <f t="shared" si="217"/>
        <v>101.682</v>
      </c>
      <c r="X534" s="519">
        <f t="shared" si="218"/>
        <v>135.57599999999999</v>
      </c>
      <c r="Y534" s="519">
        <f t="shared" si="219"/>
        <v>203.364</v>
      </c>
      <c r="Z534" s="519">
        <f t="shared" si="220"/>
        <v>135.57599999999999</v>
      </c>
    </row>
    <row r="535" spans="1:26" s="512" customFormat="1" ht="75">
      <c r="A535" s="338" t="s">
        <v>8435</v>
      </c>
      <c r="B535" s="576" t="s">
        <v>6753</v>
      </c>
      <c r="C535" s="576" t="s">
        <v>7322</v>
      </c>
      <c r="D535" s="336" t="s">
        <v>7302</v>
      </c>
      <c r="E535" s="341">
        <v>11</v>
      </c>
      <c r="F535" s="342" t="s">
        <v>6337</v>
      </c>
      <c r="G535" s="352">
        <v>166.54</v>
      </c>
      <c r="H535" s="339">
        <f t="shared" si="212"/>
        <v>44.85</v>
      </c>
      <c r="I535" s="339">
        <f t="shared" si="213"/>
        <v>211.39</v>
      </c>
      <c r="J535" s="431">
        <f t="shared" si="214"/>
        <v>2325.29</v>
      </c>
      <c r="K535" s="510">
        <f t="shared" si="207"/>
        <v>1831.94</v>
      </c>
      <c r="L535" s="510">
        <f t="shared" si="208"/>
        <v>493.35</v>
      </c>
      <c r="M535" s="519"/>
      <c r="N535" s="519"/>
      <c r="O535" s="519"/>
      <c r="P535" s="519"/>
      <c r="Q535" s="519"/>
      <c r="R535" s="519"/>
      <c r="S535" s="519"/>
      <c r="T535" s="519">
        <f t="shared" si="215"/>
        <v>116.2645</v>
      </c>
      <c r="U535" s="519"/>
      <c r="V535" s="519">
        <f t="shared" si="216"/>
        <v>232.529</v>
      </c>
      <c r="W535" s="519">
        <f t="shared" si="217"/>
        <v>348.79349999999999</v>
      </c>
      <c r="X535" s="519">
        <f t="shared" si="218"/>
        <v>465.05799999999999</v>
      </c>
      <c r="Y535" s="519">
        <f t="shared" si="219"/>
        <v>697.58699999999999</v>
      </c>
      <c r="Z535" s="519">
        <f t="shared" si="220"/>
        <v>465.05799999999999</v>
      </c>
    </row>
    <row r="536" spans="1:26" s="512" customFormat="1" ht="90">
      <c r="A536" s="338" t="s">
        <v>8436</v>
      </c>
      <c r="B536" s="576" t="s">
        <v>6753</v>
      </c>
      <c r="C536" s="576" t="s">
        <v>7322</v>
      </c>
      <c r="D536" s="336" t="s">
        <v>7303</v>
      </c>
      <c r="E536" s="341">
        <v>2</v>
      </c>
      <c r="F536" s="342" t="s">
        <v>6337</v>
      </c>
      <c r="G536" s="352">
        <v>166.54</v>
      </c>
      <c r="H536" s="339">
        <f t="shared" si="212"/>
        <v>44.85</v>
      </c>
      <c r="I536" s="339">
        <f t="shared" si="213"/>
        <v>211.39</v>
      </c>
      <c r="J536" s="431">
        <f t="shared" si="214"/>
        <v>422.78</v>
      </c>
      <c r="K536" s="510">
        <f t="shared" si="207"/>
        <v>333.08</v>
      </c>
      <c r="L536" s="510">
        <f t="shared" si="208"/>
        <v>89.7</v>
      </c>
      <c r="M536" s="519"/>
      <c r="N536" s="519"/>
      <c r="O536" s="519"/>
      <c r="P536" s="519"/>
      <c r="Q536" s="519"/>
      <c r="R536" s="519"/>
      <c r="S536" s="519"/>
      <c r="T536" s="519">
        <f t="shared" si="215"/>
        <v>21.138999999999999</v>
      </c>
      <c r="U536" s="519"/>
      <c r="V536" s="519">
        <f t="shared" si="216"/>
        <v>42.277999999999999</v>
      </c>
      <c r="W536" s="519">
        <f t="shared" si="217"/>
        <v>63.416999999999994</v>
      </c>
      <c r="X536" s="519">
        <f t="shared" si="218"/>
        <v>84.555999999999997</v>
      </c>
      <c r="Y536" s="519">
        <f t="shared" si="219"/>
        <v>126.83399999999999</v>
      </c>
      <c r="Z536" s="519">
        <f t="shared" si="220"/>
        <v>84.555999999999997</v>
      </c>
    </row>
    <row r="537" spans="1:26" s="512" customFormat="1" ht="150">
      <c r="A537" s="338" t="s">
        <v>8437</v>
      </c>
      <c r="B537" s="576" t="s">
        <v>6753</v>
      </c>
      <c r="C537" s="576" t="s">
        <v>7323</v>
      </c>
      <c r="D537" s="336" t="s">
        <v>7304</v>
      </c>
      <c r="E537" s="341">
        <v>2</v>
      </c>
      <c r="F537" s="342" t="s">
        <v>6337</v>
      </c>
      <c r="G537" s="352">
        <v>138.19</v>
      </c>
      <c r="H537" s="339">
        <f t="shared" si="212"/>
        <v>37.21</v>
      </c>
      <c r="I537" s="339">
        <f t="shared" si="213"/>
        <v>175.4</v>
      </c>
      <c r="J537" s="431">
        <f t="shared" si="214"/>
        <v>350.8</v>
      </c>
      <c r="K537" s="510">
        <f t="shared" si="207"/>
        <v>276.38</v>
      </c>
      <c r="L537" s="510">
        <f t="shared" si="208"/>
        <v>74.42</v>
      </c>
      <c r="M537" s="519"/>
      <c r="N537" s="519"/>
      <c r="O537" s="519"/>
      <c r="P537" s="519"/>
      <c r="Q537" s="519"/>
      <c r="R537" s="519"/>
      <c r="S537" s="519"/>
      <c r="T537" s="519">
        <f t="shared" si="215"/>
        <v>17.540000000000003</v>
      </c>
      <c r="U537" s="519"/>
      <c r="V537" s="519">
        <f t="shared" si="216"/>
        <v>35.080000000000005</v>
      </c>
      <c r="W537" s="519">
        <f t="shared" si="217"/>
        <v>52.62</v>
      </c>
      <c r="X537" s="519">
        <f t="shared" si="218"/>
        <v>70.160000000000011</v>
      </c>
      <c r="Y537" s="519">
        <f t="shared" si="219"/>
        <v>105.24</v>
      </c>
      <c r="Z537" s="519">
        <f t="shared" si="220"/>
        <v>70.160000000000011</v>
      </c>
    </row>
    <row r="538" spans="1:26" s="512" customFormat="1" ht="75">
      <c r="A538" s="338" t="s">
        <v>8438</v>
      </c>
      <c r="B538" s="576" t="s">
        <v>6753</v>
      </c>
      <c r="C538" s="576" t="s">
        <v>7324</v>
      </c>
      <c r="D538" s="336" t="s">
        <v>7305</v>
      </c>
      <c r="E538" s="341">
        <v>2</v>
      </c>
      <c r="F538" s="342" t="s">
        <v>6337</v>
      </c>
      <c r="G538" s="352">
        <v>147.88999999999999</v>
      </c>
      <c r="H538" s="339">
        <f t="shared" si="212"/>
        <v>39.83</v>
      </c>
      <c r="I538" s="339">
        <f t="shared" si="213"/>
        <v>187.71999999999997</v>
      </c>
      <c r="J538" s="431">
        <f t="shared" si="214"/>
        <v>375.44</v>
      </c>
      <c r="K538" s="510">
        <f t="shared" si="207"/>
        <v>295.77999999999997</v>
      </c>
      <c r="L538" s="510">
        <f t="shared" si="208"/>
        <v>79.66</v>
      </c>
      <c r="M538" s="519"/>
      <c r="N538" s="519"/>
      <c r="O538" s="519"/>
      <c r="P538" s="519"/>
      <c r="Q538" s="519"/>
      <c r="R538" s="519"/>
      <c r="S538" s="519"/>
      <c r="T538" s="519">
        <f t="shared" si="215"/>
        <v>18.772000000000002</v>
      </c>
      <c r="U538" s="519"/>
      <c r="V538" s="519">
        <f t="shared" si="216"/>
        <v>37.544000000000004</v>
      </c>
      <c r="W538" s="519">
        <f t="shared" si="217"/>
        <v>56.315999999999995</v>
      </c>
      <c r="X538" s="519">
        <f t="shared" si="218"/>
        <v>75.088000000000008</v>
      </c>
      <c r="Y538" s="519">
        <f t="shared" si="219"/>
        <v>112.63199999999999</v>
      </c>
      <c r="Z538" s="519">
        <f t="shared" si="220"/>
        <v>75.088000000000008</v>
      </c>
    </row>
    <row r="539" spans="1:26" s="512" customFormat="1" ht="75">
      <c r="A539" s="338" t="s">
        <v>8439</v>
      </c>
      <c r="B539" s="576" t="s">
        <v>5256</v>
      </c>
      <c r="C539" s="576" t="s">
        <v>7340</v>
      </c>
      <c r="D539" s="336" t="s">
        <v>7306</v>
      </c>
      <c r="E539" s="341">
        <v>23</v>
      </c>
      <c r="F539" s="342" t="s">
        <v>6337</v>
      </c>
      <c r="G539" s="352">
        <v>52.56</v>
      </c>
      <c r="H539" s="339">
        <f t="shared" si="212"/>
        <v>14.15</v>
      </c>
      <c r="I539" s="339">
        <f t="shared" si="213"/>
        <v>66.710000000000008</v>
      </c>
      <c r="J539" s="431">
        <f t="shared" si="214"/>
        <v>1534.33</v>
      </c>
      <c r="K539" s="510">
        <f t="shared" si="207"/>
        <v>1208.8800000000001</v>
      </c>
      <c r="L539" s="510">
        <f t="shared" si="208"/>
        <v>325.45</v>
      </c>
      <c r="M539" s="519"/>
      <c r="N539" s="519"/>
      <c r="O539" s="519"/>
      <c r="P539" s="519"/>
      <c r="Q539" s="519"/>
      <c r="R539" s="519"/>
      <c r="S539" s="519"/>
      <c r="T539" s="519">
        <f t="shared" si="215"/>
        <v>76.716499999999996</v>
      </c>
      <c r="U539" s="519"/>
      <c r="V539" s="519">
        <f t="shared" si="216"/>
        <v>153.43299999999999</v>
      </c>
      <c r="W539" s="519">
        <f t="shared" si="217"/>
        <v>230.14949999999999</v>
      </c>
      <c r="X539" s="519">
        <f t="shared" si="218"/>
        <v>306.86599999999999</v>
      </c>
      <c r="Y539" s="519">
        <f t="shared" si="219"/>
        <v>460.29899999999998</v>
      </c>
      <c r="Z539" s="519">
        <f t="shared" si="220"/>
        <v>306.86599999999999</v>
      </c>
    </row>
    <row r="540" spans="1:26" s="512" customFormat="1" ht="105">
      <c r="A540" s="338" t="s">
        <v>8440</v>
      </c>
      <c r="B540" s="576" t="s">
        <v>6753</v>
      </c>
      <c r="C540" s="576" t="s">
        <v>7325</v>
      </c>
      <c r="D540" s="336" t="s">
        <v>7307</v>
      </c>
      <c r="E540" s="341">
        <v>15</v>
      </c>
      <c r="F540" s="342" t="s">
        <v>6337</v>
      </c>
      <c r="G540" s="352">
        <v>620.04</v>
      </c>
      <c r="H540" s="339">
        <f t="shared" si="212"/>
        <v>166.98</v>
      </c>
      <c r="I540" s="339">
        <f t="shared" si="213"/>
        <v>787.02</v>
      </c>
      <c r="J540" s="431">
        <f t="shared" si="214"/>
        <v>11805.3</v>
      </c>
      <c r="K540" s="510">
        <f t="shared" si="207"/>
        <v>9300.6</v>
      </c>
      <c r="L540" s="510">
        <f t="shared" si="208"/>
        <v>2504.6999999999998</v>
      </c>
      <c r="M540" s="519"/>
      <c r="N540" s="519"/>
      <c r="O540" s="519"/>
      <c r="P540" s="519"/>
      <c r="Q540" s="519"/>
      <c r="R540" s="519"/>
      <c r="S540" s="519"/>
      <c r="T540" s="519">
        <f t="shared" si="215"/>
        <v>590.26499999999999</v>
      </c>
      <c r="U540" s="519"/>
      <c r="V540" s="519">
        <f t="shared" si="216"/>
        <v>1180.53</v>
      </c>
      <c r="W540" s="519">
        <f t="shared" si="217"/>
        <v>1770.7949999999998</v>
      </c>
      <c r="X540" s="519">
        <f t="shared" si="218"/>
        <v>2361.06</v>
      </c>
      <c r="Y540" s="519">
        <f t="shared" si="219"/>
        <v>3541.5899999999997</v>
      </c>
      <c r="Z540" s="519">
        <f t="shared" si="220"/>
        <v>2361.06</v>
      </c>
    </row>
    <row r="541" spans="1:26" s="512" customFormat="1" ht="45">
      <c r="A541" s="338" t="s">
        <v>8441</v>
      </c>
      <c r="B541" s="576" t="s">
        <v>5256</v>
      </c>
      <c r="C541" s="576">
        <v>97599</v>
      </c>
      <c r="D541" s="336" t="s">
        <v>7308</v>
      </c>
      <c r="E541" s="341">
        <v>22</v>
      </c>
      <c r="F541" s="342" t="s">
        <v>6337</v>
      </c>
      <c r="G541" s="352">
        <v>29.79</v>
      </c>
      <c r="H541" s="339">
        <f t="shared" si="212"/>
        <v>8.02</v>
      </c>
      <c r="I541" s="339">
        <f t="shared" si="213"/>
        <v>37.81</v>
      </c>
      <c r="J541" s="431">
        <f t="shared" si="214"/>
        <v>831.82</v>
      </c>
      <c r="K541" s="510">
        <f t="shared" si="207"/>
        <v>655.38</v>
      </c>
      <c r="L541" s="510">
        <f t="shared" si="208"/>
        <v>176.44</v>
      </c>
      <c r="M541" s="519"/>
      <c r="N541" s="519"/>
      <c r="O541" s="519"/>
      <c r="P541" s="519"/>
      <c r="Q541" s="519"/>
      <c r="R541" s="519"/>
      <c r="S541" s="519"/>
      <c r="T541" s="519">
        <f t="shared" si="215"/>
        <v>41.591000000000008</v>
      </c>
      <c r="U541" s="519"/>
      <c r="V541" s="519">
        <f t="shared" si="216"/>
        <v>83.182000000000016</v>
      </c>
      <c r="W541" s="519">
        <f t="shared" si="217"/>
        <v>124.773</v>
      </c>
      <c r="X541" s="519">
        <f t="shared" si="218"/>
        <v>166.36400000000003</v>
      </c>
      <c r="Y541" s="519">
        <f t="shared" si="219"/>
        <v>249.54599999999999</v>
      </c>
      <c r="Z541" s="519">
        <f t="shared" si="220"/>
        <v>166.36400000000003</v>
      </c>
    </row>
    <row r="542" spans="1:26" s="512" customFormat="1" ht="45">
      <c r="A542" s="338" t="s">
        <v>8442</v>
      </c>
      <c r="B542" s="576" t="s">
        <v>5256</v>
      </c>
      <c r="C542" s="576" t="s">
        <v>8558</v>
      </c>
      <c r="D542" s="336" t="s">
        <v>8557</v>
      </c>
      <c r="E542" s="341">
        <f>56+30</f>
        <v>86</v>
      </c>
      <c r="F542" s="342" t="s">
        <v>6337</v>
      </c>
      <c r="G542" s="352">
        <v>4.54</v>
      </c>
      <c r="H542" s="339">
        <f t="shared" si="212"/>
        <v>1.22</v>
      </c>
      <c r="I542" s="339">
        <f t="shared" si="213"/>
        <v>5.76</v>
      </c>
      <c r="J542" s="431">
        <f t="shared" si="214"/>
        <v>495.36</v>
      </c>
      <c r="K542" s="510">
        <f t="shared" si="207"/>
        <v>390.44</v>
      </c>
      <c r="L542" s="510">
        <f t="shared" si="208"/>
        <v>104.92</v>
      </c>
      <c r="M542" s="519"/>
      <c r="N542" s="519"/>
      <c r="O542" s="519"/>
      <c r="P542" s="519"/>
      <c r="Q542" s="519"/>
      <c r="R542" s="519"/>
      <c r="S542" s="519"/>
      <c r="T542" s="519">
        <f t="shared" si="215"/>
        <v>24.768000000000001</v>
      </c>
      <c r="U542" s="519"/>
      <c r="V542" s="519">
        <f t="shared" si="216"/>
        <v>49.536000000000001</v>
      </c>
      <c r="W542" s="519">
        <f t="shared" si="217"/>
        <v>74.304000000000002</v>
      </c>
      <c r="X542" s="519">
        <f t="shared" si="218"/>
        <v>99.072000000000003</v>
      </c>
      <c r="Y542" s="519">
        <f t="shared" si="219"/>
        <v>148.608</v>
      </c>
      <c r="Z542" s="519">
        <f t="shared" si="220"/>
        <v>99.072000000000003</v>
      </c>
    </row>
    <row r="543" spans="1:26" s="512" customFormat="1" ht="45">
      <c r="A543" s="338" t="s">
        <v>8443</v>
      </c>
      <c r="B543" s="576" t="s">
        <v>5256</v>
      </c>
      <c r="C543" s="576" t="s">
        <v>8560</v>
      </c>
      <c r="D543" s="336" t="s">
        <v>8559</v>
      </c>
      <c r="E543" s="341">
        <v>8</v>
      </c>
      <c r="F543" s="342" t="s">
        <v>6337</v>
      </c>
      <c r="G543" s="352">
        <v>5.91</v>
      </c>
      <c r="H543" s="339">
        <f t="shared" si="212"/>
        <v>1.59</v>
      </c>
      <c r="I543" s="339">
        <f t="shared" si="213"/>
        <v>7.5</v>
      </c>
      <c r="J543" s="431">
        <f t="shared" si="214"/>
        <v>60</v>
      </c>
      <c r="K543" s="510">
        <f t="shared" si="207"/>
        <v>47.28</v>
      </c>
      <c r="L543" s="510">
        <f t="shared" si="208"/>
        <v>12.72</v>
      </c>
      <c r="M543" s="519"/>
      <c r="N543" s="519"/>
      <c r="O543" s="519"/>
      <c r="P543" s="519"/>
      <c r="Q543" s="519"/>
      <c r="R543" s="519"/>
      <c r="S543" s="519"/>
      <c r="T543" s="519">
        <f t="shared" si="215"/>
        <v>3</v>
      </c>
      <c r="U543" s="519"/>
      <c r="V543" s="519">
        <f t="shared" si="216"/>
        <v>6</v>
      </c>
      <c r="W543" s="519">
        <f t="shared" si="217"/>
        <v>9</v>
      </c>
      <c r="X543" s="519">
        <f t="shared" si="218"/>
        <v>12</v>
      </c>
      <c r="Y543" s="519">
        <f t="shared" si="219"/>
        <v>18</v>
      </c>
      <c r="Z543" s="519">
        <f t="shared" si="220"/>
        <v>12</v>
      </c>
    </row>
    <row r="544" spans="1:26" s="512" customFormat="1" ht="15">
      <c r="A544" s="338" t="s">
        <v>8444</v>
      </c>
      <c r="B544" s="576" t="s">
        <v>5256</v>
      </c>
      <c r="C544" s="576">
        <v>97595</v>
      </c>
      <c r="D544" s="336" t="s">
        <v>7309</v>
      </c>
      <c r="E544" s="341">
        <v>3</v>
      </c>
      <c r="F544" s="342" t="s">
        <v>6337</v>
      </c>
      <c r="G544" s="352">
        <v>38.71</v>
      </c>
      <c r="H544" s="339">
        <f t="shared" si="212"/>
        <v>10.42</v>
      </c>
      <c r="I544" s="339">
        <f t="shared" si="213"/>
        <v>49.13</v>
      </c>
      <c r="J544" s="431">
        <f t="shared" si="214"/>
        <v>147.38999999999999</v>
      </c>
      <c r="K544" s="510">
        <f t="shared" si="207"/>
        <v>116.13</v>
      </c>
      <c r="L544" s="510">
        <f t="shared" si="208"/>
        <v>31.26</v>
      </c>
      <c r="M544" s="519"/>
      <c r="N544" s="519"/>
      <c r="O544" s="519"/>
      <c r="P544" s="519"/>
      <c r="Q544" s="519"/>
      <c r="R544" s="519"/>
      <c r="S544" s="519"/>
      <c r="T544" s="519">
        <f t="shared" si="215"/>
        <v>7.3694999999999995</v>
      </c>
      <c r="U544" s="519"/>
      <c r="V544" s="519">
        <f t="shared" si="216"/>
        <v>14.738999999999999</v>
      </c>
      <c r="W544" s="519">
        <f t="shared" si="217"/>
        <v>22.108499999999996</v>
      </c>
      <c r="X544" s="519">
        <f t="shared" si="218"/>
        <v>29.477999999999998</v>
      </c>
      <c r="Y544" s="519">
        <f t="shared" si="219"/>
        <v>44.216999999999992</v>
      </c>
      <c r="Z544" s="519">
        <f t="shared" si="220"/>
        <v>29.477999999999998</v>
      </c>
    </row>
    <row r="545" spans="1:26" s="512" customFormat="1" ht="30">
      <c r="A545" s="338" t="s">
        <v>8445</v>
      </c>
      <c r="B545" s="576" t="s">
        <v>5256</v>
      </c>
      <c r="C545" s="576" t="s">
        <v>8450</v>
      </c>
      <c r="D545" s="336" t="s">
        <v>8448</v>
      </c>
      <c r="E545" s="341">
        <v>479</v>
      </c>
      <c r="F545" s="342" t="s">
        <v>6337</v>
      </c>
      <c r="G545" s="352">
        <v>5.17</v>
      </c>
      <c r="H545" s="339">
        <f t="shared" si="212"/>
        <v>1.39</v>
      </c>
      <c r="I545" s="339">
        <f t="shared" si="213"/>
        <v>6.56</v>
      </c>
      <c r="J545" s="431">
        <f t="shared" si="214"/>
        <v>3142.24</v>
      </c>
      <c r="K545" s="510">
        <f t="shared" si="207"/>
        <v>2476.4299999999998</v>
      </c>
      <c r="L545" s="510">
        <f t="shared" si="208"/>
        <v>665.81</v>
      </c>
      <c r="M545" s="519"/>
      <c r="N545" s="519"/>
      <c r="O545" s="519"/>
      <c r="P545" s="519"/>
      <c r="Q545" s="519"/>
      <c r="R545" s="519"/>
      <c r="S545" s="519"/>
      <c r="T545" s="519">
        <f t="shared" si="215"/>
        <v>157.11199999999999</v>
      </c>
      <c r="U545" s="519"/>
      <c r="V545" s="519">
        <f t="shared" si="216"/>
        <v>314.22399999999999</v>
      </c>
      <c r="W545" s="519">
        <f t="shared" si="217"/>
        <v>471.33599999999996</v>
      </c>
      <c r="X545" s="519">
        <f t="shared" si="218"/>
        <v>628.44799999999998</v>
      </c>
      <c r="Y545" s="519">
        <f t="shared" si="219"/>
        <v>942.67199999999991</v>
      </c>
      <c r="Z545" s="519">
        <f t="shared" si="220"/>
        <v>628.44799999999998</v>
      </c>
    </row>
    <row r="546" spans="1:26" s="512" customFormat="1" ht="30">
      <c r="A546" s="338" t="s">
        <v>8446</v>
      </c>
      <c r="B546" s="576" t="s">
        <v>5256</v>
      </c>
      <c r="C546" s="576" t="s">
        <v>8451</v>
      </c>
      <c r="D546" s="336" t="s">
        <v>8449</v>
      </c>
      <c r="E546" s="341">
        <v>280</v>
      </c>
      <c r="F546" s="342" t="s">
        <v>6337</v>
      </c>
      <c r="G546" s="352">
        <v>6.61</v>
      </c>
      <c r="H546" s="339">
        <f t="shared" si="212"/>
        <v>1.78</v>
      </c>
      <c r="I546" s="339">
        <f t="shared" si="213"/>
        <v>8.39</v>
      </c>
      <c r="J546" s="431">
        <f t="shared" si="214"/>
        <v>2349.1999999999998</v>
      </c>
      <c r="K546" s="510">
        <f t="shared" si="207"/>
        <v>1850.8</v>
      </c>
      <c r="L546" s="510">
        <f t="shared" si="208"/>
        <v>498.4</v>
      </c>
      <c r="M546" s="519"/>
      <c r="N546" s="519"/>
      <c r="O546" s="519"/>
      <c r="P546" s="519"/>
      <c r="Q546" s="519"/>
      <c r="R546" s="519"/>
      <c r="S546" s="519"/>
      <c r="T546" s="519">
        <f t="shared" si="215"/>
        <v>117.46</v>
      </c>
      <c r="U546" s="519"/>
      <c r="V546" s="519">
        <f t="shared" si="216"/>
        <v>234.92</v>
      </c>
      <c r="W546" s="519">
        <f t="shared" si="217"/>
        <v>352.37999999999994</v>
      </c>
      <c r="X546" s="519">
        <f t="shared" si="218"/>
        <v>469.84</v>
      </c>
      <c r="Y546" s="519">
        <f t="shared" si="219"/>
        <v>704.75999999999988</v>
      </c>
      <c r="Z546" s="519">
        <f t="shared" si="220"/>
        <v>469.84</v>
      </c>
    </row>
    <row r="547" spans="1:26" s="512" customFormat="1" ht="30">
      <c r="A547" s="338" t="s">
        <v>8447</v>
      </c>
      <c r="B547" s="576" t="s">
        <v>6753</v>
      </c>
      <c r="C547" s="576" t="s">
        <v>8454</v>
      </c>
      <c r="D547" s="336" t="s">
        <v>8455</v>
      </c>
      <c r="E547" s="341">
        <v>43</v>
      </c>
      <c r="F547" s="342" t="s">
        <v>6337</v>
      </c>
      <c r="G547" s="352">
        <v>138.03</v>
      </c>
      <c r="H547" s="339">
        <f t="shared" si="212"/>
        <v>37.17</v>
      </c>
      <c r="I547" s="339">
        <f t="shared" si="213"/>
        <v>175.2</v>
      </c>
      <c r="J547" s="431">
        <f t="shared" si="214"/>
        <v>7533.6</v>
      </c>
      <c r="K547" s="510">
        <f t="shared" si="207"/>
        <v>5935.29</v>
      </c>
      <c r="L547" s="510">
        <f t="shared" si="208"/>
        <v>1598.31</v>
      </c>
      <c r="M547" s="519"/>
      <c r="N547" s="519"/>
      <c r="O547" s="519"/>
      <c r="P547" s="519"/>
      <c r="Q547" s="519"/>
      <c r="R547" s="519"/>
      <c r="S547" s="519"/>
      <c r="T547" s="519">
        <f t="shared" si="215"/>
        <v>376.68000000000006</v>
      </c>
      <c r="U547" s="519"/>
      <c r="V547" s="519">
        <f t="shared" si="216"/>
        <v>753.36000000000013</v>
      </c>
      <c r="W547" s="519">
        <f t="shared" si="217"/>
        <v>1130.04</v>
      </c>
      <c r="X547" s="519">
        <f t="shared" si="218"/>
        <v>1506.7200000000003</v>
      </c>
      <c r="Y547" s="519">
        <f t="shared" si="219"/>
        <v>2260.08</v>
      </c>
      <c r="Z547" s="519">
        <f t="shared" si="220"/>
        <v>1506.7200000000003</v>
      </c>
    </row>
    <row r="548" spans="1:26" s="512" customFormat="1" ht="15">
      <c r="A548" s="337" t="s">
        <v>8541</v>
      </c>
      <c r="B548" s="698" t="s">
        <v>7226</v>
      </c>
      <c r="C548" s="698"/>
      <c r="D548" s="698"/>
      <c r="E548" s="698"/>
      <c r="F548" s="698"/>
      <c r="G548" s="698"/>
      <c r="H548" s="698"/>
      <c r="I548" s="698"/>
      <c r="J548" s="698"/>
      <c r="K548" s="510">
        <f t="shared" si="207"/>
        <v>0</v>
      </c>
      <c r="L548" s="510">
        <f t="shared" si="208"/>
        <v>0</v>
      </c>
      <c r="M548" s="519"/>
      <c r="N548" s="519"/>
      <c r="O548" s="519"/>
      <c r="P548" s="519"/>
      <c r="Q548" s="519"/>
      <c r="R548" s="519"/>
      <c r="S548" s="519"/>
      <c r="T548" s="519"/>
      <c r="U548" s="519"/>
      <c r="V548" s="519"/>
      <c r="W548" s="519"/>
      <c r="X548" s="519"/>
      <c r="Y548" s="519"/>
      <c r="Z548" s="519"/>
    </row>
    <row r="549" spans="1:26" s="512" customFormat="1" ht="30">
      <c r="A549" s="338" t="s">
        <v>8542</v>
      </c>
      <c r="B549" s="576" t="s">
        <v>6333</v>
      </c>
      <c r="C549" s="576">
        <v>7384</v>
      </c>
      <c r="D549" s="336" t="s">
        <v>8544</v>
      </c>
      <c r="E549" s="341">
        <v>1502</v>
      </c>
      <c r="F549" s="342" t="s">
        <v>6774</v>
      </c>
      <c r="G549" s="352">
        <v>12.93</v>
      </c>
      <c r="H549" s="339">
        <f>ROUND(G549*$B$13,2)</f>
        <v>3.48</v>
      </c>
      <c r="I549" s="339">
        <f>H549+G549</f>
        <v>16.41</v>
      </c>
      <c r="J549" s="431">
        <f>ROUND(I549*E549,2)</f>
        <v>24647.82</v>
      </c>
      <c r="K549" s="510">
        <f t="shared" si="207"/>
        <v>19420.86</v>
      </c>
      <c r="L549" s="510">
        <f t="shared" si="208"/>
        <v>5226.96</v>
      </c>
      <c r="M549" s="519"/>
      <c r="N549" s="519"/>
      <c r="O549" s="519"/>
      <c r="P549" s="519"/>
      <c r="Q549" s="519"/>
      <c r="R549" s="519"/>
      <c r="S549" s="519"/>
      <c r="T549" s="519">
        <f t="shared" ref="T549:T550" si="221">0.05*J549</f>
        <v>1232.3910000000001</v>
      </c>
      <c r="U549" s="519"/>
      <c r="V549" s="519">
        <f t="shared" ref="V549:V550" si="222">0.1*J549</f>
        <v>2464.7820000000002</v>
      </c>
      <c r="W549" s="519">
        <f t="shared" ref="W549:W550" si="223">0.15*J549</f>
        <v>3697.1729999999998</v>
      </c>
      <c r="X549" s="519">
        <f t="shared" ref="X549:X550" si="224">0.2*J549</f>
        <v>4929.5640000000003</v>
      </c>
      <c r="Y549" s="519">
        <f t="shared" ref="Y549:Y550" si="225">0.3*J549</f>
        <v>7394.3459999999995</v>
      </c>
      <c r="Z549" s="519">
        <f t="shared" ref="Z549:Z550" si="226">0.2*J549</f>
        <v>4929.5640000000003</v>
      </c>
    </row>
    <row r="550" spans="1:26" s="512" customFormat="1" ht="30">
      <c r="A550" s="338" t="s">
        <v>8543</v>
      </c>
      <c r="B550" s="576" t="s">
        <v>6333</v>
      </c>
      <c r="C550" s="576">
        <v>723</v>
      </c>
      <c r="D550" s="336" t="s">
        <v>8545</v>
      </c>
      <c r="E550" s="341">
        <v>310</v>
      </c>
      <c r="F550" s="342" t="s">
        <v>6337</v>
      </c>
      <c r="G550" s="352">
        <v>3.19</v>
      </c>
      <c r="H550" s="339">
        <f>ROUND(G550*$B$13,2)</f>
        <v>0.86</v>
      </c>
      <c r="I550" s="339">
        <f>H550+G550</f>
        <v>4.05</v>
      </c>
      <c r="J550" s="431">
        <f>ROUND(I550*E550,2)</f>
        <v>1255.5</v>
      </c>
      <c r="K550" s="510">
        <f t="shared" si="207"/>
        <v>988.9</v>
      </c>
      <c r="L550" s="510">
        <f t="shared" si="208"/>
        <v>266.60000000000002</v>
      </c>
      <c r="M550" s="519"/>
      <c r="N550" s="519"/>
      <c r="O550" s="519"/>
      <c r="P550" s="519"/>
      <c r="Q550" s="519"/>
      <c r="R550" s="519"/>
      <c r="S550" s="519"/>
      <c r="T550" s="519">
        <f t="shared" si="221"/>
        <v>62.775000000000006</v>
      </c>
      <c r="U550" s="519"/>
      <c r="V550" s="519">
        <f t="shared" si="222"/>
        <v>125.55000000000001</v>
      </c>
      <c r="W550" s="519">
        <f t="shared" si="223"/>
        <v>188.32499999999999</v>
      </c>
      <c r="X550" s="519">
        <f t="shared" si="224"/>
        <v>251.10000000000002</v>
      </c>
      <c r="Y550" s="519">
        <f t="shared" si="225"/>
        <v>376.65</v>
      </c>
      <c r="Z550" s="519">
        <f t="shared" si="226"/>
        <v>251.10000000000002</v>
      </c>
    </row>
    <row r="551" spans="1:26" s="512" customFormat="1" ht="15">
      <c r="A551" s="337" t="s">
        <v>7343</v>
      </c>
      <c r="B551" s="698" t="s">
        <v>7344</v>
      </c>
      <c r="C551" s="698"/>
      <c r="D551" s="698"/>
      <c r="E551" s="698"/>
      <c r="F551" s="698"/>
      <c r="G551" s="698"/>
      <c r="H551" s="698"/>
      <c r="I551" s="698"/>
      <c r="J551" s="698"/>
      <c r="K551" s="510">
        <f t="shared" ref="K551:K560" si="227">ROUND(G551*E551,2)</f>
        <v>0</v>
      </c>
      <c r="L551" s="510">
        <f t="shared" ref="L551:L560" si="228">ROUND(H551*E551,2)</f>
        <v>0</v>
      </c>
      <c r="M551" s="519"/>
      <c r="N551" s="519"/>
      <c r="O551" s="519"/>
      <c r="P551" s="519"/>
      <c r="Q551" s="519"/>
      <c r="R551" s="519"/>
      <c r="S551" s="519"/>
      <c r="T551" s="519"/>
      <c r="U551" s="519"/>
      <c r="V551" s="519"/>
      <c r="W551" s="519"/>
      <c r="X551" s="519"/>
      <c r="Y551" s="519"/>
      <c r="Z551" s="519"/>
    </row>
    <row r="552" spans="1:26" s="512" customFormat="1" ht="30">
      <c r="A552" s="338" t="s">
        <v>8606</v>
      </c>
      <c r="B552" s="576" t="s">
        <v>5256</v>
      </c>
      <c r="C552" s="576">
        <v>96989</v>
      </c>
      <c r="D552" s="336" t="s">
        <v>7345</v>
      </c>
      <c r="E552" s="341">
        <v>1</v>
      </c>
      <c r="F552" s="342" t="s">
        <v>6337</v>
      </c>
      <c r="G552" s="352">
        <v>78.88</v>
      </c>
      <c r="H552" s="339">
        <f t="shared" ref="H552:H560" si="229">ROUND(G552*$B$13,2)</f>
        <v>21.24</v>
      </c>
      <c r="I552" s="339">
        <f t="shared" ref="I552:I560" si="230">H552+G552</f>
        <v>100.11999999999999</v>
      </c>
      <c r="J552" s="431">
        <f t="shared" ref="J552:J560" si="231">ROUND(I552*E552,2)</f>
        <v>100.12</v>
      </c>
      <c r="K552" s="510">
        <f t="shared" si="227"/>
        <v>78.88</v>
      </c>
      <c r="L552" s="510">
        <f t="shared" si="228"/>
        <v>21.24</v>
      </c>
      <c r="M552" s="519"/>
      <c r="N552" s="519"/>
      <c r="O552" s="519"/>
      <c r="P552" s="519"/>
      <c r="Q552" s="519"/>
      <c r="R552" s="519"/>
      <c r="S552" s="519"/>
      <c r="T552" s="519"/>
      <c r="U552" s="519">
        <f>0.5*J552</f>
        <v>50.06</v>
      </c>
      <c r="V552" s="519">
        <f>0.5*J552</f>
        <v>50.06</v>
      </c>
      <c r="W552" s="519"/>
      <c r="X552" s="519"/>
      <c r="Y552" s="519"/>
      <c r="Z552" s="519"/>
    </row>
    <row r="553" spans="1:26" s="512" customFormat="1" ht="30">
      <c r="A553" s="338" t="s">
        <v>8607</v>
      </c>
      <c r="B553" s="576" t="s">
        <v>5256</v>
      </c>
      <c r="C553" s="576">
        <v>96987</v>
      </c>
      <c r="D553" s="336" t="s">
        <v>7346</v>
      </c>
      <c r="E553" s="341">
        <v>1</v>
      </c>
      <c r="F553" s="342" t="s">
        <v>6337</v>
      </c>
      <c r="G553" s="352">
        <v>82.29</v>
      </c>
      <c r="H553" s="339">
        <f t="shared" si="229"/>
        <v>22.16</v>
      </c>
      <c r="I553" s="339">
        <f t="shared" si="230"/>
        <v>104.45</v>
      </c>
      <c r="J553" s="431">
        <f t="shared" si="231"/>
        <v>104.45</v>
      </c>
      <c r="K553" s="510">
        <f t="shared" si="227"/>
        <v>82.29</v>
      </c>
      <c r="L553" s="510">
        <f t="shared" si="228"/>
        <v>22.16</v>
      </c>
      <c r="M553" s="519"/>
      <c r="N553" s="519"/>
      <c r="O553" s="519"/>
      <c r="P553" s="519"/>
      <c r="Q553" s="519"/>
      <c r="R553" s="519"/>
      <c r="S553" s="519"/>
      <c r="T553" s="519"/>
      <c r="U553" s="519">
        <f t="shared" ref="U553:U560" si="232">0.5*J553</f>
        <v>52.225000000000001</v>
      </c>
      <c r="V553" s="519">
        <f t="shared" ref="V553:V560" si="233">0.5*J553</f>
        <v>52.225000000000001</v>
      </c>
      <c r="W553" s="519"/>
      <c r="X553" s="519"/>
      <c r="Y553" s="519"/>
      <c r="Z553" s="519"/>
    </row>
    <row r="554" spans="1:26" s="512" customFormat="1" ht="30">
      <c r="A554" s="338" t="s">
        <v>8608</v>
      </c>
      <c r="B554" s="576" t="s">
        <v>5256</v>
      </c>
      <c r="C554" s="576">
        <v>96988</v>
      </c>
      <c r="D554" s="336" t="s">
        <v>7347</v>
      </c>
      <c r="E554" s="341">
        <v>1</v>
      </c>
      <c r="F554" s="342" t="s">
        <v>6337</v>
      </c>
      <c r="G554" s="352">
        <v>119.85</v>
      </c>
      <c r="H554" s="339">
        <f t="shared" si="229"/>
        <v>32.28</v>
      </c>
      <c r="I554" s="339">
        <f t="shared" si="230"/>
        <v>152.13</v>
      </c>
      <c r="J554" s="431">
        <f t="shared" si="231"/>
        <v>152.13</v>
      </c>
      <c r="K554" s="510">
        <f t="shared" si="227"/>
        <v>119.85</v>
      </c>
      <c r="L554" s="510">
        <f t="shared" si="228"/>
        <v>32.28</v>
      </c>
      <c r="M554" s="519"/>
      <c r="N554" s="519"/>
      <c r="O554" s="519"/>
      <c r="P554" s="519"/>
      <c r="Q554" s="519"/>
      <c r="R554" s="519"/>
      <c r="S554" s="519"/>
      <c r="T554" s="519"/>
      <c r="U554" s="519">
        <f t="shared" si="232"/>
        <v>76.064999999999998</v>
      </c>
      <c r="V554" s="519">
        <f t="shared" si="233"/>
        <v>76.064999999999998</v>
      </c>
      <c r="W554" s="519"/>
      <c r="X554" s="519"/>
      <c r="Y554" s="519"/>
      <c r="Z554" s="519"/>
    </row>
    <row r="555" spans="1:26" s="512" customFormat="1" ht="30">
      <c r="A555" s="338" t="s">
        <v>8609</v>
      </c>
      <c r="B555" s="576" t="s">
        <v>6333</v>
      </c>
      <c r="C555" s="576" t="s">
        <v>15580</v>
      </c>
      <c r="D555" s="336" t="s">
        <v>7348</v>
      </c>
      <c r="E555" s="341">
        <v>200</v>
      </c>
      <c r="F555" s="342" t="s">
        <v>6774</v>
      </c>
      <c r="G555" s="352">
        <v>3.18</v>
      </c>
      <c r="H555" s="339">
        <f t="shared" si="229"/>
        <v>0.86</v>
      </c>
      <c r="I555" s="339">
        <f t="shared" si="230"/>
        <v>4.04</v>
      </c>
      <c r="J555" s="431">
        <f t="shared" si="231"/>
        <v>808</v>
      </c>
      <c r="K555" s="510">
        <f t="shared" si="227"/>
        <v>636</v>
      </c>
      <c r="L555" s="510">
        <f t="shared" si="228"/>
        <v>172</v>
      </c>
      <c r="M555" s="519"/>
      <c r="N555" s="519"/>
      <c r="O555" s="519"/>
      <c r="P555" s="519"/>
      <c r="Q555" s="519"/>
      <c r="R555" s="519"/>
      <c r="S555" s="519"/>
      <c r="T555" s="519"/>
      <c r="U555" s="519">
        <f t="shared" si="232"/>
        <v>404</v>
      </c>
      <c r="V555" s="519">
        <f t="shared" si="233"/>
        <v>404</v>
      </c>
      <c r="W555" s="519"/>
      <c r="X555" s="519"/>
      <c r="Y555" s="519"/>
      <c r="Z555" s="519"/>
    </row>
    <row r="556" spans="1:26" s="512" customFormat="1" ht="30">
      <c r="A556" s="338" t="s">
        <v>8610</v>
      </c>
      <c r="B556" s="576" t="s">
        <v>5256</v>
      </c>
      <c r="C556" s="576">
        <v>96973</v>
      </c>
      <c r="D556" s="336" t="s">
        <v>7966</v>
      </c>
      <c r="E556" s="341">
        <v>550</v>
      </c>
      <c r="F556" s="342" t="s">
        <v>6774</v>
      </c>
      <c r="G556" s="352">
        <v>28.07</v>
      </c>
      <c r="H556" s="339">
        <f t="shared" si="229"/>
        <v>7.56</v>
      </c>
      <c r="I556" s="339">
        <f t="shared" si="230"/>
        <v>35.630000000000003</v>
      </c>
      <c r="J556" s="431">
        <f t="shared" si="231"/>
        <v>19596.5</v>
      </c>
      <c r="K556" s="510">
        <f t="shared" si="227"/>
        <v>15438.5</v>
      </c>
      <c r="L556" s="510">
        <f t="shared" si="228"/>
        <v>4158</v>
      </c>
      <c r="M556" s="519"/>
      <c r="N556" s="519"/>
      <c r="O556" s="519"/>
      <c r="P556" s="519"/>
      <c r="Q556" s="519"/>
      <c r="R556" s="519"/>
      <c r="S556" s="519"/>
      <c r="T556" s="519"/>
      <c r="U556" s="519">
        <f t="shared" si="232"/>
        <v>9798.25</v>
      </c>
      <c r="V556" s="519">
        <f t="shared" si="233"/>
        <v>9798.25</v>
      </c>
      <c r="W556" s="519"/>
      <c r="X556" s="519"/>
      <c r="Y556" s="519"/>
      <c r="Z556" s="519"/>
    </row>
    <row r="557" spans="1:26" s="512" customFormat="1" ht="30">
      <c r="A557" s="338" t="s">
        <v>8611</v>
      </c>
      <c r="B557" s="576" t="s">
        <v>5256</v>
      </c>
      <c r="C557" s="576">
        <v>96974</v>
      </c>
      <c r="D557" s="336" t="s">
        <v>7967</v>
      </c>
      <c r="E557" s="341">
        <v>400</v>
      </c>
      <c r="F557" s="342" t="s">
        <v>6774</v>
      </c>
      <c r="G557" s="352">
        <v>35.24</v>
      </c>
      <c r="H557" s="339">
        <f t="shared" si="229"/>
        <v>9.49</v>
      </c>
      <c r="I557" s="339">
        <f t="shared" si="230"/>
        <v>44.730000000000004</v>
      </c>
      <c r="J557" s="431">
        <f t="shared" si="231"/>
        <v>17892</v>
      </c>
      <c r="K557" s="510">
        <f t="shared" si="227"/>
        <v>14096</v>
      </c>
      <c r="L557" s="510">
        <f t="shared" si="228"/>
        <v>3796</v>
      </c>
      <c r="M557" s="519"/>
      <c r="N557" s="519"/>
      <c r="O557" s="519"/>
      <c r="P557" s="519"/>
      <c r="Q557" s="519"/>
      <c r="R557" s="519"/>
      <c r="S557" s="519"/>
      <c r="T557" s="519"/>
      <c r="U557" s="519">
        <f t="shared" si="232"/>
        <v>8946</v>
      </c>
      <c r="V557" s="519">
        <f t="shared" si="233"/>
        <v>8946</v>
      </c>
      <c r="W557" s="519"/>
      <c r="X557" s="519"/>
      <c r="Y557" s="519"/>
      <c r="Z557" s="519"/>
    </row>
    <row r="558" spans="1:26" s="512" customFormat="1" ht="30">
      <c r="A558" s="338" t="s">
        <v>8612</v>
      </c>
      <c r="B558" s="576" t="s">
        <v>6799</v>
      </c>
      <c r="C558" s="576">
        <v>78051</v>
      </c>
      <c r="D558" s="336" t="s">
        <v>7349</v>
      </c>
      <c r="E558" s="341">
        <v>120</v>
      </c>
      <c r="F558" s="342" t="s">
        <v>6337</v>
      </c>
      <c r="G558" s="352">
        <v>33.130000000000003</v>
      </c>
      <c r="H558" s="339">
        <f t="shared" si="229"/>
        <v>8.92</v>
      </c>
      <c r="I558" s="339">
        <f t="shared" si="230"/>
        <v>42.050000000000004</v>
      </c>
      <c r="J558" s="431">
        <f t="shared" si="231"/>
        <v>5046</v>
      </c>
      <c r="K558" s="510">
        <f t="shared" si="227"/>
        <v>3975.6</v>
      </c>
      <c r="L558" s="510">
        <f t="shared" si="228"/>
        <v>1070.4000000000001</v>
      </c>
      <c r="M558" s="519"/>
      <c r="N558" s="519"/>
      <c r="O558" s="519"/>
      <c r="P558" s="519"/>
      <c r="Q558" s="519"/>
      <c r="R558" s="519"/>
      <c r="S558" s="519"/>
      <c r="T558" s="519"/>
      <c r="U558" s="519">
        <f t="shared" si="232"/>
        <v>2523</v>
      </c>
      <c r="V558" s="519">
        <f t="shared" si="233"/>
        <v>2523</v>
      </c>
      <c r="W558" s="519"/>
      <c r="X558" s="519"/>
      <c r="Y558" s="519"/>
      <c r="Z558" s="519"/>
    </row>
    <row r="559" spans="1:26" s="512" customFormat="1" ht="30">
      <c r="A559" s="338" t="s">
        <v>7353</v>
      </c>
      <c r="B559" s="576" t="s">
        <v>5256</v>
      </c>
      <c r="C559" s="576">
        <v>96986</v>
      </c>
      <c r="D559" s="336" t="s">
        <v>7351</v>
      </c>
      <c r="E559" s="341">
        <v>20</v>
      </c>
      <c r="F559" s="342" t="s">
        <v>6337</v>
      </c>
      <c r="G559" s="352">
        <v>60.94</v>
      </c>
      <c r="H559" s="339">
        <f t="shared" si="229"/>
        <v>16.41</v>
      </c>
      <c r="I559" s="339">
        <f t="shared" si="230"/>
        <v>77.349999999999994</v>
      </c>
      <c r="J559" s="431">
        <f t="shared" si="231"/>
        <v>1547</v>
      </c>
      <c r="K559" s="510">
        <f t="shared" si="227"/>
        <v>1218.8</v>
      </c>
      <c r="L559" s="510">
        <f t="shared" si="228"/>
        <v>328.2</v>
      </c>
      <c r="M559" s="519"/>
      <c r="N559" s="519"/>
      <c r="O559" s="519"/>
      <c r="P559" s="519"/>
      <c r="Q559" s="519"/>
      <c r="R559" s="519"/>
      <c r="S559" s="519"/>
      <c r="T559" s="519"/>
      <c r="U559" s="519">
        <f t="shared" si="232"/>
        <v>773.5</v>
      </c>
      <c r="V559" s="519">
        <f t="shared" si="233"/>
        <v>773.5</v>
      </c>
      <c r="W559" s="519"/>
      <c r="X559" s="519"/>
      <c r="Y559" s="519"/>
      <c r="Z559" s="519"/>
    </row>
    <row r="560" spans="1:26" s="512" customFormat="1" ht="15">
      <c r="A560" s="338" t="s">
        <v>7354</v>
      </c>
      <c r="B560" s="576" t="s">
        <v>6799</v>
      </c>
      <c r="C560" s="576">
        <v>78850</v>
      </c>
      <c r="D560" s="336" t="s">
        <v>7352</v>
      </c>
      <c r="E560" s="341">
        <v>1</v>
      </c>
      <c r="F560" s="342" t="s">
        <v>6337</v>
      </c>
      <c r="G560" s="352">
        <v>637.04999999999995</v>
      </c>
      <c r="H560" s="339">
        <f t="shared" si="229"/>
        <v>171.56</v>
      </c>
      <c r="I560" s="339">
        <f t="shared" si="230"/>
        <v>808.6099999999999</v>
      </c>
      <c r="J560" s="431">
        <f t="shared" si="231"/>
        <v>808.61</v>
      </c>
      <c r="K560" s="510">
        <f t="shared" si="227"/>
        <v>637.04999999999995</v>
      </c>
      <c r="L560" s="510">
        <f t="shared" si="228"/>
        <v>171.56</v>
      </c>
      <c r="M560" s="519"/>
      <c r="N560" s="519"/>
      <c r="O560" s="519"/>
      <c r="P560" s="519"/>
      <c r="Q560" s="519"/>
      <c r="R560" s="519"/>
      <c r="S560" s="519"/>
      <c r="T560" s="519"/>
      <c r="U560" s="519">
        <f t="shared" si="232"/>
        <v>404.30500000000001</v>
      </c>
      <c r="V560" s="519">
        <f t="shared" si="233"/>
        <v>404.30500000000001</v>
      </c>
      <c r="W560" s="519"/>
      <c r="X560" s="519"/>
      <c r="Y560" s="519"/>
      <c r="Z560" s="519"/>
    </row>
    <row r="561" spans="1:26" s="6" customFormat="1" ht="15">
      <c r="A561" s="700" t="s">
        <v>7360</v>
      </c>
      <c r="B561" s="700"/>
      <c r="C561" s="700"/>
      <c r="D561" s="700"/>
      <c r="E561" s="700"/>
      <c r="F561" s="700"/>
      <c r="G561" s="700"/>
      <c r="H561" s="700"/>
      <c r="I561" s="700"/>
      <c r="J561" s="432">
        <f>SUM(J403:J560)</f>
        <v>1096087.0299999993</v>
      </c>
      <c r="K561" s="510"/>
      <c r="L561" s="510"/>
      <c r="M561" s="514">
        <f>SUM(M403:M560)</f>
        <v>0</v>
      </c>
      <c r="N561" s="514">
        <f t="shared" ref="N561:Z561" si="234">SUM(N403:N560)</f>
        <v>0</v>
      </c>
      <c r="O561" s="514">
        <f t="shared" si="234"/>
        <v>0</v>
      </c>
      <c r="P561" s="514">
        <f t="shared" si="234"/>
        <v>0</v>
      </c>
      <c r="Q561" s="514">
        <f t="shared" si="234"/>
        <v>0</v>
      </c>
      <c r="R561" s="514">
        <f t="shared" si="234"/>
        <v>0</v>
      </c>
      <c r="S561" s="514">
        <f t="shared" si="234"/>
        <v>0</v>
      </c>
      <c r="T561" s="514">
        <f t="shared" si="234"/>
        <v>52501.610999999975</v>
      </c>
      <c r="U561" s="514">
        <f t="shared" si="234"/>
        <v>23027.404999999999</v>
      </c>
      <c r="V561" s="514">
        <f t="shared" si="234"/>
        <v>128030.62699999995</v>
      </c>
      <c r="W561" s="514">
        <f t="shared" si="234"/>
        <v>157504.83299999993</v>
      </c>
      <c r="X561" s="514">
        <f t="shared" si="234"/>
        <v>210006.4439999999</v>
      </c>
      <c r="Y561" s="514">
        <f t="shared" si="234"/>
        <v>315009.66599999985</v>
      </c>
      <c r="Z561" s="514">
        <f t="shared" si="234"/>
        <v>210006.4439999999</v>
      </c>
    </row>
    <row r="562" spans="1:26" s="6" customFormat="1" ht="15">
      <c r="A562" s="29"/>
      <c r="B562" s="29"/>
      <c r="C562" s="29"/>
      <c r="D562" s="29"/>
      <c r="E562" s="189"/>
      <c r="F562" s="29"/>
      <c r="G562" s="353"/>
      <c r="H562" s="28"/>
      <c r="I562" s="28"/>
      <c r="J562" s="433"/>
      <c r="K562" s="155"/>
      <c r="L562" s="117"/>
      <c r="M562" s="358"/>
      <c r="N562" s="358"/>
      <c r="O562" s="358"/>
      <c r="P562" s="358"/>
      <c r="Q562" s="358"/>
      <c r="R562" s="358"/>
      <c r="S562" s="358"/>
      <c r="T562" s="358"/>
      <c r="U562" s="358"/>
      <c r="V562" s="358"/>
      <c r="W562" s="358"/>
      <c r="X562" s="358"/>
      <c r="Y562" s="358"/>
      <c r="Z562" s="358"/>
    </row>
    <row r="563" spans="1:26" s="6" customFormat="1" ht="15">
      <c r="A563" s="197" t="s">
        <v>5948</v>
      </c>
      <c r="B563" s="699" t="s">
        <v>5950</v>
      </c>
      <c r="C563" s="699"/>
      <c r="D563" s="699"/>
      <c r="E563" s="699"/>
      <c r="F563" s="699"/>
      <c r="G563" s="699"/>
      <c r="H563" s="699"/>
      <c r="I563" s="699"/>
      <c r="J563" s="699"/>
      <c r="K563" s="509"/>
      <c r="L563" s="117"/>
      <c r="M563" s="358"/>
      <c r="N563" s="358"/>
      <c r="O563" s="358"/>
      <c r="P563" s="358"/>
      <c r="Q563" s="358"/>
      <c r="R563" s="358"/>
      <c r="S563" s="358"/>
      <c r="T563" s="358"/>
      <c r="U563" s="358"/>
      <c r="V563" s="358"/>
      <c r="W563" s="358"/>
      <c r="X563" s="358"/>
      <c r="Y563" s="358"/>
      <c r="Z563" s="358"/>
    </row>
    <row r="564" spans="1:26" s="6" customFormat="1" ht="15">
      <c r="A564" s="337" t="s">
        <v>7362</v>
      </c>
      <c r="B564" s="698" t="s">
        <v>7363</v>
      </c>
      <c r="C564" s="698"/>
      <c r="D564" s="698"/>
      <c r="E564" s="698"/>
      <c r="F564" s="698"/>
      <c r="G564" s="698"/>
      <c r="H564" s="698"/>
      <c r="I564" s="698"/>
      <c r="J564" s="698"/>
      <c r="K564" s="39"/>
      <c r="L564" s="117"/>
      <c r="M564" s="358"/>
      <c r="N564" s="358"/>
      <c r="O564" s="358"/>
      <c r="P564" s="358"/>
      <c r="Q564" s="358"/>
      <c r="R564" s="358"/>
      <c r="S564" s="358"/>
      <c r="T564" s="358"/>
      <c r="U564" s="358"/>
      <c r="V564" s="358"/>
      <c r="W564" s="358"/>
      <c r="X564" s="358"/>
      <c r="Y564" s="358"/>
      <c r="Z564" s="358"/>
    </row>
    <row r="565" spans="1:26" s="512" customFormat="1" ht="45">
      <c r="A565" s="338" t="s">
        <v>7369</v>
      </c>
      <c r="B565" s="576" t="s">
        <v>6333</v>
      </c>
      <c r="C565" s="576">
        <v>8058</v>
      </c>
      <c r="D565" s="336" t="s">
        <v>7364</v>
      </c>
      <c r="E565" s="341">
        <v>2</v>
      </c>
      <c r="F565" s="342" t="s">
        <v>6337</v>
      </c>
      <c r="G565" s="352">
        <v>253.67</v>
      </c>
      <c r="H565" s="339">
        <f>ROUND(G565*$B$13,2)</f>
        <v>68.31</v>
      </c>
      <c r="I565" s="339">
        <f>H565+G565</f>
        <v>321.98</v>
      </c>
      <c r="J565" s="431">
        <f>ROUND(I565*E565,2)</f>
        <v>643.96</v>
      </c>
      <c r="K565" s="510">
        <f t="shared" ref="K565:K574" si="235">ROUND(G565*E565,2)</f>
        <v>507.34</v>
      </c>
      <c r="L565" s="510">
        <f t="shared" ref="L565:L574" si="236">ROUND(H565*E565,2)</f>
        <v>136.62</v>
      </c>
      <c r="M565" s="519"/>
      <c r="N565" s="519"/>
      <c r="O565" s="519"/>
      <c r="P565" s="519"/>
      <c r="Q565" s="519"/>
      <c r="R565" s="519"/>
      <c r="S565" s="519"/>
      <c r="T565" s="519"/>
      <c r="U565" s="519"/>
      <c r="V565" s="519"/>
      <c r="W565" s="519">
        <f>0.5*J565</f>
        <v>321.98</v>
      </c>
      <c r="X565" s="519">
        <f>0.5*J565</f>
        <v>321.98</v>
      </c>
      <c r="Y565" s="519"/>
      <c r="Z565" s="519"/>
    </row>
    <row r="566" spans="1:26" s="512" customFormat="1" ht="30">
      <c r="A566" s="338" t="s">
        <v>7370</v>
      </c>
      <c r="B566" s="576" t="s">
        <v>6333</v>
      </c>
      <c r="C566" s="576">
        <v>7861</v>
      </c>
      <c r="D566" s="336" t="s">
        <v>7365</v>
      </c>
      <c r="E566" s="341">
        <f>2+2</f>
        <v>4</v>
      </c>
      <c r="F566" s="342" t="s">
        <v>6337</v>
      </c>
      <c r="G566" s="352">
        <v>85.5</v>
      </c>
      <c r="H566" s="339">
        <f>ROUND(G566*$B$13,2)</f>
        <v>23.03</v>
      </c>
      <c r="I566" s="339">
        <f>H566+G566</f>
        <v>108.53</v>
      </c>
      <c r="J566" s="431">
        <f>ROUND(I566*E566,2)</f>
        <v>434.12</v>
      </c>
      <c r="K566" s="510">
        <f t="shared" si="235"/>
        <v>342</v>
      </c>
      <c r="L566" s="510">
        <f t="shared" si="236"/>
        <v>92.12</v>
      </c>
      <c r="M566" s="519"/>
      <c r="N566" s="519"/>
      <c r="O566" s="519"/>
      <c r="P566" s="519"/>
      <c r="Q566" s="519"/>
      <c r="R566" s="519"/>
      <c r="S566" s="519"/>
      <c r="T566" s="519"/>
      <c r="U566" s="519"/>
      <c r="V566" s="519"/>
      <c r="W566" s="519">
        <f t="shared" ref="W566:W569" si="237">0.5*J566</f>
        <v>217.06</v>
      </c>
      <c r="X566" s="519">
        <f t="shared" ref="X566:X569" si="238">0.5*J566</f>
        <v>217.06</v>
      </c>
      <c r="Y566" s="519"/>
      <c r="Z566" s="519"/>
    </row>
    <row r="567" spans="1:26" s="512" customFormat="1" ht="30">
      <c r="A567" s="338" t="s">
        <v>7371</v>
      </c>
      <c r="B567" s="576" t="s">
        <v>6333</v>
      </c>
      <c r="C567" s="576">
        <v>11824</v>
      </c>
      <c r="D567" s="336" t="s">
        <v>7366</v>
      </c>
      <c r="E567" s="341">
        <f>3+3</f>
        <v>6</v>
      </c>
      <c r="F567" s="342" t="s">
        <v>6337</v>
      </c>
      <c r="G567" s="352">
        <v>129.76</v>
      </c>
      <c r="H567" s="339">
        <f>ROUND(G567*$B$13,2)</f>
        <v>34.94</v>
      </c>
      <c r="I567" s="339">
        <f>H567+G567</f>
        <v>164.7</v>
      </c>
      <c r="J567" s="431">
        <f>ROUND(I567*E567,2)</f>
        <v>988.2</v>
      </c>
      <c r="K567" s="510">
        <f t="shared" si="235"/>
        <v>778.56</v>
      </c>
      <c r="L567" s="510">
        <f t="shared" si="236"/>
        <v>209.64</v>
      </c>
      <c r="M567" s="519"/>
      <c r="N567" s="519"/>
      <c r="O567" s="519"/>
      <c r="P567" s="519"/>
      <c r="Q567" s="519"/>
      <c r="R567" s="519"/>
      <c r="S567" s="519"/>
      <c r="T567" s="519"/>
      <c r="U567" s="519"/>
      <c r="V567" s="519"/>
      <c r="W567" s="519">
        <f t="shared" si="237"/>
        <v>494.1</v>
      </c>
      <c r="X567" s="519">
        <f t="shared" si="238"/>
        <v>494.1</v>
      </c>
      <c r="Y567" s="519"/>
      <c r="Z567" s="519"/>
    </row>
    <row r="568" spans="1:26" s="512" customFormat="1" ht="15">
      <c r="A568" s="338" t="s">
        <v>8996</v>
      </c>
      <c r="B568" s="576" t="s">
        <v>6333</v>
      </c>
      <c r="C568" s="576">
        <v>12018</v>
      </c>
      <c r="D568" s="336" t="s">
        <v>7367</v>
      </c>
      <c r="E568" s="341">
        <f>5+4</f>
        <v>9</v>
      </c>
      <c r="F568" s="342" t="s">
        <v>6337</v>
      </c>
      <c r="G568" s="352">
        <v>147.04000000000002</v>
      </c>
      <c r="H568" s="339">
        <f>ROUND(G568*$B$13,2)</f>
        <v>39.6</v>
      </c>
      <c r="I568" s="339">
        <f>H568+G568</f>
        <v>186.64000000000001</v>
      </c>
      <c r="J568" s="431">
        <f>ROUND(I568*E568,2)</f>
        <v>1679.76</v>
      </c>
      <c r="K568" s="510">
        <f t="shared" si="235"/>
        <v>1323.36</v>
      </c>
      <c r="L568" s="510">
        <f t="shared" si="236"/>
        <v>356.4</v>
      </c>
      <c r="M568" s="519"/>
      <c r="N568" s="519"/>
      <c r="O568" s="519"/>
      <c r="P568" s="519"/>
      <c r="Q568" s="519"/>
      <c r="R568" s="519"/>
      <c r="S568" s="519"/>
      <c r="T568" s="519"/>
      <c r="U568" s="519"/>
      <c r="V568" s="519"/>
      <c r="W568" s="519">
        <f t="shared" si="237"/>
        <v>839.88</v>
      </c>
      <c r="X568" s="519">
        <f t="shared" si="238"/>
        <v>839.88</v>
      </c>
      <c r="Y568" s="519"/>
      <c r="Z568" s="519"/>
    </row>
    <row r="569" spans="1:26" s="512" customFormat="1" ht="30">
      <c r="A569" s="338" t="s">
        <v>8997</v>
      </c>
      <c r="B569" s="576" t="s">
        <v>6333</v>
      </c>
      <c r="C569" s="576">
        <v>12017</v>
      </c>
      <c r="D569" s="336" t="s">
        <v>7368</v>
      </c>
      <c r="E569" s="341">
        <f>26+27</f>
        <v>53</v>
      </c>
      <c r="F569" s="342" t="s">
        <v>6337</v>
      </c>
      <c r="G569" s="352">
        <v>147.04000000000002</v>
      </c>
      <c r="H569" s="339">
        <f>ROUND(G569*$B$13,2)</f>
        <v>39.6</v>
      </c>
      <c r="I569" s="339">
        <f>H569+G569</f>
        <v>186.64000000000001</v>
      </c>
      <c r="J569" s="431">
        <f>ROUND(I569*E569,2)</f>
        <v>9891.92</v>
      </c>
      <c r="K569" s="510">
        <f t="shared" si="235"/>
        <v>7793.12</v>
      </c>
      <c r="L569" s="510">
        <f t="shared" si="236"/>
        <v>2098.8000000000002</v>
      </c>
      <c r="M569" s="519"/>
      <c r="N569" s="519"/>
      <c r="O569" s="519"/>
      <c r="P569" s="519"/>
      <c r="Q569" s="519"/>
      <c r="R569" s="519"/>
      <c r="S569" s="519"/>
      <c r="T569" s="519"/>
      <c r="U569" s="519"/>
      <c r="V569" s="519"/>
      <c r="W569" s="519">
        <f t="shared" si="237"/>
        <v>4945.96</v>
      </c>
      <c r="X569" s="519">
        <f t="shared" si="238"/>
        <v>4945.96</v>
      </c>
      <c r="Y569" s="519"/>
      <c r="Z569" s="519"/>
    </row>
    <row r="570" spans="1:26" s="512" customFormat="1" ht="15">
      <c r="A570" s="337" t="s">
        <v>7377</v>
      </c>
      <c r="B570" s="698" t="s">
        <v>7378</v>
      </c>
      <c r="C570" s="698"/>
      <c r="D570" s="698"/>
      <c r="E570" s="698"/>
      <c r="F570" s="698"/>
      <c r="G570" s="698"/>
      <c r="H570" s="698"/>
      <c r="I570" s="698"/>
      <c r="J570" s="698"/>
      <c r="K570" s="510"/>
      <c r="L570" s="510"/>
      <c r="M570" s="519"/>
      <c r="N570" s="519"/>
      <c r="O570" s="519"/>
      <c r="P570" s="519"/>
      <c r="Q570" s="519"/>
      <c r="R570" s="519"/>
      <c r="S570" s="519"/>
      <c r="T570" s="519"/>
      <c r="U570" s="519"/>
      <c r="V570" s="519"/>
      <c r="W570" s="519"/>
      <c r="X570" s="519"/>
      <c r="Y570" s="519"/>
      <c r="Z570" s="519"/>
    </row>
    <row r="571" spans="1:26" s="512" customFormat="1" ht="15">
      <c r="A571" s="338" t="s">
        <v>7379</v>
      </c>
      <c r="B571" s="576" t="s">
        <v>5256</v>
      </c>
      <c r="C571" s="576">
        <v>95745</v>
      </c>
      <c r="D571" s="336" t="s">
        <v>8727</v>
      </c>
      <c r="E571" s="341">
        <f>70+72</f>
        <v>142</v>
      </c>
      <c r="F571" s="342" t="s">
        <v>6774</v>
      </c>
      <c r="G571" s="352">
        <v>13.24</v>
      </c>
      <c r="H571" s="339">
        <f>ROUND(G571*$B$13,2)</f>
        <v>3.57</v>
      </c>
      <c r="I571" s="339">
        <f>H571+G571</f>
        <v>16.809999999999999</v>
      </c>
      <c r="J571" s="431">
        <f>ROUND(I571*E571,2)</f>
        <v>2387.02</v>
      </c>
      <c r="K571" s="510">
        <f t="shared" si="235"/>
        <v>1880.08</v>
      </c>
      <c r="L571" s="510">
        <f t="shared" si="236"/>
        <v>506.94</v>
      </c>
      <c r="M571" s="519"/>
      <c r="N571" s="519"/>
      <c r="O571" s="519"/>
      <c r="P571" s="519"/>
      <c r="Q571" s="519"/>
      <c r="R571" s="519"/>
      <c r="S571" s="519"/>
      <c r="T571" s="519"/>
      <c r="U571" s="519"/>
      <c r="V571" s="519"/>
      <c r="W571" s="519">
        <f t="shared" ref="W571:W572" si="239">0.5*J571</f>
        <v>1193.51</v>
      </c>
      <c r="X571" s="519">
        <f t="shared" ref="X571:X572" si="240">0.5*J571</f>
        <v>1193.51</v>
      </c>
      <c r="Y571" s="519"/>
      <c r="Z571" s="519"/>
    </row>
    <row r="572" spans="1:26" s="512" customFormat="1" ht="30">
      <c r="A572" s="338" t="s">
        <v>8729</v>
      </c>
      <c r="B572" s="576" t="s">
        <v>5256</v>
      </c>
      <c r="C572" s="576">
        <v>95801</v>
      </c>
      <c r="D572" s="336" t="s">
        <v>8728</v>
      </c>
      <c r="E572" s="341">
        <f>31+7+7+17+7+7</f>
        <v>76</v>
      </c>
      <c r="F572" s="342" t="s">
        <v>6337</v>
      </c>
      <c r="G572" s="352">
        <v>22.24</v>
      </c>
      <c r="H572" s="339">
        <f>ROUND(G572*$B$13,2)</f>
        <v>5.99</v>
      </c>
      <c r="I572" s="339">
        <f>H572+G572</f>
        <v>28.229999999999997</v>
      </c>
      <c r="J572" s="431">
        <f>ROUND(I572*E572,2)</f>
        <v>2145.48</v>
      </c>
      <c r="K572" s="510">
        <f t="shared" si="235"/>
        <v>1690.24</v>
      </c>
      <c r="L572" s="510">
        <f t="shared" si="236"/>
        <v>455.24</v>
      </c>
      <c r="M572" s="519"/>
      <c r="N572" s="519"/>
      <c r="O572" s="519"/>
      <c r="P572" s="519"/>
      <c r="Q572" s="519"/>
      <c r="R572" s="519"/>
      <c r="S572" s="519"/>
      <c r="T572" s="519"/>
      <c r="U572" s="519"/>
      <c r="V572" s="519"/>
      <c r="W572" s="519">
        <f t="shared" si="239"/>
        <v>1072.74</v>
      </c>
      <c r="X572" s="519">
        <f t="shared" si="240"/>
        <v>1072.74</v>
      </c>
      <c r="Y572" s="519"/>
      <c r="Z572" s="519"/>
    </row>
    <row r="573" spans="1:26" s="512" customFormat="1" ht="15">
      <c r="A573" s="337" t="s">
        <v>7381</v>
      </c>
      <c r="B573" s="698" t="s">
        <v>7382</v>
      </c>
      <c r="C573" s="698"/>
      <c r="D573" s="698"/>
      <c r="E573" s="698"/>
      <c r="F573" s="698"/>
      <c r="G573" s="698"/>
      <c r="H573" s="698"/>
      <c r="I573" s="698"/>
      <c r="J573" s="698"/>
      <c r="K573" s="510"/>
      <c r="L573" s="510"/>
      <c r="M573" s="519"/>
      <c r="N573" s="519"/>
      <c r="O573" s="519"/>
      <c r="P573" s="519"/>
      <c r="Q573" s="519"/>
      <c r="R573" s="519"/>
      <c r="S573" s="519"/>
      <c r="T573" s="519"/>
      <c r="U573" s="519"/>
      <c r="V573" s="519"/>
      <c r="W573" s="519"/>
      <c r="X573" s="519"/>
      <c r="Y573" s="519"/>
      <c r="Z573" s="519"/>
    </row>
    <row r="574" spans="1:26" s="512" customFormat="1" ht="30">
      <c r="A574" s="338" t="s">
        <v>7383</v>
      </c>
      <c r="B574" s="576" t="s">
        <v>6333</v>
      </c>
      <c r="C574" s="576">
        <v>8749</v>
      </c>
      <c r="D574" s="336" t="s">
        <v>7380</v>
      </c>
      <c r="E574" s="341">
        <f>210+219</f>
        <v>429</v>
      </c>
      <c r="F574" s="342" t="s">
        <v>6774</v>
      </c>
      <c r="G574" s="352">
        <v>6.4799999999999995</v>
      </c>
      <c r="H574" s="339">
        <f>ROUND(G574*$B$13,2)</f>
        <v>1.75</v>
      </c>
      <c r="I574" s="339">
        <f>H574+G574</f>
        <v>8.23</v>
      </c>
      <c r="J574" s="431">
        <f>ROUND(I574*E574,2)</f>
        <v>3530.67</v>
      </c>
      <c r="K574" s="510">
        <f t="shared" si="235"/>
        <v>2779.92</v>
      </c>
      <c r="L574" s="510">
        <f t="shared" si="236"/>
        <v>750.75</v>
      </c>
      <c r="M574" s="519"/>
      <c r="N574" s="519"/>
      <c r="O574" s="519"/>
      <c r="P574" s="519"/>
      <c r="Q574" s="519"/>
      <c r="R574" s="519"/>
      <c r="S574" s="519"/>
      <c r="T574" s="519"/>
      <c r="U574" s="519"/>
      <c r="V574" s="519"/>
      <c r="W574" s="519">
        <f t="shared" ref="W574" si="241">0.5*J574</f>
        <v>1765.335</v>
      </c>
      <c r="X574" s="519">
        <f t="shared" ref="X574" si="242">0.5*J574</f>
        <v>1765.335</v>
      </c>
      <c r="Y574" s="519"/>
      <c r="Z574" s="519"/>
    </row>
    <row r="575" spans="1:26" s="6" customFormat="1" ht="15">
      <c r="A575" s="700" t="s">
        <v>7361</v>
      </c>
      <c r="B575" s="700"/>
      <c r="C575" s="700"/>
      <c r="D575" s="700"/>
      <c r="E575" s="700"/>
      <c r="F575" s="700"/>
      <c r="G575" s="700"/>
      <c r="H575" s="700"/>
      <c r="I575" s="700"/>
      <c r="J575" s="432">
        <f>SUM(J564:J574)</f>
        <v>21701.129999999997</v>
      </c>
      <c r="K575" s="513"/>
      <c r="L575" s="117"/>
      <c r="M575" s="514">
        <f>SUM(M564:M574)</f>
        <v>0</v>
      </c>
      <c r="N575" s="514">
        <f t="shared" ref="N575:Z575" si="243">SUM(N564:N574)</f>
        <v>0</v>
      </c>
      <c r="O575" s="514">
        <f t="shared" si="243"/>
        <v>0</v>
      </c>
      <c r="P575" s="514">
        <f t="shared" si="243"/>
        <v>0</v>
      </c>
      <c r="Q575" s="514">
        <f t="shared" si="243"/>
        <v>0</v>
      </c>
      <c r="R575" s="514">
        <f t="shared" si="243"/>
        <v>0</v>
      </c>
      <c r="S575" s="514">
        <f t="shared" si="243"/>
        <v>0</v>
      </c>
      <c r="T575" s="514">
        <f t="shared" si="243"/>
        <v>0</v>
      </c>
      <c r="U575" s="514">
        <f t="shared" si="243"/>
        <v>0</v>
      </c>
      <c r="V575" s="514">
        <f t="shared" si="243"/>
        <v>0</v>
      </c>
      <c r="W575" s="514">
        <f t="shared" si="243"/>
        <v>10850.564999999999</v>
      </c>
      <c r="X575" s="514">
        <f t="shared" si="243"/>
        <v>10850.564999999999</v>
      </c>
      <c r="Y575" s="514">
        <f t="shared" si="243"/>
        <v>0</v>
      </c>
      <c r="Z575" s="514">
        <f t="shared" si="243"/>
        <v>0</v>
      </c>
    </row>
    <row r="576" spans="1:26" s="6" customFormat="1" ht="15">
      <c r="A576" s="29"/>
      <c r="B576" s="29"/>
      <c r="C576" s="29"/>
      <c r="D576" s="29"/>
      <c r="E576" s="189"/>
      <c r="F576" s="29"/>
      <c r="G576" s="353"/>
      <c r="H576" s="28"/>
      <c r="I576" s="28"/>
      <c r="J576" s="433"/>
      <c r="K576" s="155"/>
      <c r="L576" s="117"/>
      <c r="M576" s="358"/>
      <c r="N576" s="358"/>
      <c r="O576" s="358"/>
      <c r="P576" s="358"/>
      <c r="Q576" s="358"/>
      <c r="R576" s="358"/>
      <c r="S576" s="358"/>
      <c r="T576" s="358"/>
      <c r="U576" s="358"/>
      <c r="V576" s="358"/>
      <c r="W576" s="358"/>
      <c r="X576" s="358"/>
      <c r="Y576" s="358"/>
      <c r="Z576" s="358"/>
    </row>
    <row r="577" spans="1:26" s="6" customFormat="1" ht="15">
      <c r="A577" s="197" t="s">
        <v>5951</v>
      </c>
      <c r="B577" s="699" t="s">
        <v>5952</v>
      </c>
      <c r="C577" s="699"/>
      <c r="D577" s="699"/>
      <c r="E577" s="699"/>
      <c r="F577" s="699"/>
      <c r="G577" s="699"/>
      <c r="H577" s="699"/>
      <c r="I577" s="699"/>
      <c r="J577" s="699"/>
      <c r="K577" s="509"/>
      <c r="L577" s="117"/>
      <c r="M577" s="358"/>
      <c r="N577" s="358"/>
      <c r="O577" s="358"/>
      <c r="P577" s="358"/>
      <c r="Q577" s="358"/>
      <c r="R577" s="358"/>
      <c r="S577" s="358"/>
      <c r="T577" s="358"/>
      <c r="U577" s="358"/>
      <c r="V577" s="358"/>
      <c r="W577" s="358"/>
      <c r="X577" s="358"/>
      <c r="Y577" s="358"/>
      <c r="Z577" s="358"/>
    </row>
    <row r="578" spans="1:26" s="6" customFormat="1" ht="15">
      <c r="A578" s="337" t="s">
        <v>5953</v>
      </c>
      <c r="B578" s="698" t="s">
        <v>7385</v>
      </c>
      <c r="C578" s="698"/>
      <c r="D578" s="698"/>
      <c r="E578" s="698"/>
      <c r="F578" s="698"/>
      <c r="G578" s="698"/>
      <c r="H578" s="698"/>
      <c r="I578" s="698"/>
      <c r="J578" s="698"/>
      <c r="K578" s="39"/>
      <c r="L578" s="117"/>
      <c r="M578" s="358"/>
      <c r="N578" s="358"/>
      <c r="O578" s="358"/>
      <c r="P578" s="358"/>
      <c r="Q578" s="358"/>
      <c r="R578" s="358"/>
      <c r="S578" s="358"/>
      <c r="T578" s="358"/>
      <c r="U578" s="358"/>
      <c r="V578" s="358"/>
      <c r="W578" s="358"/>
      <c r="X578" s="358"/>
      <c r="Y578" s="358"/>
      <c r="Z578" s="358"/>
    </row>
    <row r="579" spans="1:26" s="512" customFormat="1" ht="45">
      <c r="A579" s="338" t="s">
        <v>9345</v>
      </c>
      <c r="B579" s="576" t="s">
        <v>6753</v>
      </c>
      <c r="C579" s="576" t="s">
        <v>15406</v>
      </c>
      <c r="D579" s="336" t="s">
        <v>15408</v>
      </c>
      <c r="E579" s="341">
        <v>2</v>
      </c>
      <c r="F579" s="342" t="s">
        <v>6337</v>
      </c>
      <c r="G579" s="352">
        <v>2029.49</v>
      </c>
      <c r="H579" s="339">
        <f>ROUND(G579*$B$13,2)</f>
        <v>546.54</v>
      </c>
      <c r="I579" s="339">
        <f>H579+G579</f>
        <v>2576.0299999999997</v>
      </c>
      <c r="J579" s="431">
        <f>ROUND(I579*E579,2)</f>
        <v>5152.0600000000004</v>
      </c>
      <c r="K579" s="510">
        <f t="shared" ref="K579:K593" si="244">ROUND(G579*E579,2)</f>
        <v>4058.98</v>
      </c>
      <c r="L579" s="510">
        <f t="shared" ref="L579:L593" si="245">ROUND(H579*E579,2)</f>
        <v>1093.08</v>
      </c>
      <c r="M579" s="519"/>
      <c r="N579" s="519"/>
      <c r="O579" s="519"/>
      <c r="P579" s="519"/>
      <c r="Q579" s="519"/>
      <c r="R579" s="519"/>
      <c r="S579" s="519"/>
      <c r="T579" s="519"/>
      <c r="U579" s="519"/>
      <c r="V579" s="519"/>
      <c r="W579" s="519"/>
      <c r="X579" s="519">
        <f>0.3*J579</f>
        <v>1545.6180000000002</v>
      </c>
      <c r="Y579" s="519">
        <f>0.7*J579</f>
        <v>3606.442</v>
      </c>
      <c r="Z579" s="519"/>
    </row>
    <row r="580" spans="1:26" s="512" customFormat="1" ht="15">
      <c r="A580" s="338" t="s">
        <v>7391</v>
      </c>
      <c r="B580" s="576" t="s">
        <v>6333</v>
      </c>
      <c r="C580" s="576">
        <v>520</v>
      </c>
      <c r="D580" s="336" t="s">
        <v>7387</v>
      </c>
      <c r="E580" s="341">
        <v>8</v>
      </c>
      <c r="F580" s="342" t="s">
        <v>6337</v>
      </c>
      <c r="G580" s="352">
        <v>12.88</v>
      </c>
      <c r="H580" s="339">
        <f>ROUND(G580*$B$13,2)</f>
        <v>3.47</v>
      </c>
      <c r="I580" s="339">
        <f>H580+G580</f>
        <v>16.350000000000001</v>
      </c>
      <c r="J580" s="431">
        <f>ROUND(I580*E580,2)</f>
        <v>130.80000000000001</v>
      </c>
      <c r="K580" s="510">
        <f t="shared" si="244"/>
        <v>103.04</v>
      </c>
      <c r="L580" s="510">
        <f t="shared" si="245"/>
        <v>27.76</v>
      </c>
      <c r="M580" s="519"/>
      <c r="N580" s="519"/>
      <c r="O580" s="519"/>
      <c r="P580" s="519"/>
      <c r="Q580" s="519"/>
      <c r="R580" s="519"/>
      <c r="S580" s="519"/>
      <c r="T580" s="519"/>
      <c r="U580" s="519"/>
      <c r="V580" s="519"/>
      <c r="W580" s="519"/>
      <c r="X580" s="519">
        <f>0.3*J580</f>
        <v>39.24</v>
      </c>
      <c r="Y580" s="519">
        <f>0.7*J580</f>
        <v>91.56</v>
      </c>
      <c r="Z580" s="519"/>
    </row>
    <row r="581" spans="1:26" s="512" customFormat="1" ht="30">
      <c r="A581" s="338" t="s">
        <v>7392</v>
      </c>
      <c r="B581" s="576" t="s">
        <v>6333</v>
      </c>
      <c r="C581" s="576">
        <v>11307</v>
      </c>
      <c r="D581" s="336" t="s">
        <v>7388</v>
      </c>
      <c r="E581" s="341">
        <v>2</v>
      </c>
      <c r="F581" s="342" t="s">
        <v>6337</v>
      </c>
      <c r="G581" s="352">
        <v>687.12</v>
      </c>
      <c r="H581" s="339">
        <f>ROUND(G581*$B$13,2)</f>
        <v>185.04</v>
      </c>
      <c r="I581" s="339">
        <f>H581+G581</f>
        <v>872.16</v>
      </c>
      <c r="J581" s="431">
        <f>ROUND(I581*E581,2)</f>
        <v>1744.32</v>
      </c>
      <c r="K581" s="510">
        <f t="shared" si="244"/>
        <v>1374.24</v>
      </c>
      <c r="L581" s="510">
        <f t="shared" si="245"/>
        <v>370.08</v>
      </c>
      <c r="M581" s="519"/>
      <c r="N581" s="519"/>
      <c r="O581" s="519"/>
      <c r="P581" s="519"/>
      <c r="Q581" s="519"/>
      <c r="R581" s="519"/>
      <c r="S581" s="519"/>
      <c r="T581" s="519"/>
      <c r="U581" s="519"/>
      <c r="V581" s="519"/>
      <c r="W581" s="519"/>
      <c r="X581" s="519">
        <f>0.3*J581</f>
        <v>523.29599999999994</v>
      </c>
      <c r="Y581" s="519">
        <f>0.7*J581</f>
        <v>1221.0239999999999</v>
      </c>
      <c r="Z581" s="519"/>
    </row>
    <row r="582" spans="1:26" s="512" customFormat="1" ht="60">
      <c r="A582" s="338" t="s">
        <v>7393</v>
      </c>
      <c r="B582" s="576" t="s">
        <v>6753</v>
      </c>
      <c r="C582" s="576" t="s">
        <v>7390</v>
      </c>
      <c r="D582" s="336" t="s">
        <v>7389</v>
      </c>
      <c r="E582" s="341">
        <v>2</v>
      </c>
      <c r="F582" s="342" t="s">
        <v>6337</v>
      </c>
      <c r="G582" s="352">
        <v>1257.9499999999998</v>
      </c>
      <c r="H582" s="339">
        <f>ROUND(G582*$B$13,2)</f>
        <v>338.77</v>
      </c>
      <c r="I582" s="339">
        <f>H582+G582</f>
        <v>1596.7199999999998</v>
      </c>
      <c r="J582" s="431">
        <f>ROUND(I582*E582,2)</f>
        <v>3193.44</v>
      </c>
      <c r="K582" s="510">
        <f t="shared" si="244"/>
        <v>2515.9</v>
      </c>
      <c r="L582" s="510">
        <f t="shared" si="245"/>
        <v>677.54</v>
      </c>
      <c r="M582" s="519"/>
      <c r="N582" s="519"/>
      <c r="O582" s="519"/>
      <c r="P582" s="519"/>
      <c r="Q582" s="519"/>
      <c r="R582" s="519"/>
      <c r="S582" s="519"/>
      <c r="T582" s="519"/>
      <c r="U582" s="519"/>
      <c r="V582" s="519"/>
      <c r="W582" s="519"/>
      <c r="X582" s="519">
        <f>0.3*J582</f>
        <v>958.03199999999993</v>
      </c>
      <c r="Y582" s="519">
        <f>0.7*J582</f>
        <v>2235.4079999999999</v>
      </c>
      <c r="Z582" s="519"/>
    </row>
    <row r="583" spans="1:26" s="512" customFormat="1" ht="15">
      <c r="A583" s="337" t="s">
        <v>7399</v>
      </c>
      <c r="B583" s="698" t="s">
        <v>7400</v>
      </c>
      <c r="C583" s="698"/>
      <c r="D583" s="698"/>
      <c r="E583" s="698"/>
      <c r="F583" s="698"/>
      <c r="G583" s="698"/>
      <c r="H583" s="698"/>
      <c r="I583" s="698"/>
      <c r="J583" s="698"/>
      <c r="K583" s="510"/>
      <c r="L583" s="510"/>
      <c r="M583" s="519"/>
      <c r="N583" s="519"/>
      <c r="O583" s="519"/>
      <c r="P583" s="519"/>
      <c r="Q583" s="519"/>
      <c r="R583" s="519"/>
      <c r="S583" s="519"/>
      <c r="T583" s="519"/>
      <c r="U583" s="519"/>
      <c r="V583" s="519"/>
      <c r="W583" s="519"/>
      <c r="X583" s="519"/>
      <c r="Y583" s="519"/>
      <c r="Z583" s="519"/>
    </row>
    <row r="584" spans="1:26" s="512" customFormat="1" ht="45">
      <c r="A584" s="338" t="s">
        <v>7402</v>
      </c>
      <c r="B584" s="576" t="s">
        <v>6333</v>
      </c>
      <c r="C584" s="576">
        <v>8680</v>
      </c>
      <c r="D584" s="336" t="s">
        <v>7401</v>
      </c>
      <c r="E584" s="341">
        <v>23</v>
      </c>
      <c r="F584" s="342" t="s">
        <v>6337</v>
      </c>
      <c r="G584" s="352">
        <v>694.98</v>
      </c>
      <c r="H584" s="339">
        <f>ROUND(G584*$B$13,2)</f>
        <v>187.16</v>
      </c>
      <c r="I584" s="339">
        <f>H584+G584</f>
        <v>882.14</v>
      </c>
      <c r="J584" s="431">
        <f>ROUND(I584*E584,2)</f>
        <v>20289.22</v>
      </c>
      <c r="K584" s="510">
        <f t="shared" si="244"/>
        <v>15984.54</v>
      </c>
      <c r="L584" s="510">
        <f t="shared" si="245"/>
        <v>4304.68</v>
      </c>
      <c r="M584" s="519"/>
      <c r="N584" s="519"/>
      <c r="O584" s="519"/>
      <c r="P584" s="519"/>
      <c r="Q584" s="519"/>
      <c r="R584" s="519"/>
      <c r="S584" s="519"/>
      <c r="T584" s="519"/>
      <c r="U584" s="519"/>
      <c r="V584" s="519"/>
      <c r="W584" s="519"/>
      <c r="X584" s="519">
        <f>0.3*J584</f>
        <v>6086.7660000000005</v>
      </c>
      <c r="Y584" s="519">
        <f>0.7*J584</f>
        <v>14202.454</v>
      </c>
      <c r="Z584" s="519"/>
    </row>
    <row r="585" spans="1:26" s="512" customFormat="1" ht="15">
      <c r="A585" s="337" t="s">
        <v>7403</v>
      </c>
      <c r="B585" s="698" t="s">
        <v>7404</v>
      </c>
      <c r="C585" s="698"/>
      <c r="D585" s="698"/>
      <c r="E585" s="698"/>
      <c r="F585" s="698"/>
      <c r="G585" s="698"/>
      <c r="H585" s="698"/>
      <c r="I585" s="698"/>
      <c r="J585" s="698"/>
      <c r="K585" s="510">
        <f t="shared" si="244"/>
        <v>0</v>
      </c>
      <c r="L585" s="510">
        <f t="shared" si="245"/>
        <v>0</v>
      </c>
      <c r="M585" s="519"/>
      <c r="N585" s="519"/>
      <c r="O585" s="519"/>
      <c r="P585" s="519"/>
      <c r="Q585" s="519"/>
      <c r="R585" s="519"/>
      <c r="S585" s="519"/>
      <c r="T585" s="519"/>
      <c r="U585" s="519"/>
      <c r="V585" s="519"/>
      <c r="W585" s="519"/>
      <c r="X585" s="519"/>
      <c r="Y585" s="519"/>
      <c r="Z585" s="519"/>
    </row>
    <row r="586" spans="1:26" s="512" customFormat="1" ht="45">
      <c r="A586" s="338" t="s">
        <v>8617</v>
      </c>
      <c r="B586" s="576" t="s">
        <v>5256</v>
      </c>
      <c r="C586" s="576" t="s">
        <v>7284</v>
      </c>
      <c r="D586" s="336" t="s">
        <v>8616</v>
      </c>
      <c r="E586" s="341">
        <v>80</v>
      </c>
      <c r="F586" s="342" t="s">
        <v>6774</v>
      </c>
      <c r="G586" s="352">
        <v>6.38</v>
      </c>
      <c r="H586" s="339">
        <f>ROUND(G586*$B$13,2)</f>
        <v>1.72</v>
      </c>
      <c r="I586" s="339">
        <f>H586+G586</f>
        <v>8.1</v>
      </c>
      <c r="J586" s="431">
        <f>ROUND(I586*E586,2)</f>
        <v>648</v>
      </c>
      <c r="K586" s="510">
        <f t="shared" si="244"/>
        <v>510.4</v>
      </c>
      <c r="L586" s="510">
        <f t="shared" si="245"/>
        <v>137.6</v>
      </c>
      <c r="M586" s="519"/>
      <c r="N586" s="519"/>
      <c r="O586" s="519"/>
      <c r="P586" s="519"/>
      <c r="Q586" s="519"/>
      <c r="R586" s="519"/>
      <c r="S586" s="519"/>
      <c r="T586" s="519"/>
      <c r="U586" s="519"/>
      <c r="V586" s="519"/>
      <c r="W586" s="519"/>
      <c r="X586" s="519">
        <f>0.3*J586</f>
        <v>194.4</v>
      </c>
      <c r="Y586" s="519">
        <f>0.7*J586</f>
        <v>453.59999999999997</v>
      </c>
      <c r="Z586" s="519"/>
    </row>
    <row r="587" spans="1:26" s="512" customFormat="1" ht="45">
      <c r="A587" s="338" t="s">
        <v>8618</v>
      </c>
      <c r="B587" s="576" t="s">
        <v>5256</v>
      </c>
      <c r="C587" s="576">
        <v>95802</v>
      </c>
      <c r="D587" s="336" t="s">
        <v>8556</v>
      </c>
      <c r="E587" s="341">
        <v>30</v>
      </c>
      <c r="F587" s="342" t="s">
        <v>6337</v>
      </c>
      <c r="G587" s="352">
        <v>24.75</v>
      </c>
      <c r="H587" s="339">
        <f>ROUND(G587*$B$13,2)</f>
        <v>6.67</v>
      </c>
      <c r="I587" s="339">
        <f>H587+G587</f>
        <v>31.42</v>
      </c>
      <c r="J587" s="431">
        <f>ROUND(I587*E587,2)</f>
        <v>942.6</v>
      </c>
      <c r="K587" s="510">
        <f t="shared" si="244"/>
        <v>742.5</v>
      </c>
      <c r="L587" s="510">
        <f t="shared" si="245"/>
        <v>200.1</v>
      </c>
      <c r="M587" s="519"/>
      <c r="N587" s="519"/>
      <c r="O587" s="519"/>
      <c r="P587" s="519"/>
      <c r="Q587" s="519"/>
      <c r="R587" s="519"/>
      <c r="S587" s="519"/>
      <c r="T587" s="519"/>
      <c r="U587" s="519"/>
      <c r="V587" s="519"/>
      <c r="W587" s="519"/>
      <c r="X587" s="519">
        <f>0.3*J587</f>
        <v>282.77999999999997</v>
      </c>
      <c r="Y587" s="519">
        <f>0.7*J587</f>
        <v>659.81999999999994</v>
      </c>
      <c r="Z587" s="519"/>
    </row>
    <row r="588" spans="1:26" s="512" customFormat="1" ht="30">
      <c r="A588" s="338" t="s">
        <v>8619</v>
      </c>
      <c r="B588" s="576" t="s">
        <v>5256</v>
      </c>
      <c r="C588" s="576" t="s">
        <v>8573</v>
      </c>
      <c r="D588" s="336" t="s">
        <v>8572</v>
      </c>
      <c r="E588" s="341">
        <v>23</v>
      </c>
      <c r="F588" s="342" t="s">
        <v>6337</v>
      </c>
      <c r="G588" s="352">
        <v>21.28</v>
      </c>
      <c r="H588" s="339">
        <f>ROUND(G588*$B$13,2)</f>
        <v>5.73</v>
      </c>
      <c r="I588" s="339">
        <f>H588+G588</f>
        <v>27.01</v>
      </c>
      <c r="J588" s="431">
        <f>ROUND(I588*E588,2)</f>
        <v>621.23</v>
      </c>
      <c r="K588" s="510">
        <f t="shared" si="244"/>
        <v>489.44</v>
      </c>
      <c r="L588" s="510">
        <f t="shared" si="245"/>
        <v>131.79</v>
      </c>
      <c r="M588" s="519"/>
      <c r="N588" s="519"/>
      <c r="O588" s="519"/>
      <c r="P588" s="519"/>
      <c r="Q588" s="519"/>
      <c r="R588" s="519"/>
      <c r="S588" s="519"/>
      <c r="T588" s="519"/>
      <c r="U588" s="519"/>
      <c r="V588" s="519"/>
      <c r="W588" s="519"/>
      <c r="X588" s="519">
        <f>0.3*J588</f>
        <v>186.369</v>
      </c>
      <c r="Y588" s="519">
        <f>0.7*J588</f>
        <v>434.86099999999999</v>
      </c>
      <c r="Z588" s="519"/>
    </row>
    <row r="589" spans="1:26" s="512" customFormat="1" ht="15">
      <c r="A589" s="337" t="s">
        <v>7405</v>
      </c>
      <c r="B589" s="698" t="s">
        <v>7382</v>
      </c>
      <c r="C589" s="698"/>
      <c r="D589" s="698"/>
      <c r="E589" s="698"/>
      <c r="F589" s="698"/>
      <c r="G589" s="698"/>
      <c r="H589" s="698"/>
      <c r="I589" s="698"/>
      <c r="J589" s="698"/>
      <c r="K589" s="510">
        <f t="shared" si="244"/>
        <v>0</v>
      </c>
      <c r="L589" s="510">
        <f t="shared" si="245"/>
        <v>0</v>
      </c>
      <c r="M589" s="519"/>
      <c r="N589" s="519"/>
      <c r="O589" s="519"/>
      <c r="P589" s="519"/>
      <c r="Q589" s="519"/>
      <c r="R589" s="519"/>
      <c r="S589" s="519"/>
      <c r="T589" s="519"/>
      <c r="U589" s="519"/>
      <c r="V589" s="519"/>
      <c r="W589" s="519"/>
      <c r="X589" s="519"/>
      <c r="Y589" s="519"/>
      <c r="Z589" s="519"/>
    </row>
    <row r="590" spans="1:26" s="512" customFormat="1" ht="30">
      <c r="A590" s="338" t="s">
        <v>7408</v>
      </c>
      <c r="B590" s="576" t="s">
        <v>5256</v>
      </c>
      <c r="C590" s="576">
        <v>98297</v>
      </c>
      <c r="D590" s="336" t="s">
        <v>7406</v>
      </c>
      <c r="E590" s="341">
        <v>490</v>
      </c>
      <c r="F590" s="342" t="s">
        <v>6774</v>
      </c>
      <c r="G590" s="352">
        <v>1.43</v>
      </c>
      <c r="H590" s="339">
        <f>ROUND(G590*$B$13,2)</f>
        <v>0.39</v>
      </c>
      <c r="I590" s="339">
        <f>H590+G590</f>
        <v>1.8199999999999998</v>
      </c>
      <c r="J590" s="431">
        <f>ROUND(I590*E590,2)</f>
        <v>891.8</v>
      </c>
      <c r="K590" s="510">
        <f t="shared" si="244"/>
        <v>700.7</v>
      </c>
      <c r="L590" s="510">
        <f t="shared" si="245"/>
        <v>191.1</v>
      </c>
      <c r="M590" s="519"/>
      <c r="N590" s="519"/>
      <c r="O590" s="519"/>
      <c r="P590" s="519"/>
      <c r="Q590" s="519"/>
      <c r="R590" s="519"/>
      <c r="S590" s="519"/>
      <c r="T590" s="519"/>
      <c r="U590" s="519"/>
      <c r="V590" s="519"/>
      <c r="W590" s="519"/>
      <c r="X590" s="519">
        <f>0.3*J590</f>
        <v>267.53999999999996</v>
      </c>
      <c r="Y590" s="519">
        <f>0.7*J590</f>
        <v>624.25999999999988</v>
      </c>
      <c r="Z590" s="519"/>
    </row>
    <row r="591" spans="1:26" s="512" customFormat="1" ht="30">
      <c r="A591" s="338" t="s">
        <v>7409</v>
      </c>
      <c r="B591" s="576" t="s">
        <v>6333</v>
      </c>
      <c r="C591" s="576">
        <v>8690</v>
      </c>
      <c r="D591" s="336" t="s">
        <v>7407</v>
      </c>
      <c r="E591" s="341">
        <v>50</v>
      </c>
      <c r="F591" s="342" t="s">
        <v>6774</v>
      </c>
      <c r="G591" s="352">
        <v>10.149999999999999</v>
      </c>
      <c r="H591" s="339">
        <f>ROUND(G591*$B$13,2)</f>
        <v>2.73</v>
      </c>
      <c r="I591" s="339">
        <f>H591+G591</f>
        <v>12.879999999999999</v>
      </c>
      <c r="J591" s="431">
        <f>ROUND(I591*E591,2)</f>
        <v>644</v>
      </c>
      <c r="K591" s="510">
        <f t="shared" si="244"/>
        <v>507.5</v>
      </c>
      <c r="L591" s="510">
        <f t="shared" si="245"/>
        <v>136.5</v>
      </c>
      <c r="M591" s="519"/>
      <c r="N591" s="519"/>
      <c r="O591" s="519"/>
      <c r="P591" s="519"/>
      <c r="Q591" s="519"/>
      <c r="R591" s="519"/>
      <c r="S591" s="519"/>
      <c r="T591" s="519"/>
      <c r="U591" s="519"/>
      <c r="V591" s="519"/>
      <c r="W591" s="519"/>
      <c r="X591" s="519">
        <f>0.3*J591</f>
        <v>193.2</v>
      </c>
      <c r="Y591" s="519">
        <f>0.7*J591</f>
        <v>450.79999999999995</v>
      </c>
      <c r="Z591" s="519"/>
    </row>
    <row r="592" spans="1:26" s="512" customFormat="1" ht="15">
      <c r="A592" s="337" t="s">
        <v>7411</v>
      </c>
      <c r="B592" s="698" t="s">
        <v>7412</v>
      </c>
      <c r="C592" s="698"/>
      <c r="D592" s="698"/>
      <c r="E592" s="698"/>
      <c r="F592" s="698"/>
      <c r="G592" s="698"/>
      <c r="H592" s="698"/>
      <c r="I592" s="698"/>
      <c r="J592" s="698"/>
      <c r="K592" s="510">
        <f t="shared" si="244"/>
        <v>0</v>
      </c>
      <c r="L592" s="510">
        <f t="shared" si="245"/>
        <v>0</v>
      </c>
      <c r="M592" s="519"/>
      <c r="N592" s="519"/>
      <c r="O592" s="519"/>
      <c r="P592" s="519"/>
      <c r="Q592" s="519"/>
      <c r="R592" s="519"/>
      <c r="S592" s="519"/>
      <c r="T592" s="519"/>
      <c r="U592" s="519"/>
      <c r="V592" s="519"/>
      <c r="W592" s="519"/>
      <c r="X592" s="519"/>
      <c r="Y592" s="519"/>
      <c r="Z592" s="519"/>
    </row>
    <row r="593" spans="1:26" s="512" customFormat="1" ht="15">
      <c r="A593" s="338" t="s">
        <v>7415</v>
      </c>
      <c r="B593" s="576" t="s">
        <v>6333</v>
      </c>
      <c r="C593" s="576">
        <v>10332</v>
      </c>
      <c r="D593" s="336" t="s">
        <v>7414</v>
      </c>
      <c r="E593" s="341">
        <v>23</v>
      </c>
      <c r="F593" s="342" t="s">
        <v>6337</v>
      </c>
      <c r="G593" s="352">
        <v>19.18</v>
      </c>
      <c r="H593" s="339">
        <f>ROUND(G593*$B$13,2)</f>
        <v>5.17</v>
      </c>
      <c r="I593" s="339">
        <f>H593+G593</f>
        <v>24.35</v>
      </c>
      <c r="J593" s="431">
        <f>ROUND(I593*E593,2)</f>
        <v>560.04999999999995</v>
      </c>
      <c r="K593" s="510">
        <f t="shared" si="244"/>
        <v>441.14</v>
      </c>
      <c r="L593" s="510">
        <f t="shared" si="245"/>
        <v>118.91</v>
      </c>
      <c r="M593" s="519"/>
      <c r="N593" s="519"/>
      <c r="O593" s="519"/>
      <c r="P593" s="519"/>
      <c r="Q593" s="519"/>
      <c r="R593" s="519"/>
      <c r="S593" s="519"/>
      <c r="T593" s="519"/>
      <c r="U593" s="519"/>
      <c r="V593" s="519"/>
      <c r="W593" s="519"/>
      <c r="X593" s="519">
        <f>0.3*J593</f>
        <v>168.01499999999999</v>
      </c>
      <c r="Y593" s="519">
        <f>0.7*J593</f>
        <v>392.03499999999997</v>
      </c>
      <c r="Z593" s="519"/>
    </row>
    <row r="594" spans="1:26" s="6" customFormat="1" ht="15">
      <c r="A594" s="700" t="s">
        <v>7386</v>
      </c>
      <c r="B594" s="700"/>
      <c r="C594" s="700"/>
      <c r="D594" s="700"/>
      <c r="E594" s="700"/>
      <c r="F594" s="700"/>
      <c r="G594" s="700"/>
      <c r="H594" s="700"/>
      <c r="I594" s="700"/>
      <c r="J594" s="432">
        <f>SUM(J577:J593)</f>
        <v>34817.520000000004</v>
      </c>
      <c r="K594" s="513"/>
      <c r="L594" s="117"/>
      <c r="M594" s="514">
        <f>SUM(M577:M593)</f>
        <v>0</v>
      </c>
      <c r="N594" s="514">
        <f t="shared" ref="N594:Z594" si="246">SUM(N577:N593)</f>
        <v>0</v>
      </c>
      <c r="O594" s="514">
        <f t="shared" si="246"/>
        <v>0</v>
      </c>
      <c r="P594" s="514">
        <f t="shared" si="246"/>
        <v>0</v>
      </c>
      <c r="Q594" s="514">
        <f t="shared" si="246"/>
        <v>0</v>
      </c>
      <c r="R594" s="514">
        <f t="shared" si="246"/>
        <v>0</v>
      </c>
      <c r="S594" s="514">
        <f t="shared" si="246"/>
        <v>0</v>
      </c>
      <c r="T594" s="514">
        <f t="shared" si="246"/>
        <v>0</v>
      </c>
      <c r="U594" s="514">
        <f t="shared" si="246"/>
        <v>0</v>
      </c>
      <c r="V594" s="514">
        <f t="shared" si="246"/>
        <v>0</v>
      </c>
      <c r="W594" s="514">
        <f t="shared" si="246"/>
        <v>0</v>
      </c>
      <c r="X594" s="514">
        <f t="shared" si="246"/>
        <v>10445.256000000001</v>
      </c>
      <c r="Y594" s="514">
        <f t="shared" si="246"/>
        <v>24372.263999999996</v>
      </c>
      <c r="Z594" s="514">
        <f t="shared" si="246"/>
        <v>0</v>
      </c>
    </row>
    <row r="595" spans="1:26" s="6" customFormat="1" ht="15">
      <c r="A595" s="29"/>
      <c r="B595" s="29"/>
      <c r="C595" s="29"/>
      <c r="D595" s="29"/>
      <c r="E595" s="189"/>
      <c r="F595" s="29"/>
      <c r="G595" s="353"/>
      <c r="H595" s="28"/>
      <c r="I595" s="28"/>
      <c r="J595" s="433"/>
      <c r="K595" s="155"/>
      <c r="L595" s="117"/>
      <c r="M595" s="358"/>
      <c r="N595" s="358"/>
      <c r="O595" s="358"/>
      <c r="P595" s="358"/>
      <c r="Q595" s="358"/>
      <c r="R595" s="358"/>
      <c r="S595" s="358"/>
      <c r="T595" s="358"/>
      <c r="U595" s="358"/>
      <c r="V595" s="358"/>
      <c r="W595" s="358"/>
      <c r="X595" s="358"/>
      <c r="Y595" s="358"/>
      <c r="Z595" s="358"/>
    </row>
    <row r="596" spans="1:26" s="6" customFormat="1" ht="15">
      <c r="A596" s="197" t="s">
        <v>5808</v>
      </c>
      <c r="B596" s="699" t="s">
        <v>5809</v>
      </c>
      <c r="C596" s="699"/>
      <c r="D596" s="699"/>
      <c r="E596" s="699"/>
      <c r="F596" s="699"/>
      <c r="G596" s="699"/>
      <c r="H596" s="699"/>
      <c r="I596" s="699"/>
      <c r="J596" s="699"/>
      <c r="K596" s="509"/>
      <c r="L596" s="117"/>
      <c r="M596" s="358"/>
      <c r="N596" s="358"/>
      <c r="O596" s="358"/>
      <c r="P596" s="358"/>
      <c r="Q596" s="358"/>
      <c r="R596" s="358"/>
      <c r="S596" s="358"/>
      <c r="T596" s="358"/>
      <c r="U596" s="358"/>
      <c r="V596" s="358"/>
      <c r="W596" s="358"/>
      <c r="X596" s="358"/>
      <c r="Y596" s="358"/>
      <c r="Z596" s="358"/>
    </row>
    <row r="597" spans="1:26" s="512" customFormat="1" ht="45">
      <c r="A597" s="338" t="s">
        <v>15410</v>
      </c>
      <c r="B597" s="576" t="s">
        <v>6753</v>
      </c>
      <c r="C597" s="576" t="s">
        <v>15406</v>
      </c>
      <c r="D597" s="336" t="s">
        <v>15408</v>
      </c>
      <c r="E597" s="341">
        <v>4</v>
      </c>
      <c r="F597" s="342" t="s">
        <v>6337</v>
      </c>
      <c r="G597" s="352">
        <v>2029.49</v>
      </c>
      <c r="H597" s="339">
        <f t="shared" ref="H597:H632" si="247">ROUND(G597*$B$13,2)</f>
        <v>546.54</v>
      </c>
      <c r="I597" s="339">
        <f t="shared" ref="I597:I632" si="248">H597+G597</f>
        <v>2576.0299999999997</v>
      </c>
      <c r="J597" s="431">
        <f t="shared" ref="J597:J632" si="249">ROUND(I597*E597,2)</f>
        <v>10304.120000000001</v>
      </c>
      <c r="K597" s="510">
        <f t="shared" ref="K597:K632" si="250">ROUND(G597*E597,2)</f>
        <v>8117.96</v>
      </c>
      <c r="L597" s="510">
        <f t="shared" ref="L597:L632" si="251">ROUND(H597*E597,2)</f>
        <v>2186.16</v>
      </c>
      <c r="M597" s="519"/>
      <c r="N597" s="519"/>
      <c r="O597" s="519"/>
      <c r="P597" s="519"/>
      <c r="Q597" s="519"/>
      <c r="R597" s="519"/>
      <c r="S597" s="519"/>
      <c r="T597" s="519"/>
      <c r="U597" s="519"/>
      <c r="V597" s="519"/>
      <c r="W597" s="519">
        <f>0.2*J597</f>
        <v>2060.8240000000001</v>
      </c>
      <c r="X597" s="519">
        <f>0.3*J597</f>
        <v>3091.2360000000003</v>
      </c>
      <c r="Y597" s="519">
        <f>0.5*J597</f>
        <v>5152.0600000000004</v>
      </c>
      <c r="Z597" s="519"/>
    </row>
    <row r="598" spans="1:26" s="512" customFormat="1" ht="15">
      <c r="A598" s="338" t="s">
        <v>8548</v>
      </c>
      <c r="B598" s="576" t="s">
        <v>5256</v>
      </c>
      <c r="C598" s="576">
        <v>98302</v>
      </c>
      <c r="D598" s="336" t="s">
        <v>7418</v>
      </c>
      <c r="E598" s="341">
        <v>7</v>
      </c>
      <c r="F598" s="342" t="s">
        <v>6337</v>
      </c>
      <c r="G598" s="352">
        <v>409.23</v>
      </c>
      <c r="H598" s="339">
        <f t="shared" si="247"/>
        <v>110.21</v>
      </c>
      <c r="I598" s="339">
        <f t="shared" si="248"/>
        <v>519.44000000000005</v>
      </c>
      <c r="J598" s="431">
        <f t="shared" si="249"/>
        <v>3636.08</v>
      </c>
      <c r="K598" s="510">
        <f t="shared" si="250"/>
        <v>2864.61</v>
      </c>
      <c r="L598" s="510">
        <f t="shared" si="251"/>
        <v>771.47</v>
      </c>
      <c r="M598" s="519"/>
      <c r="N598" s="519"/>
      <c r="O598" s="519"/>
      <c r="P598" s="519"/>
      <c r="Q598" s="519"/>
      <c r="R598" s="519"/>
      <c r="S598" s="519"/>
      <c r="T598" s="519"/>
      <c r="U598" s="519"/>
      <c r="V598" s="519"/>
      <c r="W598" s="519">
        <f t="shared" ref="W598:W632" si="252">0.2*J598</f>
        <v>727.21600000000001</v>
      </c>
      <c r="X598" s="519">
        <f t="shared" ref="X598:X632" si="253">0.3*J598</f>
        <v>1090.8239999999998</v>
      </c>
      <c r="Y598" s="519">
        <f t="shared" ref="Y598:Y632" si="254">0.5*J598</f>
        <v>1818.04</v>
      </c>
      <c r="Z598" s="519"/>
    </row>
    <row r="599" spans="1:26" s="512" customFormat="1" ht="15">
      <c r="A599" s="338" t="s">
        <v>8549</v>
      </c>
      <c r="B599" s="576" t="s">
        <v>6333</v>
      </c>
      <c r="C599" s="576">
        <v>10727</v>
      </c>
      <c r="D599" s="336" t="s">
        <v>7419</v>
      </c>
      <c r="E599" s="341">
        <v>4</v>
      </c>
      <c r="F599" s="342" t="s">
        <v>6337</v>
      </c>
      <c r="G599" s="352">
        <v>240.65</v>
      </c>
      <c r="H599" s="339">
        <f t="shared" si="247"/>
        <v>64.81</v>
      </c>
      <c r="I599" s="339">
        <f t="shared" si="248"/>
        <v>305.46000000000004</v>
      </c>
      <c r="J599" s="431">
        <f t="shared" si="249"/>
        <v>1221.8399999999999</v>
      </c>
      <c r="K599" s="510">
        <f t="shared" si="250"/>
        <v>962.6</v>
      </c>
      <c r="L599" s="510">
        <f t="shared" si="251"/>
        <v>259.24</v>
      </c>
      <c r="M599" s="519"/>
      <c r="N599" s="519"/>
      <c r="O599" s="519"/>
      <c r="P599" s="519"/>
      <c r="Q599" s="519"/>
      <c r="R599" s="519"/>
      <c r="S599" s="519"/>
      <c r="T599" s="519"/>
      <c r="U599" s="519"/>
      <c r="V599" s="519"/>
      <c r="W599" s="519">
        <f t="shared" si="252"/>
        <v>244.36799999999999</v>
      </c>
      <c r="X599" s="519">
        <f t="shared" si="253"/>
        <v>366.55199999999996</v>
      </c>
      <c r="Y599" s="519">
        <f t="shared" si="254"/>
        <v>610.91999999999996</v>
      </c>
      <c r="Z599" s="519"/>
    </row>
    <row r="600" spans="1:26" s="512" customFormat="1" ht="150">
      <c r="A600" s="338" t="s">
        <v>8550</v>
      </c>
      <c r="B600" s="576" t="s">
        <v>6333</v>
      </c>
      <c r="C600" s="576">
        <v>11228</v>
      </c>
      <c r="D600" s="336" t="s">
        <v>7420</v>
      </c>
      <c r="E600" s="341">
        <v>2</v>
      </c>
      <c r="F600" s="342" t="s">
        <v>6337</v>
      </c>
      <c r="G600" s="352">
        <v>5313.26</v>
      </c>
      <c r="H600" s="339">
        <f t="shared" si="247"/>
        <v>1430.86</v>
      </c>
      <c r="I600" s="339">
        <f t="shared" si="248"/>
        <v>6744.12</v>
      </c>
      <c r="J600" s="431">
        <f t="shared" si="249"/>
        <v>13488.24</v>
      </c>
      <c r="K600" s="510">
        <f t="shared" si="250"/>
        <v>10626.52</v>
      </c>
      <c r="L600" s="510">
        <f t="shared" si="251"/>
        <v>2861.72</v>
      </c>
      <c r="M600" s="519"/>
      <c r="N600" s="519"/>
      <c r="O600" s="519"/>
      <c r="P600" s="519"/>
      <c r="Q600" s="519"/>
      <c r="R600" s="519"/>
      <c r="S600" s="519"/>
      <c r="T600" s="519"/>
      <c r="U600" s="519"/>
      <c r="V600" s="519"/>
      <c r="W600" s="519">
        <f t="shared" si="252"/>
        <v>2697.6480000000001</v>
      </c>
      <c r="X600" s="519">
        <f t="shared" si="253"/>
        <v>4046.4719999999998</v>
      </c>
      <c r="Y600" s="519">
        <f t="shared" si="254"/>
        <v>6744.12</v>
      </c>
      <c r="Z600" s="519"/>
    </row>
    <row r="601" spans="1:26" s="512" customFormat="1" ht="15">
      <c r="A601" s="338" t="s">
        <v>8551</v>
      </c>
      <c r="B601" s="576" t="s">
        <v>6333</v>
      </c>
      <c r="C601" s="576">
        <v>520</v>
      </c>
      <c r="D601" s="336" t="s">
        <v>7387</v>
      </c>
      <c r="E601" s="341">
        <v>17</v>
      </c>
      <c r="F601" s="342" t="s">
        <v>6337</v>
      </c>
      <c r="G601" s="352">
        <v>12.88</v>
      </c>
      <c r="H601" s="339">
        <f t="shared" si="247"/>
        <v>3.47</v>
      </c>
      <c r="I601" s="339">
        <f t="shared" si="248"/>
        <v>16.350000000000001</v>
      </c>
      <c r="J601" s="431">
        <f t="shared" si="249"/>
        <v>277.95</v>
      </c>
      <c r="K601" s="510">
        <f t="shared" si="250"/>
        <v>218.96</v>
      </c>
      <c r="L601" s="510">
        <f t="shared" si="251"/>
        <v>58.99</v>
      </c>
      <c r="M601" s="519"/>
      <c r="N601" s="519"/>
      <c r="O601" s="519"/>
      <c r="P601" s="519"/>
      <c r="Q601" s="519"/>
      <c r="R601" s="519"/>
      <c r="S601" s="519"/>
      <c r="T601" s="519"/>
      <c r="U601" s="519"/>
      <c r="V601" s="519"/>
      <c r="W601" s="519">
        <f t="shared" si="252"/>
        <v>55.59</v>
      </c>
      <c r="X601" s="519">
        <f t="shared" si="253"/>
        <v>83.384999999999991</v>
      </c>
      <c r="Y601" s="519">
        <f t="shared" si="254"/>
        <v>138.97499999999999</v>
      </c>
      <c r="Z601" s="519"/>
    </row>
    <row r="602" spans="1:26" s="512" customFormat="1" ht="30">
      <c r="A602" s="338" t="s">
        <v>7426</v>
      </c>
      <c r="B602" s="576" t="s">
        <v>6333</v>
      </c>
      <c r="C602" s="576">
        <v>11307</v>
      </c>
      <c r="D602" s="336" t="s">
        <v>7388</v>
      </c>
      <c r="E602" s="341">
        <v>2</v>
      </c>
      <c r="F602" s="342" t="s">
        <v>6337</v>
      </c>
      <c r="G602" s="352">
        <v>687.12</v>
      </c>
      <c r="H602" s="339">
        <f t="shared" si="247"/>
        <v>185.04</v>
      </c>
      <c r="I602" s="339">
        <f t="shared" si="248"/>
        <v>872.16</v>
      </c>
      <c r="J602" s="431">
        <f t="shared" si="249"/>
        <v>1744.32</v>
      </c>
      <c r="K602" s="510">
        <f t="shared" si="250"/>
        <v>1374.24</v>
      </c>
      <c r="L602" s="510">
        <f t="shared" si="251"/>
        <v>370.08</v>
      </c>
      <c r="M602" s="519"/>
      <c r="N602" s="519"/>
      <c r="O602" s="519"/>
      <c r="P602" s="519"/>
      <c r="Q602" s="519"/>
      <c r="R602" s="519"/>
      <c r="S602" s="519"/>
      <c r="T602" s="519"/>
      <c r="U602" s="519"/>
      <c r="V602" s="519"/>
      <c r="W602" s="519">
        <f t="shared" si="252"/>
        <v>348.86400000000003</v>
      </c>
      <c r="X602" s="519">
        <f t="shared" si="253"/>
        <v>523.29599999999994</v>
      </c>
      <c r="Y602" s="519">
        <f t="shared" si="254"/>
        <v>872.16</v>
      </c>
      <c r="Z602" s="519"/>
    </row>
    <row r="603" spans="1:26" s="512" customFormat="1" ht="30">
      <c r="A603" s="338" t="s">
        <v>7429</v>
      </c>
      <c r="B603" s="576" t="s">
        <v>5256</v>
      </c>
      <c r="C603" s="576" t="s">
        <v>7427</v>
      </c>
      <c r="D603" s="336" t="s">
        <v>7421</v>
      </c>
      <c r="E603" s="341">
        <v>250</v>
      </c>
      <c r="F603" s="342" t="s">
        <v>6774</v>
      </c>
      <c r="G603" s="352">
        <v>17.96</v>
      </c>
      <c r="H603" s="339">
        <f t="shared" si="247"/>
        <v>4.84</v>
      </c>
      <c r="I603" s="339">
        <f t="shared" si="248"/>
        <v>22.8</v>
      </c>
      <c r="J603" s="431">
        <f t="shared" si="249"/>
        <v>5700</v>
      </c>
      <c r="K603" s="510">
        <f t="shared" si="250"/>
        <v>4490</v>
      </c>
      <c r="L603" s="510">
        <f t="shared" si="251"/>
        <v>1210</v>
      </c>
      <c r="M603" s="519"/>
      <c r="N603" s="519"/>
      <c r="O603" s="519"/>
      <c r="P603" s="519"/>
      <c r="Q603" s="519"/>
      <c r="R603" s="519"/>
      <c r="S603" s="519"/>
      <c r="T603" s="519"/>
      <c r="U603" s="519"/>
      <c r="V603" s="519"/>
      <c r="W603" s="519">
        <f t="shared" si="252"/>
        <v>1140</v>
      </c>
      <c r="X603" s="519">
        <f t="shared" si="253"/>
        <v>1710</v>
      </c>
      <c r="Y603" s="519">
        <f t="shared" si="254"/>
        <v>2850</v>
      </c>
      <c r="Z603" s="519"/>
    </row>
    <row r="604" spans="1:26" s="512" customFormat="1" ht="30">
      <c r="A604" s="338" t="s">
        <v>7430</v>
      </c>
      <c r="B604" s="576" t="s">
        <v>6333</v>
      </c>
      <c r="C604" s="576">
        <v>8690</v>
      </c>
      <c r="D604" s="336" t="s">
        <v>7407</v>
      </c>
      <c r="E604" s="341">
        <v>250</v>
      </c>
      <c r="F604" s="342" t="s">
        <v>6774</v>
      </c>
      <c r="G604" s="352">
        <v>10.149999999999999</v>
      </c>
      <c r="H604" s="339">
        <f t="shared" si="247"/>
        <v>2.73</v>
      </c>
      <c r="I604" s="339">
        <f t="shared" si="248"/>
        <v>12.879999999999999</v>
      </c>
      <c r="J604" s="431">
        <f t="shared" si="249"/>
        <v>3220</v>
      </c>
      <c r="K604" s="510">
        <f t="shared" si="250"/>
        <v>2537.5</v>
      </c>
      <c r="L604" s="510">
        <f t="shared" si="251"/>
        <v>682.5</v>
      </c>
      <c r="M604" s="519"/>
      <c r="N604" s="519"/>
      <c r="O604" s="519"/>
      <c r="P604" s="519"/>
      <c r="Q604" s="519"/>
      <c r="R604" s="519"/>
      <c r="S604" s="519"/>
      <c r="T604" s="519"/>
      <c r="U604" s="519"/>
      <c r="V604" s="519"/>
      <c r="W604" s="519">
        <f t="shared" si="252"/>
        <v>644</v>
      </c>
      <c r="X604" s="519">
        <f t="shared" si="253"/>
        <v>966</v>
      </c>
      <c r="Y604" s="519">
        <f t="shared" si="254"/>
        <v>1610</v>
      </c>
      <c r="Z604" s="519"/>
    </row>
    <row r="605" spans="1:26" s="512" customFormat="1" ht="30">
      <c r="A605" s="338" t="s">
        <v>8552</v>
      </c>
      <c r="B605" s="576" t="s">
        <v>5256</v>
      </c>
      <c r="C605" s="576">
        <v>98297</v>
      </c>
      <c r="D605" s="336" t="s">
        <v>7406</v>
      </c>
      <c r="E605" s="341">
        <v>5300</v>
      </c>
      <c r="F605" s="342" t="s">
        <v>6774</v>
      </c>
      <c r="G605" s="352">
        <v>1.43</v>
      </c>
      <c r="H605" s="339">
        <f t="shared" si="247"/>
        <v>0.39</v>
      </c>
      <c r="I605" s="339">
        <f t="shared" si="248"/>
        <v>1.8199999999999998</v>
      </c>
      <c r="J605" s="431">
        <f t="shared" si="249"/>
        <v>9646</v>
      </c>
      <c r="K605" s="510">
        <f t="shared" si="250"/>
        <v>7579</v>
      </c>
      <c r="L605" s="510">
        <f t="shared" si="251"/>
        <v>2067</v>
      </c>
      <c r="M605" s="519"/>
      <c r="N605" s="519"/>
      <c r="O605" s="519"/>
      <c r="P605" s="519"/>
      <c r="Q605" s="519"/>
      <c r="R605" s="519"/>
      <c r="S605" s="519"/>
      <c r="T605" s="519"/>
      <c r="U605" s="519"/>
      <c r="V605" s="519"/>
      <c r="W605" s="519">
        <f t="shared" si="252"/>
        <v>1929.2</v>
      </c>
      <c r="X605" s="519">
        <f t="shared" si="253"/>
        <v>2893.7999999999997</v>
      </c>
      <c r="Y605" s="519">
        <f t="shared" si="254"/>
        <v>4823</v>
      </c>
      <c r="Z605" s="519"/>
    </row>
    <row r="606" spans="1:26" s="512" customFormat="1" ht="30">
      <c r="A606" s="338" t="s">
        <v>8553</v>
      </c>
      <c r="B606" s="576" t="s">
        <v>6845</v>
      </c>
      <c r="C606" s="576">
        <v>71886</v>
      </c>
      <c r="D606" s="336" t="s">
        <v>7422</v>
      </c>
      <c r="E606" s="341">
        <v>225</v>
      </c>
      <c r="F606" s="342" t="s">
        <v>6337</v>
      </c>
      <c r="G606" s="352">
        <v>17.759999999999998</v>
      </c>
      <c r="H606" s="339">
        <f t="shared" si="247"/>
        <v>4.78</v>
      </c>
      <c r="I606" s="339">
        <f t="shared" si="248"/>
        <v>22.54</v>
      </c>
      <c r="J606" s="431">
        <f t="shared" si="249"/>
        <v>5071.5</v>
      </c>
      <c r="K606" s="510">
        <f t="shared" si="250"/>
        <v>3996</v>
      </c>
      <c r="L606" s="510">
        <f t="shared" si="251"/>
        <v>1075.5</v>
      </c>
      <c r="M606" s="519"/>
      <c r="N606" s="519"/>
      <c r="O606" s="519"/>
      <c r="P606" s="519"/>
      <c r="Q606" s="519"/>
      <c r="R606" s="519"/>
      <c r="S606" s="519"/>
      <c r="T606" s="519"/>
      <c r="U606" s="519"/>
      <c r="V606" s="519"/>
      <c r="W606" s="519">
        <f t="shared" si="252"/>
        <v>1014.3000000000001</v>
      </c>
      <c r="X606" s="519">
        <f t="shared" si="253"/>
        <v>1521.45</v>
      </c>
      <c r="Y606" s="519">
        <f t="shared" si="254"/>
        <v>2535.75</v>
      </c>
      <c r="Z606" s="519"/>
    </row>
    <row r="607" spans="1:26" s="512" customFormat="1" ht="30">
      <c r="A607" s="338" t="s">
        <v>7431</v>
      </c>
      <c r="B607" s="576" t="s">
        <v>5256</v>
      </c>
      <c r="C607" s="576" t="s">
        <v>8573</v>
      </c>
      <c r="D607" s="336" t="s">
        <v>8572</v>
      </c>
      <c r="E607" s="341">
        <v>149</v>
      </c>
      <c r="F607" s="342" t="s">
        <v>6337</v>
      </c>
      <c r="G607" s="352">
        <v>21.28</v>
      </c>
      <c r="H607" s="339">
        <f t="shared" si="247"/>
        <v>5.73</v>
      </c>
      <c r="I607" s="339">
        <f t="shared" si="248"/>
        <v>27.01</v>
      </c>
      <c r="J607" s="431">
        <f t="shared" si="249"/>
        <v>4024.49</v>
      </c>
      <c r="K607" s="510">
        <f t="shared" si="250"/>
        <v>3170.72</v>
      </c>
      <c r="L607" s="510">
        <f t="shared" si="251"/>
        <v>853.77</v>
      </c>
      <c r="M607" s="519"/>
      <c r="N607" s="519"/>
      <c r="O607" s="519"/>
      <c r="P607" s="519"/>
      <c r="Q607" s="519"/>
      <c r="R607" s="519"/>
      <c r="S607" s="519"/>
      <c r="T607" s="519"/>
      <c r="U607" s="519"/>
      <c r="V607" s="519"/>
      <c r="W607" s="519">
        <f t="shared" si="252"/>
        <v>804.89800000000002</v>
      </c>
      <c r="X607" s="519">
        <f t="shared" si="253"/>
        <v>1207.347</v>
      </c>
      <c r="Y607" s="519">
        <f t="shared" si="254"/>
        <v>2012.2449999999999</v>
      </c>
      <c r="Z607" s="519"/>
    </row>
    <row r="608" spans="1:26" s="512" customFormat="1" ht="30">
      <c r="A608" s="338" t="s">
        <v>8554</v>
      </c>
      <c r="B608" s="576" t="s">
        <v>5256</v>
      </c>
      <c r="C608" s="576">
        <v>91936</v>
      </c>
      <c r="D608" s="336" t="s">
        <v>7423</v>
      </c>
      <c r="E608" s="341">
        <v>15</v>
      </c>
      <c r="F608" s="342" t="s">
        <v>6337</v>
      </c>
      <c r="G608" s="352">
        <v>7.24</v>
      </c>
      <c r="H608" s="339">
        <f t="shared" si="247"/>
        <v>1.95</v>
      </c>
      <c r="I608" s="339">
        <f t="shared" si="248"/>
        <v>9.19</v>
      </c>
      <c r="J608" s="431">
        <f t="shared" si="249"/>
        <v>137.85</v>
      </c>
      <c r="K608" s="510">
        <f t="shared" si="250"/>
        <v>108.6</v>
      </c>
      <c r="L608" s="510">
        <f t="shared" si="251"/>
        <v>29.25</v>
      </c>
      <c r="M608" s="519"/>
      <c r="N608" s="519"/>
      <c r="O608" s="519"/>
      <c r="P608" s="519"/>
      <c r="Q608" s="519"/>
      <c r="R608" s="519"/>
      <c r="S608" s="519"/>
      <c r="T608" s="519"/>
      <c r="U608" s="519"/>
      <c r="V608" s="519"/>
      <c r="W608" s="519">
        <f t="shared" si="252"/>
        <v>27.57</v>
      </c>
      <c r="X608" s="519">
        <f t="shared" si="253"/>
        <v>41.354999999999997</v>
      </c>
      <c r="Y608" s="519">
        <f t="shared" si="254"/>
        <v>68.924999999999997</v>
      </c>
      <c r="Z608" s="519"/>
    </row>
    <row r="609" spans="1:26" s="512" customFormat="1" ht="30">
      <c r="A609" s="338" t="s">
        <v>8555</v>
      </c>
      <c r="B609" s="576" t="s">
        <v>5256</v>
      </c>
      <c r="C609" s="576">
        <v>91940</v>
      </c>
      <c r="D609" s="336" t="s">
        <v>8577</v>
      </c>
      <c r="E609" s="341">
        <v>10</v>
      </c>
      <c r="F609" s="342" t="s">
        <v>6337</v>
      </c>
      <c r="G609" s="352">
        <v>8.5</v>
      </c>
      <c r="H609" s="339">
        <f t="shared" si="247"/>
        <v>2.29</v>
      </c>
      <c r="I609" s="339">
        <f t="shared" si="248"/>
        <v>10.79</v>
      </c>
      <c r="J609" s="431">
        <f t="shared" si="249"/>
        <v>107.9</v>
      </c>
      <c r="K609" s="510">
        <f t="shared" si="250"/>
        <v>85</v>
      </c>
      <c r="L609" s="510">
        <f t="shared" si="251"/>
        <v>22.9</v>
      </c>
      <c r="M609" s="519"/>
      <c r="N609" s="519"/>
      <c r="O609" s="519"/>
      <c r="P609" s="519"/>
      <c r="Q609" s="519"/>
      <c r="R609" s="519"/>
      <c r="S609" s="519"/>
      <c r="T609" s="519"/>
      <c r="U609" s="519"/>
      <c r="V609" s="519"/>
      <c r="W609" s="519">
        <f t="shared" si="252"/>
        <v>21.580000000000002</v>
      </c>
      <c r="X609" s="519">
        <f t="shared" si="253"/>
        <v>32.369999999999997</v>
      </c>
      <c r="Y609" s="519">
        <f t="shared" si="254"/>
        <v>53.95</v>
      </c>
      <c r="Z609" s="519"/>
    </row>
    <row r="610" spans="1:26" s="512" customFormat="1" ht="30">
      <c r="A610" s="338" t="s">
        <v>8578</v>
      </c>
      <c r="B610" s="576" t="s">
        <v>5256</v>
      </c>
      <c r="C610" s="576">
        <v>83369</v>
      </c>
      <c r="D610" s="336" t="s">
        <v>7424</v>
      </c>
      <c r="E610" s="341">
        <v>2</v>
      </c>
      <c r="F610" s="342" t="s">
        <v>6337</v>
      </c>
      <c r="G610" s="352">
        <v>283.83999999999997</v>
      </c>
      <c r="H610" s="339">
        <f t="shared" si="247"/>
        <v>76.44</v>
      </c>
      <c r="I610" s="339">
        <f t="shared" si="248"/>
        <v>360.28</v>
      </c>
      <c r="J610" s="431">
        <f t="shared" si="249"/>
        <v>720.56</v>
      </c>
      <c r="K610" s="510">
        <f t="shared" si="250"/>
        <v>567.67999999999995</v>
      </c>
      <c r="L610" s="510">
        <f t="shared" si="251"/>
        <v>152.88</v>
      </c>
      <c r="M610" s="519"/>
      <c r="N610" s="519"/>
      <c r="O610" s="519"/>
      <c r="P610" s="519"/>
      <c r="Q610" s="519"/>
      <c r="R610" s="519"/>
      <c r="S610" s="519"/>
      <c r="T610" s="519"/>
      <c r="U610" s="519"/>
      <c r="V610" s="519"/>
      <c r="W610" s="519">
        <f t="shared" si="252"/>
        <v>144.11199999999999</v>
      </c>
      <c r="X610" s="519">
        <f t="shared" si="253"/>
        <v>216.16799999999998</v>
      </c>
      <c r="Y610" s="519">
        <f t="shared" si="254"/>
        <v>360.28</v>
      </c>
      <c r="Z610" s="519"/>
    </row>
    <row r="611" spans="1:26" s="512" customFormat="1" ht="45">
      <c r="A611" s="338" t="s">
        <v>8579</v>
      </c>
      <c r="B611" s="576" t="s">
        <v>5256</v>
      </c>
      <c r="C611" s="576">
        <v>95802</v>
      </c>
      <c r="D611" s="336" t="s">
        <v>8556</v>
      </c>
      <c r="E611" s="341">
        <v>94</v>
      </c>
      <c r="F611" s="342" t="s">
        <v>6337</v>
      </c>
      <c r="G611" s="352">
        <v>24.75</v>
      </c>
      <c r="H611" s="339">
        <f t="shared" si="247"/>
        <v>6.67</v>
      </c>
      <c r="I611" s="339">
        <f t="shared" si="248"/>
        <v>31.42</v>
      </c>
      <c r="J611" s="431">
        <f t="shared" si="249"/>
        <v>2953.48</v>
      </c>
      <c r="K611" s="510">
        <f t="shared" si="250"/>
        <v>2326.5</v>
      </c>
      <c r="L611" s="510">
        <f t="shared" si="251"/>
        <v>626.98</v>
      </c>
      <c r="M611" s="519"/>
      <c r="N611" s="519"/>
      <c r="O611" s="519"/>
      <c r="P611" s="519"/>
      <c r="Q611" s="519"/>
      <c r="R611" s="519"/>
      <c r="S611" s="519"/>
      <c r="T611" s="519"/>
      <c r="U611" s="519"/>
      <c r="V611" s="519"/>
      <c r="W611" s="519">
        <f t="shared" si="252"/>
        <v>590.69600000000003</v>
      </c>
      <c r="X611" s="519">
        <f t="shared" si="253"/>
        <v>886.04399999999998</v>
      </c>
      <c r="Y611" s="519">
        <f t="shared" si="254"/>
        <v>1476.74</v>
      </c>
      <c r="Z611" s="519"/>
    </row>
    <row r="612" spans="1:26" s="512" customFormat="1" ht="30">
      <c r="A612" s="338" t="s">
        <v>8561</v>
      </c>
      <c r="B612" s="576" t="s">
        <v>5256</v>
      </c>
      <c r="C612" s="576" t="s">
        <v>7284</v>
      </c>
      <c r="D612" s="336" t="s">
        <v>7240</v>
      </c>
      <c r="E612" s="341">
        <v>555</v>
      </c>
      <c r="F612" s="342" t="s">
        <v>6774</v>
      </c>
      <c r="G612" s="352">
        <v>6.38</v>
      </c>
      <c r="H612" s="339">
        <f t="shared" si="247"/>
        <v>1.72</v>
      </c>
      <c r="I612" s="339">
        <f t="shared" si="248"/>
        <v>8.1</v>
      </c>
      <c r="J612" s="431">
        <f t="shared" si="249"/>
        <v>4495.5</v>
      </c>
      <c r="K612" s="510">
        <f t="shared" si="250"/>
        <v>3540.9</v>
      </c>
      <c r="L612" s="510">
        <f t="shared" si="251"/>
        <v>954.6</v>
      </c>
      <c r="M612" s="519"/>
      <c r="N612" s="519"/>
      <c r="O612" s="519"/>
      <c r="P612" s="519"/>
      <c r="Q612" s="519"/>
      <c r="R612" s="519"/>
      <c r="S612" s="519"/>
      <c r="T612" s="519"/>
      <c r="U612" s="519"/>
      <c r="V612" s="519"/>
      <c r="W612" s="519">
        <f t="shared" si="252"/>
        <v>899.1</v>
      </c>
      <c r="X612" s="519">
        <f t="shared" si="253"/>
        <v>1348.6499999999999</v>
      </c>
      <c r="Y612" s="519">
        <f t="shared" si="254"/>
        <v>2247.75</v>
      </c>
      <c r="Z612" s="519"/>
    </row>
    <row r="613" spans="1:26" s="512" customFormat="1" ht="30">
      <c r="A613" s="338" t="s">
        <v>8562</v>
      </c>
      <c r="B613" s="576" t="s">
        <v>5256</v>
      </c>
      <c r="C613" s="576" t="s">
        <v>7285</v>
      </c>
      <c r="D613" s="336" t="s">
        <v>7241</v>
      </c>
      <c r="E613" s="341">
        <v>15</v>
      </c>
      <c r="F613" s="342" t="s">
        <v>6774</v>
      </c>
      <c r="G613" s="352">
        <v>8.0299999999999994</v>
      </c>
      <c r="H613" s="339">
        <f t="shared" si="247"/>
        <v>2.16</v>
      </c>
      <c r="I613" s="339">
        <f t="shared" si="248"/>
        <v>10.19</v>
      </c>
      <c r="J613" s="431">
        <f t="shared" si="249"/>
        <v>152.85</v>
      </c>
      <c r="K613" s="510">
        <f t="shared" si="250"/>
        <v>120.45</v>
      </c>
      <c r="L613" s="510">
        <f t="shared" si="251"/>
        <v>32.4</v>
      </c>
      <c r="M613" s="519"/>
      <c r="N613" s="519"/>
      <c r="O613" s="519"/>
      <c r="P613" s="519"/>
      <c r="Q613" s="519"/>
      <c r="R613" s="519"/>
      <c r="S613" s="519"/>
      <c r="T613" s="519"/>
      <c r="U613" s="519"/>
      <c r="V613" s="519"/>
      <c r="W613" s="519">
        <f t="shared" si="252"/>
        <v>30.57</v>
      </c>
      <c r="X613" s="519">
        <f t="shared" si="253"/>
        <v>45.854999999999997</v>
      </c>
      <c r="Y613" s="519">
        <f t="shared" si="254"/>
        <v>76.424999999999997</v>
      </c>
      <c r="Z613" s="519"/>
    </row>
    <row r="614" spans="1:26" s="512" customFormat="1" ht="30">
      <c r="A614" s="338" t="s">
        <v>8563</v>
      </c>
      <c r="B614" s="576" t="s">
        <v>5256</v>
      </c>
      <c r="C614" s="576">
        <v>93009</v>
      </c>
      <c r="D614" s="336" t="s">
        <v>8564</v>
      </c>
      <c r="E614" s="341">
        <v>210</v>
      </c>
      <c r="F614" s="342" t="s">
        <v>6774</v>
      </c>
      <c r="G614" s="352">
        <v>12.91</v>
      </c>
      <c r="H614" s="339">
        <f t="shared" si="247"/>
        <v>3.48</v>
      </c>
      <c r="I614" s="339">
        <f t="shared" si="248"/>
        <v>16.39</v>
      </c>
      <c r="J614" s="431">
        <f t="shared" si="249"/>
        <v>3441.9</v>
      </c>
      <c r="K614" s="510">
        <f t="shared" si="250"/>
        <v>2711.1</v>
      </c>
      <c r="L614" s="510">
        <f t="shared" si="251"/>
        <v>730.8</v>
      </c>
      <c r="M614" s="519"/>
      <c r="N614" s="519"/>
      <c r="O614" s="519"/>
      <c r="P614" s="519"/>
      <c r="Q614" s="519"/>
      <c r="R614" s="519"/>
      <c r="S614" s="519"/>
      <c r="T614" s="519"/>
      <c r="U614" s="519"/>
      <c r="V614" s="519"/>
      <c r="W614" s="519">
        <f t="shared" si="252"/>
        <v>688.38000000000011</v>
      </c>
      <c r="X614" s="519">
        <f t="shared" si="253"/>
        <v>1032.57</v>
      </c>
      <c r="Y614" s="519">
        <f t="shared" si="254"/>
        <v>1720.95</v>
      </c>
      <c r="Z614" s="519"/>
    </row>
    <row r="615" spans="1:26" s="512" customFormat="1" ht="15">
      <c r="A615" s="338" t="s">
        <v>8566</v>
      </c>
      <c r="B615" s="576" t="s">
        <v>5256</v>
      </c>
      <c r="C615" s="576">
        <v>93020</v>
      </c>
      <c r="D615" s="336" t="s">
        <v>8565</v>
      </c>
      <c r="E615" s="341">
        <v>8</v>
      </c>
      <c r="F615" s="342" t="s">
        <v>6337</v>
      </c>
      <c r="G615" s="352">
        <v>15.75</v>
      </c>
      <c r="H615" s="339">
        <f t="shared" si="247"/>
        <v>4.24</v>
      </c>
      <c r="I615" s="339">
        <f t="shared" si="248"/>
        <v>19.990000000000002</v>
      </c>
      <c r="J615" s="431">
        <f t="shared" si="249"/>
        <v>159.91999999999999</v>
      </c>
      <c r="K615" s="510">
        <f t="shared" si="250"/>
        <v>126</v>
      </c>
      <c r="L615" s="510">
        <f t="shared" si="251"/>
        <v>33.92</v>
      </c>
      <c r="M615" s="519"/>
      <c r="N615" s="519"/>
      <c r="O615" s="519"/>
      <c r="P615" s="519"/>
      <c r="Q615" s="519"/>
      <c r="R615" s="519"/>
      <c r="S615" s="519"/>
      <c r="T615" s="519"/>
      <c r="U615" s="519"/>
      <c r="V615" s="519"/>
      <c r="W615" s="519">
        <f t="shared" si="252"/>
        <v>31.983999999999998</v>
      </c>
      <c r="X615" s="519">
        <f t="shared" si="253"/>
        <v>47.975999999999992</v>
      </c>
      <c r="Y615" s="519">
        <f t="shared" si="254"/>
        <v>79.959999999999994</v>
      </c>
      <c r="Z615" s="519"/>
    </row>
    <row r="616" spans="1:26" s="512" customFormat="1" ht="15">
      <c r="A616" s="338" t="s">
        <v>8567</v>
      </c>
      <c r="B616" s="576" t="s">
        <v>5256</v>
      </c>
      <c r="C616" s="576">
        <v>91917</v>
      </c>
      <c r="D616" s="336" t="s">
        <v>8458</v>
      </c>
      <c r="E616" s="341">
        <v>5</v>
      </c>
      <c r="F616" s="342" t="s">
        <v>6337</v>
      </c>
      <c r="G616" s="352">
        <v>9.8699999999999992</v>
      </c>
      <c r="H616" s="339">
        <f t="shared" si="247"/>
        <v>2.66</v>
      </c>
      <c r="I616" s="339">
        <f t="shared" si="248"/>
        <v>12.53</v>
      </c>
      <c r="J616" s="431">
        <f t="shared" si="249"/>
        <v>62.65</v>
      </c>
      <c r="K616" s="510">
        <f t="shared" si="250"/>
        <v>49.35</v>
      </c>
      <c r="L616" s="510">
        <f t="shared" si="251"/>
        <v>13.3</v>
      </c>
      <c r="M616" s="519"/>
      <c r="N616" s="519"/>
      <c r="O616" s="519"/>
      <c r="P616" s="519"/>
      <c r="Q616" s="519"/>
      <c r="R616" s="519"/>
      <c r="S616" s="519"/>
      <c r="T616" s="519"/>
      <c r="U616" s="519"/>
      <c r="V616" s="519"/>
      <c r="W616" s="519">
        <f t="shared" si="252"/>
        <v>12.530000000000001</v>
      </c>
      <c r="X616" s="519">
        <f t="shared" si="253"/>
        <v>18.794999999999998</v>
      </c>
      <c r="Y616" s="519">
        <f t="shared" si="254"/>
        <v>31.324999999999999</v>
      </c>
      <c r="Z616" s="519"/>
    </row>
    <row r="617" spans="1:26" s="512" customFormat="1" ht="15">
      <c r="A617" s="338" t="s">
        <v>8568</v>
      </c>
      <c r="B617" s="576" t="s">
        <v>5256</v>
      </c>
      <c r="C617" s="576">
        <v>91914</v>
      </c>
      <c r="D617" s="336" t="s">
        <v>8459</v>
      </c>
      <c r="E617" s="341">
        <v>65</v>
      </c>
      <c r="F617" s="342" t="s">
        <v>6337</v>
      </c>
      <c r="G617" s="352">
        <v>8.17</v>
      </c>
      <c r="H617" s="339">
        <f t="shared" si="247"/>
        <v>2.2000000000000002</v>
      </c>
      <c r="I617" s="339">
        <f t="shared" si="248"/>
        <v>10.370000000000001</v>
      </c>
      <c r="J617" s="431">
        <f t="shared" si="249"/>
        <v>674.05</v>
      </c>
      <c r="K617" s="510">
        <f t="shared" si="250"/>
        <v>531.04999999999995</v>
      </c>
      <c r="L617" s="510">
        <f t="shared" si="251"/>
        <v>143</v>
      </c>
      <c r="M617" s="519"/>
      <c r="N617" s="519"/>
      <c r="O617" s="519"/>
      <c r="P617" s="519"/>
      <c r="Q617" s="519"/>
      <c r="R617" s="519"/>
      <c r="S617" s="519"/>
      <c r="T617" s="519"/>
      <c r="U617" s="519"/>
      <c r="V617" s="519"/>
      <c r="W617" s="519">
        <f t="shared" si="252"/>
        <v>134.81</v>
      </c>
      <c r="X617" s="519">
        <f t="shared" si="253"/>
        <v>202.21499999999997</v>
      </c>
      <c r="Y617" s="519">
        <f t="shared" si="254"/>
        <v>337.02499999999998</v>
      </c>
      <c r="Z617" s="519"/>
    </row>
    <row r="618" spans="1:26" s="512" customFormat="1" ht="15">
      <c r="A618" s="338" t="s">
        <v>8569</v>
      </c>
      <c r="B618" s="576" t="s">
        <v>5256</v>
      </c>
      <c r="C618" s="576">
        <v>93014</v>
      </c>
      <c r="D618" s="336" t="s">
        <v>8461</v>
      </c>
      <c r="E618" s="341">
        <v>86</v>
      </c>
      <c r="F618" s="342" t="s">
        <v>6337</v>
      </c>
      <c r="G618" s="352">
        <v>9.9600000000000009</v>
      </c>
      <c r="H618" s="339">
        <f t="shared" si="247"/>
        <v>2.68</v>
      </c>
      <c r="I618" s="339">
        <f t="shared" si="248"/>
        <v>12.64</v>
      </c>
      <c r="J618" s="431">
        <f t="shared" si="249"/>
        <v>1087.04</v>
      </c>
      <c r="K618" s="510">
        <f t="shared" si="250"/>
        <v>856.56</v>
      </c>
      <c r="L618" s="510">
        <f t="shared" si="251"/>
        <v>230.48</v>
      </c>
      <c r="M618" s="519"/>
      <c r="N618" s="519"/>
      <c r="O618" s="519"/>
      <c r="P618" s="519"/>
      <c r="Q618" s="519"/>
      <c r="R618" s="519"/>
      <c r="S618" s="519"/>
      <c r="T618" s="519"/>
      <c r="U618" s="519"/>
      <c r="V618" s="519"/>
      <c r="W618" s="519">
        <f t="shared" si="252"/>
        <v>217.40800000000002</v>
      </c>
      <c r="X618" s="519">
        <f t="shared" si="253"/>
        <v>326.11199999999997</v>
      </c>
      <c r="Y618" s="519">
        <f t="shared" si="254"/>
        <v>543.52</v>
      </c>
      <c r="Z618" s="519"/>
    </row>
    <row r="619" spans="1:26" s="512" customFormat="1" ht="15">
      <c r="A619" s="338" t="s">
        <v>8570</v>
      </c>
      <c r="B619" s="576" t="s">
        <v>5256</v>
      </c>
      <c r="C619" s="576">
        <v>91885</v>
      </c>
      <c r="D619" s="336" t="s">
        <v>8461</v>
      </c>
      <c r="E619" s="341">
        <v>15</v>
      </c>
      <c r="F619" s="342" t="s">
        <v>6337</v>
      </c>
      <c r="G619" s="352">
        <v>6</v>
      </c>
      <c r="H619" s="339">
        <f t="shared" si="247"/>
        <v>1.62</v>
      </c>
      <c r="I619" s="339">
        <f t="shared" si="248"/>
        <v>7.62</v>
      </c>
      <c r="J619" s="431">
        <f t="shared" si="249"/>
        <v>114.3</v>
      </c>
      <c r="K619" s="510">
        <f t="shared" si="250"/>
        <v>90</v>
      </c>
      <c r="L619" s="510">
        <f t="shared" si="251"/>
        <v>24.3</v>
      </c>
      <c r="M619" s="519"/>
      <c r="N619" s="519"/>
      <c r="O619" s="519"/>
      <c r="P619" s="519"/>
      <c r="Q619" s="519"/>
      <c r="R619" s="519"/>
      <c r="S619" s="519"/>
      <c r="T619" s="519"/>
      <c r="U619" s="519"/>
      <c r="V619" s="519"/>
      <c r="W619" s="519">
        <f t="shared" si="252"/>
        <v>22.86</v>
      </c>
      <c r="X619" s="519">
        <f t="shared" si="253"/>
        <v>34.29</v>
      </c>
      <c r="Y619" s="519">
        <f t="shared" si="254"/>
        <v>57.15</v>
      </c>
      <c r="Z619" s="519"/>
    </row>
    <row r="620" spans="1:26" s="512" customFormat="1" ht="15">
      <c r="A620" s="338" t="s">
        <v>8571</v>
      </c>
      <c r="B620" s="576" t="s">
        <v>5256</v>
      </c>
      <c r="C620" s="576">
        <v>91884</v>
      </c>
      <c r="D620" s="336" t="s">
        <v>8462</v>
      </c>
      <c r="E620" s="341">
        <v>315</v>
      </c>
      <c r="F620" s="342" t="s">
        <v>6337</v>
      </c>
      <c r="G620" s="352">
        <v>5.09</v>
      </c>
      <c r="H620" s="339">
        <f t="shared" si="247"/>
        <v>1.37</v>
      </c>
      <c r="I620" s="339">
        <f t="shared" si="248"/>
        <v>6.46</v>
      </c>
      <c r="J620" s="431">
        <f t="shared" si="249"/>
        <v>2034.9</v>
      </c>
      <c r="K620" s="510">
        <f t="shared" si="250"/>
        <v>1603.35</v>
      </c>
      <c r="L620" s="510">
        <f t="shared" si="251"/>
        <v>431.55</v>
      </c>
      <c r="M620" s="519"/>
      <c r="N620" s="519"/>
      <c r="O620" s="519"/>
      <c r="P620" s="519"/>
      <c r="Q620" s="519"/>
      <c r="R620" s="519"/>
      <c r="S620" s="519"/>
      <c r="T620" s="519"/>
      <c r="U620" s="519"/>
      <c r="V620" s="519"/>
      <c r="W620" s="519">
        <f t="shared" si="252"/>
        <v>406.98</v>
      </c>
      <c r="X620" s="519">
        <f t="shared" si="253"/>
        <v>610.47</v>
      </c>
      <c r="Y620" s="519">
        <f t="shared" si="254"/>
        <v>1017.45</v>
      </c>
      <c r="Z620" s="519"/>
    </row>
    <row r="621" spans="1:26" s="512" customFormat="1" ht="30">
      <c r="A621" s="338" t="s">
        <v>8588</v>
      </c>
      <c r="B621" s="576" t="s">
        <v>6333</v>
      </c>
      <c r="C621" s="576">
        <v>8684</v>
      </c>
      <c r="D621" s="336" t="s">
        <v>8574</v>
      </c>
      <c r="E621" s="341">
        <v>150</v>
      </c>
      <c r="F621" s="342" t="s">
        <v>6774</v>
      </c>
      <c r="G621" s="352">
        <v>24.43</v>
      </c>
      <c r="H621" s="339">
        <f t="shared" si="247"/>
        <v>6.58</v>
      </c>
      <c r="I621" s="339">
        <f t="shared" si="248"/>
        <v>31.009999999999998</v>
      </c>
      <c r="J621" s="431">
        <f t="shared" si="249"/>
        <v>4651.5</v>
      </c>
      <c r="K621" s="510">
        <f t="shared" si="250"/>
        <v>3664.5</v>
      </c>
      <c r="L621" s="510">
        <f t="shared" si="251"/>
        <v>987</v>
      </c>
      <c r="M621" s="519"/>
      <c r="N621" s="519"/>
      <c r="O621" s="519"/>
      <c r="P621" s="519"/>
      <c r="Q621" s="519"/>
      <c r="R621" s="519"/>
      <c r="S621" s="519"/>
      <c r="T621" s="519"/>
      <c r="U621" s="519"/>
      <c r="V621" s="519"/>
      <c r="W621" s="519">
        <f t="shared" si="252"/>
        <v>930.30000000000007</v>
      </c>
      <c r="X621" s="519">
        <f t="shared" si="253"/>
        <v>1395.45</v>
      </c>
      <c r="Y621" s="519">
        <f t="shared" si="254"/>
        <v>2325.75</v>
      </c>
      <c r="Z621" s="519"/>
    </row>
    <row r="622" spans="1:26" s="512" customFormat="1" ht="30">
      <c r="A622" s="338" t="s">
        <v>8589</v>
      </c>
      <c r="B622" s="576" t="s">
        <v>6333</v>
      </c>
      <c r="C622" s="576">
        <v>8701</v>
      </c>
      <c r="D622" s="532" t="s">
        <v>8476</v>
      </c>
      <c r="E622" s="341">
        <v>2</v>
      </c>
      <c r="F622" s="342" t="s">
        <v>6337</v>
      </c>
      <c r="G622" s="352">
        <v>27.51</v>
      </c>
      <c r="H622" s="339">
        <f t="shared" si="247"/>
        <v>7.41</v>
      </c>
      <c r="I622" s="339">
        <f t="shared" si="248"/>
        <v>34.92</v>
      </c>
      <c r="J622" s="431">
        <f t="shared" si="249"/>
        <v>69.84</v>
      </c>
      <c r="K622" s="510">
        <f t="shared" si="250"/>
        <v>55.02</v>
      </c>
      <c r="L622" s="510">
        <f t="shared" si="251"/>
        <v>14.82</v>
      </c>
      <c r="M622" s="519"/>
      <c r="N622" s="519"/>
      <c r="O622" s="519"/>
      <c r="P622" s="519"/>
      <c r="Q622" s="519"/>
      <c r="R622" s="519"/>
      <c r="S622" s="519"/>
      <c r="T622" s="519"/>
      <c r="U622" s="519"/>
      <c r="V622" s="519"/>
      <c r="W622" s="519">
        <f t="shared" si="252"/>
        <v>13.968000000000002</v>
      </c>
      <c r="X622" s="519">
        <f t="shared" si="253"/>
        <v>20.952000000000002</v>
      </c>
      <c r="Y622" s="519">
        <f t="shared" si="254"/>
        <v>34.92</v>
      </c>
      <c r="Z622" s="519"/>
    </row>
    <row r="623" spans="1:26" s="512" customFormat="1" ht="30">
      <c r="A623" s="338" t="s">
        <v>8590</v>
      </c>
      <c r="B623" s="576" t="s">
        <v>6333</v>
      </c>
      <c r="C623" s="576">
        <v>8687</v>
      </c>
      <c r="D623" s="532" t="s">
        <v>8483</v>
      </c>
      <c r="E623" s="341">
        <v>3</v>
      </c>
      <c r="F623" s="342" t="s">
        <v>6337</v>
      </c>
      <c r="G623" s="352">
        <v>31.82</v>
      </c>
      <c r="H623" s="339">
        <f t="shared" si="247"/>
        <v>8.57</v>
      </c>
      <c r="I623" s="339">
        <f t="shared" si="248"/>
        <v>40.39</v>
      </c>
      <c r="J623" s="431">
        <f t="shared" si="249"/>
        <v>121.17</v>
      </c>
      <c r="K623" s="510">
        <f t="shared" si="250"/>
        <v>95.46</v>
      </c>
      <c r="L623" s="510">
        <f t="shared" si="251"/>
        <v>25.71</v>
      </c>
      <c r="M623" s="519"/>
      <c r="N623" s="519"/>
      <c r="O623" s="519"/>
      <c r="P623" s="519"/>
      <c r="Q623" s="519"/>
      <c r="R623" s="519"/>
      <c r="S623" s="519"/>
      <c r="T623" s="519"/>
      <c r="U623" s="519"/>
      <c r="V623" s="519"/>
      <c r="W623" s="519">
        <f t="shared" si="252"/>
        <v>24.234000000000002</v>
      </c>
      <c r="X623" s="519">
        <f t="shared" si="253"/>
        <v>36.350999999999999</v>
      </c>
      <c r="Y623" s="519">
        <f t="shared" si="254"/>
        <v>60.585000000000001</v>
      </c>
      <c r="Z623" s="519"/>
    </row>
    <row r="624" spans="1:26" s="512" customFormat="1" ht="30">
      <c r="A624" s="338" t="s">
        <v>8591</v>
      </c>
      <c r="B624" s="576" t="s">
        <v>6333</v>
      </c>
      <c r="C624" s="576" t="s">
        <v>15571</v>
      </c>
      <c r="D624" s="532" t="s">
        <v>8486</v>
      </c>
      <c r="E624" s="341">
        <v>90</v>
      </c>
      <c r="F624" s="342" t="s">
        <v>6337</v>
      </c>
      <c r="G624" s="352">
        <v>9.14</v>
      </c>
      <c r="H624" s="339">
        <f t="shared" si="247"/>
        <v>2.46</v>
      </c>
      <c r="I624" s="339">
        <f t="shared" si="248"/>
        <v>11.600000000000001</v>
      </c>
      <c r="J624" s="431">
        <f t="shared" si="249"/>
        <v>1044</v>
      </c>
      <c r="K624" s="510">
        <f t="shared" si="250"/>
        <v>822.6</v>
      </c>
      <c r="L624" s="510">
        <f t="shared" si="251"/>
        <v>221.4</v>
      </c>
      <c r="M624" s="519"/>
      <c r="N624" s="519"/>
      <c r="O624" s="519"/>
      <c r="P624" s="519"/>
      <c r="Q624" s="519"/>
      <c r="R624" s="519"/>
      <c r="S624" s="519"/>
      <c r="T624" s="519"/>
      <c r="U624" s="519"/>
      <c r="V624" s="519"/>
      <c r="W624" s="519">
        <f t="shared" si="252"/>
        <v>208.8</v>
      </c>
      <c r="X624" s="519">
        <f t="shared" si="253"/>
        <v>313.2</v>
      </c>
      <c r="Y624" s="519">
        <f t="shared" si="254"/>
        <v>522</v>
      </c>
      <c r="Z624" s="519"/>
    </row>
    <row r="625" spans="1:26" s="512" customFormat="1" ht="30">
      <c r="A625" s="338" t="s">
        <v>8592</v>
      </c>
      <c r="B625" s="576" t="s">
        <v>6333</v>
      </c>
      <c r="C625" s="576">
        <v>11848</v>
      </c>
      <c r="D625" s="532" t="s">
        <v>8490</v>
      </c>
      <c r="E625" s="341">
        <v>63</v>
      </c>
      <c r="F625" s="342" t="s">
        <v>6337</v>
      </c>
      <c r="G625" s="352">
        <v>8.65</v>
      </c>
      <c r="H625" s="339">
        <f t="shared" si="247"/>
        <v>2.33</v>
      </c>
      <c r="I625" s="339">
        <f t="shared" si="248"/>
        <v>10.98</v>
      </c>
      <c r="J625" s="431">
        <f t="shared" si="249"/>
        <v>691.74</v>
      </c>
      <c r="K625" s="510">
        <f t="shared" si="250"/>
        <v>544.95000000000005</v>
      </c>
      <c r="L625" s="510">
        <f t="shared" si="251"/>
        <v>146.79</v>
      </c>
      <c r="M625" s="519"/>
      <c r="N625" s="519"/>
      <c r="O625" s="519"/>
      <c r="P625" s="519"/>
      <c r="Q625" s="519"/>
      <c r="R625" s="519"/>
      <c r="S625" s="519"/>
      <c r="T625" s="519"/>
      <c r="U625" s="519"/>
      <c r="V625" s="519"/>
      <c r="W625" s="519">
        <f t="shared" si="252"/>
        <v>138.34800000000001</v>
      </c>
      <c r="X625" s="519">
        <f t="shared" si="253"/>
        <v>207.52199999999999</v>
      </c>
      <c r="Y625" s="519">
        <f t="shared" si="254"/>
        <v>345.87</v>
      </c>
      <c r="Z625" s="519"/>
    </row>
    <row r="626" spans="1:26" s="512" customFormat="1" ht="30">
      <c r="A626" s="338" t="s">
        <v>8593</v>
      </c>
      <c r="B626" s="576" t="s">
        <v>6333</v>
      </c>
      <c r="C626" s="576" t="s">
        <v>15572</v>
      </c>
      <c r="D626" s="532" t="s">
        <v>8493</v>
      </c>
      <c r="E626" s="341">
        <v>2</v>
      </c>
      <c r="F626" s="342" t="s">
        <v>6337</v>
      </c>
      <c r="G626" s="352">
        <v>30.6</v>
      </c>
      <c r="H626" s="339">
        <f t="shared" si="247"/>
        <v>8.24</v>
      </c>
      <c r="I626" s="339">
        <f t="shared" si="248"/>
        <v>38.840000000000003</v>
      </c>
      <c r="J626" s="431">
        <f t="shared" si="249"/>
        <v>77.680000000000007</v>
      </c>
      <c r="K626" s="510">
        <f t="shared" si="250"/>
        <v>61.2</v>
      </c>
      <c r="L626" s="510">
        <f t="shared" si="251"/>
        <v>16.48</v>
      </c>
      <c r="M626" s="519"/>
      <c r="N626" s="519"/>
      <c r="O626" s="519"/>
      <c r="P626" s="519"/>
      <c r="Q626" s="519"/>
      <c r="R626" s="519"/>
      <c r="S626" s="519"/>
      <c r="T626" s="519"/>
      <c r="U626" s="519"/>
      <c r="V626" s="519"/>
      <c r="W626" s="519">
        <f t="shared" si="252"/>
        <v>15.536000000000001</v>
      </c>
      <c r="X626" s="519">
        <f t="shared" si="253"/>
        <v>23.304000000000002</v>
      </c>
      <c r="Y626" s="519">
        <f t="shared" si="254"/>
        <v>38.840000000000003</v>
      </c>
      <c r="Z626" s="519"/>
    </row>
    <row r="627" spans="1:26" s="512" customFormat="1" ht="30">
      <c r="A627" s="338" t="s">
        <v>8598</v>
      </c>
      <c r="B627" s="576" t="s">
        <v>6333</v>
      </c>
      <c r="C627" s="576">
        <v>7384</v>
      </c>
      <c r="D627" s="336" t="s">
        <v>8544</v>
      </c>
      <c r="E627" s="341">
        <v>252</v>
      </c>
      <c r="F627" s="342" t="s">
        <v>6774</v>
      </c>
      <c r="G627" s="352">
        <v>12.93</v>
      </c>
      <c r="H627" s="339">
        <f t="shared" si="247"/>
        <v>3.48</v>
      </c>
      <c r="I627" s="339">
        <f t="shared" si="248"/>
        <v>16.41</v>
      </c>
      <c r="J627" s="431">
        <f t="shared" si="249"/>
        <v>4135.32</v>
      </c>
      <c r="K627" s="510">
        <f t="shared" si="250"/>
        <v>3258.36</v>
      </c>
      <c r="L627" s="510">
        <f t="shared" si="251"/>
        <v>876.96</v>
      </c>
      <c r="M627" s="519"/>
      <c r="N627" s="519"/>
      <c r="O627" s="519"/>
      <c r="P627" s="519"/>
      <c r="Q627" s="519"/>
      <c r="R627" s="519"/>
      <c r="S627" s="519"/>
      <c r="T627" s="519"/>
      <c r="U627" s="519"/>
      <c r="V627" s="519"/>
      <c r="W627" s="519">
        <f t="shared" si="252"/>
        <v>827.06399999999996</v>
      </c>
      <c r="X627" s="519">
        <f t="shared" si="253"/>
        <v>1240.5959999999998</v>
      </c>
      <c r="Y627" s="519">
        <f t="shared" si="254"/>
        <v>2067.66</v>
      </c>
      <c r="Z627" s="519"/>
    </row>
    <row r="628" spans="1:26" s="512" customFormat="1" ht="30">
      <c r="A628" s="338" t="s">
        <v>8599</v>
      </c>
      <c r="B628" s="576" t="s">
        <v>6333</v>
      </c>
      <c r="C628" s="576">
        <v>723</v>
      </c>
      <c r="D628" s="336" t="s">
        <v>8545</v>
      </c>
      <c r="E628" s="341">
        <v>50</v>
      </c>
      <c r="F628" s="342" t="s">
        <v>6337</v>
      </c>
      <c r="G628" s="352">
        <v>3.19</v>
      </c>
      <c r="H628" s="339">
        <f t="shared" si="247"/>
        <v>0.86</v>
      </c>
      <c r="I628" s="339">
        <f t="shared" si="248"/>
        <v>4.05</v>
      </c>
      <c r="J628" s="431">
        <f t="shared" si="249"/>
        <v>202.5</v>
      </c>
      <c r="K628" s="510">
        <f t="shared" si="250"/>
        <v>159.5</v>
      </c>
      <c r="L628" s="510">
        <f t="shared" si="251"/>
        <v>43</v>
      </c>
      <c r="M628" s="519"/>
      <c r="N628" s="519"/>
      <c r="O628" s="519"/>
      <c r="P628" s="519"/>
      <c r="Q628" s="519"/>
      <c r="R628" s="519"/>
      <c r="S628" s="519"/>
      <c r="T628" s="519"/>
      <c r="U628" s="519"/>
      <c r="V628" s="519"/>
      <c r="W628" s="519">
        <f t="shared" si="252"/>
        <v>40.5</v>
      </c>
      <c r="X628" s="519">
        <f t="shared" si="253"/>
        <v>60.75</v>
      </c>
      <c r="Y628" s="519">
        <f t="shared" si="254"/>
        <v>101.25</v>
      </c>
      <c r="Z628" s="519"/>
    </row>
    <row r="629" spans="1:26" s="512" customFormat="1" ht="30">
      <c r="A629" s="338" t="s">
        <v>8575</v>
      </c>
      <c r="B629" s="576" t="s">
        <v>6753</v>
      </c>
      <c r="C629" s="576" t="s">
        <v>8595</v>
      </c>
      <c r="D629" s="336" t="s">
        <v>8594</v>
      </c>
      <c r="E629" s="341">
        <v>35</v>
      </c>
      <c r="F629" s="342" t="s">
        <v>6774</v>
      </c>
      <c r="G629" s="352">
        <v>39.620000000000005</v>
      </c>
      <c r="H629" s="339">
        <f t="shared" si="247"/>
        <v>10.67</v>
      </c>
      <c r="I629" s="339">
        <f t="shared" si="248"/>
        <v>50.290000000000006</v>
      </c>
      <c r="J629" s="431">
        <f t="shared" si="249"/>
        <v>1760.15</v>
      </c>
      <c r="K629" s="510">
        <f t="shared" si="250"/>
        <v>1386.7</v>
      </c>
      <c r="L629" s="510">
        <f t="shared" si="251"/>
        <v>373.45</v>
      </c>
      <c r="M629" s="519"/>
      <c r="N629" s="519"/>
      <c r="O629" s="519"/>
      <c r="P629" s="519"/>
      <c r="Q629" s="519"/>
      <c r="R629" s="519"/>
      <c r="S629" s="519"/>
      <c r="T629" s="519"/>
      <c r="U629" s="519"/>
      <c r="V629" s="519"/>
      <c r="W629" s="519">
        <f t="shared" si="252"/>
        <v>352.03000000000003</v>
      </c>
      <c r="X629" s="519">
        <f t="shared" si="253"/>
        <v>528.04499999999996</v>
      </c>
      <c r="Y629" s="519">
        <f t="shared" si="254"/>
        <v>880.07500000000005</v>
      </c>
      <c r="Z629" s="519"/>
    </row>
    <row r="630" spans="1:26" s="512" customFormat="1" ht="30">
      <c r="A630" s="338" t="s">
        <v>8576</v>
      </c>
      <c r="B630" s="576" t="s">
        <v>6753</v>
      </c>
      <c r="C630" s="576" t="s">
        <v>8601</v>
      </c>
      <c r="D630" s="336" t="s">
        <v>8600</v>
      </c>
      <c r="E630" s="341">
        <v>13</v>
      </c>
      <c r="F630" s="342" t="s">
        <v>6337</v>
      </c>
      <c r="G630" s="352">
        <v>13.51</v>
      </c>
      <c r="H630" s="339">
        <f t="shared" si="247"/>
        <v>3.64</v>
      </c>
      <c r="I630" s="339">
        <f t="shared" si="248"/>
        <v>17.149999999999999</v>
      </c>
      <c r="J630" s="431">
        <f t="shared" si="249"/>
        <v>222.95</v>
      </c>
      <c r="K630" s="510">
        <f t="shared" si="250"/>
        <v>175.63</v>
      </c>
      <c r="L630" s="510">
        <f t="shared" si="251"/>
        <v>47.32</v>
      </c>
      <c r="M630" s="519"/>
      <c r="N630" s="519"/>
      <c r="O630" s="519"/>
      <c r="P630" s="519"/>
      <c r="Q630" s="519"/>
      <c r="R630" s="519"/>
      <c r="S630" s="519"/>
      <c r="T630" s="519"/>
      <c r="U630" s="519"/>
      <c r="V630" s="519"/>
      <c r="W630" s="519">
        <f t="shared" si="252"/>
        <v>44.59</v>
      </c>
      <c r="X630" s="519">
        <f t="shared" si="253"/>
        <v>66.884999999999991</v>
      </c>
      <c r="Y630" s="519">
        <f t="shared" si="254"/>
        <v>111.47499999999999</v>
      </c>
      <c r="Z630" s="519"/>
    </row>
    <row r="631" spans="1:26" s="512" customFormat="1" ht="15">
      <c r="A631" s="338" t="s">
        <v>7432</v>
      </c>
      <c r="B631" s="576" t="s">
        <v>6333</v>
      </c>
      <c r="C631" s="576">
        <v>10332</v>
      </c>
      <c r="D631" s="336" t="s">
        <v>7414</v>
      </c>
      <c r="E631" s="341">
        <v>149</v>
      </c>
      <c r="F631" s="342" t="s">
        <v>6337</v>
      </c>
      <c r="G631" s="352">
        <v>19.18</v>
      </c>
      <c r="H631" s="339">
        <f t="shared" si="247"/>
        <v>5.17</v>
      </c>
      <c r="I631" s="339">
        <f t="shared" si="248"/>
        <v>24.35</v>
      </c>
      <c r="J631" s="431">
        <f t="shared" si="249"/>
        <v>3628.15</v>
      </c>
      <c r="K631" s="510">
        <f t="shared" si="250"/>
        <v>2857.82</v>
      </c>
      <c r="L631" s="510">
        <f t="shared" si="251"/>
        <v>770.33</v>
      </c>
      <c r="M631" s="519"/>
      <c r="N631" s="519"/>
      <c r="O631" s="519"/>
      <c r="P631" s="519"/>
      <c r="Q631" s="519"/>
      <c r="R631" s="519"/>
      <c r="S631" s="519"/>
      <c r="T631" s="519"/>
      <c r="U631" s="519"/>
      <c r="V631" s="519"/>
      <c r="W631" s="519">
        <f t="shared" si="252"/>
        <v>725.63000000000011</v>
      </c>
      <c r="X631" s="519">
        <f t="shared" si="253"/>
        <v>1088.4449999999999</v>
      </c>
      <c r="Y631" s="519">
        <f t="shared" si="254"/>
        <v>1814.075</v>
      </c>
      <c r="Z631" s="519"/>
    </row>
    <row r="632" spans="1:26" s="512" customFormat="1" ht="30">
      <c r="A632" s="338" t="s">
        <v>8604</v>
      </c>
      <c r="B632" s="576" t="s">
        <v>6775</v>
      </c>
      <c r="C632" s="576">
        <v>14</v>
      </c>
      <c r="D632" s="336" t="s">
        <v>8605</v>
      </c>
      <c r="E632" s="341">
        <v>4</v>
      </c>
      <c r="F632" s="531" t="s">
        <v>9002</v>
      </c>
      <c r="G632" s="352">
        <v>66.12</v>
      </c>
      <c r="H632" s="339">
        <f t="shared" si="247"/>
        <v>17.809999999999999</v>
      </c>
      <c r="I632" s="339">
        <f t="shared" si="248"/>
        <v>83.93</v>
      </c>
      <c r="J632" s="431">
        <f t="shared" si="249"/>
        <v>335.72</v>
      </c>
      <c r="K632" s="510">
        <f t="shared" si="250"/>
        <v>264.48</v>
      </c>
      <c r="L632" s="510">
        <f t="shared" si="251"/>
        <v>71.239999999999995</v>
      </c>
      <c r="M632" s="519"/>
      <c r="N632" s="519"/>
      <c r="O632" s="519"/>
      <c r="P632" s="519"/>
      <c r="Q632" s="519"/>
      <c r="R632" s="519"/>
      <c r="S632" s="519"/>
      <c r="T632" s="519"/>
      <c r="U632" s="519"/>
      <c r="V632" s="519"/>
      <c r="W632" s="519">
        <f t="shared" si="252"/>
        <v>67.144000000000005</v>
      </c>
      <c r="X632" s="519">
        <f t="shared" si="253"/>
        <v>100.71600000000001</v>
      </c>
      <c r="Y632" s="519">
        <f t="shared" si="254"/>
        <v>167.86</v>
      </c>
      <c r="Z632" s="519"/>
    </row>
    <row r="633" spans="1:26" s="6" customFormat="1" ht="15">
      <c r="A633" s="700" t="s">
        <v>7417</v>
      </c>
      <c r="B633" s="700"/>
      <c r="C633" s="700"/>
      <c r="D633" s="700"/>
      <c r="E633" s="700"/>
      <c r="F633" s="700"/>
      <c r="G633" s="700"/>
      <c r="H633" s="700"/>
      <c r="I633" s="700"/>
      <c r="J633" s="432">
        <f>SUM(J596:J632)</f>
        <v>91418.15999999996</v>
      </c>
      <c r="K633" s="513"/>
      <c r="L633" s="117"/>
      <c r="M633" s="514">
        <f>SUM(M596:M632)</f>
        <v>0</v>
      </c>
      <c r="N633" s="514">
        <f t="shared" ref="N633:Z633" si="255">SUM(N596:N632)</f>
        <v>0</v>
      </c>
      <c r="O633" s="514">
        <f t="shared" si="255"/>
        <v>0</v>
      </c>
      <c r="P633" s="514">
        <f t="shared" si="255"/>
        <v>0</v>
      </c>
      <c r="Q633" s="514">
        <f t="shared" si="255"/>
        <v>0</v>
      </c>
      <c r="R633" s="514">
        <f t="shared" si="255"/>
        <v>0</v>
      </c>
      <c r="S633" s="514">
        <f t="shared" si="255"/>
        <v>0</v>
      </c>
      <c r="T633" s="514">
        <f t="shared" si="255"/>
        <v>0</v>
      </c>
      <c r="U633" s="514">
        <f t="shared" si="255"/>
        <v>0</v>
      </c>
      <c r="V633" s="514">
        <f t="shared" si="255"/>
        <v>0</v>
      </c>
      <c r="W633" s="514">
        <f t="shared" si="255"/>
        <v>18283.631999999998</v>
      </c>
      <c r="X633" s="514">
        <f t="shared" si="255"/>
        <v>27425.448000000004</v>
      </c>
      <c r="Y633" s="514">
        <f t="shared" si="255"/>
        <v>45709.07999999998</v>
      </c>
      <c r="Z633" s="514">
        <f t="shared" si="255"/>
        <v>0</v>
      </c>
    </row>
    <row r="634" spans="1:26" s="6" customFormat="1" ht="15">
      <c r="A634" s="29"/>
      <c r="B634" s="29"/>
      <c r="C634" s="29"/>
      <c r="D634" s="29"/>
      <c r="E634" s="189"/>
      <c r="F634" s="29"/>
      <c r="G634" s="353"/>
      <c r="H634" s="28"/>
      <c r="I634" s="28"/>
      <c r="J634" s="433"/>
      <c r="K634" s="155"/>
      <c r="L634" s="117"/>
      <c r="M634" s="358"/>
      <c r="N634" s="358"/>
      <c r="O634" s="358"/>
      <c r="P634" s="358"/>
      <c r="Q634" s="358"/>
      <c r="R634" s="358"/>
      <c r="S634" s="358"/>
      <c r="T634" s="358"/>
      <c r="U634" s="358"/>
      <c r="V634" s="358"/>
      <c r="W634" s="358"/>
      <c r="X634" s="358"/>
      <c r="Y634" s="358"/>
      <c r="Z634" s="358"/>
    </row>
    <row r="635" spans="1:26" s="6" customFormat="1" ht="15">
      <c r="A635" s="197" t="s">
        <v>8580</v>
      </c>
      <c r="B635" s="699" t="s">
        <v>5947</v>
      </c>
      <c r="C635" s="699"/>
      <c r="D635" s="699"/>
      <c r="E635" s="699"/>
      <c r="F635" s="699"/>
      <c r="G635" s="699"/>
      <c r="H635" s="699"/>
      <c r="I635" s="699"/>
      <c r="J635" s="699"/>
      <c r="K635" s="509"/>
      <c r="L635" s="117"/>
      <c r="M635" s="358"/>
      <c r="N635" s="358"/>
      <c r="O635" s="358"/>
      <c r="P635" s="358"/>
      <c r="Q635" s="358"/>
      <c r="R635" s="358"/>
      <c r="S635" s="358"/>
      <c r="T635" s="358"/>
      <c r="U635" s="358"/>
      <c r="V635" s="358"/>
      <c r="W635" s="358"/>
      <c r="X635" s="358"/>
      <c r="Y635" s="358"/>
      <c r="Z635" s="358"/>
    </row>
    <row r="636" spans="1:26" s="6" customFormat="1" ht="15">
      <c r="A636" s="337" t="s">
        <v>8582</v>
      </c>
      <c r="B636" s="698" t="s">
        <v>8583</v>
      </c>
      <c r="C636" s="698"/>
      <c r="D636" s="698"/>
      <c r="E636" s="698"/>
      <c r="F636" s="698"/>
      <c r="G636" s="698"/>
      <c r="H636" s="698"/>
      <c r="I636" s="698"/>
      <c r="J636" s="698"/>
      <c r="K636" s="39"/>
      <c r="L636" s="117"/>
      <c r="M636" s="358"/>
      <c r="N636" s="358"/>
      <c r="O636" s="358"/>
      <c r="P636" s="358"/>
      <c r="Q636" s="358"/>
      <c r="R636" s="358"/>
      <c r="S636" s="358"/>
      <c r="T636" s="358"/>
      <c r="U636" s="358"/>
      <c r="V636" s="358"/>
      <c r="W636" s="358"/>
      <c r="X636" s="358"/>
      <c r="Y636" s="358"/>
      <c r="Z636" s="358"/>
    </row>
    <row r="637" spans="1:26" s="512" customFormat="1" ht="30">
      <c r="A637" s="338" t="s">
        <v>8613</v>
      </c>
      <c r="B637" s="576" t="s">
        <v>5256</v>
      </c>
      <c r="C637" s="576">
        <v>93358</v>
      </c>
      <c r="D637" s="336" t="s">
        <v>8854</v>
      </c>
      <c r="E637" s="341">
        <f>QuantPrédio!K716</f>
        <v>79.260000000000005</v>
      </c>
      <c r="F637" s="342" t="s">
        <v>6741</v>
      </c>
      <c r="G637" s="352">
        <v>46.01</v>
      </c>
      <c r="H637" s="339">
        <f>ROUND(G637*$B$13,2)</f>
        <v>12.39</v>
      </c>
      <c r="I637" s="339">
        <f>H637+G637</f>
        <v>58.4</v>
      </c>
      <c r="J637" s="431">
        <f>ROUND(I637*E637,2)</f>
        <v>4628.78</v>
      </c>
      <c r="K637" s="510">
        <f t="shared" ref="K637:K642" si="256">ROUND(G637*E637,2)</f>
        <v>3646.75</v>
      </c>
      <c r="L637" s="510">
        <f t="shared" ref="L637:L642" si="257">ROUND(H637*E637,2)</f>
        <v>982.03</v>
      </c>
      <c r="M637" s="519"/>
      <c r="N637" s="519"/>
      <c r="O637" s="519"/>
      <c r="P637" s="519"/>
      <c r="Q637" s="519"/>
      <c r="R637" s="519"/>
      <c r="S637" s="519"/>
      <c r="T637" s="519"/>
      <c r="U637" s="519"/>
      <c r="V637" s="519">
        <f>J637</f>
        <v>4628.78</v>
      </c>
      <c r="W637" s="519"/>
      <c r="X637" s="519"/>
      <c r="Y637" s="519"/>
      <c r="Z637" s="519"/>
    </row>
    <row r="638" spans="1:26" s="512" customFormat="1" ht="15">
      <c r="A638" s="338" t="s">
        <v>8615</v>
      </c>
      <c r="B638" s="576" t="s">
        <v>5256</v>
      </c>
      <c r="C638" s="576">
        <v>96995</v>
      </c>
      <c r="D638" s="336" t="s">
        <v>7350</v>
      </c>
      <c r="E638" s="341">
        <f>QuantPrédio!K725</f>
        <v>77.84</v>
      </c>
      <c r="F638" s="342" t="s">
        <v>6741</v>
      </c>
      <c r="G638" s="352">
        <v>27.9</v>
      </c>
      <c r="H638" s="339">
        <f>ROUND(G638*$B$13,2)</f>
        <v>7.51</v>
      </c>
      <c r="I638" s="339">
        <f>H638+G638</f>
        <v>35.409999999999997</v>
      </c>
      <c r="J638" s="431">
        <f>ROUND(I638*E638,2)</f>
        <v>2756.31</v>
      </c>
      <c r="K638" s="510">
        <f t="shared" si="256"/>
        <v>2171.7399999999998</v>
      </c>
      <c r="L638" s="510">
        <f t="shared" si="257"/>
        <v>584.58000000000004</v>
      </c>
      <c r="M638" s="519"/>
      <c r="N638" s="519"/>
      <c r="O638" s="519"/>
      <c r="P638" s="519"/>
      <c r="Q638" s="519"/>
      <c r="R638" s="519"/>
      <c r="S638" s="519"/>
      <c r="T638" s="519"/>
      <c r="U638" s="519"/>
      <c r="V638" s="519">
        <f>J638</f>
        <v>2756.31</v>
      </c>
      <c r="W638" s="519"/>
      <c r="X638" s="519"/>
      <c r="Y638" s="519"/>
      <c r="Z638" s="519"/>
    </row>
    <row r="639" spans="1:26" s="512" customFormat="1" ht="15">
      <c r="A639" s="337" t="s">
        <v>8584</v>
      </c>
      <c r="B639" s="698" t="s">
        <v>8585</v>
      </c>
      <c r="C639" s="698"/>
      <c r="D639" s="698"/>
      <c r="E639" s="698"/>
      <c r="F639" s="698"/>
      <c r="G639" s="698"/>
      <c r="H639" s="698"/>
      <c r="I639" s="698"/>
      <c r="J639" s="698"/>
      <c r="K639" s="510"/>
      <c r="L639" s="510"/>
      <c r="M639" s="519"/>
      <c r="N639" s="519"/>
      <c r="O639" s="519"/>
      <c r="P639" s="519"/>
      <c r="Q639" s="519"/>
      <c r="R639" s="519"/>
      <c r="S639" s="519"/>
      <c r="T639" s="519"/>
      <c r="U639" s="519"/>
      <c r="V639" s="519"/>
      <c r="W639" s="519"/>
      <c r="X639" s="519"/>
      <c r="Y639" s="519"/>
      <c r="Z639" s="519"/>
    </row>
    <row r="640" spans="1:26" s="512" customFormat="1" ht="45">
      <c r="A640" s="338" t="s">
        <v>8586</v>
      </c>
      <c r="B640" s="576" t="s">
        <v>5256</v>
      </c>
      <c r="C640" s="576" t="s">
        <v>2614</v>
      </c>
      <c r="D640" s="336" t="s">
        <v>8852</v>
      </c>
      <c r="E640" s="341">
        <v>11</v>
      </c>
      <c r="F640" s="342" t="s">
        <v>6337</v>
      </c>
      <c r="G640" s="352">
        <v>140.57</v>
      </c>
      <c r="H640" s="339">
        <f>ROUND(G640*$B$13,2)</f>
        <v>37.86</v>
      </c>
      <c r="I640" s="339">
        <f>H640+G640</f>
        <v>178.43</v>
      </c>
      <c r="J640" s="431">
        <f>ROUND(I640*E640,2)</f>
        <v>1962.73</v>
      </c>
      <c r="K640" s="510">
        <f t="shared" si="256"/>
        <v>1546.27</v>
      </c>
      <c r="L640" s="510">
        <f t="shared" si="257"/>
        <v>416.46</v>
      </c>
      <c r="M640" s="519"/>
      <c r="N640" s="519"/>
      <c r="O640" s="519"/>
      <c r="P640" s="519"/>
      <c r="Q640" s="519"/>
      <c r="R640" s="519"/>
      <c r="S640" s="519"/>
      <c r="T640" s="519"/>
      <c r="U640" s="519"/>
      <c r="V640" s="519">
        <f>J640</f>
        <v>1962.73</v>
      </c>
      <c r="W640" s="519"/>
      <c r="X640" s="519"/>
      <c r="Y640" s="519"/>
      <c r="Z640" s="519"/>
    </row>
    <row r="641" spans="1:26" s="512" customFormat="1" ht="30">
      <c r="A641" s="338" t="s">
        <v>8587</v>
      </c>
      <c r="B641" s="576" t="s">
        <v>5256</v>
      </c>
      <c r="C641" s="576">
        <v>84798</v>
      </c>
      <c r="D641" s="336" t="s">
        <v>7413</v>
      </c>
      <c r="E641" s="341">
        <v>11</v>
      </c>
      <c r="F641" s="342" t="s">
        <v>6337</v>
      </c>
      <c r="G641" s="352">
        <v>174.26</v>
      </c>
      <c r="H641" s="339">
        <f>ROUND(G641*$B$13,2)</f>
        <v>46.93</v>
      </c>
      <c r="I641" s="339">
        <f>H641+G641</f>
        <v>221.19</v>
      </c>
      <c r="J641" s="431">
        <f>ROUND(I641*E641,2)</f>
        <v>2433.09</v>
      </c>
      <c r="K641" s="510">
        <f t="shared" si="256"/>
        <v>1916.86</v>
      </c>
      <c r="L641" s="510">
        <f t="shared" si="257"/>
        <v>516.23</v>
      </c>
      <c r="M641" s="519"/>
      <c r="N641" s="519"/>
      <c r="O641" s="519"/>
      <c r="P641" s="519"/>
      <c r="Q641" s="519"/>
      <c r="R641" s="519"/>
      <c r="S641" s="519"/>
      <c r="T641" s="519"/>
      <c r="U641" s="519"/>
      <c r="V641" s="519">
        <f>J641</f>
        <v>2433.09</v>
      </c>
      <c r="W641" s="519"/>
      <c r="X641" s="519"/>
      <c r="Y641" s="519"/>
      <c r="Z641" s="519"/>
    </row>
    <row r="642" spans="1:26" s="512" customFormat="1" ht="30">
      <c r="A642" s="338" t="s">
        <v>8614</v>
      </c>
      <c r="B642" s="576" t="s">
        <v>6333</v>
      </c>
      <c r="C642" s="576">
        <v>2815</v>
      </c>
      <c r="D642" s="336" t="s">
        <v>8856</v>
      </c>
      <c r="E642" s="341">
        <v>1</v>
      </c>
      <c r="F642" s="342" t="s">
        <v>6337</v>
      </c>
      <c r="G642" s="352">
        <v>154.98000000000002</v>
      </c>
      <c r="H642" s="339">
        <f>ROUND(G642*$B$13,2)</f>
        <v>41.74</v>
      </c>
      <c r="I642" s="339">
        <f>H642+G642</f>
        <v>196.72000000000003</v>
      </c>
      <c r="J642" s="431">
        <f>ROUND(I642*E642,2)</f>
        <v>196.72</v>
      </c>
      <c r="K642" s="510">
        <f t="shared" si="256"/>
        <v>154.97999999999999</v>
      </c>
      <c r="L642" s="510">
        <f t="shared" si="257"/>
        <v>41.74</v>
      </c>
      <c r="M642" s="519"/>
      <c r="N642" s="519"/>
      <c r="O642" s="519"/>
      <c r="P642" s="519"/>
      <c r="Q642" s="519"/>
      <c r="R642" s="519"/>
      <c r="S642" s="519"/>
      <c r="T642" s="519"/>
      <c r="U642" s="519"/>
      <c r="V642" s="519">
        <f>J642</f>
        <v>196.72</v>
      </c>
      <c r="W642" s="519"/>
      <c r="X642" s="519"/>
      <c r="Y642" s="519"/>
      <c r="Z642" s="519"/>
    </row>
    <row r="643" spans="1:26" s="6" customFormat="1" ht="15">
      <c r="A643" s="700" t="s">
        <v>8581</v>
      </c>
      <c r="B643" s="700"/>
      <c r="C643" s="700"/>
      <c r="D643" s="700"/>
      <c r="E643" s="700"/>
      <c r="F643" s="700"/>
      <c r="G643" s="700"/>
      <c r="H643" s="700"/>
      <c r="I643" s="700"/>
      <c r="J643" s="432">
        <f>SUM(J635:J642)</f>
        <v>11977.63</v>
      </c>
      <c r="K643" s="510"/>
      <c r="L643" s="510"/>
      <c r="M643" s="514">
        <f>SUM(M635:M642)</f>
        <v>0</v>
      </c>
      <c r="N643" s="514">
        <f t="shared" ref="N643:Z643" si="258">SUM(N635:N642)</f>
        <v>0</v>
      </c>
      <c r="O643" s="514">
        <f t="shared" si="258"/>
        <v>0</v>
      </c>
      <c r="P643" s="514">
        <f t="shared" si="258"/>
        <v>0</v>
      </c>
      <c r="Q643" s="514">
        <f t="shared" si="258"/>
        <v>0</v>
      </c>
      <c r="R643" s="514">
        <f t="shared" si="258"/>
        <v>0</v>
      </c>
      <c r="S643" s="514">
        <f t="shared" si="258"/>
        <v>0</v>
      </c>
      <c r="T643" s="514">
        <f t="shared" si="258"/>
        <v>0</v>
      </c>
      <c r="U643" s="514">
        <f t="shared" si="258"/>
        <v>0</v>
      </c>
      <c r="V643" s="514">
        <f t="shared" si="258"/>
        <v>11977.63</v>
      </c>
      <c r="W643" s="514">
        <f t="shared" si="258"/>
        <v>0</v>
      </c>
      <c r="X643" s="514">
        <f t="shared" si="258"/>
        <v>0</v>
      </c>
      <c r="Y643" s="514">
        <f t="shared" si="258"/>
        <v>0</v>
      </c>
      <c r="Z643" s="514">
        <f t="shared" si="258"/>
        <v>0</v>
      </c>
    </row>
    <row r="644" spans="1:26" s="6" customFormat="1" ht="15">
      <c r="A644" s="29"/>
      <c r="B644" s="29"/>
      <c r="C644" s="29"/>
      <c r="D644" s="29"/>
      <c r="E644" s="189"/>
      <c r="F644" s="29"/>
      <c r="G644" s="353"/>
      <c r="H644" s="28"/>
      <c r="I644" s="28"/>
      <c r="J644" s="433"/>
      <c r="K644" s="155"/>
      <c r="L644" s="117"/>
      <c r="M644" s="358"/>
      <c r="N644" s="358"/>
      <c r="O644" s="358"/>
      <c r="P644" s="358"/>
      <c r="Q644" s="358"/>
      <c r="R644" s="358"/>
      <c r="S644" s="358"/>
      <c r="T644" s="358"/>
      <c r="U644" s="358"/>
      <c r="V644" s="358"/>
      <c r="W644" s="358"/>
      <c r="X644" s="358"/>
      <c r="Y644" s="358"/>
      <c r="Z644" s="358"/>
    </row>
    <row r="645" spans="1:26" ht="15">
      <c r="A645" s="701" t="s">
        <v>7434</v>
      </c>
      <c r="B645" s="701"/>
      <c r="C645" s="701"/>
      <c r="D645" s="701"/>
      <c r="E645" s="701"/>
      <c r="F645" s="701"/>
      <c r="G645" s="701"/>
      <c r="H645" s="701"/>
      <c r="I645" s="701"/>
      <c r="J645" s="434">
        <f>J633+J594+J575+J561+J643</f>
        <v>1256001.4699999993</v>
      </c>
      <c r="K645" s="515"/>
      <c r="M645" s="516">
        <f>M633+M594+M575+M561+M643</f>
        <v>0</v>
      </c>
      <c r="N645" s="516">
        <f t="shared" ref="N645:Z645" si="259">N633+N594+N575+N561+N643</f>
        <v>0</v>
      </c>
      <c r="O645" s="516">
        <f t="shared" si="259"/>
        <v>0</v>
      </c>
      <c r="P645" s="516">
        <f t="shared" si="259"/>
        <v>0</v>
      </c>
      <c r="Q645" s="516">
        <f t="shared" si="259"/>
        <v>0</v>
      </c>
      <c r="R645" s="516">
        <f t="shared" si="259"/>
        <v>0</v>
      </c>
      <c r="S645" s="516">
        <f t="shared" si="259"/>
        <v>0</v>
      </c>
      <c r="T645" s="516">
        <f t="shared" si="259"/>
        <v>52501.610999999975</v>
      </c>
      <c r="U645" s="516">
        <f t="shared" si="259"/>
        <v>23027.404999999999</v>
      </c>
      <c r="V645" s="516">
        <f t="shared" si="259"/>
        <v>140008.25699999995</v>
      </c>
      <c r="W645" s="516">
        <f t="shared" si="259"/>
        <v>186639.02999999991</v>
      </c>
      <c r="X645" s="516">
        <f t="shared" si="259"/>
        <v>258727.7129999999</v>
      </c>
      <c r="Y645" s="516">
        <f t="shared" si="259"/>
        <v>385091.00999999983</v>
      </c>
      <c r="Z645" s="516">
        <f t="shared" si="259"/>
        <v>210006.4439999999</v>
      </c>
    </row>
    <row r="646" spans="1:26" s="6" customFormat="1" ht="15">
      <c r="A646" s="338"/>
      <c r="B646" s="576"/>
      <c r="C646" s="576"/>
      <c r="D646" s="336"/>
      <c r="E646" s="341"/>
      <c r="F646" s="342"/>
      <c r="G646" s="354"/>
      <c r="H646" s="11"/>
      <c r="I646" s="11"/>
      <c r="J646" s="435"/>
      <c r="K646" s="146"/>
      <c r="L646" s="117"/>
      <c r="M646" s="517">
        <f>M645/$J$645</f>
        <v>0</v>
      </c>
      <c r="N646" s="517">
        <f t="shared" ref="N646:Z646" si="260">N645/$J$645</f>
        <v>0</v>
      </c>
      <c r="O646" s="517">
        <f t="shared" si="260"/>
        <v>0</v>
      </c>
      <c r="P646" s="517">
        <f t="shared" si="260"/>
        <v>0</v>
      </c>
      <c r="Q646" s="517">
        <f t="shared" si="260"/>
        <v>0</v>
      </c>
      <c r="R646" s="517">
        <f t="shared" si="260"/>
        <v>0</v>
      </c>
      <c r="S646" s="517">
        <f t="shared" si="260"/>
        <v>0</v>
      </c>
      <c r="T646" s="517">
        <f t="shared" si="260"/>
        <v>4.1800596777963966E-2</v>
      </c>
      <c r="U646" s="517">
        <f t="shared" si="260"/>
        <v>1.8333899720674701E-2</v>
      </c>
      <c r="V646" s="517">
        <f t="shared" si="260"/>
        <v>0.1114714117333</v>
      </c>
      <c r="W646" s="517">
        <f t="shared" si="260"/>
        <v>0.14859777990546461</v>
      </c>
      <c r="X646" s="517">
        <f t="shared" si="260"/>
        <v>0.20599316097934189</v>
      </c>
      <c r="Y646" s="517">
        <f t="shared" si="260"/>
        <v>0.30660076377139911</v>
      </c>
      <c r="Z646" s="517">
        <f t="shared" si="260"/>
        <v>0.16720238711185587</v>
      </c>
    </row>
    <row r="647" spans="1:26" ht="15">
      <c r="A647" s="457" t="s">
        <v>9</v>
      </c>
      <c r="B647" s="696" t="s">
        <v>5810</v>
      </c>
      <c r="C647" s="697"/>
      <c r="D647" s="697"/>
      <c r="E647" s="697"/>
      <c r="F647" s="697"/>
      <c r="G647" s="697"/>
      <c r="H647" s="697"/>
      <c r="I647" s="697"/>
      <c r="J647" s="697"/>
      <c r="K647" s="505"/>
      <c r="L647" s="518"/>
      <c r="M647" s="506"/>
      <c r="N647" s="506"/>
      <c r="O647" s="506"/>
    </row>
    <row r="648" spans="1:26" s="6" customFormat="1" ht="15">
      <c r="A648" s="573" t="s">
        <v>0</v>
      </c>
      <c r="B648" s="692" t="s">
        <v>7880</v>
      </c>
      <c r="C648" s="693"/>
      <c r="D648" s="23" t="s">
        <v>1</v>
      </c>
      <c r="E648" s="193" t="s">
        <v>134</v>
      </c>
      <c r="F648" s="24" t="s">
        <v>11</v>
      </c>
      <c r="G648" s="351" t="s">
        <v>12</v>
      </c>
      <c r="H648" s="182" t="s">
        <v>6735</v>
      </c>
      <c r="I648" s="182" t="s">
        <v>6736</v>
      </c>
      <c r="J648" s="430" t="s">
        <v>133</v>
      </c>
      <c r="K648" s="508"/>
      <c r="L648" s="518"/>
      <c r="M648" s="506"/>
      <c r="N648" s="506"/>
      <c r="O648" s="506"/>
      <c r="P648" s="358"/>
      <c r="Q648" s="358"/>
      <c r="R648" s="358"/>
      <c r="S648" s="358"/>
      <c r="T648" s="358"/>
      <c r="U648" s="358"/>
      <c r="V648" s="358"/>
      <c r="W648" s="358"/>
      <c r="X648" s="358"/>
      <c r="Y648" s="358"/>
      <c r="Z648" s="358"/>
    </row>
    <row r="649" spans="1:26" s="6" customFormat="1" ht="15">
      <c r="A649" s="197" t="s">
        <v>5954</v>
      </c>
      <c r="B649" s="699" t="s">
        <v>5957</v>
      </c>
      <c r="C649" s="699"/>
      <c r="D649" s="699"/>
      <c r="E649" s="699"/>
      <c r="F649" s="699"/>
      <c r="G649" s="699"/>
      <c r="H649" s="699"/>
      <c r="I649" s="699"/>
      <c r="J649" s="699"/>
      <c r="K649" s="509"/>
      <c r="L649" s="117"/>
      <c r="M649" s="358"/>
      <c r="N649" s="358"/>
      <c r="O649" s="358"/>
      <c r="P649" s="358"/>
      <c r="Q649" s="358"/>
      <c r="R649" s="358"/>
      <c r="S649" s="358"/>
      <c r="T649" s="358"/>
      <c r="U649" s="358"/>
      <c r="V649" s="358"/>
      <c r="W649" s="358"/>
      <c r="X649" s="358"/>
      <c r="Y649" s="358"/>
      <c r="Z649" s="358"/>
    </row>
    <row r="650" spans="1:26" s="6" customFormat="1" ht="15">
      <c r="A650" s="337" t="s">
        <v>5955</v>
      </c>
      <c r="B650" s="698" t="s">
        <v>7435</v>
      </c>
      <c r="C650" s="698"/>
      <c r="D650" s="698"/>
      <c r="E650" s="698"/>
      <c r="F650" s="698"/>
      <c r="G650" s="698"/>
      <c r="H650" s="698"/>
      <c r="I650" s="698"/>
      <c r="J650" s="698"/>
      <c r="K650" s="39"/>
      <c r="L650" s="117"/>
      <c r="M650" s="358"/>
      <c r="N650" s="358"/>
      <c r="O650" s="358"/>
      <c r="P650" s="358"/>
      <c r="Q650" s="358"/>
      <c r="R650" s="358"/>
      <c r="S650" s="358"/>
      <c r="T650" s="358"/>
      <c r="U650" s="358"/>
      <c r="V650" s="358"/>
      <c r="W650" s="358"/>
      <c r="X650" s="358"/>
      <c r="Y650" s="358"/>
      <c r="Z650" s="358"/>
    </row>
    <row r="651" spans="1:26" s="512" customFormat="1" ht="75">
      <c r="A651" s="338" t="s">
        <v>5956</v>
      </c>
      <c r="B651" s="576" t="s">
        <v>6775</v>
      </c>
      <c r="C651" s="576">
        <v>15</v>
      </c>
      <c r="D651" s="336" t="s">
        <v>9008</v>
      </c>
      <c r="E651" s="341">
        <v>1</v>
      </c>
      <c r="F651" s="342" t="s">
        <v>6337</v>
      </c>
      <c r="G651" s="352">
        <v>51684.76</v>
      </c>
      <c r="H651" s="339">
        <f>ROUND(G651*$B$14,2)</f>
        <v>10817.62</v>
      </c>
      <c r="I651" s="339">
        <f>H651+G651</f>
        <v>62502.380000000005</v>
      </c>
      <c r="J651" s="431">
        <f>ROUND(I651*E651,2)</f>
        <v>62502.38</v>
      </c>
      <c r="K651" s="510">
        <f t="shared" ref="K651" si="261">ROUND(G651*E651,2)</f>
        <v>51684.76</v>
      </c>
      <c r="L651" s="510">
        <f t="shared" ref="L651" si="262">ROUND(H651*E651,2)</f>
        <v>10817.62</v>
      </c>
      <c r="M651" s="519"/>
      <c r="N651" s="519"/>
      <c r="O651" s="519"/>
      <c r="P651" s="519"/>
      <c r="Q651" s="519"/>
      <c r="R651" s="519"/>
      <c r="S651" s="519"/>
      <c r="T651" s="519"/>
      <c r="U651" s="519"/>
      <c r="V651" s="519"/>
      <c r="W651" s="519"/>
      <c r="X651" s="519"/>
      <c r="Y651" s="519">
        <f>0.5*J651</f>
        <v>31251.19</v>
      </c>
      <c r="Z651" s="519">
        <f>0.5*J651</f>
        <v>31251.19</v>
      </c>
    </row>
    <row r="652" spans="1:26" s="6" customFormat="1" ht="15">
      <c r="A652" s="700" t="s">
        <v>7436</v>
      </c>
      <c r="B652" s="700"/>
      <c r="C652" s="700"/>
      <c r="D652" s="700"/>
      <c r="E652" s="700"/>
      <c r="F652" s="700"/>
      <c r="G652" s="700"/>
      <c r="H652" s="700"/>
      <c r="I652" s="700"/>
      <c r="J652" s="432">
        <f>SUM(J651:J651)</f>
        <v>62502.38</v>
      </c>
      <c r="K652" s="513"/>
      <c r="L652" s="117"/>
      <c r="M652" s="514">
        <f>SUM(M651:M651)</f>
        <v>0</v>
      </c>
      <c r="N652" s="514">
        <f t="shared" ref="N652:Z652" si="263">SUM(N651:N651)</f>
        <v>0</v>
      </c>
      <c r="O652" s="514">
        <f t="shared" si="263"/>
        <v>0</v>
      </c>
      <c r="P652" s="514">
        <f t="shared" si="263"/>
        <v>0</v>
      </c>
      <c r="Q652" s="514">
        <f t="shared" si="263"/>
        <v>0</v>
      </c>
      <c r="R652" s="514">
        <f t="shared" si="263"/>
        <v>0</v>
      </c>
      <c r="S652" s="514">
        <f t="shared" si="263"/>
        <v>0</v>
      </c>
      <c r="T652" s="514">
        <f t="shared" si="263"/>
        <v>0</v>
      </c>
      <c r="U652" s="514">
        <f t="shared" si="263"/>
        <v>0</v>
      </c>
      <c r="V652" s="514">
        <f t="shared" si="263"/>
        <v>0</v>
      </c>
      <c r="W652" s="514">
        <f t="shared" si="263"/>
        <v>0</v>
      </c>
      <c r="X652" s="514">
        <f t="shared" si="263"/>
        <v>0</v>
      </c>
      <c r="Y652" s="514">
        <f t="shared" si="263"/>
        <v>31251.19</v>
      </c>
      <c r="Z652" s="514">
        <f t="shared" si="263"/>
        <v>31251.19</v>
      </c>
    </row>
    <row r="653" spans="1:26" s="6" customFormat="1" ht="15">
      <c r="A653" s="29"/>
      <c r="B653" s="29"/>
      <c r="C653" s="29"/>
      <c r="D653" s="29"/>
      <c r="E653" s="189"/>
      <c r="F653" s="29"/>
      <c r="G653" s="353"/>
      <c r="H653" s="28"/>
      <c r="I653" s="28"/>
      <c r="J653" s="433"/>
      <c r="K653" s="155"/>
      <c r="L653" s="117"/>
      <c r="M653" s="358"/>
      <c r="N653" s="358"/>
      <c r="O653" s="358"/>
      <c r="P653" s="358"/>
      <c r="Q653" s="358"/>
      <c r="R653" s="358"/>
      <c r="S653" s="358"/>
      <c r="T653" s="358"/>
      <c r="U653" s="358"/>
      <c r="V653" s="358"/>
      <c r="W653" s="358"/>
      <c r="X653" s="358"/>
      <c r="Y653" s="358"/>
      <c r="Z653" s="358"/>
    </row>
    <row r="654" spans="1:26" s="6" customFormat="1" ht="15">
      <c r="A654" s="197" t="s">
        <v>5797</v>
      </c>
      <c r="B654" s="331" t="s">
        <v>9302</v>
      </c>
      <c r="C654" s="574"/>
      <c r="D654" s="574"/>
      <c r="E654" s="574"/>
      <c r="F654" s="574"/>
      <c r="G654" s="355"/>
      <c r="H654" s="574"/>
      <c r="I654" s="574"/>
      <c r="J654" s="355"/>
      <c r="K654" s="509"/>
      <c r="L654" s="117"/>
      <c r="M654" s="358"/>
      <c r="N654" s="358"/>
      <c r="O654" s="358"/>
      <c r="P654" s="358"/>
      <c r="Q654" s="358"/>
      <c r="R654" s="358"/>
      <c r="S654" s="358"/>
      <c r="T654" s="358"/>
      <c r="U654" s="358"/>
      <c r="V654" s="358"/>
      <c r="W654" s="358"/>
      <c r="X654" s="358"/>
      <c r="Y654" s="358"/>
      <c r="Z654" s="358"/>
    </row>
    <row r="655" spans="1:26" s="512" customFormat="1" ht="75">
      <c r="A655" s="338" t="s">
        <v>9303</v>
      </c>
      <c r="B655" s="704" t="s">
        <v>9325</v>
      </c>
      <c r="C655" s="704"/>
      <c r="D655" s="336" t="s">
        <v>15556</v>
      </c>
      <c r="E655" s="341">
        <v>1</v>
      </c>
      <c r="F655" s="342" t="s">
        <v>15549</v>
      </c>
      <c r="G655" s="352">
        <v>387995.34756735305</v>
      </c>
      <c r="H655" s="339">
        <f>ROUND(G655*$B$14,2)</f>
        <v>81207.429999999993</v>
      </c>
      <c r="I655" s="339">
        <f>H655+G655</f>
        <v>469202.77756735304</v>
      </c>
      <c r="J655" s="431">
        <f>ROUND(I655*E655,2)</f>
        <v>469202.78</v>
      </c>
      <c r="K655" s="510">
        <f t="shared" ref="K655:K717" si="264">ROUND(G655*E655,2)</f>
        <v>387995.35</v>
      </c>
      <c r="L655" s="510">
        <f t="shared" ref="L655:L717" si="265">ROUND(H655*E655,2)</f>
        <v>81207.429999999993</v>
      </c>
      <c r="M655" s="519"/>
      <c r="N655" s="519"/>
      <c r="O655" s="519"/>
      <c r="P655" s="519"/>
      <c r="Q655" s="519"/>
      <c r="R655" s="519"/>
      <c r="S655" s="519"/>
      <c r="T655" s="519"/>
      <c r="U655" s="519">
        <f>0.1*J655</f>
        <v>46920.278000000006</v>
      </c>
      <c r="V655" s="519">
        <f>0.2*J655</f>
        <v>93840.556000000011</v>
      </c>
      <c r="W655" s="519">
        <f>0.3*J655</f>
        <v>140760.834</v>
      </c>
      <c r="X655" s="519">
        <f>0.3*J655</f>
        <v>140760.834</v>
      </c>
      <c r="Y655" s="519">
        <f>0.1*J655</f>
        <v>46920.278000000006</v>
      </c>
      <c r="Z655" s="519"/>
    </row>
    <row r="656" spans="1:26" s="512" customFormat="1" ht="30">
      <c r="A656" s="338" t="s">
        <v>9304</v>
      </c>
      <c r="B656" s="576" t="s">
        <v>6753</v>
      </c>
      <c r="C656" s="576" t="s">
        <v>9326</v>
      </c>
      <c r="D656" s="336" t="s">
        <v>9027</v>
      </c>
      <c r="E656" s="341">
        <v>6</v>
      </c>
      <c r="F656" s="342" t="s">
        <v>6337</v>
      </c>
      <c r="G656" s="352">
        <v>394.11</v>
      </c>
      <c r="H656" s="339">
        <f>ROUND(G656*$B$13,2)</f>
        <v>106.13</v>
      </c>
      <c r="I656" s="339">
        <f>H656+G656</f>
        <v>500.24</v>
      </c>
      <c r="J656" s="431">
        <f>ROUND(I656*E656,2)</f>
        <v>3001.44</v>
      </c>
      <c r="K656" s="510">
        <f t="shared" si="264"/>
        <v>2364.66</v>
      </c>
      <c r="L656" s="510">
        <f t="shared" si="265"/>
        <v>636.78</v>
      </c>
      <c r="M656" s="519"/>
      <c r="N656" s="519"/>
      <c r="O656" s="519"/>
      <c r="P656" s="519"/>
      <c r="Q656" s="519"/>
      <c r="R656" s="519"/>
      <c r="S656" s="519"/>
      <c r="T656" s="519"/>
      <c r="U656" s="519">
        <f t="shared" ref="U656:U658" si="266">0.1*J656</f>
        <v>300.14400000000001</v>
      </c>
      <c r="V656" s="519">
        <f t="shared" ref="V656:V658" si="267">0.2*J656</f>
        <v>600.28800000000001</v>
      </c>
      <c r="W656" s="519">
        <f t="shared" ref="W656:W658" si="268">0.3*J656</f>
        <v>900.43200000000002</v>
      </c>
      <c r="X656" s="519">
        <f t="shared" ref="X656:X658" si="269">0.3*J656</f>
        <v>900.43200000000002</v>
      </c>
      <c r="Y656" s="519">
        <f t="shared" ref="Y656:Y658" si="270">0.1*J656</f>
        <v>300.14400000000001</v>
      </c>
      <c r="Z656" s="519"/>
    </row>
    <row r="657" spans="1:26" s="512" customFormat="1" ht="30">
      <c r="A657" s="338" t="s">
        <v>9305</v>
      </c>
      <c r="B657" s="576" t="s">
        <v>6753</v>
      </c>
      <c r="C657" s="576" t="s">
        <v>9329</v>
      </c>
      <c r="D657" s="336" t="s">
        <v>9327</v>
      </c>
      <c r="E657" s="341">
        <v>13</v>
      </c>
      <c r="F657" s="342" t="s">
        <v>6337</v>
      </c>
      <c r="G657" s="352">
        <v>344.85</v>
      </c>
      <c r="H657" s="339">
        <f>ROUND(G657*$B$13,2)</f>
        <v>92.87</v>
      </c>
      <c r="I657" s="339">
        <f>H657+G657</f>
        <v>437.72</v>
      </c>
      <c r="J657" s="431">
        <f>ROUND(I657*E657,2)</f>
        <v>5690.36</v>
      </c>
      <c r="K657" s="510">
        <f t="shared" si="264"/>
        <v>4483.05</v>
      </c>
      <c r="L657" s="510">
        <f t="shared" si="265"/>
        <v>1207.31</v>
      </c>
      <c r="M657" s="519"/>
      <c r="N657" s="519"/>
      <c r="O657" s="519"/>
      <c r="P657" s="519"/>
      <c r="Q657" s="519"/>
      <c r="R657" s="519"/>
      <c r="S657" s="519"/>
      <c r="T657" s="519"/>
      <c r="U657" s="519">
        <f t="shared" si="266"/>
        <v>569.03599999999994</v>
      </c>
      <c r="V657" s="519">
        <f t="shared" si="267"/>
        <v>1138.0719999999999</v>
      </c>
      <c r="W657" s="519">
        <f t="shared" si="268"/>
        <v>1707.1079999999999</v>
      </c>
      <c r="X657" s="519">
        <f t="shared" si="269"/>
        <v>1707.1079999999999</v>
      </c>
      <c r="Y657" s="519">
        <f t="shared" si="270"/>
        <v>569.03599999999994</v>
      </c>
      <c r="Z657" s="519"/>
    </row>
    <row r="658" spans="1:26" s="512" customFormat="1" ht="30">
      <c r="A658" s="338" t="s">
        <v>9306</v>
      </c>
      <c r="B658" s="576" t="s">
        <v>6753</v>
      </c>
      <c r="C658" s="576" t="s">
        <v>9330</v>
      </c>
      <c r="D658" s="336" t="s">
        <v>9328</v>
      </c>
      <c r="E658" s="341">
        <v>40</v>
      </c>
      <c r="F658" s="342" t="s">
        <v>6337</v>
      </c>
      <c r="G658" s="352">
        <v>344.85</v>
      </c>
      <c r="H658" s="339">
        <f>ROUND(G658*$B$13,2)</f>
        <v>92.87</v>
      </c>
      <c r="I658" s="339">
        <f>H658+G658</f>
        <v>437.72</v>
      </c>
      <c r="J658" s="431">
        <f>ROUND(I658*E658,2)</f>
        <v>17508.8</v>
      </c>
      <c r="K658" s="510">
        <f t="shared" si="264"/>
        <v>13794</v>
      </c>
      <c r="L658" s="510">
        <f t="shared" si="265"/>
        <v>3714.8</v>
      </c>
      <c r="M658" s="519"/>
      <c r="N658" s="519"/>
      <c r="O658" s="519"/>
      <c r="P658" s="519"/>
      <c r="Q658" s="519"/>
      <c r="R658" s="519"/>
      <c r="S658" s="519"/>
      <c r="T658" s="519"/>
      <c r="U658" s="519">
        <f t="shared" si="266"/>
        <v>1750.88</v>
      </c>
      <c r="V658" s="519">
        <f t="shared" si="267"/>
        <v>3501.76</v>
      </c>
      <c r="W658" s="519">
        <f t="shared" si="268"/>
        <v>5252.6399999999994</v>
      </c>
      <c r="X658" s="519">
        <f t="shared" si="269"/>
        <v>5252.6399999999994</v>
      </c>
      <c r="Y658" s="519">
        <f t="shared" si="270"/>
        <v>1750.88</v>
      </c>
      <c r="Z658" s="519"/>
    </row>
    <row r="659" spans="1:26" s="512" customFormat="1" ht="15">
      <c r="A659" s="337" t="s">
        <v>7980</v>
      </c>
      <c r="B659" s="698" t="s">
        <v>7993</v>
      </c>
      <c r="C659" s="698"/>
      <c r="D659" s="698"/>
      <c r="E659" s="698"/>
      <c r="F659" s="698"/>
      <c r="G659" s="698"/>
      <c r="H659" s="698"/>
      <c r="I659" s="698"/>
      <c r="J659" s="698"/>
      <c r="K659" s="510">
        <f t="shared" si="264"/>
        <v>0</v>
      </c>
      <c r="L659" s="510">
        <f t="shared" si="265"/>
        <v>0</v>
      </c>
      <c r="M659" s="519"/>
      <c r="N659" s="519"/>
      <c r="O659" s="519"/>
      <c r="P659" s="519"/>
      <c r="Q659" s="519"/>
      <c r="R659" s="519"/>
      <c r="S659" s="519"/>
      <c r="T659" s="519"/>
      <c r="U659" s="519"/>
      <c r="V659" s="519"/>
      <c r="W659" s="519"/>
      <c r="X659" s="519"/>
      <c r="Y659" s="519"/>
      <c r="Z659" s="519"/>
    </row>
    <row r="660" spans="1:26" s="512" customFormat="1" ht="30">
      <c r="A660" s="338" t="s">
        <v>7981</v>
      </c>
      <c r="B660" s="576" t="s">
        <v>6753</v>
      </c>
      <c r="C660" s="576" t="s">
        <v>8075</v>
      </c>
      <c r="D660" s="336" t="s">
        <v>9024</v>
      </c>
      <c r="E660" s="341">
        <v>1872</v>
      </c>
      <c r="F660" s="342" t="s">
        <v>6744</v>
      </c>
      <c r="G660" s="352">
        <v>21.54</v>
      </c>
      <c r="H660" s="339">
        <f t="shared" ref="H660:H674" si="271">ROUND(G660*$B$13,2)</f>
        <v>5.8</v>
      </c>
      <c r="I660" s="339">
        <f t="shared" ref="I660:I674" si="272">H660+G660</f>
        <v>27.34</v>
      </c>
      <c r="J660" s="431">
        <f t="shared" ref="J660:J674" si="273">ROUND(I660*E660,2)</f>
        <v>51180.480000000003</v>
      </c>
      <c r="K660" s="510">
        <f t="shared" si="264"/>
        <v>40322.879999999997</v>
      </c>
      <c r="L660" s="510">
        <f t="shared" si="265"/>
        <v>10857.6</v>
      </c>
      <c r="M660" s="519"/>
      <c r="N660" s="519"/>
      <c r="O660" s="519"/>
      <c r="P660" s="519"/>
      <c r="Q660" s="519"/>
      <c r="R660" s="519"/>
      <c r="S660" s="519"/>
      <c r="T660" s="519"/>
      <c r="U660" s="519">
        <f t="shared" ref="U660:U674" si="274">0.1*J660</f>
        <v>5118.0480000000007</v>
      </c>
      <c r="V660" s="519">
        <f t="shared" ref="V660:V674" si="275">0.2*J660</f>
        <v>10236.096000000001</v>
      </c>
      <c r="W660" s="519">
        <f t="shared" ref="W660:W674" si="276">0.3*J660</f>
        <v>15354.144</v>
      </c>
      <c r="X660" s="519">
        <f t="shared" ref="X660:X674" si="277">0.3*J660</f>
        <v>15354.144</v>
      </c>
      <c r="Y660" s="519">
        <f t="shared" ref="Y660:Y674" si="278">0.1*J660</f>
        <v>5118.0480000000007</v>
      </c>
      <c r="Z660" s="519"/>
    </row>
    <row r="661" spans="1:26" s="512" customFormat="1" ht="30">
      <c r="A661" s="338" t="s">
        <v>7982</v>
      </c>
      <c r="B661" s="576" t="s">
        <v>6753</v>
      </c>
      <c r="C661" s="576" t="s">
        <v>8076</v>
      </c>
      <c r="D661" s="336" t="s">
        <v>9025</v>
      </c>
      <c r="E661" s="341">
        <v>1310</v>
      </c>
      <c r="F661" s="342" t="s">
        <v>6744</v>
      </c>
      <c r="G661" s="352">
        <v>21.15</v>
      </c>
      <c r="H661" s="339">
        <f t="shared" si="271"/>
        <v>5.7</v>
      </c>
      <c r="I661" s="339">
        <f t="shared" si="272"/>
        <v>26.849999999999998</v>
      </c>
      <c r="J661" s="431">
        <f t="shared" si="273"/>
        <v>35173.5</v>
      </c>
      <c r="K661" s="510">
        <f t="shared" si="264"/>
        <v>27706.5</v>
      </c>
      <c r="L661" s="510">
        <f t="shared" si="265"/>
        <v>7467</v>
      </c>
      <c r="M661" s="519"/>
      <c r="N661" s="519"/>
      <c r="O661" s="519"/>
      <c r="P661" s="519"/>
      <c r="Q661" s="519"/>
      <c r="R661" s="519"/>
      <c r="S661" s="519"/>
      <c r="T661" s="519"/>
      <c r="U661" s="519">
        <f t="shared" si="274"/>
        <v>3517.3500000000004</v>
      </c>
      <c r="V661" s="519">
        <f t="shared" si="275"/>
        <v>7034.7000000000007</v>
      </c>
      <c r="W661" s="519">
        <f t="shared" si="276"/>
        <v>10552.05</v>
      </c>
      <c r="X661" s="519">
        <f t="shared" si="277"/>
        <v>10552.05</v>
      </c>
      <c r="Y661" s="519">
        <f t="shared" si="278"/>
        <v>3517.3500000000004</v>
      </c>
      <c r="Z661" s="519"/>
    </row>
    <row r="662" spans="1:26" s="512" customFormat="1" ht="30">
      <c r="A662" s="338" t="s">
        <v>7983</v>
      </c>
      <c r="B662" s="576" t="s">
        <v>6753</v>
      </c>
      <c r="C662" s="576" t="s">
        <v>8077</v>
      </c>
      <c r="D662" s="336" t="s">
        <v>9026</v>
      </c>
      <c r="E662" s="341">
        <v>768</v>
      </c>
      <c r="F662" s="342" t="s">
        <v>6744</v>
      </c>
      <c r="G662" s="352">
        <v>21.08</v>
      </c>
      <c r="H662" s="339">
        <f t="shared" si="271"/>
        <v>5.68</v>
      </c>
      <c r="I662" s="339">
        <f t="shared" si="272"/>
        <v>26.759999999999998</v>
      </c>
      <c r="J662" s="431">
        <f t="shared" si="273"/>
        <v>20551.68</v>
      </c>
      <c r="K662" s="510">
        <f t="shared" si="264"/>
        <v>16189.44</v>
      </c>
      <c r="L662" s="510">
        <f t="shared" si="265"/>
        <v>4362.24</v>
      </c>
      <c r="M662" s="519"/>
      <c r="N662" s="519"/>
      <c r="O662" s="519"/>
      <c r="P662" s="519"/>
      <c r="Q662" s="519"/>
      <c r="R662" s="519"/>
      <c r="S662" s="519"/>
      <c r="T662" s="519"/>
      <c r="U662" s="519">
        <f t="shared" si="274"/>
        <v>2055.1680000000001</v>
      </c>
      <c r="V662" s="519">
        <f t="shared" si="275"/>
        <v>4110.3360000000002</v>
      </c>
      <c r="W662" s="519">
        <f t="shared" si="276"/>
        <v>6165.5039999999999</v>
      </c>
      <c r="X662" s="519">
        <f t="shared" si="277"/>
        <v>6165.5039999999999</v>
      </c>
      <c r="Y662" s="519">
        <f t="shared" si="278"/>
        <v>2055.1680000000001</v>
      </c>
      <c r="Z662" s="519"/>
    </row>
    <row r="663" spans="1:26" s="512" customFormat="1" ht="30">
      <c r="A663" s="338" t="s">
        <v>7985</v>
      </c>
      <c r="B663" s="576" t="s">
        <v>6333</v>
      </c>
      <c r="C663" s="576" t="s">
        <v>8078</v>
      </c>
      <c r="D663" s="336" t="s">
        <v>7984</v>
      </c>
      <c r="E663" s="341">
        <v>330</v>
      </c>
      <c r="F663" s="342" t="s">
        <v>6339</v>
      </c>
      <c r="G663" s="352">
        <v>19.29</v>
      </c>
      <c r="H663" s="339">
        <f t="shared" si="271"/>
        <v>5.19</v>
      </c>
      <c r="I663" s="339">
        <f t="shared" si="272"/>
        <v>24.48</v>
      </c>
      <c r="J663" s="431">
        <f t="shared" si="273"/>
        <v>8078.4</v>
      </c>
      <c r="K663" s="510">
        <f t="shared" si="264"/>
        <v>6365.7</v>
      </c>
      <c r="L663" s="510">
        <f t="shared" si="265"/>
        <v>1712.7</v>
      </c>
      <c r="M663" s="519"/>
      <c r="N663" s="519"/>
      <c r="O663" s="519"/>
      <c r="P663" s="519"/>
      <c r="Q663" s="519"/>
      <c r="R663" s="519"/>
      <c r="S663" s="519"/>
      <c r="T663" s="519"/>
      <c r="U663" s="519">
        <f t="shared" si="274"/>
        <v>807.84</v>
      </c>
      <c r="V663" s="519">
        <f t="shared" si="275"/>
        <v>1615.68</v>
      </c>
      <c r="W663" s="519">
        <f t="shared" si="276"/>
        <v>2423.52</v>
      </c>
      <c r="X663" s="519">
        <f t="shared" si="277"/>
        <v>2423.52</v>
      </c>
      <c r="Y663" s="519">
        <f t="shared" si="278"/>
        <v>807.84</v>
      </c>
      <c r="Z663" s="519"/>
    </row>
    <row r="664" spans="1:26" s="512" customFormat="1" ht="30">
      <c r="A664" s="338" t="s">
        <v>8002</v>
      </c>
      <c r="B664" s="576" t="s">
        <v>8105</v>
      </c>
      <c r="C664" s="576" t="s">
        <v>8080</v>
      </c>
      <c r="D664" s="336" t="s">
        <v>7987</v>
      </c>
      <c r="E664" s="341">
        <v>2000</v>
      </c>
      <c r="F664" s="342" t="s">
        <v>6337</v>
      </c>
      <c r="G664" s="352">
        <v>0.28000000000000003</v>
      </c>
      <c r="H664" s="339">
        <f t="shared" si="271"/>
        <v>0.08</v>
      </c>
      <c r="I664" s="339">
        <f t="shared" si="272"/>
        <v>0.36000000000000004</v>
      </c>
      <c r="J664" s="431">
        <f t="shared" si="273"/>
        <v>720</v>
      </c>
      <c r="K664" s="510">
        <f t="shared" si="264"/>
        <v>560</v>
      </c>
      <c r="L664" s="510">
        <f t="shared" si="265"/>
        <v>160</v>
      </c>
      <c r="M664" s="519"/>
      <c r="N664" s="519"/>
      <c r="O664" s="519"/>
      <c r="P664" s="519"/>
      <c r="Q664" s="519"/>
      <c r="R664" s="519"/>
      <c r="S664" s="519"/>
      <c r="T664" s="519"/>
      <c r="U664" s="519">
        <f t="shared" si="274"/>
        <v>72</v>
      </c>
      <c r="V664" s="519">
        <f t="shared" si="275"/>
        <v>144</v>
      </c>
      <c r="W664" s="519">
        <f t="shared" si="276"/>
        <v>216</v>
      </c>
      <c r="X664" s="519">
        <f t="shared" si="277"/>
        <v>216</v>
      </c>
      <c r="Y664" s="519">
        <f t="shared" si="278"/>
        <v>72</v>
      </c>
      <c r="Z664" s="519"/>
    </row>
    <row r="665" spans="1:26" s="512" customFormat="1" ht="30">
      <c r="A665" s="338" t="s">
        <v>8003</v>
      </c>
      <c r="B665" s="576" t="s">
        <v>6775</v>
      </c>
      <c r="C665" s="576">
        <v>16</v>
      </c>
      <c r="D665" s="336" t="s">
        <v>8095</v>
      </c>
      <c r="E665" s="341">
        <v>4000</v>
      </c>
      <c r="F665" s="342" t="s">
        <v>6337</v>
      </c>
      <c r="G665" s="352">
        <v>0.37</v>
      </c>
      <c r="H665" s="339">
        <f t="shared" si="271"/>
        <v>0.1</v>
      </c>
      <c r="I665" s="339">
        <f t="shared" si="272"/>
        <v>0.47</v>
      </c>
      <c r="J665" s="431">
        <f t="shared" si="273"/>
        <v>1880</v>
      </c>
      <c r="K665" s="510">
        <f t="shared" si="264"/>
        <v>1480</v>
      </c>
      <c r="L665" s="510">
        <f t="shared" si="265"/>
        <v>400</v>
      </c>
      <c r="M665" s="519"/>
      <c r="N665" s="519"/>
      <c r="O665" s="519"/>
      <c r="P665" s="519"/>
      <c r="Q665" s="519"/>
      <c r="R665" s="519"/>
      <c r="S665" s="519"/>
      <c r="T665" s="519"/>
      <c r="U665" s="519">
        <f t="shared" si="274"/>
        <v>188</v>
      </c>
      <c r="V665" s="519">
        <f t="shared" si="275"/>
        <v>376</v>
      </c>
      <c r="W665" s="519">
        <f t="shared" si="276"/>
        <v>564</v>
      </c>
      <c r="X665" s="519">
        <f t="shared" si="277"/>
        <v>564</v>
      </c>
      <c r="Y665" s="519">
        <f t="shared" si="278"/>
        <v>188</v>
      </c>
      <c r="Z665" s="519"/>
    </row>
    <row r="666" spans="1:26" s="512" customFormat="1" ht="30">
      <c r="A666" s="338" t="s">
        <v>8004</v>
      </c>
      <c r="B666" s="576" t="s">
        <v>6775</v>
      </c>
      <c r="C666" s="576">
        <v>17</v>
      </c>
      <c r="D666" s="336" t="s">
        <v>8098</v>
      </c>
      <c r="E666" s="341">
        <v>70</v>
      </c>
      <c r="F666" s="342" t="s">
        <v>6337</v>
      </c>
      <c r="G666" s="352">
        <v>4.8600000000000003</v>
      </c>
      <c r="H666" s="339">
        <f t="shared" si="271"/>
        <v>1.31</v>
      </c>
      <c r="I666" s="339">
        <f t="shared" si="272"/>
        <v>6.17</v>
      </c>
      <c r="J666" s="431">
        <f t="shared" si="273"/>
        <v>431.9</v>
      </c>
      <c r="K666" s="510">
        <f t="shared" si="264"/>
        <v>340.2</v>
      </c>
      <c r="L666" s="510">
        <f t="shared" si="265"/>
        <v>91.7</v>
      </c>
      <c r="M666" s="519"/>
      <c r="N666" s="519"/>
      <c r="O666" s="519"/>
      <c r="P666" s="519"/>
      <c r="Q666" s="519"/>
      <c r="R666" s="519"/>
      <c r="S666" s="519"/>
      <c r="T666" s="519"/>
      <c r="U666" s="519">
        <f t="shared" si="274"/>
        <v>43.19</v>
      </c>
      <c r="V666" s="519">
        <f t="shared" si="275"/>
        <v>86.38</v>
      </c>
      <c r="W666" s="519">
        <f t="shared" si="276"/>
        <v>129.57</v>
      </c>
      <c r="X666" s="519">
        <f t="shared" si="277"/>
        <v>129.57</v>
      </c>
      <c r="Y666" s="519">
        <f t="shared" si="278"/>
        <v>43.19</v>
      </c>
      <c r="Z666" s="519"/>
    </row>
    <row r="667" spans="1:26" s="512" customFormat="1" ht="15">
      <c r="A667" s="338" t="s">
        <v>8005</v>
      </c>
      <c r="B667" s="576" t="s">
        <v>6333</v>
      </c>
      <c r="C667" s="576">
        <v>9306</v>
      </c>
      <c r="D667" s="336" t="s">
        <v>8100</v>
      </c>
      <c r="E667" s="341">
        <v>80</v>
      </c>
      <c r="F667" s="342" t="s">
        <v>6337</v>
      </c>
      <c r="G667" s="352">
        <v>10.08</v>
      </c>
      <c r="H667" s="339">
        <f t="shared" si="271"/>
        <v>2.71</v>
      </c>
      <c r="I667" s="339">
        <f t="shared" si="272"/>
        <v>12.79</v>
      </c>
      <c r="J667" s="431">
        <f t="shared" si="273"/>
        <v>1023.2</v>
      </c>
      <c r="K667" s="510">
        <f t="shared" si="264"/>
        <v>806.4</v>
      </c>
      <c r="L667" s="510">
        <f t="shared" si="265"/>
        <v>216.8</v>
      </c>
      <c r="M667" s="519"/>
      <c r="N667" s="519"/>
      <c r="O667" s="519"/>
      <c r="P667" s="519"/>
      <c r="Q667" s="519"/>
      <c r="R667" s="519"/>
      <c r="S667" s="519"/>
      <c r="T667" s="519"/>
      <c r="U667" s="519">
        <f t="shared" si="274"/>
        <v>102.32000000000001</v>
      </c>
      <c r="V667" s="519">
        <f t="shared" si="275"/>
        <v>204.64000000000001</v>
      </c>
      <c r="W667" s="519">
        <f t="shared" si="276"/>
        <v>306.95999999999998</v>
      </c>
      <c r="X667" s="519">
        <f t="shared" si="277"/>
        <v>306.95999999999998</v>
      </c>
      <c r="Y667" s="519">
        <f t="shared" si="278"/>
        <v>102.32000000000001</v>
      </c>
      <c r="Z667" s="519"/>
    </row>
    <row r="668" spans="1:26" s="512" customFormat="1" ht="30">
      <c r="A668" s="338" t="s">
        <v>8006</v>
      </c>
      <c r="B668" s="576" t="s">
        <v>6333</v>
      </c>
      <c r="C668" s="576">
        <v>9669</v>
      </c>
      <c r="D668" s="336" t="s">
        <v>8102</v>
      </c>
      <c r="E668" s="341">
        <v>20</v>
      </c>
      <c r="F668" s="342" t="s">
        <v>6337</v>
      </c>
      <c r="G668" s="352">
        <v>37.67</v>
      </c>
      <c r="H668" s="339">
        <f t="shared" si="271"/>
        <v>10.14</v>
      </c>
      <c r="I668" s="339">
        <f t="shared" si="272"/>
        <v>47.81</v>
      </c>
      <c r="J668" s="431">
        <f t="shared" si="273"/>
        <v>956.2</v>
      </c>
      <c r="K668" s="510">
        <f t="shared" si="264"/>
        <v>753.4</v>
      </c>
      <c r="L668" s="510">
        <f t="shared" si="265"/>
        <v>202.8</v>
      </c>
      <c r="M668" s="519"/>
      <c r="N668" s="519"/>
      <c r="O668" s="519"/>
      <c r="P668" s="519"/>
      <c r="Q668" s="519"/>
      <c r="R668" s="519"/>
      <c r="S668" s="519"/>
      <c r="T668" s="519"/>
      <c r="U668" s="519">
        <f t="shared" si="274"/>
        <v>95.62</v>
      </c>
      <c r="V668" s="519">
        <f t="shared" si="275"/>
        <v>191.24</v>
      </c>
      <c r="W668" s="519">
        <f t="shared" si="276"/>
        <v>286.86</v>
      </c>
      <c r="X668" s="519">
        <f t="shared" si="277"/>
        <v>286.86</v>
      </c>
      <c r="Y668" s="519">
        <f t="shared" si="278"/>
        <v>95.62</v>
      </c>
      <c r="Z668" s="519"/>
    </row>
    <row r="669" spans="1:26" s="512" customFormat="1" ht="30">
      <c r="A669" s="338" t="s">
        <v>8007</v>
      </c>
      <c r="B669" s="576" t="s">
        <v>6333</v>
      </c>
      <c r="C669" s="576" t="s">
        <v>8103</v>
      </c>
      <c r="D669" s="336" t="s">
        <v>15416</v>
      </c>
      <c r="E669" s="341">
        <v>40</v>
      </c>
      <c r="F669" s="342" t="s">
        <v>6337</v>
      </c>
      <c r="G669" s="352">
        <v>26.880000000000003</v>
      </c>
      <c r="H669" s="339">
        <f t="shared" si="271"/>
        <v>7.24</v>
      </c>
      <c r="I669" s="339">
        <f t="shared" si="272"/>
        <v>34.120000000000005</v>
      </c>
      <c r="J669" s="431">
        <f t="shared" si="273"/>
        <v>1364.8</v>
      </c>
      <c r="K669" s="510">
        <f t="shared" si="264"/>
        <v>1075.2</v>
      </c>
      <c r="L669" s="510">
        <f t="shared" si="265"/>
        <v>289.60000000000002</v>
      </c>
      <c r="M669" s="519"/>
      <c r="N669" s="519"/>
      <c r="O669" s="519"/>
      <c r="P669" s="519"/>
      <c r="Q669" s="519"/>
      <c r="R669" s="519"/>
      <c r="S669" s="519"/>
      <c r="T669" s="519"/>
      <c r="U669" s="519">
        <f t="shared" si="274"/>
        <v>136.47999999999999</v>
      </c>
      <c r="V669" s="519">
        <f t="shared" si="275"/>
        <v>272.95999999999998</v>
      </c>
      <c r="W669" s="519">
        <f t="shared" si="276"/>
        <v>409.44</v>
      </c>
      <c r="X669" s="519">
        <f t="shared" si="277"/>
        <v>409.44</v>
      </c>
      <c r="Y669" s="519">
        <f t="shared" si="278"/>
        <v>136.47999999999999</v>
      </c>
      <c r="Z669" s="519"/>
    </row>
    <row r="670" spans="1:26" s="512" customFormat="1" ht="15">
      <c r="A670" s="338" t="s">
        <v>8008</v>
      </c>
      <c r="B670" s="576" t="s">
        <v>6333</v>
      </c>
      <c r="C670" s="576" t="s">
        <v>15573</v>
      </c>
      <c r="D670" s="336" t="s">
        <v>7988</v>
      </c>
      <c r="E670" s="341">
        <v>70</v>
      </c>
      <c r="F670" s="342" t="s">
        <v>6337</v>
      </c>
      <c r="G670" s="352">
        <v>9.75</v>
      </c>
      <c r="H670" s="339">
        <f t="shared" si="271"/>
        <v>2.63</v>
      </c>
      <c r="I670" s="339">
        <f t="shared" si="272"/>
        <v>12.379999999999999</v>
      </c>
      <c r="J670" s="431">
        <f t="shared" si="273"/>
        <v>866.6</v>
      </c>
      <c r="K670" s="510">
        <f t="shared" si="264"/>
        <v>682.5</v>
      </c>
      <c r="L670" s="510">
        <f t="shared" si="265"/>
        <v>184.1</v>
      </c>
      <c r="M670" s="519"/>
      <c r="N670" s="519"/>
      <c r="O670" s="519"/>
      <c r="P670" s="519"/>
      <c r="Q670" s="519"/>
      <c r="R670" s="519"/>
      <c r="S670" s="519"/>
      <c r="T670" s="519"/>
      <c r="U670" s="519">
        <f t="shared" si="274"/>
        <v>86.660000000000011</v>
      </c>
      <c r="V670" s="519">
        <f t="shared" si="275"/>
        <v>173.32000000000002</v>
      </c>
      <c r="W670" s="519">
        <f t="shared" si="276"/>
        <v>259.98</v>
      </c>
      <c r="X670" s="519">
        <f t="shared" si="277"/>
        <v>259.98</v>
      </c>
      <c r="Y670" s="519">
        <f t="shared" si="278"/>
        <v>86.660000000000011</v>
      </c>
      <c r="Z670" s="519"/>
    </row>
    <row r="671" spans="1:26" s="512" customFormat="1" ht="30">
      <c r="A671" s="338" t="s">
        <v>8009</v>
      </c>
      <c r="B671" s="576" t="s">
        <v>6328</v>
      </c>
      <c r="C671" s="576">
        <v>39961</v>
      </c>
      <c r="D671" s="336" t="s">
        <v>8104</v>
      </c>
      <c r="E671" s="341">
        <f>51</f>
        <v>51</v>
      </c>
      <c r="F671" s="342" t="s">
        <v>6337</v>
      </c>
      <c r="G671" s="352">
        <v>9.02</v>
      </c>
      <c r="H671" s="339">
        <f t="shared" si="271"/>
        <v>2.4300000000000002</v>
      </c>
      <c r="I671" s="339">
        <f t="shared" si="272"/>
        <v>11.45</v>
      </c>
      <c r="J671" s="431">
        <f t="shared" si="273"/>
        <v>583.95000000000005</v>
      </c>
      <c r="K671" s="510">
        <f t="shared" si="264"/>
        <v>460.02</v>
      </c>
      <c r="L671" s="510">
        <f t="shared" si="265"/>
        <v>123.93</v>
      </c>
      <c r="M671" s="519"/>
      <c r="N671" s="519"/>
      <c r="O671" s="519"/>
      <c r="P671" s="519"/>
      <c r="Q671" s="519"/>
      <c r="R671" s="519"/>
      <c r="S671" s="519"/>
      <c r="T671" s="519"/>
      <c r="U671" s="519">
        <f t="shared" si="274"/>
        <v>58.39500000000001</v>
      </c>
      <c r="V671" s="519">
        <f t="shared" si="275"/>
        <v>116.79000000000002</v>
      </c>
      <c r="W671" s="519">
        <f t="shared" si="276"/>
        <v>175.185</v>
      </c>
      <c r="X671" s="519">
        <f t="shared" si="277"/>
        <v>175.185</v>
      </c>
      <c r="Y671" s="519">
        <f t="shared" si="278"/>
        <v>58.39500000000001</v>
      </c>
      <c r="Z671" s="519"/>
    </row>
    <row r="672" spans="1:26" s="512" customFormat="1" ht="30">
      <c r="A672" s="338" t="s">
        <v>8010</v>
      </c>
      <c r="B672" s="576" t="s">
        <v>8106</v>
      </c>
      <c r="C672" s="576">
        <v>5005</v>
      </c>
      <c r="D672" s="336" t="s">
        <v>7989</v>
      </c>
      <c r="E672" s="341">
        <v>800</v>
      </c>
      <c r="F672" s="342" t="s">
        <v>6337</v>
      </c>
      <c r="G672" s="352">
        <v>0.04</v>
      </c>
      <c r="H672" s="339">
        <f t="shared" si="271"/>
        <v>0.01</v>
      </c>
      <c r="I672" s="339">
        <f t="shared" si="272"/>
        <v>0.05</v>
      </c>
      <c r="J672" s="431">
        <f t="shared" si="273"/>
        <v>40</v>
      </c>
      <c r="K672" s="510">
        <f t="shared" si="264"/>
        <v>32</v>
      </c>
      <c r="L672" s="510">
        <f t="shared" si="265"/>
        <v>8</v>
      </c>
      <c r="M672" s="519"/>
      <c r="N672" s="519"/>
      <c r="O672" s="519"/>
      <c r="P672" s="519"/>
      <c r="Q672" s="519"/>
      <c r="R672" s="519"/>
      <c r="S672" s="519"/>
      <c r="T672" s="519"/>
      <c r="U672" s="519">
        <f t="shared" si="274"/>
        <v>4</v>
      </c>
      <c r="V672" s="519">
        <f t="shared" si="275"/>
        <v>8</v>
      </c>
      <c r="W672" s="519">
        <f t="shared" si="276"/>
        <v>12</v>
      </c>
      <c r="X672" s="519">
        <f t="shared" si="277"/>
        <v>12</v>
      </c>
      <c r="Y672" s="519">
        <f t="shared" si="278"/>
        <v>4</v>
      </c>
      <c r="Z672" s="519"/>
    </row>
    <row r="673" spans="1:26" s="512" customFormat="1" ht="30">
      <c r="A673" s="338" t="s">
        <v>8011</v>
      </c>
      <c r="B673" s="576" t="s">
        <v>6328</v>
      </c>
      <c r="C673" s="576">
        <v>39997</v>
      </c>
      <c r="D673" s="336" t="s">
        <v>7990</v>
      </c>
      <c r="E673" s="341">
        <v>800</v>
      </c>
      <c r="F673" s="342" t="s">
        <v>6337</v>
      </c>
      <c r="G673" s="352">
        <v>0.18</v>
      </c>
      <c r="H673" s="339">
        <f t="shared" si="271"/>
        <v>0.05</v>
      </c>
      <c r="I673" s="339">
        <f t="shared" si="272"/>
        <v>0.22999999999999998</v>
      </c>
      <c r="J673" s="431">
        <f t="shared" si="273"/>
        <v>184</v>
      </c>
      <c r="K673" s="510">
        <f t="shared" si="264"/>
        <v>144</v>
      </c>
      <c r="L673" s="510">
        <f t="shared" si="265"/>
        <v>40</v>
      </c>
      <c r="M673" s="519"/>
      <c r="N673" s="519"/>
      <c r="O673" s="519"/>
      <c r="P673" s="519"/>
      <c r="Q673" s="519"/>
      <c r="R673" s="519"/>
      <c r="S673" s="519"/>
      <c r="T673" s="519"/>
      <c r="U673" s="519">
        <f t="shared" si="274"/>
        <v>18.400000000000002</v>
      </c>
      <c r="V673" s="519">
        <f t="shared" si="275"/>
        <v>36.800000000000004</v>
      </c>
      <c r="W673" s="519">
        <f t="shared" si="276"/>
        <v>55.199999999999996</v>
      </c>
      <c r="X673" s="519">
        <f t="shared" si="277"/>
        <v>55.199999999999996</v>
      </c>
      <c r="Y673" s="519">
        <f t="shared" si="278"/>
        <v>18.400000000000002</v>
      </c>
      <c r="Z673" s="519"/>
    </row>
    <row r="674" spans="1:26" s="512" customFormat="1" ht="30">
      <c r="A674" s="338" t="s">
        <v>8012</v>
      </c>
      <c r="B674" s="576" t="s">
        <v>6328</v>
      </c>
      <c r="C674" s="576">
        <v>11976</v>
      </c>
      <c r="D674" s="336" t="s">
        <v>7991</v>
      </c>
      <c r="E674" s="341">
        <v>400</v>
      </c>
      <c r="F674" s="342" t="s">
        <v>6337</v>
      </c>
      <c r="G674" s="352">
        <v>0.7</v>
      </c>
      <c r="H674" s="339">
        <f t="shared" si="271"/>
        <v>0.19</v>
      </c>
      <c r="I674" s="339">
        <f t="shared" si="272"/>
        <v>0.8899999999999999</v>
      </c>
      <c r="J674" s="431">
        <f t="shared" si="273"/>
        <v>356</v>
      </c>
      <c r="K674" s="510">
        <f t="shared" si="264"/>
        <v>280</v>
      </c>
      <c r="L674" s="510">
        <f t="shared" si="265"/>
        <v>76</v>
      </c>
      <c r="M674" s="519"/>
      <c r="N674" s="519"/>
      <c r="O674" s="519"/>
      <c r="P674" s="519"/>
      <c r="Q674" s="519"/>
      <c r="R674" s="519"/>
      <c r="S674" s="519"/>
      <c r="T674" s="519"/>
      <c r="U674" s="519">
        <f t="shared" si="274"/>
        <v>35.6</v>
      </c>
      <c r="V674" s="519">
        <f t="shared" si="275"/>
        <v>71.2</v>
      </c>
      <c r="W674" s="519">
        <f t="shared" si="276"/>
        <v>106.8</v>
      </c>
      <c r="X674" s="519">
        <f t="shared" si="277"/>
        <v>106.8</v>
      </c>
      <c r="Y674" s="519">
        <f t="shared" si="278"/>
        <v>35.6</v>
      </c>
      <c r="Z674" s="519"/>
    </row>
    <row r="675" spans="1:26" s="512" customFormat="1" ht="15">
      <c r="A675" s="337" t="s">
        <v>8033</v>
      </c>
      <c r="B675" s="698" t="s">
        <v>8034</v>
      </c>
      <c r="C675" s="698"/>
      <c r="D675" s="698"/>
      <c r="E675" s="698"/>
      <c r="F675" s="698"/>
      <c r="G675" s="698"/>
      <c r="H675" s="698"/>
      <c r="I675" s="698"/>
      <c r="J675" s="698"/>
      <c r="K675" s="510"/>
      <c r="L675" s="510"/>
      <c r="M675" s="519"/>
      <c r="N675" s="519"/>
      <c r="O675" s="519"/>
      <c r="P675" s="519"/>
      <c r="Q675" s="519"/>
      <c r="R675" s="519"/>
      <c r="S675" s="519"/>
      <c r="T675" s="519"/>
      <c r="U675" s="519"/>
      <c r="V675" s="519"/>
      <c r="W675" s="519"/>
      <c r="X675" s="519"/>
      <c r="Y675" s="519"/>
      <c r="Z675" s="519"/>
    </row>
    <row r="676" spans="1:26" s="512" customFormat="1" ht="30">
      <c r="A676" s="338" t="s">
        <v>8040</v>
      </c>
      <c r="B676" s="576" t="s">
        <v>6775</v>
      </c>
      <c r="C676" s="576">
        <v>18</v>
      </c>
      <c r="D676" s="336" t="s">
        <v>8035</v>
      </c>
      <c r="E676" s="341">
        <v>5</v>
      </c>
      <c r="F676" s="342" t="s">
        <v>6337</v>
      </c>
      <c r="G676" s="352">
        <v>178.52999999999997</v>
      </c>
      <c r="H676" s="339">
        <f t="shared" ref="H676:H683" si="279">ROUND(G676*$B$13,2)</f>
        <v>48.08</v>
      </c>
      <c r="I676" s="339">
        <f t="shared" ref="I676:I683" si="280">H676+G676</f>
        <v>226.60999999999996</v>
      </c>
      <c r="J676" s="431">
        <f t="shared" ref="J676:J683" si="281">ROUND(I676*E676,2)</f>
        <v>1133.05</v>
      </c>
      <c r="K676" s="510">
        <f t="shared" si="264"/>
        <v>892.65</v>
      </c>
      <c r="L676" s="510">
        <f t="shared" si="265"/>
        <v>240.4</v>
      </c>
      <c r="M676" s="519"/>
      <c r="N676" s="519"/>
      <c r="O676" s="519"/>
      <c r="P676" s="519"/>
      <c r="Q676" s="519"/>
      <c r="R676" s="519"/>
      <c r="S676" s="519"/>
      <c r="T676" s="519"/>
      <c r="U676" s="519">
        <f t="shared" ref="U676:U683" si="282">0.1*J676</f>
        <v>113.30500000000001</v>
      </c>
      <c r="V676" s="519">
        <f t="shared" ref="V676:V683" si="283">0.2*J676</f>
        <v>226.61</v>
      </c>
      <c r="W676" s="519">
        <f t="shared" ref="W676:W683" si="284">0.3*J676</f>
        <v>339.91499999999996</v>
      </c>
      <c r="X676" s="519">
        <f t="shared" ref="X676:X683" si="285">0.3*J676</f>
        <v>339.91499999999996</v>
      </c>
      <c r="Y676" s="519">
        <f t="shared" ref="Y676:Y683" si="286">0.1*J676</f>
        <v>113.30500000000001</v>
      </c>
      <c r="Z676" s="519"/>
    </row>
    <row r="677" spans="1:26" s="512" customFormat="1" ht="30">
      <c r="A677" s="338" t="s">
        <v>8041</v>
      </c>
      <c r="B677" s="576" t="s">
        <v>6775</v>
      </c>
      <c r="C677" s="576">
        <v>19</v>
      </c>
      <c r="D677" s="336" t="s">
        <v>8036</v>
      </c>
      <c r="E677" s="341">
        <v>42</v>
      </c>
      <c r="F677" s="342" t="s">
        <v>6337</v>
      </c>
      <c r="G677" s="352">
        <v>66.88</v>
      </c>
      <c r="H677" s="339">
        <f t="shared" si="279"/>
        <v>18.010000000000002</v>
      </c>
      <c r="I677" s="339">
        <f t="shared" si="280"/>
        <v>84.89</v>
      </c>
      <c r="J677" s="431">
        <f t="shared" si="281"/>
        <v>3565.38</v>
      </c>
      <c r="K677" s="510">
        <f t="shared" si="264"/>
        <v>2808.96</v>
      </c>
      <c r="L677" s="510">
        <f t="shared" si="265"/>
        <v>756.42</v>
      </c>
      <c r="M677" s="519"/>
      <c r="N677" s="519"/>
      <c r="O677" s="519"/>
      <c r="P677" s="519"/>
      <c r="Q677" s="519"/>
      <c r="R677" s="519"/>
      <c r="S677" s="519"/>
      <c r="T677" s="519"/>
      <c r="U677" s="519">
        <f t="shared" si="282"/>
        <v>356.53800000000001</v>
      </c>
      <c r="V677" s="519">
        <f t="shared" si="283"/>
        <v>713.07600000000002</v>
      </c>
      <c r="W677" s="519">
        <f t="shared" si="284"/>
        <v>1069.614</v>
      </c>
      <c r="X677" s="519">
        <f t="shared" si="285"/>
        <v>1069.614</v>
      </c>
      <c r="Y677" s="519">
        <f t="shared" si="286"/>
        <v>356.53800000000001</v>
      </c>
      <c r="Z677" s="519"/>
    </row>
    <row r="678" spans="1:26" s="512" customFormat="1" ht="30">
      <c r="A678" s="338" t="s">
        <v>8042</v>
      </c>
      <c r="B678" s="576" t="s">
        <v>6775</v>
      </c>
      <c r="C678" s="576">
        <v>20</v>
      </c>
      <c r="D678" s="336" t="s">
        <v>8037</v>
      </c>
      <c r="E678" s="341">
        <v>11</v>
      </c>
      <c r="F678" s="342" t="s">
        <v>6337</v>
      </c>
      <c r="G678" s="352">
        <v>42.65</v>
      </c>
      <c r="H678" s="339">
        <f t="shared" si="279"/>
        <v>11.49</v>
      </c>
      <c r="I678" s="339">
        <f t="shared" si="280"/>
        <v>54.14</v>
      </c>
      <c r="J678" s="431">
        <f t="shared" si="281"/>
        <v>595.54</v>
      </c>
      <c r="K678" s="510">
        <f t="shared" si="264"/>
        <v>469.15</v>
      </c>
      <c r="L678" s="510">
        <f t="shared" si="265"/>
        <v>126.39</v>
      </c>
      <c r="M678" s="519"/>
      <c r="N678" s="519"/>
      <c r="O678" s="519"/>
      <c r="P678" s="519"/>
      <c r="Q678" s="519"/>
      <c r="R678" s="519"/>
      <c r="S678" s="519"/>
      <c r="T678" s="519"/>
      <c r="U678" s="519">
        <f t="shared" si="282"/>
        <v>59.554000000000002</v>
      </c>
      <c r="V678" s="519">
        <f t="shared" si="283"/>
        <v>119.108</v>
      </c>
      <c r="W678" s="519">
        <f t="shared" si="284"/>
        <v>178.66199999999998</v>
      </c>
      <c r="X678" s="519">
        <f t="shared" si="285"/>
        <v>178.66199999999998</v>
      </c>
      <c r="Y678" s="519">
        <f t="shared" si="286"/>
        <v>59.554000000000002</v>
      </c>
      <c r="Z678" s="519"/>
    </row>
    <row r="679" spans="1:26" s="512" customFormat="1" ht="30">
      <c r="A679" s="338" t="s">
        <v>8043</v>
      </c>
      <c r="B679" s="576" t="s">
        <v>6775</v>
      </c>
      <c r="C679" s="576">
        <v>21</v>
      </c>
      <c r="D679" s="336" t="s">
        <v>8038</v>
      </c>
      <c r="E679" s="341">
        <v>45</v>
      </c>
      <c r="F679" s="342" t="s">
        <v>6337</v>
      </c>
      <c r="G679" s="352">
        <v>40.020000000000003</v>
      </c>
      <c r="H679" s="339">
        <f t="shared" si="279"/>
        <v>10.78</v>
      </c>
      <c r="I679" s="339">
        <f t="shared" si="280"/>
        <v>50.800000000000004</v>
      </c>
      <c r="J679" s="431">
        <f t="shared" si="281"/>
        <v>2286</v>
      </c>
      <c r="K679" s="510">
        <f t="shared" si="264"/>
        <v>1800.9</v>
      </c>
      <c r="L679" s="510">
        <f t="shared" si="265"/>
        <v>485.1</v>
      </c>
      <c r="M679" s="519"/>
      <c r="N679" s="519"/>
      <c r="O679" s="519"/>
      <c r="P679" s="519"/>
      <c r="Q679" s="519"/>
      <c r="R679" s="519"/>
      <c r="S679" s="519"/>
      <c r="T679" s="519"/>
      <c r="U679" s="519">
        <f t="shared" si="282"/>
        <v>228.60000000000002</v>
      </c>
      <c r="V679" s="519">
        <f t="shared" si="283"/>
        <v>457.20000000000005</v>
      </c>
      <c r="W679" s="519">
        <f t="shared" si="284"/>
        <v>685.8</v>
      </c>
      <c r="X679" s="519">
        <f t="shared" si="285"/>
        <v>685.8</v>
      </c>
      <c r="Y679" s="519">
        <f t="shared" si="286"/>
        <v>228.60000000000002</v>
      </c>
      <c r="Z679" s="519"/>
    </row>
    <row r="680" spans="1:26" s="512" customFormat="1" ht="30">
      <c r="A680" s="338" t="s">
        <v>8044</v>
      </c>
      <c r="B680" s="576" t="s">
        <v>6775</v>
      </c>
      <c r="C680" s="576">
        <v>22</v>
      </c>
      <c r="D680" s="336" t="s">
        <v>8039</v>
      </c>
      <c r="E680" s="341">
        <v>13</v>
      </c>
      <c r="F680" s="342" t="s">
        <v>6337</v>
      </c>
      <c r="G680" s="352">
        <v>31.310000000000002</v>
      </c>
      <c r="H680" s="339">
        <f t="shared" si="279"/>
        <v>8.43</v>
      </c>
      <c r="I680" s="339">
        <f t="shared" si="280"/>
        <v>39.74</v>
      </c>
      <c r="J680" s="431">
        <f t="shared" si="281"/>
        <v>516.62</v>
      </c>
      <c r="K680" s="510">
        <f t="shared" si="264"/>
        <v>407.03</v>
      </c>
      <c r="L680" s="510">
        <f t="shared" si="265"/>
        <v>109.59</v>
      </c>
      <c r="M680" s="519"/>
      <c r="N680" s="519"/>
      <c r="O680" s="519"/>
      <c r="P680" s="519"/>
      <c r="Q680" s="519"/>
      <c r="R680" s="519"/>
      <c r="S680" s="519"/>
      <c r="T680" s="519"/>
      <c r="U680" s="519">
        <f t="shared" si="282"/>
        <v>51.662000000000006</v>
      </c>
      <c r="V680" s="519">
        <f t="shared" si="283"/>
        <v>103.32400000000001</v>
      </c>
      <c r="W680" s="519">
        <f t="shared" si="284"/>
        <v>154.98599999999999</v>
      </c>
      <c r="X680" s="519">
        <f t="shared" si="285"/>
        <v>154.98599999999999</v>
      </c>
      <c r="Y680" s="519">
        <f t="shared" si="286"/>
        <v>51.662000000000006</v>
      </c>
      <c r="Z680" s="519"/>
    </row>
    <row r="681" spans="1:26" s="512" customFormat="1" ht="45">
      <c r="A681" s="338" t="s">
        <v>8051</v>
      </c>
      <c r="B681" s="576" t="s">
        <v>6753</v>
      </c>
      <c r="C681" s="576" t="s">
        <v>9331</v>
      </c>
      <c r="D681" s="336" t="s">
        <v>8049</v>
      </c>
      <c r="E681" s="341">
        <v>1</v>
      </c>
      <c r="F681" s="342" t="s">
        <v>6337</v>
      </c>
      <c r="G681" s="352">
        <v>6172.54</v>
      </c>
      <c r="H681" s="339">
        <f t="shared" si="279"/>
        <v>1662.27</v>
      </c>
      <c r="I681" s="339">
        <f t="shared" si="280"/>
        <v>7834.8099999999995</v>
      </c>
      <c r="J681" s="431">
        <f t="shared" si="281"/>
        <v>7834.81</v>
      </c>
      <c r="K681" s="510">
        <f t="shared" si="264"/>
        <v>6172.54</v>
      </c>
      <c r="L681" s="510">
        <f t="shared" si="265"/>
        <v>1662.27</v>
      </c>
      <c r="M681" s="519"/>
      <c r="N681" s="519"/>
      <c r="O681" s="519"/>
      <c r="P681" s="519"/>
      <c r="Q681" s="519"/>
      <c r="R681" s="519"/>
      <c r="S681" s="519"/>
      <c r="T681" s="519"/>
      <c r="U681" s="519">
        <f t="shared" si="282"/>
        <v>783.48100000000011</v>
      </c>
      <c r="V681" s="519">
        <f t="shared" si="283"/>
        <v>1566.9620000000002</v>
      </c>
      <c r="W681" s="519">
        <f t="shared" si="284"/>
        <v>2350.4430000000002</v>
      </c>
      <c r="X681" s="519">
        <f t="shared" si="285"/>
        <v>2350.4430000000002</v>
      </c>
      <c r="Y681" s="519">
        <f t="shared" si="286"/>
        <v>783.48100000000011</v>
      </c>
      <c r="Z681" s="519"/>
    </row>
    <row r="682" spans="1:26" s="512" customFormat="1" ht="45">
      <c r="A682" s="338" t="s">
        <v>8052</v>
      </c>
      <c r="B682" s="576" t="s">
        <v>6753</v>
      </c>
      <c r="C682" s="576" t="s">
        <v>9332</v>
      </c>
      <c r="D682" s="336" t="s">
        <v>8050</v>
      </c>
      <c r="E682" s="341">
        <v>1</v>
      </c>
      <c r="F682" s="342" t="s">
        <v>6337</v>
      </c>
      <c r="G682" s="352">
        <v>4921.8500000000004</v>
      </c>
      <c r="H682" s="339">
        <f t="shared" si="279"/>
        <v>1325.45</v>
      </c>
      <c r="I682" s="339">
        <f t="shared" si="280"/>
        <v>6247.3</v>
      </c>
      <c r="J682" s="431">
        <f t="shared" si="281"/>
        <v>6247.3</v>
      </c>
      <c r="K682" s="510">
        <f t="shared" si="264"/>
        <v>4921.8500000000004</v>
      </c>
      <c r="L682" s="510">
        <f t="shared" si="265"/>
        <v>1325.45</v>
      </c>
      <c r="M682" s="519"/>
      <c r="N682" s="519"/>
      <c r="O682" s="519"/>
      <c r="P682" s="519"/>
      <c r="Q682" s="519"/>
      <c r="R682" s="519"/>
      <c r="S682" s="519"/>
      <c r="T682" s="519"/>
      <c r="U682" s="519">
        <f t="shared" si="282"/>
        <v>624.73</v>
      </c>
      <c r="V682" s="519">
        <f t="shared" si="283"/>
        <v>1249.46</v>
      </c>
      <c r="W682" s="519">
        <f t="shared" si="284"/>
        <v>1874.19</v>
      </c>
      <c r="X682" s="519">
        <f t="shared" si="285"/>
        <v>1874.19</v>
      </c>
      <c r="Y682" s="519">
        <f t="shared" si="286"/>
        <v>624.73</v>
      </c>
      <c r="Z682" s="519"/>
    </row>
    <row r="683" spans="1:26" s="512" customFormat="1" ht="30">
      <c r="A683" s="338" t="s">
        <v>8054</v>
      </c>
      <c r="B683" s="576" t="s">
        <v>6753</v>
      </c>
      <c r="C683" s="576" t="s">
        <v>9333</v>
      </c>
      <c r="D683" s="336" t="s">
        <v>8053</v>
      </c>
      <c r="E683" s="341">
        <v>1</v>
      </c>
      <c r="F683" s="342" t="s">
        <v>6337</v>
      </c>
      <c r="G683" s="352">
        <v>3290.9599999999996</v>
      </c>
      <c r="H683" s="339">
        <f t="shared" si="279"/>
        <v>886.26</v>
      </c>
      <c r="I683" s="339">
        <f t="shared" si="280"/>
        <v>4177.2199999999993</v>
      </c>
      <c r="J683" s="431">
        <f t="shared" si="281"/>
        <v>4177.22</v>
      </c>
      <c r="K683" s="510">
        <f t="shared" si="264"/>
        <v>3290.96</v>
      </c>
      <c r="L683" s="510">
        <f t="shared" si="265"/>
        <v>886.26</v>
      </c>
      <c r="M683" s="519"/>
      <c r="N683" s="519"/>
      <c r="O683" s="519"/>
      <c r="P683" s="519"/>
      <c r="Q683" s="519"/>
      <c r="R683" s="519"/>
      <c r="S683" s="519"/>
      <c r="T683" s="519"/>
      <c r="U683" s="519">
        <f t="shared" si="282"/>
        <v>417.72200000000004</v>
      </c>
      <c r="V683" s="519">
        <f t="shared" si="283"/>
        <v>835.44400000000007</v>
      </c>
      <c r="W683" s="519">
        <f t="shared" si="284"/>
        <v>1253.1659999999999</v>
      </c>
      <c r="X683" s="519">
        <f t="shared" si="285"/>
        <v>1253.1659999999999</v>
      </c>
      <c r="Y683" s="519">
        <f t="shared" si="286"/>
        <v>417.72200000000004</v>
      </c>
      <c r="Z683" s="519"/>
    </row>
    <row r="684" spans="1:26" s="512" customFormat="1" ht="15">
      <c r="A684" s="337" t="s">
        <v>7986</v>
      </c>
      <c r="B684" s="698" t="s">
        <v>7226</v>
      </c>
      <c r="C684" s="698"/>
      <c r="D684" s="698"/>
      <c r="E684" s="698"/>
      <c r="F684" s="698"/>
      <c r="G684" s="698"/>
      <c r="H684" s="698"/>
      <c r="I684" s="698"/>
      <c r="J684" s="698"/>
      <c r="K684" s="510"/>
      <c r="L684" s="510"/>
      <c r="M684" s="519"/>
      <c r="N684" s="519"/>
      <c r="O684" s="519"/>
      <c r="P684" s="519"/>
      <c r="Q684" s="519"/>
      <c r="R684" s="519"/>
      <c r="S684" s="519"/>
      <c r="T684" s="519"/>
      <c r="U684" s="519"/>
      <c r="V684" s="519"/>
      <c r="W684" s="519"/>
      <c r="X684" s="519"/>
      <c r="Y684" s="519"/>
      <c r="Z684" s="519"/>
    </row>
    <row r="685" spans="1:26" s="512" customFormat="1" ht="30">
      <c r="A685" s="338" t="s">
        <v>7995</v>
      </c>
      <c r="B685" s="576" t="s">
        <v>6753</v>
      </c>
      <c r="C685" s="576" t="s">
        <v>9066</v>
      </c>
      <c r="D685" s="336" t="s">
        <v>8055</v>
      </c>
      <c r="E685" s="341">
        <v>4</v>
      </c>
      <c r="F685" s="342" t="s">
        <v>6337</v>
      </c>
      <c r="G685" s="352">
        <v>128.68</v>
      </c>
      <c r="H685" s="339">
        <f t="shared" ref="H685:H694" si="287">ROUND(G685*$B$13,2)</f>
        <v>34.65</v>
      </c>
      <c r="I685" s="339">
        <f t="shared" ref="I685:I694" si="288">H685+G685</f>
        <v>163.33000000000001</v>
      </c>
      <c r="J685" s="431">
        <f t="shared" ref="J685:J694" si="289">ROUND(I685*E685,2)</f>
        <v>653.32000000000005</v>
      </c>
      <c r="K685" s="510">
        <f t="shared" si="264"/>
        <v>514.72</v>
      </c>
      <c r="L685" s="510">
        <f t="shared" si="265"/>
        <v>138.6</v>
      </c>
      <c r="M685" s="519"/>
      <c r="N685" s="519"/>
      <c r="O685" s="519"/>
      <c r="P685" s="519"/>
      <c r="Q685" s="519"/>
      <c r="R685" s="519"/>
      <c r="S685" s="519"/>
      <c r="T685" s="519"/>
      <c r="U685" s="519">
        <f t="shared" ref="U685:U694" si="290">0.1*J685</f>
        <v>65.332000000000008</v>
      </c>
      <c r="V685" s="519">
        <f t="shared" ref="V685:V694" si="291">0.2*J685</f>
        <v>130.66400000000002</v>
      </c>
      <c r="W685" s="519">
        <f t="shared" ref="W685:W694" si="292">0.3*J685</f>
        <v>195.99600000000001</v>
      </c>
      <c r="X685" s="519">
        <f t="shared" ref="X685:X694" si="293">0.3*J685</f>
        <v>195.99600000000001</v>
      </c>
      <c r="Y685" s="519">
        <f t="shared" ref="Y685:Y694" si="294">0.1*J685</f>
        <v>65.332000000000008</v>
      </c>
      <c r="Z685" s="519"/>
    </row>
    <row r="686" spans="1:26" s="512" customFormat="1" ht="30">
      <c r="A686" s="338" t="s">
        <v>8063</v>
      </c>
      <c r="B686" s="576" t="s">
        <v>6753</v>
      </c>
      <c r="C686" s="576" t="s">
        <v>9067</v>
      </c>
      <c r="D686" s="336" t="s">
        <v>8056</v>
      </c>
      <c r="E686" s="341">
        <v>6</v>
      </c>
      <c r="F686" s="342" t="s">
        <v>6337</v>
      </c>
      <c r="G686" s="352">
        <v>98.320000000000007</v>
      </c>
      <c r="H686" s="339">
        <f t="shared" si="287"/>
        <v>26.48</v>
      </c>
      <c r="I686" s="339">
        <f t="shared" si="288"/>
        <v>124.80000000000001</v>
      </c>
      <c r="J686" s="431">
        <f t="shared" si="289"/>
        <v>748.8</v>
      </c>
      <c r="K686" s="510">
        <f t="shared" si="264"/>
        <v>589.91999999999996</v>
      </c>
      <c r="L686" s="510">
        <f t="shared" si="265"/>
        <v>158.88</v>
      </c>
      <c r="M686" s="519"/>
      <c r="N686" s="519"/>
      <c r="O686" s="519"/>
      <c r="P686" s="519"/>
      <c r="Q686" s="519"/>
      <c r="R686" s="519"/>
      <c r="S686" s="519"/>
      <c r="T686" s="519"/>
      <c r="U686" s="519">
        <f t="shared" si="290"/>
        <v>74.88</v>
      </c>
      <c r="V686" s="519">
        <f t="shared" si="291"/>
        <v>149.76</v>
      </c>
      <c r="W686" s="519">
        <f t="shared" si="292"/>
        <v>224.64</v>
      </c>
      <c r="X686" s="519">
        <f t="shared" si="293"/>
        <v>224.64</v>
      </c>
      <c r="Y686" s="519">
        <f t="shared" si="294"/>
        <v>74.88</v>
      </c>
      <c r="Z686" s="519"/>
    </row>
    <row r="687" spans="1:26" s="512" customFormat="1" ht="30">
      <c r="A687" s="338" t="s">
        <v>8064</v>
      </c>
      <c r="B687" s="576" t="s">
        <v>6753</v>
      </c>
      <c r="C687" s="576" t="s">
        <v>9068</v>
      </c>
      <c r="D687" s="336" t="s">
        <v>8057</v>
      </c>
      <c r="E687" s="341">
        <v>4</v>
      </c>
      <c r="F687" s="342" t="s">
        <v>6337</v>
      </c>
      <c r="G687" s="352">
        <v>68.319999999999993</v>
      </c>
      <c r="H687" s="339">
        <f t="shared" si="287"/>
        <v>18.399999999999999</v>
      </c>
      <c r="I687" s="339">
        <f t="shared" si="288"/>
        <v>86.72</v>
      </c>
      <c r="J687" s="431">
        <f t="shared" si="289"/>
        <v>346.88</v>
      </c>
      <c r="K687" s="510">
        <f t="shared" si="264"/>
        <v>273.27999999999997</v>
      </c>
      <c r="L687" s="510">
        <f t="shared" si="265"/>
        <v>73.599999999999994</v>
      </c>
      <c r="M687" s="519"/>
      <c r="N687" s="519"/>
      <c r="O687" s="519"/>
      <c r="P687" s="519"/>
      <c r="Q687" s="519"/>
      <c r="R687" s="519"/>
      <c r="S687" s="519"/>
      <c r="T687" s="519"/>
      <c r="U687" s="519">
        <f t="shared" si="290"/>
        <v>34.688000000000002</v>
      </c>
      <c r="V687" s="519">
        <f t="shared" si="291"/>
        <v>69.376000000000005</v>
      </c>
      <c r="W687" s="519">
        <f t="shared" si="292"/>
        <v>104.06399999999999</v>
      </c>
      <c r="X687" s="519">
        <f t="shared" si="293"/>
        <v>104.06399999999999</v>
      </c>
      <c r="Y687" s="519">
        <f t="shared" si="294"/>
        <v>34.688000000000002</v>
      </c>
      <c r="Z687" s="519"/>
    </row>
    <row r="688" spans="1:26" s="512" customFormat="1" ht="30">
      <c r="A688" s="338" t="s">
        <v>8065</v>
      </c>
      <c r="B688" s="576" t="s">
        <v>6753</v>
      </c>
      <c r="C688" s="576" t="s">
        <v>9069</v>
      </c>
      <c r="D688" s="336" t="s">
        <v>8058</v>
      </c>
      <c r="E688" s="341">
        <v>22</v>
      </c>
      <c r="F688" s="342" t="s">
        <v>6337</v>
      </c>
      <c r="G688" s="352">
        <v>45.54</v>
      </c>
      <c r="H688" s="339">
        <f t="shared" si="287"/>
        <v>12.26</v>
      </c>
      <c r="I688" s="339">
        <f t="shared" si="288"/>
        <v>57.8</v>
      </c>
      <c r="J688" s="431">
        <f t="shared" si="289"/>
        <v>1271.5999999999999</v>
      </c>
      <c r="K688" s="510">
        <f t="shared" si="264"/>
        <v>1001.88</v>
      </c>
      <c r="L688" s="510">
        <f t="shared" si="265"/>
        <v>269.72000000000003</v>
      </c>
      <c r="M688" s="519"/>
      <c r="N688" s="519"/>
      <c r="O688" s="519"/>
      <c r="P688" s="519"/>
      <c r="Q688" s="519"/>
      <c r="R688" s="519"/>
      <c r="S688" s="519"/>
      <c r="T688" s="519"/>
      <c r="U688" s="519">
        <f t="shared" si="290"/>
        <v>127.16</v>
      </c>
      <c r="V688" s="519">
        <f t="shared" si="291"/>
        <v>254.32</v>
      </c>
      <c r="W688" s="519">
        <f t="shared" si="292"/>
        <v>381.47999999999996</v>
      </c>
      <c r="X688" s="519">
        <f t="shared" si="293"/>
        <v>381.47999999999996</v>
      </c>
      <c r="Y688" s="519">
        <f t="shared" si="294"/>
        <v>127.16</v>
      </c>
      <c r="Z688" s="519"/>
    </row>
    <row r="689" spans="1:26" s="512" customFormat="1" ht="30">
      <c r="A689" s="338" t="s">
        <v>8066</v>
      </c>
      <c r="B689" s="576" t="s">
        <v>6753</v>
      </c>
      <c r="C689" s="576" t="s">
        <v>9072</v>
      </c>
      <c r="D689" s="336" t="s">
        <v>9070</v>
      </c>
      <c r="E689" s="341">
        <v>5</v>
      </c>
      <c r="F689" s="342" t="s">
        <v>6337</v>
      </c>
      <c r="G689" s="352">
        <v>72.009999999999991</v>
      </c>
      <c r="H689" s="339">
        <f t="shared" si="287"/>
        <v>19.39</v>
      </c>
      <c r="I689" s="339">
        <f t="shared" si="288"/>
        <v>91.399999999999991</v>
      </c>
      <c r="J689" s="431">
        <f t="shared" si="289"/>
        <v>457</v>
      </c>
      <c r="K689" s="510">
        <f t="shared" si="264"/>
        <v>360.05</v>
      </c>
      <c r="L689" s="510">
        <f t="shared" si="265"/>
        <v>96.95</v>
      </c>
      <c r="M689" s="519"/>
      <c r="N689" s="519"/>
      <c r="O689" s="519"/>
      <c r="P689" s="519"/>
      <c r="Q689" s="519"/>
      <c r="R689" s="519"/>
      <c r="S689" s="519"/>
      <c r="T689" s="519"/>
      <c r="U689" s="519">
        <f t="shared" si="290"/>
        <v>45.7</v>
      </c>
      <c r="V689" s="519">
        <f t="shared" si="291"/>
        <v>91.4</v>
      </c>
      <c r="W689" s="519">
        <f t="shared" si="292"/>
        <v>137.1</v>
      </c>
      <c r="X689" s="519">
        <f t="shared" si="293"/>
        <v>137.1</v>
      </c>
      <c r="Y689" s="519">
        <f t="shared" si="294"/>
        <v>45.7</v>
      </c>
      <c r="Z689" s="519"/>
    </row>
    <row r="690" spans="1:26" s="512" customFormat="1" ht="30">
      <c r="A690" s="338" t="s">
        <v>8067</v>
      </c>
      <c r="B690" s="576" t="s">
        <v>6753</v>
      </c>
      <c r="C690" s="576" t="s">
        <v>9073</v>
      </c>
      <c r="D690" s="336" t="s">
        <v>9071</v>
      </c>
      <c r="E690" s="341">
        <v>2</v>
      </c>
      <c r="F690" s="342" t="s">
        <v>6337</v>
      </c>
      <c r="G690" s="352">
        <v>86.890000000000015</v>
      </c>
      <c r="H690" s="339">
        <f t="shared" si="287"/>
        <v>23.4</v>
      </c>
      <c r="I690" s="339">
        <f t="shared" si="288"/>
        <v>110.29000000000002</v>
      </c>
      <c r="J690" s="431">
        <f t="shared" si="289"/>
        <v>220.58</v>
      </c>
      <c r="K690" s="510">
        <f t="shared" si="264"/>
        <v>173.78</v>
      </c>
      <c r="L690" s="510">
        <f t="shared" si="265"/>
        <v>46.8</v>
      </c>
      <c r="M690" s="519"/>
      <c r="N690" s="519"/>
      <c r="O690" s="519"/>
      <c r="P690" s="519"/>
      <c r="Q690" s="519"/>
      <c r="R690" s="519"/>
      <c r="S690" s="519"/>
      <c r="T690" s="519"/>
      <c r="U690" s="519">
        <f t="shared" si="290"/>
        <v>22.058000000000003</v>
      </c>
      <c r="V690" s="519">
        <f t="shared" si="291"/>
        <v>44.116000000000007</v>
      </c>
      <c r="W690" s="519">
        <f t="shared" si="292"/>
        <v>66.174000000000007</v>
      </c>
      <c r="X690" s="519">
        <f t="shared" si="293"/>
        <v>66.174000000000007</v>
      </c>
      <c r="Y690" s="519">
        <f t="shared" si="294"/>
        <v>22.058000000000003</v>
      </c>
      <c r="Z690" s="519"/>
    </row>
    <row r="691" spans="1:26" s="512" customFormat="1" ht="30">
      <c r="A691" s="338" t="s">
        <v>8068</v>
      </c>
      <c r="B691" s="576" t="s">
        <v>6753</v>
      </c>
      <c r="C691" s="576" t="s">
        <v>9074</v>
      </c>
      <c r="D691" s="336" t="s">
        <v>8059</v>
      </c>
      <c r="E691" s="341">
        <v>5</v>
      </c>
      <c r="F691" s="342" t="s">
        <v>6337</v>
      </c>
      <c r="G691" s="352">
        <v>325.14999999999998</v>
      </c>
      <c r="H691" s="339">
        <f t="shared" si="287"/>
        <v>87.56</v>
      </c>
      <c r="I691" s="339">
        <f t="shared" si="288"/>
        <v>412.71</v>
      </c>
      <c r="J691" s="431">
        <f t="shared" si="289"/>
        <v>2063.5500000000002</v>
      </c>
      <c r="K691" s="510">
        <f t="shared" si="264"/>
        <v>1625.75</v>
      </c>
      <c r="L691" s="510">
        <f t="shared" si="265"/>
        <v>437.8</v>
      </c>
      <c r="M691" s="519"/>
      <c r="N691" s="519"/>
      <c r="O691" s="519"/>
      <c r="P691" s="519"/>
      <c r="Q691" s="519"/>
      <c r="R691" s="519"/>
      <c r="S691" s="519"/>
      <c r="T691" s="519"/>
      <c r="U691" s="519">
        <f t="shared" si="290"/>
        <v>206.35500000000002</v>
      </c>
      <c r="V691" s="519">
        <f t="shared" si="291"/>
        <v>412.71000000000004</v>
      </c>
      <c r="W691" s="519">
        <f t="shared" si="292"/>
        <v>619.06500000000005</v>
      </c>
      <c r="X691" s="519">
        <f t="shared" si="293"/>
        <v>619.06500000000005</v>
      </c>
      <c r="Y691" s="519">
        <f t="shared" si="294"/>
        <v>206.35500000000002</v>
      </c>
      <c r="Z691" s="519"/>
    </row>
    <row r="692" spans="1:26" s="512" customFormat="1" ht="30">
      <c r="A692" s="338" t="s">
        <v>8069</v>
      </c>
      <c r="B692" s="576" t="s">
        <v>6753</v>
      </c>
      <c r="C692" s="576" t="s">
        <v>9075</v>
      </c>
      <c r="D692" s="336" t="s">
        <v>8060</v>
      </c>
      <c r="E692" s="341">
        <v>14</v>
      </c>
      <c r="F692" s="342" t="s">
        <v>6337</v>
      </c>
      <c r="G692" s="352">
        <v>211.71</v>
      </c>
      <c r="H692" s="339">
        <f t="shared" si="287"/>
        <v>57.01</v>
      </c>
      <c r="I692" s="339">
        <f t="shared" si="288"/>
        <v>268.72000000000003</v>
      </c>
      <c r="J692" s="431">
        <f t="shared" si="289"/>
        <v>3762.08</v>
      </c>
      <c r="K692" s="510">
        <f t="shared" si="264"/>
        <v>2963.94</v>
      </c>
      <c r="L692" s="510">
        <f t="shared" si="265"/>
        <v>798.14</v>
      </c>
      <c r="M692" s="519"/>
      <c r="N692" s="519"/>
      <c r="O692" s="519"/>
      <c r="P692" s="519"/>
      <c r="Q692" s="519"/>
      <c r="R692" s="519"/>
      <c r="S692" s="519"/>
      <c r="T692" s="519"/>
      <c r="U692" s="519">
        <f t="shared" si="290"/>
        <v>376.20800000000003</v>
      </c>
      <c r="V692" s="519">
        <f t="shared" si="291"/>
        <v>752.41600000000005</v>
      </c>
      <c r="W692" s="519">
        <f t="shared" si="292"/>
        <v>1128.624</v>
      </c>
      <c r="X692" s="519">
        <f t="shared" si="293"/>
        <v>1128.624</v>
      </c>
      <c r="Y692" s="519">
        <f t="shared" si="294"/>
        <v>376.20800000000003</v>
      </c>
      <c r="Z692" s="519"/>
    </row>
    <row r="693" spans="1:26" s="512" customFormat="1" ht="30">
      <c r="A693" s="338" t="s">
        <v>8070</v>
      </c>
      <c r="B693" s="576" t="s">
        <v>6753</v>
      </c>
      <c r="C693" s="576" t="s">
        <v>9076</v>
      </c>
      <c r="D693" s="336" t="s">
        <v>8061</v>
      </c>
      <c r="E693" s="341">
        <v>9</v>
      </c>
      <c r="F693" s="342" t="s">
        <v>6337</v>
      </c>
      <c r="G693" s="352">
        <v>125.42</v>
      </c>
      <c r="H693" s="339">
        <f t="shared" si="287"/>
        <v>33.78</v>
      </c>
      <c r="I693" s="339">
        <f t="shared" si="288"/>
        <v>159.19999999999999</v>
      </c>
      <c r="J693" s="431">
        <f t="shared" si="289"/>
        <v>1432.8</v>
      </c>
      <c r="K693" s="510">
        <f t="shared" si="264"/>
        <v>1128.78</v>
      </c>
      <c r="L693" s="510">
        <f t="shared" si="265"/>
        <v>304.02</v>
      </c>
      <c r="M693" s="519"/>
      <c r="N693" s="519"/>
      <c r="O693" s="519"/>
      <c r="P693" s="519"/>
      <c r="Q693" s="519"/>
      <c r="R693" s="519"/>
      <c r="S693" s="519"/>
      <c r="T693" s="519"/>
      <c r="U693" s="519">
        <f t="shared" si="290"/>
        <v>143.28</v>
      </c>
      <c r="V693" s="519">
        <f t="shared" si="291"/>
        <v>286.56</v>
      </c>
      <c r="W693" s="519">
        <f t="shared" si="292"/>
        <v>429.84</v>
      </c>
      <c r="X693" s="519">
        <f t="shared" si="293"/>
        <v>429.84</v>
      </c>
      <c r="Y693" s="519">
        <f t="shared" si="294"/>
        <v>143.28</v>
      </c>
      <c r="Z693" s="519"/>
    </row>
    <row r="694" spans="1:26" s="512" customFormat="1" ht="30">
      <c r="A694" s="338" t="s">
        <v>8071</v>
      </c>
      <c r="B694" s="576" t="s">
        <v>6753</v>
      </c>
      <c r="C694" s="576" t="s">
        <v>9077</v>
      </c>
      <c r="D694" s="336" t="s">
        <v>8062</v>
      </c>
      <c r="E694" s="341">
        <v>15</v>
      </c>
      <c r="F694" s="342" t="s">
        <v>6337</v>
      </c>
      <c r="G694" s="352">
        <v>72.47</v>
      </c>
      <c r="H694" s="339">
        <f t="shared" si="287"/>
        <v>19.52</v>
      </c>
      <c r="I694" s="339">
        <f t="shared" si="288"/>
        <v>91.99</v>
      </c>
      <c r="J694" s="431">
        <f t="shared" si="289"/>
        <v>1379.85</v>
      </c>
      <c r="K694" s="510">
        <f t="shared" si="264"/>
        <v>1087.05</v>
      </c>
      <c r="L694" s="510">
        <f t="shared" si="265"/>
        <v>292.8</v>
      </c>
      <c r="M694" s="519"/>
      <c r="N694" s="519"/>
      <c r="O694" s="519"/>
      <c r="P694" s="519"/>
      <c r="Q694" s="519"/>
      <c r="R694" s="519"/>
      <c r="S694" s="519"/>
      <c r="T694" s="519"/>
      <c r="U694" s="519">
        <f t="shared" si="290"/>
        <v>137.98499999999999</v>
      </c>
      <c r="V694" s="519">
        <f t="shared" si="291"/>
        <v>275.96999999999997</v>
      </c>
      <c r="W694" s="519">
        <f t="shared" si="292"/>
        <v>413.95499999999998</v>
      </c>
      <c r="X694" s="519">
        <f t="shared" si="293"/>
        <v>413.95499999999998</v>
      </c>
      <c r="Y694" s="519">
        <f t="shared" si="294"/>
        <v>137.98499999999999</v>
      </c>
      <c r="Z694" s="519"/>
    </row>
    <row r="695" spans="1:26" s="512" customFormat="1" ht="15">
      <c r="A695" s="337" t="s">
        <v>7992</v>
      </c>
      <c r="B695" s="698" t="s">
        <v>7994</v>
      </c>
      <c r="C695" s="698"/>
      <c r="D695" s="698"/>
      <c r="E695" s="698"/>
      <c r="F695" s="698"/>
      <c r="G695" s="698"/>
      <c r="H695" s="698"/>
      <c r="I695" s="698"/>
      <c r="J695" s="698"/>
      <c r="K695" s="510"/>
      <c r="L695" s="510"/>
      <c r="M695" s="519"/>
      <c r="N695" s="519"/>
      <c r="O695" s="519"/>
      <c r="P695" s="519"/>
      <c r="Q695" s="519"/>
      <c r="R695" s="519"/>
      <c r="S695" s="519"/>
      <c r="T695" s="519"/>
      <c r="U695" s="519"/>
      <c r="V695" s="519"/>
      <c r="W695" s="519"/>
      <c r="X695" s="519"/>
      <c r="Y695" s="519"/>
      <c r="Z695" s="519"/>
    </row>
    <row r="696" spans="1:26" s="512" customFormat="1" ht="60">
      <c r="A696" s="338" t="s">
        <v>8013</v>
      </c>
      <c r="B696" s="576" t="s">
        <v>5256</v>
      </c>
      <c r="C696" s="576">
        <v>92284</v>
      </c>
      <c r="D696" s="336" t="s">
        <v>8112</v>
      </c>
      <c r="E696" s="341">
        <v>36</v>
      </c>
      <c r="F696" s="342" t="s">
        <v>6774</v>
      </c>
      <c r="G696" s="352">
        <v>143.76</v>
      </c>
      <c r="H696" s="339">
        <f t="shared" ref="H696:H715" si="295">ROUND(G696*$B$13,2)</f>
        <v>38.71</v>
      </c>
      <c r="I696" s="339">
        <f t="shared" ref="I696:I715" si="296">H696+G696</f>
        <v>182.47</v>
      </c>
      <c r="J696" s="431">
        <f t="shared" ref="J696:J715" si="297">ROUND(I696*E696,2)</f>
        <v>6568.92</v>
      </c>
      <c r="K696" s="510">
        <f t="shared" si="264"/>
        <v>5175.3599999999997</v>
      </c>
      <c r="L696" s="510">
        <f t="shared" si="265"/>
        <v>1393.56</v>
      </c>
      <c r="M696" s="519"/>
      <c r="N696" s="519"/>
      <c r="O696" s="519"/>
      <c r="P696" s="519"/>
      <c r="Q696" s="519"/>
      <c r="R696" s="519"/>
      <c r="S696" s="519"/>
      <c r="T696" s="519"/>
      <c r="U696" s="519">
        <f t="shared" ref="U696:U715" si="298">0.1*J696</f>
        <v>656.89200000000005</v>
      </c>
      <c r="V696" s="519">
        <f t="shared" ref="V696:V715" si="299">0.2*J696</f>
        <v>1313.7840000000001</v>
      </c>
      <c r="W696" s="519">
        <f t="shared" ref="W696:W715" si="300">0.3*J696</f>
        <v>1970.6759999999999</v>
      </c>
      <c r="X696" s="519">
        <f t="shared" ref="X696:X715" si="301">0.3*J696</f>
        <v>1970.6759999999999</v>
      </c>
      <c r="Y696" s="519">
        <f t="shared" ref="Y696:Y715" si="302">0.1*J696</f>
        <v>656.89200000000005</v>
      </c>
      <c r="Z696" s="519"/>
    </row>
    <row r="697" spans="1:26" s="512" customFormat="1" ht="60">
      <c r="A697" s="338" t="s">
        <v>8014</v>
      </c>
      <c r="B697" s="576" t="s">
        <v>5256</v>
      </c>
      <c r="C697" s="576">
        <v>92282</v>
      </c>
      <c r="D697" s="336" t="s">
        <v>8113</v>
      </c>
      <c r="E697" s="341">
        <v>54</v>
      </c>
      <c r="F697" s="342" t="s">
        <v>6774</v>
      </c>
      <c r="G697" s="352">
        <v>88.26</v>
      </c>
      <c r="H697" s="339">
        <f t="shared" si="295"/>
        <v>23.77</v>
      </c>
      <c r="I697" s="339">
        <f t="shared" si="296"/>
        <v>112.03</v>
      </c>
      <c r="J697" s="431">
        <f t="shared" si="297"/>
        <v>6049.62</v>
      </c>
      <c r="K697" s="510">
        <f t="shared" si="264"/>
        <v>4766.04</v>
      </c>
      <c r="L697" s="510">
        <f t="shared" si="265"/>
        <v>1283.58</v>
      </c>
      <c r="M697" s="519"/>
      <c r="N697" s="519"/>
      <c r="O697" s="519"/>
      <c r="P697" s="519"/>
      <c r="Q697" s="519"/>
      <c r="R697" s="519"/>
      <c r="S697" s="519"/>
      <c r="T697" s="519"/>
      <c r="U697" s="519">
        <f t="shared" si="298"/>
        <v>604.96199999999999</v>
      </c>
      <c r="V697" s="519">
        <f t="shared" si="299"/>
        <v>1209.924</v>
      </c>
      <c r="W697" s="519">
        <f t="shared" si="300"/>
        <v>1814.886</v>
      </c>
      <c r="X697" s="519">
        <f t="shared" si="301"/>
        <v>1814.886</v>
      </c>
      <c r="Y697" s="519">
        <f t="shared" si="302"/>
        <v>604.96199999999999</v>
      </c>
      <c r="Z697" s="519"/>
    </row>
    <row r="698" spans="1:26" s="512" customFormat="1" ht="60">
      <c r="A698" s="338" t="s">
        <v>8015</v>
      </c>
      <c r="B698" s="576" t="s">
        <v>5256</v>
      </c>
      <c r="C698" s="576">
        <v>92282</v>
      </c>
      <c r="D698" s="336" t="s">
        <v>8114</v>
      </c>
      <c r="E698" s="341">
        <v>60</v>
      </c>
      <c r="F698" s="342" t="s">
        <v>6774</v>
      </c>
      <c r="G698" s="352">
        <v>88.26</v>
      </c>
      <c r="H698" s="339">
        <f t="shared" si="295"/>
        <v>23.77</v>
      </c>
      <c r="I698" s="339">
        <f t="shared" si="296"/>
        <v>112.03</v>
      </c>
      <c r="J698" s="431">
        <f t="shared" si="297"/>
        <v>6721.8</v>
      </c>
      <c r="K698" s="510">
        <f t="shared" si="264"/>
        <v>5295.6</v>
      </c>
      <c r="L698" s="510">
        <f t="shared" si="265"/>
        <v>1426.2</v>
      </c>
      <c r="M698" s="519"/>
      <c r="N698" s="519"/>
      <c r="O698" s="519"/>
      <c r="P698" s="519"/>
      <c r="Q698" s="519"/>
      <c r="R698" s="519"/>
      <c r="S698" s="519"/>
      <c r="T698" s="519"/>
      <c r="U698" s="519">
        <f t="shared" si="298"/>
        <v>672.18000000000006</v>
      </c>
      <c r="V698" s="519">
        <f t="shared" si="299"/>
        <v>1344.3600000000001</v>
      </c>
      <c r="W698" s="519">
        <f t="shared" si="300"/>
        <v>2016.54</v>
      </c>
      <c r="X698" s="519">
        <f t="shared" si="301"/>
        <v>2016.54</v>
      </c>
      <c r="Y698" s="519">
        <f t="shared" si="302"/>
        <v>672.18000000000006</v>
      </c>
      <c r="Z698" s="519"/>
    </row>
    <row r="699" spans="1:26" s="512" customFormat="1" ht="45">
      <c r="A699" s="338" t="s">
        <v>8016</v>
      </c>
      <c r="B699" s="576" t="s">
        <v>5256</v>
      </c>
      <c r="C699" s="576">
        <v>92325</v>
      </c>
      <c r="D699" s="336" t="s">
        <v>8115</v>
      </c>
      <c r="E699" s="341">
        <v>60</v>
      </c>
      <c r="F699" s="342" t="s">
        <v>6774</v>
      </c>
      <c r="G699" s="352">
        <v>104.66</v>
      </c>
      <c r="H699" s="339">
        <f t="shared" si="295"/>
        <v>28.18</v>
      </c>
      <c r="I699" s="339">
        <f t="shared" si="296"/>
        <v>132.84</v>
      </c>
      <c r="J699" s="431">
        <f t="shared" si="297"/>
        <v>7970.4</v>
      </c>
      <c r="K699" s="510">
        <f t="shared" si="264"/>
        <v>6279.6</v>
      </c>
      <c r="L699" s="510">
        <f t="shared" si="265"/>
        <v>1690.8</v>
      </c>
      <c r="M699" s="519"/>
      <c r="N699" s="519"/>
      <c r="O699" s="519"/>
      <c r="P699" s="519"/>
      <c r="Q699" s="519"/>
      <c r="R699" s="519"/>
      <c r="S699" s="519"/>
      <c r="T699" s="519"/>
      <c r="U699" s="519">
        <f t="shared" si="298"/>
        <v>797.04</v>
      </c>
      <c r="V699" s="519">
        <f t="shared" si="299"/>
        <v>1594.08</v>
      </c>
      <c r="W699" s="519">
        <f t="shared" si="300"/>
        <v>2391.12</v>
      </c>
      <c r="X699" s="519">
        <f t="shared" si="301"/>
        <v>2391.12</v>
      </c>
      <c r="Y699" s="519">
        <f t="shared" si="302"/>
        <v>797.04</v>
      </c>
      <c r="Z699" s="519"/>
    </row>
    <row r="700" spans="1:26" s="512" customFormat="1" ht="45">
      <c r="A700" s="338" t="s">
        <v>8017</v>
      </c>
      <c r="B700" s="576" t="s">
        <v>5256</v>
      </c>
      <c r="C700" s="576">
        <v>92324</v>
      </c>
      <c r="D700" s="336" t="s">
        <v>8116</v>
      </c>
      <c r="E700" s="341">
        <v>78</v>
      </c>
      <c r="F700" s="342" t="s">
        <v>6774</v>
      </c>
      <c r="G700" s="352">
        <v>91.68</v>
      </c>
      <c r="H700" s="339">
        <f t="shared" si="295"/>
        <v>24.69</v>
      </c>
      <c r="I700" s="339">
        <f t="shared" si="296"/>
        <v>116.37</v>
      </c>
      <c r="J700" s="431">
        <f t="shared" si="297"/>
        <v>9076.86</v>
      </c>
      <c r="K700" s="510">
        <f t="shared" si="264"/>
        <v>7151.04</v>
      </c>
      <c r="L700" s="510">
        <f t="shared" si="265"/>
        <v>1925.82</v>
      </c>
      <c r="M700" s="519"/>
      <c r="N700" s="519"/>
      <c r="O700" s="519"/>
      <c r="P700" s="519"/>
      <c r="Q700" s="519"/>
      <c r="R700" s="519"/>
      <c r="S700" s="519"/>
      <c r="T700" s="519"/>
      <c r="U700" s="519">
        <f t="shared" si="298"/>
        <v>907.68600000000015</v>
      </c>
      <c r="V700" s="519">
        <f t="shared" si="299"/>
        <v>1815.3720000000003</v>
      </c>
      <c r="W700" s="519">
        <f t="shared" si="300"/>
        <v>2723.058</v>
      </c>
      <c r="X700" s="519">
        <f t="shared" si="301"/>
        <v>2723.058</v>
      </c>
      <c r="Y700" s="519">
        <f t="shared" si="302"/>
        <v>907.68600000000015</v>
      </c>
      <c r="Z700" s="519"/>
    </row>
    <row r="701" spans="1:26" s="512" customFormat="1" ht="45">
      <c r="A701" s="338" t="s">
        <v>8018</v>
      </c>
      <c r="B701" s="576" t="s">
        <v>5256</v>
      </c>
      <c r="C701" s="576">
        <v>92324</v>
      </c>
      <c r="D701" s="336" t="s">
        <v>8117</v>
      </c>
      <c r="E701" s="341">
        <v>108</v>
      </c>
      <c r="F701" s="342" t="s">
        <v>6774</v>
      </c>
      <c r="G701" s="352">
        <v>91.68</v>
      </c>
      <c r="H701" s="339">
        <f t="shared" si="295"/>
        <v>24.69</v>
      </c>
      <c r="I701" s="339">
        <f t="shared" si="296"/>
        <v>116.37</v>
      </c>
      <c r="J701" s="431">
        <f t="shared" si="297"/>
        <v>12567.96</v>
      </c>
      <c r="K701" s="510">
        <f t="shared" si="264"/>
        <v>9901.44</v>
      </c>
      <c r="L701" s="510">
        <f t="shared" si="265"/>
        <v>2666.52</v>
      </c>
      <c r="M701" s="519"/>
      <c r="N701" s="519"/>
      <c r="O701" s="519"/>
      <c r="P701" s="519"/>
      <c r="Q701" s="519"/>
      <c r="R701" s="519"/>
      <c r="S701" s="519"/>
      <c r="T701" s="519"/>
      <c r="U701" s="519">
        <f t="shared" si="298"/>
        <v>1256.796</v>
      </c>
      <c r="V701" s="519">
        <f t="shared" si="299"/>
        <v>2513.5920000000001</v>
      </c>
      <c r="W701" s="519">
        <f t="shared" si="300"/>
        <v>3770.3879999999995</v>
      </c>
      <c r="X701" s="519">
        <f t="shared" si="301"/>
        <v>3770.3879999999995</v>
      </c>
      <c r="Y701" s="519">
        <f t="shared" si="302"/>
        <v>1256.796</v>
      </c>
      <c r="Z701" s="519"/>
    </row>
    <row r="702" spans="1:26" s="512" customFormat="1" ht="60">
      <c r="A702" s="338" t="s">
        <v>8019</v>
      </c>
      <c r="B702" s="576" t="s">
        <v>5256</v>
      </c>
      <c r="C702" s="576">
        <v>97334</v>
      </c>
      <c r="D702" s="336" t="s">
        <v>8108</v>
      </c>
      <c r="E702" s="341">
        <v>195</v>
      </c>
      <c r="F702" s="342" t="s">
        <v>6774</v>
      </c>
      <c r="G702" s="352">
        <v>38.68</v>
      </c>
      <c r="H702" s="339">
        <f t="shared" si="295"/>
        <v>10.42</v>
      </c>
      <c r="I702" s="339">
        <f t="shared" si="296"/>
        <v>49.1</v>
      </c>
      <c r="J702" s="431">
        <f t="shared" si="297"/>
        <v>9574.5</v>
      </c>
      <c r="K702" s="510">
        <f t="shared" si="264"/>
        <v>7542.6</v>
      </c>
      <c r="L702" s="510">
        <f t="shared" si="265"/>
        <v>2031.9</v>
      </c>
      <c r="M702" s="519"/>
      <c r="N702" s="519"/>
      <c r="O702" s="519"/>
      <c r="P702" s="519"/>
      <c r="Q702" s="519"/>
      <c r="R702" s="519"/>
      <c r="S702" s="519"/>
      <c r="T702" s="519"/>
      <c r="U702" s="519">
        <f t="shared" si="298"/>
        <v>957.45</v>
      </c>
      <c r="V702" s="519">
        <f t="shared" si="299"/>
        <v>1914.9</v>
      </c>
      <c r="W702" s="519">
        <f t="shared" si="300"/>
        <v>2872.35</v>
      </c>
      <c r="X702" s="519">
        <f t="shared" si="301"/>
        <v>2872.35</v>
      </c>
      <c r="Y702" s="519">
        <f t="shared" si="302"/>
        <v>957.45</v>
      </c>
      <c r="Z702" s="519"/>
    </row>
    <row r="703" spans="1:26" s="512" customFormat="1" ht="60">
      <c r="A703" s="338" t="s">
        <v>8020</v>
      </c>
      <c r="B703" s="576" t="s">
        <v>5256</v>
      </c>
      <c r="C703" s="576">
        <v>97333</v>
      </c>
      <c r="D703" s="336" t="s">
        <v>8109</v>
      </c>
      <c r="E703" s="341">
        <v>135</v>
      </c>
      <c r="F703" s="342" t="s">
        <v>6774</v>
      </c>
      <c r="G703" s="352">
        <v>31.78</v>
      </c>
      <c r="H703" s="339">
        <f t="shared" si="295"/>
        <v>8.56</v>
      </c>
      <c r="I703" s="339">
        <f t="shared" si="296"/>
        <v>40.340000000000003</v>
      </c>
      <c r="J703" s="431">
        <f t="shared" si="297"/>
        <v>5445.9</v>
      </c>
      <c r="K703" s="510">
        <f t="shared" si="264"/>
        <v>4290.3</v>
      </c>
      <c r="L703" s="510">
        <f t="shared" si="265"/>
        <v>1155.5999999999999</v>
      </c>
      <c r="M703" s="519"/>
      <c r="N703" s="519"/>
      <c r="O703" s="519"/>
      <c r="P703" s="519"/>
      <c r="Q703" s="519"/>
      <c r="R703" s="519"/>
      <c r="S703" s="519"/>
      <c r="T703" s="519"/>
      <c r="U703" s="519">
        <f t="shared" si="298"/>
        <v>544.59</v>
      </c>
      <c r="V703" s="519">
        <f t="shared" si="299"/>
        <v>1089.18</v>
      </c>
      <c r="W703" s="519">
        <f t="shared" si="300"/>
        <v>1633.7699999999998</v>
      </c>
      <c r="X703" s="519">
        <f t="shared" si="301"/>
        <v>1633.7699999999998</v>
      </c>
      <c r="Y703" s="519">
        <f t="shared" si="302"/>
        <v>544.59</v>
      </c>
      <c r="Z703" s="519"/>
    </row>
    <row r="704" spans="1:26" s="512" customFormat="1" ht="60">
      <c r="A704" s="338" t="s">
        <v>8021</v>
      </c>
      <c r="B704" s="576" t="s">
        <v>5256</v>
      </c>
      <c r="C704" s="576">
        <v>97332</v>
      </c>
      <c r="D704" s="336" t="s">
        <v>8110</v>
      </c>
      <c r="E704" s="341">
        <v>240</v>
      </c>
      <c r="F704" s="342" t="s">
        <v>6774</v>
      </c>
      <c r="G704" s="352">
        <v>25.6</v>
      </c>
      <c r="H704" s="339">
        <f t="shared" si="295"/>
        <v>6.89</v>
      </c>
      <c r="I704" s="339">
        <f t="shared" si="296"/>
        <v>32.49</v>
      </c>
      <c r="J704" s="431">
        <f t="shared" si="297"/>
        <v>7797.6</v>
      </c>
      <c r="K704" s="510">
        <f t="shared" si="264"/>
        <v>6144</v>
      </c>
      <c r="L704" s="510">
        <f t="shared" si="265"/>
        <v>1653.6</v>
      </c>
      <c r="M704" s="519"/>
      <c r="N704" s="519"/>
      <c r="O704" s="519"/>
      <c r="P704" s="519"/>
      <c r="Q704" s="519"/>
      <c r="R704" s="519"/>
      <c r="S704" s="519"/>
      <c r="T704" s="519"/>
      <c r="U704" s="519">
        <f t="shared" si="298"/>
        <v>779.7600000000001</v>
      </c>
      <c r="V704" s="519">
        <f t="shared" si="299"/>
        <v>1559.5200000000002</v>
      </c>
      <c r="W704" s="519">
        <f t="shared" si="300"/>
        <v>2339.2800000000002</v>
      </c>
      <c r="X704" s="519">
        <f t="shared" si="301"/>
        <v>2339.2800000000002</v>
      </c>
      <c r="Y704" s="519">
        <f t="shared" si="302"/>
        <v>779.7600000000001</v>
      </c>
      <c r="Z704" s="519"/>
    </row>
    <row r="705" spans="1:26" s="512" customFormat="1" ht="60">
      <c r="A705" s="338" t="s">
        <v>8022</v>
      </c>
      <c r="B705" s="576" t="s">
        <v>5256</v>
      </c>
      <c r="C705" s="576">
        <v>97331</v>
      </c>
      <c r="D705" s="336" t="s">
        <v>8111</v>
      </c>
      <c r="E705" s="341">
        <v>75</v>
      </c>
      <c r="F705" s="342" t="s">
        <v>6774</v>
      </c>
      <c r="G705" s="352">
        <v>14.67</v>
      </c>
      <c r="H705" s="339">
        <f t="shared" si="295"/>
        <v>3.95</v>
      </c>
      <c r="I705" s="339">
        <f t="shared" si="296"/>
        <v>18.62</v>
      </c>
      <c r="J705" s="431">
        <f t="shared" si="297"/>
        <v>1396.5</v>
      </c>
      <c r="K705" s="510">
        <f t="shared" si="264"/>
        <v>1100.25</v>
      </c>
      <c r="L705" s="510">
        <f t="shared" si="265"/>
        <v>296.25</v>
      </c>
      <c r="M705" s="519"/>
      <c r="N705" s="519"/>
      <c r="O705" s="519"/>
      <c r="P705" s="519"/>
      <c r="Q705" s="519"/>
      <c r="R705" s="519"/>
      <c r="S705" s="519"/>
      <c r="T705" s="519"/>
      <c r="U705" s="519">
        <f t="shared" si="298"/>
        <v>139.65</v>
      </c>
      <c r="V705" s="519">
        <f t="shared" si="299"/>
        <v>279.3</v>
      </c>
      <c r="W705" s="519">
        <f t="shared" si="300"/>
        <v>418.95</v>
      </c>
      <c r="X705" s="519">
        <f t="shared" si="301"/>
        <v>418.95</v>
      </c>
      <c r="Y705" s="519">
        <f t="shared" si="302"/>
        <v>139.65</v>
      </c>
      <c r="Z705" s="519"/>
    </row>
    <row r="706" spans="1:26" s="512" customFormat="1" ht="15">
      <c r="A706" s="338" t="s">
        <v>8023</v>
      </c>
      <c r="B706" s="576" t="s">
        <v>5256</v>
      </c>
      <c r="C706" s="576">
        <v>92290</v>
      </c>
      <c r="D706" s="336" t="s">
        <v>7996</v>
      </c>
      <c r="E706" s="341">
        <v>40</v>
      </c>
      <c r="F706" s="342" t="s">
        <v>6337</v>
      </c>
      <c r="G706" s="352">
        <v>35.51</v>
      </c>
      <c r="H706" s="339">
        <f t="shared" si="295"/>
        <v>9.56</v>
      </c>
      <c r="I706" s="339">
        <f t="shared" si="296"/>
        <v>45.07</v>
      </c>
      <c r="J706" s="431">
        <f t="shared" si="297"/>
        <v>1802.8</v>
      </c>
      <c r="K706" s="510">
        <f t="shared" si="264"/>
        <v>1420.4</v>
      </c>
      <c r="L706" s="510">
        <f t="shared" si="265"/>
        <v>382.4</v>
      </c>
      <c r="M706" s="519"/>
      <c r="N706" s="519"/>
      <c r="O706" s="519"/>
      <c r="P706" s="519"/>
      <c r="Q706" s="519"/>
      <c r="R706" s="519"/>
      <c r="S706" s="519"/>
      <c r="T706" s="519"/>
      <c r="U706" s="519">
        <f t="shared" si="298"/>
        <v>180.28</v>
      </c>
      <c r="V706" s="519">
        <f t="shared" si="299"/>
        <v>360.56</v>
      </c>
      <c r="W706" s="519">
        <f t="shared" si="300"/>
        <v>540.83999999999992</v>
      </c>
      <c r="X706" s="519">
        <f t="shared" si="301"/>
        <v>540.83999999999992</v>
      </c>
      <c r="Y706" s="519">
        <f t="shared" si="302"/>
        <v>180.28</v>
      </c>
      <c r="Z706" s="519"/>
    </row>
    <row r="707" spans="1:26" s="512" customFormat="1" ht="15">
      <c r="A707" s="338" t="s">
        <v>8024</v>
      </c>
      <c r="B707" s="576" t="s">
        <v>5256</v>
      </c>
      <c r="C707" s="576">
        <v>92289</v>
      </c>
      <c r="D707" s="336" t="s">
        <v>7997</v>
      </c>
      <c r="E707" s="341">
        <v>40</v>
      </c>
      <c r="F707" s="342" t="s">
        <v>6337</v>
      </c>
      <c r="G707" s="352">
        <v>23.53</v>
      </c>
      <c r="H707" s="339">
        <f t="shared" si="295"/>
        <v>6.34</v>
      </c>
      <c r="I707" s="339">
        <f t="shared" si="296"/>
        <v>29.87</v>
      </c>
      <c r="J707" s="431">
        <f t="shared" si="297"/>
        <v>1194.8</v>
      </c>
      <c r="K707" s="510">
        <f t="shared" si="264"/>
        <v>941.2</v>
      </c>
      <c r="L707" s="510">
        <f t="shared" si="265"/>
        <v>253.6</v>
      </c>
      <c r="M707" s="519"/>
      <c r="N707" s="519"/>
      <c r="O707" s="519"/>
      <c r="P707" s="519"/>
      <c r="Q707" s="519"/>
      <c r="R707" s="519"/>
      <c r="S707" s="519"/>
      <c r="T707" s="519"/>
      <c r="U707" s="519">
        <f t="shared" si="298"/>
        <v>119.48</v>
      </c>
      <c r="V707" s="519">
        <f t="shared" si="299"/>
        <v>238.96</v>
      </c>
      <c r="W707" s="519">
        <f t="shared" si="300"/>
        <v>358.44</v>
      </c>
      <c r="X707" s="519">
        <f t="shared" si="301"/>
        <v>358.44</v>
      </c>
      <c r="Y707" s="519">
        <f t="shared" si="302"/>
        <v>119.48</v>
      </c>
      <c r="Z707" s="519"/>
    </row>
    <row r="708" spans="1:26" s="512" customFormat="1" ht="15">
      <c r="A708" s="338" t="s">
        <v>8025</v>
      </c>
      <c r="B708" s="576" t="s">
        <v>5256</v>
      </c>
      <c r="C708" s="576">
        <v>92328</v>
      </c>
      <c r="D708" s="336" t="s">
        <v>7998</v>
      </c>
      <c r="E708" s="341">
        <v>30</v>
      </c>
      <c r="F708" s="342" t="s">
        <v>6337</v>
      </c>
      <c r="G708" s="352">
        <v>18.11</v>
      </c>
      <c r="H708" s="339">
        <f t="shared" si="295"/>
        <v>4.88</v>
      </c>
      <c r="I708" s="339">
        <f t="shared" si="296"/>
        <v>22.99</v>
      </c>
      <c r="J708" s="431">
        <f t="shared" si="297"/>
        <v>689.7</v>
      </c>
      <c r="K708" s="510">
        <f t="shared" si="264"/>
        <v>543.29999999999995</v>
      </c>
      <c r="L708" s="510">
        <f t="shared" si="265"/>
        <v>146.4</v>
      </c>
      <c r="M708" s="519"/>
      <c r="N708" s="519"/>
      <c r="O708" s="519"/>
      <c r="P708" s="519"/>
      <c r="Q708" s="519"/>
      <c r="R708" s="519"/>
      <c r="S708" s="519"/>
      <c r="T708" s="519"/>
      <c r="U708" s="519">
        <f t="shared" si="298"/>
        <v>68.970000000000013</v>
      </c>
      <c r="V708" s="519">
        <f t="shared" si="299"/>
        <v>137.94000000000003</v>
      </c>
      <c r="W708" s="519">
        <f t="shared" si="300"/>
        <v>206.91</v>
      </c>
      <c r="X708" s="519">
        <f t="shared" si="301"/>
        <v>206.91</v>
      </c>
      <c r="Y708" s="519">
        <f t="shared" si="302"/>
        <v>68.970000000000013</v>
      </c>
      <c r="Z708" s="519"/>
    </row>
    <row r="709" spans="1:26" s="512" customFormat="1" ht="15">
      <c r="A709" s="338" t="s">
        <v>8026</v>
      </c>
      <c r="B709" s="576" t="s">
        <v>5256</v>
      </c>
      <c r="C709" s="576">
        <v>92328</v>
      </c>
      <c r="D709" s="336" t="s">
        <v>7999</v>
      </c>
      <c r="E709" s="341">
        <v>10</v>
      </c>
      <c r="F709" s="342" t="s">
        <v>6337</v>
      </c>
      <c r="G709" s="352">
        <v>18.11</v>
      </c>
      <c r="H709" s="339">
        <f t="shared" si="295"/>
        <v>4.88</v>
      </c>
      <c r="I709" s="339">
        <f t="shared" si="296"/>
        <v>22.99</v>
      </c>
      <c r="J709" s="431">
        <f t="shared" si="297"/>
        <v>229.9</v>
      </c>
      <c r="K709" s="510">
        <f t="shared" si="264"/>
        <v>181.1</v>
      </c>
      <c r="L709" s="510">
        <f t="shared" si="265"/>
        <v>48.8</v>
      </c>
      <c r="M709" s="519"/>
      <c r="N709" s="519"/>
      <c r="O709" s="519"/>
      <c r="P709" s="519"/>
      <c r="Q709" s="519"/>
      <c r="R709" s="519"/>
      <c r="S709" s="519"/>
      <c r="T709" s="519"/>
      <c r="U709" s="519">
        <f t="shared" si="298"/>
        <v>22.990000000000002</v>
      </c>
      <c r="V709" s="519">
        <f t="shared" si="299"/>
        <v>45.980000000000004</v>
      </c>
      <c r="W709" s="519">
        <f t="shared" si="300"/>
        <v>68.97</v>
      </c>
      <c r="X709" s="519">
        <f t="shared" si="301"/>
        <v>68.97</v>
      </c>
      <c r="Y709" s="519">
        <f t="shared" si="302"/>
        <v>22.990000000000002</v>
      </c>
      <c r="Z709" s="519"/>
    </row>
    <row r="710" spans="1:26" s="512" customFormat="1" ht="15">
      <c r="A710" s="338" t="s">
        <v>8027</v>
      </c>
      <c r="B710" s="576" t="s">
        <v>5256</v>
      </c>
      <c r="C710" s="576">
        <v>92287</v>
      </c>
      <c r="D710" s="336" t="s">
        <v>8000</v>
      </c>
      <c r="E710" s="341">
        <v>48</v>
      </c>
      <c r="F710" s="342" t="s">
        <v>6337</v>
      </c>
      <c r="G710" s="352">
        <v>8.93</v>
      </c>
      <c r="H710" s="339">
        <f t="shared" si="295"/>
        <v>2.4</v>
      </c>
      <c r="I710" s="339">
        <f t="shared" si="296"/>
        <v>11.33</v>
      </c>
      <c r="J710" s="431">
        <f t="shared" si="297"/>
        <v>543.84</v>
      </c>
      <c r="K710" s="510">
        <f t="shared" si="264"/>
        <v>428.64</v>
      </c>
      <c r="L710" s="510">
        <f t="shared" si="265"/>
        <v>115.2</v>
      </c>
      <c r="M710" s="519"/>
      <c r="N710" s="519"/>
      <c r="O710" s="519"/>
      <c r="P710" s="519"/>
      <c r="Q710" s="519"/>
      <c r="R710" s="519"/>
      <c r="S710" s="519"/>
      <c r="T710" s="519"/>
      <c r="U710" s="519">
        <f t="shared" si="298"/>
        <v>54.384000000000007</v>
      </c>
      <c r="V710" s="519">
        <f t="shared" si="299"/>
        <v>108.76800000000001</v>
      </c>
      <c r="W710" s="519">
        <f t="shared" si="300"/>
        <v>163.15200000000002</v>
      </c>
      <c r="X710" s="519">
        <f t="shared" si="301"/>
        <v>163.15200000000002</v>
      </c>
      <c r="Y710" s="519">
        <f t="shared" si="302"/>
        <v>54.384000000000007</v>
      </c>
      <c r="Z710" s="519"/>
    </row>
    <row r="711" spans="1:26" s="512" customFormat="1" ht="15">
      <c r="A711" s="338" t="s">
        <v>8028</v>
      </c>
      <c r="B711" s="576" t="s">
        <v>5256</v>
      </c>
      <c r="C711" s="576">
        <v>92287</v>
      </c>
      <c r="D711" s="336" t="s">
        <v>8001</v>
      </c>
      <c r="E711" s="341">
        <v>80</v>
      </c>
      <c r="F711" s="342" t="s">
        <v>6337</v>
      </c>
      <c r="G711" s="352">
        <v>8.93</v>
      </c>
      <c r="H711" s="339">
        <f t="shared" si="295"/>
        <v>2.4</v>
      </c>
      <c r="I711" s="339">
        <f t="shared" si="296"/>
        <v>11.33</v>
      </c>
      <c r="J711" s="431">
        <f t="shared" si="297"/>
        <v>906.4</v>
      </c>
      <c r="K711" s="510">
        <f t="shared" si="264"/>
        <v>714.4</v>
      </c>
      <c r="L711" s="510">
        <f t="shared" si="265"/>
        <v>192</v>
      </c>
      <c r="M711" s="519"/>
      <c r="N711" s="519"/>
      <c r="O711" s="519"/>
      <c r="P711" s="519"/>
      <c r="Q711" s="519"/>
      <c r="R711" s="519"/>
      <c r="S711" s="519"/>
      <c r="T711" s="519"/>
      <c r="U711" s="519">
        <f t="shared" si="298"/>
        <v>90.64</v>
      </c>
      <c r="V711" s="519">
        <f t="shared" si="299"/>
        <v>181.28</v>
      </c>
      <c r="W711" s="519">
        <f t="shared" si="300"/>
        <v>271.91999999999996</v>
      </c>
      <c r="X711" s="519">
        <f t="shared" si="301"/>
        <v>271.91999999999996</v>
      </c>
      <c r="Y711" s="519">
        <f t="shared" si="302"/>
        <v>90.64</v>
      </c>
      <c r="Z711" s="519"/>
    </row>
    <row r="712" spans="1:26" s="512" customFormat="1" ht="30">
      <c r="A712" s="338" t="s">
        <v>8029</v>
      </c>
      <c r="B712" s="576" t="s">
        <v>6799</v>
      </c>
      <c r="C712" s="576">
        <v>70945</v>
      </c>
      <c r="D712" s="336" t="s">
        <v>8045</v>
      </c>
      <c r="E712" s="341">
        <v>15</v>
      </c>
      <c r="F712" s="342" t="s">
        <v>6337</v>
      </c>
      <c r="G712" s="352">
        <v>624.69000000000005</v>
      </c>
      <c r="H712" s="339">
        <f t="shared" si="295"/>
        <v>168.23</v>
      </c>
      <c r="I712" s="339">
        <f t="shared" si="296"/>
        <v>792.92000000000007</v>
      </c>
      <c r="J712" s="431">
        <f t="shared" si="297"/>
        <v>11893.8</v>
      </c>
      <c r="K712" s="510">
        <f t="shared" si="264"/>
        <v>9370.35</v>
      </c>
      <c r="L712" s="510">
        <f t="shared" si="265"/>
        <v>2523.4499999999998</v>
      </c>
      <c r="M712" s="519"/>
      <c r="N712" s="519"/>
      <c r="O712" s="519"/>
      <c r="P712" s="519"/>
      <c r="Q712" s="519"/>
      <c r="R712" s="519"/>
      <c r="S712" s="519"/>
      <c r="T712" s="519"/>
      <c r="U712" s="519">
        <f t="shared" si="298"/>
        <v>1189.3799999999999</v>
      </c>
      <c r="V712" s="519">
        <f t="shared" si="299"/>
        <v>2378.7599999999998</v>
      </c>
      <c r="W712" s="519">
        <f t="shared" si="300"/>
        <v>3568.14</v>
      </c>
      <c r="X712" s="519">
        <f t="shared" si="301"/>
        <v>3568.14</v>
      </c>
      <c r="Y712" s="519">
        <f t="shared" si="302"/>
        <v>1189.3799999999999</v>
      </c>
      <c r="Z712" s="519"/>
    </row>
    <row r="713" spans="1:26" s="512" customFormat="1" ht="30">
      <c r="A713" s="338" t="s">
        <v>8030</v>
      </c>
      <c r="B713" s="576" t="s">
        <v>6799</v>
      </c>
      <c r="C713" s="576">
        <v>70944</v>
      </c>
      <c r="D713" s="336" t="s">
        <v>8046</v>
      </c>
      <c r="E713" s="341">
        <v>10</v>
      </c>
      <c r="F713" s="342" t="s">
        <v>6337</v>
      </c>
      <c r="G713" s="352">
        <v>567.55999999999995</v>
      </c>
      <c r="H713" s="339">
        <f t="shared" si="295"/>
        <v>152.84</v>
      </c>
      <c r="I713" s="339">
        <f t="shared" si="296"/>
        <v>720.4</v>
      </c>
      <c r="J713" s="431">
        <f t="shared" si="297"/>
        <v>7204</v>
      </c>
      <c r="K713" s="510">
        <f t="shared" si="264"/>
        <v>5675.6</v>
      </c>
      <c r="L713" s="510">
        <f t="shared" si="265"/>
        <v>1528.4</v>
      </c>
      <c r="M713" s="519"/>
      <c r="N713" s="519"/>
      <c r="O713" s="519"/>
      <c r="P713" s="519"/>
      <c r="Q713" s="519"/>
      <c r="R713" s="519"/>
      <c r="S713" s="519"/>
      <c r="T713" s="519"/>
      <c r="U713" s="519">
        <f t="shared" si="298"/>
        <v>720.40000000000009</v>
      </c>
      <c r="V713" s="519">
        <f t="shared" si="299"/>
        <v>1440.8000000000002</v>
      </c>
      <c r="W713" s="519">
        <f t="shared" si="300"/>
        <v>2161.1999999999998</v>
      </c>
      <c r="X713" s="519">
        <f t="shared" si="301"/>
        <v>2161.1999999999998</v>
      </c>
      <c r="Y713" s="519">
        <f t="shared" si="302"/>
        <v>720.40000000000009</v>
      </c>
      <c r="Z713" s="519"/>
    </row>
    <row r="714" spans="1:26" s="512" customFormat="1" ht="30">
      <c r="A714" s="338" t="s">
        <v>8031</v>
      </c>
      <c r="B714" s="576" t="s">
        <v>6799</v>
      </c>
      <c r="C714" s="576">
        <v>70943</v>
      </c>
      <c r="D714" s="336" t="s">
        <v>8047</v>
      </c>
      <c r="E714" s="341">
        <v>20</v>
      </c>
      <c r="F714" s="342" t="s">
        <v>6337</v>
      </c>
      <c r="G714" s="352">
        <v>381.01</v>
      </c>
      <c r="H714" s="339">
        <f t="shared" si="295"/>
        <v>102.61</v>
      </c>
      <c r="I714" s="339">
        <f t="shared" si="296"/>
        <v>483.62</v>
      </c>
      <c r="J714" s="431">
        <f t="shared" si="297"/>
        <v>9672.4</v>
      </c>
      <c r="K714" s="510">
        <f t="shared" si="264"/>
        <v>7620.2</v>
      </c>
      <c r="L714" s="510">
        <f t="shared" si="265"/>
        <v>2052.1999999999998</v>
      </c>
      <c r="M714" s="519"/>
      <c r="N714" s="519"/>
      <c r="O714" s="519"/>
      <c r="P714" s="519"/>
      <c r="Q714" s="519"/>
      <c r="R714" s="519"/>
      <c r="S714" s="519"/>
      <c r="T714" s="519"/>
      <c r="U714" s="519">
        <f t="shared" si="298"/>
        <v>967.24</v>
      </c>
      <c r="V714" s="519">
        <f t="shared" si="299"/>
        <v>1934.48</v>
      </c>
      <c r="W714" s="519">
        <f t="shared" si="300"/>
        <v>2901.72</v>
      </c>
      <c r="X714" s="519">
        <f t="shared" si="301"/>
        <v>2901.72</v>
      </c>
      <c r="Y714" s="519">
        <f t="shared" si="302"/>
        <v>967.24</v>
      </c>
      <c r="Z714" s="519"/>
    </row>
    <row r="715" spans="1:26" s="512" customFormat="1" ht="30">
      <c r="A715" s="338" t="s">
        <v>8032</v>
      </c>
      <c r="B715" s="576" t="s">
        <v>6799</v>
      </c>
      <c r="C715" s="576">
        <v>70942</v>
      </c>
      <c r="D715" s="336" t="s">
        <v>8048</v>
      </c>
      <c r="E715" s="341">
        <v>17</v>
      </c>
      <c r="F715" s="342" t="s">
        <v>6337</v>
      </c>
      <c r="G715" s="352">
        <v>441.93</v>
      </c>
      <c r="H715" s="339">
        <f t="shared" si="295"/>
        <v>119.01</v>
      </c>
      <c r="I715" s="339">
        <f t="shared" si="296"/>
        <v>560.94000000000005</v>
      </c>
      <c r="J715" s="431">
        <f t="shared" si="297"/>
        <v>9535.98</v>
      </c>
      <c r="K715" s="510">
        <f t="shared" si="264"/>
        <v>7512.81</v>
      </c>
      <c r="L715" s="510">
        <f t="shared" si="265"/>
        <v>2023.17</v>
      </c>
      <c r="M715" s="519"/>
      <c r="N715" s="519"/>
      <c r="O715" s="519"/>
      <c r="P715" s="519"/>
      <c r="Q715" s="519"/>
      <c r="R715" s="519"/>
      <c r="S715" s="519"/>
      <c r="T715" s="519"/>
      <c r="U715" s="519">
        <f t="shared" si="298"/>
        <v>953.59799999999996</v>
      </c>
      <c r="V715" s="519">
        <f t="shared" si="299"/>
        <v>1907.1959999999999</v>
      </c>
      <c r="W715" s="519">
        <f t="shared" si="300"/>
        <v>2860.7939999999999</v>
      </c>
      <c r="X715" s="519">
        <f t="shared" si="301"/>
        <v>2860.7939999999999</v>
      </c>
      <c r="Y715" s="519">
        <f t="shared" si="302"/>
        <v>953.59799999999996</v>
      </c>
      <c r="Z715" s="519"/>
    </row>
    <row r="716" spans="1:26" s="512" customFormat="1" ht="15">
      <c r="A716" s="337" t="s">
        <v>8072</v>
      </c>
      <c r="B716" s="698" t="s">
        <v>8073</v>
      </c>
      <c r="C716" s="698"/>
      <c r="D716" s="698"/>
      <c r="E716" s="698"/>
      <c r="F716" s="698"/>
      <c r="G716" s="698"/>
      <c r="H716" s="698"/>
      <c r="I716" s="698"/>
      <c r="J716" s="698"/>
      <c r="K716" s="510">
        <f t="shared" si="264"/>
        <v>0</v>
      </c>
      <c r="L716" s="510">
        <f t="shared" si="265"/>
        <v>0</v>
      </c>
      <c r="M716" s="519"/>
      <c r="N716" s="519"/>
      <c r="O716" s="519"/>
      <c r="P716" s="519"/>
      <c r="Q716" s="519"/>
      <c r="R716" s="519"/>
      <c r="S716" s="519"/>
      <c r="T716" s="519"/>
      <c r="U716" s="519"/>
      <c r="V716" s="519"/>
      <c r="W716" s="519"/>
      <c r="X716" s="519"/>
      <c r="Y716" s="519"/>
      <c r="Z716" s="519"/>
    </row>
    <row r="717" spans="1:26" s="512" customFormat="1" ht="45">
      <c r="A717" s="338" t="s">
        <v>8074</v>
      </c>
      <c r="B717" s="576" t="s">
        <v>6333</v>
      </c>
      <c r="C717" s="576">
        <v>11788</v>
      </c>
      <c r="D717" s="336" t="s">
        <v>8923</v>
      </c>
      <c r="E717" s="341">
        <v>1</v>
      </c>
      <c r="F717" s="342" t="s">
        <v>6337</v>
      </c>
      <c r="G717" s="352">
        <v>2087.08</v>
      </c>
      <c r="H717" s="339">
        <f>ROUND(G717*$B$13,2)</f>
        <v>562.04999999999995</v>
      </c>
      <c r="I717" s="339">
        <f>H717+G717</f>
        <v>2649.13</v>
      </c>
      <c r="J717" s="431">
        <f>ROUND(I717*E717,2)</f>
        <v>2649.13</v>
      </c>
      <c r="K717" s="510">
        <f t="shared" si="264"/>
        <v>2087.08</v>
      </c>
      <c r="L717" s="510">
        <f t="shared" si="265"/>
        <v>562.04999999999995</v>
      </c>
      <c r="M717" s="519"/>
      <c r="N717" s="519"/>
      <c r="O717" s="519"/>
      <c r="P717" s="519"/>
      <c r="Q717" s="519"/>
      <c r="R717" s="519"/>
      <c r="S717" s="519"/>
      <c r="T717" s="519"/>
      <c r="U717" s="519">
        <f t="shared" ref="U717" si="303">0.1*J717</f>
        <v>264.91300000000001</v>
      </c>
      <c r="V717" s="519">
        <f t="shared" ref="V717" si="304">0.2*J717</f>
        <v>529.82600000000002</v>
      </c>
      <c r="W717" s="519">
        <f t="shared" ref="W717" si="305">0.3*J717</f>
        <v>794.73900000000003</v>
      </c>
      <c r="X717" s="519">
        <f t="shared" ref="X717" si="306">0.3*J717</f>
        <v>794.73900000000003</v>
      </c>
      <c r="Y717" s="519">
        <f t="shared" ref="Y717" si="307">0.1*J717</f>
        <v>264.91300000000001</v>
      </c>
      <c r="Z717" s="519"/>
    </row>
    <row r="718" spans="1:26" s="6" customFormat="1" ht="15">
      <c r="A718" s="700" t="s">
        <v>7437</v>
      </c>
      <c r="B718" s="700"/>
      <c r="C718" s="700"/>
      <c r="D718" s="700"/>
      <c r="E718" s="700"/>
      <c r="F718" s="700"/>
      <c r="G718" s="700"/>
      <c r="H718" s="700"/>
      <c r="I718" s="700"/>
      <c r="J718" s="432">
        <f>SUM(J654:J717)</f>
        <v>776979.28000000026</v>
      </c>
      <c r="K718" s="513"/>
      <c r="L718" s="117"/>
      <c r="M718" s="514">
        <f t="shared" ref="M718:Z718" si="308">SUM(M654:M717)</f>
        <v>0</v>
      </c>
      <c r="N718" s="514">
        <f t="shared" si="308"/>
        <v>0</v>
      </c>
      <c r="O718" s="514">
        <f t="shared" si="308"/>
        <v>0</v>
      </c>
      <c r="P718" s="514">
        <f t="shared" si="308"/>
        <v>0</v>
      </c>
      <c r="Q718" s="514">
        <f t="shared" si="308"/>
        <v>0</v>
      </c>
      <c r="R718" s="514">
        <f t="shared" si="308"/>
        <v>0</v>
      </c>
      <c r="S718" s="514">
        <f t="shared" si="308"/>
        <v>0</v>
      </c>
      <c r="T718" s="514">
        <f t="shared" si="308"/>
        <v>0</v>
      </c>
      <c r="U718" s="514">
        <f t="shared" si="308"/>
        <v>77697.928</v>
      </c>
      <c r="V718" s="514">
        <f t="shared" si="308"/>
        <v>155395.856</v>
      </c>
      <c r="W718" s="514">
        <f t="shared" si="308"/>
        <v>233093.7840000001</v>
      </c>
      <c r="X718" s="514">
        <f t="shared" si="308"/>
        <v>233093.7840000001</v>
      </c>
      <c r="Y718" s="514">
        <f t="shared" si="308"/>
        <v>77697.928</v>
      </c>
      <c r="Z718" s="514">
        <f t="shared" si="308"/>
        <v>0</v>
      </c>
    </row>
    <row r="719" spans="1:26" s="6" customFormat="1" ht="15">
      <c r="A719" s="29"/>
      <c r="B719" s="29"/>
      <c r="C719" s="29"/>
      <c r="D719" s="29"/>
      <c r="E719" s="189"/>
      <c r="F719" s="29"/>
      <c r="G719" s="353"/>
      <c r="H719" s="28"/>
      <c r="I719" s="28"/>
      <c r="J719" s="433"/>
      <c r="K719" s="155"/>
      <c r="L719" s="117"/>
      <c r="M719" s="358"/>
      <c r="N719" s="358"/>
      <c r="O719" s="358"/>
      <c r="P719" s="358"/>
      <c r="Q719" s="358"/>
      <c r="R719" s="358"/>
      <c r="S719" s="358"/>
      <c r="T719" s="358"/>
      <c r="U719" s="358"/>
      <c r="V719" s="358"/>
      <c r="W719" s="358"/>
      <c r="X719" s="358"/>
      <c r="Y719" s="358"/>
      <c r="Z719" s="358"/>
    </row>
    <row r="720" spans="1:26" ht="15">
      <c r="A720" s="701" t="s">
        <v>7438</v>
      </c>
      <c r="B720" s="701"/>
      <c r="C720" s="701"/>
      <c r="D720" s="701"/>
      <c r="E720" s="701"/>
      <c r="F720" s="701"/>
      <c r="G720" s="701"/>
      <c r="H720" s="701"/>
      <c r="I720" s="701"/>
      <c r="J720" s="434">
        <f>J718+J652</f>
        <v>839481.66000000027</v>
      </c>
      <c r="K720" s="515"/>
      <c r="M720" s="516">
        <f t="shared" ref="M720:Z720" si="309">M718+M652</f>
        <v>0</v>
      </c>
      <c r="N720" s="516">
        <f t="shared" si="309"/>
        <v>0</v>
      </c>
      <c r="O720" s="516">
        <f t="shared" si="309"/>
        <v>0</v>
      </c>
      <c r="P720" s="516">
        <f t="shared" si="309"/>
        <v>0</v>
      </c>
      <c r="Q720" s="516">
        <f t="shared" si="309"/>
        <v>0</v>
      </c>
      <c r="R720" s="516">
        <f t="shared" si="309"/>
        <v>0</v>
      </c>
      <c r="S720" s="516">
        <f t="shared" si="309"/>
        <v>0</v>
      </c>
      <c r="T720" s="516">
        <f t="shared" si="309"/>
        <v>0</v>
      </c>
      <c r="U720" s="516">
        <f t="shared" si="309"/>
        <v>77697.928</v>
      </c>
      <c r="V720" s="516">
        <f t="shared" si="309"/>
        <v>155395.856</v>
      </c>
      <c r="W720" s="516">
        <f t="shared" si="309"/>
        <v>233093.7840000001</v>
      </c>
      <c r="X720" s="516">
        <f t="shared" si="309"/>
        <v>233093.7840000001</v>
      </c>
      <c r="Y720" s="516">
        <f t="shared" si="309"/>
        <v>108949.118</v>
      </c>
      <c r="Z720" s="516">
        <f t="shared" si="309"/>
        <v>31251.19</v>
      </c>
    </row>
    <row r="721" spans="1:26" s="6" customFormat="1" ht="15">
      <c r="A721" s="338"/>
      <c r="B721" s="576"/>
      <c r="C721" s="576"/>
      <c r="D721" s="336"/>
      <c r="E721" s="341"/>
      <c r="F721" s="342"/>
      <c r="G721" s="354"/>
      <c r="H721" s="11"/>
      <c r="I721" s="11"/>
      <c r="J721" s="435"/>
      <c r="K721" s="146"/>
      <c r="L721" s="117"/>
      <c r="M721" s="517">
        <f>M720/$J$720</f>
        <v>0</v>
      </c>
      <c r="N721" s="517">
        <f t="shared" ref="N721:Z721" si="310">N720/$J$720</f>
        <v>0</v>
      </c>
      <c r="O721" s="517">
        <f t="shared" si="310"/>
        <v>0</v>
      </c>
      <c r="P721" s="517">
        <f t="shared" si="310"/>
        <v>0</v>
      </c>
      <c r="Q721" s="517">
        <f t="shared" si="310"/>
        <v>0</v>
      </c>
      <c r="R721" s="517">
        <f t="shared" si="310"/>
        <v>0</v>
      </c>
      <c r="S721" s="517">
        <f t="shared" si="310"/>
        <v>0</v>
      </c>
      <c r="T721" s="517">
        <f t="shared" si="310"/>
        <v>0</v>
      </c>
      <c r="U721" s="517">
        <f t="shared" si="310"/>
        <v>9.2554646161060836E-2</v>
      </c>
      <c r="V721" s="517">
        <f t="shared" si="310"/>
        <v>0.18510929232212167</v>
      </c>
      <c r="W721" s="517">
        <f t="shared" si="310"/>
        <v>0.2776639384831826</v>
      </c>
      <c r="X721" s="517">
        <f t="shared" si="310"/>
        <v>0.2776639384831826</v>
      </c>
      <c r="Y721" s="517">
        <f t="shared" si="310"/>
        <v>0.12978141535575652</v>
      </c>
      <c r="Z721" s="517">
        <f t="shared" si="310"/>
        <v>3.7226769194695676E-2</v>
      </c>
    </row>
    <row r="722" spans="1:26" ht="15">
      <c r="A722" s="457" t="s">
        <v>5958</v>
      </c>
      <c r="B722" s="696" t="s">
        <v>5960</v>
      </c>
      <c r="C722" s="697"/>
      <c r="D722" s="697"/>
      <c r="E722" s="697"/>
      <c r="F722" s="697"/>
      <c r="G722" s="697"/>
      <c r="H722" s="697"/>
      <c r="I722" s="697"/>
      <c r="J722" s="697"/>
      <c r="K722" s="505"/>
      <c r="L722" s="518"/>
      <c r="M722" s="506"/>
      <c r="N722" s="506"/>
      <c r="O722" s="506"/>
    </row>
    <row r="723" spans="1:26" s="6" customFormat="1" ht="15">
      <c r="A723" s="573" t="s">
        <v>0</v>
      </c>
      <c r="B723" s="692" t="s">
        <v>7880</v>
      </c>
      <c r="C723" s="693"/>
      <c r="D723" s="23" t="s">
        <v>1</v>
      </c>
      <c r="E723" s="193" t="s">
        <v>134</v>
      </c>
      <c r="F723" s="24" t="s">
        <v>11</v>
      </c>
      <c r="G723" s="351" t="s">
        <v>12</v>
      </c>
      <c r="H723" s="182" t="s">
        <v>6735</v>
      </c>
      <c r="I723" s="182" t="s">
        <v>6736</v>
      </c>
      <c r="J723" s="430" t="s">
        <v>133</v>
      </c>
      <c r="K723" s="508"/>
      <c r="L723" s="518"/>
      <c r="M723" s="506"/>
      <c r="N723" s="506"/>
      <c r="O723" s="506"/>
      <c r="P723" s="358"/>
      <c r="Q723" s="358"/>
      <c r="R723" s="358"/>
      <c r="S723" s="358"/>
      <c r="T723" s="358"/>
      <c r="U723" s="358"/>
      <c r="V723" s="358"/>
      <c r="W723" s="358"/>
      <c r="X723" s="358"/>
      <c r="Y723" s="358"/>
      <c r="Z723" s="358"/>
    </row>
    <row r="724" spans="1:26" s="6" customFormat="1" ht="15">
      <c r="A724" s="197" t="s">
        <v>5959</v>
      </c>
      <c r="B724" s="331" t="s">
        <v>5961</v>
      </c>
      <c r="C724" s="574"/>
      <c r="D724" s="574"/>
      <c r="E724" s="574"/>
      <c r="F724" s="574"/>
      <c r="G724" s="355"/>
      <c r="H724" s="574"/>
      <c r="I724" s="574"/>
      <c r="J724" s="355"/>
      <c r="K724" s="509"/>
      <c r="L724" s="117"/>
      <c r="M724" s="358"/>
      <c r="N724" s="358"/>
      <c r="O724" s="358"/>
      <c r="P724" s="358"/>
      <c r="Q724" s="358"/>
      <c r="R724" s="358"/>
      <c r="S724" s="358"/>
      <c r="T724" s="358"/>
      <c r="U724" s="358"/>
      <c r="V724" s="358"/>
      <c r="W724" s="358"/>
      <c r="X724" s="358"/>
      <c r="Y724" s="358"/>
      <c r="Z724" s="358"/>
    </row>
    <row r="725" spans="1:26" s="6" customFormat="1" ht="15">
      <c r="A725" s="337" t="s">
        <v>8700</v>
      </c>
      <c r="B725" s="332" t="s">
        <v>8701</v>
      </c>
      <c r="C725" s="575"/>
      <c r="D725" s="575"/>
      <c r="E725" s="575"/>
      <c r="F725" s="575"/>
      <c r="G725" s="356"/>
      <c r="H725" s="575"/>
      <c r="I725" s="575"/>
      <c r="J725" s="356"/>
      <c r="K725" s="39"/>
      <c r="L725" s="117"/>
      <c r="M725" s="358"/>
      <c r="N725" s="358"/>
      <c r="O725" s="358"/>
      <c r="P725" s="358"/>
      <c r="Q725" s="358"/>
      <c r="R725" s="358"/>
      <c r="S725" s="358"/>
      <c r="T725" s="358"/>
      <c r="U725" s="358"/>
      <c r="V725" s="358"/>
      <c r="W725" s="358"/>
      <c r="X725" s="358"/>
      <c r="Y725" s="358"/>
      <c r="Z725" s="358"/>
    </row>
    <row r="726" spans="1:26" s="512" customFormat="1" ht="60">
      <c r="A726" s="338" t="s">
        <v>8708</v>
      </c>
      <c r="B726" s="576" t="s">
        <v>5256</v>
      </c>
      <c r="C726" s="576">
        <v>92367</v>
      </c>
      <c r="D726" s="336" t="s">
        <v>8702</v>
      </c>
      <c r="E726" s="341">
        <v>22</v>
      </c>
      <c r="F726" s="342" t="s">
        <v>6774</v>
      </c>
      <c r="G726" s="352">
        <v>56.41</v>
      </c>
      <c r="H726" s="339">
        <f t="shared" ref="H726:H731" si="311">ROUND(G726*$B$13,2)</f>
        <v>15.19</v>
      </c>
      <c r="I726" s="339">
        <f t="shared" ref="I726:I731" si="312">H726+G726</f>
        <v>71.599999999999994</v>
      </c>
      <c r="J726" s="431">
        <f t="shared" ref="J726:J731" si="313">ROUND(I726*E726,2)</f>
        <v>1575.2</v>
      </c>
      <c r="K726" s="510">
        <f>ROUND(G726*E726,2)</f>
        <v>1241.02</v>
      </c>
      <c r="L726" s="510">
        <f t="shared" ref="L726:L746" si="314">ROUND(H726*E726,2)</f>
        <v>334.18</v>
      </c>
      <c r="M726" s="519"/>
      <c r="N726" s="519"/>
      <c r="O726" s="519"/>
      <c r="P726" s="519"/>
      <c r="Q726" s="519"/>
      <c r="R726" s="519"/>
      <c r="S726" s="519"/>
      <c r="T726" s="519">
        <f>0.5*J726</f>
        <v>787.6</v>
      </c>
      <c r="U726" s="519">
        <f>0.4*J726</f>
        <v>630.08000000000004</v>
      </c>
      <c r="V726" s="519"/>
      <c r="W726" s="519"/>
      <c r="X726" s="519"/>
      <c r="Y726" s="519">
        <f>0.1*J726</f>
        <v>157.52000000000001</v>
      </c>
      <c r="Z726" s="519"/>
    </row>
    <row r="727" spans="1:26" s="512" customFormat="1" ht="60">
      <c r="A727" s="338" t="s">
        <v>8709</v>
      </c>
      <c r="B727" s="576" t="s">
        <v>5256</v>
      </c>
      <c r="C727" s="576">
        <v>97498</v>
      </c>
      <c r="D727" s="336" t="s">
        <v>8703</v>
      </c>
      <c r="E727" s="341">
        <v>2</v>
      </c>
      <c r="F727" s="342" t="s">
        <v>6774</v>
      </c>
      <c r="G727" s="352">
        <v>23.41</v>
      </c>
      <c r="H727" s="339">
        <f t="shared" si="311"/>
        <v>6.3</v>
      </c>
      <c r="I727" s="339">
        <f t="shared" si="312"/>
        <v>29.71</v>
      </c>
      <c r="J727" s="431">
        <f t="shared" si="313"/>
        <v>59.42</v>
      </c>
      <c r="K727" s="510">
        <f t="shared" ref="K727:K746" si="315">ROUND(G727*E727,2)</f>
        <v>46.82</v>
      </c>
      <c r="L727" s="510">
        <f t="shared" si="314"/>
        <v>12.6</v>
      </c>
      <c r="M727" s="519"/>
      <c r="N727" s="519"/>
      <c r="O727" s="519"/>
      <c r="P727" s="519"/>
      <c r="Q727" s="519"/>
      <c r="R727" s="519"/>
      <c r="S727" s="519"/>
      <c r="T727" s="519">
        <f t="shared" ref="T727:T731" si="316">0.5*J727</f>
        <v>29.71</v>
      </c>
      <c r="U727" s="519">
        <f t="shared" ref="U727:U731" si="317">0.4*J727</f>
        <v>23.768000000000001</v>
      </c>
      <c r="V727" s="519"/>
      <c r="W727" s="519"/>
      <c r="X727" s="519"/>
      <c r="Y727" s="519">
        <f t="shared" ref="Y727:Y731" si="318">0.1*J727</f>
        <v>5.9420000000000002</v>
      </c>
      <c r="Z727" s="519"/>
    </row>
    <row r="728" spans="1:26" s="512" customFormat="1" ht="60">
      <c r="A728" s="338" t="s">
        <v>8710</v>
      </c>
      <c r="B728" s="576" t="s">
        <v>5256</v>
      </c>
      <c r="C728" s="576">
        <v>92389</v>
      </c>
      <c r="D728" s="336" t="s">
        <v>8704</v>
      </c>
      <c r="E728" s="341">
        <v>2</v>
      </c>
      <c r="F728" s="342" t="s">
        <v>6337</v>
      </c>
      <c r="G728" s="352">
        <v>76.180000000000007</v>
      </c>
      <c r="H728" s="339">
        <f t="shared" si="311"/>
        <v>20.52</v>
      </c>
      <c r="I728" s="339">
        <f t="shared" si="312"/>
        <v>96.7</v>
      </c>
      <c r="J728" s="431">
        <f t="shared" si="313"/>
        <v>193.4</v>
      </c>
      <c r="K728" s="510">
        <f t="shared" si="315"/>
        <v>152.36000000000001</v>
      </c>
      <c r="L728" s="510">
        <f t="shared" si="314"/>
        <v>41.04</v>
      </c>
      <c r="M728" s="519"/>
      <c r="N728" s="519"/>
      <c r="O728" s="519"/>
      <c r="P728" s="519"/>
      <c r="Q728" s="519"/>
      <c r="R728" s="519"/>
      <c r="S728" s="519"/>
      <c r="T728" s="519">
        <f t="shared" si="316"/>
        <v>96.7</v>
      </c>
      <c r="U728" s="519">
        <f t="shared" si="317"/>
        <v>77.360000000000014</v>
      </c>
      <c r="V728" s="519"/>
      <c r="W728" s="519"/>
      <c r="X728" s="519"/>
      <c r="Y728" s="519">
        <f t="shared" si="318"/>
        <v>19.340000000000003</v>
      </c>
      <c r="Z728" s="519"/>
    </row>
    <row r="729" spans="1:26" s="512" customFormat="1" ht="60">
      <c r="A729" s="338" t="s">
        <v>8711</v>
      </c>
      <c r="B729" s="576" t="s">
        <v>5256</v>
      </c>
      <c r="C729" s="576">
        <v>92393</v>
      </c>
      <c r="D729" s="336" t="s">
        <v>8705</v>
      </c>
      <c r="E729" s="341">
        <v>24</v>
      </c>
      <c r="F729" s="342" t="s">
        <v>6337</v>
      </c>
      <c r="G729" s="352">
        <v>38.97</v>
      </c>
      <c r="H729" s="339">
        <f t="shared" si="311"/>
        <v>10.49</v>
      </c>
      <c r="I729" s="339">
        <f t="shared" si="312"/>
        <v>49.46</v>
      </c>
      <c r="J729" s="431">
        <f t="shared" si="313"/>
        <v>1187.04</v>
      </c>
      <c r="K729" s="510">
        <f t="shared" si="315"/>
        <v>935.28</v>
      </c>
      <c r="L729" s="510">
        <f t="shared" si="314"/>
        <v>251.76</v>
      </c>
      <c r="M729" s="519"/>
      <c r="N729" s="519"/>
      <c r="O729" s="519"/>
      <c r="P729" s="519"/>
      <c r="Q729" s="519"/>
      <c r="R729" s="519"/>
      <c r="S729" s="519"/>
      <c r="T729" s="519">
        <f t="shared" si="316"/>
        <v>593.52</v>
      </c>
      <c r="U729" s="519">
        <f t="shared" si="317"/>
        <v>474.81600000000003</v>
      </c>
      <c r="V729" s="519"/>
      <c r="W729" s="519"/>
      <c r="X729" s="519"/>
      <c r="Y729" s="519">
        <f t="shared" si="318"/>
        <v>118.70400000000001</v>
      </c>
      <c r="Z729" s="519"/>
    </row>
    <row r="730" spans="1:26" s="512" customFormat="1" ht="45">
      <c r="A730" s="338" t="s">
        <v>8712</v>
      </c>
      <c r="B730" s="576" t="s">
        <v>5256</v>
      </c>
      <c r="C730" s="576">
        <v>92642</v>
      </c>
      <c r="D730" s="336" t="s">
        <v>8706</v>
      </c>
      <c r="E730" s="341">
        <v>12</v>
      </c>
      <c r="F730" s="342" t="s">
        <v>6337</v>
      </c>
      <c r="G730" s="352">
        <v>97.78</v>
      </c>
      <c r="H730" s="339">
        <f t="shared" si="311"/>
        <v>26.33</v>
      </c>
      <c r="I730" s="339">
        <f t="shared" si="312"/>
        <v>124.11</v>
      </c>
      <c r="J730" s="431">
        <f t="shared" si="313"/>
        <v>1489.32</v>
      </c>
      <c r="K730" s="510">
        <f t="shared" si="315"/>
        <v>1173.3599999999999</v>
      </c>
      <c r="L730" s="510">
        <f t="shared" si="314"/>
        <v>315.95999999999998</v>
      </c>
      <c r="M730" s="519"/>
      <c r="N730" s="519"/>
      <c r="O730" s="519"/>
      <c r="P730" s="519"/>
      <c r="Q730" s="519"/>
      <c r="R730" s="519"/>
      <c r="S730" s="519"/>
      <c r="T730" s="519">
        <f t="shared" si="316"/>
        <v>744.66</v>
      </c>
      <c r="U730" s="519">
        <f t="shared" si="317"/>
        <v>595.72799999999995</v>
      </c>
      <c r="V730" s="519"/>
      <c r="W730" s="519"/>
      <c r="X730" s="519"/>
      <c r="Y730" s="519">
        <f t="shared" si="318"/>
        <v>148.93199999999999</v>
      </c>
      <c r="Z730" s="519"/>
    </row>
    <row r="731" spans="1:26" s="512" customFormat="1" ht="45">
      <c r="A731" s="338" t="s">
        <v>8713</v>
      </c>
      <c r="B731" s="576" t="s">
        <v>5256</v>
      </c>
      <c r="C731" s="576">
        <v>92637</v>
      </c>
      <c r="D731" s="336" t="s">
        <v>8707</v>
      </c>
      <c r="E731" s="341">
        <v>6</v>
      </c>
      <c r="F731" s="342" t="s">
        <v>6337</v>
      </c>
      <c r="G731" s="352">
        <v>36.82</v>
      </c>
      <c r="H731" s="339">
        <f t="shared" si="311"/>
        <v>9.92</v>
      </c>
      <c r="I731" s="339">
        <f t="shared" si="312"/>
        <v>46.74</v>
      </c>
      <c r="J731" s="431">
        <f t="shared" si="313"/>
        <v>280.44</v>
      </c>
      <c r="K731" s="510">
        <f t="shared" si="315"/>
        <v>220.92</v>
      </c>
      <c r="L731" s="510">
        <f t="shared" si="314"/>
        <v>59.52</v>
      </c>
      <c r="M731" s="519"/>
      <c r="N731" s="519"/>
      <c r="O731" s="519"/>
      <c r="P731" s="519"/>
      <c r="Q731" s="519"/>
      <c r="R731" s="519"/>
      <c r="S731" s="519"/>
      <c r="T731" s="519">
        <f t="shared" si="316"/>
        <v>140.22</v>
      </c>
      <c r="U731" s="519">
        <f t="shared" si="317"/>
        <v>112.176</v>
      </c>
      <c r="V731" s="519"/>
      <c r="W731" s="519"/>
      <c r="X731" s="519"/>
      <c r="Y731" s="519">
        <f t="shared" si="318"/>
        <v>28.044</v>
      </c>
      <c r="Z731" s="519"/>
    </row>
    <row r="732" spans="1:26" s="512" customFormat="1" ht="15">
      <c r="A732" s="337" t="s">
        <v>8714</v>
      </c>
      <c r="B732" s="332" t="s">
        <v>6178</v>
      </c>
      <c r="C732" s="575"/>
      <c r="D732" s="575"/>
      <c r="E732" s="575"/>
      <c r="F732" s="575"/>
      <c r="G732" s="356"/>
      <c r="H732" s="575"/>
      <c r="I732" s="575"/>
      <c r="J732" s="356"/>
      <c r="K732" s="510"/>
      <c r="L732" s="510"/>
      <c r="M732" s="519"/>
      <c r="N732" s="519"/>
      <c r="O732" s="519"/>
      <c r="P732" s="519"/>
      <c r="Q732" s="519"/>
      <c r="R732" s="519"/>
      <c r="S732" s="519"/>
      <c r="T732" s="519"/>
      <c r="U732" s="519"/>
      <c r="V732" s="519"/>
      <c r="W732" s="519"/>
      <c r="X732" s="519"/>
      <c r="Y732" s="519"/>
      <c r="Z732" s="519"/>
    </row>
    <row r="733" spans="1:26" s="512" customFormat="1" ht="45">
      <c r="A733" s="338" t="s">
        <v>8730</v>
      </c>
      <c r="B733" s="576" t="s">
        <v>5256</v>
      </c>
      <c r="C733" s="576">
        <v>71516</v>
      </c>
      <c r="D733" s="336" t="s">
        <v>8715</v>
      </c>
      <c r="E733" s="341">
        <v>5</v>
      </c>
      <c r="F733" s="342" t="s">
        <v>6337</v>
      </c>
      <c r="G733" s="352">
        <v>382.63</v>
      </c>
      <c r="H733" s="339">
        <f t="shared" ref="H733:H746" si="319">ROUND(G733*$B$13,2)</f>
        <v>103.04</v>
      </c>
      <c r="I733" s="339">
        <f t="shared" ref="I733:I746" si="320">H733+G733</f>
        <v>485.67</v>
      </c>
      <c r="J733" s="431">
        <f t="shared" ref="J733:J746" si="321">ROUND(I733*E733,2)</f>
        <v>2428.35</v>
      </c>
      <c r="K733" s="510">
        <f t="shared" si="315"/>
        <v>1913.15</v>
      </c>
      <c r="L733" s="510">
        <f t="shared" si="314"/>
        <v>515.20000000000005</v>
      </c>
      <c r="M733" s="519"/>
      <c r="N733" s="519"/>
      <c r="O733" s="519"/>
      <c r="P733" s="519"/>
      <c r="Q733" s="519"/>
      <c r="R733" s="519"/>
      <c r="S733" s="519"/>
      <c r="T733" s="519">
        <f t="shared" ref="T733:T746" si="322">0.5*J733</f>
        <v>1214.175</v>
      </c>
      <c r="U733" s="519">
        <f t="shared" ref="U733:U746" si="323">0.4*J733</f>
        <v>971.34</v>
      </c>
      <c r="V733" s="519"/>
      <c r="W733" s="519"/>
      <c r="X733" s="519"/>
      <c r="Y733" s="519">
        <f t="shared" ref="Y733:Y746" si="324">0.1*J733</f>
        <v>242.83500000000001</v>
      </c>
      <c r="Z733" s="519"/>
    </row>
    <row r="734" spans="1:26" s="512" customFormat="1" ht="30">
      <c r="A734" s="338" t="s">
        <v>8731</v>
      </c>
      <c r="B734" s="576" t="s">
        <v>5256</v>
      </c>
      <c r="C734" s="576">
        <v>94499</v>
      </c>
      <c r="D734" s="336" t="s">
        <v>8717</v>
      </c>
      <c r="E734" s="341">
        <v>11</v>
      </c>
      <c r="F734" s="342" t="s">
        <v>6337</v>
      </c>
      <c r="G734" s="352">
        <v>157.93</v>
      </c>
      <c r="H734" s="339">
        <f t="shared" si="319"/>
        <v>42.53</v>
      </c>
      <c r="I734" s="339">
        <f t="shared" si="320"/>
        <v>200.46</v>
      </c>
      <c r="J734" s="431">
        <f t="shared" si="321"/>
        <v>2205.06</v>
      </c>
      <c r="K734" s="510">
        <f t="shared" si="315"/>
        <v>1737.23</v>
      </c>
      <c r="L734" s="510">
        <f t="shared" si="314"/>
        <v>467.83</v>
      </c>
      <c r="M734" s="519"/>
      <c r="N734" s="519"/>
      <c r="O734" s="519"/>
      <c r="P734" s="519"/>
      <c r="Q734" s="519"/>
      <c r="R734" s="519"/>
      <c r="S734" s="519"/>
      <c r="T734" s="519">
        <f t="shared" si="322"/>
        <v>1102.53</v>
      </c>
      <c r="U734" s="519">
        <f t="shared" si="323"/>
        <v>882.024</v>
      </c>
      <c r="V734" s="519"/>
      <c r="W734" s="519"/>
      <c r="X734" s="519"/>
      <c r="Y734" s="519">
        <f t="shared" si="324"/>
        <v>220.506</v>
      </c>
      <c r="Z734" s="519"/>
    </row>
    <row r="735" spans="1:26" s="512" customFormat="1" ht="30">
      <c r="A735" s="338" t="s">
        <v>8732</v>
      </c>
      <c r="B735" s="576" t="s">
        <v>5256</v>
      </c>
      <c r="C735" s="576">
        <v>94499</v>
      </c>
      <c r="D735" s="336" t="s">
        <v>8733</v>
      </c>
      <c r="E735" s="341">
        <v>6</v>
      </c>
      <c r="F735" s="342" t="s">
        <v>6337</v>
      </c>
      <c r="G735" s="352">
        <v>157.93</v>
      </c>
      <c r="H735" s="339">
        <f t="shared" si="319"/>
        <v>42.53</v>
      </c>
      <c r="I735" s="339">
        <f t="shared" si="320"/>
        <v>200.46</v>
      </c>
      <c r="J735" s="431">
        <f t="shared" si="321"/>
        <v>1202.76</v>
      </c>
      <c r="K735" s="510">
        <f t="shared" si="315"/>
        <v>947.58</v>
      </c>
      <c r="L735" s="510">
        <f t="shared" si="314"/>
        <v>255.18</v>
      </c>
      <c r="M735" s="519"/>
      <c r="N735" s="519"/>
      <c r="O735" s="519"/>
      <c r="P735" s="519"/>
      <c r="Q735" s="519"/>
      <c r="R735" s="519"/>
      <c r="S735" s="519"/>
      <c r="T735" s="519">
        <f t="shared" si="322"/>
        <v>601.38</v>
      </c>
      <c r="U735" s="519">
        <f t="shared" si="323"/>
        <v>481.10400000000004</v>
      </c>
      <c r="V735" s="519"/>
      <c r="W735" s="519"/>
      <c r="X735" s="519"/>
      <c r="Y735" s="519">
        <f t="shared" si="324"/>
        <v>120.27600000000001</v>
      </c>
      <c r="Z735" s="519"/>
    </row>
    <row r="736" spans="1:26" s="512" customFormat="1" ht="45">
      <c r="A736" s="338" t="s">
        <v>8734</v>
      </c>
      <c r="B736" s="576" t="s">
        <v>6328</v>
      </c>
      <c r="C736" s="576">
        <v>10899</v>
      </c>
      <c r="D736" s="336" t="s">
        <v>8718</v>
      </c>
      <c r="E736" s="341">
        <v>5</v>
      </c>
      <c r="F736" s="342" t="s">
        <v>6337</v>
      </c>
      <c r="G736" s="352">
        <v>42.58</v>
      </c>
      <c r="H736" s="339">
        <f t="shared" si="319"/>
        <v>11.47</v>
      </c>
      <c r="I736" s="339">
        <f t="shared" si="320"/>
        <v>54.05</v>
      </c>
      <c r="J736" s="431">
        <f t="shared" si="321"/>
        <v>270.25</v>
      </c>
      <c r="K736" s="510">
        <f t="shared" si="315"/>
        <v>212.9</v>
      </c>
      <c r="L736" s="510">
        <f t="shared" si="314"/>
        <v>57.35</v>
      </c>
      <c r="M736" s="519"/>
      <c r="N736" s="519"/>
      <c r="O736" s="519"/>
      <c r="P736" s="519"/>
      <c r="Q736" s="519"/>
      <c r="R736" s="519"/>
      <c r="S736" s="519"/>
      <c r="T736" s="519">
        <f t="shared" si="322"/>
        <v>135.125</v>
      </c>
      <c r="U736" s="519">
        <f t="shared" si="323"/>
        <v>108.10000000000001</v>
      </c>
      <c r="V736" s="519"/>
      <c r="W736" s="519"/>
      <c r="X736" s="519"/>
      <c r="Y736" s="519">
        <f t="shared" si="324"/>
        <v>27.025000000000002</v>
      </c>
      <c r="Z736" s="519"/>
    </row>
    <row r="737" spans="1:26" s="512" customFormat="1" ht="45">
      <c r="A737" s="338" t="s">
        <v>8735</v>
      </c>
      <c r="B737" s="576" t="s">
        <v>6328</v>
      </c>
      <c r="C737" s="576">
        <v>10902</v>
      </c>
      <c r="D737" s="336" t="s">
        <v>8726</v>
      </c>
      <c r="E737" s="341">
        <v>5</v>
      </c>
      <c r="F737" s="342" t="s">
        <v>6337</v>
      </c>
      <c r="G737" s="352">
        <v>34.840000000000003</v>
      </c>
      <c r="H737" s="339">
        <f t="shared" si="319"/>
        <v>9.3800000000000008</v>
      </c>
      <c r="I737" s="339">
        <f t="shared" si="320"/>
        <v>44.220000000000006</v>
      </c>
      <c r="J737" s="431">
        <f t="shared" si="321"/>
        <v>221.1</v>
      </c>
      <c r="K737" s="510">
        <f t="shared" si="315"/>
        <v>174.2</v>
      </c>
      <c r="L737" s="510">
        <f t="shared" si="314"/>
        <v>46.9</v>
      </c>
      <c r="M737" s="519"/>
      <c r="N737" s="519"/>
      <c r="O737" s="519"/>
      <c r="P737" s="519"/>
      <c r="Q737" s="519"/>
      <c r="R737" s="519"/>
      <c r="S737" s="519"/>
      <c r="T737" s="519">
        <f t="shared" si="322"/>
        <v>110.55</v>
      </c>
      <c r="U737" s="519">
        <f t="shared" si="323"/>
        <v>88.44</v>
      </c>
      <c r="V737" s="519"/>
      <c r="W737" s="519"/>
      <c r="X737" s="519"/>
      <c r="Y737" s="519">
        <f t="shared" si="324"/>
        <v>22.11</v>
      </c>
      <c r="Z737" s="519"/>
    </row>
    <row r="738" spans="1:26" s="512" customFormat="1" ht="60">
      <c r="A738" s="338" t="s">
        <v>8736</v>
      </c>
      <c r="B738" s="576" t="s">
        <v>5256</v>
      </c>
      <c r="C738" s="576" t="s">
        <v>3728</v>
      </c>
      <c r="D738" s="336" t="s">
        <v>8719</v>
      </c>
      <c r="E738" s="341">
        <v>5</v>
      </c>
      <c r="F738" s="342" t="s">
        <v>6337</v>
      </c>
      <c r="G738" s="352">
        <v>149.02000000000001</v>
      </c>
      <c r="H738" s="339">
        <f t="shared" si="319"/>
        <v>40.130000000000003</v>
      </c>
      <c r="I738" s="339">
        <f t="shared" si="320"/>
        <v>189.15</v>
      </c>
      <c r="J738" s="431">
        <f t="shared" si="321"/>
        <v>945.75</v>
      </c>
      <c r="K738" s="510">
        <f t="shared" si="315"/>
        <v>745.1</v>
      </c>
      <c r="L738" s="510">
        <f t="shared" si="314"/>
        <v>200.65</v>
      </c>
      <c r="M738" s="519"/>
      <c r="N738" s="519"/>
      <c r="O738" s="519"/>
      <c r="P738" s="519"/>
      <c r="Q738" s="519"/>
      <c r="R738" s="519"/>
      <c r="S738" s="519"/>
      <c r="T738" s="519">
        <f t="shared" si="322"/>
        <v>472.875</v>
      </c>
      <c r="U738" s="519">
        <f t="shared" si="323"/>
        <v>378.3</v>
      </c>
      <c r="V738" s="519"/>
      <c r="W738" s="519"/>
      <c r="X738" s="519"/>
      <c r="Y738" s="519">
        <f t="shared" si="324"/>
        <v>94.575000000000003</v>
      </c>
      <c r="Z738" s="519"/>
    </row>
    <row r="739" spans="1:26" s="512" customFormat="1" ht="30">
      <c r="A739" s="338" t="s">
        <v>8737</v>
      </c>
      <c r="B739" s="576" t="s">
        <v>5256</v>
      </c>
      <c r="C739" s="576">
        <v>99624</v>
      </c>
      <c r="D739" s="336" t="s">
        <v>8720</v>
      </c>
      <c r="E739" s="341">
        <v>8</v>
      </c>
      <c r="F739" s="342" t="s">
        <v>6337</v>
      </c>
      <c r="G739" s="352">
        <v>187.89</v>
      </c>
      <c r="H739" s="339">
        <f t="shared" si="319"/>
        <v>50.6</v>
      </c>
      <c r="I739" s="339">
        <f t="shared" si="320"/>
        <v>238.48999999999998</v>
      </c>
      <c r="J739" s="431">
        <f t="shared" si="321"/>
        <v>1907.92</v>
      </c>
      <c r="K739" s="510">
        <f t="shared" si="315"/>
        <v>1503.12</v>
      </c>
      <c r="L739" s="510">
        <f t="shared" si="314"/>
        <v>404.8</v>
      </c>
      <c r="M739" s="519"/>
      <c r="N739" s="519"/>
      <c r="O739" s="519"/>
      <c r="P739" s="519"/>
      <c r="Q739" s="519"/>
      <c r="R739" s="519"/>
      <c r="S739" s="519"/>
      <c r="T739" s="519">
        <f t="shared" si="322"/>
        <v>953.96</v>
      </c>
      <c r="U739" s="519">
        <f t="shared" si="323"/>
        <v>763.16800000000012</v>
      </c>
      <c r="V739" s="519"/>
      <c r="W739" s="519"/>
      <c r="X739" s="519"/>
      <c r="Y739" s="519">
        <f t="shared" si="324"/>
        <v>190.79200000000003</v>
      </c>
      <c r="Z739" s="519"/>
    </row>
    <row r="740" spans="1:26" s="512" customFormat="1" ht="30">
      <c r="A740" s="338" t="s">
        <v>8738</v>
      </c>
      <c r="B740" s="576" t="s">
        <v>5256</v>
      </c>
      <c r="C740" s="576">
        <v>83633</v>
      </c>
      <c r="D740" s="336" t="s">
        <v>8721</v>
      </c>
      <c r="E740" s="341">
        <v>1</v>
      </c>
      <c r="F740" s="342" t="s">
        <v>6337</v>
      </c>
      <c r="G740" s="352">
        <v>1534.24</v>
      </c>
      <c r="H740" s="339">
        <f t="shared" si="319"/>
        <v>413.17</v>
      </c>
      <c r="I740" s="339">
        <f t="shared" si="320"/>
        <v>1947.41</v>
      </c>
      <c r="J740" s="431">
        <f t="shared" si="321"/>
        <v>1947.41</v>
      </c>
      <c r="K740" s="510">
        <f t="shared" si="315"/>
        <v>1534.24</v>
      </c>
      <c r="L740" s="510">
        <f t="shared" si="314"/>
        <v>413.17</v>
      </c>
      <c r="M740" s="519"/>
      <c r="N740" s="519"/>
      <c r="O740" s="519"/>
      <c r="P740" s="519"/>
      <c r="Q740" s="519"/>
      <c r="R740" s="519"/>
      <c r="S740" s="519"/>
      <c r="T740" s="519">
        <f t="shared" si="322"/>
        <v>973.70500000000004</v>
      </c>
      <c r="U740" s="519">
        <f t="shared" si="323"/>
        <v>778.96400000000006</v>
      </c>
      <c r="V740" s="519"/>
      <c r="W740" s="519"/>
      <c r="X740" s="519"/>
      <c r="Y740" s="519">
        <f t="shared" si="324"/>
        <v>194.74100000000001</v>
      </c>
      <c r="Z740" s="519"/>
    </row>
    <row r="741" spans="1:26" s="512" customFormat="1" ht="30">
      <c r="A741" s="338" t="s">
        <v>8740</v>
      </c>
      <c r="B741" s="576" t="s">
        <v>5256</v>
      </c>
      <c r="C741" s="576" t="s">
        <v>8739</v>
      </c>
      <c r="D741" s="336" t="s">
        <v>8716</v>
      </c>
      <c r="E741" s="341">
        <v>5</v>
      </c>
      <c r="F741" s="342" t="s">
        <v>6337</v>
      </c>
      <c r="G741" s="352">
        <v>235.91</v>
      </c>
      <c r="H741" s="339">
        <f t="shared" si="319"/>
        <v>63.53</v>
      </c>
      <c r="I741" s="339">
        <f t="shared" si="320"/>
        <v>299.44</v>
      </c>
      <c r="J741" s="431">
        <f t="shared" si="321"/>
        <v>1497.2</v>
      </c>
      <c r="K741" s="510">
        <f t="shared" si="315"/>
        <v>1179.55</v>
      </c>
      <c r="L741" s="510">
        <f t="shared" si="314"/>
        <v>317.64999999999998</v>
      </c>
      <c r="M741" s="519"/>
      <c r="N741" s="519"/>
      <c r="O741" s="519"/>
      <c r="P741" s="519"/>
      <c r="Q741" s="519"/>
      <c r="R741" s="519"/>
      <c r="S741" s="519"/>
      <c r="T741" s="519">
        <f t="shared" si="322"/>
        <v>748.6</v>
      </c>
      <c r="U741" s="519">
        <f t="shared" si="323"/>
        <v>598.88</v>
      </c>
      <c r="V741" s="519"/>
      <c r="W741" s="519"/>
      <c r="X741" s="519"/>
      <c r="Y741" s="519">
        <f t="shared" si="324"/>
        <v>149.72</v>
      </c>
      <c r="Z741" s="519"/>
    </row>
    <row r="742" spans="1:26" s="512" customFormat="1" ht="30">
      <c r="A742" s="338" t="s">
        <v>8742</v>
      </c>
      <c r="B742" s="576" t="s">
        <v>5256</v>
      </c>
      <c r="C742" s="576">
        <v>83635</v>
      </c>
      <c r="D742" s="336" t="s">
        <v>8722</v>
      </c>
      <c r="E742" s="341">
        <f>7+5</f>
        <v>12</v>
      </c>
      <c r="F742" s="342" t="s">
        <v>6337</v>
      </c>
      <c r="G742" s="352">
        <v>155.37</v>
      </c>
      <c r="H742" s="339">
        <f t="shared" si="319"/>
        <v>41.84</v>
      </c>
      <c r="I742" s="339">
        <f t="shared" si="320"/>
        <v>197.21</v>
      </c>
      <c r="J742" s="431">
        <f t="shared" si="321"/>
        <v>2366.52</v>
      </c>
      <c r="K742" s="510">
        <f t="shared" si="315"/>
        <v>1864.44</v>
      </c>
      <c r="L742" s="510">
        <f t="shared" si="314"/>
        <v>502.08</v>
      </c>
      <c r="M742" s="519"/>
      <c r="N742" s="519"/>
      <c r="O742" s="519"/>
      <c r="P742" s="519"/>
      <c r="Q742" s="519"/>
      <c r="R742" s="519"/>
      <c r="S742" s="519"/>
      <c r="T742" s="519">
        <f t="shared" si="322"/>
        <v>1183.26</v>
      </c>
      <c r="U742" s="519">
        <f t="shared" si="323"/>
        <v>946.60800000000006</v>
      </c>
      <c r="V742" s="519"/>
      <c r="W742" s="519"/>
      <c r="X742" s="519"/>
      <c r="Y742" s="519">
        <f t="shared" si="324"/>
        <v>236.65200000000002</v>
      </c>
      <c r="Z742" s="519"/>
    </row>
    <row r="743" spans="1:26" s="512" customFormat="1" ht="45">
      <c r="A743" s="338" t="s">
        <v>8744</v>
      </c>
      <c r="B743" s="576" t="s">
        <v>6333</v>
      </c>
      <c r="C743" s="576">
        <v>11173</v>
      </c>
      <c r="D743" s="336" t="s">
        <v>8741</v>
      </c>
      <c r="E743" s="341">
        <v>2</v>
      </c>
      <c r="F743" s="342" t="s">
        <v>6337</v>
      </c>
      <c r="G743" s="352">
        <v>1261.5999999999999</v>
      </c>
      <c r="H743" s="339">
        <f t="shared" si="319"/>
        <v>339.75</v>
      </c>
      <c r="I743" s="339">
        <f t="shared" si="320"/>
        <v>1601.35</v>
      </c>
      <c r="J743" s="431">
        <f t="shared" si="321"/>
        <v>3202.7</v>
      </c>
      <c r="K743" s="510">
        <f t="shared" si="315"/>
        <v>2523.1999999999998</v>
      </c>
      <c r="L743" s="510">
        <f t="shared" si="314"/>
        <v>679.5</v>
      </c>
      <c r="M743" s="519"/>
      <c r="N743" s="519"/>
      <c r="O743" s="519"/>
      <c r="P743" s="519"/>
      <c r="Q743" s="519"/>
      <c r="R743" s="519"/>
      <c r="S743" s="519"/>
      <c r="T743" s="519">
        <f t="shared" si="322"/>
        <v>1601.35</v>
      </c>
      <c r="U743" s="519">
        <f t="shared" si="323"/>
        <v>1281.08</v>
      </c>
      <c r="V743" s="519"/>
      <c r="W743" s="519"/>
      <c r="X743" s="519"/>
      <c r="Y743" s="519">
        <f t="shared" si="324"/>
        <v>320.27</v>
      </c>
      <c r="Z743" s="519"/>
    </row>
    <row r="744" spans="1:26" s="512" customFormat="1" ht="30">
      <c r="A744" s="338" t="s">
        <v>8745</v>
      </c>
      <c r="B744" s="576" t="s">
        <v>5256</v>
      </c>
      <c r="C744" s="576">
        <v>85120</v>
      </c>
      <c r="D744" s="336" t="s">
        <v>8723</v>
      </c>
      <c r="E744" s="341">
        <v>2</v>
      </c>
      <c r="F744" s="342" t="s">
        <v>6337</v>
      </c>
      <c r="G744" s="352">
        <v>99.08</v>
      </c>
      <c r="H744" s="339">
        <f t="shared" si="319"/>
        <v>26.68</v>
      </c>
      <c r="I744" s="339">
        <f t="shared" si="320"/>
        <v>125.75999999999999</v>
      </c>
      <c r="J744" s="431">
        <f t="shared" si="321"/>
        <v>251.52</v>
      </c>
      <c r="K744" s="510">
        <f t="shared" si="315"/>
        <v>198.16</v>
      </c>
      <c r="L744" s="510">
        <f t="shared" si="314"/>
        <v>53.36</v>
      </c>
      <c r="M744" s="519"/>
      <c r="N744" s="519"/>
      <c r="O744" s="519"/>
      <c r="P744" s="519"/>
      <c r="Q744" s="519"/>
      <c r="R744" s="519"/>
      <c r="S744" s="519"/>
      <c r="T744" s="519">
        <f t="shared" si="322"/>
        <v>125.76</v>
      </c>
      <c r="U744" s="519">
        <f t="shared" si="323"/>
        <v>100.608</v>
      </c>
      <c r="V744" s="519"/>
      <c r="W744" s="519"/>
      <c r="X744" s="519"/>
      <c r="Y744" s="519">
        <f t="shared" si="324"/>
        <v>25.152000000000001</v>
      </c>
      <c r="Z744" s="519"/>
    </row>
    <row r="745" spans="1:26" s="512" customFormat="1" ht="30">
      <c r="A745" s="338" t="s">
        <v>8746</v>
      </c>
      <c r="B745" s="576" t="s">
        <v>6333</v>
      </c>
      <c r="C745" s="576">
        <v>9905</v>
      </c>
      <c r="D745" s="336" t="s">
        <v>8724</v>
      </c>
      <c r="E745" s="341">
        <v>2</v>
      </c>
      <c r="F745" s="342" t="s">
        <v>6337</v>
      </c>
      <c r="G745" s="352">
        <v>369.08</v>
      </c>
      <c r="H745" s="339">
        <f t="shared" si="319"/>
        <v>99.39</v>
      </c>
      <c r="I745" s="339">
        <f t="shared" si="320"/>
        <v>468.46999999999997</v>
      </c>
      <c r="J745" s="431">
        <f t="shared" si="321"/>
        <v>936.94</v>
      </c>
      <c r="K745" s="510">
        <f t="shared" si="315"/>
        <v>738.16</v>
      </c>
      <c r="L745" s="510">
        <f t="shared" si="314"/>
        <v>198.78</v>
      </c>
      <c r="M745" s="519"/>
      <c r="N745" s="519"/>
      <c r="O745" s="519"/>
      <c r="P745" s="519"/>
      <c r="Q745" s="519"/>
      <c r="R745" s="519"/>
      <c r="S745" s="519"/>
      <c r="T745" s="519">
        <f t="shared" si="322"/>
        <v>468.47</v>
      </c>
      <c r="U745" s="519">
        <f t="shared" si="323"/>
        <v>374.77600000000007</v>
      </c>
      <c r="V745" s="519"/>
      <c r="W745" s="519"/>
      <c r="X745" s="519"/>
      <c r="Y745" s="519">
        <f t="shared" si="324"/>
        <v>93.694000000000017</v>
      </c>
      <c r="Z745" s="519"/>
    </row>
    <row r="746" spans="1:26" s="512" customFormat="1" ht="45">
      <c r="A746" s="338" t="s">
        <v>8747</v>
      </c>
      <c r="B746" s="576" t="s">
        <v>6333</v>
      </c>
      <c r="C746" s="576">
        <v>9670</v>
      </c>
      <c r="D746" s="336" t="s">
        <v>8725</v>
      </c>
      <c r="E746" s="341">
        <v>2</v>
      </c>
      <c r="F746" s="342" t="s">
        <v>6337</v>
      </c>
      <c r="G746" s="352">
        <v>140.71</v>
      </c>
      <c r="H746" s="339">
        <f t="shared" si="319"/>
        <v>37.89</v>
      </c>
      <c r="I746" s="339">
        <f t="shared" si="320"/>
        <v>178.60000000000002</v>
      </c>
      <c r="J746" s="431">
        <f t="shared" si="321"/>
        <v>357.2</v>
      </c>
      <c r="K746" s="510">
        <f t="shared" si="315"/>
        <v>281.42</v>
      </c>
      <c r="L746" s="510">
        <f t="shared" si="314"/>
        <v>75.78</v>
      </c>
      <c r="M746" s="519"/>
      <c r="N746" s="519"/>
      <c r="O746" s="519"/>
      <c r="P746" s="519"/>
      <c r="Q746" s="519"/>
      <c r="R746" s="519"/>
      <c r="S746" s="519"/>
      <c r="T746" s="519">
        <f t="shared" si="322"/>
        <v>178.6</v>
      </c>
      <c r="U746" s="519">
        <f t="shared" si="323"/>
        <v>142.88</v>
      </c>
      <c r="V746" s="519"/>
      <c r="W746" s="519"/>
      <c r="X746" s="519"/>
      <c r="Y746" s="519">
        <f t="shared" si="324"/>
        <v>35.72</v>
      </c>
      <c r="Z746" s="519"/>
    </row>
    <row r="747" spans="1:26" s="6" customFormat="1" ht="15">
      <c r="A747" s="700" t="s">
        <v>8756</v>
      </c>
      <c r="B747" s="700"/>
      <c r="C747" s="700"/>
      <c r="D747" s="700"/>
      <c r="E747" s="700"/>
      <c r="F747" s="700"/>
      <c r="G747" s="700"/>
      <c r="H747" s="700"/>
      <c r="I747" s="700"/>
      <c r="J747" s="432">
        <f>SUM(J724:J746)</f>
        <v>24525.5</v>
      </c>
      <c r="K747" s="513"/>
      <c r="L747" s="117"/>
      <c r="M747" s="514">
        <f>SUM(M724:M746)</f>
        <v>0</v>
      </c>
      <c r="N747" s="514">
        <f t="shared" ref="N747:Z747" si="325">SUM(N724:N746)</f>
        <v>0</v>
      </c>
      <c r="O747" s="514">
        <f t="shared" si="325"/>
        <v>0</v>
      </c>
      <c r="P747" s="514">
        <f t="shared" si="325"/>
        <v>0</v>
      </c>
      <c r="Q747" s="514">
        <f t="shared" si="325"/>
        <v>0</v>
      </c>
      <c r="R747" s="514">
        <f t="shared" si="325"/>
        <v>0</v>
      </c>
      <c r="S747" s="514">
        <f t="shared" si="325"/>
        <v>0</v>
      </c>
      <c r="T747" s="514">
        <f t="shared" si="325"/>
        <v>12262.75</v>
      </c>
      <c r="U747" s="514">
        <f t="shared" si="325"/>
        <v>9810.2000000000007</v>
      </c>
      <c r="V747" s="514">
        <f t="shared" si="325"/>
        <v>0</v>
      </c>
      <c r="W747" s="514">
        <f t="shared" si="325"/>
        <v>0</v>
      </c>
      <c r="X747" s="514">
        <f t="shared" si="325"/>
        <v>0</v>
      </c>
      <c r="Y747" s="514">
        <f t="shared" si="325"/>
        <v>2452.5500000000002</v>
      </c>
      <c r="Z747" s="514">
        <f t="shared" si="325"/>
        <v>0</v>
      </c>
    </row>
    <row r="748" spans="1:26" s="6" customFormat="1" ht="15">
      <c r="A748" s="29"/>
      <c r="B748" s="29"/>
      <c r="C748" s="29"/>
      <c r="D748" s="29"/>
      <c r="E748" s="189"/>
      <c r="F748" s="29"/>
      <c r="G748" s="353"/>
      <c r="H748" s="28"/>
      <c r="I748" s="28"/>
      <c r="J748" s="433"/>
      <c r="K748" s="155"/>
      <c r="L748" s="117"/>
      <c r="M748" s="358"/>
      <c r="N748" s="358"/>
      <c r="O748" s="358"/>
      <c r="P748" s="358"/>
      <c r="Q748" s="358"/>
      <c r="R748" s="358"/>
      <c r="S748" s="358"/>
      <c r="T748" s="358"/>
      <c r="U748" s="358"/>
      <c r="V748" s="358"/>
      <c r="W748" s="358"/>
      <c r="X748" s="358"/>
      <c r="Y748" s="358"/>
      <c r="Z748" s="358"/>
    </row>
    <row r="749" spans="1:26" ht="15">
      <c r="A749" s="701" t="s">
        <v>8755</v>
      </c>
      <c r="B749" s="701"/>
      <c r="C749" s="701"/>
      <c r="D749" s="701"/>
      <c r="E749" s="701"/>
      <c r="F749" s="701"/>
      <c r="G749" s="701"/>
      <c r="H749" s="701"/>
      <c r="I749" s="701"/>
      <c r="J749" s="434">
        <f>J747</f>
        <v>24525.5</v>
      </c>
      <c r="K749" s="515"/>
      <c r="M749" s="516">
        <f>M747</f>
        <v>0</v>
      </c>
      <c r="N749" s="516">
        <f t="shared" ref="N749:Z749" si="326">N747</f>
        <v>0</v>
      </c>
      <c r="O749" s="516">
        <f t="shared" si="326"/>
        <v>0</v>
      </c>
      <c r="P749" s="516">
        <f t="shared" si="326"/>
        <v>0</v>
      </c>
      <c r="Q749" s="516">
        <f t="shared" si="326"/>
        <v>0</v>
      </c>
      <c r="R749" s="516">
        <f t="shared" si="326"/>
        <v>0</v>
      </c>
      <c r="S749" s="516">
        <f t="shared" si="326"/>
        <v>0</v>
      </c>
      <c r="T749" s="516">
        <f t="shared" si="326"/>
        <v>12262.75</v>
      </c>
      <c r="U749" s="516">
        <f t="shared" si="326"/>
        <v>9810.2000000000007</v>
      </c>
      <c r="V749" s="516">
        <f t="shared" si="326"/>
        <v>0</v>
      </c>
      <c r="W749" s="516">
        <f t="shared" si="326"/>
        <v>0</v>
      </c>
      <c r="X749" s="516">
        <f t="shared" si="326"/>
        <v>0</v>
      </c>
      <c r="Y749" s="516">
        <f t="shared" si="326"/>
        <v>2452.5500000000002</v>
      </c>
      <c r="Z749" s="516">
        <f t="shared" si="326"/>
        <v>0</v>
      </c>
    </row>
    <row r="750" spans="1:26" s="6" customFormat="1" ht="15">
      <c r="A750" s="338"/>
      <c r="B750" s="576"/>
      <c r="C750" s="576"/>
      <c r="D750" s="336"/>
      <c r="E750" s="341"/>
      <c r="F750" s="342"/>
      <c r="G750" s="354"/>
      <c r="H750" s="11"/>
      <c r="I750" s="11"/>
      <c r="J750" s="435"/>
      <c r="K750" s="146"/>
      <c r="L750" s="117"/>
      <c r="M750" s="517">
        <f>M749/$J$749</f>
        <v>0</v>
      </c>
      <c r="N750" s="517">
        <f t="shared" ref="N750:Z750" si="327">N749/$J$749</f>
        <v>0</v>
      </c>
      <c r="O750" s="517">
        <f t="shared" si="327"/>
        <v>0</v>
      </c>
      <c r="P750" s="517">
        <f t="shared" si="327"/>
        <v>0</v>
      </c>
      <c r="Q750" s="517">
        <f t="shared" si="327"/>
        <v>0</v>
      </c>
      <c r="R750" s="517">
        <f t="shared" si="327"/>
        <v>0</v>
      </c>
      <c r="S750" s="517">
        <f t="shared" si="327"/>
        <v>0</v>
      </c>
      <c r="T750" s="517">
        <f t="shared" si="327"/>
        <v>0.5</v>
      </c>
      <c r="U750" s="517">
        <f t="shared" si="327"/>
        <v>0.4</v>
      </c>
      <c r="V750" s="517">
        <f t="shared" si="327"/>
        <v>0</v>
      </c>
      <c r="W750" s="517">
        <f t="shared" si="327"/>
        <v>0</v>
      </c>
      <c r="X750" s="517">
        <f t="shared" si="327"/>
        <v>0</v>
      </c>
      <c r="Y750" s="517">
        <f t="shared" si="327"/>
        <v>0.1</v>
      </c>
      <c r="Z750" s="517">
        <f t="shared" si="327"/>
        <v>0</v>
      </c>
    </row>
    <row r="751" spans="1:26" ht="15">
      <c r="A751" s="16" t="s">
        <v>14</v>
      </c>
      <c r="B751" s="16"/>
      <c r="C751" s="16"/>
      <c r="D751" s="702" t="s">
        <v>17</v>
      </c>
      <c r="E751" s="702"/>
      <c r="F751" s="702"/>
      <c r="G751" s="702"/>
      <c r="H751" s="702"/>
      <c r="I751" s="702"/>
      <c r="J751" s="12">
        <f>SUM(K:K)</f>
        <v>4833378.9800000032</v>
      </c>
      <c r="K751" s="527"/>
      <c r="L751" s="118"/>
      <c r="M751" s="525"/>
      <c r="N751" s="525"/>
      <c r="O751" s="525"/>
    </row>
    <row r="752" spans="1:26" ht="15">
      <c r="A752" s="16" t="s">
        <v>15</v>
      </c>
      <c r="B752" s="16"/>
      <c r="C752" s="16"/>
      <c r="D752" s="703" t="s">
        <v>5801</v>
      </c>
      <c r="E752" s="703"/>
      <c r="F752" s="703"/>
      <c r="G752" s="703"/>
      <c r="H752" s="703"/>
      <c r="I752" s="703"/>
      <c r="J752" s="427">
        <f>SUM(L:L)</f>
        <v>1259670.8999999999</v>
      </c>
      <c r="K752" s="527"/>
      <c r="L752" s="118"/>
      <c r="M752" s="525"/>
      <c r="N752" s="525"/>
      <c r="O752" s="525"/>
    </row>
    <row r="753" spans="1:15" ht="15">
      <c r="A753" s="16" t="s">
        <v>16</v>
      </c>
      <c r="B753" s="16"/>
      <c r="C753" s="16"/>
      <c r="D753" s="702" t="s">
        <v>18</v>
      </c>
      <c r="E753" s="702"/>
      <c r="F753" s="702"/>
      <c r="G753" s="702"/>
      <c r="H753" s="702"/>
      <c r="I753" s="702"/>
      <c r="J753" s="427">
        <f>J749+J720+J645+J400+J222+J99+J37+J29</f>
        <v>6102277.1999999993</v>
      </c>
      <c r="K753" s="527"/>
      <c r="L753" s="119"/>
      <c r="M753" s="500"/>
      <c r="N753" s="500"/>
      <c r="O753" s="500"/>
    </row>
    <row r="754" spans="1:15" ht="15">
      <c r="A754" s="338"/>
      <c r="B754" s="461"/>
      <c r="C754" s="461"/>
      <c r="D754" s="462"/>
      <c r="E754" s="463"/>
      <c r="F754" s="461"/>
      <c r="G754" s="464"/>
      <c r="H754" s="465"/>
      <c r="I754" s="465"/>
      <c r="J754" s="466"/>
      <c r="K754" s="35"/>
      <c r="L754" s="119"/>
      <c r="M754" s="500"/>
      <c r="N754" s="500"/>
      <c r="O754" s="500"/>
    </row>
    <row r="755" spans="1:15" ht="15">
      <c r="A755" s="587"/>
      <c r="B755" s="33"/>
      <c r="C755" s="33"/>
      <c r="D755" s="34"/>
      <c r="E755" s="190"/>
      <c r="F755" s="33"/>
      <c r="G755" s="357"/>
      <c r="H755" s="14"/>
      <c r="I755" s="14"/>
      <c r="J755" s="428"/>
      <c r="K755" s="35"/>
    </row>
    <row r="756" spans="1:15" ht="15">
      <c r="A756" s="587"/>
      <c r="B756" s="587"/>
      <c r="C756" s="587"/>
      <c r="D756" s="594" t="s">
        <v>15581</v>
      </c>
      <c r="E756" s="20"/>
      <c r="F756" s="36"/>
      <c r="G756" s="347"/>
      <c r="H756" s="141"/>
      <c r="I756" s="141"/>
      <c r="J756" s="429"/>
      <c r="K756" s="146"/>
    </row>
    <row r="757" spans="1:15" ht="15">
      <c r="A757" s="587"/>
      <c r="B757" s="587"/>
      <c r="C757" s="587"/>
      <c r="D757" s="594" t="s">
        <v>15582</v>
      </c>
      <c r="E757" s="20"/>
      <c r="F757" s="36"/>
      <c r="G757" s="347"/>
      <c r="H757" s="141"/>
      <c r="I757" s="141"/>
      <c r="J757" s="429"/>
      <c r="K757" s="146"/>
    </row>
    <row r="758" spans="1:15" ht="15">
      <c r="A758" s="587"/>
      <c r="B758" s="587"/>
      <c r="C758" s="587"/>
      <c r="D758" s="594" t="s">
        <v>15583</v>
      </c>
      <c r="E758" s="20"/>
      <c r="F758" s="36"/>
      <c r="G758" s="347"/>
      <c r="H758" s="141"/>
      <c r="I758" s="141"/>
      <c r="J758" s="429"/>
      <c r="K758" s="146"/>
    </row>
    <row r="759" spans="1:15" ht="15">
      <c r="A759" s="587"/>
      <c r="B759" s="587"/>
      <c r="C759" s="587"/>
      <c r="D759" s="594" t="s">
        <v>15584</v>
      </c>
      <c r="E759" s="20"/>
      <c r="F759" s="36"/>
      <c r="G759" s="347"/>
      <c r="H759" s="141"/>
      <c r="I759" s="141"/>
      <c r="J759" s="429"/>
      <c r="K759" s="146"/>
    </row>
    <row r="760" spans="1:15" ht="15">
      <c r="A760" s="587"/>
      <c r="B760" s="587"/>
      <c r="C760" s="587"/>
      <c r="D760" s="586"/>
      <c r="E760" s="20"/>
      <c r="F760" s="36"/>
      <c r="G760" s="347"/>
      <c r="H760" s="141"/>
      <c r="I760" s="141"/>
      <c r="J760" s="429"/>
      <c r="K760" s="146"/>
    </row>
    <row r="761" spans="1:15" ht="15">
      <c r="A761" s="587"/>
      <c r="B761" s="587"/>
      <c r="C761" s="587"/>
      <c r="D761" s="586"/>
      <c r="E761" s="20"/>
      <c r="F761" s="36"/>
      <c r="G761" s="347"/>
      <c r="H761" s="141"/>
      <c r="I761" s="141"/>
      <c r="J761" s="429"/>
      <c r="K761" s="146"/>
    </row>
    <row r="762" spans="1:15">
      <c r="B762" s="22"/>
      <c r="C762" s="22"/>
      <c r="D762" s="588"/>
      <c r="E762" s="191"/>
      <c r="F762" s="6"/>
      <c r="G762" s="358"/>
      <c r="H762" s="333"/>
      <c r="I762" s="333"/>
      <c r="J762" s="381"/>
    </row>
  </sheetData>
  <sheetProtection selectLockedCells="1" selectUnlockedCells="1"/>
  <mergeCells count="129">
    <mergeCell ref="D751:I751"/>
    <mergeCell ref="D752:I752"/>
    <mergeCell ref="D753:I753"/>
    <mergeCell ref="A718:I718"/>
    <mergeCell ref="A720:I720"/>
    <mergeCell ref="B722:J722"/>
    <mergeCell ref="B723:C723"/>
    <mergeCell ref="A747:I747"/>
    <mergeCell ref="A749:I749"/>
    <mergeCell ref="B655:C655"/>
    <mergeCell ref="B659:J659"/>
    <mergeCell ref="B675:J675"/>
    <mergeCell ref="B684:J684"/>
    <mergeCell ref="B695:J695"/>
    <mergeCell ref="B716:J716"/>
    <mergeCell ref="A645:I645"/>
    <mergeCell ref="B647:J647"/>
    <mergeCell ref="B648:C648"/>
    <mergeCell ref="B649:J649"/>
    <mergeCell ref="B650:J650"/>
    <mergeCell ref="A652:I652"/>
    <mergeCell ref="B596:J596"/>
    <mergeCell ref="A633:I633"/>
    <mergeCell ref="B635:J635"/>
    <mergeCell ref="B636:J636"/>
    <mergeCell ref="B639:J639"/>
    <mergeCell ref="A643:I643"/>
    <mergeCell ref="B578:J578"/>
    <mergeCell ref="B583:J583"/>
    <mergeCell ref="B585:J585"/>
    <mergeCell ref="B589:J589"/>
    <mergeCell ref="B592:J592"/>
    <mergeCell ref="A594:I594"/>
    <mergeCell ref="B563:J563"/>
    <mergeCell ref="B564:J564"/>
    <mergeCell ref="B570:J570"/>
    <mergeCell ref="B573:J573"/>
    <mergeCell ref="A575:I575"/>
    <mergeCell ref="B577:J577"/>
    <mergeCell ref="B521:C521"/>
    <mergeCell ref="B523:C523"/>
    <mergeCell ref="B526:J526"/>
    <mergeCell ref="B548:J548"/>
    <mergeCell ref="B551:J551"/>
    <mergeCell ref="A561:I561"/>
    <mergeCell ref="B402:J402"/>
    <mergeCell ref="B403:C403"/>
    <mergeCell ref="B404:J404"/>
    <mergeCell ref="B405:J405"/>
    <mergeCell ref="B410:J410"/>
    <mergeCell ref="B416:J416"/>
    <mergeCell ref="A336:I336"/>
    <mergeCell ref="B338:J338"/>
    <mergeCell ref="B339:J339"/>
    <mergeCell ref="B390:J390"/>
    <mergeCell ref="A398:I398"/>
    <mergeCell ref="A400:I400"/>
    <mergeCell ref="A316:I316"/>
    <mergeCell ref="B318:J318"/>
    <mergeCell ref="B319:J319"/>
    <mergeCell ref="B321:J321"/>
    <mergeCell ref="B329:J329"/>
    <mergeCell ref="B331:J331"/>
    <mergeCell ref="A222:I222"/>
    <mergeCell ref="B224:J224"/>
    <mergeCell ref="B226:J226"/>
    <mergeCell ref="B227:J227"/>
    <mergeCell ref="B283:J283"/>
    <mergeCell ref="B310:J310"/>
    <mergeCell ref="B185:J185"/>
    <mergeCell ref="B191:J191"/>
    <mergeCell ref="B204:J204"/>
    <mergeCell ref="A214:I214"/>
    <mergeCell ref="B216:J216"/>
    <mergeCell ref="A220:I220"/>
    <mergeCell ref="B144:J144"/>
    <mergeCell ref="B148:J148"/>
    <mergeCell ref="B157:J157"/>
    <mergeCell ref="B163:J163"/>
    <mergeCell ref="B167:J167"/>
    <mergeCell ref="B177:J177"/>
    <mergeCell ref="B101:J101"/>
    <mergeCell ref="B102:C102"/>
    <mergeCell ref="B103:J103"/>
    <mergeCell ref="B104:J104"/>
    <mergeCell ref="B116:J116"/>
    <mergeCell ref="B138:J138"/>
    <mergeCell ref="B88:J88"/>
    <mergeCell ref="B89:J89"/>
    <mergeCell ref="B91:C91"/>
    <mergeCell ref="B94:J94"/>
    <mergeCell ref="A97:I97"/>
    <mergeCell ref="A99:I99"/>
    <mergeCell ref="A70:I70"/>
    <mergeCell ref="B72:J72"/>
    <mergeCell ref="B73:J73"/>
    <mergeCell ref="B78:J78"/>
    <mergeCell ref="B82:J82"/>
    <mergeCell ref="A86:I86"/>
    <mergeCell ref="B41:J41"/>
    <mergeCell ref="B42:J42"/>
    <mergeCell ref="B45:J45"/>
    <mergeCell ref="B50:J50"/>
    <mergeCell ref="B57:J57"/>
    <mergeCell ref="B68:J68"/>
    <mergeCell ref="B32:C32"/>
    <mergeCell ref="B33:J33"/>
    <mergeCell ref="A35:I35"/>
    <mergeCell ref="A37:I37"/>
    <mergeCell ref="B39:J39"/>
    <mergeCell ref="B40:C40"/>
    <mergeCell ref="B20:J20"/>
    <mergeCell ref="A22:I22"/>
    <mergeCell ref="B24:J24"/>
    <mergeCell ref="A27:I27"/>
    <mergeCell ref="A29:I29"/>
    <mergeCell ref="B31:J31"/>
    <mergeCell ref="B11:J11"/>
    <mergeCell ref="B12:J12"/>
    <mergeCell ref="C15:J15"/>
    <mergeCell ref="A17:J17"/>
    <mergeCell ref="B18:J18"/>
    <mergeCell ref="B19:C19"/>
    <mergeCell ref="A2:J2"/>
    <mergeCell ref="A3:J3"/>
    <mergeCell ref="A4:J4"/>
    <mergeCell ref="A7:J7"/>
    <mergeCell ref="B9:J9"/>
    <mergeCell ref="B10:J10"/>
  </mergeCells>
  <printOptions horizontalCentered="1"/>
  <pageMargins left="0.70866141732283472" right="0.70866141732283472" top="0.39370078740157483" bottom="0.78740157480314965" header="0.19685039370078741" footer="0"/>
  <pageSetup paperSize="9" scale="55" firstPageNumber="4" fitToHeight="0" orientation="portrait" useFirstPageNumber="1" r:id="rId1"/>
  <headerFooter alignWithMargins="0">
    <oddHeader>&amp;LVEGA CONSTRUTORA E INCORPORAÇÕES LTDA&amp;RCNPJ: 02.342.988/0001-00</oddHeader>
    <oddFooter xml:space="preserve">&amp;C
&amp;RPágina &amp;P
</oddFooter>
  </headerFooter>
  <rowBreaks count="1" manualBreakCount="1">
    <brk id="317"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theme="8"/>
    <pageSetUpPr fitToPage="1"/>
  </sheetPr>
  <dimension ref="A1:AE626"/>
  <sheetViews>
    <sheetView view="pageBreakPreview" topLeftCell="A598" zoomScaleNormal="100" zoomScaleSheetLayoutView="100" workbookViewId="0">
      <selection activeCell="B624" sqref="B624"/>
    </sheetView>
  </sheetViews>
  <sheetFormatPr defaultRowHeight="12.75"/>
  <cols>
    <col min="1" max="1" width="13" style="8" customWidth="1"/>
    <col min="2" max="2" width="70.5703125" style="9" customWidth="1"/>
    <col min="3" max="3" width="15" style="436" customWidth="1"/>
    <col min="4" max="4" width="13.28515625" style="359" hidden="1" customWidth="1"/>
    <col min="5" max="5" width="13.28515625" style="2" hidden="1" customWidth="1"/>
    <col min="6" max="7" width="15" style="436" customWidth="1"/>
    <col min="8" max="16384" width="9.140625" style="4"/>
  </cols>
  <sheetData>
    <row r="1" spans="1:31" ht="15">
      <c r="A1" s="140"/>
      <c r="B1" s="39"/>
      <c r="C1" s="429"/>
      <c r="D1" s="347"/>
      <c r="E1" s="141"/>
      <c r="F1" s="429"/>
      <c r="G1" s="429"/>
    </row>
    <row r="2" spans="1:31" ht="15">
      <c r="A2" s="685" t="s">
        <v>35</v>
      </c>
      <c r="B2" s="685"/>
      <c r="C2" s="685"/>
      <c r="D2" s="685"/>
      <c r="E2" s="685"/>
      <c r="F2" s="685"/>
      <c r="G2" s="685"/>
    </row>
    <row r="3" spans="1:31" ht="15">
      <c r="A3" s="685" t="s">
        <v>36</v>
      </c>
      <c r="B3" s="685"/>
      <c r="C3" s="685"/>
      <c r="D3" s="685"/>
      <c r="E3" s="685"/>
      <c r="F3" s="685"/>
      <c r="G3" s="685"/>
    </row>
    <row r="4" spans="1:31" ht="15">
      <c r="A4" s="685" t="s">
        <v>5924</v>
      </c>
      <c r="B4" s="685"/>
      <c r="C4" s="685"/>
      <c r="D4" s="685"/>
      <c r="E4" s="685"/>
      <c r="F4" s="685"/>
      <c r="G4" s="685"/>
    </row>
    <row r="5" spans="1:31" ht="15">
      <c r="A5" s="33"/>
      <c r="B5" s="34" t="s">
        <v>29</v>
      </c>
      <c r="C5" s="428"/>
      <c r="D5" s="348"/>
      <c r="E5" s="41"/>
      <c r="F5" s="428"/>
      <c r="G5" s="428"/>
    </row>
    <row r="6" spans="1:31" ht="15">
      <c r="A6" s="33"/>
      <c r="B6" s="34"/>
      <c r="C6" s="429"/>
      <c r="D6" s="347"/>
      <c r="E6" s="141"/>
      <c r="F6" s="429"/>
      <c r="G6" s="429"/>
    </row>
    <row r="7" spans="1:31" ht="21">
      <c r="A7" s="689" t="s">
        <v>15495</v>
      </c>
      <c r="B7" s="689"/>
      <c r="C7" s="689"/>
      <c r="D7" s="689"/>
      <c r="E7" s="689"/>
      <c r="F7" s="689"/>
      <c r="G7" s="689"/>
    </row>
    <row r="8" spans="1:31" ht="15">
      <c r="A8" s="33"/>
      <c r="B8" s="34"/>
      <c r="C8" s="428"/>
      <c r="D8" s="348"/>
      <c r="E8" s="41"/>
      <c r="F8" s="428"/>
      <c r="G8" s="428"/>
    </row>
    <row r="9" spans="1:31" ht="15">
      <c r="A9" s="43" t="s">
        <v>5251</v>
      </c>
      <c r="B9" s="71" t="s">
        <v>9600</v>
      </c>
      <c r="C9" s="71"/>
      <c r="D9" s="71"/>
      <c r="E9" s="71"/>
      <c r="F9" s="71"/>
      <c r="G9" s="71"/>
    </row>
    <row r="10" spans="1:31" ht="15">
      <c r="A10" s="43" t="s">
        <v>131</v>
      </c>
      <c r="B10" s="71" t="s">
        <v>7854</v>
      </c>
      <c r="C10" s="71"/>
      <c r="D10" s="71"/>
      <c r="E10" s="71"/>
      <c r="F10" s="71"/>
      <c r="G10" s="71"/>
    </row>
    <row r="11" spans="1:31" ht="15">
      <c r="A11" s="43" t="s">
        <v>5252</v>
      </c>
      <c r="B11" s="71" t="s">
        <v>15460</v>
      </c>
      <c r="C11" s="71"/>
      <c r="D11" s="71"/>
      <c r="E11" s="71"/>
      <c r="F11" s="71"/>
      <c r="G11" s="71"/>
    </row>
    <row r="12" spans="1:31" ht="15">
      <c r="A12" s="688" t="s">
        <v>5796</v>
      </c>
      <c r="B12" s="688"/>
      <c r="C12" s="688"/>
      <c r="D12" s="688"/>
      <c r="E12" s="688"/>
      <c r="F12" s="688"/>
      <c r="G12" s="688"/>
    </row>
    <row r="13" spans="1:31" s="6" customFormat="1" ht="15">
      <c r="A13" s="497" t="s">
        <v>0</v>
      </c>
      <c r="B13" s="23" t="s">
        <v>1</v>
      </c>
      <c r="C13" s="430" t="s">
        <v>133</v>
      </c>
      <c r="D13" s="351" t="s">
        <v>12</v>
      </c>
      <c r="E13" s="182" t="s">
        <v>6735</v>
      </c>
      <c r="F13" s="430"/>
      <c r="G13" s="430"/>
    </row>
    <row r="14" spans="1:31" s="512" customFormat="1" ht="15">
      <c r="A14" s="338" t="s">
        <v>6758</v>
      </c>
      <c r="B14" s="336" t="s">
        <v>9652</v>
      </c>
      <c r="C14" s="431">
        <v>660137.39</v>
      </c>
      <c r="D14" s="352">
        <v>2970.5300000000007</v>
      </c>
      <c r="E14" s="339">
        <v>799.96</v>
      </c>
      <c r="F14" s="431"/>
      <c r="G14" s="431"/>
    </row>
    <row r="15" spans="1:31" s="512" customFormat="1" ht="30">
      <c r="A15" s="479" t="s">
        <v>6759</v>
      </c>
      <c r="B15" s="480" t="s">
        <v>9654</v>
      </c>
      <c r="C15" s="483">
        <v>507028.5</v>
      </c>
      <c r="D15" s="481">
        <v>206.82000000000002</v>
      </c>
      <c r="E15" s="482">
        <v>55.7</v>
      </c>
      <c r="F15" s="483"/>
      <c r="G15" s="483"/>
      <c r="H15" s="526"/>
      <c r="I15" s="526"/>
      <c r="J15" s="526"/>
      <c r="K15" s="526"/>
      <c r="L15" s="526"/>
      <c r="M15" s="526"/>
      <c r="N15" s="526"/>
      <c r="O15" s="526"/>
      <c r="P15" s="526"/>
      <c r="Q15" s="526"/>
      <c r="R15" s="526"/>
      <c r="S15" s="526"/>
      <c r="T15" s="526"/>
      <c r="U15" s="526"/>
      <c r="V15" s="526"/>
      <c r="W15" s="526"/>
      <c r="X15" s="526"/>
      <c r="Y15" s="526"/>
      <c r="Z15" s="526"/>
      <c r="AA15" s="526"/>
      <c r="AB15" s="526"/>
      <c r="AC15" s="526"/>
      <c r="AD15" s="526"/>
      <c r="AE15" s="526"/>
    </row>
    <row r="16" spans="1:31" s="512" customFormat="1" ht="15">
      <c r="A16" s="338" t="s">
        <v>15445</v>
      </c>
      <c r="B16" s="336" t="s">
        <v>8938</v>
      </c>
      <c r="C16" s="431">
        <v>251823.61</v>
      </c>
      <c r="D16" s="339">
        <v>103.53</v>
      </c>
      <c r="E16" s="339">
        <v>27.88</v>
      </c>
      <c r="F16" s="431"/>
      <c r="G16" s="431"/>
    </row>
    <row r="17" spans="1:31" s="512" customFormat="1" ht="30">
      <c r="A17" s="338" t="s">
        <v>6843</v>
      </c>
      <c r="B17" s="336" t="s">
        <v>6839</v>
      </c>
      <c r="C17" s="431">
        <v>187508.28</v>
      </c>
      <c r="D17" s="352">
        <v>88.71</v>
      </c>
      <c r="E17" s="339">
        <v>23.89</v>
      </c>
      <c r="F17" s="431"/>
      <c r="G17" s="431"/>
    </row>
    <row r="18" spans="1:31" s="512" customFormat="1" ht="15">
      <c r="A18" s="338" t="s">
        <v>7956</v>
      </c>
      <c r="B18" s="336" t="s">
        <v>7001</v>
      </c>
      <c r="C18" s="431">
        <v>156447.01</v>
      </c>
      <c r="D18" s="352">
        <v>527</v>
      </c>
      <c r="E18" s="339">
        <v>141.91999999999999</v>
      </c>
      <c r="F18" s="431"/>
      <c r="G18" s="431"/>
    </row>
    <row r="19" spans="1:31" s="512" customFormat="1" ht="60">
      <c r="A19" s="338" t="s">
        <v>9096</v>
      </c>
      <c r="B19" s="336" t="s">
        <v>9570</v>
      </c>
      <c r="C19" s="431">
        <v>155820.29</v>
      </c>
      <c r="D19" s="352">
        <v>196.68</v>
      </c>
      <c r="E19" s="339">
        <v>41.17</v>
      </c>
      <c r="F19" s="431"/>
      <c r="G19" s="431"/>
    </row>
    <row r="20" spans="1:31" s="512" customFormat="1" ht="30">
      <c r="A20" s="338" t="s">
        <v>7940</v>
      </c>
      <c r="B20" s="336" t="s">
        <v>7827</v>
      </c>
      <c r="C20" s="431">
        <v>148526.07</v>
      </c>
      <c r="D20" s="352">
        <v>73.940000000000012</v>
      </c>
      <c r="E20" s="339">
        <v>19.91</v>
      </c>
      <c r="F20" s="431"/>
      <c r="G20" s="431"/>
    </row>
    <row r="21" spans="1:31" s="512" customFormat="1" ht="45">
      <c r="A21" s="479" t="s">
        <v>9303</v>
      </c>
      <c r="B21" s="480" t="s">
        <v>9321</v>
      </c>
      <c r="C21" s="483">
        <v>135466.75</v>
      </c>
      <c r="D21" s="481">
        <v>56010.396745800004</v>
      </c>
      <c r="E21" s="482">
        <v>11722.98</v>
      </c>
      <c r="F21" s="483"/>
      <c r="G21" s="483"/>
      <c r="H21" s="526"/>
      <c r="I21" s="526"/>
      <c r="J21" s="526"/>
      <c r="K21" s="526"/>
      <c r="L21" s="526"/>
      <c r="M21" s="526"/>
      <c r="N21" s="526"/>
      <c r="O21" s="526"/>
      <c r="P21" s="526"/>
      <c r="Q21" s="526"/>
      <c r="R21" s="526"/>
      <c r="S21" s="526"/>
      <c r="T21" s="526"/>
      <c r="U21" s="526"/>
      <c r="V21" s="526"/>
      <c r="W21" s="526"/>
      <c r="X21" s="526"/>
      <c r="Y21" s="526"/>
      <c r="Z21" s="526"/>
      <c r="AA21" s="526"/>
      <c r="AB21" s="526"/>
      <c r="AC21" s="526"/>
      <c r="AD21" s="526"/>
      <c r="AE21" s="526"/>
    </row>
    <row r="22" spans="1:31" s="512" customFormat="1" ht="45">
      <c r="A22" s="479" t="s">
        <v>9304</v>
      </c>
      <c r="B22" s="480" t="s">
        <v>9322</v>
      </c>
      <c r="C22" s="483">
        <v>135361.64000000001</v>
      </c>
      <c r="D22" s="481">
        <v>55966.9383294</v>
      </c>
      <c r="E22" s="482">
        <v>11713.88</v>
      </c>
      <c r="F22" s="483"/>
      <c r="G22" s="483"/>
      <c r="H22" s="526"/>
      <c r="I22" s="526"/>
      <c r="J22" s="526"/>
      <c r="K22" s="526"/>
      <c r="L22" s="526"/>
      <c r="M22" s="526"/>
      <c r="N22" s="526"/>
      <c r="O22" s="526"/>
      <c r="P22" s="526"/>
      <c r="Q22" s="526"/>
      <c r="R22" s="526"/>
      <c r="S22" s="526"/>
      <c r="T22" s="526"/>
      <c r="U22" s="526"/>
      <c r="V22" s="526"/>
      <c r="W22" s="526"/>
      <c r="X22" s="526"/>
      <c r="Y22" s="526"/>
      <c r="Z22" s="526"/>
      <c r="AA22" s="526"/>
      <c r="AB22" s="526"/>
      <c r="AC22" s="526"/>
      <c r="AD22" s="526"/>
      <c r="AE22" s="526"/>
    </row>
    <row r="23" spans="1:31" s="512" customFormat="1" ht="15">
      <c r="A23" s="338" t="s">
        <v>6852</v>
      </c>
      <c r="B23" s="336" t="s">
        <v>6850</v>
      </c>
      <c r="C23" s="431">
        <v>134278.92000000001</v>
      </c>
      <c r="D23" s="352">
        <v>26.88</v>
      </c>
      <c r="E23" s="339">
        <v>7.24</v>
      </c>
      <c r="F23" s="431"/>
      <c r="G23" s="431"/>
    </row>
    <row r="24" spans="1:31" s="512" customFormat="1" ht="30">
      <c r="A24" s="338" t="s">
        <v>7889</v>
      </c>
      <c r="B24" s="336" t="s">
        <v>6769</v>
      </c>
      <c r="C24" s="431">
        <v>124935.2</v>
      </c>
      <c r="D24" s="352">
        <v>105.66</v>
      </c>
      <c r="E24" s="339">
        <v>28.45</v>
      </c>
      <c r="F24" s="431"/>
      <c r="G24" s="431"/>
    </row>
    <row r="25" spans="1:31" s="512" customFormat="1" ht="30">
      <c r="A25" s="338" t="s">
        <v>9337</v>
      </c>
      <c r="B25" s="336" t="s">
        <v>9339</v>
      </c>
      <c r="C25" s="431">
        <v>116092.8</v>
      </c>
      <c r="D25" s="352">
        <v>96000</v>
      </c>
      <c r="E25" s="339">
        <v>20092.8</v>
      </c>
      <c r="F25" s="431"/>
      <c r="G25" s="431"/>
    </row>
    <row r="26" spans="1:31" s="512" customFormat="1" ht="30">
      <c r="A26" s="338" t="s">
        <v>8640</v>
      </c>
      <c r="B26" s="336" t="s">
        <v>9279</v>
      </c>
      <c r="C26" s="431">
        <v>116014.8</v>
      </c>
      <c r="D26" s="352">
        <v>122.19</v>
      </c>
      <c r="E26" s="339">
        <v>32.909999999999997</v>
      </c>
      <c r="F26" s="431"/>
      <c r="G26" s="431"/>
    </row>
    <row r="27" spans="1:31" s="512" customFormat="1" ht="30">
      <c r="A27" s="338" t="s">
        <v>6831</v>
      </c>
      <c r="B27" s="336" t="s">
        <v>15395</v>
      </c>
      <c r="C27" s="431">
        <v>99612.17</v>
      </c>
      <c r="D27" s="352">
        <v>89.22999999999999</v>
      </c>
      <c r="E27" s="339">
        <v>24.03</v>
      </c>
      <c r="F27" s="431"/>
      <c r="G27" s="431"/>
    </row>
    <row r="28" spans="1:31" s="512" customFormat="1" ht="15">
      <c r="A28" s="338" t="s">
        <v>6757</v>
      </c>
      <c r="B28" s="336" t="s">
        <v>9653</v>
      </c>
      <c r="C28" s="431">
        <v>97114.46</v>
      </c>
      <c r="D28" s="352">
        <v>2409.0099999999993</v>
      </c>
      <c r="E28" s="339">
        <v>648.75</v>
      </c>
      <c r="F28" s="431"/>
      <c r="G28" s="431"/>
    </row>
    <row r="29" spans="1:31" s="512" customFormat="1" ht="30">
      <c r="A29" s="338" t="s">
        <v>8665</v>
      </c>
      <c r="B29" s="336" t="s">
        <v>8664</v>
      </c>
      <c r="C29" s="431">
        <v>89045.7</v>
      </c>
      <c r="D29" s="352">
        <v>59.31</v>
      </c>
      <c r="E29" s="339">
        <v>15.97</v>
      </c>
      <c r="F29" s="431"/>
      <c r="G29" s="431"/>
    </row>
    <row r="30" spans="1:31" s="512" customFormat="1" ht="15">
      <c r="A30" s="338" t="s">
        <v>6864</v>
      </c>
      <c r="B30" s="336" t="s">
        <v>6861</v>
      </c>
      <c r="C30" s="431">
        <v>81274.19</v>
      </c>
      <c r="D30" s="352">
        <v>11.57</v>
      </c>
      <c r="E30" s="339">
        <v>3.12</v>
      </c>
      <c r="F30" s="431"/>
      <c r="G30" s="431"/>
    </row>
    <row r="31" spans="1:31" s="512" customFormat="1" ht="30">
      <c r="A31" s="338" t="s">
        <v>7888</v>
      </c>
      <c r="B31" s="336" t="s">
        <v>6768</v>
      </c>
      <c r="C31" s="431">
        <v>80827.199999999997</v>
      </c>
      <c r="D31" s="352">
        <v>62.48</v>
      </c>
      <c r="E31" s="339">
        <v>16.829999999999998</v>
      </c>
      <c r="F31" s="431"/>
      <c r="G31" s="431"/>
    </row>
    <row r="32" spans="1:31" s="512" customFormat="1" ht="30">
      <c r="A32" s="338" t="s">
        <v>7925</v>
      </c>
      <c r="B32" s="336" t="s">
        <v>8931</v>
      </c>
      <c r="C32" s="431">
        <v>79713.31</v>
      </c>
      <c r="D32" s="352">
        <v>72.050000000000011</v>
      </c>
      <c r="E32" s="339">
        <v>19.399999999999999</v>
      </c>
      <c r="F32" s="431"/>
      <c r="G32" s="431"/>
    </row>
    <row r="33" spans="1:31" s="512" customFormat="1" ht="30">
      <c r="A33" s="338" t="s">
        <v>9097</v>
      </c>
      <c r="B33" s="336" t="s">
        <v>9571</v>
      </c>
      <c r="C33" s="431">
        <v>79374.34</v>
      </c>
      <c r="D33" s="352">
        <v>100.19000000000003</v>
      </c>
      <c r="E33" s="339">
        <v>20.97</v>
      </c>
      <c r="F33" s="431"/>
      <c r="G33" s="431"/>
    </row>
    <row r="34" spans="1:31" s="512" customFormat="1" ht="60">
      <c r="A34" s="338" t="s">
        <v>5956</v>
      </c>
      <c r="B34" s="336" t="s">
        <v>9008</v>
      </c>
      <c r="C34" s="431">
        <v>77163.44</v>
      </c>
      <c r="D34" s="352">
        <v>63808.35</v>
      </c>
      <c r="E34" s="339">
        <v>13355.09</v>
      </c>
      <c r="F34" s="431"/>
      <c r="G34" s="431"/>
    </row>
    <row r="35" spans="1:31" s="512" customFormat="1" ht="30">
      <c r="A35" s="338" t="s">
        <v>8332</v>
      </c>
      <c r="B35" s="336" t="s">
        <v>7244</v>
      </c>
      <c r="C35" s="431">
        <v>75390</v>
      </c>
      <c r="D35" s="352">
        <v>2.83</v>
      </c>
      <c r="E35" s="339">
        <v>0.76</v>
      </c>
      <c r="F35" s="431"/>
      <c r="G35" s="431"/>
    </row>
    <row r="36" spans="1:31" s="512" customFormat="1" ht="75">
      <c r="A36" s="338" t="s">
        <v>8429</v>
      </c>
      <c r="B36" s="336" t="s">
        <v>7296</v>
      </c>
      <c r="C36" s="431">
        <v>74720.52</v>
      </c>
      <c r="D36" s="352">
        <v>295.82</v>
      </c>
      <c r="E36" s="339">
        <v>79.66</v>
      </c>
      <c r="F36" s="431"/>
      <c r="G36" s="431"/>
    </row>
    <row r="37" spans="1:31" s="512" customFormat="1" ht="45">
      <c r="A37" s="479" t="s">
        <v>9308</v>
      </c>
      <c r="B37" s="480" t="s">
        <v>7968</v>
      </c>
      <c r="C37" s="483">
        <v>74336.210000000006</v>
      </c>
      <c r="D37" s="481">
        <v>12294.091643400001</v>
      </c>
      <c r="E37" s="482">
        <v>2573.15</v>
      </c>
      <c r="F37" s="483"/>
      <c r="G37" s="483"/>
      <c r="H37" s="526"/>
      <c r="I37" s="526"/>
      <c r="J37" s="526"/>
      <c r="K37" s="526"/>
      <c r="L37" s="526"/>
      <c r="M37" s="526"/>
      <c r="N37" s="526"/>
      <c r="O37" s="526"/>
      <c r="P37" s="526"/>
      <c r="Q37" s="526"/>
      <c r="R37" s="526"/>
      <c r="S37" s="526"/>
      <c r="T37" s="526"/>
      <c r="U37" s="526"/>
      <c r="V37" s="526"/>
      <c r="W37" s="526"/>
      <c r="X37" s="526"/>
      <c r="Y37" s="526"/>
      <c r="Z37" s="526"/>
      <c r="AA37" s="526"/>
      <c r="AB37" s="526"/>
      <c r="AC37" s="526"/>
      <c r="AD37" s="526"/>
      <c r="AE37" s="526"/>
    </row>
    <row r="38" spans="1:31" s="512" customFormat="1" ht="30">
      <c r="A38" s="338" t="s">
        <v>7926</v>
      </c>
      <c r="B38" s="336" t="s">
        <v>8933</v>
      </c>
      <c r="C38" s="431">
        <v>73622</v>
      </c>
      <c r="D38" s="352">
        <v>48.03</v>
      </c>
      <c r="E38" s="339">
        <v>12.93</v>
      </c>
      <c r="F38" s="431"/>
      <c r="G38" s="431"/>
    </row>
    <row r="39" spans="1:31" s="512" customFormat="1" ht="30">
      <c r="A39" s="479" t="s">
        <v>9311</v>
      </c>
      <c r="B39" s="480" t="s">
        <v>7971</v>
      </c>
      <c r="C39" s="483">
        <v>70836.98</v>
      </c>
      <c r="D39" s="481">
        <v>3905.1250560000003</v>
      </c>
      <c r="E39" s="482">
        <v>817.34</v>
      </c>
      <c r="F39" s="483"/>
      <c r="G39" s="483"/>
      <c r="H39" s="526"/>
      <c r="I39" s="526"/>
      <c r="J39" s="526"/>
      <c r="K39" s="526"/>
      <c r="L39" s="526"/>
      <c r="M39" s="526"/>
      <c r="N39" s="526"/>
      <c r="O39" s="526"/>
      <c r="P39" s="526"/>
      <c r="Q39" s="526"/>
      <c r="R39" s="526"/>
      <c r="S39" s="526"/>
      <c r="T39" s="526"/>
      <c r="U39" s="526"/>
      <c r="V39" s="526"/>
      <c r="W39" s="526"/>
      <c r="X39" s="526"/>
      <c r="Y39" s="526"/>
      <c r="Z39" s="526"/>
      <c r="AA39" s="526"/>
      <c r="AB39" s="526"/>
      <c r="AC39" s="526"/>
      <c r="AD39" s="526"/>
      <c r="AE39" s="526"/>
    </row>
    <row r="40" spans="1:31" s="512" customFormat="1" ht="15">
      <c r="A40" s="338" t="s">
        <v>7941</v>
      </c>
      <c r="B40" s="336" t="s">
        <v>6856</v>
      </c>
      <c r="C40" s="431">
        <v>69567.570000000007</v>
      </c>
      <c r="D40" s="352">
        <v>11.91</v>
      </c>
      <c r="E40" s="339">
        <v>3.21</v>
      </c>
      <c r="F40" s="431"/>
      <c r="G40" s="431"/>
    </row>
    <row r="41" spans="1:31" s="512" customFormat="1" ht="30">
      <c r="A41" s="338" t="s">
        <v>7136</v>
      </c>
      <c r="B41" s="336" t="s">
        <v>7130</v>
      </c>
      <c r="C41" s="431">
        <v>69283.42</v>
      </c>
      <c r="D41" s="352">
        <v>27291.980000000003</v>
      </c>
      <c r="E41" s="339">
        <v>7349.73</v>
      </c>
      <c r="F41" s="431"/>
      <c r="G41" s="431"/>
    </row>
    <row r="42" spans="1:31" s="512" customFormat="1" ht="30">
      <c r="A42" s="338" t="s">
        <v>7919</v>
      </c>
      <c r="B42" s="336" t="s">
        <v>6820</v>
      </c>
      <c r="C42" s="431">
        <v>64906.02</v>
      </c>
      <c r="D42" s="352">
        <v>283.33</v>
      </c>
      <c r="E42" s="339">
        <v>76.3</v>
      </c>
      <c r="F42" s="431"/>
      <c r="G42" s="431"/>
    </row>
    <row r="43" spans="1:31" s="512" customFormat="1" ht="30">
      <c r="A43" s="479" t="s">
        <v>9312</v>
      </c>
      <c r="B43" s="480" t="s">
        <v>7972</v>
      </c>
      <c r="C43" s="483">
        <v>64349.8</v>
      </c>
      <c r="D43" s="481">
        <v>3800.8841367</v>
      </c>
      <c r="E43" s="482">
        <v>795.53</v>
      </c>
      <c r="F43" s="483"/>
      <c r="G43" s="483"/>
      <c r="H43" s="526"/>
      <c r="I43" s="526"/>
      <c r="J43" s="526"/>
      <c r="K43" s="526"/>
      <c r="L43" s="526"/>
      <c r="M43" s="526"/>
      <c r="N43" s="526"/>
      <c r="O43" s="526"/>
      <c r="P43" s="526"/>
      <c r="Q43" s="526"/>
      <c r="R43" s="526"/>
      <c r="S43" s="526"/>
      <c r="T43" s="526"/>
      <c r="U43" s="526"/>
      <c r="V43" s="526"/>
      <c r="W43" s="526"/>
      <c r="X43" s="526"/>
      <c r="Y43" s="526"/>
      <c r="Z43" s="526"/>
      <c r="AA43" s="526"/>
      <c r="AB43" s="526"/>
      <c r="AC43" s="526"/>
      <c r="AD43" s="526"/>
      <c r="AE43" s="526"/>
    </row>
    <row r="44" spans="1:31" s="512" customFormat="1" ht="15">
      <c r="A44" s="338" t="s">
        <v>7981</v>
      </c>
      <c r="B44" s="336" t="s">
        <v>9024</v>
      </c>
      <c r="C44" s="431">
        <v>63105.120000000003</v>
      </c>
      <c r="D44" s="352">
        <v>26.56</v>
      </c>
      <c r="E44" s="339">
        <v>7.15</v>
      </c>
      <c r="F44" s="431"/>
      <c r="G44" s="431"/>
    </row>
    <row r="45" spans="1:31" s="512" customFormat="1" ht="30">
      <c r="A45" s="338" t="s">
        <v>7947</v>
      </c>
      <c r="B45" s="336" t="s">
        <v>6867</v>
      </c>
      <c r="C45" s="431">
        <v>59482.8</v>
      </c>
      <c r="D45" s="352">
        <v>38.76</v>
      </c>
      <c r="E45" s="339">
        <v>10.44</v>
      </c>
      <c r="F45" s="431"/>
      <c r="G45" s="431"/>
    </row>
    <row r="46" spans="1:31" s="512" customFormat="1" ht="45">
      <c r="A46" s="479" t="s">
        <v>9305</v>
      </c>
      <c r="B46" s="480" t="s">
        <v>9323</v>
      </c>
      <c r="C46" s="483">
        <v>59168.11</v>
      </c>
      <c r="D46" s="481">
        <v>48927.5742942</v>
      </c>
      <c r="E46" s="482">
        <v>10240.540000000001</v>
      </c>
      <c r="F46" s="483"/>
      <c r="G46" s="483"/>
      <c r="H46" s="526"/>
      <c r="I46" s="526"/>
      <c r="J46" s="526"/>
      <c r="K46" s="526"/>
      <c r="L46" s="526"/>
      <c r="M46" s="526"/>
      <c r="N46" s="526"/>
      <c r="O46" s="526"/>
      <c r="P46" s="526"/>
      <c r="Q46" s="526"/>
      <c r="R46" s="526"/>
      <c r="S46" s="526"/>
      <c r="T46" s="526"/>
      <c r="U46" s="526"/>
      <c r="V46" s="526"/>
      <c r="W46" s="526"/>
      <c r="X46" s="526"/>
      <c r="Y46" s="526"/>
      <c r="Z46" s="526"/>
      <c r="AA46" s="526"/>
      <c r="AB46" s="526"/>
      <c r="AC46" s="526"/>
      <c r="AD46" s="526"/>
      <c r="AE46" s="526"/>
    </row>
    <row r="47" spans="1:31" s="512" customFormat="1" ht="30">
      <c r="A47" s="338" t="s">
        <v>8333</v>
      </c>
      <c r="B47" s="336" t="s">
        <v>7245</v>
      </c>
      <c r="C47" s="431">
        <v>57900</v>
      </c>
      <c r="D47" s="352">
        <v>4.5599999999999996</v>
      </c>
      <c r="E47" s="339">
        <v>1.23</v>
      </c>
      <c r="F47" s="431"/>
      <c r="G47" s="431"/>
    </row>
    <row r="48" spans="1:31" s="512" customFormat="1" ht="30">
      <c r="A48" s="338" t="s">
        <v>7910</v>
      </c>
      <c r="B48" s="336" t="s">
        <v>6800</v>
      </c>
      <c r="C48" s="431">
        <v>57848.160000000003</v>
      </c>
      <c r="D48" s="352">
        <v>5696.8600000000006</v>
      </c>
      <c r="E48" s="339">
        <v>1534.16</v>
      </c>
      <c r="F48" s="431"/>
      <c r="G48" s="431"/>
    </row>
    <row r="49" spans="1:31" s="512" customFormat="1" ht="30">
      <c r="A49" s="338" t="s">
        <v>7911</v>
      </c>
      <c r="B49" s="336" t="s">
        <v>6801</v>
      </c>
      <c r="C49" s="431">
        <v>57848.160000000003</v>
      </c>
      <c r="D49" s="352">
        <v>5696.8600000000006</v>
      </c>
      <c r="E49" s="339">
        <v>1534.16</v>
      </c>
      <c r="F49" s="431"/>
      <c r="G49" s="431"/>
    </row>
    <row r="50" spans="1:31" s="526" customFormat="1" ht="45">
      <c r="A50" s="338" t="s">
        <v>15447</v>
      </c>
      <c r="B50" s="336" t="s">
        <v>15436</v>
      </c>
      <c r="C50" s="431">
        <v>54476.93</v>
      </c>
      <c r="D50" s="339">
        <v>42918.879999999997</v>
      </c>
      <c r="E50" s="339">
        <v>11558.05</v>
      </c>
      <c r="F50" s="431"/>
      <c r="G50" s="431"/>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2"/>
    </row>
    <row r="51" spans="1:31" s="512" customFormat="1" ht="30">
      <c r="A51" s="338" t="s">
        <v>8338</v>
      </c>
      <c r="B51" s="336" t="s">
        <v>7249</v>
      </c>
      <c r="C51" s="431">
        <v>53235</v>
      </c>
      <c r="D51" s="352">
        <v>9.32</v>
      </c>
      <c r="E51" s="339">
        <v>2.5099999999999998</v>
      </c>
      <c r="F51" s="431"/>
      <c r="G51" s="431"/>
    </row>
    <row r="52" spans="1:31" s="512" customFormat="1" ht="30">
      <c r="A52" s="338" t="s">
        <v>7000</v>
      </c>
      <c r="B52" s="336" t="s">
        <v>9664</v>
      </c>
      <c r="C52" s="431">
        <v>53166.87</v>
      </c>
      <c r="D52" s="352">
        <v>684.98</v>
      </c>
      <c r="E52" s="339">
        <v>184.47</v>
      </c>
      <c r="F52" s="431"/>
      <c r="G52" s="431"/>
    </row>
    <row r="53" spans="1:31" s="485" customFormat="1" ht="30">
      <c r="A53" s="338" t="s">
        <v>8678</v>
      </c>
      <c r="B53" s="336" t="s">
        <v>8677</v>
      </c>
      <c r="C53" s="431">
        <v>51831.03</v>
      </c>
      <c r="D53" s="352">
        <v>361.78</v>
      </c>
      <c r="E53" s="339">
        <v>97.43</v>
      </c>
      <c r="F53" s="431"/>
      <c r="G53" s="431"/>
      <c r="H53" s="512"/>
      <c r="I53" s="512"/>
      <c r="J53" s="512"/>
      <c r="K53" s="512"/>
      <c r="L53" s="512"/>
      <c r="M53" s="512"/>
      <c r="N53" s="512"/>
      <c r="O53" s="512"/>
      <c r="P53" s="512"/>
      <c r="Q53" s="512"/>
      <c r="R53" s="512"/>
      <c r="S53" s="512"/>
      <c r="T53" s="512"/>
      <c r="U53" s="512"/>
      <c r="V53" s="512"/>
      <c r="W53" s="512"/>
      <c r="X53" s="512"/>
      <c r="Y53" s="512"/>
      <c r="Z53" s="512"/>
      <c r="AA53" s="512"/>
      <c r="AB53" s="512"/>
      <c r="AC53" s="512"/>
      <c r="AD53" s="512"/>
      <c r="AE53" s="512"/>
    </row>
    <row r="54" spans="1:31" s="512" customFormat="1" ht="30">
      <c r="A54" s="338" t="s">
        <v>7948</v>
      </c>
      <c r="B54" s="336" t="s">
        <v>6868</v>
      </c>
      <c r="C54" s="431">
        <v>49241.38</v>
      </c>
      <c r="D54" s="352">
        <v>82.01</v>
      </c>
      <c r="E54" s="339">
        <v>22.09</v>
      </c>
      <c r="F54" s="431"/>
      <c r="G54" s="431"/>
    </row>
    <row r="55" spans="1:31" s="512" customFormat="1" ht="30">
      <c r="A55" s="338" t="s">
        <v>7921</v>
      </c>
      <c r="B55" s="336" t="s">
        <v>6822</v>
      </c>
      <c r="C55" s="431">
        <v>45754.15</v>
      </c>
      <c r="D55" s="352">
        <v>325.48</v>
      </c>
      <c r="E55" s="339">
        <v>87.65</v>
      </c>
      <c r="F55" s="431"/>
      <c r="G55" s="431"/>
    </row>
    <row r="56" spans="1:31" s="512" customFormat="1" ht="30">
      <c r="A56" s="338" t="s">
        <v>7912</v>
      </c>
      <c r="B56" s="336" t="s">
        <v>6802</v>
      </c>
      <c r="C56" s="431">
        <v>43926.78</v>
      </c>
      <c r="D56" s="352">
        <v>5767.85</v>
      </c>
      <c r="E56" s="339">
        <v>1553.28</v>
      </c>
      <c r="F56" s="431"/>
      <c r="G56" s="431"/>
    </row>
    <row r="57" spans="1:31" s="512" customFormat="1" ht="15">
      <c r="A57" s="338" t="s">
        <v>7982</v>
      </c>
      <c r="B57" s="336" t="s">
        <v>9025</v>
      </c>
      <c r="C57" s="431">
        <v>43361</v>
      </c>
      <c r="D57" s="352">
        <v>26.08</v>
      </c>
      <c r="E57" s="339">
        <v>7.02</v>
      </c>
      <c r="F57" s="431"/>
      <c r="G57" s="431"/>
    </row>
    <row r="58" spans="1:31" s="512" customFormat="1" ht="30">
      <c r="A58" s="338" t="s">
        <v>8341</v>
      </c>
      <c r="B58" s="336" t="s">
        <v>7252</v>
      </c>
      <c r="C58" s="431">
        <v>43333</v>
      </c>
      <c r="D58" s="352">
        <v>20.080000000000002</v>
      </c>
      <c r="E58" s="339">
        <v>5.41</v>
      </c>
      <c r="F58" s="431"/>
      <c r="G58" s="431"/>
    </row>
    <row r="59" spans="1:31" s="512" customFormat="1" ht="30">
      <c r="A59" s="338" t="s">
        <v>7922</v>
      </c>
      <c r="B59" s="336" t="s">
        <v>6823</v>
      </c>
      <c r="C59" s="431">
        <v>42715.93</v>
      </c>
      <c r="D59" s="352">
        <v>639.79000000000008</v>
      </c>
      <c r="E59" s="339">
        <v>172.3</v>
      </c>
      <c r="F59" s="431"/>
      <c r="G59" s="431"/>
    </row>
    <row r="60" spans="1:31" s="512" customFormat="1" ht="30">
      <c r="A60" s="338" t="s">
        <v>8805</v>
      </c>
      <c r="B60" s="336" t="s">
        <v>8804</v>
      </c>
      <c r="C60" s="431">
        <v>41791.449999999997</v>
      </c>
      <c r="D60" s="352">
        <v>30.6</v>
      </c>
      <c r="E60" s="339">
        <v>8.24</v>
      </c>
      <c r="F60" s="431"/>
      <c r="G60" s="431"/>
    </row>
    <row r="61" spans="1:31" s="512" customFormat="1" ht="15">
      <c r="A61" s="338" t="s">
        <v>8672</v>
      </c>
      <c r="B61" s="336" t="s">
        <v>8666</v>
      </c>
      <c r="C61" s="431">
        <v>40142.15</v>
      </c>
      <c r="D61" s="352">
        <v>10.31</v>
      </c>
      <c r="E61" s="339">
        <v>2.78</v>
      </c>
      <c r="F61" s="431"/>
      <c r="G61" s="431"/>
    </row>
    <row r="62" spans="1:31" s="512" customFormat="1" ht="30">
      <c r="A62" s="338" t="s">
        <v>8990</v>
      </c>
      <c r="B62" s="336" t="s">
        <v>7256</v>
      </c>
      <c r="C62" s="431">
        <v>39423</v>
      </c>
      <c r="D62" s="352">
        <v>103.53</v>
      </c>
      <c r="E62" s="339">
        <v>27.88</v>
      </c>
      <c r="F62" s="431"/>
      <c r="G62" s="431"/>
    </row>
    <row r="63" spans="1:31" s="512" customFormat="1" ht="30">
      <c r="A63" s="338" t="s">
        <v>7861</v>
      </c>
      <c r="B63" s="336" t="s">
        <v>7862</v>
      </c>
      <c r="C63" s="431">
        <v>38823.949999999997</v>
      </c>
      <c r="D63" s="352">
        <v>104.47</v>
      </c>
      <c r="E63" s="339">
        <v>28.13</v>
      </c>
      <c r="F63" s="431"/>
      <c r="G63" s="431"/>
    </row>
    <row r="64" spans="1:31" s="512" customFormat="1" ht="30">
      <c r="A64" s="338" t="s">
        <v>9341</v>
      </c>
      <c r="B64" s="336" t="s">
        <v>9343</v>
      </c>
      <c r="C64" s="431">
        <v>37488.300000000003</v>
      </c>
      <c r="D64" s="352">
        <v>31000</v>
      </c>
      <c r="E64" s="339">
        <v>6488.3</v>
      </c>
      <c r="F64" s="431"/>
      <c r="G64" s="431"/>
    </row>
    <row r="65" spans="1:31" s="512" customFormat="1" ht="15">
      <c r="A65" s="338" t="s">
        <v>8328</v>
      </c>
      <c r="B65" s="336" t="s">
        <v>7240</v>
      </c>
      <c r="C65" s="431">
        <v>37350</v>
      </c>
      <c r="D65" s="352">
        <v>7.85</v>
      </c>
      <c r="E65" s="339">
        <v>2.11</v>
      </c>
      <c r="F65" s="431"/>
      <c r="G65" s="431"/>
    </row>
    <row r="66" spans="1:31" s="512" customFormat="1" ht="45">
      <c r="A66" s="479" t="s">
        <v>9306</v>
      </c>
      <c r="B66" s="480" t="s">
        <v>9324</v>
      </c>
      <c r="C66" s="483">
        <v>36398.76</v>
      </c>
      <c r="D66" s="481">
        <v>30099.0314163</v>
      </c>
      <c r="E66" s="482">
        <v>6299.73</v>
      </c>
      <c r="F66" s="483"/>
      <c r="G66" s="483"/>
      <c r="H66" s="526"/>
      <c r="I66" s="526"/>
      <c r="J66" s="526"/>
      <c r="K66" s="526"/>
      <c r="L66" s="526"/>
      <c r="M66" s="526"/>
      <c r="N66" s="526"/>
      <c r="O66" s="526"/>
      <c r="P66" s="526"/>
      <c r="Q66" s="526"/>
      <c r="R66" s="526"/>
      <c r="S66" s="526"/>
      <c r="T66" s="526"/>
      <c r="U66" s="526"/>
      <c r="V66" s="526"/>
      <c r="W66" s="526"/>
      <c r="X66" s="526"/>
      <c r="Y66" s="526"/>
      <c r="Z66" s="526"/>
      <c r="AA66" s="526"/>
      <c r="AB66" s="526"/>
      <c r="AC66" s="526"/>
      <c r="AD66" s="526"/>
      <c r="AE66" s="526"/>
    </row>
    <row r="67" spans="1:31" s="512" customFormat="1" ht="30">
      <c r="A67" s="338" t="s">
        <v>7898</v>
      </c>
      <c r="B67" s="336" t="s">
        <v>6778</v>
      </c>
      <c r="C67" s="431">
        <v>35107.24</v>
      </c>
      <c r="D67" s="352">
        <v>83.12</v>
      </c>
      <c r="E67" s="339">
        <v>22.38</v>
      </c>
      <c r="F67" s="431"/>
      <c r="G67" s="431"/>
    </row>
    <row r="68" spans="1:31" s="512" customFormat="1" ht="15">
      <c r="A68" s="338" t="s">
        <v>15444</v>
      </c>
      <c r="B68" s="336" t="s">
        <v>8942</v>
      </c>
      <c r="C68" s="431">
        <v>32275.62</v>
      </c>
      <c r="D68" s="339">
        <v>53.080000000000005</v>
      </c>
      <c r="E68" s="339">
        <v>14.29</v>
      </c>
      <c r="F68" s="431"/>
      <c r="G68" s="431"/>
    </row>
    <row r="69" spans="1:31" s="512" customFormat="1" ht="45">
      <c r="A69" s="338" t="s">
        <v>7905</v>
      </c>
      <c r="B69" s="336" t="s">
        <v>6792</v>
      </c>
      <c r="C69" s="431">
        <v>30994.55</v>
      </c>
      <c r="D69" s="352">
        <v>24418.620000000003</v>
      </c>
      <c r="E69" s="339">
        <v>6575.93</v>
      </c>
      <c r="F69" s="431"/>
      <c r="G69" s="431"/>
    </row>
    <row r="70" spans="1:31" s="512" customFormat="1" ht="15">
      <c r="A70" s="338" t="s">
        <v>8542</v>
      </c>
      <c r="B70" s="336" t="s">
        <v>8544</v>
      </c>
      <c r="C70" s="431">
        <v>30430.52</v>
      </c>
      <c r="D70" s="352">
        <v>15.96</v>
      </c>
      <c r="E70" s="339">
        <v>4.3</v>
      </c>
      <c r="F70" s="431"/>
      <c r="G70" s="431"/>
    </row>
    <row r="71" spans="1:31" s="512" customFormat="1" ht="15">
      <c r="A71" s="338" t="s">
        <v>8371</v>
      </c>
      <c r="B71" s="532" t="s">
        <v>8521</v>
      </c>
      <c r="C71" s="431">
        <v>29858.400000000001</v>
      </c>
      <c r="D71" s="352">
        <v>30.16</v>
      </c>
      <c r="E71" s="339">
        <v>8.1199999999999992</v>
      </c>
      <c r="F71" s="431"/>
      <c r="G71" s="431"/>
    </row>
    <row r="72" spans="1:31" s="512" customFormat="1" ht="30">
      <c r="A72" s="338" t="s">
        <v>8649</v>
      </c>
      <c r="B72" s="336" t="s">
        <v>8653</v>
      </c>
      <c r="C72" s="431">
        <v>29730.400000000001</v>
      </c>
      <c r="D72" s="352">
        <v>83.65</v>
      </c>
      <c r="E72" s="339">
        <v>22.53</v>
      </c>
      <c r="F72" s="431"/>
      <c r="G72" s="431"/>
    </row>
    <row r="73" spans="1:31" s="512" customFormat="1" ht="45">
      <c r="A73" s="338" t="s">
        <v>7906</v>
      </c>
      <c r="B73" s="336" t="s">
        <v>6793</v>
      </c>
      <c r="C73" s="431">
        <v>29379.51</v>
      </c>
      <c r="D73" s="352">
        <v>23146.230000000003</v>
      </c>
      <c r="E73" s="339">
        <v>6233.28</v>
      </c>
      <c r="F73" s="431"/>
      <c r="G73" s="431"/>
    </row>
    <row r="74" spans="1:31" s="512" customFormat="1" ht="45">
      <c r="A74" s="338" t="s">
        <v>7949</v>
      </c>
      <c r="B74" s="336" t="s">
        <v>6869</v>
      </c>
      <c r="C74" s="431">
        <v>27827.77</v>
      </c>
      <c r="D74" s="352">
        <v>46.35</v>
      </c>
      <c r="E74" s="339">
        <v>12.48</v>
      </c>
      <c r="F74" s="431"/>
      <c r="G74" s="431"/>
    </row>
    <row r="75" spans="1:31" s="512" customFormat="1" ht="30">
      <c r="A75" s="338" t="s">
        <v>8452</v>
      </c>
      <c r="B75" s="336" t="s">
        <v>8453</v>
      </c>
      <c r="C75" s="431">
        <v>27153</v>
      </c>
      <c r="D75" s="352">
        <v>30.56</v>
      </c>
      <c r="E75" s="339">
        <v>8.23</v>
      </c>
      <c r="F75" s="431"/>
      <c r="G75" s="431"/>
    </row>
    <row r="76" spans="1:31" s="512" customFormat="1" ht="30">
      <c r="A76" s="338" t="s">
        <v>8650</v>
      </c>
      <c r="B76" s="336" t="s">
        <v>8660</v>
      </c>
      <c r="C76" s="431">
        <v>25660.2</v>
      </c>
      <c r="D76" s="352">
        <v>336.93</v>
      </c>
      <c r="E76" s="339">
        <v>90.74</v>
      </c>
      <c r="F76" s="431"/>
      <c r="G76" s="431"/>
    </row>
    <row r="77" spans="1:31" s="512" customFormat="1" ht="30">
      <c r="A77" s="338" t="s">
        <v>6853</v>
      </c>
      <c r="B77" s="336" t="s">
        <v>6851</v>
      </c>
      <c r="C77" s="431">
        <v>25382.46</v>
      </c>
      <c r="D77" s="352">
        <v>57.24</v>
      </c>
      <c r="E77" s="339">
        <v>15.41</v>
      </c>
      <c r="F77" s="431"/>
      <c r="G77" s="431"/>
    </row>
    <row r="78" spans="1:31" s="512" customFormat="1" ht="15">
      <c r="A78" s="338" t="s">
        <v>7983</v>
      </c>
      <c r="B78" s="336" t="s">
        <v>9026</v>
      </c>
      <c r="C78" s="431">
        <v>25336.32</v>
      </c>
      <c r="D78" s="352">
        <v>25.99</v>
      </c>
      <c r="E78" s="339">
        <v>7</v>
      </c>
      <c r="F78" s="431"/>
      <c r="G78" s="431"/>
    </row>
    <row r="79" spans="1:31" s="512" customFormat="1" ht="15">
      <c r="A79" s="460" t="s">
        <v>8119</v>
      </c>
      <c r="B79" s="336" t="s">
        <v>6982</v>
      </c>
      <c r="C79" s="431">
        <v>25215.3</v>
      </c>
      <c r="D79" s="352">
        <v>22.38</v>
      </c>
      <c r="E79" s="339">
        <v>6.03</v>
      </c>
      <c r="F79" s="431"/>
      <c r="G79" s="431"/>
    </row>
    <row r="80" spans="1:31" s="512" customFormat="1" ht="30">
      <c r="A80" s="338" t="s">
        <v>7402</v>
      </c>
      <c r="B80" s="336" t="s">
        <v>7401</v>
      </c>
      <c r="C80" s="431">
        <v>25048.38</v>
      </c>
      <c r="D80" s="352">
        <v>858</v>
      </c>
      <c r="E80" s="339">
        <v>231.06</v>
      </c>
      <c r="F80" s="431"/>
      <c r="G80" s="431"/>
    </row>
    <row r="81" spans="1:31" s="512" customFormat="1" ht="30">
      <c r="A81" s="338" t="s">
        <v>8610</v>
      </c>
      <c r="B81" s="336" t="s">
        <v>7966</v>
      </c>
      <c r="C81" s="431">
        <v>24194.5</v>
      </c>
      <c r="D81" s="352">
        <v>34.659999999999997</v>
      </c>
      <c r="E81" s="339">
        <v>9.33</v>
      </c>
      <c r="F81" s="431"/>
      <c r="G81" s="431"/>
    </row>
    <row r="82" spans="1:31" s="512" customFormat="1" ht="30">
      <c r="A82" s="338" t="s">
        <v>7942</v>
      </c>
      <c r="B82" s="336" t="s">
        <v>7960</v>
      </c>
      <c r="C82" s="431">
        <v>23755.55</v>
      </c>
      <c r="D82" s="352">
        <v>20.09</v>
      </c>
      <c r="E82" s="339">
        <v>5.41</v>
      </c>
      <c r="F82" s="431"/>
      <c r="G82" s="431"/>
    </row>
    <row r="83" spans="1:31" s="512" customFormat="1" ht="15">
      <c r="A83" s="338" t="s">
        <v>7893</v>
      </c>
      <c r="B83" s="336" t="s">
        <v>7813</v>
      </c>
      <c r="C83" s="431">
        <v>23726.85</v>
      </c>
      <c r="D83" s="352">
        <v>60.26</v>
      </c>
      <c r="E83" s="339">
        <v>16.23</v>
      </c>
      <c r="F83" s="431"/>
      <c r="G83" s="431"/>
    </row>
    <row r="84" spans="1:31" s="512" customFormat="1" ht="30">
      <c r="A84" s="479" t="s">
        <v>9317</v>
      </c>
      <c r="B84" s="480" t="s">
        <v>7977</v>
      </c>
      <c r="C84" s="483">
        <v>23544.25</v>
      </c>
      <c r="D84" s="481">
        <v>2433.6610976999996</v>
      </c>
      <c r="E84" s="482">
        <v>509.37</v>
      </c>
      <c r="F84" s="483"/>
      <c r="G84" s="483"/>
      <c r="H84" s="526"/>
      <c r="I84" s="526"/>
      <c r="J84" s="526"/>
      <c r="K84" s="526"/>
      <c r="L84" s="526"/>
      <c r="M84" s="526"/>
      <c r="N84" s="526"/>
      <c r="O84" s="526"/>
      <c r="P84" s="526"/>
      <c r="Q84" s="526"/>
      <c r="R84" s="526"/>
      <c r="S84" s="526"/>
      <c r="T84" s="526"/>
      <c r="U84" s="526"/>
      <c r="V84" s="526"/>
      <c r="W84" s="526"/>
      <c r="X84" s="526"/>
      <c r="Y84" s="526"/>
      <c r="Z84" s="526"/>
      <c r="AA84" s="526"/>
      <c r="AB84" s="526"/>
      <c r="AC84" s="526"/>
      <c r="AD84" s="526"/>
      <c r="AE84" s="526"/>
    </row>
    <row r="85" spans="1:31" s="512" customFormat="1" ht="60">
      <c r="A85" s="338" t="s">
        <v>7952</v>
      </c>
      <c r="B85" s="336" t="s">
        <v>6992</v>
      </c>
      <c r="C85" s="431">
        <v>23348.14</v>
      </c>
      <c r="D85" s="352">
        <v>303.64</v>
      </c>
      <c r="E85" s="339">
        <v>81.77</v>
      </c>
      <c r="F85" s="431"/>
      <c r="G85" s="431"/>
    </row>
    <row r="86" spans="1:31" s="512" customFormat="1" ht="30">
      <c r="A86" s="338" t="s">
        <v>9574</v>
      </c>
      <c r="B86" s="336" t="s">
        <v>9575</v>
      </c>
      <c r="C86" s="431">
        <v>22203.52</v>
      </c>
      <c r="D86" s="352">
        <v>7.1</v>
      </c>
      <c r="E86" s="339">
        <v>1.91</v>
      </c>
      <c r="F86" s="431"/>
      <c r="G86" s="431"/>
    </row>
    <row r="87" spans="1:31" s="512" customFormat="1" ht="30">
      <c r="A87" s="338" t="s">
        <v>8340</v>
      </c>
      <c r="B87" s="336" t="s">
        <v>7251</v>
      </c>
      <c r="C87" s="431">
        <v>22176</v>
      </c>
      <c r="D87" s="352">
        <v>15.879999999999999</v>
      </c>
      <c r="E87" s="339">
        <v>4.28</v>
      </c>
      <c r="F87" s="431"/>
      <c r="G87" s="431"/>
    </row>
    <row r="88" spans="1:31" s="512" customFormat="1" ht="30">
      <c r="A88" s="338" t="s">
        <v>8611</v>
      </c>
      <c r="B88" s="336" t="s">
        <v>7967</v>
      </c>
      <c r="C88" s="431">
        <v>22092</v>
      </c>
      <c r="D88" s="352">
        <v>43.51</v>
      </c>
      <c r="E88" s="339">
        <v>11.72</v>
      </c>
      <c r="F88" s="431"/>
      <c r="G88" s="431"/>
    </row>
    <row r="89" spans="1:31" s="512" customFormat="1" ht="90">
      <c r="A89" s="338" t="s">
        <v>8430</v>
      </c>
      <c r="B89" s="336" t="s">
        <v>7297</v>
      </c>
      <c r="C89" s="431">
        <v>22022.400000000001</v>
      </c>
      <c r="D89" s="352">
        <v>279.83999999999997</v>
      </c>
      <c r="E89" s="339">
        <v>75.36</v>
      </c>
      <c r="F89" s="431"/>
      <c r="G89" s="431"/>
    </row>
    <row r="90" spans="1:31" s="512" customFormat="1" ht="45">
      <c r="A90" s="338" t="s">
        <v>7900</v>
      </c>
      <c r="B90" s="336" t="s">
        <v>6782</v>
      </c>
      <c r="C90" s="431">
        <v>21938.240000000002</v>
      </c>
      <c r="D90" s="352">
        <v>1080.23</v>
      </c>
      <c r="E90" s="339">
        <v>290.91000000000003</v>
      </c>
      <c r="F90" s="431"/>
      <c r="G90" s="431"/>
    </row>
    <row r="91" spans="1:31" s="512" customFormat="1" ht="45">
      <c r="A91" s="338" t="s">
        <v>6973</v>
      </c>
      <c r="B91" s="336" t="s">
        <v>6975</v>
      </c>
      <c r="C91" s="431">
        <v>21920.58</v>
      </c>
      <c r="D91" s="352">
        <v>29.21</v>
      </c>
      <c r="E91" s="339">
        <v>7.87</v>
      </c>
      <c r="F91" s="431"/>
      <c r="G91" s="431"/>
    </row>
    <row r="92" spans="1:31" s="512" customFormat="1" ht="60">
      <c r="A92" s="530" t="s">
        <v>7916</v>
      </c>
      <c r="B92" s="336" t="s">
        <v>6807</v>
      </c>
      <c r="C92" s="431">
        <v>21730.93</v>
      </c>
      <c r="D92" s="352">
        <v>1007.08</v>
      </c>
      <c r="E92" s="339">
        <v>271.20999999999998</v>
      </c>
      <c r="F92" s="431"/>
      <c r="G92" s="431"/>
    </row>
    <row r="93" spans="1:31" s="512" customFormat="1" ht="30">
      <c r="A93" s="338" t="s">
        <v>8642</v>
      </c>
      <c r="B93" s="336" t="s">
        <v>8641</v>
      </c>
      <c r="C93" s="431">
        <v>21618.9</v>
      </c>
      <c r="D93" s="352">
        <v>7.23</v>
      </c>
      <c r="E93" s="339">
        <v>1.95</v>
      </c>
      <c r="F93" s="431"/>
      <c r="G93" s="431"/>
    </row>
    <row r="94" spans="1:31" s="512" customFormat="1" ht="15">
      <c r="A94" s="338" t="s">
        <v>9320</v>
      </c>
      <c r="B94" s="336" t="s">
        <v>9328</v>
      </c>
      <c r="C94" s="431">
        <v>21615.599999999999</v>
      </c>
      <c r="D94" s="352">
        <v>425.74</v>
      </c>
      <c r="E94" s="339">
        <v>114.65</v>
      </c>
      <c r="F94" s="431"/>
      <c r="G94" s="431"/>
    </row>
    <row r="95" spans="1:31" s="512" customFormat="1" ht="45">
      <c r="A95" s="338" t="s">
        <v>7954</v>
      </c>
      <c r="B95" s="336" t="s">
        <v>6994</v>
      </c>
      <c r="C95" s="431">
        <v>20977.18</v>
      </c>
      <c r="D95" s="352">
        <v>470.44000000000005</v>
      </c>
      <c r="E95" s="339">
        <v>126.69</v>
      </c>
      <c r="F95" s="431"/>
      <c r="G95" s="431"/>
    </row>
    <row r="96" spans="1:31" s="512" customFormat="1" ht="30">
      <c r="A96" s="338" t="s">
        <v>8339</v>
      </c>
      <c r="B96" s="336" t="s">
        <v>7250</v>
      </c>
      <c r="C96" s="431">
        <v>20550.5</v>
      </c>
      <c r="D96" s="352">
        <v>14.08</v>
      </c>
      <c r="E96" s="339">
        <v>3.79</v>
      </c>
      <c r="F96" s="431"/>
      <c r="G96" s="431"/>
    </row>
    <row r="97" spans="1:31" s="512" customFormat="1" ht="30">
      <c r="A97" s="338" t="s">
        <v>8222</v>
      </c>
      <c r="B97" s="336" t="s">
        <v>7093</v>
      </c>
      <c r="C97" s="431">
        <v>20062.84</v>
      </c>
      <c r="D97" s="352">
        <v>564.51</v>
      </c>
      <c r="E97" s="339">
        <v>152.02000000000001</v>
      </c>
      <c r="F97" s="431"/>
      <c r="G97" s="431"/>
    </row>
    <row r="98" spans="1:31" s="512" customFormat="1" ht="15">
      <c r="A98" s="338" t="s">
        <v>8671</v>
      </c>
      <c r="B98" s="336" t="s">
        <v>8669</v>
      </c>
      <c r="C98" s="431">
        <v>19885.23</v>
      </c>
      <c r="D98" s="352">
        <v>11.94</v>
      </c>
      <c r="E98" s="339">
        <v>3.22</v>
      </c>
      <c r="F98" s="431"/>
      <c r="G98" s="431"/>
    </row>
    <row r="99" spans="1:31" s="512" customFormat="1" ht="30">
      <c r="A99" s="479" t="s">
        <v>9310</v>
      </c>
      <c r="B99" s="480" t="s">
        <v>7970</v>
      </c>
      <c r="C99" s="483">
        <v>19841.29</v>
      </c>
      <c r="D99" s="481">
        <v>4101.8122068000002</v>
      </c>
      <c r="E99" s="482">
        <v>858.51</v>
      </c>
      <c r="F99" s="483"/>
      <c r="G99" s="483"/>
      <c r="H99" s="526"/>
      <c r="I99" s="526"/>
      <c r="J99" s="526"/>
      <c r="K99" s="526"/>
      <c r="L99" s="526"/>
      <c r="M99" s="526"/>
      <c r="N99" s="526"/>
      <c r="O99" s="526"/>
      <c r="P99" s="526"/>
      <c r="Q99" s="526"/>
      <c r="R99" s="526"/>
      <c r="S99" s="526"/>
      <c r="T99" s="526"/>
      <c r="U99" s="526"/>
      <c r="V99" s="526"/>
      <c r="W99" s="526"/>
      <c r="X99" s="526"/>
      <c r="Y99" s="526"/>
      <c r="Z99" s="526"/>
      <c r="AA99" s="526"/>
      <c r="AB99" s="526"/>
      <c r="AC99" s="526"/>
      <c r="AD99" s="526"/>
      <c r="AE99" s="526"/>
    </row>
    <row r="100" spans="1:31" s="512" customFormat="1" ht="30">
      <c r="A100" s="338" t="s">
        <v>7152</v>
      </c>
      <c r="B100" s="336" t="s">
        <v>7144</v>
      </c>
      <c r="C100" s="431">
        <v>19439.310000000001</v>
      </c>
      <c r="D100" s="352">
        <v>42.93</v>
      </c>
      <c r="E100" s="339">
        <v>11.56</v>
      </c>
      <c r="F100" s="431"/>
      <c r="G100" s="431"/>
    </row>
    <row r="101" spans="1:31" s="512" customFormat="1" ht="30">
      <c r="A101" s="338" t="s">
        <v>15480</v>
      </c>
      <c r="B101" s="336" t="s">
        <v>15482</v>
      </c>
      <c r="C101" s="431">
        <v>19229.82</v>
      </c>
      <c r="D101" s="352">
        <v>7574.97</v>
      </c>
      <c r="E101" s="339">
        <v>2039.94</v>
      </c>
      <c r="F101" s="431"/>
      <c r="G101" s="431"/>
    </row>
    <row r="102" spans="1:31" s="512" customFormat="1" ht="30">
      <c r="A102" s="338" t="s">
        <v>7946</v>
      </c>
      <c r="B102" s="336" t="s">
        <v>7831</v>
      </c>
      <c r="C102" s="431">
        <v>19012.7</v>
      </c>
      <c r="D102" s="352">
        <v>6.48</v>
      </c>
      <c r="E102" s="339">
        <v>1.75</v>
      </c>
      <c r="F102" s="431"/>
      <c r="G102" s="431"/>
    </row>
    <row r="103" spans="1:31" s="512" customFormat="1" ht="30">
      <c r="A103" s="338" t="s">
        <v>8838</v>
      </c>
      <c r="B103" s="336" t="s">
        <v>7108</v>
      </c>
      <c r="C103" s="431">
        <v>18935.8</v>
      </c>
      <c r="D103" s="352">
        <v>1491.83</v>
      </c>
      <c r="E103" s="339">
        <v>401.75</v>
      </c>
      <c r="F103" s="431"/>
      <c r="G103" s="431"/>
    </row>
    <row r="104" spans="1:31" s="512" customFormat="1" ht="30">
      <c r="A104" s="338" t="s">
        <v>7891</v>
      </c>
      <c r="B104" s="336" t="s">
        <v>6771</v>
      </c>
      <c r="C104" s="431">
        <v>18766.509999999998</v>
      </c>
      <c r="D104" s="352">
        <v>34.799999999999997</v>
      </c>
      <c r="E104" s="339">
        <v>9.3699999999999992</v>
      </c>
      <c r="F104" s="431"/>
      <c r="G104" s="431"/>
    </row>
    <row r="105" spans="1:31" s="512" customFormat="1" ht="15">
      <c r="A105" s="338" t="s">
        <v>8470</v>
      </c>
      <c r="B105" s="336" t="s">
        <v>8462</v>
      </c>
      <c r="C105" s="431">
        <v>18433.8</v>
      </c>
      <c r="D105" s="352">
        <v>6.29</v>
      </c>
      <c r="E105" s="339">
        <v>1.69</v>
      </c>
      <c r="F105" s="431"/>
      <c r="G105" s="431"/>
    </row>
    <row r="106" spans="1:31" s="512" customFormat="1" ht="60">
      <c r="A106" s="530" t="s">
        <v>7917</v>
      </c>
      <c r="B106" s="336" t="s">
        <v>6808</v>
      </c>
      <c r="C106" s="431">
        <v>17672.55</v>
      </c>
      <c r="D106" s="352">
        <v>663</v>
      </c>
      <c r="E106" s="339">
        <v>178.55</v>
      </c>
      <c r="F106" s="431"/>
      <c r="G106" s="431"/>
    </row>
    <row r="107" spans="1:31" s="512" customFormat="1" ht="15">
      <c r="A107" s="338" t="s">
        <v>8655</v>
      </c>
      <c r="B107" s="336" t="s">
        <v>8658</v>
      </c>
      <c r="C107" s="431">
        <v>16715.47</v>
      </c>
      <c r="D107" s="352">
        <v>8.02</v>
      </c>
      <c r="E107" s="339">
        <v>2.16</v>
      </c>
      <c r="F107" s="431"/>
      <c r="G107" s="431"/>
    </row>
    <row r="108" spans="1:31" s="512" customFormat="1" ht="30">
      <c r="A108" s="479" t="s">
        <v>9319</v>
      </c>
      <c r="B108" s="480" t="s">
        <v>7979</v>
      </c>
      <c r="C108" s="483">
        <v>16695.95</v>
      </c>
      <c r="D108" s="481">
        <v>4602.0950303999998</v>
      </c>
      <c r="E108" s="482">
        <v>963.22</v>
      </c>
      <c r="F108" s="483"/>
      <c r="G108" s="483"/>
      <c r="H108" s="526"/>
      <c r="I108" s="526"/>
      <c r="J108" s="526"/>
      <c r="K108" s="526"/>
      <c r="L108" s="526"/>
      <c r="M108" s="526"/>
      <c r="N108" s="526"/>
      <c r="O108" s="526"/>
      <c r="P108" s="526"/>
      <c r="Q108" s="526"/>
      <c r="R108" s="526"/>
      <c r="S108" s="526"/>
      <c r="T108" s="526"/>
      <c r="U108" s="526"/>
      <c r="V108" s="526"/>
      <c r="W108" s="526"/>
      <c r="X108" s="526"/>
      <c r="Y108" s="526"/>
      <c r="Z108" s="526"/>
      <c r="AA108" s="526"/>
      <c r="AB108" s="526"/>
      <c r="AC108" s="526"/>
      <c r="AD108" s="526"/>
      <c r="AE108" s="526"/>
    </row>
    <row r="109" spans="1:31" s="512" customFormat="1" ht="105">
      <c r="A109" s="338" t="s">
        <v>8550</v>
      </c>
      <c r="B109" s="336" t="s">
        <v>7420</v>
      </c>
      <c r="C109" s="431">
        <v>16652.12</v>
      </c>
      <c r="D109" s="352">
        <v>6559.57</v>
      </c>
      <c r="E109" s="339">
        <v>1766.49</v>
      </c>
      <c r="F109" s="431"/>
      <c r="G109" s="431"/>
    </row>
    <row r="110" spans="1:31" s="512" customFormat="1" ht="30">
      <c r="A110" s="338" t="s">
        <v>8864</v>
      </c>
      <c r="B110" s="336" t="s">
        <v>7170</v>
      </c>
      <c r="C110" s="431">
        <v>16643.72</v>
      </c>
      <c r="D110" s="352">
        <v>30.35</v>
      </c>
      <c r="E110" s="339">
        <v>8.17</v>
      </c>
      <c r="F110" s="431"/>
      <c r="G110" s="431"/>
    </row>
    <row r="111" spans="1:31" s="512" customFormat="1" ht="15">
      <c r="A111" s="338" t="s">
        <v>9577</v>
      </c>
      <c r="B111" s="336" t="s">
        <v>8668</v>
      </c>
      <c r="C111" s="431">
        <v>16430.189999999999</v>
      </c>
      <c r="D111" s="352">
        <v>6.04</v>
      </c>
      <c r="E111" s="339">
        <v>1.63</v>
      </c>
      <c r="F111" s="431"/>
      <c r="G111" s="431"/>
    </row>
    <row r="112" spans="1:31" s="512" customFormat="1" ht="15">
      <c r="A112" s="338" t="s">
        <v>7943</v>
      </c>
      <c r="B112" s="336" t="s">
        <v>6858</v>
      </c>
      <c r="C112" s="431">
        <v>15546.66</v>
      </c>
      <c r="D112" s="352">
        <v>2.21</v>
      </c>
      <c r="E112" s="339">
        <v>0.6</v>
      </c>
      <c r="F112" s="431"/>
      <c r="G112" s="431"/>
    </row>
    <row r="113" spans="1:7" s="512" customFormat="1" ht="30">
      <c r="A113" s="338" t="s">
        <v>8018</v>
      </c>
      <c r="B113" s="336" t="s">
        <v>8117</v>
      </c>
      <c r="C113" s="431">
        <v>15515.28</v>
      </c>
      <c r="D113" s="352">
        <v>113.18</v>
      </c>
      <c r="E113" s="339">
        <v>30.48</v>
      </c>
      <c r="F113" s="431"/>
      <c r="G113" s="431"/>
    </row>
    <row r="114" spans="1:7" s="512" customFormat="1" ht="15">
      <c r="A114" s="338" t="s">
        <v>8029</v>
      </c>
      <c r="B114" s="336" t="s">
        <v>8045</v>
      </c>
      <c r="C114" s="431">
        <v>14683.5</v>
      </c>
      <c r="D114" s="352">
        <v>771.21</v>
      </c>
      <c r="E114" s="339">
        <v>207.69</v>
      </c>
      <c r="F114" s="431"/>
      <c r="G114" s="431"/>
    </row>
    <row r="115" spans="1:7" s="512" customFormat="1" ht="75">
      <c r="A115" s="338" t="s">
        <v>8440</v>
      </c>
      <c r="B115" s="336" t="s">
        <v>7307</v>
      </c>
      <c r="C115" s="431">
        <v>14574.15</v>
      </c>
      <c r="D115" s="352">
        <v>765.46999999999991</v>
      </c>
      <c r="E115" s="339">
        <v>206.14</v>
      </c>
      <c r="F115" s="431"/>
      <c r="G115" s="431"/>
    </row>
    <row r="116" spans="1:7" s="512" customFormat="1" ht="30">
      <c r="A116" s="338" t="s">
        <v>8224</v>
      </c>
      <c r="B116" s="336" t="s">
        <v>7095</v>
      </c>
      <c r="C116" s="431">
        <v>14109</v>
      </c>
      <c r="D116" s="352">
        <v>1111.5600000000002</v>
      </c>
      <c r="E116" s="339">
        <v>299.33999999999997</v>
      </c>
      <c r="F116" s="431"/>
      <c r="G116" s="431"/>
    </row>
    <row r="117" spans="1:7" s="512" customFormat="1" ht="15">
      <c r="A117" s="338" t="s">
        <v>8676</v>
      </c>
      <c r="B117" s="336" t="s">
        <v>8659</v>
      </c>
      <c r="C117" s="431">
        <v>13628.4</v>
      </c>
      <c r="D117" s="352">
        <v>6.59</v>
      </c>
      <c r="E117" s="339">
        <v>1.77</v>
      </c>
      <c r="F117" s="431"/>
      <c r="G117" s="431"/>
    </row>
    <row r="118" spans="1:7" s="512" customFormat="1" ht="30">
      <c r="A118" s="338" t="s">
        <v>8336</v>
      </c>
      <c r="B118" s="336" t="s">
        <v>7247</v>
      </c>
      <c r="C118" s="431">
        <v>13473</v>
      </c>
      <c r="D118" s="352">
        <v>3.9299999999999997</v>
      </c>
      <c r="E118" s="339">
        <v>1.06</v>
      </c>
      <c r="F118" s="431"/>
      <c r="G118" s="431"/>
    </row>
    <row r="119" spans="1:7" s="512" customFormat="1" ht="30">
      <c r="A119" s="338" t="s">
        <v>8865</v>
      </c>
      <c r="B119" s="336" t="s">
        <v>7171</v>
      </c>
      <c r="C119" s="431">
        <v>13272.12</v>
      </c>
      <c r="D119" s="352">
        <v>39.19</v>
      </c>
      <c r="E119" s="339">
        <v>10.55</v>
      </c>
      <c r="F119" s="431"/>
      <c r="G119" s="431"/>
    </row>
    <row r="120" spans="1:7" s="512" customFormat="1" ht="30">
      <c r="A120" s="338" t="s">
        <v>15410</v>
      </c>
      <c r="B120" s="336" t="s">
        <v>15408</v>
      </c>
      <c r="C120" s="431">
        <v>12721.12</v>
      </c>
      <c r="D120" s="352">
        <v>2505.54</v>
      </c>
      <c r="E120" s="339">
        <v>674.74</v>
      </c>
      <c r="F120" s="431"/>
      <c r="G120" s="431"/>
    </row>
    <row r="121" spans="1:7" s="512" customFormat="1" ht="15">
      <c r="A121" s="338" t="s">
        <v>8997</v>
      </c>
      <c r="B121" s="336" t="s">
        <v>7368</v>
      </c>
      <c r="C121" s="431">
        <v>12212.26</v>
      </c>
      <c r="D121" s="352">
        <v>181.53000000000003</v>
      </c>
      <c r="E121" s="339">
        <v>48.89</v>
      </c>
      <c r="F121" s="431"/>
      <c r="G121" s="431"/>
    </row>
    <row r="122" spans="1:7" s="512" customFormat="1" ht="15">
      <c r="A122" s="460" t="s">
        <v>8118</v>
      </c>
      <c r="B122" s="336" t="s">
        <v>6980</v>
      </c>
      <c r="C122" s="431">
        <v>12126.75</v>
      </c>
      <c r="D122" s="352">
        <v>59.3</v>
      </c>
      <c r="E122" s="339">
        <v>15.97</v>
      </c>
      <c r="F122" s="431"/>
      <c r="G122" s="431"/>
    </row>
    <row r="123" spans="1:7" s="512" customFormat="1" ht="15">
      <c r="A123" s="338" t="s">
        <v>8031</v>
      </c>
      <c r="B123" s="336" t="s">
        <v>8047</v>
      </c>
      <c r="C123" s="431">
        <v>11940.6</v>
      </c>
      <c r="D123" s="352">
        <v>470.35999999999996</v>
      </c>
      <c r="E123" s="339">
        <v>126.67</v>
      </c>
      <c r="F123" s="431"/>
      <c r="G123" s="431"/>
    </row>
    <row r="124" spans="1:7" s="512" customFormat="1" ht="45">
      <c r="A124" s="338" t="s">
        <v>9628</v>
      </c>
      <c r="B124" s="336" t="s">
        <v>9567</v>
      </c>
      <c r="C124" s="431">
        <v>11839.21</v>
      </c>
      <c r="D124" s="352">
        <v>11.32</v>
      </c>
      <c r="E124" s="339">
        <v>3.05</v>
      </c>
      <c r="F124" s="431"/>
      <c r="G124" s="431"/>
    </row>
    <row r="125" spans="1:7" s="512" customFormat="1" ht="15">
      <c r="A125" s="338" t="s">
        <v>8552</v>
      </c>
      <c r="B125" s="336" t="s">
        <v>7406</v>
      </c>
      <c r="C125" s="431">
        <v>11819</v>
      </c>
      <c r="D125" s="352">
        <v>1.76</v>
      </c>
      <c r="E125" s="339">
        <v>0.47</v>
      </c>
      <c r="F125" s="431"/>
      <c r="G125" s="431"/>
    </row>
    <row r="126" spans="1:7" s="512" customFormat="1" ht="45">
      <c r="A126" s="338" t="s">
        <v>8019</v>
      </c>
      <c r="B126" s="336" t="s">
        <v>8108</v>
      </c>
      <c r="C126" s="431">
        <v>11818.95</v>
      </c>
      <c r="D126" s="352">
        <v>47.75</v>
      </c>
      <c r="E126" s="339">
        <v>12.86</v>
      </c>
      <c r="F126" s="431"/>
      <c r="G126" s="431"/>
    </row>
    <row r="127" spans="1:7" s="512" customFormat="1" ht="30">
      <c r="A127" s="338" t="s">
        <v>7913</v>
      </c>
      <c r="B127" s="336" t="s">
        <v>6803</v>
      </c>
      <c r="C127" s="431">
        <v>11782.12</v>
      </c>
      <c r="D127" s="352">
        <v>4641.1900000000005</v>
      </c>
      <c r="E127" s="339">
        <v>1249.8699999999999</v>
      </c>
      <c r="F127" s="431"/>
      <c r="G127" s="431"/>
    </row>
    <row r="128" spans="1:7" s="512" customFormat="1" ht="30">
      <c r="A128" s="338" t="s">
        <v>7892</v>
      </c>
      <c r="B128" s="336" t="s">
        <v>6772</v>
      </c>
      <c r="C128" s="431">
        <v>11776.3</v>
      </c>
      <c r="D128" s="352">
        <v>52.67</v>
      </c>
      <c r="E128" s="339">
        <v>14.18</v>
      </c>
      <c r="F128" s="431"/>
      <c r="G128" s="431"/>
    </row>
    <row r="129" spans="1:31" s="512" customFormat="1" ht="15">
      <c r="A129" s="338" t="s">
        <v>8032</v>
      </c>
      <c r="B129" s="336" t="s">
        <v>8048</v>
      </c>
      <c r="C129" s="431">
        <v>11772.5</v>
      </c>
      <c r="D129" s="352">
        <v>545.57999999999993</v>
      </c>
      <c r="E129" s="339">
        <v>146.91999999999999</v>
      </c>
      <c r="F129" s="431"/>
      <c r="G129" s="431"/>
    </row>
    <row r="130" spans="1:31" s="512" customFormat="1" ht="30">
      <c r="A130" s="338" t="s">
        <v>8342</v>
      </c>
      <c r="B130" s="336" t="s">
        <v>7253</v>
      </c>
      <c r="C130" s="431">
        <v>11499</v>
      </c>
      <c r="D130" s="352">
        <v>30.2</v>
      </c>
      <c r="E130" s="339">
        <v>8.1300000000000008</v>
      </c>
      <c r="F130" s="431"/>
      <c r="G130" s="431"/>
    </row>
    <row r="131" spans="1:31" s="512" customFormat="1" ht="30">
      <c r="A131" s="338" t="s">
        <v>7928</v>
      </c>
      <c r="B131" s="336" t="s">
        <v>6849</v>
      </c>
      <c r="C131" s="431">
        <v>11266.71</v>
      </c>
      <c r="D131" s="352">
        <v>2.92</v>
      </c>
      <c r="E131" s="339">
        <v>0.79</v>
      </c>
      <c r="F131" s="431"/>
      <c r="G131" s="431"/>
    </row>
    <row r="132" spans="1:31" s="512" customFormat="1" ht="30">
      <c r="A132" s="338" t="s">
        <v>8017</v>
      </c>
      <c r="B132" s="336" t="s">
        <v>8116</v>
      </c>
      <c r="C132" s="431">
        <v>11205.48</v>
      </c>
      <c r="D132" s="352">
        <v>113.18</v>
      </c>
      <c r="E132" s="339">
        <v>30.48</v>
      </c>
      <c r="F132" s="431"/>
      <c r="G132" s="431"/>
    </row>
    <row r="133" spans="1:31" s="512" customFormat="1" ht="15">
      <c r="A133" s="338" t="s">
        <v>6842</v>
      </c>
      <c r="B133" s="336" t="s">
        <v>6838</v>
      </c>
      <c r="C133" s="431">
        <v>11136.72</v>
      </c>
      <c r="D133" s="352">
        <v>326.89999999999998</v>
      </c>
      <c r="E133" s="339">
        <v>88.03</v>
      </c>
      <c r="F133" s="431"/>
      <c r="G133" s="431"/>
    </row>
    <row r="134" spans="1:31" s="512" customFormat="1" ht="30">
      <c r="A134" s="338" t="s">
        <v>8643</v>
      </c>
      <c r="B134" s="336" t="s">
        <v>8759</v>
      </c>
      <c r="C134" s="431">
        <v>11084.85</v>
      </c>
      <c r="D134" s="352">
        <v>9.24</v>
      </c>
      <c r="E134" s="339">
        <v>2.4900000000000002</v>
      </c>
      <c r="F134" s="431"/>
      <c r="G134" s="431"/>
    </row>
    <row r="135" spans="1:31" s="512" customFormat="1" ht="15">
      <c r="A135" s="338" t="s">
        <v>8656</v>
      </c>
      <c r="B135" s="336" t="s">
        <v>8659</v>
      </c>
      <c r="C135" s="431">
        <v>11043.56</v>
      </c>
      <c r="D135" s="352">
        <v>6.59</v>
      </c>
      <c r="E135" s="339">
        <v>1.77</v>
      </c>
      <c r="F135" s="431"/>
      <c r="G135" s="431"/>
    </row>
    <row r="136" spans="1:31" s="512" customFormat="1" ht="15">
      <c r="A136" s="338" t="s">
        <v>7899</v>
      </c>
      <c r="B136" s="336" t="s">
        <v>6779</v>
      </c>
      <c r="C136" s="431">
        <v>10968.1</v>
      </c>
      <c r="D136" s="352">
        <v>25.97</v>
      </c>
      <c r="E136" s="339">
        <v>6.99</v>
      </c>
      <c r="F136" s="431"/>
      <c r="G136" s="431"/>
    </row>
    <row r="137" spans="1:31" s="512" customFormat="1" ht="90">
      <c r="A137" s="338" t="s">
        <v>8432</v>
      </c>
      <c r="B137" s="336" t="s">
        <v>7299</v>
      </c>
      <c r="C137" s="431">
        <v>10530.1</v>
      </c>
      <c r="D137" s="352">
        <v>237.03000000000003</v>
      </c>
      <c r="E137" s="339">
        <v>63.83</v>
      </c>
      <c r="F137" s="431"/>
      <c r="G137" s="431"/>
    </row>
    <row r="138" spans="1:31" s="512" customFormat="1" ht="45">
      <c r="A138" s="338" t="s">
        <v>7955</v>
      </c>
      <c r="B138" s="336" t="s">
        <v>6995</v>
      </c>
      <c r="C138" s="431">
        <v>10394.11</v>
      </c>
      <c r="D138" s="352">
        <v>569.86</v>
      </c>
      <c r="E138" s="339">
        <v>153.46</v>
      </c>
      <c r="F138" s="431"/>
      <c r="G138" s="431"/>
    </row>
    <row r="139" spans="1:31" s="512" customFormat="1" ht="15">
      <c r="A139" s="338" t="s">
        <v>8675</v>
      </c>
      <c r="B139" s="336" t="s">
        <v>8667</v>
      </c>
      <c r="C139" s="431">
        <v>10310.42</v>
      </c>
      <c r="D139" s="352">
        <v>7.13</v>
      </c>
      <c r="E139" s="339">
        <v>1.92</v>
      </c>
      <c r="F139" s="431"/>
      <c r="G139" s="431"/>
    </row>
    <row r="140" spans="1:31" s="512" customFormat="1" ht="30">
      <c r="A140" s="338" t="s">
        <v>7985</v>
      </c>
      <c r="B140" s="336" t="s">
        <v>7984</v>
      </c>
      <c r="C140" s="431">
        <v>9975.9</v>
      </c>
      <c r="D140" s="352">
        <v>23.82</v>
      </c>
      <c r="E140" s="339">
        <v>6.41</v>
      </c>
      <c r="F140" s="431"/>
      <c r="G140" s="431"/>
    </row>
    <row r="141" spans="1:31" s="512" customFormat="1" ht="30">
      <c r="A141" s="479" t="s">
        <v>9309</v>
      </c>
      <c r="B141" s="480" t="s">
        <v>7969</v>
      </c>
      <c r="C141" s="483">
        <v>9920.64</v>
      </c>
      <c r="D141" s="481">
        <v>4101.8122068000002</v>
      </c>
      <c r="E141" s="482">
        <v>858.51</v>
      </c>
      <c r="F141" s="483"/>
      <c r="G141" s="483"/>
      <c r="H141" s="526"/>
      <c r="I141" s="526"/>
      <c r="J141" s="526"/>
      <c r="K141" s="526"/>
      <c r="L141" s="526"/>
      <c r="M141" s="526"/>
      <c r="N141" s="526"/>
      <c r="O141" s="526"/>
      <c r="P141" s="526"/>
      <c r="Q141" s="526"/>
      <c r="R141" s="526"/>
      <c r="S141" s="526"/>
      <c r="T141" s="526"/>
      <c r="U141" s="526"/>
      <c r="V141" s="526"/>
      <c r="W141" s="526"/>
      <c r="X141" s="526"/>
      <c r="Y141" s="526"/>
      <c r="Z141" s="526"/>
      <c r="AA141" s="526"/>
      <c r="AB141" s="526"/>
      <c r="AC141" s="526"/>
      <c r="AD141" s="526"/>
      <c r="AE141" s="526"/>
    </row>
    <row r="142" spans="1:31" s="512" customFormat="1" ht="30">
      <c r="A142" s="338" t="s">
        <v>8016</v>
      </c>
      <c r="B142" s="336" t="s">
        <v>8115</v>
      </c>
      <c r="C142" s="431">
        <v>9840.6</v>
      </c>
      <c r="D142" s="352">
        <v>129.21</v>
      </c>
      <c r="E142" s="339">
        <v>34.799999999999997</v>
      </c>
      <c r="F142" s="431"/>
      <c r="G142" s="431"/>
    </row>
    <row r="143" spans="1:31" s="512" customFormat="1" ht="30">
      <c r="A143" s="338" t="s">
        <v>8051</v>
      </c>
      <c r="B143" s="336" t="s">
        <v>8049</v>
      </c>
      <c r="C143" s="431">
        <v>9672.6</v>
      </c>
      <c r="D143" s="352">
        <v>7620.42</v>
      </c>
      <c r="E143" s="339">
        <v>2052.1799999999998</v>
      </c>
      <c r="F143" s="431"/>
      <c r="G143" s="431"/>
    </row>
    <row r="144" spans="1:31" s="512" customFormat="1" ht="45">
      <c r="A144" s="338" t="s">
        <v>8021</v>
      </c>
      <c r="B144" s="336" t="s">
        <v>8110</v>
      </c>
      <c r="C144" s="431">
        <v>9626.4</v>
      </c>
      <c r="D144" s="352">
        <v>31.6</v>
      </c>
      <c r="E144" s="339">
        <v>8.51</v>
      </c>
      <c r="F144" s="431"/>
      <c r="G144" s="431"/>
    </row>
    <row r="145" spans="1:31" s="512" customFormat="1" ht="30">
      <c r="A145" s="338" t="s">
        <v>6977</v>
      </c>
      <c r="B145" s="336" t="s">
        <v>6976</v>
      </c>
      <c r="C145" s="431">
        <v>9571.0300000000007</v>
      </c>
      <c r="D145" s="352">
        <v>282.52</v>
      </c>
      <c r="E145" s="339">
        <v>76.08</v>
      </c>
      <c r="F145" s="431"/>
      <c r="G145" s="431"/>
    </row>
    <row r="146" spans="1:31" s="512" customFormat="1" ht="30">
      <c r="A146" s="338" t="s">
        <v>5927</v>
      </c>
      <c r="B146" s="336" t="s">
        <v>8980</v>
      </c>
      <c r="C146" s="431">
        <v>9432.86</v>
      </c>
      <c r="D146" s="352">
        <v>36.86</v>
      </c>
      <c r="E146" s="339">
        <v>9.93</v>
      </c>
      <c r="F146" s="431"/>
      <c r="G146" s="431"/>
    </row>
    <row r="147" spans="1:31" s="512" customFormat="1" ht="30">
      <c r="A147" s="338" t="s">
        <v>6840</v>
      </c>
      <c r="B147" s="336" t="s">
        <v>6846</v>
      </c>
      <c r="C147" s="431">
        <v>9411.67</v>
      </c>
      <c r="D147" s="352">
        <v>24.22</v>
      </c>
      <c r="E147" s="339">
        <v>6.52</v>
      </c>
      <c r="F147" s="431"/>
      <c r="G147" s="431"/>
    </row>
    <row r="148" spans="1:31" s="512" customFormat="1" ht="15">
      <c r="A148" s="338" t="s">
        <v>9624</v>
      </c>
      <c r="B148" s="336" t="s">
        <v>9621</v>
      </c>
      <c r="C148" s="431">
        <v>9326.25</v>
      </c>
      <c r="D148" s="352">
        <v>6.73</v>
      </c>
      <c r="E148" s="339">
        <v>1.81</v>
      </c>
      <c r="F148" s="431"/>
      <c r="G148" s="431"/>
    </row>
    <row r="149" spans="1:31" s="512" customFormat="1" ht="15">
      <c r="A149" s="338" t="s">
        <v>8447</v>
      </c>
      <c r="B149" s="336" t="s">
        <v>8455</v>
      </c>
      <c r="C149" s="431">
        <v>9300.4699999999993</v>
      </c>
      <c r="D149" s="352">
        <v>170.4</v>
      </c>
      <c r="E149" s="339">
        <v>45.89</v>
      </c>
      <c r="F149" s="431"/>
      <c r="G149" s="431"/>
    </row>
    <row r="150" spans="1:31" s="512" customFormat="1" ht="15">
      <c r="A150" s="338" t="s">
        <v>7957</v>
      </c>
      <c r="B150" s="336" t="s">
        <v>7002</v>
      </c>
      <c r="C150" s="431">
        <v>9240.9</v>
      </c>
      <c r="D150" s="352">
        <v>59.3</v>
      </c>
      <c r="E150" s="339">
        <v>15.97</v>
      </c>
      <c r="F150" s="431"/>
      <c r="G150" s="431"/>
    </row>
    <row r="151" spans="1:31" s="512" customFormat="1" ht="30">
      <c r="A151" s="479" t="s">
        <v>9313</v>
      </c>
      <c r="B151" s="480" t="s">
        <v>7973</v>
      </c>
      <c r="C151" s="483">
        <v>9192.83</v>
      </c>
      <c r="D151" s="481">
        <v>3800.8841367</v>
      </c>
      <c r="E151" s="482">
        <v>795.53</v>
      </c>
      <c r="F151" s="483"/>
      <c r="G151" s="483"/>
      <c r="H151" s="526"/>
      <c r="I151" s="526"/>
      <c r="J151" s="526"/>
      <c r="K151" s="526"/>
      <c r="L151" s="526"/>
      <c r="M151" s="526"/>
      <c r="N151" s="526"/>
      <c r="O151" s="526"/>
      <c r="P151" s="526"/>
      <c r="Q151" s="526"/>
      <c r="R151" s="526"/>
      <c r="S151" s="526"/>
      <c r="T151" s="526"/>
      <c r="U151" s="526"/>
      <c r="V151" s="526"/>
      <c r="W151" s="526"/>
      <c r="X151" s="526"/>
      <c r="Y151" s="526"/>
      <c r="Z151" s="526"/>
      <c r="AA151" s="526"/>
      <c r="AB151" s="526"/>
      <c r="AC151" s="526"/>
      <c r="AD151" s="526"/>
      <c r="AE151" s="526"/>
    </row>
    <row r="152" spans="1:31" s="512" customFormat="1" ht="45">
      <c r="A152" s="338" t="s">
        <v>7901</v>
      </c>
      <c r="B152" s="336" t="s">
        <v>6783</v>
      </c>
      <c r="C152" s="431">
        <v>9102.7199999999993</v>
      </c>
      <c r="D152" s="352">
        <v>1195.24</v>
      </c>
      <c r="E152" s="339">
        <v>321.88</v>
      </c>
      <c r="F152" s="431"/>
      <c r="G152" s="431"/>
    </row>
    <row r="153" spans="1:31" s="512" customFormat="1" ht="15">
      <c r="A153" s="338" t="s">
        <v>8030</v>
      </c>
      <c r="B153" s="336" t="s">
        <v>8046</v>
      </c>
      <c r="C153" s="431">
        <v>8893.7000000000007</v>
      </c>
      <c r="D153" s="352">
        <v>700.68000000000006</v>
      </c>
      <c r="E153" s="339">
        <v>188.69</v>
      </c>
      <c r="F153" s="431"/>
      <c r="G153" s="431"/>
    </row>
    <row r="154" spans="1:31" s="512" customFormat="1" ht="30">
      <c r="A154" s="338" t="s">
        <v>9631</v>
      </c>
      <c r="B154" s="336" t="s">
        <v>9641</v>
      </c>
      <c r="C154" s="431">
        <v>8634.68</v>
      </c>
      <c r="D154" s="352">
        <v>24.47</v>
      </c>
      <c r="E154" s="339">
        <v>6.59</v>
      </c>
      <c r="F154" s="431"/>
      <c r="G154" s="431"/>
    </row>
    <row r="155" spans="1:31" s="512" customFormat="1" ht="75">
      <c r="A155" s="338" t="s">
        <v>8428</v>
      </c>
      <c r="B155" s="336" t="s">
        <v>7295</v>
      </c>
      <c r="C155" s="431">
        <v>8632.68</v>
      </c>
      <c r="D155" s="352">
        <v>323.85999999999996</v>
      </c>
      <c r="E155" s="339">
        <v>87.22</v>
      </c>
      <c r="F155" s="431"/>
      <c r="G155" s="431"/>
    </row>
    <row r="156" spans="1:31" s="512" customFormat="1" ht="30">
      <c r="A156" s="338" t="s">
        <v>7924</v>
      </c>
      <c r="B156" s="336" t="s">
        <v>6830</v>
      </c>
      <c r="C156" s="431">
        <v>8549.23</v>
      </c>
      <c r="D156" s="352">
        <v>32.880000000000003</v>
      </c>
      <c r="E156" s="339">
        <v>8.85</v>
      </c>
      <c r="F156" s="431"/>
      <c r="G156" s="431"/>
    </row>
    <row r="157" spans="1:31" s="512" customFormat="1" ht="30">
      <c r="A157" s="338" t="s">
        <v>8015</v>
      </c>
      <c r="B157" s="336" t="s">
        <v>8114</v>
      </c>
      <c r="C157" s="431">
        <v>8298</v>
      </c>
      <c r="D157" s="352">
        <v>108.96</v>
      </c>
      <c r="E157" s="339">
        <v>29.34</v>
      </c>
      <c r="F157" s="431"/>
      <c r="G157" s="431"/>
    </row>
    <row r="158" spans="1:31" s="512" customFormat="1" ht="30">
      <c r="A158" s="338" t="s">
        <v>6979</v>
      </c>
      <c r="B158" s="336" t="s">
        <v>8636</v>
      </c>
      <c r="C158" s="431">
        <v>8265.73</v>
      </c>
      <c r="D158" s="352">
        <v>16.100000000000001</v>
      </c>
      <c r="E158" s="339">
        <v>4.34</v>
      </c>
      <c r="F158" s="431"/>
      <c r="G158" s="431"/>
    </row>
    <row r="159" spans="1:31" s="512" customFormat="1" ht="30">
      <c r="A159" s="338" t="s">
        <v>8013</v>
      </c>
      <c r="B159" s="336" t="s">
        <v>8112</v>
      </c>
      <c r="C159" s="431">
        <v>8110.08</v>
      </c>
      <c r="D159" s="352">
        <v>177.48</v>
      </c>
      <c r="E159" s="339">
        <v>47.8</v>
      </c>
      <c r="F159" s="431"/>
      <c r="G159" s="431"/>
    </row>
    <row r="160" spans="1:31" s="512" customFormat="1" ht="30">
      <c r="A160" s="338" t="s">
        <v>9626</v>
      </c>
      <c r="B160" s="336" t="s">
        <v>9625</v>
      </c>
      <c r="C160" s="431">
        <v>7963.56</v>
      </c>
      <c r="D160" s="352">
        <v>7.53</v>
      </c>
      <c r="E160" s="339">
        <v>2.0299999999999998</v>
      </c>
      <c r="F160" s="431"/>
      <c r="G160" s="431"/>
    </row>
    <row r="161" spans="1:31" s="512" customFormat="1" ht="30">
      <c r="A161" s="338" t="s">
        <v>8335</v>
      </c>
      <c r="B161" s="336" t="s">
        <v>8943</v>
      </c>
      <c r="C161" s="431">
        <v>7840</v>
      </c>
      <c r="D161" s="352">
        <v>3.09</v>
      </c>
      <c r="E161" s="339">
        <v>0.83</v>
      </c>
      <c r="F161" s="431"/>
      <c r="G161" s="431"/>
    </row>
    <row r="162" spans="1:31" s="512" customFormat="1" ht="45">
      <c r="A162" s="338" t="s">
        <v>7903</v>
      </c>
      <c r="B162" s="336" t="s">
        <v>6785</v>
      </c>
      <c r="C162" s="431">
        <v>7785.99</v>
      </c>
      <c r="D162" s="352">
        <v>6134.0800000000008</v>
      </c>
      <c r="E162" s="339">
        <v>1651.91</v>
      </c>
      <c r="F162" s="431"/>
      <c r="G162" s="431"/>
    </row>
    <row r="163" spans="1:31" s="512" customFormat="1" ht="45">
      <c r="A163" s="530" t="s">
        <v>7918</v>
      </c>
      <c r="B163" s="336" t="s">
        <v>6809</v>
      </c>
      <c r="C163" s="431">
        <v>7767.72</v>
      </c>
      <c r="D163" s="352">
        <v>339.98</v>
      </c>
      <c r="E163" s="339">
        <v>91.56</v>
      </c>
      <c r="F163" s="431"/>
      <c r="G163" s="431"/>
    </row>
    <row r="164" spans="1:31" s="512" customFormat="1" ht="15">
      <c r="A164" s="338" t="s">
        <v>8159</v>
      </c>
      <c r="B164" s="336" t="s">
        <v>7020</v>
      </c>
      <c r="C164" s="431">
        <v>7750.7</v>
      </c>
      <c r="D164" s="352">
        <v>15.35</v>
      </c>
      <c r="E164" s="339">
        <v>4.13</v>
      </c>
      <c r="F164" s="431"/>
      <c r="G164" s="431"/>
    </row>
    <row r="165" spans="1:31" s="512" customFormat="1" ht="30">
      <c r="A165" s="338" t="s">
        <v>8052</v>
      </c>
      <c r="B165" s="336" t="s">
        <v>8050</v>
      </c>
      <c r="C165" s="431">
        <v>7712.74</v>
      </c>
      <c r="D165" s="352">
        <v>6076.37</v>
      </c>
      <c r="E165" s="339">
        <v>1636.37</v>
      </c>
      <c r="F165" s="431"/>
      <c r="G165" s="431"/>
    </row>
    <row r="166" spans="1:31" s="512" customFormat="1" ht="30">
      <c r="A166" s="338" t="s">
        <v>15442</v>
      </c>
      <c r="B166" s="336" t="s">
        <v>8937</v>
      </c>
      <c r="C166" s="431">
        <v>7694.34</v>
      </c>
      <c r="D166" s="339">
        <v>6061.88</v>
      </c>
      <c r="E166" s="339">
        <v>1632.46</v>
      </c>
      <c r="F166" s="431"/>
      <c r="G166" s="431"/>
    </row>
    <row r="167" spans="1:31" s="512" customFormat="1" ht="30">
      <c r="A167" s="338" t="s">
        <v>8014</v>
      </c>
      <c r="B167" s="336" t="s">
        <v>8113</v>
      </c>
      <c r="C167" s="431">
        <v>7468.2</v>
      </c>
      <c r="D167" s="352">
        <v>108.96</v>
      </c>
      <c r="E167" s="339">
        <v>29.34</v>
      </c>
      <c r="F167" s="431"/>
      <c r="G167" s="431"/>
    </row>
    <row r="168" spans="1:31" s="512" customFormat="1" ht="30">
      <c r="A168" s="338" t="s">
        <v>7927</v>
      </c>
      <c r="B168" s="336" t="s">
        <v>7814</v>
      </c>
      <c r="C168" s="431">
        <v>7452.72</v>
      </c>
      <c r="D168" s="352">
        <v>6.3</v>
      </c>
      <c r="E168" s="339">
        <v>1.7</v>
      </c>
      <c r="F168" s="431"/>
      <c r="G168" s="431"/>
    </row>
    <row r="169" spans="1:31" s="512" customFormat="1" ht="60">
      <c r="A169" s="530" t="s">
        <v>7915</v>
      </c>
      <c r="B169" s="336" t="s">
        <v>6806</v>
      </c>
      <c r="C169" s="431">
        <v>7436.76</v>
      </c>
      <c r="D169" s="352">
        <v>1464.7400000000002</v>
      </c>
      <c r="E169" s="339">
        <v>394.45</v>
      </c>
      <c r="F169" s="431"/>
      <c r="G169" s="431"/>
    </row>
    <row r="170" spans="1:31" s="512" customFormat="1" ht="30">
      <c r="A170" s="338" t="s">
        <v>7818</v>
      </c>
      <c r="B170" s="336" t="s">
        <v>7819</v>
      </c>
      <c r="C170" s="431">
        <v>7383.77</v>
      </c>
      <c r="D170" s="352">
        <v>176.55</v>
      </c>
      <c r="E170" s="339">
        <v>47.54</v>
      </c>
      <c r="F170" s="431"/>
      <c r="G170" s="431"/>
    </row>
    <row r="171" spans="1:31" s="512" customFormat="1" ht="30">
      <c r="A171" s="338" t="s">
        <v>8337</v>
      </c>
      <c r="B171" s="336" t="s">
        <v>7248</v>
      </c>
      <c r="C171" s="431">
        <v>7360</v>
      </c>
      <c r="D171" s="352">
        <v>5.8</v>
      </c>
      <c r="E171" s="339">
        <v>1.56</v>
      </c>
      <c r="F171" s="431"/>
      <c r="G171" s="431"/>
    </row>
    <row r="172" spans="1:31" s="512" customFormat="1" ht="30">
      <c r="A172" s="338" t="s">
        <v>7939</v>
      </c>
      <c r="B172" s="336" t="s">
        <v>7826</v>
      </c>
      <c r="C172" s="431">
        <v>7331.09</v>
      </c>
      <c r="D172" s="352">
        <v>55.18</v>
      </c>
      <c r="E172" s="339">
        <v>14.86</v>
      </c>
      <c r="F172" s="431"/>
      <c r="G172" s="431"/>
    </row>
    <row r="173" spans="1:31" s="512" customFormat="1" ht="30">
      <c r="A173" s="338" t="s">
        <v>7904</v>
      </c>
      <c r="B173" s="336" t="s">
        <v>6786</v>
      </c>
      <c r="C173" s="431">
        <v>7299</v>
      </c>
      <c r="D173" s="352">
        <v>1150.0800000000002</v>
      </c>
      <c r="E173" s="339">
        <v>309.72000000000003</v>
      </c>
      <c r="F173" s="431"/>
      <c r="G173" s="431"/>
    </row>
    <row r="174" spans="1:31" s="512" customFormat="1" ht="30">
      <c r="A174" s="479" t="s">
        <v>9316</v>
      </c>
      <c r="B174" s="480" t="s">
        <v>7976</v>
      </c>
      <c r="C174" s="483">
        <v>7230.98</v>
      </c>
      <c r="D174" s="481">
        <v>5979.4774452000001</v>
      </c>
      <c r="E174" s="482">
        <v>1251.5</v>
      </c>
      <c r="F174" s="483"/>
      <c r="G174" s="483"/>
      <c r="H174" s="526"/>
      <c r="I174" s="526"/>
      <c r="J174" s="526"/>
      <c r="K174" s="526"/>
      <c r="L174" s="526"/>
      <c r="M174" s="526"/>
      <c r="N174" s="526"/>
      <c r="O174" s="526"/>
      <c r="P174" s="526"/>
      <c r="Q174" s="526"/>
      <c r="R174" s="526"/>
      <c r="S174" s="526"/>
      <c r="T174" s="526"/>
      <c r="U174" s="526"/>
      <c r="V174" s="526"/>
      <c r="W174" s="526"/>
      <c r="X174" s="526"/>
      <c r="Y174" s="526"/>
      <c r="Z174" s="526"/>
      <c r="AA174" s="526"/>
      <c r="AB174" s="526"/>
      <c r="AC174" s="526"/>
      <c r="AD174" s="526"/>
      <c r="AE174" s="526"/>
    </row>
    <row r="175" spans="1:31" s="512" customFormat="1" ht="30">
      <c r="A175" s="338" t="s">
        <v>8322</v>
      </c>
      <c r="B175" s="336" t="s">
        <v>8306</v>
      </c>
      <c r="C175" s="431">
        <v>7035.28</v>
      </c>
      <c r="D175" s="352">
        <v>791.81000000000006</v>
      </c>
      <c r="E175" s="339">
        <v>213.23</v>
      </c>
      <c r="F175" s="431"/>
      <c r="G175" s="431"/>
    </row>
    <row r="176" spans="1:31" s="512" customFormat="1" ht="15">
      <c r="A176" s="338" t="s">
        <v>7429</v>
      </c>
      <c r="B176" s="336" t="s">
        <v>7421</v>
      </c>
      <c r="C176" s="431">
        <v>7035</v>
      </c>
      <c r="D176" s="352">
        <v>22.169999999999998</v>
      </c>
      <c r="E176" s="339">
        <v>5.97</v>
      </c>
      <c r="F176" s="431"/>
      <c r="G176" s="431"/>
    </row>
    <row r="177" spans="1:7" s="512" customFormat="1" ht="15">
      <c r="A177" s="338" t="s">
        <v>9320</v>
      </c>
      <c r="B177" s="336" t="s">
        <v>9327</v>
      </c>
      <c r="C177" s="431">
        <v>7025.07</v>
      </c>
      <c r="D177" s="352">
        <v>425.74</v>
      </c>
      <c r="E177" s="339">
        <v>114.65</v>
      </c>
      <c r="F177" s="431"/>
      <c r="G177" s="431"/>
    </row>
    <row r="178" spans="1:7" s="512" customFormat="1" ht="15">
      <c r="A178" s="338" t="s">
        <v>8370</v>
      </c>
      <c r="B178" s="532" t="s">
        <v>8520</v>
      </c>
      <c r="C178" s="431">
        <v>7018.5</v>
      </c>
      <c r="D178" s="352">
        <v>36.86</v>
      </c>
      <c r="E178" s="339">
        <v>9.93</v>
      </c>
      <c r="F178" s="431"/>
      <c r="G178" s="431"/>
    </row>
    <row r="179" spans="1:7" s="512" customFormat="1" ht="45">
      <c r="A179" s="338" t="s">
        <v>7902</v>
      </c>
      <c r="B179" s="336" t="s">
        <v>6784</v>
      </c>
      <c r="C179" s="431">
        <v>6999.05</v>
      </c>
      <c r="D179" s="352">
        <v>5514.1</v>
      </c>
      <c r="E179" s="339">
        <v>1484.95</v>
      </c>
      <c r="F179" s="431"/>
      <c r="G179" s="431"/>
    </row>
    <row r="180" spans="1:7" s="512" customFormat="1" ht="15">
      <c r="A180" s="338" t="s">
        <v>8466</v>
      </c>
      <c r="B180" s="336" t="s">
        <v>8459</v>
      </c>
      <c r="C180" s="431">
        <v>6789.3</v>
      </c>
      <c r="D180" s="352">
        <v>10.09</v>
      </c>
      <c r="E180" s="339">
        <v>2.72</v>
      </c>
      <c r="F180" s="431"/>
      <c r="G180" s="431"/>
    </row>
    <row r="181" spans="1:7" s="512" customFormat="1" ht="45">
      <c r="A181" s="338" t="s">
        <v>8020</v>
      </c>
      <c r="B181" s="336" t="s">
        <v>8109</v>
      </c>
      <c r="C181" s="431">
        <v>6721.65</v>
      </c>
      <c r="D181" s="352">
        <v>39.229999999999997</v>
      </c>
      <c r="E181" s="339">
        <v>10.56</v>
      </c>
      <c r="F181" s="431"/>
      <c r="G181" s="431"/>
    </row>
    <row r="182" spans="1:7" s="512" customFormat="1" ht="15">
      <c r="A182" s="338" t="s">
        <v>15448</v>
      </c>
      <c r="B182" s="336" t="s">
        <v>15439</v>
      </c>
      <c r="C182" s="431">
        <v>6698.53</v>
      </c>
      <c r="D182" s="339">
        <v>19.52</v>
      </c>
      <c r="E182" s="339">
        <v>5.26</v>
      </c>
      <c r="F182" s="431"/>
      <c r="G182" s="431"/>
    </row>
    <row r="183" spans="1:7" s="512" customFormat="1" ht="30">
      <c r="A183" s="338" t="s">
        <v>7945</v>
      </c>
      <c r="B183" s="336" t="s">
        <v>6862</v>
      </c>
      <c r="C183" s="431">
        <v>6491.58</v>
      </c>
      <c r="D183" s="352">
        <v>2.21</v>
      </c>
      <c r="E183" s="339">
        <v>0.6</v>
      </c>
      <c r="F183" s="431"/>
      <c r="G183" s="431"/>
    </row>
    <row r="184" spans="1:7" s="512" customFormat="1" ht="30">
      <c r="A184" s="338" t="s">
        <v>7886</v>
      </c>
      <c r="B184" s="336" t="s">
        <v>6747</v>
      </c>
      <c r="C184" s="431">
        <v>6379.67</v>
      </c>
      <c r="D184" s="352">
        <v>7.83</v>
      </c>
      <c r="E184" s="339">
        <v>2.11</v>
      </c>
      <c r="F184" s="431"/>
      <c r="G184" s="431"/>
    </row>
    <row r="185" spans="1:7" s="512" customFormat="1" ht="30">
      <c r="A185" s="338" t="s">
        <v>9345</v>
      </c>
      <c r="B185" s="336" t="s">
        <v>15408</v>
      </c>
      <c r="C185" s="431">
        <v>6360.56</v>
      </c>
      <c r="D185" s="352">
        <v>2505.54</v>
      </c>
      <c r="E185" s="339">
        <v>674.74</v>
      </c>
      <c r="F185" s="431"/>
      <c r="G185" s="431"/>
    </row>
    <row r="186" spans="1:7" s="512" customFormat="1" ht="60">
      <c r="A186" s="530" t="s">
        <v>7914</v>
      </c>
      <c r="B186" s="336" t="s">
        <v>6805</v>
      </c>
      <c r="C186" s="431">
        <v>6324.3</v>
      </c>
      <c r="D186" s="352">
        <v>830.42000000000007</v>
      </c>
      <c r="E186" s="339">
        <v>223.63</v>
      </c>
      <c r="F186" s="431"/>
      <c r="G186" s="431"/>
    </row>
    <row r="187" spans="1:7" s="512" customFormat="1" ht="15">
      <c r="A187" s="338" t="s">
        <v>15452</v>
      </c>
      <c r="B187" s="336" t="s">
        <v>15438</v>
      </c>
      <c r="C187" s="431">
        <v>6270</v>
      </c>
      <c r="D187" s="339">
        <v>82.33</v>
      </c>
      <c r="E187" s="339">
        <v>22.17</v>
      </c>
      <c r="F187" s="431"/>
      <c r="G187" s="431"/>
    </row>
    <row r="188" spans="1:7" s="512" customFormat="1" ht="15">
      <c r="A188" s="338" t="s">
        <v>8553</v>
      </c>
      <c r="B188" s="336" t="s">
        <v>7422</v>
      </c>
      <c r="C188" s="431">
        <v>6259.5</v>
      </c>
      <c r="D188" s="352">
        <v>21.92</v>
      </c>
      <c r="E188" s="339">
        <v>5.9</v>
      </c>
      <c r="F188" s="431"/>
      <c r="G188" s="431"/>
    </row>
    <row r="189" spans="1:7" s="512" customFormat="1" ht="15">
      <c r="A189" s="338" t="s">
        <v>8612</v>
      </c>
      <c r="B189" s="336" t="s">
        <v>7349</v>
      </c>
      <c r="C189" s="431">
        <v>6225.6</v>
      </c>
      <c r="D189" s="352">
        <v>40.870000000000005</v>
      </c>
      <c r="E189" s="339">
        <v>11.01</v>
      </c>
      <c r="F189" s="431"/>
      <c r="G189" s="431"/>
    </row>
    <row r="190" spans="1:7" s="512" customFormat="1" ht="30">
      <c r="A190" s="338" t="s">
        <v>6978</v>
      </c>
      <c r="B190" s="336" t="s">
        <v>6870</v>
      </c>
      <c r="C190" s="431">
        <v>6198.19</v>
      </c>
      <c r="D190" s="352">
        <v>29.5</v>
      </c>
      <c r="E190" s="339">
        <v>7.94</v>
      </c>
      <c r="F190" s="431"/>
      <c r="G190" s="431"/>
    </row>
    <row r="191" spans="1:7" s="512" customFormat="1" ht="15">
      <c r="A191" s="338" t="s">
        <v>8508</v>
      </c>
      <c r="B191" s="532" t="s">
        <v>8486</v>
      </c>
      <c r="C191" s="431">
        <v>6138</v>
      </c>
      <c r="D191" s="352">
        <v>10.75</v>
      </c>
      <c r="E191" s="339">
        <v>2.89</v>
      </c>
      <c r="F191" s="431"/>
      <c r="G191" s="431"/>
    </row>
    <row r="192" spans="1:7" s="512" customFormat="1" ht="30">
      <c r="A192" s="338" t="s">
        <v>7894</v>
      </c>
      <c r="B192" s="336" t="s">
        <v>6773</v>
      </c>
      <c r="C192" s="431">
        <v>6088.39</v>
      </c>
      <c r="D192" s="352">
        <v>11.29</v>
      </c>
      <c r="E192" s="339">
        <v>3.04</v>
      </c>
      <c r="F192" s="431"/>
      <c r="G192" s="431"/>
    </row>
    <row r="193" spans="1:31" s="512" customFormat="1" ht="15">
      <c r="A193" s="338" t="s">
        <v>6986</v>
      </c>
      <c r="B193" s="336" t="s">
        <v>6985</v>
      </c>
      <c r="C193" s="431">
        <v>5853.3</v>
      </c>
      <c r="D193" s="352">
        <v>23.91</v>
      </c>
      <c r="E193" s="339">
        <v>6.44</v>
      </c>
      <c r="F193" s="431"/>
      <c r="G193" s="431"/>
    </row>
    <row r="194" spans="1:31" s="512" customFormat="1" ht="30">
      <c r="A194" s="338" t="s">
        <v>8223</v>
      </c>
      <c r="B194" s="336" t="s">
        <v>7094</v>
      </c>
      <c r="C194" s="431">
        <v>5788.7</v>
      </c>
      <c r="D194" s="352">
        <v>912.11</v>
      </c>
      <c r="E194" s="339">
        <v>245.63</v>
      </c>
      <c r="F194" s="431"/>
      <c r="G194" s="431"/>
    </row>
    <row r="195" spans="1:31" s="512" customFormat="1" ht="15">
      <c r="A195" s="338" t="s">
        <v>8588</v>
      </c>
      <c r="B195" s="336" t="s">
        <v>8574</v>
      </c>
      <c r="C195" s="431">
        <v>5742</v>
      </c>
      <c r="D195" s="352">
        <v>30.16</v>
      </c>
      <c r="E195" s="339">
        <v>8.1199999999999992</v>
      </c>
      <c r="F195" s="431"/>
      <c r="G195" s="431"/>
    </row>
    <row r="196" spans="1:31" s="512" customFormat="1" ht="30">
      <c r="A196" s="338" t="s">
        <v>6776</v>
      </c>
      <c r="B196" s="336" t="s">
        <v>6777</v>
      </c>
      <c r="C196" s="431">
        <v>5674.09</v>
      </c>
      <c r="D196" s="352">
        <v>98.46</v>
      </c>
      <c r="E196" s="339">
        <v>26.52</v>
      </c>
      <c r="F196" s="431"/>
      <c r="G196" s="431"/>
    </row>
    <row r="197" spans="1:31" s="512" customFormat="1" ht="60">
      <c r="A197" s="338" t="s">
        <v>8431</v>
      </c>
      <c r="B197" s="336" t="s">
        <v>7298</v>
      </c>
      <c r="C197" s="431">
        <v>5666.24</v>
      </c>
      <c r="D197" s="352">
        <v>139.49999999999997</v>
      </c>
      <c r="E197" s="339">
        <v>37.57</v>
      </c>
      <c r="F197" s="431"/>
      <c r="G197" s="431"/>
    </row>
    <row r="198" spans="1:31" s="512" customFormat="1" ht="30">
      <c r="A198" s="338" t="s">
        <v>9551</v>
      </c>
      <c r="B198" s="336" t="s">
        <v>15374</v>
      </c>
      <c r="C198" s="431">
        <v>5571.42</v>
      </c>
      <c r="D198" s="352">
        <v>10.97</v>
      </c>
      <c r="E198" s="339">
        <v>2.95</v>
      </c>
      <c r="F198" s="431"/>
      <c r="G198" s="431"/>
    </row>
    <row r="199" spans="1:31" s="512" customFormat="1" ht="30">
      <c r="A199" s="338" t="s">
        <v>8334</v>
      </c>
      <c r="B199" s="336" t="s">
        <v>7246</v>
      </c>
      <c r="C199" s="431">
        <v>5551</v>
      </c>
      <c r="D199" s="352">
        <v>6.25</v>
      </c>
      <c r="E199" s="339">
        <v>1.68</v>
      </c>
      <c r="F199" s="431"/>
      <c r="G199" s="431"/>
    </row>
    <row r="200" spans="1:31" s="512" customFormat="1" ht="15">
      <c r="A200" s="338" t="s">
        <v>8561</v>
      </c>
      <c r="B200" s="336" t="s">
        <v>7240</v>
      </c>
      <c r="C200" s="431">
        <v>5527.8</v>
      </c>
      <c r="D200" s="352">
        <v>7.85</v>
      </c>
      <c r="E200" s="339">
        <v>2.11</v>
      </c>
      <c r="F200" s="431"/>
      <c r="G200" s="431"/>
    </row>
    <row r="201" spans="1:31" s="512" customFormat="1" ht="30">
      <c r="A201" s="338" t="s">
        <v>9627</v>
      </c>
      <c r="B201" s="336" t="s">
        <v>9632</v>
      </c>
      <c r="C201" s="431">
        <v>5444.11</v>
      </c>
      <c r="D201" s="352">
        <v>4.8800000000000008</v>
      </c>
      <c r="E201" s="339">
        <v>1.31</v>
      </c>
      <c r="F201" s="431"/>
      <c r="G201" s="431"/>
      <c r="H201" s="485"/>
      <c r="I201" s="485"/>
      <c r="J201" s="485"/>
      <c r="K201" s="485"/>
      <c r="L201" s="485"/>
      <c r="M201" s="485"/>
      <c r="N201" s="485"/>
      <c r="O201" s="485"/>
      <c r="P201" s="485"/>
      <c r="Q201" s="485"/>
      <c r="R201" s="485"/>
      <c r="S201" s="485"/>
      <c r="T201" s="485"/>
      <c r="U201" s="485"/>
      <c r="V201" s="485"/>
      <c r="W201" s="485"/>
      <c r="X201" s="485"/>
      <c r="Y201" s="485"/>
      <c r="Z201" s="485"/>
      <c r="AA201" s="485"/>
      <c r="AB201" s="485"/>
      <c r="AC201" s="485"/>
      <c r="AD201" s="485"/>
      <c r="AE201" s="485"/>
    </row>
    <row r="202" spans="1:31" s="512" customFormat="1" ht="30">
      <c r="A202" s="338" t="s">
        <v>8344</v>
      </c>
      <c r="B202" s="336" t="s">
        <v>7255</v>
      </c>
      <c r="C202" s="431">
        <v>5389.6</v>
      </c>
      <c r="D202" s="352">
        <v>53.080000000000005</v>
      </c>
      <c r="E202" s="339">
        <v>14.29</v>
      </c>
      <c r="F202" s="431"/>
      <c r="G202" s="431"/>
    </row>
    <row r="203" spans="1:31" s="512" customFormat="1" ht="30">
      <c r="A203" s="338" t="s">
        <v>7815</v>
      </c>
      <c r="B203" s="336" t="s">
        <v>7816</v>
      </c>
      <c r="C203" s="431">
        <v>5236.33</v>
      </c>
      <c r="D203" s="352">
        <v>4125.37</v>
      </c>
      <c r="E203" s="339">
        <v>1110.96</v>
      </c>
      <c r="F203" s="431"/>
      <c r="G203" s="431"/>
    </row>
    <row r="204" spans="1:31" s="512" customFormat="1" ht="15">
      <c r="A204" s="338" t="s">
        <v>7232</v>
      </c>
      <c r="B204" s="336" t="s">
        <v>7231</v>
      </c>
      <c r="C204" s="431">
        <v>5228.76</v>
      </c>
      <c r="D204" s="352">
        <v>343.28000000000003</v>
      </c>
      <c r="E204" s="339">
        <v>92.45</v>
      </c>
      <c r="F204" s="431"/>
      <c r="G204" s="431"/>
    </row>
    <row r="205" spans="1:31" s="512" customFormat="1" ht="30">
      <c r="A205" s="479" t="s">
        <v>9315</v>
      </c>
      <c r="B205" s="480" t="s">
        <v>7975</v>
      </c>
      <c r="C205" s="483">
        <v>5217.63</v>
      </c>
      <c r="D205" s="481">
        <v>4314.5867394000006</v>
      </c>
      <c r="E205" s="482">
        <v>903.04</v>
      </c>
      <c r="F205" s="483"/>
      <c r="G205" s="483"/>
      <c r="H205" s="526"/>
      <c r="I205" s="526"/>
      <c r="J205" s="526"/>
      <c r="K205" s="526"/>
      <c r="L205" s="526"/>
      <c r="M205" s="526"/>
      <c r="N205" s="526"/>
      <c r="O205" s="526"/>
      <c r="P205" s="526"/>
      <c r="Q205" s="526"/>
      <c r="R205" s="526"/>
      <c r="S205" s="526"/>
      <c r="T205" s="526"/>
      <c r="U205" s="526"/>
      <c r="V205" s="526"/>
      <c r="W205" s="526"/>
      <c r="X205" s="526"/>
      <c r="Y205" s="526"/>
      <c r="Z205" s="526"/>
      <c r="AA205" s="526"/>
      <c r="AB205" s="526"/>
      <c r="AC205" s="526"/>
      <c r="AD205" s="526"/>
      <c r="AE205" s="526"/>
    </row>
    <row r="206" spans="1:31" s="512" customFormat="1" ht="45">
      <c r="A206" s="338" t="s">
        <v>7953</v>
      </c>
      <c r="B206" s="336" t="s">
        <v>6993</v>
      </c>
      <c r="C206" s="431">
        <v>5198.96</v>
      </c>
      <c r="D206" s="352">
        <v>371.01</v>
      </c>
      <c r="E206" s="339">
        <v>99.91</v>
      </c>
      <c r="F206" s="431"/>
      <c r="G206" s="431"/>
    </row>
    <row r="207" spans="1:31" s="512" customFormat="1" ht="15">
      <c r="A207" s="338" t="s">
        <v>8054</v>
      </c>
      <c r="B207" s="336" t="s">
        <v>8053</v>
      </c>
      <c r="C207" s="431">
        <v>5157.0600000000004</v>
      </c>
      <c r="D207" s="352">
        <v>4062.92</v>
      </c>
      <c r="E207" s="339">
        <v>1094.1400000000001</v>
      </c>
      <c r="F207" s="431"/>
      <c r="G207" s="431"/>
    </row>
    <row r="208" spans="1:31" s="512" customFormat="1" ht="15">
      <c r="A208" s="338" t="s">
        <v>8598</v>
      </c>
      <c r="B208" s="336" t="s">
        <v>8544</v>
      </c>
      <c r="C208" s="431">
        <v>5105.5200000000004</v>
      </c>
      <c r="D208" s="352">
        <v>15.96</v>
      </c>
      <c r="E208" s="339">
        <v>4.3</v>
      </c>
      <c r="F208" s="431"/>
      <c r="G208" s="431"/>
    </row>
    <row r="209" spans="1:31" s="512" customFormat="1" ht="30">
      <c r="A209" s="338" t="s">
        <v>8213</v>
      </c>
      <c r="B209" s="336" t="s">
        <v>7279</v>
      </c>
      <c r="C209" s="431">
        <v>5102.5600000000004</v>
      </c>
      <c r="D209" s="352">
        <v>251.25</v>
      </c>
      <c r="E209" s="339">
        <v>67.66</v>
      </c>
      <c r="F209" s="431"/>
      <c r="G209" s="431"/>
    </row>
    <row r="210" spans="1:31" s="512" customFormat="1" ht="30">
      <c r="A210" s="338" t="s">
        <v>8321</v>
      </c>
      <c r="B210" s="336" t="s">
        <v>8305</v>
      </c>
      <c r="C210" s="431">
        <v>5079.3599999999997</v>
      </c>
      <c r="D210" s="352">
        <v>666.95</v>
      </c>
      <c r="E210" s="339">
        <v>179.61</v>
      </c>
      <c r="F210" s="431"/>
      <c r="G210" s="431"/>
    </row>
    <row r="211" spans="1:31" s="512" customFormat="1" ht="45">
      <c r="A211" s="338" t="s">
        <v>6751</v>
      </c>
      <c r="B211" s="336" t="s">
        <v>6746</v>
      </c>
      <c r="C211" s="431">
        <v>4976.57</v>
      </c>
      <c r="D211" s="352">
        <v>101.52</v>
      </c>
      <c r="E211" s="339">
        <v>27.34</v>
      </c>
      <c r="F211" s="431"/>
      <c r="G211" s="431"/>
    </row>
    <row r="212" spans="1:31" s="512" customFormat="1" ht="15">
      <c r="A212" s="338" t="s">
        <v>7431</v>
      </c>
      <c r="B212" s="336" t="s">
        <v>8572</v>
      </c>
      <c r="C212" s="431">
        <v>4967.66</v>
      </c>
      <c r="D212" s="352">
        <v>26.27</v>
      </c>
      <c r="E212" s="339">
        <v>7.07</v>
      </c>
      <c r="F212" s="431"/>
      <c r="G212" s="431"/>
    </row>
    <row r="213" spans="1:31" s="512" customFormat="1" ht="30">
      <c r="A213" s="338" t="s">
        <v>8863</v>
      </c>
      <c r="B213" s="336" t="s">
        <v>7169</v>
      </c>
      <c r="C213" s="431">
        <v>4940.8599999999997</v>
      </c>
      <c r="D213" s="352">
        <v>19.899999999999999</v>
      </c>
      <c r="E213" s="339">
        <v>5.36</v>
      </c>
      <c r="F213" s="431"/>
      <c r="G213" s="431"/>
    </row>
    <row r="214" spans="1:31" s="512" customFormat="1" ht="30">
      <c r="A214" s="338" t="s">
        <v>8226</v>
      </c>
      <c r="B214" s="336" t="s">
        <v>7098</v>
      </c>
      <c r="C214" s="431">
        <v>4910.8500000000004</v>
      </c>
      <c r="D214" s="352">
        <v>85.98</v>
      </c>
      <c r="E214" s="339">
        <v>23.15</v>
      </c>
      <c r="F214" s="431"/>
      <c r="G214" s="431"/>
    </row>
    <row r="215" spans="1:31" s="512" customFormat="1" ht="15">
      <c r="A215" s="338" t="s">
        <v>9644</v>
      </c>
      <c r="B215" s="336" t="s">
        <v>9645</v>
      </c>
      <c r="C215" s="431">
        <v>4857.6000000000004</v>
      </c>
      <c r="D215" s="352">
        <v>0.54</v>
      </c>
      <c r="E215" s="339">
        <v>0.15</v>
      </c>
      <c r="F215" s="431"/>
      <c r="G215" s="431"/>
    </row>
    <row r="216" spans="1:31" s="512" customFormat="1" ht="15">
      <c r="A216" s="338" t="s">
        <v>8160</v>
      </c>
      <c r="B216" s="336" t="s">
        <v>7021</v>
      </c>
      <c r="C216" s="431">
        <v>4783.5200000000004</v>
      </c>
      <c r="D216" s="352">
        <v>21.2</v>
      </c>
      <c r="E216" s="339">
        <v>5.71</v>
      </c>
      <c r="F216" s="431"/>
      <c r="G216" s="431"/>
    </row>
    <row r="217" spans="1:31" s="512" customFormat="1" ht="15">
      <c r="A217" s="338" t="s">
        <v>8069</v>
      </c>
      <c r="B217" s="336" t="s">
        <v>8060</v>
      </c>
      <c r="C217" s="431">
        <v>4644.3599999999997</v>
      </c>
      <c r="D217" s="352">
        <v>261.36</v>
      </c>
      <c r="E217" s="339">
        <v>70.38</v>
      </c>
      <c r="F217" s="431"/>
      <c r="G217" s="431"/>
    </row>
    <row r="218" spans="1:31" s="512" customFormat="1" ht="15">
      <c r="A218" s="338" t="s">
        <v>8654</v>
      </c>
      <c r="B218" s="336" t="s">
        <v>8657</v>
      </c>
      <c r="C218" s="431">
        <v>4612.1000000000004</v>
      </c>
      <c r="D218" s="352">
        <v>9.84</v>
      </c>
      <c r="E218" s="339">
        <v>2.65</v>
      </c>
      <c r="F218" s="431"/>
      <c r="G218" s="431"/>
    </row>
    <row r="219" spans="1:31" s="512" customFormat="1" ht="15">
      <c r="A219" s="338" t="s">
        <v>8512</v>
      </c>
      <c r="B219" s="532" t="s">
        <v>8490</v>
      </c>
      <c r="C219" s="431">
        <v>4505.49</v>
      </c>
      <c r="D219" s="352">
        <v>10.66</v>
      </c>
      <c r="E219" s="339">
        <v>2.87</v>
      </c>
      <c r="F219" s="431"/>
      <c r="G219" s="431"/>
    </row>
    <row r="220" spans="1:31" s="512" customFormat="1" ht="30">
      <c r="A220" s="338" t="s">
        <v>7118</v>
      </c>
      <c r="B220" s="336" t="s">
        <v>7109</v>
      </c>
      <c r="C220" s="431">
        <v>4496.76</v>
      </c>
      <c r="D220" s="352">
        <v>196.82</v>
      </c>
      <c r="E220" s="339">
        <v>53</v>
      </c>
      <c r="F220" s="431"/>
      <c r="G220" s="431"/>
    </row>
    <row r="221" spans="1:31" s="512" customFormat="1" ht="15">
      <c r="A221" s="338" t="s">
        <v>8548</v>
      </c>
      <c r="B221" s="336" t="s">
        <v>7418</v>
      </c>
      <c r="C221" s="431">
        <v>4488.96</v>
      </c>
      <c r="D221" s="352">
        <v>505.22</v>
      </c>
      <c r="E221" s="339">
        <v>136.06</v>
      </c>
      <c r="F221" s="431"/>
      <c r="G221" s="431"/>
    </row>
    <row r="222" spans="1:31" s="512" customFormat="1" ht="30">
      <c r="A222" s="479" t="s">
        <v>9314</v>
      </c>
      <c r="B222" s="480" t="s">
        <v>7974</v>
      </c>
      <c r="C222" s="483">
        <v>4486.58</v>
      </c>
      <c r="D222" s="481">
        <v>3710.0629964999998</v>
      </c>
      <c r="E222" s="482">
        <v>776.52</v>
      </c>
      <c r="F222" s="483"/>
      <c r="G222" s="483"/>
      <c r="H222" s="526"/>
      <c r="I222" s="526"/>
      <c r="J222" s="526"/>
      <c r="K222" s="526"/>
      <c r="L222" s="526"/>
      <c r="M222" s="526"/>
      <c r="N222" s="526"/>
      <c r="O222" s="526"/>
      <c r="P222" s="526"/>
      <c r="Q222" s="526"/>
      <c r="R222" s="526"/>
      <c r="S222" s="526"/>
      <c r="T222" s="526"/>
      <c r="U222" s="526"/>
      <c r="V222" s="526"/>
      <c r="W222" s="526"/>
      <c r="X222" s="526"/>
      <c r="Y222" s="526"/>
      <c r="Z222" s="526"/>
      <c r="AA222" s="526"/>
      <c r="AB222" s="526"/>
      <c r="AC222" s="526"/>
      <c r="AD222" s="526"/>
      <c r="AE222" s="526"/>
    </row>
    <row r="223" spans="1:31" s="512" customFormat="1" ht="15">
      <c r="A223" s="338" t="s">
        <v>7432</v>
      </c>
      <c r="B223" s="336" t="s">
        <v>7414</v>
      </c>
      <c r="C223" s="431">
        <v>4478.9399999999996</v>
      </c>
      <c r="D223" s="352">
        <v>23.68</v>
      </c>
      <c r="E223" s="339">
        <v>6.38</v>
      </c>
      <c r="F223" s="431"/>
      <c r="G223" s="431"/>
    </row>
    <row r="224" spans="1:31" s="512" customFormat="1" ht="15">
      <c r="A224" s="338" t="s">
        <v>8041</v>
      </c>
      <c r="B224" s="336" t="s">
        <v>8036</v>
      </c>
      <c r="C224" s="431">
        <v>4400.76</v>
      </c>
      <c r="D224" s="352">
        <v>82.55</v>
      </c>
      <c r="E224" s="339">
        <v>22.23</v>
      </c>
      <c r="F224" s="431"/>
      <c r="G224" s="431"/>
    </row>
    <row r="225" spans="1:7" s="512" customFormat="1" ht="30">
      <c r="A225" s="338" t="s">
        <v>8681</v>
      </c>
      <c r="B225" s="336" t="s">
        <v>8679</v>
      </c>
      <c r="C225" s="431">
        <v>4388.95</v>
      </c>
      <c r="D225" s="352">
        <v>27.85</v>
      </c>
      <c r="E225" s="339">
        <v>7.5</v>
      </c>
      <c r="F225" s="431"/>
      <c r="G225" s="431"/>
    </row>
    <row r="226" spans="1:7" s="512" customFormat="1" ht="15">
      <c r="A226" s="338" t="s">
        <v>7383</v>
      </c>
      <c r="B226" s="336" t="s">
        <v>7380</v>
      </c>
      <c r="C226" s="431">
        <v>4354.3500000000004</v>
      </c>
      <c r="D226" s="352">
        <v>8</v>
      </c>
      <c r="E226" s="339">
        <v>2.15</v>
      </c>
      <c r="F226" s="431"/>
      <c r="G226" s="431"/>
    </row>
    <row r="227" spans="1:7" s="512" customFormat="1" ht="30">
      <c r="A227" s="338" t="s">
        <v>8691</v>
      </c>
      <c r="B227" s="336" t="s">
        <v>8689</v>
      </c>
      <c r="C227" s="431">
        <v>4286.04</v>
      </c>
      <c r="D227" s="352">
        <v>76.739999999999995</v>
      </c>
      <c r="E227" s="339">
        <v>20.67</v>
      </c>
      <c r="F227" s="431"/>
      <c r="G227" s="431"/>
    </row>
    <row r="228" spans="1:7" s="512" customFormat="1" ht="15">
      <c r="A228" s="338" t="s">
        <v>8349</v>
      </c>
      <c r="B228" s="336" t="s">
        <v>7261</v>
      </c>
      <c r="C228" s="431">
        <v>4256</v>
      </c>
      <c r="D228" s="352">
        <v>8.82</v>
      </c>
      <c r="E228" s="339">
        <v>2.38</v>
      </c>
      <c r="F228" s="431"/>
      <c r="G228" s="431"/>
    </row>
    <row r="229" spans="1:7" s="512" customFormat="1" ht="30">
      <c r="A229" s="338" t="s">
        <v>8563</v>
      </c>
      <c r="B229" s="336" t="s">
        <v>8564</v>
      </c>
      <c r="C229" s="431">
        <v>4248.3</v>
      </c>
      <c r="D229" s="352">
        <v>15.94</v>
      </c>
      <c r="E229" s="339">
        <v>4.29</v>
      </c>
      <c r="F229" s="431"/>
      <c r="G229" s="431"/>
    </row>
    <row r="230" spans="1:7" s="512" customFormat="1" ht="30">
      <c r="A230" s="338" t="s">
        <v>8323</v>
      </c>
      <c r="B230" s="336" t="s">
        <v>8307</v>
      </c>
      <c r="C230" s="431">
        <v>4222.24</v>
      </c>
      <c r="D230" s="352">
        <v>831.61</v>
      </c>
      <c r="E230" s="339">
        <v>223.95</v>
      </c>
      <c r="F230" s="431"/>
      <c r="G230" s="431"/>
    </row>
    <row r="231" spans="1:7" s="512" customFormat="1" ht="30">
      <c r="A231" s="338" t="s">
        <v>8327</v>
      </c>
      <c r="B231" s="336" t="s">
        <v>8311</v>
      </c>
      <c r="C231" s="431">
        <v>4107.46</v>
      </c>
      <c r="D231" s="352">
        <v>1618</v>
      </c>
      <c r="E231" s="339">
        <v>435.73</v>
      </c>
      <c r="F231" s="431"/>
      <c r="G231" s="431"/>
    </row>
    <row r="232" spans="1:7" s="512" customFormat="1" ht="30">
      <c r="A232" s="338" t="s">
        <v>8866</v>
      </c>
      <c r="B232" s="336" t="s">
        <v>7172</v>
      </c>
      <c r="C232" s="431">
        <v>4031.49</v>
      </c>
      <c r="D232" s="352">
        <v>37.909999999999997</v>
      </c>
      <c r="E232" s="339">
        <v>10.210000000000001</v>
      </c>
      <c r="F232" s="431"/>
      <c r="G232" s="431"/>
    </row>
    <row r="233" spans="1:7" s="512" customFormat="1" ht="15">
      <c r="A233" s="338" t="s">
        <v>6841</v>
      </c>
      <c r="B233" s="336" t="s">
        <v>6837</v>
      </c>
      <c r="C233" s="431">
        <v>3978.67</v>
      </c>
      <c r="D233" s="352">
        <v>29.04</v>
      </c>
      <c r="E233" s="339">
        <v>7.82</v>
      </c>
      <c r="F233" s="431"/>
      <c r="G233" s="431"/>
    </row>
    <row r="234" spans="1:7" s="512" customFormat="1" ht="15">
      <c r="A234" s="338" t="s">
        <v>7430</v>
      </c>
      <c r="B234" s="336" t="s">
        <v>7407</v>
      </c>
      <c r="C234" s="431">
        <v>3972.5</v>
      </c>
      <c r="D234" s="352">
        <v>12.52</v>
      </c>
      <c r="E234" s="339">
        <v>3.37</v>
      </c>
      <c r="F234" s="431"/>
      <c r="G234" s="431"/>
    </row>
    <row r="235" spans="1:7" s="512" customFormat="1" ht="30">
      <c r="A235" s="338" t="s">
        <v>8744</v>
      </c>
      <c r="B235" s="336" t="s">
        <v>8741</v>
      </c>
      <c r="C235" s="431">
        <v>3953.94</v>
      </c>
      <c r="D235" s="352">
        <v>1557.53</v>
      </c>
      <c r="E235" s="339">
        <v>419.44</v>
      </c>
      <c r="F235" s="431"/>
      <c r="G235" s="431"/>
    </row>
    <row r="236" spans="1:7" s="512" customFormat="1" ht="45">
      <c r="A236" s="338" t="s">
        <v>7393</v>
      </c>
      <c r="B236" s="336" t="s">
        <v>7389</v>
      </c>
      <c r="C236" s="431">
        <v>3942.52</v>
      </c>
      <c r="D236" s="352">
        <v>1553.03</v>
      </c>
      <c r="E236" s="339">
        <v>418.23</v>
      </c>
      <c r="F236" s="431"/>
      <c r="G236" s="431"/>
    </row>
    <row r="237" spans="1:7" s="512" customFormat="1" ht="15">
      <c r="A237" s="338" t="s">
        <v>7909</v>
      </c>
      <c r="B237" s="336" t="s">
        <v>9583</v>
      </c>
      <c r="C237" s="431">
        <v>3938.54</v>
      </c>
      <c r="D237" s="352">
        <v>1551.46</v>
      </c>
      <c r="E237" s="339">
        <v>417.81</v>
      </c>
      <c r="F237" s="431"/>
      <c r="G237" s="431"/>
    </row>
    <row r="238" spans="1:7" s="512" customFormat="1" ht="15">
      <c r="A238" s="338" t="s">
        <v>8368</v>
      </c>
      <c r="B238" s="532" t="s">
        <v>8518</v>
      </c>
      <c r="C238" s="431">
        <v>3925</v>
      </c>
      <c r="D238" s="352">
        <v>66.900000000000006</v>
      </c>
      <c r="E238" s="339">
        <v>18.02</v>
      </c>
      <c r="F238" s="431"/>
      <c r="G238" s="431"/>
    </row>
    <row r="239" spans="1:7" s="512" customFormat="1" ht="30">
      <c r="A239" s="338" t="s">
        <v>8445</v>
      </c>
      <c r="B239" s="336" t="s">
        <v>8448</v>
      </c>
      <c r="C239" s="431">
        <v>3879.9</v>
      </c>
      <c r="D239" s="352">
        <v>6.38</v>
      </c>
      <c r="E239" s="339">
        <v>1.72</v>
      </c>
      <c r="F239" s="431"/>
      <c r="G239" s="431"/>
    </row>
    <row r="240" spans="1:7" s="512" customFormat="1" ht="30">
      <c r="A240" s="338" t="s">
        <v>8420</v>
      </c>
      <c r="B240" s="336" t="s">
        <v>15479</v>
      </c>
      <c r="C240" s="431">
        <v>3833.25</v>
      </c>
      <c r="D240" s="352">
        <v>3019.9700000000003</v>
      </c>
      <c r="E240" s="339">
        <v>813.28</v>
      </c>
      <c r="F240" s="431"/>
      <c r="G240" s="431"/>
    </row>
    <row r="241" spans="1:7" s="512" customFormat="1" ht="45">
      <c r="A241" s="338" t="s">
        <v>9115</v>
      </c>
      <c r="B241" s="336" t="s">
        <v>9590</v>
      </c>
      <c r="C241" s="431">
        <v>3774</v>
      </c>
      <c r="D241" s="352">
        <v>6.7</v>
      </c>
      <c r="E241" s="339">
        <v>1.8</v>
      </c>
      <c r="F241" s="431"/>
      <c r="G241" s="431"/>
    </row>
    <row r="242" spans="1:7" s="512" customFormat="1" ht="15">
      <c r="A242" s="338" t="s">
        <v>9307</v>
      </c>
      <c r="B242" s="336" t="s">
        <v>9027</v>
      </c>
      <c r="C242" s="431">
        <v>3705.54</v>
      </c>
      <c r="D242" s="352">
        <v>486.56</v>
      </c>
      <c r="E242" s="339">
        <v>131.03</v>
      </c>
      <c r="F242" s="431"/>
      <c r="G242" s="431"/>
    </row>
    <row r="243" spans="1:7" s="512" customFormat="1" ht="30">
      <c r="A243" s="338" t="s">
        <v>9580</v>
      </c>
      <c r="B243" s="336" t="s">
        <v>9584</v>
      </c>
      <c r="C243" s="431">
        <v>3704.92</v>
      </c>
      <c r="D243" s="352">
        <v>729.71999999999991</v>
      </c>
      <c r="E243" s="339">
        <v>196.51</v>
      </c>
      <c r="F243" s="431"/>
      <c r="G243" s="431"/>
    </row>
    <row r="244" spans="1:7" s="512" customFormat="1" ht="15">
      <c r="A244" s="338" t="s">
        <v>8225</v>
      </c>
      <c r="B244" s="336" t="s">
        <v>7097</v>
      </c>
      <c r="C244" s="431">
        <v>3701.6</v>
      </c>
      <c r="D244" s="352">
        <v>145.81</v>
      </c>
      <c r="E244" s="339">
        <v>39.270000000000003</v>
      </c>
      <c r="F244" s="431"/>
      <c r="G244" s="431"/>
    </row>
    <row r="245" spans="1:7" s="512" customFormat="1" ht="30">
      <c r="A245" s="338" t="s">
        <v>8579</v>
      </c>
      <c r="B245" s="336" t="s">
        <v>8556</v>
      </c>
      <c r="C245" s="431">
        <v>3646.26</v>
      </c>
      <c r="D245" s="352">
        <v>30.56</v>
      </c>
      <c r="E245" s="339">
        <v>8.23</v>
      </c>
      <c r="F245" s="431"/>
      <c r="G245" s="431"/>
    </row>
    <row r="246" spans="1:7" s="512" customFormat="1" ht="30">
      <c r="A246" s="338" t="s">
        <v>7110</v>
      </c>
      <c r="B246" s="336" t="s">
        <v>7091</v>
      </c>
      <c r="C246" s="431">
        <v>3542.58</v>
      </c>
      <c r="D246" s="352">
        <v>465.16</v>
      </c>
      <c r="E246" s="339">
        <v>125.27</v>
      </c>
      <c r="F246" s="431"/>
      <c r="G246" s="431"/>
    </row>
    <row r="247" spans="1:7" s="512" customFormat="1" ht="15">
      <c r="A247" s="338" t="s">
        <v>8673</v>
      </c>
      <c r="B247" s="336" t="s">
        <v>8657</v>
      </c>
      <c r="C247" s="431">
        <v>3534.56</v>
      </c>
      <c r="D247" s="352">
        <v>9.84</v>
      </c>
      <c r="E247" s="339">
        <v>2.65</v>
      </c>
      <c r="F247" s="431"/>
      <c r="G247" s="431"/>
    </row>
    <row r="248" spans="1:7" s="512" customFormat="1" ht="30">
      <c r="A248" s="338" t="s">
        <v>8613</v>
      </c>
      <c r="B248" s="336" t="s">
        <v>8854</v>
      </c>
      <c r="C248" s="431">
        <v>3476.66</v>
      </c>
      <c r="D248" s="352">
        <v>56.8</v>
      </c>
      <c r="E248" s="339">
        <v>15.3</v>
      </c>
      <c r="F248" s="431"/>
      <c r="G248" s="431"/>
    </row>
    <row r="249" spans="1:7" s="512" customFormat="1" ht="15">
      <c r="A249" s="338" t="s">
        <v>8237</v>
      </c>
      <c r="B249" s="336" t="s">
        <v>8238</v>
      </c>
      <c r="C249" s="431">
        <v>3461.88</v>
      </c>
      <c r="D249" s="352">
        <v>681.85</v>
      </c>
      <c r="E249" s="339">
        <v>183.62</v>
      </c>
      <c r="F249" s="431"/>
      <c r="G249" s="431"/>
    </row>
    <row r="250" spans="1:7" s="512" customFormat="1" ht="15">
      <c r="A250" s="338" t="s">
        <v>9564</v>
      </c>
      <c r="B250" s="336" t="s">
        <v>7011</v>
      </c>
      <c r="C250" s="431">
        <v>3370.72</v>
      </c>
      <c r="D250" s="352">
        <v>165.97</v>
      </c>
      <c r="E250" s="339">
        <v>44.7</v>
      </c>
      <c r="F250" s="431"/>
      <c r="G250" s="431"/>
    </row>
    <row r="251" spans="1:7" s="512" customFormat="1" ht="30">
      <c r="A251" s="338" t="s">
        <v>8326</v>
      </c>
      <c r="B251" s="336" t="s">
        <v>8310</v>
      </c>
      <c r="C251" s="431">
        <v>3329.98</v>
      </c>
      <c r="D251" s="352">
        <v>1311.7399999999998</v>
      </c>
      <c r="E251" s="339">
        <v>353.25</v>
      </c>
      <c r="F251" s="431"/>
      <c r="G251" s="431"/>
    </row>
    <row r="252" spans="1:7" s="512" customFormat="1" ht="30">
      <c r="A252" s="338" t="s">
        <v>8325</v>
      </c>
      <c r="B252" s="336" t="s">
        <v>8309</v>
      </c>
      <c r="C252" s="431">
        <v>3317.3</v>
      </c>
      <c r="D252" s="352">
        <v>1306.7399999999998</v>
      </c>
      <c r="E252" s="339">
        <v>351.91</v>
      </c>
      <c r="F252" s="431"/>
      <c r="G252" s="431"/>
    </row>
    <row r="253" spans="1:7" s="512" customFormat="1" ht="30">
      <c r="A253" s="338" t="s">
        <v>8074</v>
      </c>
      <c r="B253" s="336" t="s">
        <v>8923</v>
      </c>
      <c r="C253" s="431">
        <v>3270.53</v>
      </c>
      <c r="D253" s="352">
        <v>2576.64</v>
      </c>
      <c r="E253" s="339">
        <v>693.89</v>
      </c>
      <c r="F253" s="431"/>
      <c r="G253" s="431"/>
    </row>
    <row r="254" spans="1:7" s="512" customFormat="1" ht="30">
      <c r="A254" s="338" t="s">
        <v>8216</v>
      </c>
      <c r="B254" s="336" t="s">
        <v>8212</v>
      </c>
      <c r="C254" s="431">
        <v>3230</v>
      </c>
      <c r="D254" s="352">
        <v>636.17999999999995</v>
      </c>
      <c r="E254" s="339">
        <v>171.32</v>
      </c>
      <c r="F254" s="431"/>
      <c r="G254" s="431"/>
    </row>
    <row r="255" spans="1:7" s="512" customFormat="1" ht="30">
      <c r="A255" s="338" t="s">
        <v>7958</v>
      </c>
      <c r="B255" s="336" t="s">
        <v>6988</v>
      </c>
      <c r="C255" s="431">
        <v>3192.48</v>
      </c>
      <c r="D255" s="352">
        <v>660.14</v>
      </c>
      <c r="E255" s="339">
        <v>177.78</v>
      </c>
      <c r="F255" s="431"/>
      <c r="G255" s="431"/>
    </row>
    <row r="256" spans="1:7" s="512" customFormat="1" ht="15">
      <c r="A256" s="338" t="s">
        <v>7161</v>
      </c>
      <c r="B256" s="336" t="s">
        <v>7157</v>
      </c>
      <c r="C256" s="431">
        <v>3158.24</v>
      </c>
      <c r="D256" s="352">
        <v>155.51</v>
      </c>
      <c r="E256" s="339">
        <v>41.88</v>
      </c>
      <c r="F256" s="431"/>
      <c r="G256" s="431"/>
    </row>
    <row r="257" spans="1:31" s="512" customFormat="1" ht="30">
      <c r="A257" s="338" t="s">
        <v>8215</v>
      </c>
      <c r="B257" s="336" t="s">
        <v>8211</v>
      </c>
      <c r="C257" s="431">
        <v>3127.74</v>
      </c>
      <c r="D257" s="352">
        <v>176.01</v>
      </c>
      <c r="E257" s="339">
        <v>47.4</v>
      </c>
      <c r="F257" s="431"/>
      <c r="G257" s="431"/>
    </row>
    <row r="258" spans="1:31" s="512" customFormat="1" ht="30">
      <c r="A258" s="338" t="s">
        <v>8862</v>
      </c>
      <c r="B258" s="336" t="s">
        <v>7168</v>
      </c>
      <c r="C258" s="431">
        <v>3109.51</v>
      </c>
      <c r="D258" s="352">
        <v>13.49</v>
      </c>
      <c r="E258" s="339">
        <v>3.63</v>
      </c>
      <c r="F258" s="431"/>
      <c r="G258" s="431"/>
    </row>
    <row r="259" spans="1:31" s="512" customFormat="1" ht="30">
      <c r="A259" s="479" t="s">
        <v>9318</v>
      </c>
      <c r="B259" s="480" t="s">
        <v>7978</v>
      </c>
      <c r="C259" s="483">
        <v>3049.94</v>
      </c>
      <c r="D259" s="481">
        <v>2522.0701526999997</v>
      </c>
      <c r="E259" s="482">
        <v>527.87</v>
      </c>
      <c r="F259" s="483"/>
      <c r="G259" s="483"/>
      <c r="H259" s="526"/>
      <c r="I259" s="526"/>
      <c r="J259" s="526"/>
      <c r="K259" s="526"/>
      <c r="L259" s="526"/>
      <c r="M259" s="526"/>
      <c r="N259" s="526"/>
      <c r="O259" s="526"/>
      <c r="P259" s="526"/>
      <c r="Q259" s="526"/>
      <c r="R259" s="526"/>
      <c r="S259" s="526"/>
      <c r="T259" s="526"/>
      <c r="U259" s="526"/>
      <c r="V259" s="526"/>
      <c r="W259" s="526"/>
      <c r="X259" s="526"/>
      <c r="Y259" s="526"/>
      <c r="Z259" s="526"/>
      <c r="AA259" s="526"/>
      <c r="AB259" s="526"/>
      <c r="AC259" s="526"/>
      <c r="AD259" s="526"/>
      <c r="AE259" s="526"/>
    </row>
    <row r="260" spans="1:31" s="512" customFormat="1" ht="15">
      <c r="A260" s="338" t="s">
        <v>8587</v>
      </c>
      <c r="B260" s="336" t="s">
        <v>7413</v>
      </c>
      <c r="C260" s="431">
        <v>3003.66</v>
      </c>
      <c r="D260" s="352">
        <v>215.13</v>
      </c>
      <c r="E260" s="339">
        <v>57.93</v>
      </c>
      <c r="F260" s="431"/>
      <c r="G260" s="431"/>
    </row>
    <row r="261" spans="1:31" s="512" customFormat="1" ht="30">
      <c r="A261" s="338" t="s">
        <v>8730</v>
      </c>
      <c r="B261" s="336" t="s">
        <v>8715</v>
      </c>
      <c r="C261" s="431">
        <v>2997.95</v>
      </c>
      <c r="D261" s="352">
        <v>472.38</v>
      </c>
      <c r="E261" s="339">
        <v>127.21</v>
      </c>
      <c r="F261" s="431"/>
      <c r="G261" s="431"/>
    </row>
    <row r="262" spans="1:31" s="512" customFormat="1" ht="15">
      <c r="A262" s="338" t="s">
        <v>7908</v>
      </c>
      <c r="B262" s="336" t="s">
        <v>9582</v>
      </c>
      <c r="C262" s="431">
        <v>2993.28</v>
      </c>
      <c r="D262" s="352">
        <v>786.07</v>
      </c>
      <c r="E262" s="339">
        <v>211.69</v>
      </c>
      <c r="F262" s="431"/>
      <c r="G262" s="431"/>
    </row>
    <row r="263" spans="1:31" s="512" customFormat="1" ht="15">
      <c r="A263" s="338" t="s">
        <v>7379</v>
      </c>
      <c r="B263" s="336" t="s">
        <v>8727</v>
      </c>
      <c r="C263" s="431">
        <v>2945.08</v>
      </c>
      <c r="D263" s="352">
        <v>16.34</v>
      </c>
      <c r="E263" s="339">
        <v>4.4000000000000004</v>
      </c>
      <c r="F263" s="431"/>
      <c r="G263" s="431"/>
    </row>
    <row r="264" spans="1:31" s="512" customFormat="1" ht="30">
      <c r="A264" s="338" t="s">
        <v>8353</v>
      </c>
      <c r="B264" s="336" t="s">
        <v>7265</v>
      </c>
      <c r="C264" s="431">
        <v>2939.3</v>
      </c>
      <c r="D264" s="352">
        <v>10.48</v>
      </c>
      <c r="E264" s="339">
        <v>2.82</v>
      </c>
      <c r="F264" s="431"/>
      <c r="G264" s="431"/>
    </row>
    <row r="265" spans="1:31" s="512" customFormat="1" ht="15">
      <c r="A265" s="338" t="s">
        <v>8742</v>
      </c>
      <c r="B265" s="336" t="s">
        <v>8722</v>
      </c>
      <c r="C265" s="431">
        <v>2921.52</v>
      </c>
      <c r="D265" s="352">
        <v>191.81</v>
      </c>
      <c r="E265" s="339">
        <v>51.65</v>
      </c>
      <c r="F265" s="431"/>
      <c r="G265" s="431"/>
    </row>
    <row r="266" spans="1:31" s="512" customFormat="1" ht="30">
      <c r="A266" s="338" t="s">
        <v>8446</v>
      </c>
      <c r="B266" s="336" t="s">
        <v>8449</v>
      </c>
      <c r="C266" s="431">
        <v>2900.8</v>
      </c>
      <c r="D266" s="352">
        <v>8.16</v>
      </c>
      <c r="E266" s="339">
        <v>2.2000000000000002</v>
      </c>
      <c r="F266" s="431"/>
      <c r="G266" s="431"/>
    </row>
    <row r="267" spans="1:31" s="512" customFormat="1" ht="45">
      <c r="A267" s="338" t="s">
        <v>8435</v>
      </c>
      <c r="B267" s="336" t="s">
        <v>7302</v>
      </c>
      <c r="C267" s="431">
        <v>2870.34</v>
      </c>
      <c r="D267" s="352">
        <v>205.57999999999998</v>
      </c>
      <c r="E267" s="339">
        <v>55.36</v>
      </c>
      <c r="F267" s="431"/>
      <c r="G267" s="431"/>
    </row>
    <row r="268" spans="1:31" s="512" customFormat="1" ht="15">
      <c r="A268" s="338" t="s">
        <v>8043</v>
      </c>
      <c r="B268" s="336" t="s">
        <v>8038</v>
      </c>
      <c r="C268" s="431">
        <v>2821.05</v>
      </c>
      <c r="D268" s="352">
        <v>49.39</v>
      </c>
      <c r="E268" s="339">
        <v>13.3</v>
      </c>
      <c r="F268" s="431"/>
      <c r="G268" s="431"/>
    </row>
    <row r="269" spans="1:31" s="512" customFormat="1" ht="15">
      <c r="A269" s="338" t="s">
        <v>7942</v>
      </c>
      <c r="B269" s="336" t="s">
        <v>6857</v>
      </c>
      <c r="C269" s="431">
        <v>2811.44</v>
      </c>
      <c r="D269" s="352">
        <v>21.16</v>
      </c>
      <c r="E269" s="339">
        <v>5.7</v>
      </c>
      <c r="F269" s="431"/>
      <c r="G269" s="431"/>
    </row>
    <row r="270" spans="1:31" s="512" customFormat="1" ht="15">
      <c r="A270" s="338" t="s">
        <v>9563</v>
      </c>
      <c r="B270" s="336" t="s">
        <v>7010</v>
      </c>
      <c r="C270" s="431">
        <v>2797.52</v>
      </c>
      <c r="D270" s="352">
        <v>551</v>
      </c>
      <c r="E270" s="339">
        <v>148.38</v>
      </c>
      <c r="F270" s="431"/>
      <c r="G270" s="431"/>
    </row>
    <row r="271" spans="1:31" s="512" customFormat="1" ht="30">
      <c r="A271" s="338" t="s">
        <v>8412</v>
      </c>
      <c r="B271" s="336" t="s">
        <v>8396</v>
      </c>
      <c r="C271" s="431">
        <v>2794.86</v>
      </c>
      <c r="D271" s="352">
        <v>366.98</v>
      </c>
      <c r="E271" s="339">
        <v>98.83</v>
      </c>
      <c r="F271" s="431"/>
      <c r="G271" s="431"/>
    </row>
    <row r="272" spans="1:31" s="512" customFormat="1" ht="30">
      <c r="A272" s="338" t="s">
        <v>6844</v>
      </c>
      <c r="B272" s="336" t="s">
        <v>8984</v>
      </c>
      <c r="C272" s="431">
        <v>2773.04</v>
      </c>
      <c r="D272" s="352">
        <v>130.9</v>
      </c>
      <c r="E272" s="339">
        <v>35.25</v>
      </c>
      <c r="F272" s="431"/>
      <c r="G272" s="431"/>
    </row>
    <row r="273" spans="1:7" s="512" customFormat="1" ht="15">
      <c r="A273" s="338" t="s">
        <v>8731</v>
      </c>
      <c r="B273" s="336" t="s">
        <v>8717</v>
      </c>
      <c r="C273" s="431">
        <v>2722.39</v>
      </c>
      <c r="D273" s="352">
        <v>194.98</v>
      </c>
      <c r="E273" s="339">
        <v>52.51</v>
      </c>
      <c r="F273" s="431"/>
      <c r="G273" s="431"/>
    </row>
    <row r="274" spans="1:7" s="512" customFormat="1" ht="30">
      <c r="A274" s="338" t="s">
        <v>6825</v>
      </c>
      <c r="B274" s="336" t="s">
        <v>6826</v>
      </c>
      <c r="C274" s="431">
        <v>2712.65</v>
      </c>
      <c r="D274" s="352">
        <v>251.13</v>
      </c>
      <c r="E274" s="339">
        <v>67.63</v>
      </c>
      <c r="F274" s="431"/>
      <c r="G274" s="431"/>
    </row>
    <row r="275" spans="1:7" s="512" customFormat="1" ht="15">
      <c r="A275" s="338" t="s">
        <v>8914</v>
      </c>
      <c r="B275" s="336" t="s">
        <v>7229</v>
      </c>
      <c r="C275" s="431">
        <v>2707.38</v>
      </c>
      <c r="D275" s="352">
        <v>54.69</v>
      </c>
      <c r="E275" s="339">
        <v>14.73</v>
      </c>
      <c r="F275" s="431"/>
      <c r="G275" s="431"/>
    </row>
    <row r="276" spans="1:7" s="512" customFormat="1" ht="15">
      <c r="A276" s="338" t="s">
        <v>8674</v>
      </c>
      <c r="B276" s="336" t="s">
        <v>8658</v>
      </c>
      <c r="C276" s="431">
        <v>2667.07</v>
      </c>
      <c r="D276" s="352">
        <v>8.02</v>
      </c>
      <c r="E276" s="339">
        <v>2.16</v>
      </c>
      <c r="F276" s="431"/>
      <c r="G276" s="431"/>
    </row>
    <row r="277" spans="1:7" s="512" customFormat="1" ht="15">
      <c r="A277" s="338" t="s">
        <v>8729</v>
      </c>
      <c r="B277" s="336" t="s">
        <v>8728</v>
      </c>
      <c r="C277" s="431">
        <v>2648.6</v>
      </c>
      <c r="D277" s="352">
        <v>27.46</v>
      </c>
      <c r="E277" s="339">
        <v>7.39</v>
      </c>
      <c r="F277" s="431"/>
      <c r="G277" s="431"/>
    </row>
    <row r="278" spans="1:7" s="512" customFormat="1" ht="15">
      <c r="A278" s="338" t="s">
        <v>8331</v>
      </c>
      <c r="B278" s="336" t="s">
        <v>7243</v>
      </c>
      <c r="C278" s="431">
        <v>2618.34</v>
      </c>
      <c r="D278" s="352">
        <v>40.450000000000003</v>
      </c>
      <c r="E278" s="339">
        <v>10.89</v>
      </c>
      <c r="F278" s="431"/>
      <c r="G278" s="431"/>
    </row>
    <row r="279" spans="1:7" s="512" customFormat="1" ht="15">
      <c r="A279" s="338" t="s">
        <v>8372</v>
      </c>
      <c r="B279" s="336" t="s">
        <v>7270</v>
      </c>
      <c r="C279" s="431">
        <v>2556.9</v>
      </c>
      <c r="D279" s="352">
        <v>74.61</v>
      </c>
      <c r="E279" s="339">
        <v>20.09</v>
      </c>
      <c r="F279" s="431"/>
      <c r="G279" s="431"/>
    </row>
    <row r="280" spans="1:7" s="512" customFormat="1" ht="15">
      <c r="A280" s="338" t="s">
        <v>8068</v>
      </c>
      <c r="B280" s="336" t="s">
        <v>8059</v>
      </c>
      <c r="C280" s="431">
        <v>2547.5</v>
      </c>
      <c r="D280" s="352">
        <v>401.40000000000003</v>
      </c>
      <c r="E280" s="339">
        <v>108.1</v>
      </c>
      <c r="F280" s="431"/>
      <c r="G280" s="431"/>
    </row>
    <row r="281" spans="1:7" s="512" customFormat="1" ht="15">
      <c r="A281" s="338" t="s">
        <v>8571</v>
      </c>
      <c r="B281" s="336" t="s">
        <v>8462</v>
      </c>
      <c r="C281" s="431">
        <v>2513.6999999999998</v>
      </c>
      <c r="D281" s="352">
        <v>6.29</v>
      </c>
      <c r="E281" s="339">
        <v>1.69</v>
      </c>
      <c r="F281" s="431"/>
      <c r="G281" s="431"/>
    </row>
    <row r="282" spans="1:7" s="512" customFormat="1" ht="15">
      <c r="A282" s="338" t="s">
        <v>6752</v>
      </c>
      <c r="B282" s="336" t="s">
        <v>6749</v>
      </c>
      <c r="C282" s="431">
        <v>2480.98</v>
      </c>
      <c r="D282" s="352">
        <v>309.27</v>
      </c>
      <c r="E282" s="339">
        <v>83.29</v>
      </c>
      <c r="F282" s="431"/>
      <c r="G282" s="431"/>
    </row>
    <row r="283" spans="1:7" s="512" customFormat="1" ht="60">
      <c r="A283" s="338" t="s">
        <v>8214</v>
      </c>
      <c r="B283" s="336" t="s">
        <v>7090</v>
      </c>
      <c r="C283" s="431">
        <v>2434.1999999999998</v>
      </c>
      <c r="D283" s="352">
        <v>479.44</v>
      </c>
      <c r="E283" s="339">
        <v>129.11000000000001</v>
      </c>
      <c r="F283" s="431"/>
      <c r="G283" s="431"/>
    </row>
    <row r="284" spans="1:7" s="512" customFormat="1" ht="30">
      <c r="A284" s="338" t="s">
        <v>8586</v>
      </c>
      <c r="B284" s="336" t="s">
        <v>8852</v>
      </c>
      <c r="C284" s="431">
        <v>2422.9699999999998</v>
      </c>
      <c r="D284" s="352">
        <v>173.54</v>
      </c>
      <c r="E284" s="339">
        <v>46.73</v>
      </c>
      <c r="F284" s="431"/>
      <c r="G284" s="431"/>
    </row>
    <row r="285" spans="1:7" s="512" customFormat="1" ht="15">
      <c r="A285" s="338" t="s">
        <v>8738</v>
      </c>
      <c r="B285" s="336" t="s">
        <v>8721</v>
      </c>
      <c r="C285" s="431">
        <v>2404.21</v>
      </c>
      <c r="D285" s="352">
        <v>1894.12</v>
      </c>
      <c r="E285" s="339">
        <v>510.09</v>
      </c>
      <c r="F285" s="431"/>
      <c r="G285" s="431"/>
    </row>
    <row r="286" spans="1:7" s="512" customFormat="1" ht="30">
      <c r="A286" s="338" t="s">
        <v>8343</v>
      </c>
      <c r="B286" s="336" t="s">
        <v>7254</v>
      </c>
      <c r="C286" s="431">
        <v>2371.5</v>
      </c>
      <c r="D286" s="352">
        <v>37.369999999999997</v>
      </c>
      <c r="E286" s="339">
        <v>10.06</v>
      </c>
      <c r="F286" s="431"/>
      <c r="G286" s="431"/>
    </row>
    <row r="287" spans="1:7" s="512" customFormat="1" ht="15">
      <c r="A287" s="338" t="s">
        <v>9587</v>
      </c>
      <c r="B287" s="336" t="s">
        <v>9588</v>
      </c>
      <c r="C287" s="431">
        <v>2364.64</v>
      </c>
      <c r="D287" s="352">
        <v>465.74</v>
      </c>
      <c r="E287" s="339">
        <v>125.42</v>
      </c>
      <c r="F287" s="431"/>
      <c r="G287" s="431"/>
    </row>
    <row r="288" spans="1:7" s="512" customFormat="1" ht="30">
      <c r="A288" s="338" t="s">
        <v>8320</v>
      </c>
      <c r="B288" s="336" t="s">
        <v>8304</v>
      </c>
      <c r="C288" s="431">
        <v>2361.15</v>
      </c>
      <c r="D288" s="352">
        <v>620.06999999999994</v>
      </c>
      <c r="E288" s="339">
        <v>166.98</v>
      </c>
      <c r="F288" s="431"/>
      <c r="G288" s="431"/>
    </row>
    <row r="289" spans="1:7" s="512" customFormat="1" ht="15">
      <c r="A289" s="338" t="s">
        <v>8737</v>
      </c>
      <c r="B289" s="336" t="s">
        <v>8720</v>
      </c>
      <c r="C289" s="431">
        <v>2355.44</v>
      </c>
      <c r="D289" s="352">
        <v>231.96</v>
      </c>
      <c r="E289" s="339">
        <v>62.47</v>
      </c>
      <c r="F289" s="431"/>
      <c r="G289" s="431"/>
    </row>
    <row r="290" spans="1:7" s="512" customFormat="1" ht="15">
      <c r="A290" s="338" t="s">
        <v>8003</v>
      </c>
      <c r="B290" s="336" t="s">
        <v>8095</v>
      </c>
      <c r="C290" s="431">
        <v>2320</v>
      </c>
      <c r="D290" s="352">
        <v>0.46</v>
      </c>
      <c r="E290" s="339">
        <v>0.12</v>
      </c>
      <c r="F290" s="431"/>
      <c r="G290" s="431"/>
    </row>
    <row r="291" spans="1:7" s="512" customFormat="1" ht="30">
      <c r="A291" s="338" t="s">
        <v>8374</v>
      </c>
      <c r="B291" s="336" t="s">
        <v>8421</v>
      </c>
      <c r="C291" s="431">
        <v>2308.79</v>
      </c>
      <c r="D291" s="352">
        <v>165.35999999999999</v>
      </c>
      <c r="E291" s="339">
        <v>44.53</v>
      </c>
      <c r="F291" s="431"/>
      <c r="G291" s="431"/>
    </row>
    <row r="292" spans="1:7" s="512" customFormat="1" ht="30">
      <c r="A292" s="338" t="s">
        <v>8680</v>
      </c>
      <c r="B292" s="336" t="s">
        <v>8652</v>
      </c>
      <c r="C292" s="431">
        <v>2287.1999999999998</v>
      </c>
      <c r="D292" s="352">
        <v>30.03</v>
      </c>
      <c r="E292" s="339">
        <v>8.09</v>
      </c>
      <c r="F292" s="431"/>
      <c r="G292" s="431"/>
    </row>
    <row r="293" spans="1:7" s="512" customFormat="1" ht="30">
      <c r="A293" s="338" t="s">
        <v>8871</v>
      </c>
      <c r="B293" s="336" t="s">
        <v>7177</v>
      </c>
      <c r="C293" s="431">
        <v>2286.35</v>
      </c>
      <c r="D293" s="352">
        <v>32.75</v>
      </c>
      <c r="E293" s="339">
        <v>8.82</v>
      </c>
      <c r="F293" s="431"/>
      <c r="G293" s="431"/>
    </row>
    <row r="294" spans="1:7" s="512" customFormat="1" ht="30">
      <c r="A294" s="338" t="s">
        <v>8873</v>
      </c>
      <c r="B294" s="336" t="s">
        <v>7179</v>
      </c>
      <c r="C294" s="431">
        <v>2283.3000000000002</v>
      </c>
      <c r="D294" s="352">
        <v>30.489999999999995</v>
      </c>
      <c r="E294" s="339">
        <v>8.2100000000000009</v>
      </c>
      <c r="F294" s="431"/>
      <c r="G294" s="431"/>
    </row>
    <row r="295" spans="1:7" s="512" customFormat="1" ht="15">
      <c r="A295" s="338" t="s">
        <v>8023</v>
      </c>
      <c r="B295" s="336" t="s">
        <v>7996</v>
      </c>
      <c r="C295" s="431">
        <v>2226</v>
      </c>
      <c r="D295" s="352">
        <v>43.84</v>
      </c>
      <c r="E295" s="339">
        <v>11.81</v>
      </c>
      <c r="F295" s="431"/>
      <c r="G295" s="431"/>
    </row>
    <row r="296" spans="1:7" s="512" customFormat="1" ht="15">
      <c r="A296" s="338" t="s">
        <v>8575</v>
      </c>
      <c r="B296" s="336" t="s">
        <v>8594</v>
      </c>
      <c r="C296" s="431">
        <v>2172.8000000000002</v>
      </c>
      <c r="D296" s="352">
        <v>48.91</v>
      </c>
      <c r="E296" s="339">
        <v>13.17</v>
      </c>
      <c r="F296" s="431"/>
      <c r="G296" s="431"/>
    </row>
    <row r="297" spans="1:7" s="512" customFormat="1" ht="15">
      <c r="A297" s="338" t="s">
        <v>7392</v>
      </c>
      <c r="B297" s="336" t="s">
        <v>7388</v>
      </c>
      <c r="C297" s="431">
        <v>2153.46</v>
      </c>
      <c r="D297" s="352">
        <v>848.29</v>
      </c>
      <c r="E297" s="339">
        <v>228.44</v>
      </c>
      <c r="F297" s="431"/>
      <c r="G297" s="431"/>
    </row>
    <row r="298" spans="1:7" s="512" customFormat="1" ht="15">
      <c r="A298" s="338" t="s">
        <v>7426</v>
      </c>
      <c r="B298" s="336" t="s">
        <v>7388</v>
      </c>
      <c r="C298" s="431">
        <v>2153.46</v>
      </c>
      <c r="D298" s="352">
        <v>848.29</v>
      </c>
      <c r="E298" s="339">
        <v>228.44</v>
      </c>
      <c r="F298" s="431"/>
      <c r="G298" s="431"/>
    </row>
    <row r="299" spans="1:7" s="512" customFormat="1" ht="15">
      <c r="A299" s="338" t="s">
        <v>8162</v>
      </c>
      <c r="B299" s="336" t="s">
        <v>7023</v>
      </c>
      <c r="C299" s="431">
        <v>2152.8000000000002</v>
      </c>
      <c r="D299" s="352">
        <v>11.22</v>
      </c>
      <c r="E299" s="339">
        <v>3.02</v>
      </c>
      <c r="F299" s="431"/>
      <c r="G299" s="431"/>
    </row>
    <row r="300" spans="1:7" s="512" customFormat="1" ht="30">
      <c r="A300" s="338" t="s">
        <v>8231</v>
      </c>
      <c r="B300" s="336" t="s">
        <v>7103</v>
      </c>
      <c r="C300" s="431">
        <v>2094.9299999999998</v>
      </c>
      <c r="D300" s="352">
        <v>61.13</v>
      </c>
      <c r="E300" s="339">
        <v>16.46</v>
      </c>
      <c r="F300" s="431"/>
      <c r="G300" s="431"/>
    </row>
    <row r="301" spans="1:7" s="512" customFormat="1" ht="15">
      <c r="A301" s="338" t="s">
        <v>8996</v>
      </c>
      <c r="B301" s="336" t="s">
        <v>7367</v>
      </c>
      <c r="C301" s="431">
        <v>2073.7800000000002</v>
      </c>
      <c r="D301" s="352">
        <v>181.53000000000003</v>
      </c>
      <c r="E301" s="339">
        <v>48.89</v>
      </c>
      <c r="F301" s="431"/>
      <c r="G301" s="431"/>
    </row>
    <row r="302" spans="1:7" s="512" customFormat="1" ht="15">
      <c r="A302" s="338" t="s">
        <v>8164</v>
      </c>
      <c r="B302" s="336" t="s">
        <v>7025</v>
      </c>
      <c r="C302" s="431">
        <v>2045.75</v>
      </c>
      <c r="D302" s="352">
        <v>30.39</v>
      </c>
      <c r="E302" s="339">
        <v>8.18</v>
      </c>
      <c r="F302" s="431"/>
      <c r="G302" s="431"/>
    </row>
    <row r="303" spans="1:7" s="512" customFormat="1" ht="15">
      <c r="A303" s="338" t="s">
        <v>8615</v>
      </c>
      <c r="B303" s="336" t="s">
        <v>7350</v>
      </c>
      <c r="C303" s="431">
        <v>2045.63</v>
      </c>
      <c r="D303" s="352">
        <v>34.44</v>
      </c>
      <c r="E303" s="339">
        <v>9.27</v>
      </c>
      <c r="F303" s="431"/>
      <c r="G303" s="431"/>
    </row>
    <row r="304" spans="1:7" s="512" customFormat="1" ht="30">
      <c r="A304" s="338" t="s">
        <v>7887</v>
      </c>
      <c r="B304" s="336" t="s">
        <v>6748</v>
      </c>
      <c r="C304" s="431">
        <v>1966.15</v>
      </c>
      <c r="D304" s="352">
        <v>6.36</v>
      </c>
      <c r="E304" s="339">
        <v>1.71</v>
      </c>
      <c r="F304" s="431"/>
      <c r="G304" s="431"/>
    </row>
    <row r="305" spans="1:7" s="512" customFormat="1" ht="45">
      <c r="A305" s="338" t="s">
        <v>8708</v>
      </c>
      <c r="B305" s="336" t="s">
        <v>8702</v>
      </c>
      <c r="C305" s="431">
        <v>1944.58</v>
      </c>
      <c r="D305" s="352">
        <v>69.64</v>
      </c>
      <c r="E305" s="339">
        <v>18.75</v>
      </c>
      <c r="F305" s="431"/>
      <c r="G305" s="431"/>
    </row>
    <row r="306" spans="1:7" s="512" customFormat="1" ht="15">
      <c r="A306" s="338" t="s">
        <v>7353</v>
      </c>
      <c r="B306" s="336" t="s">
        <v>7351</v>
      </c>
      <c r="C306" s="431">
        <v>1909.8</v>
      </c>
      <c r="D306" s="352">
        <v>75.23</v>
      </c>
      <c r="E306" s="339">
        <v>20.260000000000002</v>
      </c>
      <c r="F306" s="431"/>
      <c r="G306" s="431"/>
    </row>
    <row r="307" spans="1:7" s="512" customFormat="1" ht="30">
      <c r="A307" s="338" t="s">
        <v>8419</v>
      </c>
      <c r="B307" s="336" t="s">
        <v>8409</v>
      </c>
      <c r="C307" s="431">
        <v>1897.8</v>
      </c>
      <c r="D307" s="352">
        <v>747.57999999999993</v>
      </c>
      <c r="E307" s="339">
        <v>201.32</v>
      </c>
      <c r="F307" s="431"/>
      <c r="G307" s="431"/>
    </row>
    <row r="308" spans="1:7" s="512" customFormat="1" ht="45">
      <c r="A308" s="338" t="s">
        <v>8439</v>
      </c>
      <c r="B308" s="336" t="s">
        <v>7306</v>
      </c>
      <c r="C308" s="431">
        <v>1893.59</v>
      </c>
      <c r="D308" s="352">
        <v>64.86</v>
      </c>
      <c r="E308" s="339">
        <v>17.47</v>
      </c>
      <c r="F308" s="431"/>
      <c r="G308" s="431"/>
    </row>
    <row r="309" spans="1:7" s="512" customFormat="1" ht="15">
      <c r="A309" s="338" t="s">
        <v>8740</v>
      </c>
      <c r="B309" s="336" t="s">
        <v>8716</v>
      </c>
      <c r="C309" s="431">
        <v>1848.35</v>
      </c>
      <c r="D309" s="352">
        <v>291.24</v>
      </c>
      <c r="E309" s="339">
        <v>78.430000000000007</v>
      </c>
      <c r="F309" s="431"/>
      <c r="G309" s="431"/>
    </row>
    <row r="310" spans="1:7" s="512" customFormat="1" ht="30">
      <c r="A310" s="338" t="s">
        <v>8712</v>
      </c>
      <c r="B310" s="336" t="s">
        <v>8706</v>
      </c>
      <c r="C310" s="431">
        <v>1838.64</v>
      </c>
      <c r="D310" s="352">
        <v>120.71</v>
      </c>
      <c r="E310" s="339">
        <v>32.51</v>
      </c>
      <c r="F310" s="431"/>
      <c r="G310" s="431"/>
    </row>
    <row r="311" spans="1:7" s="512" customFormat="1" ht="15">
      <c r="A311" s="338" t="s">
        <v>7907</v>
      </c>
      <c r="B311" s="336" t="s">
        <v>9581</v>
      </c>
      <c r="C311" s="431">
        <v>1837.98</v>
      </c>
      <c r="D311" s="352">
        <v>1448.03</v>
      </c>
      <c r="E311" s="339">
        <v>389.95</v>
      </c>
      <c r="F311" s="431"/>
      <c r="G311" s="431"/>
    </row>
    <row r="312" spans="1:7" s="512" customFormat="1" ht="15">
      <c r="A312" s="338" t="s">
        <v>8913</v>
      </c>
      <c r="B312" s="336" t="s">
        <v>7228</v>
      </c>
      <c r="C312" s="431">
        <v>1826.24</v>
      </c>
      <c r="D312" s="352">
        <v>44.960000000000008</v>
      </c>
      <c r="E312" s="339">
        <v>12.11</v>
      </c>
      <c r="F312" s="431"/>
      <c r="G312" s="431"/>
    </row>
    <row r="313" spans="1:7" s="512" customFormat="1" ht="15">
      <c r="A313" s="338" t="s">
        <v>8898</v>
      </c>
      <c r="B313" s="336" t="s">
        <v>7204</v>
      </c>
      <c r="C313" s="431">
        <v>1783.6</v>
      </c>
      <c r="D313" s="352">
        <v>7.72</v>
      </c>
      <c r="E313" s="339">
        <v>2.08</v>
      </c>
      <c r="F313" s="431"/>
      <c r="G313" s="431"/>
    </row>
    <row r="314" spans="1:7" s="512" customFormat="1" ht="15">
      <c r="A314" s="338" t="s">
        <v>8070</v>
      </c>
      <c r="B314" s="336" t="s">
        <v>8061</v>
      </c>
      <c r="C314" s="431">
        <v>1768.59</v>
      </c>
      <c r="D314" s="352">
        <v>154.82</v>
      </c>
      <c r="E314" s="339">
        <v>41.69</v>
      </c>
      <c r="F314" s="431"/>
      <c r="G314" s="431"/>
    </row>
    <row r="315" spans="1:7" s="512" customFormat="1" ht="30">
      <c r="A315" s="338" t="s">
        <v>7923</v>
      </c>
      <c r="B315" s="336" t="s">
        <v>6829</v>
      </c>
      <c r="C315" s="431">
        <v>1761.84</v>
      </c>
      <c r="D315" s="352">
        <v>32.880000000000003</v>
      </c>
      <c r="E315" s="339">
        <v>8.85</v>
      </c>
      <c r="F315" s="431"/>
      <c r="G315" s="431"/>
    </row>
    <row r="316" spans="1:7" s="512" customFormat="1" ht="15">
      <c r="A316" s="338" t="s">
        <v>8330</v>
      </c>
      <c r="B316" s="336" t="s">
        <v>7242</v>
      </c>
      <c r="C316" s="431">
        <v>1743.84</v>
      </c>
      <c r="D316" s="352">
        <v>10.9</v>
      </c>
      <c r="E316" s="339">
        <v>2.94</v>
      </c>
      <c r="F316" s="431"/>
      <c r="G316" s="431"/>
    </row>
    <row r="317" spans="1:7" s="512" customFormat="1" ht="45">
      <c r="A317" s="338" t="s">
        <v>8022</v>
      </c>
      <c r="B317" s="336" t="s">
        <v>8111</v>
      </c>
      <c r="C317" s="431">
        <v>1724.25</v>
      </c>
      <c r="D317" s="352">
        <v>18.11</v>
      </c>
      <c r="E317" s="339">
        <v>4.88</v>
      </c>
      <c r="F317" s="431"/>
      <c r="G317" s="431"/>
    </row>
    <row r="318" spans="1:7" s="512" customFormat="1" ht="30">
      <c r="A318" s="338" t="s">
        <v>8414</v>
      </c>
      <c r="B318" s="336" t="s">
        <v>8400</v>
      </c>
      <c r="C318" s="431">
        <v>1704.72</v>
      </c>
      <c r="D318" s="352">
        <v>447.68</v>
      </c>
      <c r="E318" s="339">
        <v>120.56</v>
      </c>
      <c r="F318" s="431"/>
      <c r="G318" s="431"/>
    </row>
    <row r="319" spans="1:7" s="512" customFormat="1" ht="30">
      <c r="A319" s="338" t="s">
        <v>8354</v>
      </c>
      <c r="B319" s="336" t="s">
        <v>7266</v>
      </c>
      <c r="C319" s="431">
        <v>1704.08</v>
      </c>
      <c r="D319" s="352">
        <v>11.28</v>
      </c>
      <c r="E319" s="339">
        <v>3.04</v>
      </c>
      <c r="F319" s="431"/>
      <c r="G319" s="431"/>
    </row>
    <row r="320" spans="1:7" s="512" customFormat="1" ht="15">
      <c r="A320" s="338" t="s">
        <v>8071</v>
      </c>
      <c r="B320" s="336" t="s">
        <v>8062</v>
      </c>
      <c r="C320" s="431">
        <v>1703.25</v>
      </c>
      <c r="D320" s="352">
        <v>89.46</v>
      </c>
      <c r="E320" s="339">
        <v>24.09</v>
      </c>
      <c r="F320" s="431"/>
      <c r="G320" s="431"/>
    </row>
    <row r="321" spans="1:7" s="512" customFormat="1" ht="15">
      <c r="A321" s="338" t="s">
        <v>9565</v>
      </c>
      <c r="B321" s="336" t="s">
        <v>7012</v>
      </c>
      <c r="C321" s="431">
        <v>1688.92</v>
      </c>
      <c r="D321" s="352">
        <v>332.65</v>
      </c>
      <c r="E321" s="339">
        <v>89.58</v>
      </c>
      <c r="F321" s="431"/>
      <c r="G321" s="431"/>
    </row>
    <row r="322" spans="1:7" s="512" customFormat="1" ht="15">
      <c r="A322" s="338" t="s">
        <v>8007</v>
      </c>
      <c r="B322" s="336" t="s">
        <v>15416</v>
      </c>
      <c r="C322" s="431">
        <v>1684.8</v>
      </c>
      <c r="D322" s="352">
        <v>33.180000000000007</v>
      </c>
      <c r="E322" s="339">
        <v>8.94</v>
      </c>
      <c r="F322" s="431"/>
      <c r="G322" s="431"/>
    </row>
    <row r="323" spans="1:7" s="512" customFormat="1" ht="30">
      <c r="A323" s="338" t="s">
        <v>8375</v>
      </c>
      <c r="B323" s="336" t="s">
        <v>7272</v>
      </c>
      <c r="C323" s="431">
        <v>1680.24</v>
      </c>
      <c r="D323" s="352">
        <v>165.47</v>
      </c>
      <c r="E323" s="339">
        <v>44.56</v>
      </c>
      <c r="F323" s="431"/>
      <c r="G323" s="431"/>
    </row>
    <row r="324" spans="1:7" s="512" customFormat="1" ht="30">
      <c r="A324" s="338" t="s">
        <v>8874</v>
      </c>
      <c r="B324" s="336" t="s">
        <v>7180</v>
      </c>
      <c r="C324" s="431">
        <v>1679.65</v>
      </c>
      <c r="D324" s="352">
        <v>37.81</v>
      </c>
      <c r="E324" s="339">
        <v>10.18</v>
      </c>
      <c r="F324" s="431"/>
      <c r="G324" s="431"/>
    </row>
    <row r="325" spans="1:7" s="512" customFormat="1" ht="30">
      <c r="A325" s="338" t="s">
        <v>8648</v>
      </c>
      <c r="B325" s="336" t="s">
        <v>8651</v>
      </c>
      <c r="C325" s="431">
        <v>1674</v>
      </c>
      <c r="D325" s="352">
        <v>21.98</v>
      </c>
      <c r="E325" s="339">
        <v>5.92</v>
      </c>
      <c r="F325" s="431"/>
      <c r="G325" s="431"/>
    </row>
    <row r="326" spans="1:7" s="512" customFormat="1" ht="30">
      <c r="A326" s="338" t="s">
        <v>8645</v>
      </c>
      <c r="B326" s="336" t="s">
        <v>9280</v>
      </c>
      <c r="C326" s="431">
        <v>1654.44</v>
      </c>
      <c r="D326" s="352">
        <v>19.170000000000002</v>
      </c>
      <c r="E326" s="339">
        <v>5.16</v>
      </c>
      <c r="F326" s="431"/>
      <c r="G326" s="431"/>
    </row>
    <row r="327" spans="1:7" s="512" customFormat="1" ht="15">
      <c r="A327" s="338" t="s">
        <v>8218</v>
      </c>
      <c r="B327" s="336" t="s">
        <v>8217</v>
      </c>
      <c r="C327" s="431">
        <v>1643.94</v>
      </c>
      <c r="D327" s="352">
        <v>71.95</v>
      </c>
      <c r="E327" s="339">
        <v>19.38</v>
      </c>
      <c r="F327" s="431"/>
      <c r="G327" s="431"/>
    </row>
    <row r="328" spans="1:7" s="512" customFormat="1" ht="30">
      <c r="A328" s="338" t="s">
        <v>7890</v>
      </c>
      <c r="B328" s="336" t="s">
        <v>6770</v>
      </c>
      <c r="C328" s="431">
        <v>1576.15</v>
      </c>
      <c r="D328" s="352">
        <v>37.07</v>
      </c>
      <c r="E328" s="339">
        <v>9.98</v>
      </c>
      <c r="F328" s="431"/>
      <c r="G328" s="431"/>
    </row>
    <row r="329" spans="1:7" s="512" customFormat="1" ht="15">
      <c r="A329" s="338" t="s">
        <v>8065</v>
      </c>
      <c r="B329" s="336" t="s">
        <v>8058</v>
      </c>
      <c r="C329" s="431">
        <v>1569.92</v>
      </c>
      <c r="D329" s="352">
        <v>56.22</v>
      </c>
      <c r="E329" s="339">
        <v>15.14</v>
      </c>
      <c r="F329" s="431"/>
      <c r="G329" s="431"/>
    </row>
    <row r="330" spans="1:7" s="512" customFormat="1" ht="15">
      <c r="A330" s="338" t="s">
        <v>8543</v>
      </c>
      <c r="B330" s="336" t="s">
        <v>8545</v>
      </c>
      <c r="C330" s="431">
        <v>1543.8</v>
      </c>
      <c r="D330" s="352">
        <v>3.92</v>
      </c>
      <c r="E330" s="339">
        <v>1.06</v>
      </c>
      <c r="F330" s="431"/>
      <c r="G330" s="431"/>
    </row>
    <row r="331" spans="1:7" s="512" customFormat="1" ht="15">
      <c r="A331" s="338" t="s">
        <v>8347</v>
      </c>
      <c r="B331" s="336" t="s">
        <v>7259</v>
      </c>
      <c r="C331" s="431">
        <v>1542</v>
      </c>
      <c r="D331" s="352">
        <v>10.119999999999999</v>
      </c>
      <c r="E331" s="339">
        <v>2.73</v>
      </c>
      <c r="F331" s="431"/>
      <c r="G331" s="431"/>
    </row>
    <row r="332" spans="1:7" s="512" customFormat="1" ht="15">
      <c r="A332" s="338" t="s">
        <v>8905</v>
      </c>
      <c r="B332" s="336" t="s">
        <v>7211</v>
      </c>
      <c r="C332" s="431">
        <v>1531.47</v>
      </c>
      <c r="D332" s="352">
        <v>16.989999999999998</v>
      </c>
      <c r="E332" s="339">
        <v>4.58</v>
      </c>
      <c r="F332" s="431"/>
      <c r="G332" s="431"/>
    </row>
    <row r="333" spans="1:7" s="512" customFormat="1" ht="15">
      <c r="A333" s="338" t="s">
        <v>8329</v>
      </c>
      <c r="B333" s="336" t="s">
        <v>7241</v>
      </c>
      <c r="C333" s="431">
        <v>1508.4</v>
      </c>
      <c r="D333" s="352">
        <v>9.8999999999999986</v>
      </c>
      <c r="E333" s="339">
        <v>2.67</v>
      </c>
      <c r="F333" s="431"/>
      <c r="G333" s="431"/>
    </row>
    <row r="334" spans="1:7" s="512" customFormat="1" ht="15">
      <c r="A334" s="338" t="s">
        <v>8549</v>
      </c>
      <c r="B334" s="336" t="s">
        <v>7419</v>
      </c>
      <c r="C334" s="431">
        <v>1508.4</v>
      </c>
      <c r="D334" s="352">
        <v>297.08999999999997</v>
      </c>
      <c r="E334" s="339">
        <v>80.010000000000005</v>
      </c>
      <c r="F334" s="431"/>
      <c r="G334" s="431"/>
    </row>
    <row r="335" spans="1:7" s="512" customFormat="1" ht="15">
      <c r="A335" s="338" t="s">
        <v>8511</v>
      </c>
      <c r="B335" s="532" t="s">
        <v>8489</v>
      </c>
      <c r="C335" s="431">
        <v>1491</v>
      </c>
      <c r="D335" s="352">
        <v>11.75</v>
      </c>
      <c r="E335" s="339">
        <v>3.16</v>
      </c>
      <c r="F335" s="431"/>
      <c r="G335" s="431"/>
    </row>
    <row r="336" spans="1:7" s="512" customFormat="1" ht="15">
      <c r="A336" s="338" t="s">
        <v>8732</v>
      </c>
      <c r="B336" s="336" t="s">
        <v>8733</v>
      </c>
      <c r="C336" s="431">
        <v>1484.94</v>
      </c>
      <c r="D336" s="352">
        <v>194.98</v>
      </c>
      <c r="E336" s="339">
        <v>52.51</v>
      </c>
      <c r="F336" s="431"/>
      <c r="G336" s="431"/>
    </row>
    <row r="337" spans="1:7" s="512" customFormat="1" ht="15">
      <c r="A337" s="338" t="s">
        <v>8024</v>
      </c>
      <c r="B337" s="336" t="s">
        <v>7997</v>
      </c>
      <c r="C337" s="431">
        <v>1474.8</v>
      </c>
      <c r="D337" s="352">
        <v>29.05</v>
      </c>
      <c r="E337" s="339">
        <v>7.82</v>
      </c>
      <c r="F337" s="431"/>
      <c r="G337" s="431"/>
    </row>
    <row r="338" spans="1:7" s="512" customFormat="1" ht="30">
      <c r="A338" s="338" t="s">
        <v>8893</v>
      </c>
      <c r="B338" s="336" t="s">
        <v>7199</v>
      </c>
      <c r="C338" s="431">
        <v>1473.42</v>
      </c>
      <c r="D338" s="352">
        <v>44.65</v>
      </c>
      <c r="E338" s="339">
        <v>12.02</v>
      </c>
      <c r="F338" s="431"/>
      <c r="G338" s="431"/>
    </row>
    <row r="339" spans="1:7" s="512" customFormat="1" ht="30">
      <c r="A339" s="338" t="s">
        <v>15446</v>
      </c>
      <c r="B339" s="336" t="s">
        <v>15459</v>
      </c>
      <c r="C339" s="431">
        <v>1467.78</v>
      </c>
      <c r="D339" s="339">
        <v>1156.3700000000001</v>
      </c>
      <c r="E339" s="339">
        <v>311.41000000000003</v>
      </c>
      <c r="F339" s="431"/>
      <c r="G339" s="431"/>
    </row>
    <row r="340" spans="1:7" s="512" customFormat="1" ht="30">
      <c r="A340" s="338" t="s">
        <v>8711</v>
      </c>
      <c r="B340" s="336" t="s">
        <v>8705</v>
      </c>
      <c r="C340" s="431">
        <v>1465.68</v>
      </c>
      <c r="D340" s="352">
        <v>48.11</v>
      </c>
      <c r="E340" s="339">
        <v>12.96</v>
      </c>
      <c r="F340" s="431"/>
      <c r="G340" s="431"/>
    </row>
    <row r="341" spans="1:7" s="512" customFormat="1" ht="45">
      <c r="A341" s="338" t="s">
        <v>7950</v>
      </c>
      <c r="B341" s="336" t="s">
        <v>8621</v>
      </c>
      <c r="C341" s="431">
        <v>1458.68</v>
      </c>
      <c r="D341" s="352">
        <v>47.96</v>
      </c>
      <c r="E341" s="339">
        <v>12.92</v>
      </c>
      <c r="F341" s="431"/>
      <c r="G341" s="431"/>
    </row>
    <row r="342" spans="1:7" s="512" customFormat="1" ht="15">
      <c r="A342" s="338" t="s">
        <v>15450</v>
      </c>
      <c r="B342" s="532" t="s">
        <v>8493</v>
      </c>
      <c r="C342" s="431">
        <v>1419</v>
      </c>
      <c r="D342" s="352">
        <v>55.9</v>
      </c>
      <c r="E342" s="339">
        <v>15.05</v>
      </c>
      <c r="F342" s="431"/>
      <c r="G342" s="431"/>
    </row>
    <row r="343" spans="1:7" s="512" customFormat="1" ht="15">
      <c r="A343" s="338" t="s">
        <v>8161</v>
      </c>
      <c r="B343" s="336" t="s">
        <v>7022</v>
      </c>
      <c r="C343" s="431">
        <v>1412.81</v>
      </c>
      <c r="D343" s="352">
        <v>9.75</v>
      </c>
      <c r="E343" s="339">
        <v>2.63</v>
      </c>
      <c r="F343" s="431"/>
      <c r="G343" s="431"/>
    </row>
    <row r="344" spans="1:7" s="512" customFormat="1" ht="15">
      <c r="A344" s="338" t="s">
        <v>8040</v>
      </c>
      <c r="B344" s="336" t="s">
        <v>8035</v>
      </c>
      <c r="C344" s="431">
        <v>1398.7</v>
      </c>
      <c r="D344" s="352">
        <v>220.39</v>
      </c>
      <c r="E344" s="339">
        <v>59.35</v>
      </c>
      <c r="F344" s="431"/>
      <c r="G344" s="431"/>
    </row>
    <row r="345" spans="1:7" s="512" customFormat="1" ht="30">
      <c r="A345" s="338" t="s">
        <v>8411</v>
      </c>
      <c r="B345" s="336" t="s">
        <v>8395</v>
      </c>
      <c r="C345" s="431">
        <v>1397.43</v>
      </c>
      <c r="D345" s="352">
        <v>366.98</v>
      </c>
      <c r="E345" s="339">
        <v>98.83</v>
      </c>
      <c r="F345" s="431"/>
      <c r="G345" s="431"/>
    </row>
    <row r="346" spans="1:7" s="512" customFormat="1" ht="15">
      <c r="A346" s="338" t="s">
        <v>6863</v>
      </c>
      <c r="B346" s="336" t="s">
        <v>6860</v>
      </c>
      <c r="C346" s="431">
        <v>1368.04</v>
      </c>
      <c r="D346" s="352">
        <v>10.3</v>
      </c>
      <c r="E346" s="339">
        <v>2.77</v>
      </c>
      <c r="F346" s="431"/>
      <c r="G346" s="431"/>
    </row>
    <row r="347" spans="1:7" s="512" customFormat="1" ht="15">
      <c r="A347" s="338" t="s">
        <v>8467</v>
      </c>
      <c r="B347" s="336" t="s">
        <v>8460</v>
      </c>
      <c r="C347" s="431">
        <v>1353.33</v>
      </c>
      <c r="D347" s="352">
        <v>32.31</v>
      </c>
      <c r="E347" s="339">
        <v>8.6999999999999993</v>
      </c>
      <c r="F347" s="431"/>
      <c r="G347" s="431"/>
    </row>
    <row r="348" spans="1:7" s="512" customFormat="1" ht="15">
      <c r="A348" s="338" t="s">
        <v>8569</v>
      </c>
      <c r="B348" s="336" t="s">
        <v>8461</v>
      </c>
      <c r="C348" s="431">
        <v>1342.46</v>
      </c>
      <c r="D348" s="352">
        <v>12.3</v>
      </c>
      <c r="E348" s="339">
        <v>3.31</v>
      </c>
      <c r="F348" s="431"/>
      <c r="G348" s="431"/>
    </row>
    <row r="349" spans="1:7" s="512" customFormat="1" ht="15">
      <c r="A349" s="338" t="s">
        <v>9561</v>
      </c>
      <c r="B349" s="336" t="s">
        <v>7008</v>
      </c>
      <c r="C349" s="431">
        <v>1324.2</v>
      </c>
      <c r="D349" s="352">
        <v>52.16</v>
      </c>
      <c r="E349" s="339">
        <v>14.05</v>
      </c>
      <c r="F349" s="431"/>
      <c r="G349" s="431"/>
    </row>
    <row r="350" spans="1:7" s="512" customFormat="1" ht="30">
      <c r="A350" s="338" t="s">
        <v>8324</v>
      </c>
      <c r="B350" s="336" t="s">
        <v>8308</v>
      </c>
      <c r="C350" s="431">
        <v>1287.95</v>
      </c>
      <c r="D350" s="352">
        <v>1014.69</v>
      </c>
      <c r="E350" s="339">
        <v>273.26</v>
      </c>
      <c r="F350" s="431"/>
      <c r="G350" s="431"/>
    </row>
    <row r="351" spans="1:7" s="512" customFormat="1" ht="15">
      <c r="A351" s="338" t="s">
        <v>8591</v>
      </c>
      <c r="B351" s="532" t="s">
        <v>8486</v>
      </c>
      <c r="C351" s="431">
        <v>1286.0999999999999</v>
      </c>
      <c r="D351" s="352">
        <v>11.26</v>
      </c>
      <c r="E351" s="339">
        <v>3.03</v>
      </c>
      <c r="F351" s="431"/>
      <c r="G351" s="431"/>
    </row>
    <row r="352" spans="1:7" s="512" customFormat="1" ht="15">
      <c r="A352" s="338" t="s">
        <v>8005</v>
      </c>
      <c r="B352" s="336" t="s">
        <v>8100</v>
      </c>
      <c r="C352" s="431">
        <v>1264</v>
      </c>
      <c r="D352" s="352">
        <v>12.45</v>
      </c>
      <c r="E352" s="339">
        <v>3.35</v>
      </c>
      <c r="F352" s="431"/>
      <c r="G352" s="431"/>
    </row>
    <row r="353" spans="1:7" s="512" customFormat="1" ht="30">
      <c r="A353" s="338" t="s">
        <v>7920</v>
      </c>
      <c r="B353" s="336" t="s">
        <v>6821</v>
      </c>
      <c r="C353" s="431">
        <v>1258.71</v>
      </c>
      <c r="D353" s="352">
        <v>283.33</v>
      </c>
      <c r="E353" s="339">
        <v>76.3</v>
      </c>
      <c r="F353" s="431"/>
      <c r="G353" s="431"/>
    </row>
    <row r="354" spans="1:7" s="512" customFormat="1" ht="15">
      <c r="A354" s="338" t="s">
        <v>8199</v>
      </c>
      <c r="B354" s="336" t="s">
        <v>7075</v>
      </c>
      <c r="C354" s="431">
        <v>1255.4100000000001</v>
      </c>
      <c r="D354" s="352">
        <v>8.91</v>
      </c>
      <c r="E354" s="339">
        <v>2.4</v>
      </c>
      <c r="F354" s="431"/>
      <c r="G354" s="431"/>
    </row>
    <row r="355" spans="1:7" s="512" customFormat="1" ht="30">
      <c r="A355" s="338" t="s">
        <v>8361</v>
      </c>
      <c r="B355" s="336" t="s">
        <v>8388</v>
      </c>
      <c r="C355" s="431">
        <v>1246.42</v>
      </c>
      <c r="D355" s="352">
        <v>70.14</v>
      </c>
      <c r="E355" s="339">
        <v>18.89</v>
      </c>
      <c r="F355" s="431"/>
      <c r="G355" s="431"/>
    </row>
    <row r="356" spans="1:7" s="512" customFormat="1" ht="30">
      <c r="A356" s="338" t="s">
        <v>8378</v>
      </c>
      <c r="B356" s="336" t="s">
        <v>7275</v>
      </c>
      <c r="C356" s="431">
        <v>1245.27</v>
      </c>
      <c r="D356" s="352">
        <v>327.02</v>
      </c>
      <c r="E356" s="339">
        <v>88.07</v>
      </c>
      <c r="F356" s="431"/>
      <c r="G356" s="431"/>
    </row>
    <row r="357" spans="1:7" s="512" customFormat="1" ht="15">
      <c r="A357" s="338" t="s">
        <v>8233</v>
      </c>
      <c r="B357" s="336" t="s">
        <v>7105</v>
      </c>
      <c r="C357" s="431">
        <v>1237.45</v>
      </c>
      <c r="D357" s="352">
        <v>194.98</v>
      </c>
      <c r="E357" s="339">
        <v>52.51</v>
      </c>
      <c r="F357" s="431"/>
      <c r="G357" s="431"/>
    </row>
    <row r="358" spans="1:7" s="512" customFormat="1" ht="15">
      <c r="A358" s="338" t="s">
        <v>7371</v>
      </c>
      <c r="B358" s="336" t="s">
        <v>7366</v>
      </c>
      <c r="C358" s="431">
        <v>1219.92</v>
      </c>
      <c r="D358" s="352">
        <v>160.18</v>
      </c>
      <c r="E358" s="339">
        <v>43.14</v>
      </c>
      <c r="F358" s="431"/>
      <c r="G358" s="431"/>
    </row>
    <row r="359" spans="1:7" s="512" customFormat="1" ht="15">
      <c r="A359" s="338" t="s">
        <v>8899</v>
      </c>
      <c r="B359" s="336" t="s">
        <v>7205</v>
      </c>
      <c r="C359" s="431">
        <v>1219.68</v>
      </c>
      <c r="D359" s="352">
        <v>9.7100000000000009</v>
      </c>
      <c r="E359" s="339">
        <v>2.61</v>
      </c>
      <c r="F359" s="431"/>
      <c r="G359" s="431"/>
    </row>
    <row r="360" spans="1:7" s="512" customFormat="1" ht="30">
      <c r="A360" s="338" t="s">
        <v>9559</v>
      </c>
      <c r="B360" s="336" t="s">
        <v>7006</v>
      </c>
      <c r="C360" s="431">
        <v>1211.76</v>
      </c>
      <c r="D360" s="352">
        <v>53.04</v>
      </c>
      <c r="E360" s="339">
        <v>14.28</v>
      </c>
      <c r="F360" s="431"/>
      <c r="G360" s="431"/>
    </row>
    <row r="361" spans="1:7" s="512" customFormat="1" ht="30">
      <c r="A361" s="338" t="s">
        <v>8895</v>
      </c>
      <c r="B361" s="336" t="s">
        <v>7201</v>
      </c>
      <c r="C361" s="431">
        <v>1203.3499999999999</v>
      </c>
      <c r="D361" s="352">
        <v>23.12</v>
      </c>
      <c r="E361" s="339">
        <v>6.23</v>
      </c>
      <c r="F361" s="431"/>
      <c r="G361" s="431"/>
    </row>
    <row r="362" spans="1:7" s="512" customFormat="1" ht="30">
      <c r="A362" s="338" t="s">
        <v>8377</v>
      </c>
      <c r="B362" s="336" t="s">
        <v>7274</v>
      </c>
      <c r="C362" s="431">
        <v>1201.8900000000001</v>
      </c>
      <c r="D362" s="352">
        <v>315.63</v>
      </c>
      <c r="E362" s="339">
        <v>85</v>
      </c>
      <c r="F362" s="431"/>
      <c r="G362" s="431"/>
    </row>
    <row r="363" spans="1:7" s="512" customFormat="1" ht="15">
      <c r="A363" s="338" t="s">
        <v>8351</v>
      </c>
      <c r="B363" s="336" t="s">
        <v>7263</v>
      </c>
      <c r="C363" s="431">
        <v>1200.4000000000001</v>
      </c>
      <c r="D363" s="352">
        <v>236.43</v>
      </c>
      <c r="E363" s="339">
        <v>63.67</v>
      </c>
      <c r="F363" s="431"/>
      <c r="G363" s="431"/>
    </row>
    <row r="364" spans="1:7" s="512" customFormat="1" ht="30">
      <c r="A364" s="338" t="s">
        <v>8416</v>
      </c>
      <c r="B364" s="336" t="s">
        <v>8403</v>
      </c>
      <c r="C364" s="431">
        <v>1185.56</v>
      </c>
      <c r="D364" s="352">
        <v>467.01</v>
      </c>
      <c r="E364" s="339">
        <v>125.77</v>
      </c>
      <c r="F364" s="431"/>
      <c r="G364" s="431"/>
    </row>
    <row r="365" spans="1:7" s="512" customFormat="1" ht="15">
      <c r="A365" s="338" t="s">
        <v>8006</v>
      </c>
      <c r="B365" s="336" t="s">
        <v>8102</v>
      </c>
      <c r="C365" s="431">
        <v>1180.4000000000001</v>
      </c>
      <c r="D365" s="352">
        <v>46.5</v>
      </c>
      <c r="E365" s="339">
        <v>12.52</v>
      </c>
      <c r="F365" s="431"/>
      <c r="G365" s="431"/>
    </row>
    <row r="366" spans="1:7" s="512" customFormat="1" ht="45">
      <c r="A366" s="338" t="s">
        <v>8736</v>
      </c>
      <c r="B366" s="336" t="s">
        <v>8719</v>
      </c>
      <c r="C366" s="431">
        <v>1167.55</v>
      </c>
      <c r="D366" s="352">
        <v>183.97</v>
      </c>
      <c r="E366" s="339">
        <v>49.54</v>
      </c>
      <c r="F366" s="431"/>
      <c r="G366" s="431"/>
    </row>
    <row r="367" spans="1:7" s="512" customFormat="1" ht="30">
      <c r="A367" s="338" t="s">
        <v>8618</v>
      </c>
      <c r="B367" s="336" t="s">
        <v>8556</v>
      </c>
      <c r="C367" s="431">
        <v>1163.7</v>
      </c>
      <c r="D367" s="352">
        <v>30.56</v>
      </c>
      <c r="E367" s="339">
        <v>8.23</v>
      </c>
      <c r="F367" s="431"/>
      <c r="G367" s="431"/>
    </row>
    <row r="368" spans="1:7" s="512" customFormat="1" ht="15">
      <c r="A368" s="338" t="s">
        <v>8746</v>
      </c>
      <c r="B368" s="336" t="s">
        <v>8724</v>
      </c>
      <c r="C368" s="431">
        <v>1156.72</v>
      </c>
      <c r="D368" s="352">
        <v>455.65</v>
      </c>
      <c r="E368" s="339">
        <v>122.71</v>
      </c>
      <c r="F368" s="431"/>
      <c r="G368" s="431"/>
    </row>
    <row r="369" spans="1:7" s="512" customFormat="1" ht="30">
      <c r="A369" s="338" t="s">
        <v>6991</v>
      </c>
      <c r="B369" s="336" t="s">
        <v>6990</v>
      </c>
      <c r="C369" s="431">
        <v>1127.4000000000001</v>
      </c>
      <c r="D369" s="352">
        <v>29.61</v>
      </c>
      <c r="E369" s="339">
        <v>7.97</v>
      </c>
      <c r="F369" s="431"/>
      <c r="G369" s="431"/>
    </row>
    <row r="370" spans="1:7" s="512" customFormat="1" ht="15">
      <c r="A370" s="338" t="s">
        <v>8227</v>
      </c>
      <c r="B370" s="336" t="s">
        <v>7099</v>
      </c>
      <c r="C370" s="431">
        <v>1122.02</v>
      </c>
      <c r="D370" s="352">
        <v>441.98</v>
      </c>
      <c r="E370" s="339">
        <v>119.03</v>
      </c>
      <c r="F370" s="431"/>
      <c r="G370" s="431"/>
    </row>
    <row r="371" spans="1:7" s="512" customFormat="1" ht="15">
      <c r="A371" s="338" t="s">
        <v>8028</v>
      </c>
      <c r="B371" s="336" t="s">
        <v>8001</v>
      </c>
      <c r="C371" s="431">
        <v>1119.2</v>
      </c>
      <c r="D371" s="352">
        <v>11.02</v>
      </c>
      <c r="E371" s="339">
        <v>2.97</v>
      </c>
      <c r="F371" s="431"/>
      <c r="G371" s="431"/>
    </row>
    <row r="372" spans="1:7" s="512" customFormat="1" ht="15">
      <c r="A372" s="338" t="s">
        <v>8468</v>
      </c>
      <c r="B372" s="336" t="s">
        <v>8472</v>
      </c>
      <c r="C372" s="431">
        <v>1101.6600000000001</v>
      </c>
      <c r="D372" s="352">
        <v>10.09</v>
      </c>
      <c r="E372" s="339">
        <v>2.72</v>
      </c>
      <c r="F372" s="431"/>
      <c r="G372" s="431"/>
    </row>
    <row r="373" spans="1:7" s="512" customFormat="1" ht="15">
      <c r="A373" s="338" t="s">
        <v>8502</v>
      </c>
      <c r="B373" s="532" t="s">
        <v>8481</v>
      </c>
      <c r="C373" s="431">
        <v>1099.6300000000001</v>
      </c>
      <c r="D373" s="352">
        <v>123.76</v>
      </c>
      <c r="E373" s="339">
        <v>33.33</v>
      </c>
      <c r="F373" s="431"/>
      <c r="G373" s="431"/>
    </row>
    <row r="374" spans="1:7" s="512" customFormat="1" ht="15">
      <c r="A374" s="338" t="s">
        <v>7408</v>
      </c>
      <c r="B374" s="336" t="s">
        <v>7406</v>
      </c>
      <c r="C374" s="431">
        <v>1092.7</v>
      </c>
      <c r="D374" s="352">
        <v>1.76</v>
      </c>
      <c r="E374" s="339">
        <v>0.47</v>
      </c>
      <c r="F374" s="431"/>
      <c r="G374" s="431"/>
    </row>
    <row r="375" spans="1:7" s="512" customFormat="1" ht="30">
      <c r="A375" s="338" t="s">
        <v>8167</v>
      </c>
      <c r="B375" s="336" t="s">
        <v>7027</v>
      </c>
      <c r="C375" s="431">
        <v>1078.1500000000001</v>
      </c>
      <c r="D375" s="352">
        <v>169.88</v>
      </c>
      <c r="E375" s="339">
        <v>45.75</v>
      </c>
      <c r="F375" s="431"/>
      <c r="G375" s="431"/>
    </row>
    <row r="376" spans="1:7" s="512" customFormat="1" ht="30">
      <c r="A376" s="338" t="s">
        <v>8875</v>
      </c>
      <c r="B376" s="336" t="s">
        <v>7181</v>
      </c>
      <c r="C376" s="431">
        <v>1073.8</v>
      </c>
      <c r="D376" s="352">
        <v>7.17</v>
      </c>
      <c r="E376" s="339">
        <v>1.93</v>
      </c>
      <c r="F376" s="431"/>
      <c r="G376" s="431"/>
    </row>
    <row r="377" spans="1:7" s="512" customFormat="1" ht="15">
      <c r="A377" s="338" t="s">
        <v>8008</v>
      </c>
      <c r="B377" s="336" t="s">
        <v>7988</v>
      </c>
      <c r="C377" s="431">
        <v>1068.9000000000001</v>
      </c>
      <c r="D377" s="352">
        <v>12.030000000000001</v>
      </c>
      <c r="E377" s="339">
        <v>3.24</v>
      </c>
      <c r="F377" s="431"/>
      <c r="G377" s="431"/>
    </row>
    <row r="378" spans="1:7" s="512" customFormat="1" ht="30">
      <c r="A378" s="338" t="s">
        <v>8417</v>
      </c>
      <c r="B378" s="336" t="s">
        <v>8405</v>
      </c>
      <c r="C378" s="431">
        <v>1066.58</v>
      </c>
      <c r="D378" s="352">
        <v>840.29</v>
      </c>
      <c r="E378" s="339">
        <v>226.29</v>
      </c>
      <c r="F378" s="431"/>
      <c r="G378" s="431"/>
    </row>
    <row r="379" spans="1:7" s="512" customFormat="1" ht="30">
      <c r="A379" s="338" t="s">
        <v>7829</v>
      </c>
      <c r="B379" s="336" t="s">
        <v>7828</v>
      </c>
      <c r="C379" s="431">
        <v>1050.31</v>
      </c>
      <c r="D379" s="352">
        <v>145.94</v>
      </c>
      <c r="E379" s="339">
        <v>39.299999999999997</v>
      </c>
      <c r="F379" s="431"/>
      <c r="G379" s="431"/>
    </row>
    <row r="380" spans="1:7" s="512" customFormat="1" ht="30">
      <c r="A380" s="338" t="s">
        <v>8752</v>
      </c>
      <c r="B380" s="336" t="s">
        <v>8749</v>
      </c>
      <c r="C380" s="431">
        <v>1047.0899999999999</v>
      </c>
      <c r="D380" s="352">
        <v>25</v>
      </c>
      <c r="E380" s="339">
        <v>6.73</v>
      </c>
      <c r="F380" s="431"/>
      <c r="G380" s="431"/>
    </row>
    <row r="381" spans="1:7" s="512" customFormat="1" ht="30">
      <c r="A381" s="338" t="s">
        <v>8896</v>
      </c>
      <c r="B381" s="336" t="s">
        <v>7202</v>
      </c>
      <c r="C381" s="431">
        <v>1042.2</v>
      </c>
      <c r="D381" s="352">
        <v>30.41</v>
      </c>
      <c r="E381" s="339">
        <v>8.19</v>
      </c>
      <c r="F381" s="431"/>
      <c r="G381" s="431"/>
    </row>
    <row r="382" spans="1:7" s="512" customFormat="1" ht="30">
      <c r="A382" s="338" t="s">
        <v>6983</v>
      </c>
      <c r="B382" s="336" t="s">
        <v>6984</v>
      </c>
      <c r="C382" s="431">
        <v>1042.03</v>
      </c>
      <c r="D382" s="352">
        <v>83.77</v>
      </c>
      <c r="E382" s="339">
        <v>22.56</v>
      </c>
      <c r="F382" s="431"/>
      <c r="G382" s="431"/>
    </row>
    <row r="383" spans="1:7" s="512" customFormat="1" ht="15">
      <c r="A383" s="338" t="s">
        <v>8181</v>
      </c>
      <c r="B383" s="336" t="s">
        <v>7051</v>
      </c>
      <c r="C383" s="431">
        <v>1034.55</v>
      </c>
      <c r="D383" s="352">
        <v>4.9400000000000004</v>
      </c>
      <c r="E383" s="339">
        <v>1.33</v>
      </c>
      <c r="F383" s="431"/>
      <c r="G383" s="431"/>
    </row>
    <row r="384" spans="1:7" s="512" customFormat="1" ht="30">
      <c r="A384" s="338" t="s">
        <v>8441</v>
      </c>
      <c r="B384" s="336" t="s">
        <v>7308</v>
      </c>
      <c r="C384" s="431">
        <v>1026.96</v>
      </c>
      <c r="D384" s="352">
        <v>36.78</v>
      </c>
      <c r="E384" s="339">
        <v>9.9</v>
      </c>
      <c r="F384" s="431"/>
      <c r="G384" s="431"/>
    </row>
    <row r="385" spans="1:7" s="512" customFormat="1" ht="15">
      <c r="A385" s="338" t="s">
        <v>8184</v>
      </c>
      <c r="B385" s="336" t="s">
        <v>7054</v>
      </c>
      <c r="C385" s="431">
        <v>1009.89</v>
      </c>
      <c r="D385" s="352">
        <v>16.239999999999998</v>
      </c>
      <c r="E385" s="339">
        <v>4.37</v>
      </c>
      <c r="F385" s="431"/>
      <c r="G385" s="431"/>
    </row>
    <row r="386" spans="1:7" s="512" customFormat="1" ht="15">
      <c r="A386" s="338" t="s">
        <v>7164</v>
      </c>
      <c r="B386" s="336" t="s">
        <v>7160</v>
      </c>
      <c r="C386" s="431">
        <v>1003.68</v>
      </c>
      <c r="D386" s="352">
        <v>16.47</v>
      </c>
      <c r="E386" s="339">
        <v>4.4400000000000004</v>
      </c>
      <c r="F386" s="431"/>
      <c r="G386" s="431"/>
    </row>
    <row r="387" spans="1:7" s="512" customFormat="1" ht="30">
      <c r="A387" s="338" t="s">
        <v>8191</v>
      </c>
      <c r="B387" s="336" t="s">
        <v>7061</v>
      </c>
      <c r="C387" s="431">
        <v>999.96</v>
      </c>
      <c r="D387" s="352">
        <v>15.150000000000002</v>
      </c>
      <c r="E387" s="339">
        <v>4.08</v>
      </c>
      <c r="F387" s="431"/>
      <c r="G387" s="431"/>
    </row>
    <row r="388" spans="1:7" s="512" customFormat="1" ht="15">
      <c r="A388" s="338" t="s">
        <v>7354</v>
      </c>
      <c r="B388" s="336" t="s">
        <v>7352</v>
      </c>
      <c r="C388" s="431">
        <v>998.27</v>
      </c>
      <c r="D388" s="352">
        <v>786.47</v>
      </c>
      <c r="E388" s="339">
        <v>211.8</v>
      </c>
      <c r="F388" s="431"/>
      <c r="G388" s="431"/>
    </row>
    <row r="389" spans="1:7" s="512" customFormat="1" ht="15">
      <c r="A389" s="338" t="s">
        <v>8609</v>
      </c>
      <c r="B389" s="336" t="s">
        <v>7348</v>
      </c>
      <c r="C389" s="431">
        <v>996</v>
      </c>
      <c r="D389" s="352">
        <v>3.92</v>
      </c>
      <c r="E389" s="339">
        <v>1.06</v>
      </c>
      <c r="F389" s="431"/>
      <c r="G389" s="431"/>
    </row>
    <row r="390" spans="1:7" s="512" customFormat="1" ht="15">
      <c r="A390" s="338" t="s">
        <v>8988</v>
      </c>
      <c r="B390" s="336" t="s">
        <v>7235</v>
      </c>
      <c r="C390" s="431">
        <v>994.2</v>
      </c>
      <c r="D390" s="352">
        <v>783.27</v>
      </c>
      <c r="E390" s="339">
        <v>210.93</v>
      </c>
      <c r="F390" s="431"/>
      <c r="G390" s="431"/>
    </row>
    <row r="391" spans="1:7" s="512" customFormat="1" ht="15">
      <c r="A391" s="338" t="s">
        <v>8888</v>
      </c>
      <c r="B391" s="336" t="s">
        <v>7194</v>
      </c>
      <c r="C391" s="431">
        <v>983.84</v>
      </c>
      <c r="D391" s="352">
        <v>9.01</v>
      </c>
      <c r="E391" s="339">
        <v>2.4300000000000002</v>
      </c>
      <c r="F391" s="431"/>
      <c r="G391" s="431"/>
    </row>
    <row r="392" spans="1:7" s="512" customFormat="1" ht="30">
      <c r="A392" s="338" t="s">
        <v>8872</v>
      </c>
      <c r="B392" s="336" t="s">
        <v>7178</v>
      </c>
      <c r="C392" s="431">
        <v>935.54</v>
      </c>
      <c r="D392" s="352">
        <v>12.71</v>
      </c>
      <c r="E392" s="339">
        <v>3.42</v>
      </c>
      <c r="F392" s="431"/>
      <c r="G392" s="431"/>
    </row>
    <row r="393" spans="1:7" s="512" customFormat="1" ht="15">
      <c r="A393" s="338" t="s">
        <v>8507</v>
      </c>
      <c r="B393" s="532" t="s">
        <v>8485</v>
      </c>
      <c r="C393" s="431">
        <v>928.85</v>
      </c>
      <c r="D393" s="352">
        <v>11.26</v>
      </c>
      <c r="E393" s="339">
        <v>3.03</v>
      </c>
      <c r="F393" s="431"/>
      <c r="G393" s="431"/>
    </row>
    <row r="394" spans="1:7" s="512" customFormat="1" ht="15">
      <c r="A394" s="338" t="s">
        <v>8063</v>
      </c>
      <c r="B394" s="336" t="s">
        <v>8056</v>
      </c>
      <c r="C394" s="431">
        <v>924.3</v>
      </c>
      <c r="D394" s="352">
        <v>121.37</v>
      </c>
      <c r="E394" s="339">
        <v>32.68</v>
      </c>
      <c r="F394" s="431"/>
      <c r="G394" s="431"/>
    </row>
    <row r="395" spans="1:7" s="512" customFormat="1" ht="15">
      <c r="A395" s="338" t="s">
        <v>8886</v>
      </c>
      <c r="B395" s="336" t="s">
        <v>7192</v>
      </c>
      <c r="C395" s="431">
        <v>922.34</v>
      </c>
      <c r="D395" s="352">
        <v>6.79</v>
      </c>
      <c r="E395" s="339">
        <v>1.83</v>
      </c>
      <c r="F395" s="431"/>
      <c r="G395" s="431"/>
    </row>
    <row r="396" spans="1:7" s="512" customFormat="1" ht="30">
      <c r="A396" s="338" t="s">
        <v>8930</v>
      </c>
      <c r="B396" s="336" t="s">
        <v>7822</v>
      </c>
      <c r="C396" s="431">
        <v>908.45</v>
      </c>
      <c r="D396" s="352">
        <v>126.23</v>
      </c>
      <c r="E396" s="339">
        <v>33.99</v>
      </c>
      <c r="F396" s="431"/>
      <c r="G396" s="431"/>
    </row>
    <row r="397" spans="1:7" s="512" customFormat="1" ht="15">
      <c r="A397" s="338" t="s">
        <v>8186</v>
      </c>
      <c r="B397" s="336" t="s">
        <v>7056</v>
      </c>
      <c r="C397" s="431">
        <v>895.2</v>
      </c>
      <c r="D397" s="352">
        <v>47.02</v>
      </c>
      <c r="E397" s="339">
        <v>12.66</v>
      </c>
      <c r="F397" s="431"/>
      <c r="G397" s="431"/>
    </row>
    <row r="398" spans="1:7" s="512" customFormat="1" ht="30">
      <c r="A398" s="338" t="s">
        <v>8360</v>
      </c>
      <c r="B398" s="336" t="s">
        <v>8384</v>
      </c>
      <c r="C398" s="431">
        <v>890.3</v>
      </c>
      <c r="D398" s="352">
        <v>70.14</v>
      </c>
      <c r="E398" s="339">
        <v>18.89</v>
      </c>
      <c r="F398" s="431"/>
      <c r="G398" s="431"/>
    </row>
    <row r="399" spans="1:7" s="512" customFormat="1" ht="30">
      <c r="A399" s="338" t="s">
        <v>8578</v>
      </c>
      <c r="B399" s="336" t="s">
        <v>7424</v>
      </c>
      <c r="C399" s="431">
        <v>889.58</v>
      </c>
      <c r="D399" s="352">
        <v>350.42</v>
      </c>
      <c r="E399" s="339">
        <v>94.37</v>
      </c>
      <c r="F399" s="431"/>
      <c r="G399" s="431"/>
    </row>
    <row r="400" spans="1:7" s="512" customFormat="1" ht="15">
      <c r="A400" s="338" t="s">
        <v>8002</v>
      </c>
      <c r="B400" s="336" t="s">
        <v>7987</v>
      </c>
      <c r="C400" s="431">
        <v>880</v>
      </c>
      <c r="D400" s="352">
        <v>0.35</v>
      </c>
      <c r="E400" s="339">
        <v>0.09</v>
      </c>
      <c r="F400" s="431"/>
      <c r="G400" s="431"/>
    </row>
    <row r="401" spans="1:7" s="512" customFormat="1" ht="15">
      <c r="A401" s="338" t="s">
        <v>8497</v>
      </c>
      <c r="B401" s="532" t="s">
        <v>8476</v>
      </c>
      <c r="C401" s="431">
        <v>862.2</v>
      </c>
      <c r="D401" s="352">
        <v>33.96</v>
      </c>
      <c r="E401" s="339">
        <v>9.15</v>
      </c>
      <c r="F401" s="431"/>
      <c r="G401" s="431"/>
    </row>
    <row r="402" spans="1:7" s="512" customFormat="1" ht="15">
      <c r="A402" s="338" t="s">
        <v>8670</v>
      </c>
      <c r="B402" s="336" t="s">
        <v>9578</v>
      </c>
      <c r="C402" s="431">
        <v>852.63</v>
      </c>
      <c r="D402" s="352">
        <v>12.280000000000001</v>
      </c>
      <c r="E402" s="339">
        <v>3.31</v>
      </c>
      <c r="F402" s="431"/>
      <c r="G402" s="431"/>
    </row>
    <row r="403" spans="1:7" s="512" customFormat="1" ht="15">
      <c r="A403" s="338" t="s">
        <v>8592</v>
      </c>
      <c r="B403" s="532" t="s">
        <v>8490</v>
      </c>
      <c r="C403" s="431">
        <v>852.39</v>
      </c>
      <c r="D403" s="352">
        <v>10.66</v>
      </c>
      <c r="E403" s="339">
        <v>2.87</v>
      </c>
      <c r="F403" s="431"/>
      <c r="G403" s="431"/>
    </row>
    <row r="404" spans="1:7" s="512" customFormat="1" ht="15">
      <c r="A404" s="338" t="s">
        <v>8025</v>
      </c>
      <c r="B404" s="336" t="s">
        <v>7998</v>
      </c>
      <c r="C404" s="431">
        <v>851.4</v>
      </c>
      <c r="D404" s="352">
        <v>22.36</v>
      </c>
      <c r="E404" s="339">
        <v>6.02</v>
      </c>
      <c r="F404" s="431"/>
      <c r="G404" s="431"/>
    </row>
    <row r="405" spans="1:7" s="512" customFormat="1" ht="15">
      <c r="A405" s="338" t="s">
        <v>8352</v>
      </c>
      <c r="B405" s="336" t="s">
        <v>7264</v>
      </c>
      <c r="C405" s="431">
        <v>845.74</v>
      </c>
      <c r="D405" s="352">
        <v>333.15</v>
      </c>
      <c r="E405" s="339">
        <v>89.72</v>
      </c>
      <c r="F405" s="431"/>
      <c r="G405" s="431"/>
    </row>
    <row r="406" spans="1:7" s="512" customFormat="1" ht="30">
      <c r="A406" s="338" t="s">
        <v>6987</v>
      </c>
      <c r="B406" s="336" t="s">
        <v>8628</v>
      </c>
      <c r="C406" s="431">
        <v>843.04</v>
      </c>
      <c r="D406" s="352">
        <v>30.19</v>
      </c>
      <c r="E406" s="339">
        <v>8.1300000000000008</v>
      </c>
      <c r="F406" s="431"/>
      <c r="G406" s="431"/>
    </row>
    <row r="407" spans="1:7" s="512" customFormat="1" ht="60">
      <c r="A407" s="338" t="s">
        <v>8434</v>
      </c>
      <c r="B407" s="336" t="s">
        <v>7301</v>
      </c>
      <c r="C407" s="431">
        <v>836.7</v>
      </c>
      <c r="D407" s="352">
        <v>109.86</v>
      </c>
      <c r="E407" s="339">
        <v>29.59</v>
      </c>
      <c r="F407" s="431"/>
      <c r="G407" s="431"/>
    </row>
    <row r="408" spans="1:7" s="512" customFormat="1" ht="30">
      <c r="A408" s="338" t="s">
        <v>8232</v>
      </c>
      <c r="B408" s="336" t="s">
        <v>7104</v>
      </c>
      <c r="C408" s="431">
        <v>835.12</v>
      </c>
      <c r="D408" s="352">
        <v>59.81</v>
      </c>
      <c r="E408" s="339">
        <v>16.11</v>
      </c>
      <c r="F408" s="431"/>
      <c r="G408" s="431"/>
    </row>
    <row r="409" spans="1:7" s="512" customFormat="1" ht="15">
      <c r="A409" s="338" t="s">
        <v>8568</v>
      </c>
      <c r="B409" s="336" t="s">
        <v>8459</v>
      </c>
      <c r="C409" s="431">
        <v>832.65</v>
      </c>
      <c r="D409" s="352">
        <v>10.09</v>
      </c>
      <c r="E409" s="339">
        <v>2.72</v>
      </c>
      <c r="F409" s="431"/>
      <c r="G409" s="431"/>
    </row>
    <row r="410" spans="1:7" s="512" customFormat="1" ht="15">
      <c r="A410" s="338" t="s">
        <v>7995</v>
      </c>
      <c r="B410" s="336" t="s">
        <v>8055</v>
      </c>
      <c r="C410" s="431">
        <v>806.4</v>
      </c>
      <c r="D410" s="352">
        <v>158.83000000000001</v>
      </c>
      <c r="E410" s="339">
        <v>42.77</v>
      </c>
      <c r="F410" s="431"/>
      <c r="G410" s="431"/>
    </row>
    <row r="411" spans="1:7" s="512" customFormat="1" ht="30">
      <c r="A411" s="338" t="s">
        <v>8617</v>
      </c>
      <c r="B411" s="336" t="s">
        <v>8616</v>
      </c>
      <c r="C411" s="431">
        <v>796.8</v>
      </c>
      <c r="D411" s="352">
        <v>7.85</v>
      </c>
      <c r="E411" s="339">
        <v>2.11</v>
      </c>
      <c r="F411" s="431"/>
      <c r="G411" s="431"/>
    </row>
    <row r="412" spans="1:7" s="512" customFormat="1" ht="30">
      <c r="A412" s="338" t="s">
        <v>7369</v>
      </c>
      <c r="B412" s="336" t="s">
        <v>7364</v>
      </c>
      <c r="C412" s="431">
        <v>795.02</v>
      </c>
      <c r="D412" s="352">
        <v>313.17</v>
      </c>
      <c r="E412" s="339">
        <v>84.34</v>
      </c>
      <c r="F412" s="431"/>
      <c r="G412" s="431"/>
    </row>
    <row r="413" spans="1:7" s="512" customFormat="1" ht="15">
      <c r="A413" s="338" t="s">
        <v>7409</v>
      </c>
      <c r="B413" s="336" t="s">
        <v>7407</v>
      </c>
      <c r="C413" s="431">
        <v>794.5</v>
      </c>
      <c r="D413" s="352">
        <v>12.52</v>
      </c>
      <c r="E413" s="339">
        <v>3.37</v>
      </c>
      <c r="F413" s="431"/>
      <c r="G413" s="431"/>
    </row>
    <row r="414" spans="1:7" s="512" customFormat="1" ht="15">
      <c r="A414" s="338" t="s">
        <v>7114</v>
      </c>
      <c r="B414" s="336" t="s">
        <v>7096</v>
      </c>
      <c r="C414" s="431">
        <v>792.79</v>
      </c>
      <c r="D414" s="352">
        <v>624.59</v>
      </c>
      <c r="E414" s="339">
        <v>168.2</v>
      </c>
      <c r="F414" s="431"/>
      <c r="G414" s="431"/>
    </row>
    <row r="415" spans="1:7" s="512" customFormat="1" ht="30">
      <c r="A415" s="338" t="s">
        <v>8418</v>
      </c>
      <c r="B415" s="336" t="s">
        <v>8406</v>
      </c>
      <c r="C415" s="431">
        <v>783.53</v>
      </c>
      <c r="D415" s="352">
        <v>617.29</v>
      </c>
      <c r="E415" s="339">
        <v>166.24</v>
      </c>
      <c r="F415" s="431"/>
      <c r="G415" s="431"/>
    </row>
    <row r="416" spans="1:7" s="512" customFormat="1" ht="15">
      <c r="A416" s="338" t="s">
        <v>9558</v>
      </c>
      <c r="B416" s="336" t="s">
        <v>7005</v>
      </c>
      <c r="C416" s="431">
        <v>781.44</v>
      </c>
      <c r="D416" s="352">
        <v>19.240000000000002</v>
      </c>
      <c r="E416" s="339">
        <v>5.18</v>
      </c>
      <c r="F416" s="431"/>
      <c r="G416" s="431"/>
    </row>
    <row r="417" spans="1:7" s="512" customFormat="1" ht="15">
      <c r="A417" s="338" t="s">
        <v>8619</v>
      </c>
      <c r="B417" s="336" t="s">
        <v>8572</v>
      </c>
      <c r="C417" s="431">
        <v>766.82</v>
      </c>
      <c r="D417" s="352">
        <v>26.27</v>
      </c>
      <c r="E417" s="339">
        <v>7.07</v>
      </c>
      <c r="F417" s="431"/>
      <c r="G417" s="431"/>
    </row>
    <row r="418" spans="1:7" s="512" customFormat="1" ht="30">
      <c r="A418" s="338" t="s">
        <v>8908</v>
      </c>
      <c r="B418" s="336" t="s">
        <v>7213</v>
      </c>
      <c r="C418" s="431">
        <v>737.75</v>
      </c>
      <c r="D418" s="352">
        <v>23.25</v>
      </c>
      <c r="E418" s="339">
        <v>6.26</v>
      </c>
      <c r="F418" s="431"/>
      <c r="G418" s="431"/>
    </row>
    <row r="419" spans="1:7" s="512" customFormat="1" ht="15">
      <c r="A419" s="338" t="s">
        <v>8042</v>
      </c>
      <c r="B419" s="336" t="s">
        <v>8037</v>
      </c>
      <c r="C419" s="431">
        <v>735.02</v>
      </c>
      <c r="D419" s="352">
        <v>52.64</v>
      </c>
      <c r="E419" s="339">
        <v>14.18</v>
      </c>
      <c r="F419" s="431"/>
      <c r="G419" s="431"/>
    </row>
    <row r="420" spans="1:7" s="512" customFormat="1" ht="15">
      <c r="A420" s="338" t="s">
        <v>8163</v>
      </c>
      <c r="B420" s="336" t="s">
        <v>7024</v>
      </c>
      <c r="C420" s="431">
        <v>728.99</v>
      </c>
      <c r="D420" s="352">
        <v>18.440000000000001</v>
      </c>
      <c r="E420" s="339">
        <v>4.97</v>
      </c>
      <c r="F420" s="431"/>
      <c r="G420" s="431"/>
    </row>
    <row r="421" spans="1:7" s="512" customFormat="1" ht="15">
      <c r="A421" s="338" t="s">
        <v>8009</v>
      </c>
      <c r="B421" s="336" t="s">
        <v>8104</v>
      </c>
      <c r="C421" s="431">
        <v>720.63</v>
      </c>
      <c r="D421" s="352">
        <v>11.13</v>
      </c>
      <c r="E421" s="339">
        <v>3</v>
      </c>
      <c r="F421" s="431"/>
      <c r="G421" s="431"/>
    </row>
    <row r="422" spans="1:7" s="512" customFormat="1" ht="15">
      <c r="A422" s="338" t="s">
        <v>8469</v>
      </c>
      <c r="B422" s="336" t="s">
        <v>8461</v>
      </c>
      <c r="C422" s="431">
        <v>715.16</v>
      </c>
      <c r="D422" s="352">
        <v>7.41</v>
      </c>
      <c r="E422" s="339">
        <v>2</v>
      </c>
      <c r="F422" s="431"/>
      <c r="G422" s="431"/>
    </row>
    <row r="423" spans="1:7" s="512" customFormat="1" ht="15">
      <c r="A423" s="338" t="s">
        <v>9562</v>
      </c>
      <c r="B423" s="336" t="s">
        <v>7009</v>
      </c>
      <c r="C423" s="431">
        <v>694.96</v>
      </c>
      <c r="D423" s="352">
        <v>39.11</v>
      </c>
      <c r="E423" s="339">
        <v>10.53</v>
      </c>
      <c r="F423" s="431"/>
      <c r="G423" s="431"/>
    </row>
    <row r="424" spans="1:7" s="512" customFormat="1" ht="15">
      <c r="A424" s="338" t="s">
        <v>7415</v>
      </c>
      <c r="B424" s="336" t="s">
        <v>7414</v>
      </c>
      <c r="C424" s="431">
        <v>691.38</v>
      </c>
      <c r="D424" s="352">
        <v>23.68</v>
      </c>
      <c r="E424" s="339">
        <v>6.38</v>
      </c>
      <c r="F424" s="431"/>
      <c r="G424" s="431"/>
    </row>
    <row r="425" spans="1:7" s="512" customFormat="1" ht="30">
      <c r="A425" s="338" t="s">
        <v>8415</v>
      </c>
      <c r="B425" s="336" t="s">
        <v>8401</v>
      </c>
      <c r="C425" s="431">
        <v>688.8</v>
      </c>
      <c r="D425" s="352">
        <v>542.66000000000008</v>
      </c>
      <c r="E425" s="339">
        <v>146.13999999999999</v>
      </c>
      <c r="F425" s="431"/>
      <c r="G425" s="431"/>
    </row>
    <row r="426" spans="1:7" s="512" customFormat="1" ht="15">
      <c r="A426" s="338" t="s">
        <v>8503</v>
      </c>
      <c r="B426" s="532" t="s">
        <v>8480</v>
      </c>
      <c r="C426" s="431">
        <v>686.2</v>
      </c>
      <c r="D426" s="352">
        <v>54.059999999999995</v>
      </c>
      <c r="E426" s="339">
        <v>14.56</v>
      </c>
      <c r="F426" s="431"/>
      <c r="G426" s="431"/>
    </row>
    <row r="427" spans="1:7" s="512" customFormat="1" ht="15">
      <c r="A427" s="338" t="s">
        <v>8027</v>
      </c>
      <c r="B427" s="336" t="s">
        <v>8000</v>
      </c>
      <c r="C427" s="431">
        <v>671.52</v>
      </c>
      <c r="D427" s="352">
        <v>11.02</v>
      </c>
      <c r="E427" s="339">
        <v>2.97</v>
      </c>
      <c r="F427" s="431"/>
      <c r="G427" s="431"/>
    </row>
    <row r="428" spans="1:7" s="512" customFormat="1" ht="15">
      <c r="A428" s="338" t="s">
        <v>7141</v>
      </c>
      <c r="B428" s="336" t="s">
        <v>7140</v>
      </c>
      <c r="C428" s="431">
        <v>661.86</v>
      </c>
      <c r="D428" s="352">
        <v>28.97</v>
      </c>
      <c r="E428" s="339">
        <v>7.8</v>
      </c>
      <c r="F428" s="431"/>
      <c r="G428" s="431"/>
    </row>
    <row r="429" spans="1:7" s="512" customFormat="1" ht="60">
      <c r="A429" s="338" t="s">
        <v>8433</v>
      </c>
      <c r="B429" s="336" t="s">
        <v>7300</v>
      </c>
      <c r="C429" s="431">
        <v>658.64</v>
      </c>
      <c r="D429" s="352">
        <v>64.86</v>
      </c>
      <c r="E429" s="339">
        <v>17.47</v>
      </c>
      <c r="F429" s="431"/>
      <c r="G429" s="431"/>
    </row>
    <row r="430" spans="1:7" s="512" customFormat="1" ht="15">
      <c r="A430" s="338" t="s">
        <v>8509</v>
      </c>
      <c r="B430" s="532" t="s">
        <v>8487</v>
      </c>
      <c r="C430" s="431">
        <v>658.58</v>
      </c>
      <c r="D430" s="352">
        <v>15.26</v>
      </c>
      <c r="E430" s="339">
        <v>4.1100000000000003</v>
      </c>
      <c r="F430" s="431"/>
      <c r="G430" s="431"/>
    </row>
    <row r="431" spans="1:7" s="512" customFormat="1" ht="15">
      <c r="A431" s="338" t="s">
        <v>15455</v>
      </c>
      <c r="B431" s="336" t="s">
        <v>15437</v>
      </c>
      <c r="C431" s="431">
        <v>654.03</v>
      </c>
      <c r="D431" s="339">
        <v>171.76</v>
      </c>
      <c r="E431" s="339">
        <v>46.25</v>
      </c>
      <c r="F431" s="431"/>
      <c r="G431" s="431"/>
    </row>
    <row r="432" spans="1:7" s="512" customFormat="1" ht="30">
      <c r="A432" s="338" t="s">
        <v>8346</v>
      </c>
      <c r="B432" s="336" t="s">
        <v>7258</v>
      </c>
      <c r="C432" s="431">
        <v>653.41</v>
      </c>
      <c r="D432" s="352">
        <v>514.78</v>
      </c>
      <c r="E432" s="339">
        <v>138.63</v>
      </c>
      <c r="F432" s="431"/>
      <c r="G432" s="431"/>
    </row>
    <row r="433" spans="1:7" s="512" customFormat="1" ht="15">
      <c r="A433" s="338" t="s">
        <v>8044</v>
      </c>
      <c r="B433" s="336" t="s">
        <v>8039</v>
      </c>
      <c r="C433" s="431">
        <v>637.65</v>
      </c>
      <c r="D433" s="352">
        <v>38.64</v>
      </c>
      <c r="E433" s="339">
        <v>10.41</v>
      </c>
      <c r="F433" s="431"/>
      <c r="G433" s="431"/>
    </row>
    <row r="434" spans="1:7" s="512" customFormat="1" ht="30">
      <c r="A434" s="338" t="s">
        <v>8229</v>
      </c>
      <c r="B434" s="336" t="s">
        <v>7101</v>
      </c>
      <c r="C434" s="431">
        <v>619.47</v>
      </c>
      <c r="D434" s="352">
        <v>54.230000000000004</v>
      </c>
      <c r="E434" s="339">
        <v>14.6</v>
      </c>
      <c r="F434" s="431"/>
      <c r="G434" s="431"/>
    </row>
    <row r="435" spans="1:7" s="512" customFormat="1" ht="30">
      <c r="A435" s="338" t="s">
        <v>8442</v>
      </c>
      <c r="B435" s="336" t="s">
        <v>8557</v>
      </c>
      <c r="C435" s="431">
        <v>612.32000000000005</v>
      </c>
      <c r="D435" s="352">
        <v>5.61</v>
      </c>
      <c r="E435" s="339">
        <v>1.51</v>
      </c>
      <c r="F435" s="431"/>
      <c r="G435" s="431"/>
    </row>
    <row r="436" spans="1:7" s="512" customFormat="1" ht="15">
      <c r="A436" s="338" t="s">
        <v>8987</v>
      </c>
      <c r="B436" s="336" t="s">
        <v>7230</v>
      </c>
      <c r="C436" s="431">
        <v>601.37</v>
      </c>
      <c r="D436" s="352">
        <v>473.78</v>
      </c>
      <c r="E436" s="339">
        <v>127.59</v>
      </c>
      <c r="F436" s="431"/>
      <c r="G436" s="431"/>
    </row>
    <row r="437" spans="1:7" s="512" customFormat="1" ht="15">
      <c r="A437" s="338" t="s">
        <v>8505</v>
      </c>
      <c r="B437" s="532" t="s">
        <v>8482</v>
      </c>
      <c r="C437" s="431">
        <v>599.4</v>
      </c>
      <c r="D437" s="352">
        <v>17.490000000000002</v>
      </c>
      <c r="E437" s="339">
        <v>4.71</v>
      </c>
      <c r="F437" s="431"/>
      <c r="G437" s="431"/>
    </row>
    <row r="438" spans="1:7" s="512" customFormat="1" ht="30">
      <c r="A438" s="338" t="s">
        <v>8189</v>
      </c>
      <c r="B438" s="336" t="s">
        <v>7059</v>
      </c>
      <c r="C438" s="431">
        <v>593.45000000000005</v>
      </c>
      <c r="D438" s="352">
        <v>8.5</v>
      </c>
      <c r="E438" s="339">
        <v>2.29</v>
      </c>
      <c r="F438" s="431"/>
      <c r="G438" s="431"/>
    </row>
    <row r="439" spans="1:7" s="512" customFormat="1" ht="15">
      <c r="A439" s="338" t="s">
        <v>8369</v>
      </c>
      <c r="B439" s="532" t="s">
        <v>8519</v>
      </c>
      <c r="C439" s="431">
        <v>592.47</v>
      </c>
      <c r="D439" s="352">
        <v>51.86</v>
      </c>
      <c r="E439" s="339">
        <v>13.97</v>
      </c>
      <c r="F439" s="431"/>
      <c r="G439" s="431"/>
    </row>
    <row r="440" spans="1:7" s="512" customFormat="1" ht="15">
      <c r="A440" s="338" t="s">
        <v>8203</v>
      </c>
      <c r="B440" s="336" t="s">
        <v>7079</v>
      </c>
      <c r="C440" s="431">
        <v>587.25</v>
      </c>
      <c r="D440" s="352">
        <v>30.84</v>
      </c>
      <c r="E440" s="339">
        <v>8.31</v>
      </c>
      <c r="F440" s="431"/>
      <c r="G440" s="431"/>
    </row>
    <row r="441" spans="1:7" s="512" customFormat="1" ht="15">
      <c r="A441" s="338" t="s">
        <v>8066</v>
      </c>
      <c r="B441" s="336" t="s">
        <v>9070</v>
      </c>
      <c r="C441" s="431">
        <v>564.1</v>
      </c>
      <c r="D441" s="352">
        <v>88.88</v>
      </c>
      <c r="E441" s="339">
        <v>23.94</v>
      </c>
      <c r="F441" s="431"/>
      <c r="G441" s="431"/>
    </row>
    <row r="442" spans="1:7" s="512" customFormat="1" ht="30">
      <c r="A442" s="338" t="s">
        <v>8859</v>
      </c>
      <c r="B442" s="336" t="s">
        <v>7147</v>
      </c>
      <c r="C442" s="431">
        <v>561.44000000000005</v>
      </c>
      <c r="D442" s="352">
        <v>40.21</v>
      </c>
      <c r="E442" s="339">
        <v>10.83</v>
      </c>
      <c r="F442" s="431"/>
      <c r="G442" s="431"/>
    </row>
    <row r="443" spans="1:7" s="512" customFormat="1" ht="15">
      <c r="A443" s="338" t="s">
        <v>8887</v>
      </c>
      <c r="B443" s="336" t="s">
        <v>7193</v>
      </c>
      <c r="C443" s="431">
        <v>555.84</v>
      </c>
      <c r="D443" s="352">
        <v>4.5599999999999996</v>
      </c>
      <c r="E443" s="339">
        <v>1.23</v>
      </c>
      <c r="F443" s="431"/>
      <c r="G443" s="431"/>
    </row>
    <row r="444" spans="1:7" s="512" customFormat="1" ht="30">
      <c r="A444" s="338" t="s">
        <v>15456</v>
      </c>
      <c r="B444" s="336" t="s">
        <v>15435</v>
      </c>
      <c r="C444" s="431">
        <v>553.4</v>
      </c>
      <c r="D444" s="339">
        <v>114.43</v>
      </c>
      <c r="E444" s="339">
        <v>30.82</v>
      </c>
      <c r="F444" s="431"/>
      <c r="G444" s="431"/>
    </row>
    <row r="445" spans="1:7" s="512" customFormat="1" ht="30">
      <c r="A445" s="338" t="s">
        <v>8413</v>
      </c>
      <c r="B445" s="336" t="s">
        <v>8399</v>
      </c>
      <c r="C445" s="431">
        <v>540.70000000000005</v>
      </c>
      <c r="D445" s="352">
        <v>425.98</v>
      </c>
      <c r="E445" s="339">
        <v>114.72</v>
      </c>
      <c r="F445" s="431"/>
      <c r="G445" s="431"/>
    </row>
    <row r="446" spans="1:7" s="512" customFormat="1" ht="15">
      <c r="A446" s="338" t="s">
        <v>8463</v>
      </c>
      <c r="B446" s="336" t="s">
        <v>8457</v>
      </c>
      <c r="C446" s="431">
        <v>538.4</v>
      </c>
      <c r="D446" s="352">
        <v>53.02</v>
      </c>
      <c r="E446" s="339">
        <v>14.28</v>
      </c>
      <c r="F446" s="431"/>
      <c r="G446" s="431"/>
    </row>
    <row r="447" spans="1:7" s="512" customFormat="1" ht="15">
      <c r="A447" s="338" t="s">
        <v>7370</v>
      </c>
      <c r="B447" s="336" t="s">
        <v>7365</v>
      </c>
      <c r="C447" s="431">
        <v>535.88</v>
      </c>
      <c r="D447" s="352">
        <v>105.55</v>
      </c>
      <c r="E447" s="339">
        <v>28.42</v>
      </c>
      <c r="F447" s="431"/>
      <c r="G447" s="431"/>
    </row>
    <row r="448" spans="1:7" s="512" customFormat="1" ht="15">
      <c r="A448" s="338" t="s">
        <v>8373</v>
      </c>
      <c r="B448" s="336" t="s">
        <v>7271</v>
      </c>
      <c r="C448" s="431">
        <v>534.84</v>
      </c>
      <c r="D448" s="352">
        <v>105.34</v>
      </c>
      <c r="E448" s="339">
        <v>28.37</v>
      </c>
      <c r="F448" s="431"/>
      <c r="G448" s="431"/>
    </row>
    <row r="449" spans="1:7" s="512" customFormat="1" ht="15">
      <c r="A449" s="338" t="s">
        <v>8004</v>
      </c>
      <c r="B449" s="336" t="s">
        <v>8098</v>
      </c>
      <c r="C449" s="431">
        <v>533.4</v>
      </c>
      <c r="D449" s="352">
        <v>6</v>
      </c>
      <c r="E449" s="339">
        <v>1.62</v>
      </c>
      <c r="F449" s="431"/>
      <c r="G449" s="431"/>
    </row>
    <row r="450" spans="1:7" s="512" customFormat="1" ht="60">
      <c r="A450" s="338" t="s">
        <v>8436</v>
      </c>
      <c r="B450" s="336" t="s">
        <v>7303</v>
      </c>
      <c r="C450" s="431">
        <v>521.88</v>
      </c>
      <c r="D450" s="352">
        <v>205.57999999999998</v>
      </c>
      <c r="E450" s="339">
        <v>55.36</v>
      </c>
      <c r="F450" s="431"/>
      <c r="G450" s="431"/>
    </row>
    <row r="451" spans="1:7" s="512" customFormat="1" ht="60">
      <c r="A451" s="338" t="s">
        <v>8427</v>
      </c>
      <c r="B451" s="336" t="s">
        <v>7294</v>
      </c>
      <c r="C451" s="431">
        <v>517.78</v>
      </c>
      <c r="D451" s="352">
        <v>203.96</v>
      </c>
      <c r="E451" s="339">
        <v>54.93</v>
      </c>
      <c r="F451" s="431"/>
      <c r="G451" s="431"/>
    </row>
    <row r="452" spans="1:7" s="512" customFormat="1" ht="30">
      <c r="A452" s="338" t="s">
        <v>7117</v>
      </c>
      <c r="B452" s="336" t="s">
        <v>7102</v>
      </c>
      <c r="C452" s="431">
        <v>516.95000000000005</v>
      </c>
      <c r="D452" s="352">
        <v>58.18</v>
      </c>
      <c r="E452" s="339">
        <v>15.67</v>
      </c>
      <c r="F452" s="431"/>
      <c r="G452" s="431"/>
    </row>
    <row r="453" spans="1:7" s="512" customFormat="1" ht="15">
      <c r="A453" s="338" t="s">
        <v>9560</v>
      </c>
      <c r="B453" s="336" t="s">
        <v>7007</v>
      </c>
      <c r="C453" s="431">
        <v>509.28</v>
      </c>
      <c r="D453" s="352">
        <v>50.15</v>
      </c>
      <c r="E453" s="339">
        <v>13.51</v>
      </c>
      <c r="F453" s="431"/>
      <c r="G453" s="431"/>
    </row>
    <row r="454" spans="1:7" s="512" customFormat="1" ht="30">
      <c r="A454" s="338" t="s">
        <v>8858</v>
      </c>
      <c r="B454" s="336" t="s">
        <v>7146</v>
      </c>
      <c r="C454" s="431">
        <v>498.84</v>
      </c>
      <c r="D454" s="352">
        <v>32.75</v>
      </c>
      <c r="E454" s="339">
        <v>8.82</v>
      </c>
      <c r="F454" s="431"/>
      <c r="G454" s="431"/>
    </row>
    <row r="455" spans="1:7" s="512" customFormat="1" ht="30">
      <c r="A455" s="338" t="s">
        <v>8362</v>
      </c>
      <c r="B455" s="336" t="s">
        <v>8385</v>
      </c>
      <c r="C455" s="431">
        <v>475.85</v>
      </c>
      <c r="D455" s="352">
        <v>74.98</v>
      </c>
      <c r="E455" s="339">
        <v>20.190000000000001</v>
      </c>
      <c r="F455" s="431"/>
      <c r="G455" s="431"/>
    </row>
    <row r="456" spans="1:7" s="512" customFormat="1" ht="30">
      <c r="A456" s="338" t="s">
        <v>8208</v>
      </c>
      <c r="B456" s="336" t="s">
        <v>7084</v>
      </c>
      <c r="C456" s="431">
        <v>467.22</v>
      </c>
      <c r="D456" s="352">
        <v>14.16</v>
      </c>
      <c r="E456" s="339">
        <v>3.81</v>
      </c>
      <c r="F456" s="431"/>
      <c r="G456" s="431"/>
    </row>
    <row r="457" spans="1:7" s="512" customFormat="1" ht="45">
      <c r="A457" s="338" t="s">
        <v>8438</v>
      </c>
      <c r="B457" s="336" t="s">
        <v>7305</v>
      </c>
      <c r="C457" s="431">
        <v>463.42</v>
      </c>
      <c r="D457" s="352">
        <v>182.55</v>
      </c>
      <c r="E457" s="339">
        <v>49.16</v>
      </c>
      <c r="F457" s="431"/>
      <c r="G457" s="431"/>
    </row>
    <row r="458" spans="1:7" s="512" customFormat="1" ht="15">
      <c r="A458" s="338" t="s">
        <v>7162</v>
      </c>
      <c r="B458" s="336" t="s">
        <v>7158</v>
      </c>
      <c r="C458" s="431">
        <v>457.76</v>
      </c>
      <c r="D458" s="352">
        <v>22.54</v>
      </c>
      <c r="E458" s="339">
        <v>6.07</v>
      </c>
      <c r="F458" s="431"/>
      <c r="G458" s="431"/>
    </row>
    <row r="459" spans="1:7" s="512" customFormat="1" ht="30">
      <c r="A459" s="338" t="s">
        <v>8367</v>
      </c>
      <c r="B459" s="336" t="s">
        <v>8379</v>
      </c>
      <c r="C459" s="431">
        <v>446.07</v>
      </c>
      <c r="D459" s="352">
        <v>117.14</v>
      </c>
      <c r="E459" s="339">
        <v>31.55</v>
      </c>
      <c r="F459" s="431"/>
      <c r="G459" s="431"/>
    </row>
    <row r="460" spans="1:7" s="512" customFormat="1" ht="15">
      <c r="A460" s="338" t="s">
        <v>8841</v>
      </c>
      <c r="B460" s="336" t="s">
        <v>7131</v>
      </c>
      <c r="C460" s="431">
        <v>443.13</v>
      </c>
      <c r="D460" s="352">
        <v>349.11</v>
      </c>
      <c r="E460" s="339">
        <v>94.02</v>
      </c>
      <c r="F460" s="431"/>
      <c r="G460" s="431"/>
    </row>
    <row r="461" spans="1:7" s="512" customFormat="1" ht="30">
      <c r="A461" s="338" t="s">
        <v>8747</v>
      </c>
      <c r="B461" s="336" t="s">
        <v>8725</v>
      </c>
      <c r="C461" s="431">
        <v>440.98</v>
      </c>
      <c r="D461" s="352">
        <v>173.71</v>
      </c>
      <c r="E461" s="339">
        <v>46.78</v>
      </c>
      <c r="F461" s="431"/>
      <c r="G461" s="431"/>
    </row>
    <row r="462" spans="1:7" s="512" customFormat="1" ht="30">
      <c r="A462" s="338" t="s">
        <v>8753</v>
      </c>
      <c r="B462" s="336" t="s">
        <v>8750</v>
      </c>
      <c r="C462" s="431">
        <v>440.4</v>
      </c>
      <c r="D462" s="352">
        <v>28.91</v>
      </c>
      <c r="E462" s="339">
        <v>7.79</v>
      </c>
      <c r="F462" s="431"/>
      <c r="G462" s="431"/>
    </row>
    <row r="463" spans="1:7" s="512" customFormat="1" ht="15">
      <c r="A463" s="338" t="s">
        <v>8012</v>
      </c>
      <c r="B463" s="336" t="s">
        <v>7991</v>
      </c>
      <c r="C463" s="431">
        <v>440</v>
      </c>
      <c r="D463" s="352">
        <v>0.87</v>
      </c>
      <c r="E463" s="339">
        <v>0.23</v>
      </c>
      <c r="F463" s="431"/>
      <c r="G463" s="431"/>
    </row>
    <row r="464" spans="1:7" s="512" customFormat="1" ht="90">
      <c r="A464" s="338" t="s">
        <v>8437</v>
      </c>
      <c r="B464" s="336" t="s">
        <v>7304</v>
      </c>
      <c r="C464" s="431">
        <v>433.04</v>
      </c>
      <c r="D464" s="352">
        <v>170.57999999999998</v>
      </c>
      <c r="E464" s="339">
        <v>45.94</v>
      </c>
      <c r="F464" s="431"/>
      <c r="G464" s="431"/>
    </row>
    <row r="465" spans="1:7" s="512" customFormat="1" ht="15">
      <c r="A465" s="338" t="s">
        <v>7944</v>
      </c>
      <c r="B465" s="336" t="s">
        <v>6859</v>
      </c>
      <c r="C465" s="431">
        <v>430.19</v>
      </c>
      <c r="D465" s="352">
        <v>3.24</v>
      </c>
      <c r="E465" s="339">
        <v>0.87</v>
      </c>
      <c r="F465" s="431"/>
      <c r="G465" s="431"/>
    </row>
    <row r="466" spans="1:7" s="512" customFormat="1" ht="15">
      <c r="A466" s="338" t="s">
        <v>8464</v>
      </c>
      <c r="B466" s="336" t="s">
        <v>8471</v>
      </c>
      <c r="C466" s="431">
        <v>429.44</v>
      </c>
      <c r="D466" s="352">
        <v>15.38</v>
      </c>
      <c r="E466" s="339">
        <v>4.1399999999999997</v>
      </c>
      <c r="F466" s="431"/>
      <c r="G466" s="431"/>
    </row>
    <row r="467" spans="1:7" s="512" customFormat="1" ht="15">
      <c r="A467" s="338" t="s">
        <v>8064</v>
      </c>
      <c r="B467" s="336" t="s">
        <v>8057</v>
      </c>
      <c r="C467" s="431">
        <v>428.16</v>
      </c>
      <c r="D467" s="352">
        <v>84.33</v>
      </c>
      <c r="E467" s="339">
        <v>22.71</v>
      </c>
      <c r="F467" s="431"/>
      <c r="G467" s="431"/>
    </row>
    <row r="468" spans="1:7" s="512" customFormat="1" ht="15">
      <c r="A468" s="338" t="s">
        <v>8897</v>
      </c>
      <c r="B468" s="336" t="s">
        <v>7203</v>
      </c>
      <c r="C468" s="431">
        <v>427.12</v>
      </c>
      <c r="D468" s="352">
        <v>4.43</v>
      </c>
      <c r="E468" s="339">
        <v>1.19</v>
      </c>
      <c r="F468" s="431"/>
      <c r="G468" s="431"/>
    </row>
    <row r="469" spans="1:7" s="512" customFormat="1" ht="30">
      <c r="A469" s="338" t="s">
        <v>8359</v>
      </c>
      <c r="B469" s="336" t="s">
        <v>8387</v>
      </c>
      <c r="C469" s="431">
        <v>426.15</v>
      </c>
      <c r="D469" s="352">
        <v>67.150000000000006</v>
      </c>
      <c r="E469" s="339">
        <v>18.079999999999998</v>
      </c>
      <c r="F469" s="431"/>
      <c r="G469" s="431"/>
    </row>
    <row r="470" spans="1:7" s="512" customFormat="1" ht="15">
      <c r="A470" s="338" t="s">
        <v>8604</v>
      </c>
      <c r="B470" s="336" t="s">
        <v>8605</v>
      </c>
      <c r="C470" s="431">
        <v>414.4</v>
      </c>
      <c r="D470" s="352">
        <v>81.62</v>
      </c>
      <c r="E470" s="339">
        <v>21.98</v>
      </c>
      <c r="F470" s="431"/>
      <c r="G470" s="431"/>
    </row>
    <row r="471" spans="1:7" s="512" customFormat="1" ht="45">
      <c r="A471" s="338" t="s">
        <v>6998</v>
      </c>
      <c r="B471" s="336" t="s">
        <v>6997</v>
      </c>
      <c r="C471" s="431">
        <v>392.65</v>
      </c>
      <c r="D471" s="352">
        <v>59.49</v>
      </c>
      <c r="E471" s="339">
        <v>16.02</v>
      </c>
      <c r="F471" s="431"/>
      <c r="G471" s="431"/>
    </row>
    <row r="472" spans="1:7" s="512" customFormat="1" ht="30">
      <c r="A472" s="338" t="s">
        <v>8901</v>
      </c>
      <c r="B472" s="336" t="s">
        <v>7207</v>
      </c>
      <c r="C472" s="431">
        <v>392.04</v>
      </c>
      <c r="D472" s="352">
        <v>7.02</v>
      </c>
      <c r="E472" s="339">
        <v>1.89</v>
      </c>
      <c r="F472" s="431"/>
      <c r="G472" s="431"/>
    </row>
    <row r="473" spans="1:7" s="512" customFormat="1" ht="30">
      <c r="A473" s="338" t="s">
        <v>8364</v>
      </c>
      <c r="B473" s="336" t="s">
        <v>8386</v>
      </c>
      <c r="C473" s="431">
        <v>391.98</v>
      </c>
      <c r="D473" s="352">
        <v>102.94</v>
      </c>
      <c r="E473" s="339">
        <v>27.72</v>
      </c>
      <c r="F473" s="431"/>
      <c r="G473" s="431"/>
    </row>
    <row r="474" spans="1:7" s="512" customFormat="1" ht="30">
      <c r="A474" s="338" t="s">
        <v>8365</v>
      </c>
      <c r="B474" s="336" t="s">
        <v>8390</v>
      </c>
      <c r="C474" s="431">
        <v>391.98</v>
      </c>
      <c r="D474" s="352">
        <v>102.94</v>
      </c>
      <c r="E474" s="339">
        <v>27.72</v>
      </c>
      <c r="F474" s="431"/>
      <c r="G474" s="431"/>
    </row>
    <row r="475" spans="1:7" s="512" customFormat="1" ht="30">
      <c r="A475" s="338" t="s">
        <v>8880</v>
      </c>
      <c r="B475" s="336" t="s">
        <v>7186</v>
      </c>
      <c r="C475" s="431">
        <v>391.69</v>
      </c>
      <c r="D475" s="352">
        <v>23.74</v>
      </c>
      <c r="E475" s="339">
        <v>6.39</v>
      </c>
      <c r="F475" s="431"/>
      <c r="G475" s="431"/>
    </row>
    <row r="476" spans="1:7" s="512" customFormat="1" ht="30">
      <c r="A476" s="338" t="s">
        <v>8877</v>
      </c>
      <c r="B476" s="336" t="s">
        <v>7183</v>
      </c>
      <c r="C476" s="431">
        <v>382.35</v>
      </c>
      <c r="D476" s="352">
        <v>20.079999999999998</v>
      </c>
      <c r="E476" s="339">
        <v>5.41</v>
      </c>
      <c r="F476" s="431"/>
      <c r="G476" s="431"/>
    </row>
    <row r="477" spans="1:7" s="512" customFormat="1" ht="30">
      <c r="A477" s="338" t="s">
        <v>8363</v>
      </c>
      <c r="B477" s="336" t="s">
        <v>8389</v>
      </c>
      <c r="C477" s="431">
        <v>380.68</v>
      </c>
      <c r="D477" s="352">
        <v>74.98</v>
      </c>
      <c r="E477" s="339">
        <v>20.190000000000001</v>
      </c>
      <c r="F477" s="431"/>
      <c r="G477" s="431"/>
    </row>
    <row r="478" spans="1:7" s="512" customFormat="1" ht="30">
      <c r="A478" s="338" t="s">
        <v>8221</v>
      </c>
      <c r="B478" s="336" t="s">
        <v>7092</v>
      </c>
      <c r="C478" s="431">
        <v>371.23</v>
      </c>
      <c r="D478" s="352">
        <v>292.47000000000003</v>
      </c>
      <c r="E478" s="339">
        <v>78.760000000000005</v>
      </c>
      <c r="F478" s="431"/>
      <c r="G478" s="431"/>
    </row>
    <row r="479" spans="1:7" s="512" customFormat="1" ht="30">
      <c r="A479" s="338" t="s">
        <v>8168</v>
      </c>
      <c r="B479" s="336" t="s">
        <v>7028</v>
      </c>
      <c r="C479" s="431">
        <v>358.47</v>
      </c>
      <c r="D479" s="352">
        <v>4.4800000000000004</v>
      </c>
      <c r="E479" s="339">
        <v>1.21</v>
      </c>
      <c r="F479" s="431"/>
      <c r="G479" s="431"/>
    </row>
    <row r="480" spans="1:7" s="512" customFormat="1" ht="15">
      <c r="A480" s="338" t="s">
        <v>8504</v>
      </c>
      <c r="B480" s="532" t="s">
        <v>8483</v>
      </c>
      <c r="C480" s="431">
        <v>348.81</v>
      </c>
      <c r="D480" s="352">
        <v>39.26</v>
      </c>
      <c r="E480" s="339">
        <v>10.57</v>
      </c>
      <c r="F480" s="431"/>
      <c r="G480" s="431"/>
    </row>
    <row r="481" spans="1:7" s="512" customFormat="1" ht="30">
      <c r="A481" s="338" t="s">
        <v>8713</v>
      </c>
      <c r="B481" s="336" t="s">
        <v>8707</v>
      </c>
      <c r="C481" s="431">
        <v>346.2</v>
      </c>
      <c r="D481" s="352">
        <v>45.46</v>
      </c>
      <c r="E481" s="339">
        <v>12.24</v>
      </c>
      <c r="F481" s="431"/>
      <c r="G481" s="431"/>
    </row>
    <row r="482" spans="1:7" s="512" customFormat="1" ht="15">
      <c r="A482" s="338" t="s">
        <v>8904</v>
      </c>
      <c r="B482" s="336" t="s">
        <v>7210</v>
      </c>
      <c r="C482" s="431">
        <v>343.56</v>
      </c>
      <c r="D482" s="352">
        <v>9.67</v>
      </c>
      <c r="E482" s="339">
        <v>2.6</v>
      </c>
      <c r="F482" s="431"/>
      <c r="G482" s="431"/>
    </row>
    <row r="483" spans="1:7" s="512" customFormat="1" ht="15">
      <c r="A483" s="338" t="s">
        <v>8551</v>
      </c>
      <c r="B483" s="336" t="s">
        <v>7387</v>
      </c>
      <c r="C483" s="431">
        <v>342.89</v>
      </c>
      <c r="D483" s="352">
        <v>15.89</v>
      </c>
      <c r="E483" s="339">
        <v>4.28</v>
      </c>
      <c r="F483" s="431"/>
      <c r="G483" s="431"/>
    </row>
    <row r="484" spans="1:7" s="512" customFormat="1" ht="30">
      <c r="A484" s="338" t="s">
        <v>8902</v>
      </c>
      <c r="B484" s="336" t="s">
        <v>7208</v>
      </c>
      <c r="C484" s="431">
        <v>336.04</v>
      </c>
      <c r="D484" s="352">
        <v>8.5399999999999991</v>
      </c>
      <c r="E484" s="339">
        <v>2.2999999999999998</v>
      </c>
      <c r="F484" s="431"/>
      <c r="G484" s="431"/>
    </row>
    <row r="485" spans="1:7" s="512" customFormat="1" ht="30">
      <c r="A485" s="338" t="s">
        <v>8734</v>
      </c>
      <c r="B485" s="336" t="s">
        <v>8718</v>
      </c>
      <c r="C485" s="431">
        <v>333.65</v>
      </c>
      <c r="D485" s="352">
        <v>52.57</v>
      </c>
      <c r="E485" s="339">
        <v>14.16</v>
      </c>
      <c r="F485" s="431"/>
      <c r="G485" s="431"/>
    </row>
    <row r="486" spans="1:7" s="512" customFormat="1" ht="30">
      <c r="A486" s="338" t="s">
        <v>8356</v>
      </c>
      <c r="B486" s="336" t="s">
        <v>7268</v>
      </c>
      <c r="C486" s="431">
        <v>317.8</v>
      </c>
      <c r="D486" s="352">
        <v>17.88</v>
      </c>
      <c r="E486" s="339">
        <v>4.82</v>
      </c>
      <c r="F486" s="431"/>
      <c r="G486" s="431"/>
    </row>
    <row r="487" spans="1:7" s="512" customFormat="1" ht="30">
      <c r="A487" s="338" t="s">
        <v>8355</v>
      </c>
      <c r="B487" s="336" t="s">
        <v>7267</v>
      </c>
      <c r="C487" s="431">
        <v>312</v>
      </c>
      <c r="D487" s="352">
        <v>12.29</v>
      </c>
      <c r="E487" s="339">
        <v>3.31</v>
      </c>
      <c r="F487" s="431"/>
      <c r="G487" s="431"/>
    </row>
    <row r="488" spans="1:7" s="512" customFormat="1" ht="15">
      <c r="A488" s="338" t="s">
        <v>8745</v>
      </c>
      <c r="B488" s="336" t="s">
        <v>8723</v>
      </c>
      <c r="C488" s="431">
        <v>310.52</v>
      </c>
      <c r="D488" s="352">
        <v>122.32</v>
      </c>
      <c r="E488" s="339">
        <v>32.94</v>
      </c>
      <c r="F488" s="431"/>
      <c r="G488" s="431"/>
    </row>
    <row r="489" spans="1:7" s="512" customFormat="1" ht="30">
      <c r="A489" s="338" t="s">
        <v>8366</v>
      </c>
      <c r="B489" s="336" t="s">
        <v>8380</v>
      </c>
      <c r="C489" s="431">
        <v>297.38</v>
      </c>
      <c r="D489" s="352">
        <v>117.14</v>
      </c>
      <c r="E489" s="339">
        <v>31.55</v>
      </c>
      <c r="F489" s="431"/>
      <c r="G489" s="431"/>
    </row>
    <row r="490" spans="1:7" s="512" customFormat="1" ht="30">
      <c r="A490" s="338" t="s">
        <v>8410</v>
      </c>
      <c r="B490" s="336" t="s">
        <v>8394</v>
      </c>
      <c r="C490" s="431">
        <v>297.38</v>
      </c>
      <c r="D490" s="352">
        <v>117.14</v>
      </c>
      <c r="E490" s="339">
        <v>31.55</v>
      </c>
      <c r="F490" s="431"/>
      <c r="G490" s="431"/>
    </row>
    <row r="491" spans="1:7" s="512" customFormat="1" ht="15">
      <c r="A491" s="338" t="s">
        <v>8182</v>
      </c>
      <c r="B491" s="336" t="s">
        <v>7052</v>
      </c>
      <c r="C491" s="431">
        <v>296.8</v>
      </c>
      <c r="D491" s="352">
        <v>8.35</v>
      </c>
      <c r="E491" s="339">
        <v>2.25</v>
      </c>
      <c r="F491" s="431"/>
      <c r="G491" s="431"/>
    </row>
    <row r="492" spans="1:7" s="512" customFormat="1" ht="15">
      <c r="A492" s="338" t="s">
        <v>8204</v>
      </c>
      <c r="B492" s="336" t="s">
        <v>7080</v>
      </c>
      <c r="C492" s="431">
        <v>284.72000000000003</v>
      </c>
      <c r="D492" s="352">
        <v>56.08</v>
      </c>
      <c r="E492" s="339">
        <v>15.1</v>
      </c>
      <c r="F492" s="431"/>
      <c r="G492" s="431"/>
    </row>
    <row r="493" spans="1:7" s="512" customFormat="1" ht="15">
      <c r="A493" s="338" t="s">
        <v>8026</v>
      </c>
      <c r="B493" s="336" t="s">
        <v>7999</v>
      </c>
      <c r="C493" s="431">
        <v>283.8</v>
      </c>
      <c r="D493" s="352">
        <v>22.36</v>
      </c>
      <c r="E493" s="339">
        <v>6.02</v>
      </c>
      <c r="F493" s="431"/>
      <c r="G493" s="431"/>
    </row>
    <row r="494" spans="1:7" s="512" customFormat="1" ht="15">
      <c r="A494" s="338" t="s">
        <v>8228</v>
      </c>
      <c r="B494" s="336" t="s">
        <v>8230</v>
      </c>
      <c r="C494" s="431">
        <v>282.36</v>
      </c>
      <c r="D494" s="352">
        <v>17.11</v>
      </c>
      <c r="E494" s="339">
        <v>4.6100000000000003</v>
      </c>
      <c r="F494" s="431"/>
      <c r="G494" s="431"/>
    </row>
    <row r="495" spans="1:7" s="512" customFormat="1" ht="30">
      <c r="A495" s="338" t="s">
        <v>7951</v>
      </c>
      <c r="B495" s="336" t="s">
        <v>6871</v>
      </c>
      <c r="C495" s="431">
        <v>281.66000000000003</v>
      </c>
      <c r="D495" s="352">
        <v>28.45</v>
      </c>
      <c r="E495" s="339">
        <v>7.66</v>
      </c>
      <c r="F495" s="431"/>
      <c r="G495" s="431"/>
    </row>
    <row r="496" spans="1:7" s="512" customFormat="1" ht="15">
      <c r="A496" s="338" t="s">
        <v>8465</v>
      </c>
      <c r="B496" s="336" t="s">
        <v>8458</v>
      </c>
      <c r="C496" s="431">
        <v>278.45999999999998</v>
      </c>
      <c r="D496" s="352">
        <v>12.19</v>
      </c>
      <c r="E496" s="339">
        <v>3.28</v>
      </c>
      <c r="F496" s="431"/>
      <c r="G496" s="431"/>
    </row>
    <row r="497" spans="1:7" s="512" customFormat="1" ht="15">
      <c r="A497" s="338" t="s">
        <v>8576</v>
      </c>
      <c r="B497" s="336" t="s">
        <v>8600</v>
      </c>
      <c r="C497" s="431">
        <v>274.95</v>
      </c>
      <c r="D497" s="352">
        <v>16.66</v>
      </c>
      <c r="E497" s="339">
        <v>4.49</v>
      </c>
      <c r="F497" s="431"/>
      <c r="G497" s="431"/>
    </row>
    <row r="498" spans="1:7" s="512" customFormat="1" ht="30">
      <c r="A498" s="338" t="s">
        <v>8735</v>
      </c>
      <c r="B498" s="336" t="s">
        <v>8726</v>
      </c>
      <c r="C498" s="431">
        <v>272.95</v>
      </c>
      <c r="D498" s="352">
        <v>43.01</v>
      </c>
      <c r="E498" s="339">
        <v>11.58</v>
      </c>
      <c r="F498" s="431"/>
      <c r="G498" s="431"/>
    </row>
    <row r="499" spans="1:7" s="512" customFormat="1" ht="15">
      <c r="A499" s="338" t="s">
        <v>8067</v>
      </c>
      <c r="B499" s="336" t="s">
        <v>9071</v>
      </c>
      <c r="C499" s="431">
        <v>272.3</v>
      </c>
      <c r="D499" s="352">
        <v>107.25999999999999</v>
      </c>
      <c r="E499" s="339">
        <v>28.89</v>
      </c>
      <c r="F499" s="431"/>
      <c r="G499" s="431"/>
    </row>
    <row r="500" spans="1:7" s="512" customFormat="1" ht="15">
      <c r="A500" s="338" t="s">
        <v>8201</v>
      </c>
      <c r="B500" s="336" t="s">
        <v>7077</v>
      </c>
      <c r="C500" s="431">
        <v>266.22000000000003</v>
      </c>
      <c r="D500" s="352">
        <v>12.34</v>
      </c>
      <c r="E500" s="339">
        <v>3.32</v>
      </c>
      <c r="F500" s="431"/>
      <c r="G500" s="431"/>
    </row>
    <row r="501" spans="1:7" s="512" customFormat="1" ht="15">
      <c r="A501" s="338" t="s">
        <v>8348</v>
      </c>
      <c r="B501" s="336" t="s">
        <v>7260</v>
      </c>
      <c r="C501" s="431">
        <v>264.60000000000002</v>
      </c>
      <c r="D501" s="352">
        <v>6.95</v>
      </c>
      <c r="E501" s="339">
        <v>1.87</v>
      </c>
      <c r="F501" s="431"/>
      <c r="G501" s="431"/>
    </row>
    <row r="502" spans="1:7" s="512" customFormat="1" ht="30">
      <c r="A502" s="338" t="s">
        <v>8903</v>
      </c>
      <c r="B502" s="336" t="s">
        <v>7209</v>
      </c>
      <c r="C502" s="431">
        <v>262.92</v>
      </c>
      <c r="D502" s="352">
        <v>17.260000000000002</v>
      </c>
      <c r="E502" s="339">
        <v>4.6500000000000004</v>
      </c>
      <c r="F502" s="431"/>
      <c r="G502" s="431"/>
    </row>
    <row r="503" spans="1:7" s="512" customFormat="1" ht="15">
      <c r="A503" s="338" t="s">
        <v>8884</v>
      </c>
      <c r="B503" s="336" t="s">
        <v>7190</v>
      </c>
      <c r="C503" s="431">
        <v>258.56</v>
      </c>
      <c r="D503" s="352">
        <v>12.73</v>
      </c>
      <c r="E503" s="339">
        <v>3.43</v>
      </c>
      <c r="F503" s="431"/>
      <c r="G503" s="431"/>
    </row>
    <row r="504" spans="1:7" s="512" customFormat="1" ht="30">
      <c r="A504" s="338" t="s">
        <v>8358</v>
      </c>
      <c r="B504" s="336" t="s">
        <v>8383</v>
      </c>
      <c r="C504" s="431">
        <v>255.69</v>
      </c>
      <c r="D504" s="352">
        <v>67.150000000000006</v>
      </c>
      <c r="E504" s="339">
        <v>18.079999999999998</v>
      </c>
      <c r="F504" s="431"/>
      <c r="G504" s="431"/>
    </row>
    <row r="505" spans="1:7" s="512" customFormat="1" ht="30">
      <c r="A505" s="338" t="s">
        <v>8170</v>
      </c>
      <c r="B505" s="336" t="s">
        <v>7030</v>
      </c>
      <c r="C505" s="431">
        <v>252.34</v>
      </c>
      <c r="D505" s="352">
        <v>9.0399999999999991</v>
      </c>
      <c r="E505" s="339">
        <v>2.4300000000000002</v>
      </c>
      <c r="F505" s="431"/>
      <c r="G505" s="431"/>
    </row>
    <row r="506" spans="1:7" s="512" customFormat="1" ht="30">
      <c r="A506" s="338" t="s">
        <v>8891</v>
      </c>
      <c r="B506" s="336" t="s">
        <v>7197</v>
      </c>
      <c r="C506" s="431">
        <v>251.8</v>
      </c>
      <c r="D506" s="352">
        <v>19.84</v>
      </c>
      <c r="E506" s="339">
        <v>5.34</v>
      </c>
      <c r="F506" s="431"/>
      <c r="G506" s="431"/>
    </row>
    <row r="507" spans="1:7" s="512" customFormat="1" ht="30">
      <c r="A507" s="338" t="s">
        <v>8860</v>
      </c>
      <c r="B507" s="336" t="s">
        <v>7149</v>
      </c>
      <c r="C507" s="431">
        <v>251.44</v>
      </c>
      <c r="D507" s="352">
        <v>14.15</v>
      </c>
      <c r="E507" s="339">
        <v>3.81</v>
      </c>
      <c r="F507" s="431"/>
      <c r="G507" s="431"/>
    </row>
    <row r="508" spans="1:7" s="512" customFormat="1" ht="15">
      <c r="A508" s="338" t="s">
        <v>7163</v>
      </c>
      <c r="B508" s="336" t="s">
        <v>7159</v>
      </c>
      <c r="C508" s="431">
        <v>249.18</v>
      </c>
      <c r="D508" s="352">
        <v>56.8</v>
      </c>
      <c r="E508" s="339">
        <v>15.3</v>
      </c>
      <c r="F508" s="431"/>
      <c r="G508" s="431"/>
    </row>
    <row r="509" spans="1:7" s="512" customFormat="1" ht="15">
      <c r="A509" s="338" t="s">
        <v>8599</v>
      </c>
      <c r="B509" s="336" t="s">
        <v>8545</v>
      </c>
      <c r="C509" s="431">
        <v>249</v>
      </c>
      <c r="D509" s="352">
        <v>3.92</v>
      </c>
      <c r="E509" s="339">
        <v>1.06</v>
      </c>
      <c r="F509" s="431"/>
      <c r="G509" s="431"/>
    </row>
    <row r="510" spans="1:7" s="512" customFormat="1" ht="15">
      <c r="A510" s="338" t="s">
        <v>8205</v>
      </c>
      <c r="B510" s="336" t="s">
        <v>7081</v>
      </c>
      <c r="C510" s="431">
        <v>244.86</v>
      </c>
      <c r="D510" s="352">
        <v>9.19</v>
      </c>
      <c r="E510" s="339">
        <v>2.4700000000000002</v>
      </c>
      <c r="F510" s="431"/>
      <c r="G510" s="431"/>
    </row>
    <row r="511" spans="1:7" s="512" customFormat="1" ht="30">
      <c r="A511" s="338" t="s">
        <v>8614</v>
      </c>
      <c r="B511" s="336" t="s">
        <v>8856</v>
      </c>
      <c r="C511" s="431">
        <v>242.83</v>
      </c>
      <c r="D511" s="352">
        <v>191.31</v>
      </c>
      <c r="E511" s="339">
        <v>51.52</v>
      </c>
      <c r="F511" s="431"/>
      <c r="G511" s="431"/>
    </row>
    <row r="512" spans="1:7" s="512" customFormat="1" ht="30">
      <c r="A512" s="338" t="s">
        <v>8710</v>
      </c>
      <c r="B512" s="336" t="s">
        <v>8704</v>
      </c>
      <c r="C512" s="431">
        <v>238.76</v>
      </c>
      <c r="D512" s="352">
        <v>94.05</v>
      </c>
      <c r="E512" s="339">
        <v>25.33</v>
      </c>
      <c r="F512" s="431"/>
      <c r="G512" s="431"/>
    </row>
    <row r="513" spans="1:31" s="512" customFormat="1" ht="15">
      <c r="A513" s="338" t="s">
        <v>8500</v>
      </c>
      <c r="B513" s="532" t="s">
        <v>8478</v>
      </c>
      <c r="C513" s="431">
        <v>233.52</v>
      </c>
      <c r="D513" s="352">
        <v>30.659999999999997</v>
      </c>
      <c r="E513" s="339">
        <v>8.26</v>
      </c>
      <c r="F513" s="431"/>
      <c r="G513" s="431"/>
    </row>
    <row r="514" spans="1:31" s="512" customFormat="1" ht="30">
      <c r="A514" s="338" t="s">
        <v>7154</v>
      </c>
      <c r="B514" s="336" t="s">
        <v>7148</v>
      </c>
      <c r="C514" s="431">
        <v>229.88</v>
      </c>
      <c r="D514" s="352">
        <v>45.28</v>
      </c>
      <c r="E514" s="339">
        <v>12.19</v>
      </c>
      <c r="F514" s="431"/>
      <c r="G514" s="431"/>
    </row>
    <row r="515" spans="1:31" s="512" customFormat="1" ht="30">
      <c r="A515" s="338" t="s">
        <v>8890</v>
      </c>
      <c r="B515" s="336" t="s">
        <v>7196</v>
      </c>
      <c r="C515" s="431">
        <v>227.34</v>
      </c>
      <c r="D515" s="352">
        <v>19.899999999999999</v>
      </c>
      <c r="E515" s="339">
        <v>5.36</v>
      </c>
      <c r="F515" s="431"/>
      <c r="G515" s="431"/>
    </row>
    <row r="516" spans="1:31" s="512" customFormat="1" ht="15">
      <c r="A516" s="338" t="s">
        <v>8350</v>
      </c>
      <c r="B516" s="336" t="s">
        <v>7262</v>
      </c>
      <c r="C516" s="431">
        <v>227</v>
      </c>
      <c r="D516" s="352">
        <v>8.94</v>
      </c>
      <c r="E516" s="339">
        <v>2.41</v>
      </c>
      <c r="F516" s="431"/>
      <c r="G516" s="431"/>
    </row>
    <row r="517" spans="1:31" s="512" customFormat="1" ht="30">
      <c r="A517" s="338" t="s">
        <v>8376</v>
      </c>
      <c r="B517" s="336" t="s">
        <v>7273</v>
      </c>
      <c r="C517" s="431">
        <v>226.65</v>
      </c>
      <c r="D517" s="352">
        <v>178.56</v>
      </c>
      <c r="E517" s="339">
        <v>48.09</v>
      </c>
      <c r="F517" s="431"/>
      <c r="G517" s="431"/>
    </row>
    <row r="518" spans="1:31" s="512" customFormat="1" ht="15">
      <c r="A518" s="338" t="s">
        <v>8174</v>
      </c>
      <c r="B518" s="336" t="s">
        <v>7034</v>
      </c>
      <c r="C518" s="431">
        <v>225.6</v>
      </c>
      <c r="D518" s="352">
        <v>8.89</v>
      </c>
      <c r="E518" s="339">
        <v>2.39</v>
      </c>
      <c r="F518" s="431"/>
      <c r="G518" s="431"/>
    </row>
    <row r="519" spans="1:31" s="512" customFormat="1" ht="15">
      <c r="A519" s="338" t="s">
        <v>8011</v>
      </c>
      <c r="B519" s="336" t="s">
        <v>7990</v>
      </c>
      <c r="C519" s="431">
        <v>224</v>
      </c>
      <c r="D519" s="352">
        <v>0.22</v>
      </c>
      <c r="E519" s="339">
        <v>0.06</v>
      </c>
      <c r="F519" s="431"/>
      <c r="G519" s="431"/>
    </row>
    <row r="520" spans="1:31" s="512" customFormat="1" ht="15">
      <c r="A520" s="338" t="s">
        <v>8234</v>
      </c>
      <c r="B520" s="336" t="s">
        <v>7106</v>
      </c>
      <c r="C520" s="431">
        <v>214.84</v>
      </c>
      <c r="D520" s="352">
        <v>84.63</v>
      </c>
      <c r="E520" s="339">
        <v>22.79</v>
      </c>
      <c r="F520" s="431"/>
      <c r="G520" s="431"/>
    </row>
    <row r="521" spans="1:31" s="512" customFormat="1" ht="15">
      <c r="A521" s="338" t="s">
        <v>8219</v>
      </c>
      <c r="B521" s="336" t="s">
        <v>8236</v>
      </c>
      <c r="C521" s="431">
        <v>212.5</v>
      </c>
      <c r="D521" s="352">
        <v>6.7</v>
      </c>
      <c r="E521" s="339">
        <v>1.8</v>
      </c>
      <c r="F521" s="431"/>
      <c r="G521" s="431"/>
    </row>
    <row r="522" spans="1:31" s="512" customFormat="1" ht="30">
      <c r="A522" s="338" t="s">
        <v>8861</v>
      </c>
      <c r="B522" s="336" t="s">
        <v>7150</v>
      </c>
      <c r="C522" s="431">
        <v>211.42</v>
      </c>
      <c r="D522" s="352">
        <v>15.14</v>
      </c>
      <c r="E522" s="339">
        <v>4.08</v>
      </c>
      <c r="F522" s="431"/>
      <c r="G522" s="431"/>
    </row>
    <row r="523" spans="1:31" s="512" customFormat="1" ht="30">
      <c r="A523" s="338" t="s">
        <v>8166</v>
      </c>
      <c r="B523" s="336" t="s">
        <v>7026</v>
      </c>
      <c r="C523" s="431">
        <v>209.28</v>
      </c>
      <c r="D523" s="352">
        <v>41.22</v>
      </c>
      <c r="E523" s="339">
        <v>11.1</v>
      </c>
      <c r="F523" s="431"/>
      <c r="G523" s="431"/>
    </row>
    <row r="524" spans="1:31" s="512" customFormat="1" ht="30">
      <c r="A524" s="338" t="s">
        <v>8892</v>
      </c>
      <c r="B524" s="336" t="s">
        <v>7198</v>
      </c>
      <c r="C524" s="431">
        <v>204.96</v>
      </c>
      <c r="D524" s="352">
        <v>26.91</v>
      </c>
      <c r="E524" s="339">
        <v>7.25</v>
      </c>
      <c r="F524" s="431"/>
      <c r="G524" s="431"/>
    </row>
    <row r="525" spans="1:31" s="526" customFormat="1" ht="15">
      <c r="A525" s="338" t="s">
        <v>7048</v>
      </c>
      <c r="B525" s="336" t="s">
        <v>7046</v>
      </c>
      <c r="C525" s="431">
        <v>203.28</v>
      </c>
      <c r="D525" s="352">
        <v>3.6399999999999997</v>
      </c>
      <c r="E525" s="339">
        <v>0.98</v>
      </c>
      <c r="F525" s="431"/>
      <c r="G525" s="431"/>
      <c r="H525" s="512"/>
      <c r="I525" s="512"/>
      <c r="J525" s="512"/>
      <c r="K525" s="512"/>
      <c r="L525" s="512"/>
      <c r="M525" s="512"/>
      <c r="N525" s="512"/>
      <c r="O525" s="512"/>
      <c r="P525" s="512"/>
      <c r="Q525" s="512"/>
      <c r="R525" s="512"/>
      <c r="S525" s="512"/>
      <c r="T525" s="512"/>
      <c r="U525" s="512"/>
      <c r="V525" s="512"/>
      <c r="W525" s="512"/>
      <c r="X525" s="512"/>
      <c r="Y525" s="512"/>
      <c r="Z525" s="512"/>
      <c r="AA525" s="512"/>
      <c r="AB525" s="512"/>
      <c r="AC525" s="512"/>
      <c r="AD525" s="512"/>
      <c r="AE525" s="512"/>
    </row>
    <row r="526" spans="1:31" s="526" customFormat="1" ht="30">
      <c r="A526" s="338" t="s">
        <v>15399</v>
      </c>
      <c r="B526" s="336" t="s">
        <v>7062</v>
      </c>
      <c r="C526" s="431">
        <v>200.64</v>
      </c>
      <c r="D526" s="352">
        <v>9.879999999999999</v>
      </c>
      <c r="E526" s="339">
        <v>2.66</v>
      </c>
      <c r="F526" s="431"/>
      <c r="G526" s="431"/>
      <c r="H526" s="512"/>
      <c r="I526" s="512"/>
      <c r="J526" s="512"/>
      <c r="K526" s="512"/>
      <c r="L526" s="512"/>
      <c r="M526" s="512"/>
      <c r="N526" s="512"/>
      <c r="O526" s="512"/>
      <c r="P526" s="512"/>
      <c r="Q526" s="512"/>
      <c r="R526" s="512"/>
      <c r="S526" s="512"/>
      <c r="T526" s="512"/>
      <c r="U526" s="512"/>
      <c r="V526" s="512"/>
      <c r="W526" s="512"/>
      <c r="X526" s="512"/>
      <c r="Y526" s="512"/>
      <c r="Z526" s="512"/>
      <c r="AA526" s="512"/>
      <c r="AB526" s="512"/>
      <c r="AC526" s="512"/>
      <c r="AD526" s="512"/>
      <c r="AE526" s="512"/>
    </row>
    <row r="527" spans="1:31" s="526" customFormat="1" ht="15">
      <c r="A527" s="338" t="s">
        <v>8566</v>
      </c>
      <c r="B527" s="336" t="s">
        <v>8565</v>
      </c>
      <c r="C527" s="431">
        <v>197.52</v>
      </c>
      <c r="D527" s="352">
        <v>19.45</v>
      </c>
      <c r="E527" s="339">
        <v>5.24</v>
      </c>
      <c r="F527" s="431"/>
      <c r="G527" s="431"/>
      <c r="H527" s="512"/>
      <c r="I527" s="512"/>
      <c r="J527" s="512"/>
      <c r="K527" s="512"/>
      <c r="L527" s="512"/>
      <c r="M527" s="512"/>
      <c r="N527" s="512"/>
      <c r="O527" s="512"/>
      <c r="P527" s="512"/>
      <c r="Q527" s="512"/>
      <c r="R527" s="512"/>
      <c r="S527" s="512"/>
      <c r="T527" s="512"/>
      <c r="U527" s="512"/>
      <c r="V527" s="512"/>
      <c r="W527" s="512"/>
      <c r="X527" s="512"/>
      <c r="Y527" s="512"/>
      <c r="Z527" s="512"/>
      <c r="AA527" s="512"/>
      <c r="AB527" s="512"/>
      <c r="AC527" s="512"/>
      <c r="AD527" s="512"/>
      <c r="AE527" s="512"/>
    </row>
    <row r="528" spans="1:31" s="526" customFormat="1" ht="15">
      <c r="A528" s="338" t="s">
        <v>8200</v>
      </c>
      <c r="B528" s="336" t="s">
        <v>7076</v>
      </c>
      <c r="C528" s="431">
        <v>192.36</v>
      </c>
      <c r="D528" s="352">
        <v>12.63</v>
      </c>
      <c r="E528" s="339">
        <v>3.4</v>
      </c>
      <c r="F528" s="431"/>
      <c r="G528" s="431"/>
      <c r="H528" s="512"/>
      <c r="I528" s="512"/>
      <c r="J528" s="512"/>
      <c r="K528" s="512"/>
      <c r="L528" s="512"/>
      <c r="M528" s="512"/>
      <c r="N528" s="512"/>
      <c r="O528" s="512"/>
      <c r="P528" s="512"/>
      <c r="Q528" s="512"/>
      <c r="R528" s="512"/>
      <c r="S528" s="512"/>
      <c r="T528" s="512"/>
      <c r="U528" s="512"/>
      <c r="V528" s="512"/>
      <c r="W528" s="512"/>
      <c r="X528" s="512"/>
      <c r="Y528" s="512"/>
      <c r="Z528" s="512"/>
      <c r="AA528" s="512"/>
      <c r="AB528" s="512"/>
      <c r="AC528" s="512"/>
      <c r="AD528" s="512"/>
      <c r="AE528" s="512"/>
    </row>
    <row r="529" spans="1:31" s="512" customFormat="1" ht="30">
      <c r="A529" s="338" t="s">
        <v>8190</v>
      </c>
      <c r="B529" s="336" t="s">
        <v>7060</v>
      </c>
      <c r="C529" s="431">
        <v>191.7</v>
      </c>
      <c r="D529" s="352">
        <v>15.100000000000001</v>
      </c>
      <c r="E529" s="339">
        <v>4.07</v>
      </c>
      <c r="F529" s="431"/>
      <c r="G529" s="431"/>
    </row>
    <row r="530" spans="1:31" s="526" customFormat="1" ht="15">
      <c r="A530" s="338" t="s">
        <v>8562</v>
      </c>
      <c r="B530" s="336" t="s">
        <v>7241</v>
      </c>
      <c r="C530" s="431">
        <v>188.55</v>
      </c>
      <c r="D530" s="352">
        <v>9.8999999999999986</v>
      </c>
      <c r="E530" s="339">
        <v>2.67</v>
      </c>
      <c r="F530" s="431"/>
      <c r="G530" s="431"/>
      <c r="H530" s="512"/>
      <c r="I530" s="512"/>
      <c r="J530" s="512"/>
      <c r="K530" s="512"/>
      <c r="L530" s="512"/>
      <c r="M530" s="512"/>
      <c r="N530" s="512"/>
      <c r="O530" s="512"/>
      <c r="P530" s="512"/>
      <c r="Q530" s="512"/>
      <c r="R530" s="512"/>
      <c r="S530" s="512"/>
      <c r="T530" s="512"/>
      <c r="U530" s="512"/>
      <c r="V530" s="512"/>
      <c r="W530" s="512"/>
      <c r="X530" s="512"/>
      <c r="Y530" s="512"/>
      <c r="Z530" s="512"/>
      <c r="AA530" s="512"/>
      <c r="AB530" s="512"/>
      <c r="AC530" s="512"/>
      <c r="AD530" s="512"/>
      <c r="AE530" s="512"/>
    </row>
    <row r="531" spans="1:31" s="526" customFormat="1" ht="15">
      <c r="A531" s="338" t="s">
        <v>8608</v>
      </c>
      <c r="B531" s="336" t="s">
        <v>7347</v>
      </c>
      <c r="C531" s="431">
        <v>187.81</v>
      </c>
      <c r="D531" s="352">
        <v>147.96</v>
      </c>
      <c r="E531" s="339">
        <v>39.85</v>
      </c>
      <c r="F531" s="431"/>
      <c r="G531" s="431"/>
      <c r="H531" s="512"/>
      <c r="I531" s="512"/>
      <c r="J531" s="512"/>
      <c r="K531" s="512"/>
      <c r="L531" s="512"/>
      <c r="M531" s="512"/>
      <c r="N531" s="512"/>
      <c r="O531" s="512"/>
      <c r="P531" s="512"/>
      <c r="Q531" s="512"/>
      <c r="R531" s="512"/>
      <c r="S531" s="512"/>
      <c r="T531" s="512"/>
      <c r="U531" s="512"/>
      <c r="V531" s="512"/>
      <c r="W531" s="512"/>
      <c r="X531" s="512"/>
      <c r="Y531" s="512"/>
      <c r="Z531" s="512"/>
      <c r="AA531" s="512"/>
      <c r="AB531" s="512"/>
      <c r="AC531" s="512"/>
      <c r="AD531" s="512"/>
      <c r="AE531" s="512"/>
    </row>
    <row r="532" spans="1:31" s="526" customFormat="1" ht="30">
      <c r="A532" s="338" t="s">
        <v>8878</v>
      </c>
      <c r="B532" s="336" t="s">
        <v>7184</v>
      </c>
      <c r="C532" s="431">
        <v>187.32</v>
      </c>
      <c r="D532" s="352">
        <v>24.6</v>
      </c>
      <c r="E532" s="339">
        <v>6.62</v>
      </c>
      <c r="F532" s="431"/>
      <c r="G532" s="431"/>
      <c r="H532" s="512"/>
      <c r="I532" s="512"/>
      <c r="J532" s="512"/>
      <c r="K532" s="512"/>
      <c r="L532" s="512"/>
      <c r="M532" s="512"/>
      <c r="N532" s="512"/>
      <c r="O532" s="512"/>
      <c r="P532" s="512"/>
      <c r="Q532" s="512"/>
      <c r="R532" s="512"/>
      <c r="S532" s="512"/>
      <c r="T532" s="512"/>
      <c r="U532" s="512"/>
      <c r="V532" s="512"/>
      <c r="W532" s="512"/>
      <c r="X532" s="512"/>
      <c r="Y532" s="512"/>
      <c r="Z532" s="512"/>
      <c r="AA532" s="512"/>
      <c r="AB532" s="512"/>
      <c r="AC532" s="512"/>
      <c r="AD532" s="512"/>
      <c r="AE532" s="512"/>
    </row>
    <row r="533" spans="1:31" s="526" customFormat="1" ht="15">
      <c r="A533" s="338" t="s">
        <v>7135</v>
      </c>
      <c r="B533" s="336" t="s">
        <v>7129</v>
      </c>
      <c r="C533" s="431">
        <v>183.46</v>
      </c>
      <c r="D533" s="352">
        <v>72.27</v>
      </c>
      <c r="E533" s="339">
        <v>19.46</v>
      </c>
      <c r="F533" s="431"/>
      <c r="G533" s="431"/>
      <c r="H533" s="512"/>
      <c r="I533" s="512"/>
      <c r="J533" s="512"/>
      <c r="K533" s="512"/>
      <c r="L533" s="512"/>
      <c r="M533" s="512"/>
      <c r="N533" s="512"/>
      <c r="O533" s="512"/>
      <c r="P533" s="512"/>
      <c r="Q533" s="512"/>
      <c r="R533" s="512"/>
      <c r="S533" s="512"/>
      <c r="T533" s="512"/>
      <c r="U533" s="512"/>
      <c r="V533" s="512"/>
      <c r="W533" s="512"/>
      <c r="X533" s="512"/>
      <c r="Y533" s="512"/>
      <c r="Z533" s="512"/>
      <c r="AA533" s="512"/>
      <c r="AB533" s="512"/>
      <c r="AC533" s="512"/>
      <c r="AD533" s="512"/>
      <c r="AE533" s="512"/>
    </row>
    <row r="534" spans="1:31" s="526" customFormat="1" ht="15">
      <c r="A534" s="338" t="s">
        <v>8444</v>
      </c>
      <c r="B534" s="336" t="s">
        <v>7309</v>
      </c>
      <c r="C534" s="431">
        <v>181.98</v>
      </c>
      <c r="D534" s="352">
        <v>47.79</v>
      </c>
      <c r="E534" s="339">
        <v>12.87</v>
      </c>
      <c r="F534" s="431"/>
      <c r="G534" s="431"/>
      <c r="H534" s="512"/>
      <c r="I534" s="512"/>
      <c r="J534" s="512"/>
      <c r="K534" s="512"/>
      <c r="L534" s="512"/>
      <c r="M534" s="512"/>
      <c r="N534" s="512"/>
      <c r="O534" s="512"/>
      <c r="P534" s="512"/>
      <c r="Q534" s="512"/>
      <c r="R534" s="512"/>
      <c r="S534" s="512"/>
      <c r="T534" s="512"/>
      <c r="U534" s="512"/>
      <c r="V534" s="512"/>
      <c r="W534" s="512"/>
      <c r="X534" s="512"/>
      <c r="Y534" s="512"/>
      <c r="Z534" s="512"/>
      <c r="AA534" s="512"/>
      <c r="AB534" s="512"/>
      <c r="AC534" s="512"/>
      <c r="AD534" s="512"/>
      <c r="AE534" s="512"/>
    </row>
    <row r="535" spans="1:31" s="526" customFormat="1" ht="30">
      <c r="A535" s="338" t="s">
        <v>8192</v>
      </c>
      <c r="B535" s="336" t="s">
        <v>7067</v>
      </c>
      <c r="C535" s="431">
        <v>171.6</v>
      </c>
      <c r="D535" s="352">
        <v>6.76</v>
      </c>
      <c r="E535" s="339">
        <v>1.82</v>
      </c>
      <c r="F535" s="431"/>
      <c r="G535" s="431"/>
      <c r="H535" s="512"/>
      <c r="I535" s="512"/>
      <c r="J535" s="512"/>
      <c r="K535" s="512"/>
      <c r="L535" s="512"/>
      <c r="M535" s="512"/>
      <c r="N535" s="512"/>
      <c r="O535" s="512"/>
      <c r="P535" s="512"/>
      <c r="Q535" s="512"/>
      <c r="R535" s="512"/>
      <c r="S535" s="512"/>
      <c r="T535" s="512"/>
      <c r="U535" s="512"/>
      <c r="V535" s="512"/>
      <c r="W535" s="512"/>
      <c r="X535" s="512"/>
      <c r="Y535" s="512"/>
      <c r="Z535" s="512"/>
      <c r="AA535" s="512"/>
      <c r="AB535" s="512"/>
      <c r="AC535" s="512"/>
      <c r="AD535" s="512"/>
      <c r="AE535" s="512"/>
    </row>
    <row r="536" spans="1:31" s="526" customFormat="1" ht="15">
      <c r="A536" s="338" t="s">
        <v>8554</v>
      </c>
      <c r="B536" s="336" t="s">
        <v>7423</v>
      </c>
      <c r="C536" s="431">
        <v>170.25</v>
      </c>
      <c r="D536" s="352">
        <v>8.94</v>
      </c>
      <c r="E536" s="339">
        <v>2.41</v>
      </c>
      <c r="F536" s="431"/>
      <c r="G536" s="431"/>
      <c r="H536" s="512"/>
      <c r="I536" s="512"/>
      <c r="J536" s="512"/>
      <c r="K536" s="512"/>
      <c r="L536" s="512"/>
      <c r="M536" s="512"/>
      <c r="N536" s="512"/>
      <c r="O536" s="512"/>
      <c r="P536" s="512"/>
      <c r="Q536" s="512"/>
      <c r="R536" s="512"/>
      <c r="S536" s="512"/>
      <c r="T536" s="512"/>
      <c r="U536" s="512"/>
      <c r="V536" s="512"/>
      <c r="W536" s="512"/>
      <c r="X536" s="512"/>
      <c r="Y536" s="512"/>
      <c r="Z536" s="512"/>
      <c r="AA536" s="512"/>
      <c r="AB536" s="512"/>
      <c r="AC536" s="512"/>
      <c r="AD536" s="512"/>
      <c r="AE536" s="512"/>
    </row>
    <row r="537" spans="1:31" s="526" customFormat="1" ht="15">
      <c r="A537" s="338" t="s">
        <v>8496</v>
      </c>
      <c r="B537" s="532" t="s">
        <v>8475</v>
      </c>
      <c r="C537" s="431">
        <v>161.76</v>
      </c>
      <c r="D537" s="352">
        <v>31.86</v>
      </c>
      <c r="E537" s="339">
        <v>8.58</v>
      </c>
      <c r="F537" s="431"/>
      <c r="G537" s="431"/>
      <c r="H537" s="512"/>
      <c r="I537" s="512"/>
      <c r="J537" s="512"/>
      <c r="K537" s="512"/>
      <c r="L537" s="512"/>
      <c r="M537" s="512"/>
      <c r="N537" s="512"/>
      <c r="O537" s="512"/>
      <c r="P537" s="512"/>
      <c r="Q537" s="512"/>
      <c r="R537" s="512"/>
      <c r="S537" s="512"/>
      <c r="T537" s="512"/>
      <c r="U537" s="512"/>
      <c r="V537" s="512"/>
      <c r="W537" s="512"/>
      <c r="X537" s="512"/>
      <c r="Y537" s="512"/>
      <c r="Z537" s="512"/>
      <c r="AA537" s="512"/>
      <c r="AB537" s="512"/>
      <c r="AC537" s="512"/>
      <c r="AD537" s="512"/>
      <c r="AE537" s="512"/>
    </row>
    <row r="538" spans="1:31" s="526" customFormat="1" ht="15">
      <c r="A538" s="338" t="s">
        <v>7391</v>
      </c>
      <c r="B538" s="336" t="s">
        <v>7387</v>
      </c>
      <c r="C538" s="431">
        <v>161.36000000000001</v>
      </c>
      <c r="D538" s="352">
        <v>15.89</v>
      </c>
      <c r="E538" s="339">
        <v>4.28</v>
      </c>
      <c r="F538" s="431"/>
      <c r="G538" s="431"/>
      <c r="H538" s="512"/>
      <c r="I538" s="512"/>
      <c r="J538" s="512"/>
      <c r="K538" s="512"/>
      <c r="L538" s="512"/>
      <c r="M538" s="512"/>
      <c r="N538" s="512"/>
      <c r="O538" s="512"/>
      <c r="P538" s="512"/>
      <c r="Q538" s="512"/>
      <c r="R538" s="512"/>
      <c r="S538" s="512"/>
      <c r="T538" s="512"/>
      <c r="U538" s="512"/>
      <c r="V538" s="512"/>
      <c r="W538" s="512"/>
      <c r="X538" s="512"/>
      <c r="Y538" s="512"/>
      <c r="Z538" s="512"/>
      <c r="AA538" s="512"/>
      <c r="AB538" s="512"/>
      <c r="AC538" s="512"/>
      <c r="AD538" s="512"/>
      <c r="AE538" s="512"/>
    </row>
    <row r="539" spans="1:31" s="526" customFormat="1" ht="30">
      <c r="A539" s="338" t="s">
        <v>8837</v>
      </c>
      <c r="B539" s="336" t="s">
        <v>7107</v>
      </c>
      <c r="C539" s="431">
        <v>160.16</v>
      </c>
      <c r="D539" s="352">
        <v>63.09</v>
      </c>
      <c r="E539" s="339">
        <v>16.989999999999998</v>
      </c>
      <c r="F539" s="431"/>
      <c r="G539" s="431"/>
      <c r="H539" s="512"/>
      <c r="I539" s="512"/>
      <c r="J539" s="512"/>
      <c r="K539" s="512"/>
      <c r="L539" s="512"/>
      <c r="M539" s="512"/>
      <c r="N539" s="512"/>
      <c r="O539" s="512"/>
      <c r="P539" s="512"/>
      <c r="Q539" s="512"/>
      <c r="R539" s="512"/>
      <c r="S539" s="512"/>
      <c r="T539" s="512"/>
      <c r="U539" s="512"/>
      <c r="V539" s="512"/>
      <c r="W539" s="512"/>
      <c r="X539" s="512"/>
      <c r="Y539" s="512"/>
      <c r="Z539" s="512"/>
      <c r="AA539" s="512"/>
      <c r="AB539" s="512"/>
      <c r="AC539" s="512"/>
      <c r="AD539" s="512"/>
      <c r="AE539" s="512"/>
    </row>
    <row r="540" spans="1:31" s="526" customFormat="1" ht="15">
      <c r="A540" s="338" t="s">
        <v>8510</v>
      </c>
      <c r="B540" s="532" t="s">
        <v>8488</v>
      </c>
      <c r="C540" s="431">
        <v>159.47999999999999</v>
      </c>
      <c r="D540" s="352">
        <v>13.96</v>
      </c>
      <c r="E540" s="339">
        <v>3.76</v>
      </c>
      <c r="F540" s="431"/>
      <c r="G540" s="431"/>
      <c r="H540" s="512"/>
      <c r="I540" s="512"/>
      <c r="J540" s="512"/>
      <c r="K540" s="512"/>
      <c r="L540" s="512"/>
      <c r="M540" s="512"/>
      <c r="N540" s="512"/>
      <c r="O540" s="512"/>
      <c r="P540" s="512"/>
      <c r="Q540" s="512"/>
      <c r="R540" s="512"/>
      <c r="S540" s="512"/>
      <c r="T540" s="512"/>
      <c r="U540" s="512"/>
      <c r="V540" s="512"/>
      <c r="W540" s="512"/>
      <c r="X540" s="512"/>
      <c r="Y540" s="512"/>
      <c r="Z540" s="512"/>
      <c r="AA540" s="512"/>
      <c r="AB540" s="512"/>
      <c r="AC540" s="512"/>
      <c r="AD540" s="512"/>
      <c r="AE540" s="512"/>
    </row>
    <row r="541" spans="1:31" s="526" customFormat="1" ht="30">
      <c r="A541" s="338" t="s">
        <v>9556</v>
      </c>
      <c r="B541" s="336" t="s">
        <v>7004</v>
      </c>
      <c r="C541" s="431">
        <v>157.63999999999999</v>
      </c>
      <c r="D541" s="352">
        <v>31.05</v>
      </c>
      <c r="E541" s="339">
        <v>8.36</v>
      </c>
      <c r="F541" s="431"/>
      <c r="G541" s="431"/>
      <c r="H541" s="512"/>
      <c r="I541" s="512"/>
      <c r="J541" s="512"/>
      <c r="K541" s="512"/>
      <c r="L541" s="512"/>
      <c r="M541" s="512"/>
      <c r="N541" s="512"/>
      <c r="O541" s="512"/>
      <c r="P541" s="512"/>
      <c r="Q541" s="512"/>
      <c r="R541" s="512"/>
      <c r="S541" s="512"/>
      <c r="T541" s="512"/>
      <c r="U541" s="512"/>
      <c r="V541" s="512"/>
      <c r="W541" s="512"/>
      <c r="X541" s="512"/>
      <c r="Y541" s="512"/>
      <c r="Z541" s="512"/>
      <c r="AA541" s="512"/>
      <c r="AB541" s="512"/>
      <c r="AC541" s="512"/>
      <c r="AD541" s="512"/>
      <c r="AE541" s="512"/>
    </row>
    <row r="542" spans="1:31" s="512" customFormat="1" ht="30">
      <c r="A542" s="338" t="s">
        <v>8345</v>
      </c>
      <c r="B542" s="336" t="s">
        <v>7257</v>
      </c>
      <c r="C542" s="431">
        <v>153.37</v>
      </c>
      <c r="D542" s="352">
        <v>120.83</v>
      </c>
      <c r="E542" s="339">
        <v>32.54</v>
      </c>
      <c r="F542" s="431"/>
      <c r="G542" s="431"/>
    </row>
    <row r="543" spans="1:31" s="512" customFormat="1" ht="30">
      <c r="A543" s="338" t="s">
        <v>8842</v>
      </c>
      <c r="B543" s="336" t="s">
        <v>7132</v>
      </c>
      <c r="C543" s="431">
        <v>153.34</v>
      </c>
      <c r="D543" s="352">
        <v>120.81</v>
      </c>
      <c r="E543" s="339">
        <v>32.53</v>
      </c>
      <c r="F543" s="431"/>
      <c r="G543" s="431"/>
    </row>
    <row r="544" spans="1:31" s="512" customFormat="1" ht="15">
      <c r="A544" s="338" t="s">
        <v>8513</v>
      </c>
      <c r="B544" s="532" t="s">
        <v>8491</v>
      </c>
      <c r="C544" s="431">
        <v>152.01</v>
      </c>
      <c r="D544" s="352">
        <v>119.76</v>
      </c>
      <c r="E544" s="339">
        <v>32.25</v>
      </c>
      <c r="F544" s="431"/>
      <c r="G544" s="431"/>
    </row>
    <row r="545" spans="1:7" s="512" customFormat="1" ht="15">
      <c r="A545" s="338" t="s">
        <v>8590</v>
      </c>
      <c r="B545" s="532" t="s">
        <v>8483</v>
      </c>
      <c r="C545" s="431">
        <v>149.49</v>
      </c>
      <c r="D545" s="352">
        <v>39.26</v>
      </c>
      <c r="E545" s="339">
        <v>10.57</v>
      </c>
      <c r="F545" s="431"/>
      <c r="G545" s="431"/>
    </row>
    <row r="546" spans="1:7" s="512" customFormat="1" ht="30">
      <c r="A546" s="338" t="s">
        <v>8894</v>
      </c>
      <c r="B546" s="336" t="s">
        <v>7200</v>
      </c>
      <c r="C546" s="431">
        <v>146.24</v>
      </c>
      <c r="D546" s="352">
        <v>14.4</v>
      </c>
      <c r="E546" s="339">
        <v>3.88</v>
      </c>
      <c r="F546" s="431"/>
      <c r="G546" s="431"/>
    </row>
    <row r="547" spans="1:7" s="512" customFormat="1" ht="15">
      <c r="A547" s="338" t="s">
        <v>8501</v>
      </c>
      <c r="B547" s="532" t="s">
        <v>8479</v>
      </c>
      <c r="C547" s="431">
        <v>142.13999999999999</v>
      </c>
      <c r="D547" s="352">
        <v>18.66</v>
      </c>
      <c r="E547" s="339">
        <v>5.03</v>
      </c>
      <c r="F547" s="431"/>
      <c r="G547" s="431"/>
    </row>
    <row r="548" spans="1:7" s="512" customFormat="1" ht="15">
      <c r="A548" s="338" t="s">
        <v>8570</v>
      </c>
      <c r="B548" s="336" t="s">
        <v>8461</v>
      </c>
      <c r="C548" s="431">
        <v>141.15</v>
      </c>
      <c r="D548" s="352">
        <v>7.41</v>
      </c>
      <c r="E548" s="339">
        <v>2</v>
      </c>
      <c r="F548" s="431"/>
      <c r="G548" s="431"/>
    </row>
    <row r="549" spans="1:7" s="512" customFormat="1" ht="15">
      <c r="A549" s="338" t="s">
        <v>8889</v>
      </c>
      <c r="B549" s="336" t="s">
        <v>7195</v>
      </c>
      <c r="C549" s="431">
        <v>139.59</v>
      </c>
      <c r="D549" s="352">
        <v>12.22</v>
      </c>
      <c r="E549" s="339">
        <v>3.29</v>
      </c>
      <c r="F549" s="431"/>
      <c r="G549" s="431"/>
    </row>
    <row r="550" spans="1:7" s="512" customFormat="1" ht="15">
      <c r="A550" s="338" t="s">
        <v>8909</v>
      </c>
      <c r="B550" s="336" t="s">
        <v>7214</v>
      </c>
      <c r="C550" s="431">
        <v>138.54</v>
      </c>
      <c r="D550" s="352">
        <v>18.190000000000001</v>
      </c>
      <c r="E550" s="339">
        <v>4.9000000000000004</v>
      </c>
      <c r="F550" s="431"/>
      <c r="G550" s="431"/>
    </row>
    <row r="551" spans="1:7" s="512" customFormat="1" ht="15">
      <c r="A551" s="338" t="s">
        <v>8494</v>
      </c>
      <c r="B551" s="532" t="s">
        <v>8473</v>
      </c>
      <c r="C551" s="431">
        <v>136.22</v>
      </c>
      <c r="D551" s="352">
        <v>53.66</v>
      </c>
      <c r="E551" s="339">
        <v>14.45</v>
      </c>
      <c r="F551" s="431"/>
      <c r="G551" s="431"/>
    </row>
    <row r="552" spans="1:7" s="512" customFormat="1" ht="15">
      <c r="A552" s="338" t="s">
        <v>8555</v>
      </c>
      <c r="B552" s="336" t="s">
        <v>8577</v>
      </c>
      <c r="C552" s="431">
        <v>133.1</v>
      </c>
      <c r="D552" s="352">
        <v>10.49</v>
      </c>
      <c r="E552" s="339">
        <v>2.82</v>
      </c>
      <c r="F552" s="431"/>
      <c r="G552" s="431"/>
    </row>
    <row r="553" spans="1:7" s="512" customFormat="1" ht="30">
      <c r="A553" s="338" t="s">
        <v>8169</v>
      </c>
      <c r="B553" s="336" t="s">
        <v>7029</v>
      </c>
      <c r="C553" s="431">
        <v>130.19999999999999</v>
      </c>
      <c r="D553" s="352">
        <v>5.13</v>
      </c>
      <c r="E553" s="339">
        <v>1.38</v>
      </c>
      <c r="F553" s="431"/>
      <c r="G553" s="431"/>
    </row>
    <row r="554" spans="1:7" s="512" customFormat="1" ht="15">
      <c r="A554" s="338" t="s">
        <v>8607</v>
      </c>
      <c r="B554" s="336" t="s">
        <v>7346</v>
      </c>
      <c r="C554" s="431">
        <v>128.94999999999999</v>
      </c>
      <c r="D554" s="352">
        <v>101.59</v>
      </c>
      <c r="E554" s="339">
        <v>27.36</v>
      </c>
      <c r="F554" s="431"/>
      <c r="G554" s="431"/>
    </row>
    <row r="555" spans="1:7" s="512" customFormat="1" ht="15">
      <c r="A555" s="338" t="s">
        <v>8185</v>
      </c>
      <c r="B555" s="336" t="s">
        <v>7055</v>
      </c>
      <c r="C555" s="431">
        <v>126.03</v>
      </c>
      <c r="D555" s="352">
        <v>33.1</v>
      </c>
      <c r="E555" s="339">
        <v>8.91</v>
      </c>
      <c r="F555" s="431"/>
      <c r="G555" s="431"/>
    </row>
    <row r="556" spans="1:7" s="512" customFormat="1" ht="15">
      <c r="A556" s="528" t="s">
        <v>8835</v>
      </c>
      <c r="B556" s="336" t="s">
        <v>6996</v>
      </c>
      <c r="C556" s="431">
        <v>124.15</v>
      </c>
      <c r="D556" s="352">
        <v>97.81</v>
      </c>
      <c r="E556" s="339">
        <v>26.34</v>
      </c>
      <c r="F556" s="431"/>
      <c r="G556" s="431"/>
    </row>
    <row r="557" spans="1:7" s="512" customFormat="1" ht="15">
      <c r="A557" s="338" t="s">
        <v>8606</v>
      </c>
      <c r="B557" s="336" t="s">
        <v>7345</v>
      </c>
      <c r="C557" s="431">
        <v>123.6</v>
      </c>
      <c r="D557" s="352">
        <v>97.38</v>
      </c>
      <c r="E557" s="339">
        <v>26.22</v>
      </c>
      <c r="F557" s="431"/>
      <c r="G557" s="431"/>
    </row>
    <row r="558" spans="1:7" s="512" customFormat="1" ht="30">
      <c r="A558" s="338" t="s">
        <v>9338</v>
      </c>
      <c r="B558" s="336" t="s">
        <v>9340</v>
      </c>
      <c r="C558" s="431">
        <v>122.36</v>
      </c>
      <c r="D558" s="352">
        <v>96.4</v>
      </c>
      <c r="E558" s="339">
        <v>25.96</v>
      </c>
      <c r="F558" s="431"/>
      <c r="G558" s="431"/>
    </row>
    <row r="559" spans="1:7" s="512" customFormat="1" ht="30">
      <c r="A559" s="338" t="s">
        <v>8210</v>
      </c>
      <c r="B559" s="336" t="s">
        <v>7085</v>
      </c>
      <c r="C559" s="431">
        <v>119.52</v>
      </c>
      <c r="D559" s="352">
        <v>15.69</v>
      </c>
      <c r="E559" s="339">
        <v>4.2300000000000004</v>
      </c>
      <c r="F559" s="431"/>
      <c r="G559" s="431"/>
    </row>
    <row r="560" spans="1:7" s="512" customFormat="1" ht="15">
      <c r="A560" s="338" t="s">
        <v>8495</v>
      </c>
      <c r="B560" s="532" t="s">
        <v>8474</v>
      </c>
      <c r="C560" s="431">
        <v>118.68</v>
      </c>
      <c r="D560" s="352">
        <v>46.75</v>
      </c>
      <c r="E560" s="339">
        <v>12.59</v>
      </c>
      <c r="F560" s="431"/>
      <c r="G560" s="431"/>
    </row>
    <row r="561" spans="1:7" s="512" customFormat="1" ht="15">
      <c r="A561" s="338" t="s">
        <v>15454</v>
      </c>
      <c r="B561" s="336" t="s">
        <v>15434</v>
      </c>
      <c r="C561" s="431">
        <v>117.75</v>
      </c>
      <c r="D561" s="339">
        <v>30.92</v>
      </c>
      <c r="E561" s="339">
        <v>8.33</v>
      </c>
      <c r="F561" s="431"/>
      <c r="G561" s="431"/>
    </row>
    <row r="562" spans="1:7" s="512" customFormat="1" ht="15">
      <c r="A562" s="338" t="s">
        <v>8206</v>
      </c>
      <c r="B562" s="336" t="s">
        <v>7082</v>
      </c>
      <c r="C562" s="431">
        <v>115.85</v>
      </c>
      <c r="D562" s="352">
        <v>13.04</v>
      </c>
      <c r="E562" s="339">
        <v>3.51</v>
      </c>
      <c r="F562" s="431"/>
      <c r="G562" s="431"/>
    </row>
    <row r="563" spans="1:7" s="512" customFormat="1" ht="15">
      <c r="A563" s="338" t="s">
        <v>8202</v>
      </c>
      <c r="B563" s="336" t="s">
        <v>7078</v>
      </c>
      <c r="C563" s="431">
        <v>113.94</v>
      </c>
      <c r="D563" s="352">
        <v>14.96</v>
      </c>
      <c r="E563" s="339">
        <v>4.03</v>
      </c>
      <c r="F563" s="431"/>
      <c r="G563" s="431"/>
    </row>
    <row r="564" spans="1:7" s="512" customFormat="1" ht="30">
      <c r="A564" s="338" t="s">
        <v>8843</v>
      </c>
      <c r="B564" s="336" t="s">
        <v>7133</v>
      </c>
      <c r="C564" s="431">
        <v>108.26</v>
      </c>
      <c r="D564" s="352">
        <v>85.29</v>
      </c>
      <c r="E564" s="339">
        <v>22.97</v>
      </c>
      <c r="F564" s="431"/>
      <c r="G564" s="431"/>
    </row>
    <row r="565" spans="1:7" s="512" customFormat="1" ht="15">
      <c r="A565" s="338" t="s">
        <v>8885</v>
      </c>
      <c r="B565" s="336" t="s">
        <v>7191</v>
      </c>
      <c r="C565" s="431">
        <v>105.15</v>
      </c>
      <c r="D565" s="352">
        <v>16.57</v>
      </c>
      <c r="E565" s="339">
        <v>4.46</v>
      </c>
      <c r="F565" s="431"/>
      <c r="G565" s="431"/>
    </row>
    <row r="566" spans="1:7" s="512" customFormat="1" ht="30">
      <c r="A566" s="338" t="s">
        <v>8911</v>
      </c>
      <c r="B566" s="336" t="s">
        <v>7283</v>
      </c>
      <c r="C566" s="431">
        <v>103.51</v>
      </c>
      <c r="D566" s="352">
        <v>7.41</v>
      </c>
      <c r="E566" s="339">
        <v>2</v>
      </c>
      <c r="F566" s="431"/>
      <c r="G566" s="431"/>
    </row>
    <row r="567" spans="1:7" s="512" customFormat="1" ht="15">
      <c r="A567" s="338" t="s">
        <v>8183</v>
      </c>
      <c r="B567" s="336" t="s">
        <v>7053</v>
      </c>
      <c r="C567" s="431">
        <v>98.76</v>
      </c>
      <c r="D567" s="352">
        <v>12.97</v>
      </c>
      <c r="E567" s="339">
        <v>3.49</v>
      </c>
      <c r="F567" s="431"/>
      <c r="G567" s="431"/>
    </row>
    <row r="568" spans="1:7" s="512" customFormat="1" ht="15">
      <c r="A568" s="338" t="s">
        <v>8593</v>
      </c>
      <c r="B568" s="532" t="s">
        <v>8493</v>
      </c>
      <c r="C568" s="431">
        <v>95.86</v>
      </c>
      <c r="D568" s="352">
        <v>37.76</v>
      </c>
      <c r="E568" s="339">
        <v>10.17</v>
      </c>
      <c r="F568" s="431"/>
      <c r="G568" s="431"/>
    </row>
    <row r="569" spans="1:7" s="512" customFormat="1" ht="15">
      <c r="A569" s="338" t="s">
        <v>8514</v>
      </c>
      <c r="B569" s="532" t="s">
        <v>8492</v>
      </c>
      <c r="C569" s="431">
        <v>92.23</v>
      </c>
      <c r="D569" s="352">
        <v>72.660000000000011</v>
      </c>
      <c r="E569" s="339">
        <v>19.57</v>
      </c>
      <c r="F569" s="431"/>
      <c r="G569" s="431"/>
    </row>
    <row r="570" spans="1:7" s="512" customFormat="1" ht="15">
      <c r="A570" s="338" t="s">
        <v>8868</v>
      </c>
      <c r="B570" s="336" t="s">
        <v>7174</v>
      </c>
      <c r="C570" s="431">
        <v>88.74</v>
      </c>
      <c r="D570" s="352">
        <v>7.77</v>
      </c>
      <c r="E570" s="339">
        <v>2.09</v>
      </c>
      <c r="F570" s="431"/>
      <c r="G570" s="431"/>
    </row>
    <row r="571" spans="1:7" s="512" customFormat="1" ht="15">
      <c r="A571" s="338" t="s">
        <v>8589</v>
      </c>
      <c r="B571" s="532" t="s">
        <v>8476</v>
      </c>
      <c r="C571" s="431">
        <v>86.22</v>
      </c>
      <c r="D571" s="352">
        <v>33.96</v>
      </c>
      <c r="E571" s="339">
        <v>9.15</v>
      </c>
      <c r="F571" s="431"/>
      <c r="G571" s="431"/>
    </row>
    <row r="572" spans="1:7" s="512" customFormat="1" ht="15">
      <c r="A572" s="338" t="s">
        <v>7153</v>
      </c>
      <c r="B572" s="336" t="s">
        <v>7145</v>
      </c>
      <c r="C572" s="431">
        <v>81.84</v>
      </c>
      <c r="D572" s="352">
        <v>10.75</v>
      </c>
      <c r="E572" s="339">
        <v>2.89</v>
      </c>
      <c r="F572" s="431"/>
      <c r="G572" s="431"/>
    </row>
    <row r="573" spans="1:7" s="512" customFormat="1" ht="15">
      <c r="A573" s="338" t="s">
        <v>8180</v>
      </c>
      <c r="B573" s="336" t="s">
        <v>7050</v>
      </c>
      <c r="C573" s="431">
        <v>81.239999999999995</v>
      </c>
      <c r="D573" s="352">
        <v>32</v>
      </c>
      <c r="E573" s="339">
        <v>8.6199999999999992</v>
      </c>
      <c r="F573" s="431"/>
      <c r="G573" s="431"/>
    </row>
    <row r="574" spans="1:7" s="512" customFormat="1" ht="15">
      <c r="A574" s="338" t="s">
        <v>8567</v>
      </c>
      <c r="B574" s="336" t="s">
        <v>8458</v>
      </c>
      <c r="C574" s="431">
        <v>77.349999999999994</v>
      </c>
      <c r="D574" s="352">
        <v>12.19</v>
      </c>
      <c r="E574" s="339">
        <v>3.28</v>
      </c>
      <c r="F574" s="431"/>
      <c r="G574" s="431"/>
    </row>
    <row r="575" spans="1:7" s="512" customFormat="1" ht="30">
      <c r="A575" s="338" t="s">
        <v>8754</v>
      </c>
      <c r="B575" s="336" t="s">
        <v>8751</v>
      </c>
      <c r="C575" s="431">
        <v>75.84</v>
      </c>
      <c r="D575" s="352">
        <v>14.94</v>
      </c>
      <c r="E575" s="339">
        <v>4.0199999999999996</v>
      </c>
      <c r="F575" s="431"/>
      <c r="G575" s="431"/>
    </row>
    <row r="576" spans="1:7" s="512" customFormat="1" ht="30">
      <c r="A576" s="338" t="s">
        <v>8443</v>
      </c>
      <c r="B576" s="336" t="s">
        <v>8559</v>
      </c>
      <c r="C576" s="431">
        <v>74.16</v>
      </c>
      <c r="D576" s="352">
        <v>7.3</v>
      </c>
      <c r="E576" s="339">
        <v>1.97</v>
      </c>
      <c r="F576" s="431"/>
      <c r="G576" s="431"/>
    </row>
    <row r="577" spans="1:7" s="512" customFormat="1" ht="15">
      <c r="A577" s="338" t="s">
        <v>8912</v>
      </c>
      <c r="B577" s="336" t="s">
        <v>7227</v>
      </c>
      <c r="C577" s="431">
        <v>74.08</v>
      </c>
      <c r="D577" s="352">
        <v>29.18</v>
      </c>
      <c r="E577" s="339">
        <v>7.86</v>
      </c>
      <c r="F577" s="431"/>
      <c r="G577" s="431"/>
    </row>
    <row r="578" spans="1:7" s="512" customFormat="1" ht="45">
      <c r="A578" s="338" t="s">
        <v>8709</v>
      </c>
      <c r="B578" s="336" t="s">
        <v>8703</v>
      </c>
      <c r="C578" s="431">
        <v>73.36</v>
      </c>
      <c r="D578" s="352">
        <v>28.9</v>
      </c>
      <c r="E578" s="339">
        <v>7.78</v>
      </c>
      <c r="F578" s="431"/>
      <c r="G578" s="431"/>
    </row>
    <row r="579" spans="1:7" s="512" customFormat="1" ht="30">
      <c r="A579" s="338" t="s">
        <v>8910</v>
      </c>
      <c r="B579" s="336" t="s">
        <v>7215</v>
      </c>
      <c r="C579" s="431">
        <v>69.36</v>
      </c>
      <c r="D579" s="352">
        <v>13.66</v>
      </c>
      <c r="E579" s="339">
        <v>3.68</v>
      </c>
      <c r="F579" s="431"/>
      <c r="G579" s="431"/>
    </row>
    <row r="580" spans="1:7" s="512" customFormat="1" ht="30">
      <c r="A580" s="338" t="s">
        <v>8188</v>
      </c>
      <c r="B580" s="336" t="s">
        <v>7058</v>
      </c>
      <c r="C580" s="431">
        <v>69.3</v>
      </c>
      <c r="D580" s="352">
        <v>10.92</v>
      </c>
      <c r="E580" s="339">
        <v>2.94</v>
      </c>
      <c r="F580" s="431"/>
      <c r="G580" s="431"/>
    </row>
    <row r="581" spans="1:7" s="512" customFormat="1" ht="15">
      <c r="A581" s="338" t="s">
        <v>8207</v>
      </c>
      <c r="B581" s="336" t="s">
        <v>7083</v>
      </c>
      <c r="C581" s="431">
        <v>68.63</v>
      </c>
      <c r="D581" s="352">
        <v>54.07</v>
      </c>
      <c r="E581" s="339">
        <v>14.56</v>
      </c>
      <c r="F581" s="431"/>
      <c r="G581" s="431"/>
    </row>
    <row r="582" spans="1:7" s="512" customFormat="1" ht="15">
      <c r="A582" s="338" t="s">
        <v>8867</v>
      </c>
      <c r="B582" s="336" t="s">
        <v>7173</v>
      </c>
      <c r="C582" s="431">
        <v>65.599999999999994</v>
      </c>
      <c r="D582" s="352">
        <v>5.17</v>
      </c>
      <c r="E582" s="339">
        <v>1.39</v>
      </c>
      <c r="F582" s="431"/>
      <c r="G582" s="431"/>
    </row>
    <row r="583" spans="1:7" s="512" customFormat="1" ht="30">
      <c r="A583" s="338" t="s">
        <v>9342</v>
      </c>
      <c r="B583" s="336" t="s">
        <v>9344</v>
      </c>
      <c r="C583" s="431">
        <v>64.430000000000007</v>
      </c>
      <c r="D583" s="352">
        <v>50.76</v>
      </c>
      <c r="E583" s="339">
        <v>13.67</v>
      </c>
      <c r="F583" s="431"/>
      <c r="G583" s="431"/>
    </row>
    <row r="584" spans="1:7" s="512" customFormat="1" ht="30">
      <c r="A584" s="338" t="s">
        <v>8879</v>
      </c>
      <c r="B584" s="336" t="s">
        <v>7185</v>
      </c>
      <c r="C584" s="431">
        <v>59.6</v>
      </c>
      <c r="D584" s="352">
        <v>9.39</v>
      </c>
      <c r="E584" s="339">
        <v>2.5299999999999998</v>
      </c>
      <c r="F584" s="431"/>
      <c r="G584" s="431"/>
    </row>
    <row r="585" spans="1:7" s="512" customFormat="1" ht="30">
      <c r="A585" s="338" t="s">
        <v>8907</v>
      </c>
      <c r="B585" s="336" t="s">
        <v>7280</v>
      </c>
      <c r="C585" s="431">
        <v>57.98</v>
      </c>
      <c r="D585" s="352">
        <v>22.84</v>
      </c>
      <c r="E585" s="339">
        <v>6.15</v>
      </c>
      <c r="F585" s="431"/>
      <c r="G585" s="431"/>
    </row>
    <row r="586" spans="1:7" s="512" customFormat="1" ht="15">
      <c r="A586" s="338" t="s">
        <v>8197</v>
      </c>
      <c r="B586" s="336" t="s">
        <v>7072</v>
      </c>
      <c r="C586" s="431">
        <v>57.8</v>
      </c>
      <c r="D586" s="352">
        <v>22.77</v>
      </c>
      <c r="E586" s="339">
        <v>6.13</v>
      </c>
      <c r="F586" s="431"/>
      <c r="G586" s="431"/>
    </row>
    <row r="587" spans="1:7" s="512" customFormat="1" ht="30">
      <c r="A587" s="338" t="s">
        <v>8193</v>
      </c>
      <c r="B587" s="336" t="s">
        <v>7850</v>
      </c>
      <c r="C587" s="431">
        <v>57.19</v>
      </c>
      <c r="D587" s="352">
        <v>6.44</v>
      </c>
      <c r="E587" s="339">
        <v>1.73</v>
      </c>
      <c r="F587" s="431"/>
      <c r="G587" s="431"/>
    </row>
    <row r="588" spans="1:7" s="512" customFormat="1" ht="15">
      <c r="A588" s="338" t="s">
        <v>8869</v>
      </c>
      <c r="B588" s="336" t="s">
        <v>7175</v>
      </c>
      <c r="C588" s="431">
        <v>54.56</v>
      </c>
      <c r="D588" s="352">
        <v>10.75</v>
      </c>
      <c r="E588" s="339">
        <v>2.89</v>
      </c>
      <c r="F588" s="431"/>
      <c r="G588" s="431"/>
    </row>
    <row r="589" spans="1:7" s="512" customFormat="1" ht="15">
      <c r="A589" s="338" t="s">
        <v>8906</v>
      </c>
      <c r="B589" s="336" t="s">
        <v>7212</v>
      </c>
      <c r="C589" s="431">
        <v>54.22</v>
      </c>
      <c r="D589" s="352">
        <v>21.36</v>
      </c>
      <c r="E589" s="339">
        <v>5.75</v>
      </c>
      <c r="F589" s="431"/>
      <c r="G589" s="431"/>
    </row>
    <row r="590" spans="1:7" s="512" customFormat="1" ht="15">
      <c r="A590" s="338" t="s">
        <v>8499</v>
      </c>
      <c r="B590" s="532" t="s">
        <v>8477</v>
      </c>
      <c r="C590" s="431">
        <v>51.61</v>
      </c>
      <c r="D590" s="352">
        <v>40.659999999999997</v>
      </c>
      <c r="E590" s="339">
        <v>10.95</v>
      </c>
      <c r="F590" s="431"/>
      <c r="G590" s="431"/>
    </row>
    <row r="591" spans="1:7" s="512" customFormat="1" ht="30">
      <c r="A591" s="338" t="s">
        <v>8357</v>
      </c>
      <c r="B591" s="336" t="s">
        <v>7269</v>
      </c>
      <c r="C591" s="431">
        <v>50.62</v>
      </c>
      <c r="D591" s="352">
        <v>19.940000000000001</v>
      </c>
      <c r="E591" s="339">
        <v>5.37</v>
      </c>
      <c r="F591" s="431"/>
      <c r="G591" s="431"/>
    </row>
    <row r="592" spans="1:7" s="512" customFormat="1" ht="15">
      <c r="A592" s="338" t="s">
        <v>8172</v>
      </c>
      <c r="B592" s="336" t="s">
        <v>7032</v>
      </c>
      <c r="C592" s="431">
        <v>49.44</v>
      </c>
      <c r="D592" s="352">
        <v>6.49</v>
      </c>
      <c r="E592" s="339">
        <v>1.75</v>
      </c>
      <c r="F592" s="431"/>
      <c r="G592" s="431"/>
    </row>
    <row r="593" spans="1:7" s="512" customFormat="1" ht="15">
      <c r="A593" s="338" t="s">
        <v>8198</v>
      </c>
      <c r="B593" s="336" t="s">
        <v>7073</v>
      </c>
      <c r="C593" s="431">
        <v>48.85</v>
      </c>
      <c r="D593" s="352">
        <v>7.7</v>
      </c>
      <c r="E593" s="339">
        <v>2.0699999999999998</v>
      </c>
      <c r="F593" s="431"/>
      <c r="G593" s="431"/>
    </row>
    <row r="594" spans="1:7" s="512" customFormat="1" ht="15">
      <c r="A594" s="338" t="s">
        <v>8010</v>
      </c>
      <c r="B594" s="336" t="s">
        <v>7989</v>
      </c>
      <c r="C594" s="431">
        <v>48</v>
      </c>
      <c r="D594" s="352">
        <v>0.05</v>
      </c>
      <c r="E594" s="339">
        <v>0.01</v>
      </c>
      <c r="F594" s="431"/>
      <c r="G594" s="431"/>
    </row>
    <row r="595" spans="1:7" s="512" customFormat="1" ht="30">
      <c r="A595" s="338" t="s">
        <v>8196</v>
      </c>
      <c r="B595" s="336" t="s">
        <v>7070</v>
      </c>
      <c r="C595" s="431">
        <v>47.46</v>
      </c>
      <c r="D595" s="352">
        <v>5.34</v>
      </c>
      <c r="E595" s="339">
        <v>1.44</v>
      </c>
      <c r="F595" s="431"/>
      <c r="G595" s="431"/>
    </row>
    <row r="596" spans="1:7" s="512" customFormat="1" ht="15">
      <c r="A596" s="338" t="s">
        <v>7276</v>
      </c>
      <c r="B596" s="336" t="s">
        <v>7277</v>
      </c>
      <c r="C596" s="431">
        <v>46.32</v>
      </c>
      <c r="D596" s="352">
        <v>9.1199999999999992</v>
      </c>
      <c r="E596" s="339">
        <v>2.46</v>
      </c>
      <c r="F596" s="431"/>
      <c r="G596" s="431"/>
    </row>
    <row r="597" spans="1:7" s="512" customFormat="1" ht="30">
      <c r="A597" s="338" t="s">
        <v>8881</v>
      </c>
      <c r="B597" s="336" t="s">
        <v>7187</v>
      </c>
      <c r="C597" s="431">
        <v>43.68</v>
      </c>
      <c r="D597" s="352">
        <v>34.409999999999997</v>
      </c>
      <c r="E597" s="339">
        <v>9.27</v>
      </c>
      <c r="F597" s="431"/>
      <c r="G597" s="431"/>
    </row>
    <row r="598" spans="1:7" s="512" customFormat="1" ht="15">
      <c r="A598" s="338" t="s">
        <v>8175</v>
      </c>
      <c r="B598" s="336" t="s">
        <v>7035</v>
      </c>
      <c r="C598" s="431">
        <v>41.82</v>
      </c>
      <c r="D598" s="352">
        <v>16.47</v>
      </c>
      <c r="E598" s="339">
        <v>4.4400000000000004</v>
      </c>
      <c r="F598" s="431"/>
      <c r="G598" s="431"/>
    </row>
    <row r="599" spans="1:7" s="512" customFormat="1" ht="15">
      <c r="A599" s="338" t="s">
        <v>8506</v>
      </c>
      <c r="B599" s="532" t="s">
        <v>8484</v>
      </c>
      <c r="C599" s="431">
        <v>40.520000000000003</v>
      </c>
      <c r="D599" s="352">
        <v>15.96</v>
      </c>
      <c r="E599" s="339">
        <v>4.3</v>
      </c>
      <c r="F599" s="431"/>
      <c r="G599" s="431"/>
    </row>
    <row r="600" spans="1:7" s="512" customFormat="1" ht="15">
      <c r="A600" s="338" t="s">
        <v>8883</v>
      </c>
      <c r="B600" s="336" t="s">
        <v>7189</v>
      </c>
      <c r="C600" s="431">
        <v>40.4</v>
      </c>
      <c r="D600" s="352">
        <v>7.96</v>
      </c>
      <c r="E600" s="339">
        <v>2.14</v>
      </c>
      <c r="F600" s="431"/>
      <c r="G600" s="431"/>
    </row>
    <row r="601" spans="1:7" s="512" customFormat="1" ht="15">
      <c r="A601" s="338" t="s">
        <v>8870</v>
      </c>
      <c r="B601" s="336" t="s">
        <v>7176</v>
      </c>
      <c r="C601" s="431">
        <v>35.200000000000003</v>
      </c>
      <c r="D601" s="352">
        <v>27.729999999999997</v>
      </c>
      <c r="E601" s="339">
        <v>7.47</v>
      </c>
      <c r="F601" s="431"/>
      <c r="G601" s="431"/>
    </row>
    <row r="602" spans="1:7" s="512" customFormat="1" ht="15">
      <c r="A602" s="338" t="s">
        <v>8178</v>
      </c>
      <c r="B602" s="336" t="s">
        <v>7038</v>
      </c>
      <c r="C602" s="431">
        <v>33.51</v>
      </c>
      <c r="D602" s="352">
        <v>8.8000000000000007</v>
      </c>
      <c r="E602" s="339">
        <v>2.37</v>
      </c>
      <c r="F602" s="431"/>
      <c r="G602" s="431"/>
    </row>
    <row r="603" spans="1:7" s="512" customFormat="1" ht="15">
      <c r="A603" s="338" t="s">
        <v>7087</v>
      </c>
      <c r="B603" s="336" t="s">
        <v>7086</v>
      </c>
      <c r="C603" s="431">
        <v>32.9</v>
      </c>
      <c r="D603" s="352">
        <v>25.92</v>
      </c>
      <c r="E603" s="339">
        <v>6.98</v>
      </c>
      <c r="F603" s="431"/>
      <c r="G603" s="431"/>
    </row>
    <row r="604" spans="1:7" s="512" customFormat="1" ht="30">
      <c r="A604" s="338" t="s">
        <v>8195</v>
      </c>
      <c r="B604" s="336" t="s">
        <v>7069</v>
      </c>
      <c r="C604" s="431">
        <v>30.39</v>
      </c>
      <c r="D604" s="352">
        <v>7.98</v>
      </c>
      <c r="E604" s="339">
        <v>2.15</v>
      </c>
      <c r="F604" s="431"/>
      <c r="G604" s="431"/>
    </row>
    <row r="605" spans="1:7" s="512" customFormat="1" ht="30">
      <c r="A605" s="338" t="s">
        <v>8165</v>
      </c>
      <c r="B605" s="336" t="s">
        <v>7843</v>
      </c>
      <c r="C605" s="431">
        <v>28.52</v>
      </c>
      <c r="D605" s="352">
        <v>22.47</v>
      </c>
      <c r="E605" s="339">
        <v>6.05</v>
      </c>
      <c r="F605" s="431"/>
      <c r="G605" s="431"/>
    </row>
    <row r="606" spans="1:7" s="512" customFormat="1" ht="15">
      <c r="A606" s="338" t="s">
        <v>8187</v>
      </c>
      <c r="B606" s="336" t="s">
        <v>7057</v>
      </c>
      <c r="C606" s="431">
        <v>27.54</v>
      </c>
      <c r="D606" s="352">
        <v>10.85</v>
      </c>
      <c r="E606" s="339">
        <v>2.92</v>
      </c>
      <c r="F606" s="431"/>
      <c r="G606" s="431"/>
    </row>
    <row r="607" spans="1:7" s="512" customFormat="1" ht="15">
      <c r="A607" s="338" t="s">
        <v>8171</v>
      </c>
      <c r="B607" s="336" t="s">
        <v>7031</v>
      </c>
      <c r="C607" s="431">
        <v>21.9</v>
      </c>
      <c r="D607" s="352">
        <v>5.75</v>
      </c>
      <c r="E607" s="339">
        <v>1.55</v>
      </c>
      <c r="F607" s="431"/>
      <c r="G607" s="431"/>
    </row>
    <row r="608" spans="1:7" s="512" customFormat="1" ht="15">
      <c r="A608" s="338" t="s">
        <v>8176</v>
      </c>
      <c r="B608" s="336" t="s">
        <v>7036</v>
      </c>
      <c r="C608" s="431">
        <v>19.72</v>
      </c>
      <c r="D608" s="352">
        <v>7.77</v>
      </c>
      <c r="E608" s="339">
        <v>2.09</v>
      </c>
      <c r="F608" s="431"/>
      <c r="G608" s="431"/>
    </row>
    <row r="609" spans="1:28" s="512" customFormat="1" ht="15">
      <c r="A609" s="338" t="s">
        <v>8173</v>
      </c>
      <c r="B609" s="336" t="s">
        <v>7033</v>
      </c>
      <c r="C609" s="431">
        <v>18.7</v>
      </c>
      <c r="D609" s="352">
        <v>7.370000000000001</v>
      </c>
      <c r="E609" s="339">
        <v>1.98</v>
      </c>
      <c r="F609" s="431"/>
      <c r="G609" s="431"/>
    </row>
    <row r="610" spans="1:28" s="512" customFormat="1" ht="30">
      <c r="A610" s="338" t="s">
        <v>8209</v>
      </c>
      <c r="B610" s="336" t="s">
        <v>7851</v>
      </c>
      <c r="C610" s="431">
        <v>17.28</v>
      </c>
      <c r="D610" s="352">
        <v>13.61</v>
      </c>
      <c r="E610" s="339">
        <v>3.67</v>
      </c>
      <c r="F610" s="431"/>
      <c r="G610" s="431"/>
    </row>
    <row r="611" spans="1:28" s="512" customFormat="1" ht="30">
      <c r="A611" s="338" t="s">
        <v>8876</v>
      </c>
      <c r="B611" s="336" t="s">
        <v>7182</v>
      </c>
      <c r="C611" s="431">
        <v>15.03</v>
      </c>
      <c r="D611" s="352">
        <v>11.84</v>
      </c>
      <c r="E611" s="339">
        <v>3.19</v>
      </c>
      <c r="F611" s="431"/>
      <c r="G611" s="431"/>
    </row>
    <row r="612" spans="1:28" s="512" customFormat="1" ht="15">
      <c r="A612" s="338" t="s">
        <v>8900</v>
      </c>
      <c r="B612" s="336" t="s">
        <v>7206</v>
      </c>
      <c r="C612" s="431">
        <v>14.03</v>
      </c>
      <c r="D612" s="352">
        <v>11.05</v>
      </c>
      <c r="E612" s="339">
        <v>2.98</v>
      </c>
      <c r="F612" s="431"/>
      <c r="G612" s="431"/>
    </row>
    <row r="613" spans="1:28" s="512" customFormat="1" ht="15">
      <c r="A613" s="338" t="s">
        <v>8177</v>
      </c>
      <c r="B613" s="336" t="s">
        <v>7037</v>
      </c>
      <c r="C613" s="431">
        <v>10.18</v>
      </c>
      <c r="D613" s="352">
        <v>8.02</v>
      </c>
      <c r="E613" s="339">
        <v>2.16</v>
      </c>
      <c r="F613" s="431"/>
      <c r="G613" s="431"/>
    </row>
    <row r="614" spans="1:28" s="512" customFormat="1" ht="30">
      <c r="A614" s="338" t="s">
        <v>8194</v>
      </c>
      <c r="B614" s="336" t="s">
        <v>7068</v>
      </c>
      <c r="C614" s="431">
        <v>10</v>
      </c>
      <c r="D614" s="352">
        <v>7.88</v>
      </c>
      <c r="E614" s="339">
        <v>2.12</v>
      </c>
      <c r="F614" s="431"/>
      <c r="G614" s="431"/>
    </row>
    <row r="615" spans="1:28" s="512" customFormat="1" ht="15">
      <c r="A615" s="338" t="s">
        <v>8882</v>
      </c>
      <c r="B615" s="336" t="s">
        <v>7188</v>
      </c>
      <c r="C615" s="431">
        <v>6.69</v>
      </c>
      <c r="D615" s="352">
        <v>5.27</v>
      </c>
      <c r="E615" s="339">
        <v>1.42</v>
      </c>
      <c r="F615" s="431"/>
      <c r="G615" s="431"/>
    </row>
    <row r="616" spans="1:28" s="512" customFormat="1" ht="15">
      <c r="A616" s="338" t="s">
        <v>8179</v>
      </c>
      <c r="B616" s="336" t="s">
        <v>7049</v>
      </c>
      <c r="C616" s="431">
        <v>5.65</v>
      </c>
      <c r="D616" s="352">
        <v>4.45</v>
      </c>
      <c r="E616" s="339">
        <v>1.2</v>
      </c>
      <c r="F616" s="431"/>
      <c r="G616" s="431"/>
    </row>
    <row r="617" spans="1:28" s="512" customFormat="1" ht="15">
      <c r="A617" s="338" t="s">
        <v>8498</v>
      </c>
      <c r="B617" s="532" t="s">
        <v>15440</v>
      </c>
      <c r="C617" s="431">
        <v>0</v>
      </c>
      <c r="D617" s="352"/>
      <c r="E617" s="339">
        <v>0</v>
      </c>
      <c r="F617" s="431"/>
      <c r="G617" s="431"/>
    </row>
    <row r="618" spans="1:28" s="358" customFormat="1" ht="15">
      <c r="A618" s="338"/>
      <c r="B618" s="462"/>
      <c r="C618" s="466"/>
      <c r="D618" s="464"/>
      <c r="E618" s="465"/>
      <c r="F618" s="466"/>
      <c r="G618" s="466"/>
      <c r="H618" s="4"/>
      <c r="I618" s="4"/>
      <c r="J618" s="4"/>
      <c r="K618" s="4"/>
      <c r="L618" s="4"/>
      <c r="M618" s="4"/>
      <c r="N618" s="4"/>
      <c r="O618" s="4"/>
      <c r="P618" s="4"/>
      <c r="Q618" s="4"/>
      <c r="R618" s="4"/>
      <c r="S618" s="4"/>
      <c r="T618" s="4"/>
      <c r="U618" s="4"/>
      <c r="V618" s="4"/>
      <c r="W618" s="4"/>
      <c r="X618" s="4"/>
      <c r="Y618" s="4"/>
      <c r="Z618" s="4"/>
      <c r="AA618" s="4"/>
      <c r="AB618" s="4"/>
    </row>
    <row r="619" spans="1:28" s="358" customFormat="1" ht="15">
      <c r="A619" s="499"/>
      <c r="B619" s="34"/>
      <c r="C619" s="428"/>
      <c r="D619" s="357"/>
      <c r="E619" s="14"/>
      <c r="F619" s="428"/>
      <c r="G619" s="428"/>
      <c r="H619" s="4"/>
      <c r="I619" s="4"/>
      <c r="J619" s="4"/>
      <c r="K619" s="4"/>
      <c r="L619" s="4"/>
      <c r="M619" s="4"/>
      <c r="N619" s="4"/>
      <c r="O619" s="4"/>
      <c r="P619" s="4"/>
      <c r="Q619" s="4"/>
      <c r="R619" s="4"/>
      <c r="S619" s="4"/>
      <c r="T619" s="4"/>
      <c r="U619" s="4"/>
      <c r="V619" s="4"/>
      <c r="W619" s="4"/>
      <c r="X619" s="4"/>
      <c r="Y619" s="4"/>
      <c r="Z619" s="4"/>
      <c r="AA619" s="4"/>
      <c r="AB619" s="4"/>
    </row>
    <row r="620" spans="1:28" s="358" customFormat="1" ht="15">
      <c r="A620" s="499"/>
      <c r="B620" s="496"/>
      <c r="C620" s="429"/>
      <c r="D620" s="347"/>
      <c r="E620" s="141"/>
      <c r="F620" s="429"/>
      <c r="G620" s="429"/>
      <c r="H620" s="4"/>
      <c r="I620" s="4"/>
      <c r="J620" s="4"/>
      <c r="K620" s="4"/>
      <c r="L620" s="4"/>
      <c r="M620" s="4"/>
      <c r="N620" s="4"/>
      <c r="O620" s="4"/>
      <c r="P620" s="4"/>
      <c r="Q620" s="4"/>
      <c r="R620" s="4"/>
      <c r="S620" s="4"/>
      <c r="T620" s="4"/>
      <c r="U620" s="4"/>
      <c r="V620" s="4"/>
      <c r="W620" s="4"/>
      <c r="X620" s="4"/>
      <c r="Y620" s="4"/>
      <c r="Z620" s="4"/>
      <c r="AA620" s="4"/>
      <c r="AB620" s="4"/>
    </row>
    <row r="621" spans="1:28" s="358" customFormat="1" ht="15">
      <c r="A621" s="499"/>
      <c r="B621" s="496"/>
      <c r="C621" s="429"/>
      <c r="D621" s="347"/>
      <c r="E621" s="141"/>
      <c r="F621" s="429"/>
      <c r="G621" s="429"/>
      <c r="H621" s="4"/>
      <c r="I621" s="4"/>
      <c r="J621" s="4"/>
      <c r="K621" s="4"/>
      <c r="L621" s="4"/>
      <c r="M621" s="4"/>
      <c r="N621" s="4"/>
      <c r="O621" s="4"/>
      <c r="P621" s="4"/>
      <c r="Q621" s="4"/>
      <c r="R621" s="4"/>
      <c r="S621" s="4"/>
      <c r="T621" s="4"/>
      <c r="U621" s="4"/>
      <c r="V621" s="4"/>
      <c r="W621" s="4"/>
      <c r="X621" s="4"/>
      <c r="Y621" s="4"/>
      <c r="Z621" s="4"/>
      <c r="AA621" s="4"/>
      <c r="AB621" s="4"/>
    </row>
    <row r="622" spans="1:28" s="358" customFormat="1" ht="15">
      <c r="A622" s="499"/>
      <c r="B622" s="496"/>
      <c r="C622" s="429"/>
      <c r="D622" s="347"/>
      <c r="E622" s="141"/>
      <c r="F622" s="429"/>
      <c r="G622" s="429"/>
      <c r="H622" s="4"/>
      <c r="I622" s="4"/>
      <c r="J622" s="4"/>
      <c r="K622" s="4"/>
      <c r="L622" s="4"/>
      <c r="M622" s="4"/>
      <c r="N622" s="4"/>
      <c r="O622" s="4"/>
      <c r="P622" s="4"/>
      <c r="Q622" s="4"/>
      <c r="R622" s="4"/>
      <c r="S622" s="4"/>
      <c r="T622" s="4"/>
      <c r="U622" s="4"/>
      <c r="V622" s="4"/>
      <c r="W622" s="4"/>
      <c r="X622" s="4"/>
      <c r="Y622" s="4"/>
      <c r="Z622" s="4"/>
      <c r="AA622" s="4"/>
      <c r="AB622" s="4"/>
    </row>
    <row r="623" spans="1:28" s="358" customFormat="1" ht="15">
      <c r="A623" s="499"/>
      <c r="B623" s="496"/>
      <c r="C623" s="429"/>
      <c r="D623" s="347"/>
      <c r="E623" s="141"/>
      <c r="F623" s="429"/>
      <c r="G623" s="429"/>
      <c r="H623" s="4"/>
      <c r="I623" s="4"/>
      <c r="J623" s="4"/>
      <c r="K623" s="4"/>
      <c r="L623" s="4"/>
      <c r="M623" s="4"/>
      <c r="N623" s="4"/>
      <c r="O623" s="4"/>
      <c r="P623" s="4"/>
      <c r="Q623" s="4"/>
      <c r="R623" s="4"/>
      <c r="S623" s="4"/>
      <c r="T623" s="4"/>
      <c r="U623" s="4"/>
      <c r="V623" s="4"/>
      <c r="W623" s="4"/>
      <c r="X623" s="4"/>
      <c r="Y623" s="4"/>
      <c r="Z623" s="4"/>
      <c r="AA623" s="4"/>
      <c r="AB623" s="4"/>
    </row>
    <row r="624" spans="1:28" s="358" customFormat="1" ht="15">
      <c r="A624" s="499"/>
      <c r="B624" s="496"/>
      <c r="C624" s="429"/>
      <c r="D624" s="347"/>
      <c r="E624" s="141"/>
      <c r="F624" s="429"/>
      <c r="G624" s="429"/>
      <c r="H624" s="4"/>
      <c r="I624" s="4"/>
      <c r="J624" s="4"/>
      <c r="K624" s="4"/>
      <c r="L624" s="4"/>
      <c r="M624" s="4"/>
      <c r="N624" s="4"/>
      <c r="O624" s="4"/>
      <c r="P624" s="4"/>
      <c r="Q624" s="4"/>
      <c r="R624" s="4"/>
      <c r="S624" s="4"/>
      <c r="T624" s="4"/>
      <c r="U624" s="4"/>
      <c r="V624" s="4"/>
      <c r="W624" s="4"/>
      <c r="X624" s="4"/>
      <c r="Y624" s="4"/>
      <c r="Z624" s="4"/>
      <c r="AA624" s="4"/>
      <c r="AB624" s="4"/>
    </row>
    <row r="625" spans="1:28" s="358" customFormat="1" ht="15">
      <c r="A625" s="499"/>
      <c r="B625" s="496"/>
      <c r="C625" s="429"/>
      <c r="D625" s="347"/>
      <c r="E625" s="141"/>
      <c r="F625" s="429"/>
      <c r="G625" s="429"/>
      <c r="H625" s="4"/>
      <c r="I625" s="4"/>
      <c r="J625" s="4"/>
      <c r="K625" s="4"/>
      <c r="L625" s="4"/>
      <c r="M625" s="4"/>
      <c r="N625" s="4"/>
      <c r="O625" s="4"/>
      <c r="P625" s="4"/>
      <c r="Q625" s="4"/>
      <c r="R625" s="4"/>
      <c r="S625" s="4"/>
      <c r="T625" s="4"/>
      <c r="U625" s="4"/>
      <c r="V625" s="4"/>
      <c r="W625" s="4"/>
      <c r="X625" s="4"/>
      <c r="Y625" s="4"/>
      <c r="Z625" s="4"/>
      <c r="AA625" s="4"/>
      <c r="AB625" s="4"/>
    </row>
    <row r="626" spans="1:28" s="358" customFormat="1">
      <c r="A626" s="8"/>
      <c r="B626" s="498"/>
      <c r="C626" s="381"/>
      <c r="E626" s="333"/>
      <c r="F626" s="381"/>
      <c r="G626" s="381"/>
      <c r="H626" s="4"/>
      <c r="I626" s="4"/>
      <c r="J626" s="4"/>
      <c r="K626" s="4"/>
      <c r="L626" s="4"/>
      <c r="M626" s="4"/>
      <c r="N626" s="4"/>
      <c r="O626" s="4"/>
      <c r="P626" s="4"/>
      <c r="Q626" s="4"/>
      <c r="R626" s="4"/>
      <c r="S626" s="4"/>
      <c r="T626" s="4"/>
      <c r="U626" s="4"/>
      <c r="V626" s="4"/>
      <c r="W626" s="4"/>
      <c r="X626" s="4"/>
      <c r="Y626" s="4"/>
      <c r="Z626" s="4"/>
      <c r="AA626" s="4"/>
      <c r="AB626" s="4"/>
    </row>
  </sheetData>
  <sheetProtection selectLockedCells="1" selectUnlockedCells="1"/>
  <mergeCells count="5">
    <mergeCell ref="A12:G12"/>
    <mergeCell ref="A2:G2"/>
    <mergeCell ref="A3:G3"/>
    <mergeCell ref="A4:G4"/>
    <mergeCell ref="A7:G7"/>
  </mergeCells>
  <printOptions horizontalCentered="1"/>
  <pageMargins left="0.70866141732283472" right="0.70866141732283472" top="0.39370078740157483" bottom="0.78740157480314965" header="0.19685039370078741" footer="0"/>
  <pageSetup paperSize="9" scale="69" firstPageNumber="5" fitToHeight="0" orientation="portrait" useFirstPageNumber="1" verticalDpi="300" r:id="rId1"/>
  <headerFooter alignWithMargins="0">
    <oddFooter xml:space="preserve">&amp;CEng. Civil Daniele Firme Miranda
CREA: 24.965/D-DF
ART nº 0720190034483
&amp;RPágina &amp;P de 241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6"/>
    <pageSetUpPr fitToPage="1"/>
  </sheetPr>
  <dimension ref="A1:AB149"/>
  <sheetViews>
    <sheetView topLeftCell="I133" zoomScaleNormal="100" zoomScaleSheetLayoutView="85" zoomScalePageLayoutView="70" workbookViewId="0">
      <selection activeCell="N145" sqref="N145"/>
    </sheetView>
  </sheetViews>
  <sheetFormatPr defaultRowHeight="12.75"/>
  <cols>
    <col min="1" max="1" width="13" style="8" customWidth="1"/>
    <col min="2" max="2" width="10.5703125" style="8" customWidth="1"/>
    <col min="3" max="3" width="9.42578125" style="8" customWidth="1"/>
    <col min="4" max="4" width="47.42578125" style="9" customWidth="1"/>
    <col min="5" max="5" width="10.5703125" style="192" bestFit="1" customWidth="1"/>
    <col min="6" max="6" width="9.5703125" style="335" customWidth="1"/>
    <col min="7" max="8" width="13.28515625" style="2" customWidth="1"/>
    <col min="9" max="9" width="15" style="2" customWidth="1"/>
    <col min="10" max="10" width="15" style="436" customWidth="1"/>
    <col min="11" max="11" width="19.140625" style="371" customWidth="1"/>
    <col min="12" max="12" width="19.140625" style="333" customWidth="1"/>
    <col min="13" max="13" width="14.5703125" style="358" customWidth="1"/>
    <col min="14" max="26" width="14.5703125" style="380" customWidth="1"/>
    <col min="27" max="16384" width="9.140625" style="4"/>
  </cols>
  <sheetData>
    <row r="1" spans="1:14">
      <c r="A1" s="595"/>
      <c r="B1" s="595"/>
      <c r="C1" s="595"/>
      <c r="D1" s="596"/>
      <c r="E1" s="597"/>
      <c r="F1" s="598"/>
      <c r="G1" s="333"/>
      <c r="H1" s="333"/>
      <c r="I1" s="333"/>
      <c r="J1" s="381"/>
      <c r="K1" s="382"/>
      <c r="L1" s="383"/>
      <c r="M1" s="378"/>
      <c r="N1" s="378"/>
    </row>
    <row r="2" spans="1:14">
      <c r="A2" s="706" t="s">
        <v>35</v>
      </c>
      <c r="B2" s="706"/>
      <c r="C2" s="706"/>
      <c r="D2" s="706"/>
      <c r="E2" s="706"/>
      <c r="F2" s="706"/>
      <c r="G2" s="706"/>
      <c r="H2" s="706"/>
      <c r="I2" s="706"/>
      <c r="J2" s="706"/>
      <c r="K2" s="384"/>
      <c r="L2" s="17"/>
      <c r="M2" s="500"/>
      <c r="N2" s="379"/>
    </row>
    <row r="3" spans="1:14">
      <c r="A3" s="706" t="s">
        <v>36</v>
      </c>
      <c r="B3" s="706"/>
      <c r="C3" s="706"/>
      <c r="D3" s="706"/>
      <c r="E3" s="706"/>
      <c r="F3" s="706"/>
      <c r="G3" s="706"/>
      <c r="H3" s="706"/>
      <c r="I3" s="706"/>
      <c r="J3" s="706"/>
      <c r="K3" s="384"/>
      <c r="L3" s="17"/>
      <c r="M3" s="500"/>
      <c r="N3" s="379"/>
    </row>
    <row r="4" spans="1:14">
      <c r="A4" s="706" t="s">
        <v>5924</v>
      </c>
      <c r="B4" s="706"/>
      <c r="C4" s="706"/>
      <c r="D4" s="706"/>
      <c r="E4" s="706"/>
      <c r="F4" s="706"/>
      <c r="G4" s="706"/>
      <c r="H4" s="706"/>
      <c r="I4" s="706"/>
      <c r="J4" s="706"/>
      <c r="K4" s="384"/>
      <c r="L4" s="17"/>
      <c r="M4" s="500"/>
      <c r="N4" s="379"/>
    </row>
    <row r="5" spans="1:14">
      <c r="A5" s="599"/>
      <c r="B5" s="599"/>
      <c r="C5" s="599"/>
      <c r="D5" s="600" t="s">
        <v>29</v>
      </c>
      <c r="E5" s="601"/>
      <c r="F5" s="589"/>
      <c r="G5" s="3"/>
      <c r="H5" s="3"/>
      <c r="I5" s="3"/>
      <c r="J5" s="602"/>
      <c r="K5" s="384"/>
      <c r="L5" s="17"/>
      <c r="M5" s="500"/>
      <c r="N5" s="379"/>
    </row>
    <row r="6" spans="1:14">
      <c r="A6" s="599"/>
      <c r="B6" s="599"/>
      <c r="C6" s="599"/>
      <c r="D6" s="600"/>
      <c r="E6" s="601"/>
      <c r="F6" s="603"/>
      <c r="G6" s="333"/>
      <c r="H6" s="333"/>
      <c r="I6" s="333"/>
      <c r="J6" s="381"/>
      <c r="K6" s="382"/>
      <c r="L6" s="383"/>
      <c r="M6" s="378"/>
      <c r="N6" s="378"/>
    </row>
    <row r="7" spans="1:14">
      <c r="A7" s="706" t="s">
        <v>8757</v>
      </c>
      <c r="B7" s="706"/>
      <c r="C7" s="706"/>
      <c r="D7" s="706"/>
      <c r="E7" s="706"/>
      <c r="F7" s="706"/>
      <c r="G7" s="706"/>
      <c r="H7" s="706"/>
      <c r="I7" s="706"/>
      <c r="J7" s="706"/>
      <c r="K7" s="384"/>
      <c r="L7" s="17"/>
      <c r="M7" s="500"/>
      <c r="N7" s="379"/>
    </row>
    <row r="8" spans="1:14">
      <c r="A8" s="599"/>
      <c r="B8" s="599"/>
      <c r="C8" s="599"/>
      <c r="D8" s="600"/>
      <c r="E8" s="601"/>
      <c r="F8" s="589"/>
      <c r="G8" s="3"/>
      <c r="H8" s="3"/>
      <c r="I8" s="3"/>
      <c r="J8" s="602"/>
      <c r="K8" s="384"/>
      <c r="L8" s="17"/>
      <c r="M8" s="500"/>
      <c r="N8" s="379"/>
    </row>
    <row r="9" spans="1:14">
      <c r="A9" s="438" t="s">
        <v>5251</v>
      </c>
      <c r="B9" s="705" t="str">
        <f>'Orç - Canteiro e Adm'!B9:J9</f>
        <v>Construção do edifício UEP-FCE</v>
      </c>
      <c r="C9" s="705"/>
      <c r="D9" s="705"/>
      <c r="E9" s="705"/>
      <c r="F9" s="705"/>
      <c r="G9" s="705"/>
      <c r="H9" s="705"/>
      <c r="I9" s="705"/>
      <c r="J9" s="705"/>
      <c r="K9" s="384"/>
      <c r="L9" s="384"/>
      <c r="M9" s="378"/>
      <c r="N9" s="378"/>
    </row>
    <row r="10" spans="1:14">
      <c r="A10" s="438" t="s">
        <v>131</v>
      </c>
      <c r="B10" s="705" t="str">
        <f>'Orç - Canteiro e Adm'!B10:J10</f>
        <v>QNN 14, Área Especial, Campus UnB Ceilândia, RA IX</v>
      </c>
      <c r="C10" s="705"/>
      <c r="D10" s="705"/>
      <c r="E10" s="705"/>
      <c r="F10" s="705"/>
      <c r="G10" s="705"/>
      <c r="H10" s="705"/>
      <c r="I10" s="705"/>
      <c r="J10" s="705"/>
      <c r="K10" s="384"/>
      <c r="L10" s="384"/>
      <c r="M10" s="378"/>
      <c r="N10" s="378"/>
    </row>
    <row r="11" spans="1:14">
      <c r="A11" s="438" t="s">
        <v>5252</v>
      </c>
      <c r="B11" s="705" t="str">
        <f>'Orç - Canteiro e Adm'!B11:J11</f>
        <v>Agosto de 2019</v>
      </c>
      <c r="C11" s="705"/>
      <c r="D11" s="705"/>
      <c r="E11" s="705"/>
      <c r="F11" s="705"/>
      <c r="G11" s="705"/>
      <c r="H11" s="705"/>
      <c r="I11" s="705"/>
      <c r="J11" s="705"/>
      <c r="K11" s="384"/>
      <c r="L11" s="384"/>
      <c r="M11" s="378"/>
      <c r="N11" s="378"/>
    </row>
    <row r="12" spans="1:14" ht="25.5">
      <c r="A12" s="438" t="s">
        <v>5253</v>
      </c>
      <c r="B12" s="705" t="str">
        <f>'Orç - Canteiro e Adm'!B12:J12</f>
        <v>SINAPI 07/2019; ORSE 06/2019; CPOS 07/2019; SBC 07/2017; SEINFRA 12/2018</v>
      </c>
      <c r="C12" s="705"/>
      <c r="D12" s="705"/>
      <c r="E12" s="705"/>
      <c r="F12" s="705"/>
      <c r="G12" s="705"/>
      <c r="H12" s="705"/>
      <c r="I12" s="705"/>
      <c r="J12" s="705"/>
      <c r="K12" s="382"/>
      <c r="L12" s="383"/>
      <c r="M12" s="378"/>
      <c r="N12" s="378"/>
    </row>
    <row r="13" spans="1:14">
      <c r="A13" s="604" t="s">
        <v>132</v>
      </c>
      <c r="B13" s="605">
        <v>0.26929999999999998</v>
      </c>
      <c r="C13" s="183" t="s">
        <v>5813</v>
      </c>
      <c r="D13" s="183"/>
      <c r="E13" s="187"/>
      <c r="F13" s="183"/>
      <c r="G13" s="183"/>
      <c r="H13" s="183"/>
      <c r="I13" s="183"/>
      <c r="J13" s="349"/>
      <c r="K13" s="382"/>
      <c r="L13" s="383"/>
      <c r="M13" s="378"/>
      <c r="N13" s="378"/>
    </row>
    <row r="14" spans="1:14">
      <c r="A14" s="604"/>
      <c r="B14" s="605">
        <v>0.20930000000000001</v>
      </c>
      <c r="C14" s="183" t="s">
        <v>5814</v>
      </c>
      <c r="D14" s="183"/>
      <c r="E14" s="606"/>
      <c r="F14" s="588"/>
      <c r="G14" s="588"/>
      <c r="H14" s="588"/>
      <c r="I14" s="588"/>
      <c r="J14" s="504"/>
      <c r="K14" s="382"/>
      <c r="L14" s="383"/>
      <c r="M14" s="378"/>
      <c r="N14" s="378"/>
    </row>
    <row r="15" spans="1:14">
      <c r="A15" s="604"/>
      <c r="B15" s="604"/>
      <c r="C15" s="705" t="s">
        <v>5254</v>
      </c>
      <c r="D15" s="705"/>
      <c r="E15" s="705"/>
      <c r="F15" s="705"/>
      <c r="G15" s="705"/>
      <c r="H15" s="705"/>
      <c r="I15" s="705"/>
      <c r="J15" s="705"/>
      <c r="K15" s="382"/>
      <c r="L15" s="383"/>
      <c r="M15" s="378"/>
      <c r="N15" s="378"/>
    </row>
    <row r="16" spans="1:14">
      <c r="A16" s="604"/>
      <c r="B16" s="599"/>
      <c r="C16" s="599"/>
      <c r="D16" s="607"/>
      <c r="E16" s="601"/>
      <c r="F16" s="608"/>
      <c r="G16" s="333"/>
      <c r="H16" s="333"/>
      <c r="I16" s="333"/>
      <c r="J16" s="381"/>
      <c r="K16" s="382"/>
      <c r="L16" s="383"/>
      <c r="M16" s="378"/>
      <c r="N16" s="378"/>
    </row>
    <row r="17" spans="1:26">
      <c r="A17" s="708" t="s">
        <v>5796</v>
      </c>
      <c r="B17" s="708"/>
      <c r="C17" s="708"/>
      <c r="D17" s="708"/>
      <c r="E17" s="708"/>
      <c r="F17" s="708"/>
      <c r="G17" s="708"/>
      <c r="H17" s="708"/>
      <c r="I17" s="708"/>
      <c r="J17" s="708"/>
      <c r="K17" s="384"/>
      <c r="L17" s="17"/>
      <c r="M17" s="26">
        <v>1</v>
      </c>
      <c r="N17" s="26">
        <v>2</v>
      </c>
      <c r="O17" s="26">
        <v>3</v>
      </c>
      <c r="P17" s="26">
        <v>4</v>
      </c>
      <c r="Q17" s="26">
        <v>5</v>
      </c>
      <c r="R17" s="26">
        <v>6</v>
      </c>
      <c r="S17" s="26">
        <v>7</v>
      </c>
      <c r="T17" s="26">
        <v>8</v>
      </c>
      <c r="U17" s="26">
        <v>9</v>
      </c>
      <c r="V17" s="26">
        <v>10</v>
      </c>
      <c r="W17" s="26">
        <v>11</v>
      </c>
      <c r="X17" s="26">
        <v>12</v>
      </c>
      <c r="Y17" s="26">
        <v>13</v>
      </c>
      <c r="Z17" s="26">
        <v>14</v>
      </c>
    </row>
    <row r="18" spans="1:26">
      <c r="A18" s="609" t="s">
        <v>8686</v>
      </c>
      <c r="B18" s="709" t="s">
        <v>8682</v>
      </c>
      <c r="C18" s="710"/>
      <c r="D18" s="710"/>
      <c r="E18" s="710"/>
      <c r="F18" s="710"/>
      <c r="G18" s="710"/>
      <c r="H18" s="710"/>
      <c r="I18" s="710"/>
      <c r="J18" s="710"/>
      <c r="K18" s="533"/>
      <c r="L18" s="533"/>
      <c r="M18" s="506"/>
      <c r="N18" s="507"/>
    </row>
    <row r="19" spans="1:26" s="6" customFormat="1" ht="15">
      <c r="A19" s="610" t="s">
        <v>0</v>
      </c>
      <c r="B19" s="711" t="s">
        <v>5250</v>
      </c>
      <c r="C19" s="712"/>
      <c r="D19" s="611" t="s">
        <v>1</v>
      </c>
      <c r="E19" s="611" t="s">
        <v>134</v>
      </c>
      <c r="F19" s="612" t="s">
        <v>11</v>
      </c>
      <c r="G19" s="613" t="s">
        <v>12</v>
      </c>
      <c r="H19" s="613" t="s">
        <v>6735</v>
      </c>
      <c r="I19" s="613" t="s">
        <v>6736</v>
      </c>
      <c r="J19" s="614" t="s">
        <v>133</v>
      </c>
      <c r="K19" s="534" t="s">
        <v>9264</v>
      </c>
      <c r="L19" s="534" t="s">
        <v>9265</v>
      </c>
      <c r="M19" s="506"/>
      <c r="N19" s="507"/>
      <c r="O19" s="358"/>
      <c r="P19" s="358"/>
      <c r="Q19" s="358"/>
      <c r="R19" s="358"/>
      <c r="S19" s="358"/>
      <c r="T19" s="358"/>
      <c r="U19" s="358"/>
      <c r="V19" s="358"/>
      <c r="W19" s="358"/>
      <c r="X19" s="358"/>
      <c r="Y19" s="358"/>
      <c r="Z19" s="358"/>
    </row>
    <row r="20" spans="1:26" s="6" customFormat="1">
      <c r="A20" s="615" t="s">
        <v>8687</v>
      </c>
      <c r="B20" s="707" t="s">
        <v>8688</v>
      </c>
      <c r="C20" s="707"/>
      <c r="D20" s="707"/>
      <c r="E20" s="707"/>
      <c r="F20" s="707"/>
      <c r="G20" s="707"/>
      <c r="H20" s="707"/>
      <c r="I20" s="707"/>
      <c r="J20" s="707"/>
      <c r="K20" s="371"/>
      <c r="L20" s="333"/>
      <c r="M20" s="358"/>
      <c r="N20" s="380"/>
      <c r="O20" s="358"/>
      <c r="P20" s="358"/>
      <c r="Q20" s="358"/>
      <c r="R20" s="358"/>
      <c r="S20" s="358"/>
      <c r="T20" s="358"/>
      <c r="U20" s="358"/>
      <c r="V20" s="358"/>
      <c r="W20" s="358"/>
      <c r="X20" s="358"/>
      <c r="Y20" s="358"/>
      <c r="Z20" s="358"/>
    </row>
    <row r="21" spans="1:26" s="512" customFormat="1" ht="38.25">
      <c r="A21" s="616" t="s">
        <v>8691</v>
      </c>
      <c r="B21" s="617" t="s">
        <v>6333</v>
      </c>
      <c r="C21" s="617" t="s">
        <v>15574</v>
      </c>
      <c r="D21" s="618" t="s">
        <v>8689</v>
      </c>
      <c r="E21" s="619">
        <f>QuantReservatório!J23</f>
        <v>10</v>
      </c>
      <c r="F21" s="620" t="s">
        <v>6337</v>
      </c>
      <c r="G21" s="621">
        <v>62.16</v>
      </c>
      <c r="H21" s="622">
        <f>ROUND(G21*$B$13,2)</f>
        <v>16.739999999999998</v>
      </c>
      <c r="I21" s="622">
        <f>H21+G21</f>
        <v>78.899999999999991</v>
      </c>
      <c r="J21" s="623">
        <f>ROUND(I21*E21,2)</f>
        <v>789</v>
      </c>
      <c r="K21" s="510">
        <f>ROUND(G21*E21,2)</f>
        <v>621.6</v>
      </c>
      <c r="L21" s="510">
        <f>ROUND(H21*E21,2)</f>
        <v>167.4</v>
      </c>
      <c r="M21" s="511"/>
      <c r="N21" s="511"/>
      <c r="O21" s="520"/>
      <c r="P21" s="519"/>
      <c r="Q21" s="519"/>
      <c r="R21" s="519"/>
      <c r="S21" s="519"/>
      <c r="T21" s="519"/>
      <c r="U21" s="519"/>
      <c r="V21" s="519"/>
      <c r="W21" s="519"/>
      <c r="X21" s="519"/>
      <c r="Y21" s="519"/>
      <c r="Z21" s="519"/>
    </row>
    <row r="22" spans="1:26" s="512" customFormat="1" ht="38.25">
      <c r="A22" s="616" t="s">
        <v>9115</v>
      </c>
      <c r="B22" s="617" t="s">
        <v>6333</v>
      </c>
      <c r="C22" s="617" t="s">
        <v>15575</v>
      </c>
      <c r="D22" s="618" t="s">
        <v>9590</v>
      </c>
      <c r="E22" s="619">
        <f>4*E21</f>
        <v>40</v>
      </c>
      <c r="F22" s="620" t="s">
        <v>6337</v>
      </c>
      <c r="G22" s="621">
        <v>5.43</v>
      </c>
      <c r="H22" s="622">
        <f>ROUND(G22*$B$13,2)</f>
        <v>1.46</v>
      </c>
      <c r="I22" s="622">
        <f>H22+G22</f>
        <v>6.89</v>
      </c>
      <c r="J22" s="623">
        <f>ROUND(I22*E22,2)</f>
        <v>275.60000000000002</v>
      </c>
      <c r="K22" s="510">
        <f>ROUND(G22*E22,2)</f>
        <v>217.2</v>
      </c>
      <c r="L22" s="510">
        <f>ROUND(H22*E22,2)</f>
        <v>58.4</v>
      </c>
      <c r="M22" s="511"/>
      <c r="N22" s="511"/>
      <c r="O22" s="520"/>
      <c r="P22" s="519"/>
      <c r="Q22" s="519"/>
      <c r="R22" s="519"/>
      <c r="S22" s="519"/>
      <c r="T22" s="519"/>
      <c r="U22" s="519"/>
      <c r="V22" s="519"/>
      <c r="W22" s="519"/>
      <c r="X22" s="519"/>
      <c r="Y22" s="519"/>
      <c r="Z22" s="519"/>
    </row>
    <row r="23" spans="1:26" s="6" customFormat="1">
      <c r="A23" s="713" t="s">
        <v>8699</v>
      </c>
      <c r="B23" s="713"/>
      <c r="C23" s="713"/>
      <c r="D23" s="713"/>
      <c r="E23" s="713"/>
      <c r="F23" s="713"/>
      <c r="G23" s="713"/>
      <c r="H23" s="713"/>
      <c r="I23" s="713"/>
      <c r="J23" s="624">
        <f>SUM(J20:J22)</f>
        <v>1064.5999999999999</v>
      </c>
      <c r="K23" s="371"/>
      <c r="L23" s="333"/>
      <c r="M23" s="381"/>
      <c r="N23" s="380"/>
      <c r="O23" s="358"/>
      <c r="P23" s="358"/>
      <c r="Q23" s="358"/>
      <c r="R23" s="358"/>
      <c r="S23" s="358"/>
      <c r="T23" s="358"/>
      <c r="U23" s="358"/>
      <c r="V23" s="358"/>
      <c r="W23" s="358"/>
      <c r="X23" s="358"/>
      <c r="Y23" s="358"/>
      <c r="Z23" s="358"/>
    </row>
    <row r="24" spans="1:26" s="6" customFormat="1">
      <c r="A24" s="625"/>
      <c r="B24" s="625"/>
      <c r="C24" s="625"/>
      <c r="D24" s="625"/>
      <c r="E24" s="626"/>
      <c r="F24" s="625"/>
      <c r="G24" s="625"/>
      <c r="H24" s="627"/>
      <c r="I24" s="627"/>
      <c r="J24" s="628"/>
      <c r="K24" s="371"/>
      <c r="L24" s="333"/>
      <c r="M24" s="358"/>
      <c r="N24" s="380"/>
      <c r="O24" s="358"/>
      <c r="P24" s="358"/>
      <c r="Q24" s="358"/>
      <c r="R24" s="358"/>
      <c r="S24" s="358"/>
      <c r="T24" s="358"/>
      <c r="U24" s="358"/>
      <c r="V24" s="358"/>
      <c r="W24" s="358"/>
      <c r="X24" s="358"/>
      <c r="Y24" s="358"/>
      <c r="Z24" s="358"/>
    </row>
    <row r="25" spans="1:26">
      <c r="A25" s="714" t="s">
        <v>8698</v>
      </c>
      <c r="B25" s="714"/>
      <c r="C25" s="714"/>
      <c r="D25" s="714"/>
      <c r="E25" s="714"/>
      <c r="F25" s="714"/>
      <c r="G25" s="714"/>
      <c r="H25" s="714"/>
      <c r="I25" s="714"/>
      <c r="J25" s="629">
        <f>J23</f>
        <v>1064.5999999999999</v>
      </c>
    </row>
    <row r="26" spans="1:26" s="6" customFormat="1">
      <c r="A26" s="616"/>
      <c r="B26" s="617"/>
      <c r="C26" s="617"/>
      <c r="D26" s="618"/>
      <c r="E26" s="619"/>
      <c r="F26" s="620"/>
      <c r="G26" s="630"/>
      <c r="H26" s="630"/>
      <c r="I26" s="630"/>
      <c r="J26" s="631"/>
      <c r="K26" s="371"/>
      <c r="L26" s="333"/>
      <c r="M26" s="358"/>
      <c r="N26" s="380"/>
      <c r="O26" s="358"/>
      <c r="P26" s="358"/>
      <c r="Q26" s="358"/>
      <c r="R26" s="358"/>
      <c r="S26" s="358"/>
      <c r="T26" s="358"/>
      <c r="U26" s="358"/>
      <c r="V26" s="358"/>
      <c r="W26" s="358"/>
      <c r="X26" s="358"/>
      <c r="Y26" s="358"/>
      <c r="Z26" s="358"/>
    </row>
    <row r="27" spans="1:26">
      <c r="A27" s="609" t="s">
        <v>2</v>
      </c>
      <c r="B27" s="709" t="s">
        <v>8</v>
      </c>
      <c r="C27" s="710"/>
      <c r="D27" s="710"/>
      <c r="E27" s="710"/>
      <c r="F27" s="710"/>
      <c r="G27" s="710"/>
      <c r="H27" s="710"/>
      <c r="I27" s="710"/>
      <c r="J27" s="710"/>
      <c r="K27" s="533"/>
      <c r="L27" s="533"/>
      <c r="M27" s="506"/>
      <c r="N27" s="507"/>
    </row>
    <row r="28" spans="1:26" s="6" customFormat="1">
      <c r="A28" s="610" t="s">
        <v>0</v>
      </c>
      <c r="B28" s="711" t="s">
        <v>5250</v>
      </c>
      <c r="C28" s="712"/>
      <c r="D28" s="611" t="s">
        <v>1</v>
      </c>
      <c r="E28" s="611" t="s">
        <v>134</v>
      </c>
      <c r="F28" s="612" t="s">
        <v>11</v>
      </c>
      <c r="G28" s="613" t="s">
        <v>12</v>
      </c>
      <c r="H28" s="613" t="s">
        <v>6735</v>
      </c>
      <c r="I28" s="613" t="s">
        <v>6736</v>
      </c>
      <c r="J28" s="614" t="s">
        <v>133</v>
      </c>
      <c r="K28" s="533"/>
      <c r="L28" s="533"/>
      <c r="M28" s="506"/>
      <c r="N28" s="507"/>
      <c r="O28" s="358"/>
      <c r="P28" s="358"/>
      <c r="Q28" s="358"/>
      <c r="R28" s="358"/>
      <c r="S28" s="358"/>
      <c r="T28" s="358"/>
      <c r="U28" s="358"/>
      <c r="V28" s="358"/>
      <c r="W28" s="358"/>
      <c r="X28" s="358"/>
      <c r="Y28" s="358"/>
      <c r="Z28" s="358"/>
    </row>
    <row r="29" spans="1:26" s="6" customFormat="1">
      <c r="A29" s="615" t="s">
        <v>6733</v>
      </c>
      <c r="B29" s="707" t="s">
        <v>6734</v>
      </c>
      <c r="C29" s="707"/>
      <c r="D29" s="707"/>
      <c r="E29" s="707"/>
      <c r="F29" s="707"/>
      <c r="G29" s="707"/>
      <c r="H29" s="707"/>
      <c r="I29" s="707"/>
      <c r="J29" s="707"/>
      <c r="K29" s="371"/>
      <c r="L29" s="333"/>
      <c r="M29" s="358"/>
      <c r="N29" s="380"/>
      <c r="O29" s="358"/>
      <c r="P29" s="358"/>
      <c r="Q29" s="358"/>
      <c r="R29" s="358"/>
      <c r="S29" s="358"/>
      <c r="T29" s="358"/>
      <c r="U29" s="358"/>
      <c r="V29" s="358"/>
      <c r="W29" s="358"/>
      <c r="X29" s="358"/>
      <c r="Y29" s="358"/>
      <c r="Z29" s="358"/>
    </row>
    <row r="30" spans="1:26" s="512" customFormat="1" ht="38.25">
      <c r="A30" s="616" t="s">
        <v>5927</v>
      </c>
      <c r="B30" s="617" t="s">
        <v>5256</v>
      </c>
      <c r="C30" s="617">
        <v>99059</v>
      </c>
      <c r="D30" s="618" t="s">
        <v>8980</v>
      </c>
      <c r="E30" s="619">
        <f>QuantReservatório!J30</f>
        <v>41.96</v>
      </c>
      <c r="F30" s="620" t="s">
        <v>6339</v>
      </c>
      <c r="G30" s="622">
        <v>29.86</v>
      </c>
      <c r="H30" s="622">
        <f>ROUND(G30*$B$13,2)</f>
        <v>8.0399999999999991</v>
      </c>
      <c r="I30" s="622">
        <f>H30+G30</f>
        <v>37.9</v>
      </c>
      <c r="J30" s="623">
        <f>ROUND(I30*E30,2)</f>
        <v>1590.28</v>
      </c>
      <c r="K30" s="537">
        <f>ROUND(G30*E30,2)</f>
        <v>1252.93</v>
      </c>
      <c r="L30" s="538">
        <f>ROUND(H30*E30,2)</f>
        <v>337.36</v>
      </c>
      <c r="M30" s="511"/>
      <c r="N30" s="520">
        <f>J30</f>
        <v>1590.28</v>
      </c>
      <c r="O30" s="519"/>
      <c r="P30" s="519"/>
      <c r="Q30" s="519"/>
      <c r="R30" s="519"/>
      <c r="S30" s="519"/>
      <c r="T30" s="519"/>
      <c r="U30" s="519"/>
      <c r="V30" s="519"/>
      <c r="W30" s="519"/>
      <c r="X30" s="519"/>
      <c r="Y30" s="519"/>
      <c r="Z30" s="519"/>
    </row>
    <row r="31" spans="1:26" s="6" customFormat="1" ht="15">
      <c r="A31" s="713" t="s">
        <v>6738</v>
      </c>
      <c r="B31" s="713"/>
      <c r="C31" s="713"/>
      <c r="D31" s="713"/>
      <c r="E31" s="713"/>
      <c r="F31" s="713"/>
      <c r="G31" s="713"/>
      <c r="H31" s="713"/>
      <c r="I31" s="713"/>
      <c r="J31" s="624">
        <f>SUM(J29:J30)</f>
        <v>1590.28</v>
      </c>
      <c r="K31" s="371"/>
      <c r="L31" s="333"/>
      <c r="M31" s="514">
        <f>SUM(M29:M30)</f>
        <v>0</v>
      </c>
      <c r="N31" s="514">
        <f>SUM(N29:N30)</f>
        <v>1590.28</v>
      </c>
      <c r="O31" s="514">
        <f>SUM(O29:O30)</f>
        <v>0</v>
      </c>
      <c r="P31" s="514">
        <f t="shared" ref="P31:Z31" si="0">SUM(P29:P30)</f>
        <v>0</v>
      </c>
      <c r="Q31" s="514">
        <f t="shared" si="0"/>
        <v>0</v>
      </c>
      <c r="R31" s="514">
        <f t="shared" si="0"/>
        <v>0</v>
      </c>
      <c r="S31" s="514">
        <f t="shared" si="0"/>
        <v>0</v>
      </c>
      <c r="T31" s="514">
        <f t="shared" si="0"/>
        <v>0</v>
      </c>
      <c r="U31" s="514">
        <f t="shared" si="0"/>
        <v>0</v>
      </c>
      <c r="V31" s="514">
        <f t="shared" si="0"/>
        <v>0</v>
      </c>
      <c r="W31" s="514">
        <f t="shared" si="0"/>
        <v>0</v>
      </c>
      <c r="X31" s="514">
        <f t="shared" si="0"/>
        <v>0</v>
      </c>
      <c r="Y31" s="514">
        <f t="shared" si="0"/>
        <v>0</v>
      </c>
      <c r="Z31" s="514">
        <f t="shared" si="0"/>
        <v>0</v>
      </c>
    </row>
    <row r="32" spans="1:26" s="6" customFormat="1">
      <c r="A32" s="625"/>
      <c r="B32" s="625"/>
      <c r="C32" s="625"/>
      <c r="D32" s="625"/>
      <c r="E32" s="626"/>
      <c r="F32" s="625"/>
      <c r="G32" s="625"/>
      <c r="H32" s="627"/>
      <c r="I32" s="627"/>
      <c r="J32" s="628"/>
      <c r="K32" s="371"/>
      <c r="L32" s="333"/>
      <c r="M32" s="358"/>
      <c r="N32" s="380"/>
      <c r="O32" s="358"/>
      <c r="P32" s="358"/>
      <c r="Q32" s="358"/>
      <c r="R32" s="358"/>
      <c r="S32" s="358"/>
      <c r="T32" s="358"/>
      <c r="U32" s="358"/>
      <c r="V32" s="358"/>
      <c r="W32" s="358"/>
      <c r="X32" s="358"/>
      <c r="Y32" s="358"/>
      <c r="Z32" s="358"/>
    </row>
    <row r="33" spans="1:26" s="6" customFormat="1">
      <c r="A33" s="615" t="s">
        <v>5922</v>
      </c>
      <c r="B33" s="707" t="s">
        <v>5923</v>
      </c>
      <c r="C33" s="707"/>
      <c r="D33" s="707"/>
      <c r="E33" s="707"/>
      <c r="F33" s="707"/>
      <c r="G33" s="707"/>
      <c r="H33" s="707"/>
      <c r="I33" s="707"/>
      <c r="J33" s="707"/>
      <c r="K33" s="371"/>
      <c r="L33" s="333"/>
      <c r="M33" s="358"/>
      <c r="N33" s="380"/>
      <c r="O33" s="358"/>
      <c r="P33" s="358"/>
      <c r="Q33" s="358"/>
      <c r="R33" s="358"/>
      <c r="S33" s="358"/>
      <c r="T33" s="358"/>
      <c r="U33" s="358"/>
      <c r="V33" s="358"/>
      <c r="W33" s="358"/>
      <c r="X33" s="358"/>
      <c r="Y33" s="358"/>
      <c r="Z33" s="358"/>
    </row>
    <row r="34" spans="1:26" s="512" customFormat="1">
      <c r="A34" s="616" t="s">
        <v>8800</v>
      </c>
      <c r="B34" s="617" t="s">
        <v>5256</v>
      </c>
      <c r="C34" s="617">
        <v>90102</v>
      </c>
      <c r="D34" s="618" t="s">
        <v>8801</v>
      </c>
      <c r="E34" s="619">
        <f>QuantReservatório!K37</f>
        <v>204.8</v>
      </c>
      <c r="F34" s="620" t="s">
        <v>6741</v>
      </c>
      <c r="G34" s="622">
        <v>6.33</v>
      </c>
      <c r="H34" s="622">
        <f>ROUND(G34*$B$13,2)</f>
        <v>1.7</v>
      </c>
      <c r="I34" s="622">
        <f>H34+G34</f>
        <v>8.0299999999999994</v>
      </c>
      <c r="J34" s="623">
        <f>ROUND(I34*E34,2)</f>
        <v>1644.54</v>
      </c>
      <c r="K34" s="537">
        <f>ROUND(G34*E34,2)</f>
        <v>1296.3800000000001</v>
      </c>
      <c r="L34" s="538">
        <f>ROUND(H34*E34,2)</f>
        <v>348.16</v>
      </c>
      <c r="M34" s="511"/>
      <c r="N34" s="520">
        <f>J34</f>
        <v>1644.54</v>
      </c>
      <c r="O34" s="519"/>
      <c r="P34" s="519"/>
      <c r="Q34" s="519"/>
      <c r="R34" s="519"/>
      <c r="S34" s="519"/>
      <c r="T34" s="519"/>
      <c r="U34" s="519"/>
      <c r="V34" s="519"/>
      <c r="W34" s="519"/>
      <c r="X34" s="519"/>
      <c r="Y34" s="519"/>
      <c r="Z34" s="519"/>
    </row>
    <row r="35" spans="1:26" s="6" customFormat="1" ht="15">
      <c r="A35" s="713" t="s">
        <v>6738</v>
      </c>
      <c r="B35" s="713"/>
      <c r="C35" s="713"/>
      <c r="D35" s="713"/>
      <c r="E35" s="713"/>
      <c r="F35" s="713"/>
      <c r="G35" s="713"/>
      <c r="H35" s="713"/>
      <c r="I35" s="713"/>
      <c r="J35" s="624">
        <f>SUM(J33:J34)</f>
        <v>1644.54</v>
      </c>
      <c r="K35" s="371"/>
      <c r="L35" s="333"/>
      <c r="M35" s="514">
        <f>SUM(M33:M34)</f>
        <v>0</v>
      </c>
      <c r="N35" s="514">
        <f t="shared" ref="N35:Z35" si="1">SUM(N33:N34)</f>
        <v>1644.54</v>
      </c>
      <c r="O35" s="514">
        <f t="shared" si="1"/>
        <v>0</v>
      </c>
      <c r="P35" s="514">
        <f t="shared" si="1"/>
        <v>0</v>
      </c>
      <c r="Q35" s="514">
        <f t="shared" si="1"/>
        <v>0</v>
      </c>
      <c r="R35" s="514">
        <f t="shared" si="1"/>
        <v>0</v>
      </c>
      <c r="S35" s="514">
        <f t="shared" si="1"/>
        <v>0</v>
      </c>
      <c r="T35" s="514">
        <f t="shared" si="1"/>
        <v>0</v>
      </c>
      <c r="U35" s="514">
        <f t="shared" si="1"/>
        <v>0</v>
      </c>
      <c r="V35" s="514">
        <f t="shared" si="1"/>
        <v>0</v>
      </c>
      <c r="W35" s="514">
        <f t="shared" si="1"/>
        <v>0</v>
      </c>
      <c r="X35" s="514">
        <f t="shared" si="1"/>
        <v>0</v>
      </c>
      <c r="Y35" s="514">
        <f t="shared" si="1"/>
        <v>0</v>
      </c>
      <c r="Z35" s="514">
        <f t="shared" si="1"/>
        <v>0</v>
      </c>
    </row>
    <row r="36" spans="1:26" s="6" customFormat="1">
      <c r="A36" s="625"/>
      <c r="B36" s="625"/>
      <c r="C36" s="625"/>
      <c r="D36" s="625"/>
      <c r="E36" s="626"/>
      <c r="F36" s="625"/>
      <c r="G36" s="625"/>
      <c r="H36" s="627"/>
      <c r="I36" s="627"/>
      <c r="J36" s="628"/>
      <c r="K36" s="371"/>
      <c r="L36" s="333"/>
      <c r="M36" s="358"/>
      <c r="N36" s="380"/>
      <c r="O36" s="358"/>
      <c r="P36" s="358"/>
      <c r="Q36" s="358"/>
      <c r="R36" s="358"/>
      <c r="S36" s="358"/>
      <c r="T36" s="358"/>
      <c r="U36" s="358"/>
      <c r="V36" s="358"/>
      <c r="W36" s="358"/>
      <c r="X36" s="358"/>
      <c r="Y36" s="358"/>
      <c r="Z36" s="358"/>
    </row>
    <row r="37" spans="1:26" ht="15">
      <c r="A37" s="714" t="s">
        <v>6742</v>
      </c>
      <c r="B37" s="714"/>
      <c r="C37" s="714"/>
      <c r="D37" s="714"/>
      <c r="E37" s="714"/>
      <c r="F37" s="714"/>
      <c r="G37" s="714"/>
      <c r="H37" s="714"/>
      <c r="I37" s="714"/>
      <c r="J37" s="629">
        <f>J31+J35</f>
        <v>3234.8199999999997</v>
      </c>
      <c r="M37" s="516">
        <f>M31+M35</f>
        <v>0</v>
      </c>
      <c r="N37" s="516">
        <f t="shared" ref="N37:Z37" si="2">N31+N35</f>
        <v>3234.8199999999997</v>
      </c>
      <c r="O37" s="516">
        <f t="shared" si="2"/>
        <v>0</v>
      </c>
      <c r="P37" s="516">
        <f t="shared" si="2"/>
        <v>0</v>
      </c>
      <c r="Q37" s="516">
        <f t="shared" si="2"/>
        <v>0</v>
      </c>
      <c r="R37" s="516">
        <f t="shared" si="2"/>
        <v>0</v>
      </c>
      <c r="S37" s="516">
        <f t="shared" si="2"/>
        <v>0</v>
      </c>
      <c r="T37" s="516">
        <f t="shared" si="2"/>
        <v>0</v>
      </c>
      <c r="U37" s="516">
        <f t="shared" si="2"/>
        <v>0</v>
      </c>
      <c r="V37" s="516">
        <f t="shared" si="2"/>
        <v>0</v>
      </c>
      <c r="W37" s="516">
        <f t="shared" si="2"/>
        <v>0</v>
      </c>
      <c r="X37" s="516">
        <f t="shared" si="2"/>
        <v>0</v>
      </c>
      <c r="Y37" s="516">
        <f t="shared" si="2"/>
        <v>0</v>
      </c>
      <c r="Z37" s="516">
        <f t="shared" si="2"/>
        <v>0</v>
      </c>
    </row>
    <row r="38" spans="1:26" s="6" customFormat="1">
      <c r="A38" s="616"/>
      <c r="B38" s="617"/>
      <c r="C38" s="617"/>
      <c r="D38" s="618"/>
      <c r="E38" s="619"/>
      <c r="F38" s="620"/>
      <c r="G38" s="630"/>
      <c r="H38" s="630"/>
      <c r="I38" s="630"/>
      <c r="J38" s="631"/>
      <c r="K38" s="371"/>
      <c r="L38" s="333"/>
      <c r="M38" s="517">
        <f>M37/$J37</f>
        <v>0</v>
      </c>
      <c r="N38" s="517">
        <f t="shared" ref="N38:Z38" si="3">N37/$J37</f>
        <v>1</v>
      </c>
      <c r="O38" s="517">
        <f t="shared" si="3"/>
        <v>0</v>
      </c>
      <c r="P38" s="517">
        <f t="shared" si="3"/>
        <v>0</v>
      </c>
      <c r="Q38" s="517">
        <f t="shared" si="3"/>
        <v>0</v>
      </c>
      <c r="R38" s="517">
        <f t="shared" si="3"/>
        <v>0</v>
      </c>
      <c r="S38" s="517">
        <f t="shared" si="3"/>
        <v>0</v>
      </c>
      <c r="T38" s="517">
        <f t="shared" si="3"/>
        <v>0</v>
      </c>
      <c r="U38" s="517">
        <f t="shared" si="3"/>
        <v>0</v>
      </c>
      <c r="V38" s="517">
        <f t="shared" si="3"/>
        <v>0</v>
      </c>
      <c r="W38" s="517">
        <f t="shared" si="3"/>
        <v>0</v>
      </c>
      <c r="X38" s="517">
        <f t="shared" si="3"/>
        <v>0</v>
      </c>
      <c r="Y38" s="517">
        <f t="shared" si="3"/>
        <v>0</v>
      </c>
      <c r="Z38" s="517">
        <f t="shared" si="3"/>
        <v>0</v>
      </c>
    </row>
    <row r="39" spans="1:26">
      <c r="A39" s="609" t="s">
        <v>3</v>
      </c>
      <c r="B39" s="709" t="s">
        <v>5793</v>
      </c>
      <c r="C39" s="710"/>
      <c r="D39" s="710"/>
      <c r="E39" s="710"/>
      <c r="F39" s="710"/>
      <c r="G39" s="710"/>
      <c r="H39" s="710"/>
      <c r="I39" s="710"/>
      <c r="J39" s="710"/>
      <c r="K39" s="533"/>
      <c r="L39" s="533"/>
      <c r="M39" s="506"/>
      <c r="N39" s="507"/>
    </row>
    <row r="40" spans="1:26" s="6" customFormat="1">
      <c r="A40" s="610" t="s">
        <v>0</v>
      </c>
      <c r="B40" s="711" t="s">
        <v>5250</v>
      </c>
      <c r="C40" s="712"/>
      <c r="D40" s="611" t="s">
        <v>1</v>
      </c>
      <c r="E40" s="611" t="s">
        <v>134</v>
      </c>
      <c r="F40" s="612" t="s">
        <v>11</v>
      </c>
      <c r="G40" s="613" t="s">
        <v>12</v>
      </c>
      <c r="H40" s="613" t="s">
        <v>6735</v>
      </c>
      <c r="I40" s="613" t="s">
        <v>6736</v>
      </c>
      <c r="J40" s="614" t="s">
        <v>133</v>
      </c>
      <c r="K40" s="533"/>
      <c r="L40" s="533"/>
      <c r="M40" s="506"/>
      <c r="N40" s="507"/>
      <c r="O40" s="358"/>
      <c r="P40" s="358"/>
      <c r="Q40" s="358"/>
      <c r="R40" s="358"/>
      <c r="S40" s="358"/>
      <c r="T40" s="358"/>
      <c r="U40" s="358"/>
      <c r="V40" s="358"/>
      <c r="W40" s="358"/>
      <c r="X40" s="358"/>
      <c r="Y40" s="358"/>
      <c r="Z40" s="358"/>
    </row>
    <row r="41" spans="1:26" s="6" customFormat="1">
      <c r="A41" s="615" t="s">
        <v>5930</v>
      </c>
      <c r="B41" s="707" t="s">
        <v>5932</v>
      </c>
      <c r="C41" s="707"/>
      <c r="D41" s="707"/>
      <c r="E41" s="707"/>
      <c r="F41" s="707"/>
      <c r="G41" s="707"/>
      <c r="H41" s="707"/>
      <c r="I41" s="707"/>
      <c r="J41" s="707"/>
      <c r="K41" s="371"/>
      <c r="L41" s="333"/>
      <c r="M41" s="358"/>
      <c r="N41" s="380"/>
      <c r="O41" s="358"/>
      <c r="P41" s="358"/>
      <c r="Q41" s="358"/>
      <c r="R41" s="358"/>
      <c r="S41" s="358"/>
      <c r="T41" s="358"/>
      <c r="U41" s="358"/>
      <c r="V41" s="358"/>
      <c r="W41" s="358"/>
      <c r="X41" s="358"/>
      <c r="Y41" s="358"/>
      <c r="Z41" s="358"/>
    </row>
    <row r="42" spans="1:26" s="6" customFormat="1">
      <c r="A42" s="632" t="s">
        <v>5931</v>
      </c>
      <c r="B42" s="715" t="s">
        <v>8583</v>
      </c>
      <c r="C42" s="715"/>
      <c r="D42" s="715"/>
      <c r="E42" s="715"/>
      <c r="F42" s="715"/>
      <c r="G42" s="715"/>
      <c r="H42" s="715"/>
      <c r="I42" s="715"/>
      <c r="J42" s="715"/>
      <c r="K42" s="371"/>
      <c r="L42" s="333"/>
      <c r="M42" s="358"/>
      <c r="N42" s="380"/>
      <c r="O42" s="358"/>
      <c r="P42" s="358"/>
      <c r="Q42" s="358"/>
      <c r="R42" s="358"/>
      <c r="S42" s="358"/>
      <c r="T42" s="358"/>
      <c r="U42" s="358"/>
      <c r="V42" s="358"/>
      <c r="W42" s="358"/>
      <c r="X42" s="358"/>
      <c r="Y42" s="358"/>
      <c r="Z42" s="358"/>
    </row>
    <row r="43" spans="1:26" s="512" customFormat="1" ht="25.5">
      <c r="A43" s="616" t="s">
        <v>8680</v>
      </c>
      <c r="B43" s="617" t="s">
        <v>5256</v>
      </c>
      <c r="C43" s="617">
        <v>96521</v>
      </c>
      <c r="D43" s="618" t="s">
        <v>8652</v>
      </c>
      <c r="E43" s="619">
        <v>6.91</v>
      </c>
      <c r="F43" s="620" t="s">
        <v>6741</v>
      </c>
      <c r="G43" s="622">
        <v>24.32</v>
      </c>
      <c r="H43" s="622">
        <f>ROUND(G43*$B$13,2)</f>
        <v>6.55</v>
      </c>
      <c r="I43" s="622">
        <f>H43+G43</f>
        <v>30.87</v>
      </c>
      <c r="J43" s="623">
        <f>ROUND(I43*E43,2)</f>
        <v>213.31</v>
      </c>
      <c r="K43" s="537">
        <f>ROUND(G43*E43,2)</f>
        <v>168.05</v>
      </c>
      <c r="L43" s="538">
        <f>ROUND(H43*E43,2)</f>
        <v>45.26</v>
      </c>
      <c r="M43" s="519"/>
      <c r="N43" s="520">
        <f>J43</f>
        <v>213.31</v>
      </c>
      <c r="O43" s="519"/>
      <c r="P43" s="519"/>
      <c r="Q43" s="519"/>
      <c r="R43" s="519"/>
      <c r="S43" s="519"/>
      <c r="T43" s="519"/>
      <c r="U43" s="519"/>
      <c r="V43" s="519"/>
      <c r="W43" s="519"/>
      <c r="X43" s="519"/>
      <c r="Y43" s="519"/>
      <c r="Z43" s="519"/>
    </row>
    <row r="44" spans="1:26" s="6" customFormat="1">
      <c r="A44" s="632" t="s">
        <v>8638</v>
      </c>
      <c r="B44" s="715" t="s">
        <v>8639</v>
      </c>
      <c r="C44" s="715"/>
      <c r="D44" s="715"/>
      <c r="E44" s="715"/>
      <c r="F44" s="715"/>
      <c r="G44" s="715"/>
      <c r="H44" s="715"/>
      <c r="I44" s="715"/>
      <c r="J44" s="715"/>
      <c r="K44" s="371">
        <f t="shared" ref="K44:K62" si="4">ROUND(G44*E44,2)</f>
        <v>0</v>
      </c>
      <c r="L44" s="333">
        <f t="shared" ref="L44:L62" si="5">ROUND(H44*E44,2)</f>
        <v>0</v>
      </c>
      <c r="M44" s="358"/>
      <c r="N44" s="380"/>
      <c r="O44" s="358"/>
      <c r="P44" s="358"/>
      <c r="Q44" s="358"/>
      <c r="R44" s="358"/>
      <c r="S44" s="358"/>
      <c r="T44" s="358"/>
      <c r="U44" s="358"/>
      <c r="V44" s="358"/>
      <c r="W44" s="358"/>
      <c r="X44" s="358"/>
      <c r="Y44" s="358"/>
      <c r="Z44" s="358"/>
    </row>
    <row r="45" spans="1:26" s="512" customFormat="1" ht="38.25">
      <c r="A45" s="616" t="s">
        <v>8642</v>
      </c>
      <c r="B45" s="617" t="s">
        <v>5256</v>
      </c>
      <c r="C45" s="617" t="s">
        <v>9281</v>
      </c>
      <c r="D45" s="618" t="s">
        <v>9283</v>
      </c>
      <c r="E45" s="619">
        <f>18*5</f>
        <v>90</v>
      </c>
      <c r="F45" s="620" t="s">
        <v>6774</v>
      </c>
      <c r="G45" s="622">
        <v>85.940000000000012</v>
      </c>
      <c r="H45" s="622">
        <f>ROUND(G45*$B$13,2)</f>
        <v>23.14</v>
      </c>
      <c r="I45" s="622">
        <f>H45+G45</f>
        <v>109.08000000000001</v>
      </c>
      <c r="J45" s="623">
        <f>ROUND(I45*E45,2)</f>
        <v>9817.2000000000007</v>
      </c>
      <c r="K45" s="537">
        <f t="shared" si="4"/>
        <v>7734.6</v>
      </c>
      <c r="L45" s="538">
        <f t="shared" si="5"/>
        <v>2082.6</v>
      </c>
      <c r="M45" s="519"/>
      <c r="N45" s="520">
        <f>J45</f>
        <v>9817.2000000000007</v>
      </c>
      <c r="O45" s="519"/>
      <c r="P45" s="519"/>
      <c r="Q45" s="519"/>
      <c r="R45" s="519"/>
      <c r="S45" s="519"/>
      <c r="T45" s="519"/>
      <c r="U45" s="519"/>
      <c r="V45" s="519"/>
      <c r="W45" s="519"/>
      <c r="X45" s="519"/>
      <c r="Y45" s="519"/>
      <c r="Z45" s="519"/>
    </row>
    <row r="46" spans="1:26" s="512" customFormat="1" ht="25.5">
      <c r="A46" s="616" t="s">
        <v>8643</v>
      </c>
      <c r="B46" s="617" t="s">
        <v>5256</v>
      </c>
      <c r="C46" s="617">
        <v>95577</v>
      </c>
      <c r="D46" s="618" t="s">
        <v>8641</v>
      </c>
      <c r="E46" s="619">
        <v>334.8</v>
      </c>
      <c r="F46" s="620" t="s">
        <v>6744</v>
      </c>
      <c r="G46" s="622">
        <v>5.86</v>
      </c>
      <c r="H46" s="622">
        <f>ROUND(G46*$B$13,2)</f>
        <v>1.58</v>
      </c>
      <c r="I46" s="622">
        <f>H46+G46</f>
        <v>7.44</v>
      </c>
      <c r="J46" s="623">
        <f>ROUND(I46*E46,2)</f>
        <v>2490.91</v>
      </c>
      <c r="K46" s="537">
        <f t="shared" si="4"/>
        <v>1961.93</v>
      </c>
      <c r="L46" s="538">
        <f t="shared" si="5"/>
        <v>528.98</v>
      </c>
      <c r="M46" s="519"/>
      <c r="N46" s="520">
        <f>J46</f>
        <v>2490.91</v>
      </c>
      <c r="O46" s="519"/>
      <c r="P46" s="519"/>
      <c r="Q46" s="519"/>
      <c r="R46" s="519"/>
      <c r="S46" s="519"/>
      <c r="T46" s="519"/>
      <c r="U46" s="519"/>
      <c r="V46" s="519"/>
      <c r="W46" s="519"/>
      <c r="X46" s="519"/>
      <c r="Y46" s="519"/>
      <c r="Z46" s="519"/>
    </row>
    <row r="47" spans="1:26" s="512" customFormat="1" ht="25.5">
      <c r="A47" s="616" t="s">
        <v>9282</v>
      </c>
      <c r="B47" s="617" t="s">
        <v>5256</v>
      </c>
      <c r="C47" s="617">
        <v>95584</v>
      </c>
      <c r="D47" s="618" t="s">
        <v>8759</v>
      </c>
      <c r="E47" s="619">
        <v>160.63</v>
      </c>
      <c r="F47" s="620" t="s">
        <v>6744</v>
      </c>
      <c r="G47" s="622">
        <v>7.48</v>
      </c>
      <c r="H47" s="622">
        <f>ROUND(G47*$B$13,2)</f>
        <v>2.0099999999999998</v>
      </c>
      <c r="I47" s="622">
        <f>H47+G47</f>
        <v>9.49</v>
      </c>
      <c r="J47" s="623">
        <f>ROUND(I47*E47,2)</f>
        <v>1524.38</v>
      </c>
      <c r="K47" s="537">
        <f t="shared" si="4"/>
        <v>1201.51</v>
      </c>
      <c r="L47" s="538">
        <f t="shared" si="5"/>
        <v>322.87</v>
      </c>
      <c r="M47" s="519"/>
      <c r="N47" s="520">
        <f>J47</f>
        <v>1524.38</v>
      </c>
      <c r="O47" s="519"/>
      <c r="P47" s="519"/>
      <c r="Q47" s="519"/>
      <c r="R47" s="519"/>
      <c r="S47" s="519"/>
      <c r="T47" s="519"/>
      <c r="U47" s="519"/>
      <c r="V47" s="519"/>
      <c r="W47" s="519"/>
      <c r="X47" s="519"/>
      <c r="Y47" s="519"/>
      <c r="Z47" s="519"/>
    </row>
    <row r="48" spans="1:26" s="512" customFormat="1" ht="25.5">
      <c r="A48" s="616" t="s">
        <v>8645</v>
      </c>
      <c r="B48" s="617" t="s">
        <v>5256</v>
      </c>
      <c r="C48" s="617">
        <v>95601</v>
      </c>
      <c r="D48" s="618" t="s">
        <v>8644</v>
      </c>
      <c r="E48" s="619">
        <v>18</v>
      </c>
      <c r="F48" s="620" t="s">
        <v>6337</v>
      </c>
      <c r="G48" s="622">
        <v>12.2</v>
      </c>
      <c r="H48" s="622">
        <f>ROUND(G48*$B$13,2)</f>
        <v>3.29</v>
      </c>
      <c r="I48" s="622">
        <f>H48+G48</f>
        <v>15.489999999999998</v>
      </c>
      <c r="J48" s="623">
        <f>ROUND(I48*E48,2)</f>
        <v>278.82</v>
      </c>
      <c r="K48" s="537">
        <f t="shared" si="4"/>
        <v>219.6</v>
      </c>
      <c r="L48" s="538">
        <f t="shared" si="5"/>
        <v>59.22</v>
      </c>
      <c r="M48" s="519"/>
      <c r="N48" s="520">
        <f>J48</f>
        <v>278.82</v>
      </c>
      <c r="O48" s="519"/>
      <c r="P48" s="519"/>
      <c r="Q48" s="519"/>
      <c r="R48" s="519"/>
      <c r="S48" s="519"/>
      <c r="T48" s="519"/>
      <c r="U48" s="519"/>
      <c r="V48" s="519"/>
      <c r="W48" s="519"/>
      <c r="X48" s="519"/>
      <c r="Y48" s="519"/>
      <c r="Z48" s="519"/>
    </row>
    <row r="49" spans="1:28" s="512" customFormat="1">
      <c r="A49" s="632" t="s">
        <v>8646</v>
      </c>
      <c r="B49" s="715" t="s">
        <v>8647</v>
      </c>
      <c r="C49" s="715"/>
      <c r="D49" s="715"/>
      <c r="E49" s="715"/>
      <c r="F49" s="715"/>
      <c r="G49" s="715"/>
      <c r="H49" s="715"/>
      <c r="I49" s="715"/>
      <c r="J49" s="715"/>
      <c r="K49" s="537">
        <f t="shared" si="4"/>
        <v>0</v>
      </c>
      <c r="L49" s="538">
        <f t="shared" si="5"/>
        <v>0</v>
      </c>
      <c r="M49" s="519"/>
      <c r="N49" s="520"/>
      <c r="O49" s="519"/>
      <c r="P49" s="519"/>
      <c r="Q49" s="519"/>
      <c r="R49" s="519"/>
      <c r="S49" s="519"/>
      <c r="T49" s="519"/>
      <c r="U49" s="519"/>
      <c r="V49" s="519"/>
      <c r="W49" s="519"/>
      <c r="X49" s="519"/>
      <c r="Y49" s="519"/>
      <c r="Z49" s="519"/>
    </row>
    <row r="50" spans="1:28" s="512" customFormat="1" ht="25.5">
      <c r="A50" s="616" t="s">
        <v>8648</v>
      </c>
      <c r="B50" s="617" t="s">
        <v>5256</v>
      </c>
      <c r="C50" s="617">
        <v>96619</v>
      </c>
      <c r="D50" s="618" t="s">
        <v>8651</v>
      </c>
      <c r="E50" s="619">
        <f>QuantReservatório!J46</f>
        <v>11.46</v>
      </c>
      <c r="F50" s="620" t="s">
        <v>6339</v>
      </c>
      <c r="G50" s="622">
        <v>17.8</v>
      </c>
      <c r="H50" s="622">
        <f>ROUND(G50*$B$13,2)</f>
        <v>4.79</v>
      </c>
      <c r="I50" s="622">
        <f>H50+G50</f>
        <v>22.59</v>
      </c>
      <c r="J50" s="623">
        <f>ROUND(I50*E50,2)</f>
        <v>258.88</v>
      </c>
      <c r="K50" s="537">
        <f t="shared" si="4"/>
        <v>203.99</v>
      </c>
      <c r="L50" s="538">
        <f t="shared" si="5"/>
        <v>54.89</v>
      </c>
      <c r="M50" s="519"/>
      <c r="N50" s="520"/>
      <c r="O50" s="519">
        <f>J50</f>
        <v>258.88</v>
      </c>
      <c r="P50" s="519"/>
      <c r="Q50" s="519"/>
      <c r="R50" s="519"/>
      <c r="S50" s="519"/>
      <c r="T50" s="519"/>
      <c r="U50" s="519"/>
      <c r="V50" s="519"/>
      <c r="W50" s="519"/>
      <c r="X50" s="519"/>
      <c r="Y50" s="519"/>
      <c r="Z50" s="519"/>
    </row>
    <row r="51" spans="1:28" s="512" customFormat="1" ht="38.25">
      <c r="A51" s="616" t="s">
        <v>8649</v>
      </c>
      <c r="B51" s="617" t="s">
        <v>5256</v>
      </c>
      <c r="C51" s="617">
        <v>96540</v>
      </c>
      <c r="D51" s="618" t="s">
        <v>8653</v>
      </c>
      <c r="E51" s="619">
        <f>31.25</f>
        <v>31.25</v>
      </c>
      <c r="F51" s="620" t="s">
        <v>6339</v>
      </c>
      <c r="G51" s="622">
        <v>67.760000000000005</v>
      </c>
      <c r="H51" s="622">
        <f>ROUND(G51*$B$13,2)</f>
        <v>18.25</v>
      </c>
      <c r="I51" s="622">
        <f>H51+G51</f>
        <v>86.01</v>
      </c>
      <c r="J51" s="623">
        <f>ROUND(I51*E51,2)</f>
        <v>2687.81</v>
      </c>
      <c r="K51" s="537">
        <f t="shared" si="4"/>
        <v>2117.5</v>
      </c>
      <c r="L51" s="538">
        <f t="shared" si="5"/>
        <v>570.30999999999995</v>
      </c>
      <c r="M51" s="519"/>
      <c r="N51" s="520"/>
      <c r="O51" s="519">
        <f>J51</f>
        <v>2687.81</v>
      </c>
      <c r="P51" s="519"/>
      <c r="Q51" s="519"/>
      <c r="R51" s="519"/>
      <c r="S51" s="519"/>
      <c r="T51" s="519"/>
      <c r="U51" s="519"/>
      <c r="V51" s="519"/>
      <c r="W51" s="519"/>
      <c r="X51" s="519"/>
      <c r="Y51" s="519"/>
      <c r="Z51" s="519"/>
    </row>
    <row r="52" spans="1:28" s="512" customFormat="1" ht="25.5">
      <c r="A52" s="616" t="s">
        <v>8654</v>
      </c>
      <c r="B52" s="617" t="s">
        <v>5256</v>
      </c>
      <c r="C52" s="617">
        <v>96543</v>
      </c>
      <c r="D52" s="618" t="s">
        <v>8669</v>
      </c>
      <c r="E52" s="619">
        <f>38.2/1.1</f>
        <v>34.727272727272727</v>
      </c>
      <c r="F52" s="620" t="s">
        <v>6744</v>
      </c>
      <c r="G52" s="622">
        <v>9.67</v>
      </c>
      <c r="H52" s="622">
        <f>ROUND(G52*$B$13,2)</f>
        <v>2.6</v>
      </c>
      <c r="I52" s="622">
        <f>H52+G52</f>
        <v>12.27</v>
      </c>
      <c r="J52" s="623">
        <f>ROUND(I52*E52,2)</f>
        <v>426.1</v>
      </c>
      <c r="K52" s="537">
        <f t="shared" si="4"/>
        <v>335.81</v>
      </c>
      <c r="L52" s="538">
        <f t="shared" si="5"/>
        <v>90.29</v>
      </c>
      <c r="M52" s="519"/>
      <c r="N52" s="520"/>
      <c r="O52" s="519">
        <f>J52</f>
        <v>426.1</v>
      </c>
      <c r="P52" s="519"/>
      <c r="Q52" s="519"/>
      <c r="R52" s="519"/>
      <c r="S52" s="519"/>
      <c r="T52" s="519"/>
      <c r="U52" s="519"/>
      <c r="V52" s="519"/>
      <c r="W52" s="519"/>
      <c r="X52" s="519"/>
      <c r="Y52" s="519"/>
      <c r="Z52" s="519"/>
    </row>
    <row r="53" spans="1:28" s="512" customFormat="1" ht="25.5">
      <c r="A53" s="616" t="s">
        <v>8655</v>
      </c>
      <c r="B53" s="617" t="s">
        <v>5256</v>
      </c>
      <c r="C53" s="617">
        <v>96545</v>
      </c>
      <c r="D53" s="618" t="s">
        <v>8657</v>
      </c>
      <c r="E53" s="619">
        <f>154/1.1</f>
        <v>140</v>
      </c>
      <c r="F53" s="620" t="s">
        <v>6744</v>
      </c>
      <c r="G53" s="622">
        <v>7.97</v>
      </c>
      <c r="H53" s="622">
        <f>ROUND(G53*$B$13,2)</f>
        <v>2.15</v>
      </c>
      <c r="I53" s="622">
        <f>H53+G53</f>
        <v>10.119999999999999</v>
      </c>
      <c r="J53" s="623">
        <f>ROUND(I53*E53,2)</f>
        <v>1416.8</v>
      </c>
      <c r="K53" s="537">
        <f t="shared" si="4"/>
        <v>1115.8</v>
      </c>
      <c r="L53" s="538">
        <f t="shared" si="5"/>
        <v>301</v>
      </c>
      <c r="M53" s="519"/>
      <c r="N53" s="520"/>
      <c r="O53" s="519">
        <f>J53</f>
        <v>1416.8</v>
      </c>
      <c r="P53" s="519"/>
      <c r="Q53" s="519"/>
      <c r="R53" s="519"/>
      <c r="S53" s="519"/>
      <c r="T53" s="519"/>
      <c r="U53" s="519"/>
      <c r="V53" s="519"/>
      <c r="W53" s="519"/>
      <c r="X53" s="519"/>
      <c r="Y53" s="519"/>
      <c r="Z53" s="519"/>
    </row>
    <row r="54" spans="1:28" s="512" customFormat="1" ht="38.25">
      <c r="A54" s="616" t="s">
        <v>8650</v>
      </c>
      <c r="B54" s="617" t="s">
        <v>5256</v>
      </c>
      <c r="C54" s="617" t="s">
        <v>15576</v>
      </c>
      <c r="D54" s="618" t="s">
        <v>8660</v>
      </c>
      <c r="E54" s="619">
        <v>6.91</v>
      </c>
      <c r="F54" s="620" t="s">
        <v>6741</v>
      </c>
      <c r="G54" s="622">
        <v>272.91000000000003</v>
      </c>
      <c r="H54" s="622">
        <f>ROUND(G54*$B$13,2)</f>
        <v>73.489999999999995</v>
      </c>
      <c r="I54" s="622">
        <f>H54+G54</f>
        <v>346.40000000000003</v>
      </c>
      <c r="J54" s="623">
        <f>ROUND(I54*E54,2)</f>
        <v>2393.62</v>
      </c>
      <c r="K54" s="537">
        <f t="shared" si="4"/>
        <v>1885.81</v>
      </c>
      <c r="L54" s="538">
        <f t="shared" si="5"/>
        <v>507.82</v>
      </c>
      <c r="M54" s="519"/>
      <c r="N54" s="520"/>
      <c r="O54" s="519">
        <f>J54</f>
        <v>2393.62</v>
      </c>
      <c r="P54" s="519"/>
      <c r="Q54" s="519"/>
      <c r="R54" s="519"/>
      <c r="S54" s="519"/>
      <c r="T54" s="519"/>
      <c r="U54" s="519"/>
      <c r="V54" s="519"/>
      <c r="W54" s="519"/>
      <c r="X54" s="519"/>
      <c r="Y54" s="519"/>
      <c r="Z54" s="519"/>
    </row>
    <row r="55" spans="1:28" s="512" customFormat="1">
      <c r="A55" s="632" t="s">
        <v>8662</v>
      </c>
      <c r="B55" s="715" t="s">
        <v>8763</v>
      </c>
      <c r="C55" s="715"/>
      <c r="D55" s="715"/>
      <c r="E55" s="715"/>
      <c r="F55" s="715"/>
      <c r="G55" s="715"/>
      <c r="H55" s="715"/>
      <c r="I55" s="715"/>
      <c r="J55" s="715"/>
      <c r="K55" s="537">
        <f t="shared" si="4"/>
        <v>0</v>
      </c>
      <c r="L55" s="538">
        <f t="shared" si="5"/>
        <v>0</v>
      </c>
      <c r="M55" s="519"/>
      <c r="N55" s="520"/>
      <c r="O55" s="519"/>
      <c r="P55" s="519"/>
      <c r="Q55" s="519"/>
      <c r="R55" s="519"/>
      <c r="S55" s="519"/>
      <c r="T55" s="519"/>
      <c r="U55" s="519"/>
      <c r="V55" s="519"/>
      <c r="W55" s="519"/>
      <c r="X55" s="519"/>
      <c r="Y55" s="519"/>
      <c r="Z55" s="519"/>
    </row>
    <row r="56" spans="1:28" s="512" customFormat="1" ht="51">
      <c r="A56" s="616" t="s">
        <v>8665</v>
      </c>
      <c r="B56" s="617" t="s">
        <v>5256</v>
      </c>
      <c r="C56" s="617" t="str">
        <f>[1]Composições!C6404</f>
        <v>VEG 92418</v>
      </c>
      <c r="D56" s="618" t="s">
        <v>8791</v>
      </c>
      <c r="E56" s="619">
        <v>10.62</v>
      </c>
      <c r="F56" s="620" t="s">
        <v>6339</v>
      </c>
      <c r="G56" s="622">
        <v>46.47</v>
      </c>
      <c r="H56" s="622">
        <f>ROUND(G56*$B$13,2)</f>
        <v>12.51</v>
      </c>
      <c r="I56" s="622">
        <f>H56+G56</f>
        <v>58.98</v>
      </c>
      <c r="J56" s="623">
        <f>ROUND(I56*E56,2)</f>
        <v>626.37</v>
      </c>
      <c r="K56" s="537">
        <f t="shared" si="4"/>
        <v>493.51</v>
      </c>
      <c r="L56" s="538">
        <f t="shared" si="5"/>
        <v>132.86000000000001</v>
      </c>
      <c r="M56" s="519"/>
      <c r="N56" s="520"/>
      <c r="O56" s="519">
        <f>J56</f>
        <v>626.37</v>
      </c>
      <c r="P56" s="519"/>
      <c r="Q56" s="519"/>
      <c r="R56" s="519"/>
      <c r="S56" s="519"/>
      <c r="T56" s="519"/>
      <c r="U56" s="519"/>
      <c r="V56" s="519"/>
      <c r="W56" s="519"/>
      <c r="X56" s="519"/>
      <c r="Y56" s="519"/>
      <c r="Z56" s="519"/>
    </row>
    <row r="57" spans="1:28" s="512" customFormat="1" ht="38.25">
      <c r="A57" s="616" t="s">
        <v>8670</v>
      </c>
      <c r="B57" s="617" t="s">
        <v>5256</v>
      </c>
      <c r="C57" s="617">
        <v>92775</v>
      </c>
      <c r="D57" s="618" t="s">
        <v>8767</v>
      </c>
      <c r="E57" s="619">
        <f>16.3/1.1</f>
        <v>14.818181818181818</v>
      </c>
      <c r="F57" s="620" t="s">
        <v>6744</v>
      </c>
      <c r="G57" s="622">
        <v>9.7200000000000006</v>
      </c>
      <c r="H57" s="622">
        <f>ROUND(G57*$B$13,2)</f>
        <v>2.62</v>
      </c>
      <c r="I57" s="622">
        <f>H57+G57</f>
        <v>12.34</v>
      </c>
      <c r="J57" s="623">
        <f>ROUND(I57*E57,2)</f>
        <v>182.86</v>
      </c>
      <c r="K57" s="537">
        <f t="shared" si="4"/>
        <v>144.03</v>
      </c>
      <c r="L57" s="538">
        <f t="shared" si="5"/>
        <v>38.82</v>
      </c>
      <c r="M57" s="519"/>
      <c r="N57" s="520"/>
      <c r="O57" s="519">
        <f>J57</f>
        <v>182.86</v>
      </c>
      <c r="P57" s="519"/>
      <c r="Q57" s="519"/>
      <c r="R57" s="519"/>
      <c r="S57" s="519"/>
      <c r="T57" s="519"/>
      <c r="U57" s="519"/>
      <c r="V57" s="519"/>
      <c r="W57" s="519"/>
      <c r="X57" s="519"/>
      <c r="Y57" s="519"/>
      <c r="Z57" s="519"/>
    </row>
    <row r="58" spans="1:28" s="512" customFormat="1" ht="38.25">
      <c r="A58" s="616" t="s">
        <v>8671</v>
      </c>
      <c r="B58" s="617" t="s">
        <v>5256</v>
      </c>
      <c r="C58" s="617">
        <v>92778</v>
      </c>
      <c r="D58" s="618" t="s">
        <v>8765</v>
      </c>
      <c r="E58" s="619">
        <f>57.9/1.1</f>
        <v>52.636363636363633</v>
      </c>
      <c r="F58" s="620" t="s">
        <v>6744</v>
      </c>
      <c r="G58" s="622">
        <v>6.46</v>
      </c>
      <c r="H58" s="622">
        <f>ROUND(G58*$B$13,2)</f>
        <v>1.74</v>
      </c>
      <c r="I58" s="622">
        <f>H58+G58</f>
        <v>8.1999999999999993</v>
      </c>
      <c r="J58" s="623">
        <f>ROUND(I58*E58,2)</f>
        <v>431.62</v>
      </c>
      <c r="K58" s="537">
        <f t="shared" si="4"/>
        <v>340.03</v>
      </c>
      <c r="L58" s="538">
        <f t="shared" si="5"/>
        <v>91.59</v>
      </c>
      <c r="M58" s="519"/>
      <c r="N58" s="520"/>
      <c r="O58" s="519">
        <f>J58</f>
        <v>431.62</v>
      </c>
      <c r="P58" s="519"/>
      <c r="Q58" s="519"/>
      <c r="R58" s="519"/>
      <c r="S58" s="519"/>
      <c r="T58" s="519"/>
      <c r="U58" s="519"/>
      <c r="V58" s="519"/>
      <c r="W58" s="519"/>
      <c r="X58" s="519"/>
      <c r="Y58" s="519"/>
      <c r="Z58" s="519"/>
    </row>
    <row r="59" spans="1:28" s="512" customFormat="1" ht="38.25">
      <c r="A59" s="616" t="s">
        <v>8672</v>
      </c>
      <c r="B59" s="617" t="s">
        <v>5256</v>
      </c>
      <c r="C59" s="617">
        <v>92780</v>
      </c>
      <c r="D59" s="618" t="s">
        <v>8766</v>
      </c>
      <c r="E59" s="619">
        <f>22.9/1.1</f>
        <v>20.818181818181817</v>
      </c>
      <c r="F59" s="620" t="s">
        <v>6744</v>
      </c>
      <c r="G59" s="622">
        <v>5.21</v>
      </c>
      <c r="H59" s="622">
        <f>ROUND(G59*$B$13,2)</f>
        <v>1.4</v>
      </c>
      <c r="I59" s="622">
        <f>H59+G59</f>
        <v>6.6099999999999994</v>
      </c>
      <c r="J59" s="623">
        <f>ROUND(I59*E59,2)</f>
        <v>137.61000000000001</v>
      </c>
      <c r="K59" s="537">
        <f t="shared" si="4"/>
        <v>108.46</v>
      </c>
      <c r="L59" s="538">
        <f t="shared" si="5"/>
        <v>29.15</v>
      </c>
      <c r="M59" s="519"/>
      <c r="N59" s="520"/>
      <c r="O59" s="519">
        <f>J59</f>
        <v>137.61000000000001</v>
      </c>
      <c r="P59" s="519"/>
      <c r="Q59" s="519"/>
      <c r="R59" s="519"/>
      <c r="S59" s="519"/>
      <c r="T59" s="519"/>
      <c r="U59" s="519"/>
      <c r="V59" s="519"/>
      <c r="W59" s="519"/>
      <c r="X59" s="519"/>
      <c r="Y59" s="519"/>
      <c r="Z59" s="519"/>
    </row>
    <row r="60" spans="1:28" s="512" customFormat="1" ht="51">
      <c r="A60" s="616" t="s">
        <v>8678</v>
      </c>
      <c r="B60" s="617" t="s">
        <v>5256</v>
      </c>
      <c r="C60" s="617" t="s">
        <v>8769</v>
      </c>
      <c r="D60" s="618" t="s">
        <v>8768</v>
      </c>
      <c r="E60" s="619">
        <v>0.63</v>
      </c>
      <c r="F60" s="620" t="s">
        <v>6741</v>
      </c>
      <c r="G60" s="622">
        <v>292.97000000000003</v>
      </c>
      <c r="H60" s="622">
        <f>ROUND(G60*$B$13,2)</f>
        <v>78.900000000000006</v>
      </c>
      <c r="I60" s="622">
        <f>H60+G60</f>
        <v>371.87</v>
      </c>
      <c r="J60" s="623">
        <f>ROUND(I60*E60,2)</f>
        <v>234.28</v>
      </c>
      <c r="K60" s="537">
        <f t="shared" si="4"/>
        <v>184.57</v>
      </c>
      <c r="L60" s="538">
        <f t="shared" si="5"/>
        <v>49.71</v>
      </c>
      <c r="M60" s="519"/>
      <c r="N60" s="520"/>
      <c r="O60" s="519">
        <f>J60</f>
        <v>234.28</v>
      </c>
      <c r="P60" s="519"/>
      <c r="Q60" s="519"/>
      <c r="R60" s="519"/>
      <c r="S60" s="519"/>
      <c r="T60" s="519"/>
      <c r="U60" s="519"/>
      <c r="V60" s="519"/>
      <c r="W60" s="519"/>
      <c r="X60" s="519"/>
      <c r="Y60" s="519"/>
      <c r="Z60" s="519"/>
    </row>
    <row r="61" spans="1:28" s="512" customFormat="1">
      <c r="A61" s="632" t="s">
        <v>8802</v>
      </c>
      <c r="B61" s="715" t="s">
        <v>8803</v>
      </c>
      <c r="C61" s="715"/>
      <c r="D61" s="715"/>
      <c r="E61" s="715"/>
      <c r="F61" s="715"/>
      <c r="G61" s="715"/>
      <c r="H61" s="715"/>
      <c r="I61" s="715"/>
      <c r="J61" s="715"/>
      <c r="K61" s="537">
        <f t="shared" si="4"/>
        <v>0</v>
      </c>
      <c r="L61" s="538">
        <f t="shared" si="5"/>
        <v>0</v>
      </c>
      <c r="M61" s="519"/>
      <c r="N61" s="520"/>
      <c r="O61" s="519"/>
      <c r="P61" s="519"/>
      <c r="Q61" s="519"/>
      <c r="R61" s="519"/>
      <c r="S61" s="519"/>
      <c r="T61" s="519"/>
      <c r="U61" s="519"/>
      <c r="V61" s="519"/>
      <c r="W61" s="519"/>
      <c r="X61" s="519"/>
      <c r="Y61" s="519"/>
      <c r="Z61" s="519"/>
    </row>
    <row r="62" spans="1:28" s="512" customFormat="1" ht="25.5">
      <c r="A62" s="616" t="s">
        <v>8805</v>
      </c>
      <c r="B62" s="617" t="s">
        <v>5256</v>
      </c>
      <c r="C62" s="617">
        <v>98557</v>
      </c>
      <c r="D62" s="618" t="s">
        <v>8806</v>
      </c>
      <c r="E62" s="619">
        <f>QuantReservatório!J55</f>
        <v>42.72</v>
      </c>
      <c r="F62" s="620" t="s">
        <v>6339</v>
      </c>
      <c r="G62" s="622">
        <v>24.79</v>
      </c>
      <c r="H62" s="622">
        <f>ROUND(G62*$B$13,2)</f>
        <v>6.68</v>
      </c>
      <c r="I62" s="622">
        <f>H62+G62</f>
        <v>31.47</v>
      </c>
      <c r="J62" s="623">
        <f>ROUND(I62*E62,2)</f>
        <v>1344.4</v>
      </c>
      <c r="K62" s="537">
        <f t="shared" si="4"/>
        <v>1059.03</v>
      </c>
      <c r="L62" s="538">
        <f t="shared" si="5"/>
        <v>285.37</v>
      </c>
      <c r="M62" s="519"/>
      <c r="N62" s="520"/>
      <c r="O62" s="519"/>
      <c r="P62" s="519">
        <f>J62</f>
        <v>1344.4</v>
      </c>
      <c r="Q62" s="519"/>
      <c r="R62" s="519"/>
      <c r="S62" s="519"/>
      <c r="T62" s="519"/>
      <c r="U62" s="519"/>
      <c r="V62" s="519"/>
      <c r="W62" s="519"/>
      <c r="X62" s="519"/>
      <c r="Y62" s="519"/>
      <c r="Z62" s="519"/>
    </row>
    <row r="63" spans="1:28" s="6" customFormat="1" ht="15">
      <c r="A63" s="713" t="s">
        <v>6743</v>
      </c>
      <c r="B63" s="713"/>
      <c r="C63" s="713"/>
      <c r="D63" s="713"/>
      <c r="E63" s="713"/>
      <c r="F63" s="713"/>
      <c r="G63" s="713"/>
      <c r="H63" s="713"/>
      <c r="I63" s="713"/>
      <c r="J63" s="624">
        <f>SUM(J42:J62)</f>
        <v>24464.969999999994</v>
      </c>
      <c r="K63" s="371"/>
      <c r="L63" s="333"/>
      <c r="M63" s="514">
        <f>SUM(M42:M62)</f>
        <v>0</v>
      </c>
      <c r="N63" s="514">
        <f t="shared" ref="N63:Z63" si="6">SUM(N42:N62)</f>
        <v>14324.619999999999</v>
      </c>
      <c r="O63" s="514">
        <f t="shared" si="6"/>
        <v>8795.9500000000007</v>
      </c>
      <c r="P63" s="514">
        <f t="shared" si="6"/>
        <v>1344.4</v>
      </c>
      <c r="Q63" s="514">
        <f t="shared" si="6"/>
        <v>0</v>
      </c>
      <c r="R63" s="514">
        <f t="shared" si="6"/>
        <v>0</v>
      </c>
      <c r="S63" s="514">
        <f t="shared" si="6"/>
        <v>0</v>
      </c>
      <c r="T63" s="514">
        <f t="shared" si="6"/>
        <v>0</v>
      </c>
      <c r="U63" s="514">
        <f t="shared" si="6"/>
        <v>0</v>
      </c>
      <c r="V63" s="514">
        <f t="shared" si="6"/>
        <v>0</v>
      </c>
      <c r="W63" s="514">
        <f t="shared" si="6"/>
        <v>0</v>
      </c>
      <c r="X63" s="514">
        <f t="shared" si="6"/>
        <v>0</v>
      </c>
      <c r="Y63" s="514">
        <f t="shared" si="6"/>
        <v>0</v>
      </c>
      <c r="Z63" s="514">
        <f t="shared" si="6"/>
        <v>0</v>
      </c>
      <c r="AA63" s="514"/>
      <c r="AB63" s="514"/>
    </row>
    <row r="64" spans="1:28" s="6" customFormat="1">
      <c r="A64" s="625"/>
      <c r="B64" s="625"/>
      <c r="C64" s="625"/>
      <c r="D64" s="625"/>
      <c r="E64" s="626"/>
      <c r="F64" s="625"/>
      <c r="G64" s="625"/>
      <c r="H64" s="627"/>
      <c r="I64" s="627"/>
      <c r="J64" s="628"/>
      <c r="K64" s="371"/>
      <c r="L64" s="333"/>
      <c r="M64" s="517"/>
      <c r="N64" s="517"/>
      <c r="O64" s="517"/>
      <c r="P64" s="517"/>
      <c r="Q64" s="517"/>
      <c r="R64" s="517"/>
      <c r="S64" s="517"/>
      <c r="T64" s="517"/>
      <c r="U64" s="517"/>
      <c r="V64" s="517"/>
      <c r="W64" s="517"/>
      <c r="X64" s="517"/>
      <c r="Y64" s="517"/>
      <c r="Z64" s="517"/>
    </row>
    <row r="65" spans="1:26" s="6" customFormat="1">
      <c r="A65" s="615" t="s">
        <v>5802</v>
      </c>
      <c r="B65" s="707" t="s">
        <v>5803</v>
      </c>
      <c r="C65" s="707"/>
      <c r="D65" s="707"/>
      <c r="E65" s="707"/>
      <c r="F65" s="707"/>
      <c r="G65" s="707"/>
      <c r="H65" s="707"/>
      <c r="I65" s="707"/>
      <c r="J65" s="707"/>
      <c r="K65" s="371"/>
      <c r="L65" s="333"/>
      <c r="M65" s="358"/>
      <c r="N65" s="380"/>
      <c r="O65" s="358"/>
      <c r="P65" s="358"/>
      <c r="Q65" s="358"/>
      <c r="R65" s="358"/>
      <c r="S65" s="358"/>
      <c r="T65" s="358"/>
      <c r="U65" s="358"/>
      <c r="V65" s="358"/>
      <c r="W65" s="358"/>
      <c r="X65" s="358"/>
      <c r="Y65" s="358"/>
      <c r="Z65" s="358"/>
    </row>
    <row r="66" spans="1:26" s="6" customFormat="1">
      <c r="A66" s="632" t="s">
        <v>8771</v>
      </c>
      <c r="B66" s="715" t="s">
        <v>8772</v>
      </c>
      <c r="C66" s="715"/>
      <c r="D66" s="715"/>
      <c r="E66" s="715"/>
      <c r="F66" s="715"/>
      <c r="G66" s="715"/>
      <c r="H66" s="715"/>
      <c r="I66" s="715"/>
      <c r="J66" s="715"/>
      <c r="K66" s="371"/>
      <c r="L66" s="333"/>
      <c r="M66" s="358"/>
      <c r="N66" s="380"/>
      <c r="O66" s="358"/>
      <c r="P66" s="358"/>
      <c r="Q66" s="358"/>
      <c r="R66" s="358"/>
      <c r="S66" s="358"/>
      <c r="T66" s="358"/>
      <c r="U66" s="358"/>
      <c r="V66" s="358"/>
      <c r="W66" s="358"/>
      <c r="X66" s="358"/>
      <c r="Y66" s="358"/>
      <c r="Z66" s="358"/>
    </row>
    <row r="67" spans="1:26" s="512" customFormat="1" ht="38.25">
      <c r="A67" s="616" t="s">
        <v>8773</v>
      </c>
      <c r="B67" s="617" t="s">
        <v>5256</v>
      </c>
      <c r="C67" s="617">
        <v>92418</v>
      </c>
      <c r="D67" s="618" t="s">
        <v>8764</v>
      </c>
      <c r="E67" s="619">
        <v>60.09</v>
      </c>
      <c r="F67" s="620" t="s">
        <v>6339</v>
      </c>
      <c r="G67" s="622">
        <v>46.47</v>
      </c>
      <c r="H67" s="622">
        <f>ROUND(G67*$B$13,2)</f>
        <v>12.51</v>
      </c>
      <c r="I67" s="622">
        <f>H67+G67</f>
        <v>58.98</v>
      </c>
      <c r="J67" s="623">
        <f>ROUND(I67*E67,2)</f>
        <v>3544.11</v>
      </c>
      <c r="K67" s="537">
        <f t="shared" ref="K67:K81" si="7">ROUND(G67*E67,2)</f>
        <v>2792.38</v>
      </c>
      <c r="L67" s="538">
        <f t="shared" ref="L67:L81" si="8">ROUND(H67*E67,2)</f>
        <v>751.73</v>
      </c>
      <c r="M67" s="519"/>
      <c r="N67" s="520"/>
      <c r="O67" s="519"/>
      <c r="P67" s="519"/>
      <c r="Q67" s="519">
        <f>0.5*J67</f>
        <v>1772.0550000000001</v>
      </c>
      <c r="R67" s="519">
        <f>0.5*J67</f>
        <v>1772.0550000000001</v>
      </c>
      <c r="S67" s="519"/>
      <c r="T67" s="519"/>
      <c r="U67" s="519"/>
      <c r="V67" s="519"/>
      <c r="W67" s="519"/>
      <c r="X67" s="519"/>
      <c r="Y67" s="519"/>
      <c r="Z67" s="519"/>
    </row>
    <row r="68" spans="1:26" s="512" customFormat="1" ht="38.25">
      <c r="A68" s="616" t="s">
        <v>8774</v>
      </c>
      <c r="B68" s="617" t="s">
        <v>5256</v>
      </c>
      <c r="C68" s="617">
        <v>92775</v>
      </c>
      <c r="D68" s="618" t="s">
        <v>8767</v>
      </c>
      <c r="E68" s="619">
        <f>93.3/1.1</f>
        <v>84.818181818181813</v>
      </c>
      <c r="F68" s="620" t="s">
        <v>6744</v>
      </c>
      <c r="G68" s="622">
        <v>9.7200000000000006</v>
      </c>
      <c r="H68" s="622">
        <f>ROUND(G68*$B$13,2)</f>
        <v>2.62</v>
      </c>
      <c r="I68" s="622">
        <f>H68+G68</f>
        <v>12.34</v>
      </c>
      <c r="J68" s="623">
        <f>ROUND(I68*E68,2)</f>
        <v>1046.6600000000001</v>
      </c>
      <c r="K68" s="537">
        <f t="shared" si="7"/>
        <v>824.43</v>
      </c>
      <c r="L68" s="538">
        <f t="shared" si="8"/>
        <v>222.22</v>
      </c>
      <c r="M68" s="519"/>
      <c r="N68" s="520"/>
      <c r="O68" s="519"/>
      <c r="P68" s="519"/>
      <c r="Q68" s="519">
        <f>0.5*J68</f>
        <v>523.33000000000004</v>
      </c>
      <c r="R68" s="519">
        <f>0.5*J68</f>
        <v>523.33000000000004</v>
      </c>
      <c r="S68" s="519"/>
      <c r="T68" s="519"/>
      <c r="U68" s="519"/>
      <c r="V68" s="519"/>
      <c r="W68" s="519"/>
      <c r="X68" s="519"/>
      <c r="Y68" s="519"/>
      <c r="Z68" s="519"/>
    </row>
    <row r="69" spans="1:26" s="512" customFormat="1" ht="38.25">
      <c r="A69" s="616" t="s">
        <v>8775</v>
      </c>
      <c r="B69" s="617" t="s">
        <v>5256</v>
      </c>
      <c r="C69" s="617">
        <v>92778</v>
      </c>
      <c r="D69" s="618" t="s">
        <v>8765</v>
      </c>
      <c r="E69" s="619">
        <f>190.3/1.1</f>
        <v>173</v>
      </c>
      <c r="F69" s="620" t="s">
        <v>6744</v>
      </c>
      <c r="G69" s="622">
        <v>6.46</v>
      </c>
      <c r="H69" s="622">
        <f>ROUND(G69*$B$13,2)</f>
        <v>1.74</v>
      </c>
      <c r="I69" s="622">
        <f>H69+G69</f>
        <v>8.1999999999999993</v>
      </c>
      <c r="J69" s="623">
        <f>ROUND(I69*E69,2)</f>
        <v>1418.6</v>
      </c>
      <c r="K69" s="537">
        <f t="shared" si="7"/>
        <v>1117.58</v>
      </c>
      <c r="L69" s="538">
        <f t="shared" si="8"/>
        <v>301.02</v>
      </c>
      <c r="M69" s="519"/>
      <c r="N69" s="520"/>
      <c r="O69" s="519"/>
      <c r="P69" s="519"/>
      <c r="Q69" s="519">
        <f>0.5*J69</f>
        <v>709.3</v>
      </c>
      <c r="R69" s="519">
        <f>0.5*J69</f>
        <v>709.3</v>
      </c>
      <c r="S69" s="519"/>
      <c r="T69" s="519"/>
      <c r="U69" s="519"/>
      <c r="V69" s="519"/>
      <c r="W69" s="519"/>
      <c r="X69" s="519"/>
      <c r="Y69" s="519"/>
      <c r="Z69" s="519"/>
    </row>
    <row r="70" spans="1:26" s="512" customFormat="1" ht="38.25">
      <c r="A70" s="616" t="s">
        <v>8776</v>
      </c>
      <c r="B70" s="617" t="s">
        <v>5256</v>
      </c>
      <c r="C70" s="617">
        <v>92780</v>
      </c>
      <c r="D70" s="618" t="s">
        <v>8766</v>
      </c>
      <c r="E70" s="619">
        <f>73.8/1.1</f>
        <v>67.090909090909079</v>
      </c>
      <c r="F70" s="620" t="s">
        <v>6744</v>
      </c>
      <c r="G70" s="622">
        <v>5.21</v>
      </c>
      <c r="H70" s="622">
        <f>ROUND(G70*$B$13,2)</f>
        <v>1.4</v>
      </c>
      <c r="I70" s="622">
        <f>H70+G70</f>
        <v>6.6099999999999994</v>
      </c>
      <c r="J70" s="623">
        <f>ROUND(I70*E70,2)</f>
        <v>443.47</v>
      </c>
      <c r="K70" s="537">
        <f t="shared" si="7"/>
        <v>349.54</v>
      </c>
      <c r="L70" s="538">
        <f t="shared" si="8"/>
        <v>93.93</v>
      </c>
      <c r="M70" s="519"/>
      <c r="N70" s="520"/>
      <c r="O70" s="519"/>
      <c r="P70" s="519"/>
      <c r="Q70" s="519">
        <f>0.5*J70</f>
        <v>221.73500000000001</v>
      </c>
      <c r="R70" s="519">
        <f>0.5*J70</f>
        <v>221.73500000000001</v>
      </c>
      <c r="S70" s="519"/>
      <c r="T70" s="519"/>
      <c r="U70" s="519"/>
      <c r="V70" s="519"/>
      <c r="W70" s="519"/>
      <c r="X70" s="519"/>
      <c r="Y70" s="519"/>
      <c r="Z70" s="519"/>
    </row>
    <row r="71" spans="1:26" s="512" customFormat="1" ht="51">
      <c r="A71" s="616" t="s">
        <v>8777</v>
      </c>
      <c r="B71" s="617" t="s">
        <v>5256</v>
      </c>
      <c r="C71" s="617" t="s">
        <v>15577</v>
      </c>
      <c r="D71" s="618" t="s">
        <v>8768</v>
      </c>
      <c r="E71" s="619">
        <v>3.61</v>
      </c>
      <c r="F71" s="620" t="s">
        <v>6741</v>
      </c>
      <c r="G71" s="622">
        <v>292.94</v>
      </c>
      <c r="H71" s="622">
        <f>ROUND(G71*$B$13,2)</f>
        <v>78.89</v>
      </c>
      <c r="I71" s="622">
        <f>H71+G71</f>
        <v>371.83</v>
      </c>
      <c r="J71" s="623">
        <f>ROUND(I71*E71,2)</f>
        <v>1342.31</v>
      </c>
      <c r="K71" s="537">
        <f t="shared" si="7"/>
        <v>1057.51</v>
      </c>
      <c r="L71" s="538">
        <f t="shared" si="8"/>
        <v>284.79000000000002</v>
      </c>
      <c r="M71" s="519"/>
      <c r="N71" s="520"/>
      <c r="O71" s="519"/>
      <c r="P71" s="519"/>
      <c r="Q71" s="519">
        <f>0.5*J71</f>
        <v>671.15499999999997</v>
      </c>
      <c r="R71" s="519">
        <f>0.5*J71</f>
        <v>671.15499999999997</v>
      </c>
      <c r="S71" s="519"/>
      <c r="T71" s="519"/>
      <c r="U71" s="519"/>
      <c r="V71" s="519"/>
      <c r="W71" s="519"/>
      <c r="X71" s="519"/>
      <c r="Y71" s="519"/>
      <c r="Z71" s="519"/>
    </row>
    <row r="72" spans="1:26" s="6" customFormat="1">
      <c r="A72" s="632" t="s">
        <v>8778</v>
      </c>
      <c r="B72" s="715" t="s">
        <v>8780</v>
      </c>
      <c r="C72" s="715"/>
      <c r="D72" s="715"/>
      <c r="E72" s="715"/>
      <c r="F72" s="715"/>
      <c r="G72" s="715"/>
      <c r="H72" s="715"/>
      <c r="I72" s="715"/>
      <c r="J72" s="715"/>
      <c r="K72" s="371">
        <f t="shared" si="7"/>
        <v>0</v>
      </c>
      <c r="L72" s="333">
        <f t="shared" si="8"/>
        <v>0</v>
      </c>
      <c r="M72" s="358"/>
      <c r="N72" s="380"/>
      <c r="O72" s="358"/>
      <c r="P72" s="358"/>
      <c r="Q72" s="358"/>
      <c r="R72" s="358"/>
      <c r="S72" s="358"/>
      <c r="T72" s="358"/>
      <c r="U72" s="358"/>
      <c r="V72" s="358"/>
      <c r="W72" s="358"/>
      <c r="X72" s="358"/>
      <c r="Y72" s="358"/>
      <c r="Z72" s="358"/>
    </row>
    <row r="73" spans="1:26" s="512" customFormat="1" ht="51">
      <c r="A73" s="616" t="s">
        <v>8781</v>
      </c>
      <c r="B73" s="617" t="s">
        <v>5256</v>
      </c>
      <c r="C73" s="617">
        <v>92513</v>
      </c>
      <c r="D73" s="618" t="s">
        <v>8779</v>
      </c>
      <c r="E73" s="619">
        <f>19.07</f>
        <v>19.07</v>
      </c>
      <c r="F73" s="620" t="s">
        <v>6339</v>
      </c>
      <c r="G73" s="622">
        <v>20.7</v>
      </c>
      <c r="H73" s="622">
        <f>ROUND(G73*$B$13,2)</f>
        <v>5.57</v>
      </c>
      <c r="I73" s="622">
        <f>H73+G73</f>
        <v>26.27</v>
      </c>
      <c r="J73" s="623">
        <f>ROUND(I73*E73,2)</f>
        <v>500.97</v>
      </c>
      <c r="K73" s="537">
        <f t="shared" si="7"/>
        <v>394.75</v>
      </c>
      <c r="L73" s="538">
        <f t="shared" si="8"/>
        <v>106.22</v>
      </c>
      <c r="M73" s="519"/>
      <c r="N73" s="520"/>
      <c r="O73" s="519"/>
      <c r="P73" s="519"/>
      <c r="Q73" s="519">
        <f>0.5*J73</f>
        <v>250.48500000000001</v>
      </c>
      <c r="R73" s="519">
        <f>0.5*J73</f>
        <v>250.48500000000001</v>
      </c>
      <c r="S73" s="519"/>
      <c r="T73" s="519"/>
      <c r="U73" s="519"/>
      <c r="V73" s="519"/>
      <c r="W73" s="519"/>
      <c r="X73" s="519"/>
      <c r="Y73" s="519"/>
      <c r="Z73" s="519"/>
    </row>
    <row r="74" spans="1:26" s="512" customFormat="1" ht="38.25">
      <c r="A74" s="616" t="s">
        <v>8786</v>
      </c>
      <c r="B74" s="617" t="s">
        <v>5256</v>
      </c>
      <c r="C74" s="617">
        <v>92784</v>
      </c>
      <c r="D74" s="618" t="s">
        <v>8782</v>
      </c>
      <c r="E74" s="619">
        <f>(17.6)/1.1</f>
        <v>16</v>
      </c>
      <c r="F74" s="620" t="s">
        <v>6744</v>
      </c>
      <c r="G74" s="622">
        <v>8.2899999999999991</v>
      </c>
      <c r="H74" s="622">
        <f>ROUND(G74*$B$13,2)</f>
        <v>2.23</v>
      </c>
      <c r="I74" s="622">
        <f>H74+G74</f>
        <v>10.52</v>
      </c>
      <c r="J74" s="623">
        <f>ROUND(I74*E74,2)</f>
        <v>168.32</v>
      </c>
      <c r="K74" s="537">
        <f t="shared" si="7"/>
        <v>132.63999999999999</v>
      </c>
      <c r="L74" s="538">
        <f t="shared" si="8"/>
        <v>35.68</v>
      </c>
      <c r="M74" s="519"/>
      <c r="N74" s="520"/>
      <c r="O74" s="519"/>
      <c r="P74" s="519"/>
      <c r="Q74" s="519">
        <f>0.5*J74</f>
        <v>84.16</v>
      </c>
      <c r="R74" s="519">
        <f>0.5*J74</f>
        <v>84.16</v>
      </c>
      <c r="S74" s="519"/>
      <c r="T74" s="519"/>
      <c r="U74" s="519"/>
      <c r="V74" s="519"/>
      <c r="W74" s="519"/>
      <c r="X74" s="519"/>
      <c r="Y74" s="519"/>
      <c r="Z74" s="519"/>
    </row>
    <row r="75" spans="1:26" s="512" customFormat="1" ht="38.25">
      <c r="A75" s="616" t="s">
        <v>8787</v>
      </c>
      <c r="B75" s="617" t="s">
        <v>5256</v>
      </c>
      <c r="C75" s="617">
        <v>92786</v>
      </c>
      <c r="D75" s="618" t="s">
        <v>8783</v>
      </c>
      <c r="E75" s="619">
        <f>(165.5)/1.1</f>
        <v>150.45454545454544</v>
      </c>
      <c r="F75" s="620" t="s">
        <v>6744</v>
      </c>
      <c r="G75" s="622">
        <v>7.13</v>
      </c>
      <c r="H75" s="622">
        <f>ROUND(G75*$B$13,2)</f>
        <v>1.92</v>
      </c>
      <c r="I75" s="622">
        <f>H75+G75</f>
        <v>9.0500000000000007</v>
      </c>
      <c r="J75" s="623">
        <f>ROUND(I75*E75,2)</f>
        <v>1361.61</v>
      </c>
      <c r="K75" s="537">
        <f t="shared" si="7"/>
        <v>1072.74</v>
      </c>
      <c r="L75" s="538">
        <f t="shared" si="8"/>
        <v>288.87</v>
      </c>
      <c r="M75" s="519"/>
      <c r="N75" s="520"/>
      <c r="O75" s="519"/>
      <c r="P75" s="519"/>
      <c r="Q75" s="519">
        <f>0.5*J75</f>
        <v>680.80499999999995</v>
      </c>
      <c r="R75" s="519">
        <f>0.5*J75</f>
        <v>680.80499999999995</v>
      </c>
      <c r="S75" s="519"/>
      <c r="T75" s="519"/>
      <c r="U75" s="519"/>
      <c r="V75" s="519"/>
      <c r="W75" s="519"/>
      <c r="X75" s="519"/>
      <c r="Y75" s="519"/>
      <c r="Z75" s="519"/>
    </row>
    <row r="76" spans="1:26" s="512" customFormat="1" ht="38.25">
      <c r="A76" s="616" t="s">
        <v>8788</v>
      </c>
      <c r="B76" s="617" t="s">
        <v>5256</v>
      </c>
      <c r="C76" s="617" t="s">
        <v>8785</v>
      </c>
      <c r="D76" s="618" t="s">
        <v>8784</v>
      </c>
      <c r="E76" s="619">
        <v>2.2400000000000002</v>
      </c>
      <c r="F76" s="620" t="s">
        <v>6741</v>
      </c>
      <c r="G76" s="622">
        <v>287.26</v>
      </c>
      <c r="H76" s="622">
        <f>ROUND(G76*$B$13,2)</f>
        <v>77.36</v>
      </c>
      <c r="I76" s="622">
        <f>H76+G76</f>
        <v>364.62</v>
      </c>
      <c r="J76" s="623">
        <f>ROUND(I76*E76,2)</f>
        <v>816.75</v>
      </c>
      <c r="K76" s="537">
        <f t="shared" si="7"/>
        <v>643.46</v>
      </c>
      <c r="L76" s="538">
        <f t="shared" si="8"/>
        <v>173.29</v>
      </c>
      <c r="M76" s="519"/>
      <c r="N76" s="520"/>
      <c r="O76" s="519"/>
      <c r="P76" s="519"/>
      <c r="Q76" s="519">
        <f>0.5*J76</f>
        <v>408.375</v>
      </c>
      <c r="R76" s="519">
        <f>0.5*J76</f>
        <v>408.375</v>
      </c>
      <c r="S76" s="519"/>
      <c r="T76" s="519"/>
      <c r="U76" s="519"/>
      <c r="V76" s="519"/>
      <c r="W76" s="519"/>
      <c r="X76" s="519"/>
      <c r="Y76" s="519"/>
      <c r="Z76" s="519"/>
    </row>
    <row r="77" spans="1:26" s="6" customFormat="1">
      <c r="A77" s="632" t="s">
        <v>8789</v>
      </c>
      <c r="B77" s="715" t="s">
        <v>8790</v>
      </c>
      <c r="C77" s="715"/>
      <c r="D77" s="715"/>
      <c r="E77" s="715"/>
      <c r="F77" s="715"/>
      <c r="G77" s="715"/>
      <c r="H77" s="715"/>
      <c r="I77" s="715"/>
      <c r="J77" s="715"/>
      <c r="K77" s="371">
        <f t="shared" si="7"/>
        <v>0</v>
      </c>
      <c r="L77" s="333">
        <f t="shared" si="8"/>
        <v>0</v>
      </c>
      <c r="M77" s="358"/>
      <c r="N77" s="380"/>
      <c r="O77" s="358"/>
      <c r="P77" s="358"/>
      <c r="Q77" s="358"/>
      <c r="R77" s="358"/>
      <c r="S77" s="358"/>
      <c r="T77" s="358"/>
      <c r="U77" s="358"/>
      <c r="V77" s="358"/>
      <c r="W77" s="358"/>
      <c r="X77" s="358"/>
      <c r="Y77" s="358"/>
      <c r="Z77" s="358"/>
    </row>
    <row r="78" spans="1:26" s="512" customFormat="1" ht="51">
      <c r="A78" s="616" t="s">
        <v>8793</v>
      </c>
      <c r="B78" s="617" t="s">
        <v>5256</v>
      </c>
      <c r="C78" s="617">
        <v>92419</v>
      </c>
      <c r="D78" s="618" t="s">
        <v>8792</v>
      </c>
      <c r="E78" s="619">
        <v>248.76</v>
      </c>
      <c r="F78" s="620" t="s">
        <v>6339</v>
      </c>
      <c r="G78" s="622">
        <v>41.63</v>
      </c>
      <c r="H78" s="622">
        <f>ROUND(G78*$B$13,2)</f>
        <v>11.21</v>
      </c>
      <c r="I78" s="622">
        <f>H78+G78</f>
        <v>52.84</v>
      </c>
      <c r="J78" s="623">
        <f>ROUND(I78*E78,2)</f>
        <v>13144.48</v>
      </c>
      <c r="K78" s="537">
        <f t="shared" si="7"/>
        <v>10355.879999999999</v>
      </c>
      <c r="L78" s="538">
        <f t="shared" si="8"/>
        <v>2788.6</v>
      </c>
      <c r="M78" s="519"/>
      <c r="N78" s="520"/>
      <c r="O78" s="519"/>
      <c r="P78" s="519"/>
      <c r="Q78" s="519">
        <f>0.5*J78</f>
        <v>6572.24</v>
      </c>
      <c r="R78" s="519">
        <f>0.5*J78</f>
        <v>6572.24</v>
      </c>
      <c r="S78" s="519"/>
      <c r="T78" s="519"/>
      <c r="U78" s="519"/>
      <c r="V78" s="519"/>
      <c r="W78" s="519"/>
      <c r="X78" s="519"/>
      <c r="Y78" s="519"/>
      <c r="Z78" s="519"/>
    </row>
    <row r="79" spans="1:26" s="512" customFormat="1" ht="25.5">
      <c r="A79" s="616" t="s">
        <v>8796</v>
      </c>
      <c r="B79" s="617" t="s">
        <v>5256</v>
      </c>
      <c r="C79" s="617">
        <v>91602</v>
      </c>
      <c r="D79" s="618" t="s">
        <v>8794</v>
      </c>
      <c r="E79" s="619">
        <f>587.8/1.1</f>
        <v>534.36363636363626</v>
      </c>
      <c r="F79" s="620" t="s">
        <v>6744</v>
      </c>
      <c r="G79" s="622">
        <v>6.03</v>
      </c>
      <c r="H79" s="622">
        <f>ROUND(G79*$B$13,2)</f>
        <v>1.62</v>
      </c>
      <c r="I79" s="622">
        <f>H79+G79</f>
        <v>7.65</v>
      </c>
      <c r="J79" s="623">
        <f>ROUND(I79*E79,2)</f>
        <v>4087.88</v>
      </c>
      <c r="K79" s="537">
        <f t="shared" si="7"/>
        <v>3222.21</v>
      </c>
      <c r="L79" s="538">
        <f t="shared" si="8"/>
        <v>865.67</v>
      </c>
      <c r="M79" s="519"/>
      <c r="N79" s="520"/>
      <c r="O79" s="519"/>
      <c r="P79" s="519"/>
      <c r="Q79" s="519">
        <f>0.5*J79</f>
        <v>2043.94</v>
      </c>
      <c r="R79" s="519">
        <f>0.5*J79</f>
        <v>2043.94</v>
      </c>
      <c r="S79" s="519"/>
      <c r="T79" s="519"/>
      <c r="U79" s="519"/>
      <c r="V79" s="519"/>
      <c r="W79" s="519"/>
      <c r="X79" s="519"/>
      <c r="Y79" s="519"/>
      <c r="Z79" s="519"/>
    </row>
    <row r="80" spans="1:26" s="512" customFormat="1" ht="25.5">
      <c r="A80" s="616" t="s">
        <v>8797</v>
      </c>
      <c r="B80" s="617" t="s">
        <v>5256</v>
      </c>
      <c r="C80" s="617">
        <v>91603</v>
      </c>
      <c r="D80" s="618" t="s">
        <v>8795</v>
      </c>
      <c r="E80" s="619">
        <f>294.4/1.1</f>
        <v>267.63636363636357</v>
      </c>
      <c r="F80" s="620" t="s">
        <v>6744</v>
      </c>
      <c r="G80" s="622">
        <v>5.23</v>
      </c>
      <c r="H80" s="622">
        <f>ROUND(G80*$B$13,2)</f>
        <v>1.41</v>
      </c>
      <c r="I80" s="622">
        <f>H80+G80</f>
        <v>6.6400000000000006</v>
      </c>
      <c r="J80" s="623">
        <f>ROUND(I80*E80,2)</f>
        <v>1777.11</v>
      </c>
      <c r="K80" s="537">
        <f t="shared" si="7"/>
        <v>1399.74</v>
      </c>
      <c r="L80" s="538">
        <f t="shared" si="8"/>
        <v>377.37</v>
      </c>
      <c r="M80" s="519"/>
      <c r="N80" s="520"/>
      <c r="O80" s="519"/>
      <c r="P80" s="519"/>
      <c r="Q80" s="519">
        <f>0.5*J80</f>
        <v>888.55499999999995</v>
      </c>
      <c r="R80" s="519">
        <f>0.5*J80</f>
        <v>888.55499999999995</v>
      </c>
      <c r="S80" s="519"/>
      <c r="T80" s="519"/>
      <c r="U80" s="519"/>
      <c r="V80" s="519"/>
      <c r="W80" s="519"/>
      <c r="X80" s="519"/>
      <c r="Y80" s="519"/>
      <c r="Z80" s="519"/>
    </row>
    <row r="81" spans="1:26" s="512" customFormat="1" ht="25.5">
      <c r="A81" s="616" t="s">
        <v>8799</v>
      </c>
      <c r="B81" s="617" t="s">
        <v>5256</v>
      </c>
      <c r="C81" s="617" t="s">
        <v>6750</v>
      </c>
      <c r="D81" s="618" t="s">
        <v>8798</v>
      </c>
      <c r="E81" s="619">
        <v>19.43</v>
      </c>
      <c r="F81" s="620" t="s">
        <v>6741</v>
      </c>
      <c r="G81" s="622">
        <v>262.63</v>
      </c>
      <c r="H81" s="622">
        <f>ROUND(G81*$B$13,2)</f>
        <v>70.73</v>
      </c>
      <c r="I81" s="622">
        <f>H81+G81</f>
        <v>333.36</v>
      </c>
      <c r="J81" s="623">
        <f>ROUND(I81*E81,2)</f>
        <v>6477.18</v>
      </c>
      <c r="K81" s="537">
        <f t="shared" si="7"/>
        <v>5102.8999999999996</v>
      </c>
      <c r="L81" s="538">
        <f t="shared" si="8"/>
        <v>1374.28</v>
      </c>
      <c r="M81" s="519"/>
      <c r="N81" s="520"/>
      <c r="O81" s="519"/>
      <c r="P81" s="519"/>
      <c r="Q81" s="519">
        <f>0.5*J81</f>
        <v>3238.59</v>
      </c>
      <c r="R81" s="519">
        <f>0.5*J81</f>
        <v>3238.59</v>
      </c>
      <c r="S81" s="519"/>
      <c r="T81" s="519"/>
      <c r="U81" s="519"/>
      <c r="V81" s="519"/>
      <c r="W81" s="519"/>
      <c r="X81" s="519"/>
      <c r="Y81" s="519"/>
      <c r="Z81" s="519"/>
    </row>
    <row r="82" spans="1:26" s="6" customFormat="1" ht="15">
      <c r="A82" s="713" t="s">
        <v>6763</v>
      </c>
      <c r="B82" s="713"/>
      <c r="C82" s="713"/>
      <c r="D82" s="713"/>
      <c r="E82" s="713"/>
      <c r="F82" s="713"/>
      <c r="G82" s="713"/>
      <c r="H82" s="713"/>
      <c r="I82" s="713"/>
      <c r="J82" s="624">
        <f>SUM(J65:J81)</f>
        <v>36129.449999999997</v>
      </c>
      <c r="K82" s="371"/>
      <c r="L82" s="333"/>
      <c r="M82" s="514">
        <f>SUM(M65:M81)</f>
        <v>0</v>
      </c>
      <c r="N82" s="514">
        <f t="shared" ref="N82:Z82" si="9">SUM(N65:N81)</f>
        <v>0</v>
      </c>
      <c r="O82" s="514">
        <f t="shared" si="9"/>
        <v>0</v>
      </c>
      <c r="P82" s="514">
        <f t="shared" si="9"/>
        <v>0</v>
      </c>
      <c r="Q82" s="514">
        <f t="shared" si="9"/>
        <v>18064.724999999999</v>
      </c>
      <c r="R82" s="514">
        <f t="shared" si="9"/>
        <v>18064.724999999999</v>
      </c>
      <c r="S82" s="514">
        <f t="shared" si="9"/>
        <v>0</v>
      </c>
      <c r="T82" s="514">
        <f t="shared" si="9"/>
        <v>0</v>
      </c>
      <c r="U82" s="514">
        <f t="shared" si="9"/>
        <v>0</v>
      </c>
      <c r="V82" s="514">
        <f t="shared" si="9"/>
        <v>0</v>
      </c>
      <c r="W82" s="514">
        <f t="shared" si="9"/>
        <v>0</v>
      </c>
      <c r="X82" s="514">
        <f t="shared" si="9"/>
        <v>0</v>
      </c>
      <c r="Y82" s="514">
        <f t="shared" si="9"/>
        <v>0</v>
      </c>
      <c r="Z82" s="514">
        <f t="shared" si="9"/>
        <v>0</v>
      </c>
    </row>
    <row r="83" spans="1:26" s="6" customFormat="1">
      <c r="A83" s="625"/>
      <c r="B83" s="625"/>
      <c r="C83" s="625"/>
      <c r="D83" s="625"/>
      <c r="E83" s="626"/>
      <c r="F83" s="625"/>
      <c r="G83" s="625"/>
      <c r="H83" s="627"/>
      <c r="I83" s="627"/>
      <c r="J83" s="628"/>
      <c r="K83" s="371"/>
      <c r="L83" s="333"/>
      <c r="M83" s="358"/>
      <c r="N83" s="380"/>
      <c r="O83" s="358"/>
      <c r="P83" s="358"/>
      <c r="Q83" s="358"/>
      <c r="R83" s="358"/>
      <c r="S83" s="358"/>
      <c r="T83" s="358"/>
      <c r="U83" s="358"/>
      <c r="V83" s="358"/>
      <c r="W83" s="358"/>
      <c r="X83" s="358"/>
      <c r="Y83" s="358"/>
      <c r="Z83" s="358"/>
    </row>
    <row r="84" spans="1:26" ht="15">
      <c r="A84" s="714" t="s">
        <v>6764</v>
      </c>
      <c r="B84" s="714"/>
      <c r="C84" s="714"/>
      <c r="D84" s="714"/>
      <c r="E84" s="714"/>
      <c r="F84" s="714"/>
      <c r="G84" s="714"/>
      <c r="H84" s="714"/>
      <c r="I84" s="714"/>
      <c r="J84" s="629">
        <f>J82+J63</f>
        <v>60594.419999999991</v>
      </c>
      <c r="M84" s="516">
        <f>M82+M63</f>
        <v>0</v>
      </c>
      <c r="N84" s="516">
        <f t="shared" ref="N84:Z84" si="10">N82+N63</f>
        <v>14324.619999999999</v>
      </c>
      <c r="O84" s="516">
        <f t="shared" si="10"/>
        <v>8795.9500000000007</v>
      </c>
      <c r="P84" s="516">
        <f t="shared" si="10"/>
        <v>1344.4</v>
      </c>
      <c r="Q84" s="516">
        <f t="shared" si="10"/>
        <v>18064.724999999999</v>
      </c>
      <c r="R84" s="516">
        <f t="shared" si="10"/>
        <v>18064.724999999999</v>
      </c>
      <c r="S84" s="516">
        <f t="shared" si="10"/>
        <v>0</v>
      </c>
      <c r="T84" s="516">
        <f t="shared" si="10"/>
        <v>0</v>
      </c>
      <c r="U84" s="516">
        <f t="shared" si="10"/>
        <v>0</v>
      </c>
      <c r="V84" s="516">
        <f t="shared" si="10"/>
        <v>0</v>
      </c>
      <c r="W84" s="516">
        <f t="shared" si="10"/>
        <v>0</v>
      </c>
      <c r="X84" s="516">
        <f t="shared" si="10"/>
        <v>0</v>
      </c>
      <c r="Y84" s="516">
        <f t="shared" si="10"/>
        <v>0</v>
      </c>
      <c r="Z84" s="516">
        <f t="shared" si="10"/>
        <v>0</v>
      </c>
    </row>
    <row r="85" spans="1:26" s="6" customFormat="1">
      <c r="A85" s="616"/>
      <c r="B85" s="617"/>
      <c r="C85" s="617"/>
      <c r="D85" s="618"/>
      <c r="E85" s="619"/>
      <c r="F85" s="620"/>
      <c r="G85" s="630"/>
      <c r="H85" s="630"/>
      <c r="I85" s="630"/>
      <c r="J85" s="631"/>
      <c r="K85" s="371"/>
      <c r="L85" s="333"/>
      <c r="M85" s="517">
        <f>M84/$J84</f>
        <v>0</v>
      </c>
      <c r="N85" s="517">
        <f>N84/$J84</f>
        <v>0.23640163566216166</v>
      </c>
      <c r="O85" s="517">
        <f t="shared" ref="O85:Z85" si="11">O84/$J84</f>
        <v>0.14516105608404209</v>
      </c>
      <c r="P85" s="517">
        <f t="shared" si="11"/>
        <v>2.2186861430474956E-2</v>
      </c>
      <c r="Q85" s="517">
        <f t="shared" si="11"/>
        <v>0.2981252234116607</v>
      </c>
      <c r="R85" s="517">
        <f t="shared" si="11"/>
        <v>0.2981252234116607</v>
      </c>
      <c r="S85" s="517">
        <f t="shared" si="11"/>
        <v>0</v>
      </c>
      <c r="T85" s="517">
        <f t="shared" si="11"/>
        <v>0</v>
      </c>
      <c r="U85" s="517">
        <f t="shared" si="11"/>
        <v>0</v>
      </c>
      <c r="V85" s="517">
        <f t="shared" si="11"/>
        <v>0</v>
      </c>
      <c r="W85" s="517">
        <f t="shared" si="11"/>
        <v>0</v>
      </c>
      <c r="X85" s="517">
        <f t="shared" si="11"/>
        <v>0</v>
      </c>
      <c r="Y85" s="517">
        <f t="shared" si="11"/>
        <v>0</v>
      </c>
      <c r="Z85" s="517">
        <f t="shared" si="11"/>
        <v>0</v>
      </c>
    </row>
    <row r="86" spans="1:26">
      <c r="A86" s="609" t="s">
        <v>4</v>
      </c>
      <c r="B86" s="709" t="s">
        <v>5804</v>
      </c>
      <c r="C86" s="710"/>
      <c r="D86" s="710"/>
      <c r="E86" s="710"/>
      <c r="F86" s="710"/>
      <c r="G86" s="710"/>
      <c r="H86" s="710"/>
      <c r="I86" s="710"/>
      <c r="J86" s="710"/>
      <c r="K86" s="533"/>
      <c r="L86" s="533"/>
      <c r="M86" s="506"/>
      <c r="N86" s="507"/>
    </row>
    <row r="87" spans="1:26" s="6" customFormat="1">
      <c r="A87" s="610" t="s">
        <v>0</v>
      </c>
      <c r="B87" s="711" t="s">
        <v>5250</v>
      </c>
      <c r="C87" s="712"/>
      <c r="D87" s="611" t="s">
        <v>1</v>
      </c>
      <c r="E87" s="611" t="s">
        <v>134</v>
      </c>
      <c r="F87" s="612" t="s">
        <v>11</v>
      </c>
      <c r="G87" s="613" t="s">
        <v>12</v>
      </c>
      <c r="H87" s="613" t="s">
        <v>6735</v>
      </c>
      <c r="I87" s="613" t="s">
        <v>6736</v>
      </c>
      <c r="J87" s="614" t="s">
        <v>133</v>
      </c>
      <c r="K87" s="533"/>
      <c r="L87" s="533"/>
      <c r="M87" s="506"/>
      <c r="N87" s="507"/>
      <c r="O87" s="358"/>
      <c r="P87" s="358"/>
      <c r="Q87" s="358"/>
      <c r="R87" s="358"/>
      <c r="S87" s="358"/>
      <c r="T87" s="358"/>
      <c r="U87" s="358"/>
      <c r="V87" s="358"/>
      <c r="W87" s="358"/>
      <c r="X87" s="358"/>
      <c r="Y87" s="358"/>
      <c r="Z87" s="358"/>
    </row>
    <row r="88" spans="1:26" s="6" customFormat="1">
      <c r="A88" s="615" t="s">
        <v>5795</v>
      </c>
      <c r="B88" s="707" t="s">
        <v>5805</v>
      </c>
      <c r="C88" s="707"/>
      <c r="D88" s="707"/>
      <c r="E88" s="707"/>
      <c r="F88" s="707"/>
      <c r="G88" s="707"/>
      <c r="H88" s="707"/>
      <c r="I88" s="707"/>
      <c r="J88" s="707"/>
      <c r="K88" s="371"/>
      <c r="L88" s="333"/>
      <c r="M88" s="358"/>
      <c r="N88" s="380"/>
      <c r="O88" s="358"/>
      <c r="P88" s="358"/>
      <c r="Q88" s="358"/>
      <c r="R88" s="358"/>
      <c r="S88" s="358"/>
      <c r="T88" s="358"/>
      <c r="U88" s="358"/>
      <c r="V88" s="358"/>
      <c r="W88" s="358"/>
      <c r="X88" s="358"/>
      <c r="Y88" s="358"/>
      <c r="Z88" s="358"/>
    </row>
    <row r="89" spans="1:26" s="6" customFormat="1">
      <c r="A89" s="632" t="s">
        <v>6780</v>
      </c>
      <c r="B89" s="715" t="s">
        <v>6781</v>
      </c>
      <c r="C89" s="715"/>
      <c r="D89" s="715"/>
      <c r="E89" s="715"/>
      <c r="F89" s="715"/>
      <c r="G89" s="715"/>
      <c r="H89" s="715"/>
      <c r="I89" s="715"/>
      <c r="J89" s="715"/>
      <c r="K89" s="371"/>
      <c r="L89" s="333"/>
      <c r="M89" s="358"/>
      <c r="N89" s="380"/>
      <c r="O89" s="358"/>
      <c r="P89" s="358"/>
      <c r="Q89" s="358"/>
      <c r="R89" s="358"/>
      <c r="S89" s="358"/>
      <c r="T89" s="358"/>
      <c r="U89" s="358"/>
      <c r="V89" s="358"/>
      <c r="W89" s="358"/>
      <c r="X89" s="358"/>
      <c r="Y89" s="358"/>
      <c r="Z89" s="358"/>
    </row>
    <row r="90" spans="1:26" s="512" customFormat="1" ht="25.5">
      <c r="A90" s="616" t="s">
        <v>8831</v>
      </c>
      <c r="B90" s="617" t="s">
        <v>5256</v>
      </c>
      <c r="C90" s="617" t="s">
        <v>8833</v>
      </c>
      <c r="D90" s="618" t="s">
        <v>8829</v>
      </c>
      <c r="E90" s="619">
        <v>3</v>
      </c>
      <c r="F90" s="620" t="s">
        <v>6337</v>
      </c>
      <c r="G90" s="622">
        <v>157.47</v>
      </c>
      <c r="H90" s="622">
        <f>ROUND(G90*$B$13,2)</f>
        <v>42.41</v>
      </c>
      <c r="I90" s="622">
        <f>H90+G90</f>
        <v>199.88</v>
      </c>
      <c r="J90" s="623">
        <f>ROUND(I90*E90,2)</f>
        <v>599.64</v>
      </c>
      <c r="K90" s="537">
        <f t="shared" ref="K90:K106" si="12">ROUND(G90*E90,2)</f>
        <v>472.41</v>
      </c>
      <c r="L90" s="538">
        <f t="shared" ref="L90:L106" si="13">ROUND(H90*E90,2)</f>
        <v>127.23</v>
      </c>
      <c r="M90" s="519"/>
      <c r="N90" s="520"/>
      <c r="O90" s="519"/>
      <c r="P90" s="519"/>
      <c r="Q90" s="519"/>
      <c r="R90" s="519"/>
      <c r="S90" s="519"/>
      <c r="T90" s="519">
        <f>J90</f>
        <v>599.64</v>
      </c>
      <c r="U90" s="519"/>
      <c r="V90" s="519"/>
      <c r="W90" s="519"/>
      <c r="X90" s="519"/>
      <c r="Y90" s="519"/>
      <c r="Z90" s="519"/>
    </row>
    <row r="91" spans="1:26" s="512" customFormat="1" ht="25.5">
      <c r="A91" s="616" t="s">
        <v>8832</v>
      </c>
      <c r="B91" s="617" t="s">
        <v>5256</v>
      </c>
      <c r="C91" s="617" t="s">
        <v>8834</v>
      </c>
      <c r="D91" s="618" t="s">
        <v>8830</v>
      </c>
      <c r="E91" s="619">
        <v>1</v>
      </c>
      <c r="F91" s="620" t="s">
        <v>6337</v>
      </c>
      <c r="G91" s="622">
        <v>187.40999999999997</v>
      </c>
      <c r="H91" s="622">
        <f>ROUND(G91*$B$13,2)</f>
        <v>50.47</v>
      </c>
      <c r="I91" s="622">
        <f>H91+G91</f>
        <v>237.87999999999997</v>
      </c>
      <c r="J91" s="623">
        <f>ROUND(I91*E91,2)</f>
        <v>237.88</v>
      </c>
      <c r="K91" s="537">
        <f t="shared" si="12"/>
        <v>187.41</v>
      </c>
      <c r="L91" s="538">
        <f t="shared" si="13"/>
        <v>50.47</v>
      </c>
      <c r="M91" s="511"/>
      <c r="N91" s="520"/>
      <c r="O91" s="519"/>
      <c r="P91" s="519"/>
      <c r="Q91" s="519"/>
      <c r="R91" s="519"/>
      <c r="S91" s="519"/>
      <c r="T91" s="519">
        <f>J91</f>
        <v>237.88</v>
      </c>
      <c r="U91" s="519"/>
      <c r="V91" s="519"/>
      <c r="W91" s="519"/>
      <c r="X91" s="519"/>
      <c r="Y91" s="519"/>
      <c r="Z91" s="519"/>
    </row>
    <row r="92" spans="1:26" s="512" customFormat="1">
      <c r="A92" s="632" t="s">
        <v>6835</v>
      </c>
      <c r="B92" s="715" t="s">
        <v>6836</v>
      </c>
      <c r="C92" s="715"/>
      <c r="D92" s="715"/>
      <c r="E92" s="715"/>
      <c r="F92" s="715"/>
      <c r="G92" s="715"/>
      <c r="H92" s="715"/>
      <c r="I92" s="715"/>
      <c r="J92" s="715"/>
      <c r="K92" s="537">
        <f t="shared" si="12"/>
        <v>0</v>
      </c>
      <c r="L92" s="538">
        <f t="shared" si="13"/>
        <v>0</v>
      </c>
      <c r="M92" s="519"/>
      <c r="N92" s="520"/>
      <c r="O92" s="519"/>
      <c r="P92" s="519"/>
      <c r="Q92" s="519"/>
      <c r="R92" s="519"/>
      <c r="S92" s="519"/>
      <c r="T92" s="519"/>
      <c r="U92" s="519"/>
      <c r="V92" s="519"/>
      <c r="W92" s="519"/>
      <c r="X92" s="519"/>
      <c r="Y92" s="519"/>
      <c r="Z92" s="519"/>
    </row>
    <row r="93" spans="1:26" s="512" customFormat="1" ht="25.5">
      <c r="A93" s="616" t="s">
        <v>7925</v>
      </c>
      <c r="B93" s="617" t="s">
        <v>5256</v>
      </c>
      <c r="C93" s="617">
        <v>97084</v>
      </c>
      <c r="D93" s="618" t="s">
        <v>8811</v>
      </c>
      <c r="E93" s="619">
        <v>45</v>
      </c>
      <c r="F93" s="620" t="s">
        <v>6339</v>
      </c>
      <c r="G93" s="622">
        <v>0.37</v>
      </c>
      <c r="H93" s="622">
        <f>ROUND(G93*$B$13,2)</f>
        <v>0.1</v>
      </c>
      <c r="I93" s="622">
        <f>H93+G93</f>
        <v>0.47</v>
      </c>
      <c r="J93" s="623">
        <f>ROUND(I93*E93,2)</f>
        <v>21.15</v>
      </c>
      <c r="K93" s="537">
        <f t="shared" si="12"/>
        <v>16.649999999999999</v>
      </c>
      <c r="L93" s="538">
        <f t="shared" si="13"/>
        <v>4.5</v>
      </c>
      <c r="M93" s="511"/>
      <c r="N93" s="520"/>
      <c r="O93" s="519"/>
      <c r="P93" s="519"/>
      <c r="Q93" s="519"/>
      <c r="R93" s="519"/>
      <c r="S93" s="519">
        <f>J93</f>
        <v>21.15</v>
      </c>
      <c r="T93" s="519"/>
      <c r="U93" s="519"/>
      <c r="V93" s="519"/>
      <c r="W93" s="519"/>
      <c r="X93" s="519"/>
      <c r="Y93" s="519"/>
      <c r="Z93" s="519"/>
    </row>
    <row r="94" spans="1:26" s="512" customFormat="1" ht="38.25">
      <c r="A94" s="616" t="s">
        <v>7926</v>
      </c>
      <c r="B94" s="617" t="s">
        <v>5256</v>
      </c>
      <c r="C94" s="617">
        <v>97094</v>
      </c>
      <c r="D94" s="618" t="s">
        <v>8812</v>
      </c>
      <c r="E94" s="619">
        <f>45*0.1</f>
        <v>4.5</v>
      </c>
      <c r="F94" s="620" t="s">
        <v>6741</v>
      </c>
      <c r="G94" s="622">
        <v>297.92</v>
      </c>
      <c r="H94" s="622">
        <f>ROUND(G94*$B$13,2)</f>
        <v>80.23</v>
      </c>
      <c r="I94" s="622">
        <f>H94+G94</f>
        <v>378.15000000000003</v>
      </c>
      <c r="J94" s="623">
        <f>ROUND(I94*E94,2)</f>
        <v>1701.68</v>
      </c>
      <c r="K94" s="537">
        <f t="shared" si="12"/>
        <v>1340.64</v>
      </c>
      <c r="L94" s="538">
        <f t="shared" si="13"/>
        <v>361.04</v>
      </c>
      <c r="M94" s="511"/>
      <c r="N94" s="520"/>
      <c r="O94" s="519"/>
      <c r="P94" s="519"/>
      <c r="Q94" s="519"/>
      <c r="R94" s="519"/>
      <c r="S94" s="519">
        <f>J94</f>
        <v>1701.68</v>
      </c>
      <c r="T94" s="519"/>
      <c r="U94" s="519"/>
      <c r="V94" s="519"/>
      <c r="W94" s="519"/>
      <c r="X94" s="519"/>
      <c r="Y94" s="519"/>
      <c r="Z94" s="519"/>
    </row>
    <row r="95" spans="1:26" s="512" customFormat="1">
      <c r="A95" s="632" t="s">
        <v>6847</v>
      </c>
      <c r="B95" s="715" t="s">
        <v>6848</v>
      </c>
      <c r="C95" s="715"/>
      <c r="D95" s="715"/>
      <c r="E95" s="715"/>
      <c r="F95" s="715"/>
      <c r="G95" s="715"/>
      <c r="H95" s="715"/>
      <c r="I95" s="715"/>
      <c r="J95" s="715"/>
      <c r="K95" s="537">
        <f t="shared" si="12"/>
        <v>0</v>
      </c>
      <c r="L95" s="538">
        <f t="shared" si="13"/>
        <v>0</v>
      </c>
      <c r="M95" s="519"/>
      <c r="N95" s="520"/>
      <c r="O95" s="519"/>
      <c r="P95" s="519"/>
      <c r="Q95" s="519"/>
      <c r="R95" s="519"/>
      <c r="S95" s="519"/>
      <c r="T95" s="519"/>
      <c r="U95" s="519"/>
      <c r="V95" s="519"/>
      <c r="W95" s="519"/>
      <c r="X95" s="519"/>
      <c r="Y95" s="519"/>
      <c r="Z95" s="519"/>
    </row>
    <row r="96" spans="1:26" s="512" customFormat="1" ht="25.5">
      <c r="A96" s="616" t="s">
        <v>8813</v>
      </c>
      <c r="B96" s="617" t="s">
        <v>5256</v>
      </c>
      <c r="C96" s="617">
        <v>87879</v>
      </c>
      <c r="D96" s="618" t="s">
        <v>6849</v>
      </c>
      <c r="E96" s="619">
        <f>QuantReservatório!J62</f>
        <v>25.62</v>
      </c>
      <c r="F96" s="620" t="s">
        <v>6339</v>
      </c>
      <c r="G96" s="622">
        <v>2.37</v>
      </c>
      <c r="H96" s="622">
        <f>ROUND(G96*$B$13,2)</f>
        <v>0.64</v>
      </c>
      <c r="I96" s="622">
        <f>H96+G96</f>
        <v>3.0100000000000002</v>
      </c>
      <c r="J96" s="623">
        <f>ROUND(I96*E96,2)</f>
        <v>77.12</v>
      </c>
      <c r="K96" s="537">
        <f t="shared" si="12"/>
        <v>60.72</v>
      </c>
      <c r="L96" s="538">
        <f t="shared" si="13"/>
        <v>16.399999999999999</v>
      </c>
      <c r="M96" s="511"/>
      <c r="N96" s="520"/>
      <c r="O96" s="519"/>
      <c r="P96" s="519"/>
      <c r="Q96" s="519"/>
      <c r="R96" s="519"/>
      <c r="S96" s="519">
        <f>J96</f>
        <v>77.12</v>
      </c>
      <c r="T96" s="519"/>
      <c r="U96" s="519"/>
      <c r="V96" s="519"/>
      <c r="W96" s="519"/>
      <c r="X96" s="519"/>
      <c r="Y96" s="519"/>
      <c r="Z96" s="519"/>
    </row>
    <row r="97" spans="1:26" s="512" customFormat="1" ht="25.5">
      <c r="A97" s="616" t="s">
        <v>6852</v>
      </c>
      <c r="B97" s="617" t="s">
        <v>5256</v>
      </c>
      <c r="C97" s="617">
        <v>89173</v>
      </c>
      <c r="D97" s="618" t="s">
        <v>6850</v>
      </c>
      <c r="E97" s="619">
        <f>E96</f>
        <v>25.62</v>
      </c>
      <c r="F97" s="620" t="s">
        <v>6339</v>
      </c>
      <c r="G97" s="622">
        <v>21.77</v>
      </c>
      <c r="H97" s="622">
        <f>ROUND(G97*$B$13,2)</f>
        <v>5.86</v>
      </c>
      <c r="I97" s="622">
        <f>H97+G97</f>
        <v>27.63</v>
      </c>
      <c r="J97" s="623">
        <f>ROUND(I97*E97,2)</f>
        <v>707.88</v>
      </c>
      <c r="K97" s="537">
        <f t="shared" si="12"/>
        <v>557.75</v>
      </c>
      <c r="L97" s="538">
        <f t="shared" si="13"/>
        <v>150.13</v>
      </c>
      <c r="M97" s="511"/>
      <c r="N97" s="520"/>
      <c r="O97" s="519"/>
      <c r="P97" s="519"/>
      <c r="Q97" s="519"/>
      <c r="R97" s="519"/>
      <c r="S97" s="519">
        <f>J97</f>
        <v>707.88</v>
      </c>
      <c r="T97" s="519"/>
      <c r="U97" s="519"/>
      <c r="V97" s="519"/>
      <c r="W97" s="519"/>
      <c r="X97" s="519"/>
      <c r="Y97" s="519"/>
      <c r="Z97" s="519"/>
    </row>
    <row r="98" spans="1:26" s="512" customFormat="1">
      <c r="A98" s="632" t="s">
        <v>6854</v>
      </c>
      <c r="B98" s="715" t="s">
        <v>6855</v>
      </c>
      <c r="C98" s="715"/>
      <c r="D98" s="715"/>
      <c r="E98" s="715"/>
      <c r="F98" s="715"/>
      <c r="G98" s="715"/>
      <c r="H98" s="715"/>
      <c r="I98" s="715"/>
      <c r="J98" s="715"/>
      <c r="K98" s="537">
        <f t="shared" si="12"/>
        <v>0</v>
      </c>
      <c r="L98" s="538">
        <f t="shared" si="13"/>
        <v>0</v>
      </c>
      <c r="M98" s="519"/>
      <c r="N98" s="520"/>
      <c r="O98" s="519"/>
      <c r="P98" s="519"/>
      <c r="Q98" s="519"/>
      <c r="R98" s="519"/>
      <c r="S98" s="519"/>
      <c r="T98" s="519"/>
      <c r="U98" s="519"/>
      <c r="V98" s="519"/>
      <c r="W98" s="519"/>
      <c r="X98" s="519"/>
      <c r="Y98" s="519"/>
      <c r="Z98" s="519"/>
    </row>
    <row r="99" spans="1:26" s="512" customFormat="1" ht="25.5">
      <c r="A99" s="616" t="s">
        <v>6864</v>
      </c>
      <c r="B99" s="617" t="s">
        <v>5256</v>
      </c>
      <c r="C99" s="617">
        <v>95622</v>
      </c>
      <c r="D99" s="618" t="s">
        <v>8816</v>
      </c>
      <c r="E99" s="619">
        <f>E97</f>
        <v>25.62</v>
      </c>
      <c r="F99" s="620" t="s">
        <v>6339</v>
      </c>
      <c r="G99" s="622">
        <v>9.3699999999999992</v>
      </c>
      <c r="H99" s="622">
        <f>ROUND(G99*$B$13,2)</f>
        <v>2.52</v>
      </c>
      <c r="I99" s="622">
        <f>H99+G99</f>
        <v>11.889999999999999</v>
      </c>
      <c r="J99" s="623">
        <f>ROUND(I99*E99,2)</f>
        <v>304.62</v>
      </c>
      <c r="K99" s="537">
        <f t="shared" si="12"/>
        <v>240.06</v>
      </c>
      <c r="L99" s="538">
        <f t="shared" si="13"/>
        <v>64.56</v>
      </c>
      <c r="M99" s="511"/>
      <c r="N99" s="520"/>
      <c r="O99" s="519"/>
      <c r="P99" s="519"/>
      <c r="Q99" s="519"/>
      <c r="R99" s="519"/>
      <c r="S99" s="519"/>
      <c r="T99" s="519"/>
      <c r="U99" s="519">
        <f>J99</f>
        <v>304.62</v>
      </c>
      <c r="V99" s="519"/>
      <c r="W99" s="519"/>
      <c r="X99" s="519"/>
      <c r="Y99" s="519"/>
      <c r="Z99" s="519"/>
    </row>
    <row r="100" spans="1:26" s="512" customFormat="1" ht="25.5">
      <c r="A100" s="616" t="s">
        <v>7945</v>
      </c>
      <c r="B100" s="617" t="s">
        <v>5256</v>
      </c>
      <c r="C100" s="617">
        <v>88488</v>
      </c>
      <c r="D100" s="618" t="s">
        <v>8815</v>
      </c>
      <c r="E100" s="619">
        <f>3.5*2.6</f>
        <v>9.1</v>
      </c>
      <c r="F100" s="620" t="s">
        <v>6339</v>
      </c>
      <c r="G100" s="622">
        <v>10.64</v>
      </c>
      <c r="H100" s="622">
        <f>ROUND(G100*$B$13,2)</f>
        <v>2.87</v>
      </c>
      <c r="I100" s="622">
        <f>H100+G100</f>
        <v>13.510000000000002</v>
      </c>
      <c r="J100" s="623">
        <f>ROUND(I100*E100,2)</f>
        <v>122.94</v>
      </c>
      <c r="K100" s="537">
        <f t="shared" si="12"/>
        <v>96.82</v>
      </c>
      <c r="L100" s="538">
        <f t="shared" si="13"/>
        <v>26.12</v>
      </c>
      <c r="M100" s="511"/>
      <c r="N100" s="520"/>
      <c r="O100" s="519"/>
      <c r="P100" s="519"/>
      <c r="Q100" s="519"/>
      <c r="R100" s="519"/>
      <c r="S100" s="519"/>
      <c r="T100" s="519"/>
      <c r="U100" s="519">
        <f>J100</f>
        <v>122.94</v>
      </c>
      <c r="V100" s="519"/>
      <c r="W100" s="519"/>
      <c r="X100" s="519"/>
      <c r="Y100" s="519"/>
      <c r="Z100" s="519"/>
    </row>
    <row r="101" spans="1:26" s="512" customFormat="1">
      <c r="A101" s="632" t="s">
        <v>6865</v>
      </c>
      <c r="B101" s="715" t="s">
        <v>6866</v>
      </c>
      <c r="C101" s="715"/>
      <c r="D101" s="715"/>
      <c r="E101" s="715"/>
      <c r="F101" s="715"/>
      <c r="G101" s="715"/>
      <c r="H101" s="715"/>
      <c r="I101" s="715"/>
      <c r="J101" s="715"/>
      <c r="K101" s="537">
        <f t="shared" si="12"/>
        <v>0</v>
      </c>
      <c r="L101" s="538">
        <f t="shared" si="13"/>
        <v>0</v>
      </c>
      <c r="M101" s="519"/>
      <c r="N101" s="520"/>
      <c r="O101" s="519"/>
      <c r="P101" s="519"/>
      <c r="Q101" s="519"/>
      <c r="R101" s="519"/>
      <c r="S101" s="519"/>
      <c r="T101" s="519"/>
      <c r="U101" s="519"/>
      <c r="V101" s="519"/>
      <c r="W101" s="519"/>
      <c r="X101" s="519"/>
      <c r="Y101" s="519"/>
      <c r="Z101" s="519"/>
    </row>
    <row r="102" spans="1:26" s="512" customFormat="1" ht="51">
      <c r="A102" s="616" t="s">
        <v>7948</v>
      </c>
      <c r="B102" s="617" t="s">
        <v>5256</v>
      </c>
      <c r="C102" s="617" t="s">
        <v>6873</v>
      </c>
      <c r="D102" s="618" t="s">
        <v>8935</v>
      </c>
      <c r="E102" s="619">
        <f>QuantReservatório!J70</f>
        <v>130.79</v>
      </c>
      <c r="F102" s="620" t="s">
        <v>6339</v>
      </c>
      <c r="G102" s="622">
        <v>66.44</v>
      </c>
      <c r="H102" s="622">
        <f>ROUND(G102*$B$13,2)</f>
        <v>17.89</v>
      </c>
      <c r="I102" s="622">
        <f>H102+G102</f>
        <v>84.33</v>
      </c>
      <c r="J102" s="623">
        <f>ROUND(I102*E102,2)</f>
        <v>11029.52</v>
      </c>
      <c r="K102" s="537">
        <f t="shared" si="12"/>
        <v>8689.69</v>
      </c>
      <c r="L102" s="538">
        <f t="shared" si="13"/>
        <v>2339.83</v>
      </c>
      <c r="M102" s="511"/>
      <c r="N102" s="520"/>
      <c r="O102" s="519"/>
      <c r="P102" s="519"/>
      <c r="Q102" s="519"/>
      <c r="R102" s="519"/>
      <c r="S102" s="519">
        <f>0.3*J102</f>
        <v>3308.8560000000002</v>
      </c>
      <c r="T102" s="519">
        <f>0.7*J102</f>
        <v>7720.6639999999998</v>
      </c>
      <c r="U102" s="519"/>
      <c r="V102" s="519"/>
      <c r="W102" s="519"/>
      <c r="X102" s="519"/>
      <c r="Y102" s="519"/>
      <c r="Z102" s="519"/>
    </row>
    <row r="103" spans="1:26" s="512" customFormat="1" ht="51">
      <c r="A103" s="616" t="s">
        <v>7949</v>
      </c>
      <c r="B103" s="617" t="s">
        <v>5256</v>
      </c>
      <c r="C103" s="617" t="s">
        <v>6872</v>
      </c>
      <c r="D103" s="618" t="s">
        <v>6869</v>
      </c>
      <c r="E103" s="619">
        <v>130.79</v>
      </c>
      <c r="F103" s="620" t="s">
        <v>6339</v>
      </c>
      <c r="G103" s="622">
        <v>37.57</v>
      </c>
      <c r="H103" s="622">
        <f>ROUND(G103*$B$13,2)</f>
        <v>10.119999999999999</v>
      </c>
      <c r="I103" s="622">
        <f>H103+G103</f>
        <v>47.69</v>
      </c>
      <c r="J103" s="623">
        <f>ROUND(I103*E103,2)</f>
        <v>6237.38</v>
      </c>
      <c r="K103" s="537">
        <f t="shared" si="12"/>
        <v>4913.78</v>
      </c>
      <c r="L103" s="538">
        <f t="shared" si="13"/>
        <v>1323.59</v>
      </c>
      <c r="M103" s="511"/>
      <c r="N103" s="520"/>
      <c r="O103" s="519"/>
      <c r="P103" s="519"/>
      <c r="Q103" s="519"/>
      <c r="R103" s="519"/>
      <c r="S103" s="519">
        <f>0.3*J103</f>
        <v>1871.2139999999999</v>
      </c>
      <c r="T103" s="519">
        <f>0.7*J103</f>
        <v>4366.1660000000002</v>
      </c>
      <c r="U103" s="519"/>
      <c r="V103" s="519"/>
      <c r="W103" s="519"/>
      <c r="X103" s="519"/>
      <c r="Y103" s="519"/>
      <c r="Z103" s="519"/>
    </row>
    <row r="104" spans="1:26" s="512" customFormat="1" ht="51">
      <c r="A104" s="616" t="s">
        <v>8817</v>
      </c>
      <c r="B104" s="617" t="s">
        <v>5256</v>
      </c>
      <c r="C104" s="617">
        <v>98556</v>
      </c>
      <c r="D104" s="618" t="s">
        <v>8827</v>
      </c>
      <c r="E104" s="619">
        <v>244.38</v>
      </c>
      <c r="F104" s="620" t="s">
        <v>6339</v>
      </c>
      <c r="G104" s="622">
        <v>38.85</v>
      </c>
      <c r="H104" s="622">
        <f>ROUND(G104*$B$13,2)</f>
        <v>10.46</v>
      </c>
      <c r="I104" s="622">
        <f>H104+G104</f>
        <v>49.31</v>
      </c>
      <c r="J104" s="623">
        <f>ROUND(I104*E104,2)</f>
        <v>12050.38</v>
      </c>
      <c r="K104" s="537">
        <f t="shared" si="12"/>
        <v>9494.16</v>
      </c>
      <c r="L104" s="538">
        <f t="shared" si="13"/>
        <v>2556.21</v>
      </c>
      <c r="M104" s="511"/>
      <c r="N104" s="520"/>
      <c r="O104" s="519"/>
      <c r="P104" s="519"/>
      <c r="Q104" s="519"/>
      <c r="R104" s="519"/>
      <c r="S104" s="519">
        <f>0.3*J104</f>
        <v>3615.1139999999996</v>
      </c>
      <c r="T104" s="519">
        <f>0.7*J104</f>
        <v>8435.2659999999996</v>
      </c>
      <c r="U104" s="519"/>
      <c r="V104" s="519"/>
      <c r="W104" s="519"/>
      <c r="X104" s="519"/>
      <c r="Y104" s="519"/>
      <c r="Z104" s="519"/>
    </row>
    <row r="105" spans="1:26" s="512" customFormat="1">
      <c r="A105" s="632" t="s">
        <v>6177</v>
      </c>
      <c r="B105" s="715" t="s">
        <v>6178</v>
      </c>
      <c r="C105" s="715"/>
      <c r="D105" s="715"/>
      <c r="E105" s="715"/>
      <c r="F105" s="715"/>
      <c r="G105" s="715"/>
      <c r="H105" s="715"/>
      <c r="I105" s="715"/>
      <c r="J105" s="715"/>
      <c r="K105" s="537">
        <f t="shared" si="12"/>
        <v>0</v>
      </c>
      <c r="L105" s="538">
        <f t="shared" si="13"/>
        <v>0</v>
      </c>
      <c r="M105" s="511"/>
      <c r="N105" s="520"/>
      <c r="O105" s="519"/>
      <c r="P105" s="519"/>
      <c r="Q105" s="519"/>
      <c r="R105" s="519"/>
      <c r="S105" s="519"/>
      <c r="T105" s="519"/>
      <c r="U105" s="519"/>
      <c r="V105" s="519"/>
      <c r="W105" s="519"/>
      <c r="X105" s="519"/>
      <c r="Y105" s="519"/>
      <c r="Z105" s="519"/>
    </row>
    <row r="106" spans="1:26" s="512" customFormat="1" ht="25.5">
      <c r="A106" s="616" t="s">
        <v>6998</v>
      </c>
      <c r="B106" s="617" t="s">
        <v>5256</v>
      </c>
      <c r="C106" s="617">
        <v>73665</v>
      </c>
      <c r="D106" s="618" t="s">
        <v>8836</v>
      </c>
      <c r="E106" s="619">
        <f>8*0.4</f>
        <v>3.2</v>
      </c>
      <c r="F106" s="620" t="s">
        <v>6774</v>
      </c>
      <c r="G106" s="622">
        <v>48.19</v>
      </c>
      <c r="H106" s="622">
        <f>ROUND(G106*$B$13,2)</f>
        <v>12.98</v>
      </c>
      <c r="I106" s="622">
        <f>H106+G106</f>
        <v>61.17</v>
      </c>
      <c r="J106" s="623">
        <f>ROUND(I106*E106,2)</f>
        <v>195.74</v>
      </c>
      <c r="K106" s="537">
        <f t="shared" si="12"/>
        <v>154.21</v>
      </c>
      <c r="L106" s="538">
        <f t="shared" si="13"/>
        <v>41.54</v>
      </c>
      <c r="M106" s="511"/>
      <c r="N106" s="520"/>
      <c r="O106" s="519"/>
      <c r="P106" s="519"/>
      <c r="Q106" s="519"/>
      <c r="R106" s="519"/>
      <c r="S106" s="519"/>
      <c r="T106" s="519">
        <f>J106</f>
        <v>195.74</v>
      </c>
      <c r="U106" s="519"/>
      <c r="V106" s="519"/>
      <c r="W106" s="519"/>
      <c r="X106" s="519"/>
      <c r="Y106" s="519"/>
      <c r="Z106" s="519"/>
    </row>
    <row r="107" spans="1:26" s="6" customFormat="1" ht="15">
      <c r="A107" s="713" t="s">
        <v>7003</v>
      </c>
      <c r="B107" s="713"/>
      <c r="C107" s="713"/>
      <c r="D107" s="713"/>
      <c r="E107" s="713"/>
      <c r="F107" s="713"/>
      <c r="G107" s="713"/>
      <c r="H107" s="713"/>
      <c r="I107" s="713"/>
      <c r="J107" s="624">
        <f>SUM(J88:J106)</f>
        <v>33285.93</v>
      </c>
      <c r="K107" s="371"/>
      <c r="L107" s="333"/>
      <c r="M107" s="514">
        <f>SUM(M88:M106)</f>
        <v>0</v>
      </c>
      <c r="N107" s="514">
        <f t="shared" ref="N107:Z107" si="14">SUM(N88:N106)</f>
        <v>0</v>
      </c>
      <c r="O107" s="514">
        <f t="shared" si="14"/>
        <v>0</v>
      </c>
      <c r="P107" s="514">
        <f t="shared" si="14"/>
        <v>0</v>
      </c>
      <c r="Q107" s="514">
        <f t="shared" si="14"/>
        <v>0</v>
      </c>
      <c r="R107" s="514">
        <f t="shared" si="14"/>
        <v>0</v>
      </c>
      <c r="S107" s="514">
        <f t="shared" si="14"/>
        <v>11303.013999999999</v>
      </c>
      <c r="T107" s="514">
        <f t="shared" si="14"/>
        <v>21555.356</v>
      </c>
      <c r="U107" s="514">
        <f t="shared" si="14"/>
        <v>427.56</v>
      </c>
      <c r="V107" s="514">
        <f t="shared" si="14"/>
        <v>0</v>
      </c>
      <c r="W107" s="514">
        <f t="shared" si="14"/>
        <v>0</v>
      </c>
      <c r="X107" s="514">
        <f t="shared" si="14"/>
        <v>0</v>
      </c>
      <c r="Y107" s="514">
        <f t="shared" si="14"/>
        <v>0</v>
      </c>
      <c r="Z107" s="514">
        <f t="shared" si="14"/>
        <v>0</v>
      </c>
    </row>
    <row r="108" spans="1:26" s="6" customFormat="1">
      <c r="A108" s="625"/>
      <c r="B108" s="625"/>
      <c r="C108" s="625"/>
      <c r="D108" s="625"/>
      <c r="E108" s="626"/>
      <c r="F108" s="625"/>
      <c r="G108" s="625"/>
      <c r="H108" s="627"/>
      <c r="I108" s="627"/>
      <c r="J108" s="628"/>
      <c r="K108" s="371"/>
      <c r="L108" s="333"/>
      <c r="M108" s="358"/>
      <c r="N108" s="380"/>
      <c r="O108" s="358"/>
      <c r="P108" s="358"/>
      <c r="Q108" s="358"/>
      <c r="R108" s="358"/>
      <c r="S108" s="358"/>
      <c r="T108" s="358"/>
      <c r="U108" s="358"/>
      <c r="V108" s="358"/>
      <c r="W108" s="358"/>
      <c r="X108" s="358"/>
      <c r="Y108" s="358"/>
      <c r="Z108" s="358"/>
    </row>
    <row r="109" spans="1:26" ht="15">
      <c r="A109" s="714" t="s">
        <v>7016</v>
      </c>
      <c r="B109" s="714"/>
      <c r="C109" s="714"/>
      <c r="D109" s="714"/>
      <c r="E109" s="714"/>
      <c r="F109" s="714"/>
      <c r="G109" s="714"/>
      <c r="H109" s="714"/>
      <c r="I109" s="714"/>
      <c r="J109" s="629">
        <f>J107</f>
        <v>33285.93</v>
      </c>
      <c r="M109" s="516">
        <f>M107</f>
        <v>0</v>
      </c>
      <c r="N109" s="516">
        <f t="shared" ref="N109:Z109" si="15">N107</f>
        <v>0</v>
      </c>
      <c r="O109" s="516">
        <f t="shared" si="15"/>
        <v>0</v>
      </c>
      <c r="P109" s="516">
        <f t="shared" si="15"/>
        <v>0</v>
      </c>
      <c r="Q109" s="516">
        <f t="shared" si="15"/>
        <v>0</v>
      </c>
      <c r="R109" s="516">
        <f t="shared" si="15"/>
        <v>0</v>
      </c>
      <c r="S109" s="516">
        <f t="shared" si="15"/>
        <v>11303.013999999999</v>
      </c>
      <c r="T109" s="516">
        <f t="shared" si="15"/>
        <v>21555.356</v>
      </c>
      <c r="U109" s="516">
        <f t="shared" si="15"/>
        <v>427.56</v>
      </c>
      <c r="V109" s="516">
        <f t="shared" si="15"/>
        <v>0</v>
      </c>
      <c r="W109" s="516">
        <f t="shared" si="15"/>
        <v>0</v>
      </c>
      <c r="X109" s="516">
        <f t="shared" si="15"/>
        <v>0</v>
      </c>
      <c r="Y109" s="516">
        <f t="shared" si="15"/>
        <v>0</v>
      </c>
      <c r="Z109" s="516">
        <f t="shared" si="15"/>
        <v>0</v>
      </c>
    </row>
    <row r="110" spans="1:26" s="6" customFormat="1">
      <c r="A110" s="616"/>
      <c r="B110" s="617"/>
      <c r="C110" s="617"/>
      <c r="D110" s="618"/>
      <c r="E110" s="619"/>
      <c r="F110" s="620"/>
      <c r="G110" s="630"/>
      <c r="H110" s="630"/>
      <c r="I110" s="630"/>
      <c r="J110" s="631"/>
      <c r="K110" s="371"/>
      <c r="L110" s="333"/>
      <c r="M110" s="517">
        <f>M109/$J109</f>
        <v>0</v>
      </c>
      <c r="N110" s="517">
        <f>N109/$J109</f>
        <v>0</v>
      </c>
      <c r="O110" s="517">
        <f t="shared" ref="O110:Z110" si="16">O109/$J109</f>
        <v>0</v>
      </c>
      <c r="P110" s="517">
        <f t="shared" si="16"/>
        <v>0</v>
      </c>
      <c r="Q110" s="517">
        <f t="shared" si="16"/>
        <v>0</v>
      </c>
      <c r="R110" s="517">
        <f t="shared" si="16"/>
        <v>0</v>
      </c>
      <c r="S110" s="517">
        <f t="shared" si="16"/>
        <v>0.33957332722865186</v>
      </c>
      <c r="T110" s="517">
        <f t="shared" si="16"/>
        <v>0.6475816058016105</v>
      </c>
      <c r="U110" s="517">
        <f t="shared" si="16"/>
        <v>1.2845066969737664E-2</v>
      </c>
      <c r="V110" s="517">
        <f t="shared" si="16"/>
        <v>0</v>
      </c>
      <c r="W110" s="517">
        <f t="shared" si="16"/>
        <v>0</v>
      </c>
      <c r="X110" s="517">
        <f t="shared" si="16"/>
        <v>0</v>
      </c>
      <c r="Y110" s="517">
        <f t="shared" si="16"/>
        <v>0</v>
      </c>
      <c r="Z110" s="517">
        <f t="shared" si="16"/>
        <v>0</v>
      </c>
    </row>
    <row r="111" spans="1:26">
      <c r="A111" s="609" t="s">
        <v>5935</v>
      </c>
      <c r="B111" s="709" t="s">
        <v>5943</v>
      </c>
      <c r="C111" s="710"/>
      <c r="D111" s="710"/>
      <c r="E111" s="710"/>
      <c r="F111" s="710"/>
      <c r="G111" s="710"/>
      <c r="H111" s="710"/>
      <c r="I111" s="710"/>
      <c r="J111" s="710"/>
      <c r="K111" s="533"/>
      <c r="L111" s="533"/>
      <c r="M111" s="506"/>
      <c r="N111" s="507"/>
    </row>
    <row r="112" spans="1:26" s="6" customFormat="1">
      <c r="A112" s="610" t="s">
        <v>0</v>
      </c>
      <c r="B112" s="711" t="s">
        <v>5250</v>
      </c>
      <c r="C112" s="712"/>
      <c r="D112" s="611" t="s">
        <v>1</v>
      </c>
      <c r="E112" s="611" t="s">
        <v>134</v>
      </c>
      <c r="F112" s="612" t="s">
        <v>11</v>
      </c>
      <c r="G112" s="613" t="s">
        <v>12</v>
      </c>
      <c r="H112" s="613" t="s">
        <v>6735</v>
      </c>
      <c r="I112" s="613" t="s">
        <v>6736</v>
      </c>
      <c r="J112" s="614" t="s">
        <v>133</v>
      </c>
      <c r="K112" s="533"/>
      <c r="L112" s="533"/>
      <c r="M112" s="506"/>
      <c r="N112" s="507"/>
      <c r="O112" s="358"/>
      <c r="P112" s="358"/>
      <c r="Q112" s="358"/>
      <c r="R112" s="358"/>
      <c r="S112" s="358"/>
      <c r="T112" s="358"/>
      <c r="U112" s="358"/>
      <c r="V112" s="358"/>
      <c r="W112" s="358"/>
      <c r="X112" s="358"/>
      <c r="Y112" s="358"/>
      <c r="Z112" s="358"/>
    </row>
    <row r="113" spans="1:26" s="6" customFormat="1">
      <c r="A113" s="615" t="s">
        <v>5936</v>
      </c>
      <c r="B113" s="707" t="s">
        <v>5944</v>
      </c>
      <c r="C113" s="707"/>
      <c r="D113" s="707"/>
      <c r="E113" s="707"/>
      <c r="F113" s="707"/>
      <c r="G113" s="707"/>
      <c r="H113" s="707"/>
      <c r="I113" s="707"/>
      <c r="J113" s="707"/>
      <c r="K113" s="371"/>
      <c r="L113" s="333"/>
      <c r="M113" s="358"/>
      <c r="N113" s="380"/>
      <c r="O113" s="358"/>
      <c r="P113" s="358"/>
      <c r="Q113" s="358"/>
      <c r="R113" s="358"/>
      <c r="S113" s="358"/>
      <c r="T113" s="358"/>
      <c r="U113" s="358"/>
      <c r="V113" s="358"/>
      <c r="W113" s="358"/>
      <c r="X113" s="358"/>
      <c r="Y113" s="358"/>
      <c r="Z113" s="358"/>
    </row>
    <row r="114" spans="1:26" s="6" customFormat="1">
      <c r="A114" s="632" t="s">
        <v>7017</v>
      </c>
      <c r="B114" s="715" t="s">
        <v>7018</v>
      </c>
      <c r="C114" s="715"/>
      <c r="D114" s="715"/>
      <c r="E114" s="715"/>
      <c r="F114" s="715"/>
      <c r="G114" s="715"/>
      <c r="H114" s="715"/>
      <c r="I114" s="715"/>
      <c r="J114" s="715"/>
      <c r="K114" s="371"/>
      <c r="L114" s="333"/>
      <c r="M114" s="358"/>
      <c r="N114" s="380"/>
      <c r="O114" s="358"/>
      <c r="P114" s="358"/>
      <c r="Q114" s="358"/>
      <c r="R114" s="358"/>
      <c r="S114" s="358"/>
      <c r="T114" s="358"/>
      <c r="U114" s="358"/>
      <c r="V114" s="358"/>
      <c r="W114" s="358"/>
      <c r="X114" s="358"/>
      <c r="Y114" s="358"/>
      <c r="Z114" s="358"/>
    </row>
    <row r="115" spans="1:26" s="512" customFormat="1" ht="25.5">
      <c r="A115" s="616" t="s">
        <v>8159</v>
      </c>
      <c r="B115" s="617" t="s">
        <v>5256</v>
      </c>
      <c r="C115" s="617">
        <v>89357</v>
      </c>
      <c r="D115" s="618" t="s">
        <v>7021</v>
      </c>
      <c r="E115" s="619">
        <v>10.11</v>
      </c>
      <c r="F115" s="620" t="s">
        <v>6774</v>
      </c>
      <c r="G115" s="622">
        <v>17.170000000000002</v>
      </c>
      <c r="H115" s="622">
        <f t="shared" ref="H115:H126" si="17">ROUND(G115*$B$13,2)</f>
        <v>4.62</v>
      </c>
      <c r="I115" s="622">
        <f t="shared" ref="I115:I126" si="18">H115+G115</f>
        <v>21.790000000000003</v>
      </c>
      <c r="J115" s="623">
        <f t="shared" ref="J115:J126" si="19">ROUND(I115*E115,2)</f>
        <v>220.3</v>
      </c>
      <c r="K115" s="537">
        <f t="shared" ref="K115:K133" si="20">ROUND(G115*E115,2)</f>
        <v>173.59</v>
      </c>
      <c r="L115" s="538">
        <f t="shared" ref="L115:L133" si="21">ROUND(H115*E115,2)</f>
        <v>46.71</v>
      </c>
      <c r="M115" s="519"/>
      <c r="N115" s="520"/>
      <c r="O115" s="519"/>
      <c r="P115" s="519"/>
      <c r="Q115" s="519"/>
      <c r="R115" s="519"/>
      <c r="S115" s="519"/>
      <c r="T115" s="519"/>
      <c r="U115" s="519">
        <f>0.5*J115</f>
        <v>110.15</v>
      </c>
      <c r="V115" s="519">
        <f>0.5*J115</f>
        <v>110.15</v>
      </c>
      <c r="W115" s="519"/>
      <c r="X115" s="519"/>
      <c r="Y115" s="519"/>
      <c r="Z115" s="519"/>
    </row>
    <row r="116" spans="1:26" s="512" customFormat="1" ht="25.5">
      <c r="A116" s="616" t="s">
        <v>8160</v>
      </c>
      <c r="B116" s="617" t="s">
        <v>5256</v>
      </c>
      <c r="C116" s="617">
        <v>89449</v>
      </c>
      <c r="D116" s="618" t="s">
        <v>7023</v>
      </c>
      <c r="E116" s="619">
        <v>25.16</v>
      </c>
      <c r="F116" s="620" t="s">
        <v>6774</v>
      </c>
      <c r="G116" s="622">
        <v>9.09</v>
      </c>
      <c r="H116" s="622">
        <f t="shared" si="17"/>
        <v>2.4500000000000002</v>
      </c>
      <c r="I116" s="622">
        <f t="shared" si="18"/>
        <v>11.54</v>
      </c>
      <c r="J116" s="623">
        <f t="shared" si="19"/>
        <v>290.35000000000002</v>
      </c>
      <c r="K116" s="537">
        <f t="shared" si="20"/>
        <v>228.7</v>
      </c>
      <c r="L116" s="538">
        <f t="shared" si="21"/>
        <v>61.64</v>
      </c>
      <c r="M116" s="519"/>
      <c r="N116" s="520"/>
      <c r="O116" s="519"/>
      <c r="P116" s="519"/>
      <c r="Q116" s="519"/>
      <c r="R116" s="519"/>
      <c r="S116" s="519"/>
      <c r="T116" s="519"/>
      <c r="U116" s="519">
        <f t="shared" ref="U116:U126" si="22">0.5*J116</f>
        <v>145.17500000000001</v>
      </c>
      <c r="V116" s="519">
        <f t="shared" ref="V116:V126" si="23">0.5*J116</f>
        <v>145.17500000000001</v>
      </c>
      <c r="W116" s="519"/>
      <c r="X116" s="519"/>
      <c r="Y116" s="519"/>
      <c r="Z116" s="519"/>
    </row>
    <row r="117" spans="1:26" s="512" customFormat="1" ht="38.25">
      <c r="A117" s="616" t="s">
        <v>8165</v>
      </c>
      <c r="B117" s="617" t="s">
        <v>5256</v>
      </c>
      <c r="C117" s="617">
        <v>94709</v>
      </c>
      <c r="D117" s="618" t="s">
        <v>7843</v>
      </c>
      <c r="E117" s="619">
        <v>2</v>
      </c>
      <c r="F117" s="620" t="s">
        <v>6337</v>
      </c>
      <c r="G117" s="622">
        <v>18.2</v>
      </c>
      <c r="H117" s="622">
        <f t="shared" si="17"/>
        <v>4.9000000000000004</v>
      </c>
      <c r="I117" s="622">
        <f t="shared" si="18"/>
        <v>23.1</v>
      </c>
      <c r="J117" s="623">
        <f t="shared" si="19"/>
        <v>46.2</v>
      </c>
      <c r="K117" s="537">
        <f t="shared" si="20"/>
        <v>36.4</v>
      </c>
      <c r="L117" s="538">
        <f t="shared" si="21"/>
        <v>9.8000000000000007</v>
      </c>
      <c r="M117" s="519"/>
      <c r="N117" s="520"/>
      <c r="O117" s="519"/>
      <c r="P117" s="519"/>
      <c r="Q117" s="519"/>
      <c r="R117" s="519"/>
      <c r="S117" s="519"/>
      <c r="T117" s="519"/>
      <c r="U117" s="519">
        <f t="shared" si="22"/>
        <v>23.1</v>
      </c>
      <c r="V117" s="519">
        <f t="shared" si="23"/>
        <v>23.1</v>
      </c>
      <c r="W117" s="519"/>
      <c r="X117" s="519"/>
      <c r="Y117" s="519"/>
      <c r="Z117" s="519"/>
    </row>
    <row r="118" spans="1:26" s="512" customFormat="1" ht="38.25">
      <c r="A118" s="616" t="s">
        <v>8166</v>
      </c>
      <c r="B118" s="617" t="s">
        <v>5256</v>
      </c>
      <c r="C118" s="617">
        <v>94711</v>
      </c>
      <c r="D118" s="618" t="s">
        <v>7026</v>
      </c>
      <c r="E118" s="619">
        <v>2</v>
      </c>
      <c r="F118" s="620" t="s">
        <v>6337</v>
      </c>
      <c r="G118" s="622">
        <v>33.39</v>
      </c>
      <c r="H118" s="622">
        <f t="shared" si="17"/>
        <v>8.99</v>
      </c>
      <c r="I118" s="622">
        <f t="shared" si="18"/>
        <v>42.38</v>
      </c>
      <c r="J118" s="623">
        <f t="shared" si="19"/>
        <v>84.76</v>
      </c>
      <c r="K118" s="537">
        <f t="shared" si="20"/>
        <v>66.78</v>
      </c>
      <c r="L118" s="538">
        <f t="shared" si="21"/>
        <v>17.98</v>
      </c>
      <c r="M118" s="519"/>
      <c r="N118" s="520"/>
      <c r="O118" s="519"/>
      <c r="P118" s="519"/>
      <c r="Q118" s="519"/>
      <c r="R118" s="519"/>
      <c r="S118" s="519"/>
      <c r="T118" s="519"/>
      <c r="U118" s="519">
        <f t="shared" si="22"/>
        <v>42.38</v>
      </c>
      <c r="V118" s="519">
        <f t="shared" si="23"/>
        <v>42.38</v>
      </c>
      <c r="W118" s="519"/>
      <c r="X118" s="519"/>
      <c r="Y118" s="519"/>
      <c r="Z118" s="519"/>
    </row>
    <row r="119" spans="1:26" s="512" customFormat="1" ht="25.5">
      <c r="A119" s="616" t="s">
        <v>8167</v>
      </c>
      <c r="B119" s="617" t="s">
        <v>5256</v>
      </c>
      <c r="C119" s="617">
        <v>94658</v>
      </c>
      <c r="D119" s="618" t="s">
        <v>7029</v>
      </c>
      <c r="E119" s="619">
        <v>1</v>
      </c>
      <c r="F119" s="620" t="s">
        <v>6337</v>
      </c>
      <c r="G119" s="622">
        <v>4.16</v>
      </c>
      <c r="H119" s="622">
        <f t="shared" si="17"/>
        <v>1.1200000000000001</v>
      </c>
      <c r="I119" s="622">
        <f t="shared" si="18"/>
        <v>5.28</v>
      </c>
      <c r="J119" s="623">
        <f t="shared" si="19"/>
        <v>5.28</v>
      </c>
      <c r="K119" s="537">
        <f t="shared" si="20"/>
        <v>4.16</v>
      </c>
      <c r="L119" s="538">
        <f t="shared" si="21"/>
        <v>1.1200000000000001</v>
      </c>
      <c r="M119" s="519"/>
      <c r="N119" s="520"/>
      <c r="O119" s="519"/>
      <c r="P119" s="519"/>
      <c r="Q119" s="519"/>
      <c r="R119" s="519"/>
      <c r="S119" s="519"/>
      <c r="T119" s="519"/>
      <c r="U119" s="519">
        <f t="shared" si="22"/>
        <v>2.64</v>
      </c>
      <c r="V119" s="519">
        <f t="shared" si="23"/>
        <v>2.64</v>
      </c>
      <c r="W119" s="519"/>
      <c r="X119" s="519"/>
      <c r="Y119" s="519"/>
      <c r="Z119" s="519"/>
    </row>
    <row r="120" spans="1:26" s="512" customFormat="1" ht="25.5">
      <c r="A120" s="616" t="s">
        <v>8168</v>
      </c>
      <c r="B120" s="617" t="s">
        <v>5256</v>
      </c>
      <c r="C120" s="617">
        <v>94662</v>
      </c>
      <c r="D120" s="618" t="s">
        <v>7030</v>
      </c>
      <c r="E120" s="619">
        <v>8</v>
      </c>
      <c r="F120" s="620" t="s">
        <v>6337</v>
      </c>
      <c r="G120" s="622">
        <v>7.32</v>
      </c>
      <c r="H120" s="622">
        <f t="shared" si="17"/>
        <v>1.97</v>
      </c>
      <c r="I120" s="622">
        <f t="shared" si="18"/>
        <v>9.2900000000000009</v>
      </c>
      <c r="J120" s="623">
        <f t="shared" si="19"/>
        <v>74.319999999999993</v>
      </c>
      <c r="K120" s="537">
        <f t="shared" si="20"/>
        <v>58.56</v>
      </c>
      <c r="L120" s="538">
        <f t="shared" si="21"/>
        <v>15.76</v>
      </c>
      <c r="M120" s="519"/>
      <c r="N120" s="520"/>
      <c r="O120" s="519"/>
      <c r="P120" s="519"/>
      <c r="Q120" s="519"/>
      <c r="R120" s="519"/>
      <c r="S120" s="519"/>
      <c r="T120" s="519"/>
      <c r="U120" s="519">
        <f t="shared" si="22"/>
        <v>37.159999999999997</v>
      </c>
      <c r="V120" s="519">
        <f t="shared" si="23"/>
        <v>37.159999999999997</v>
      </c>
      <c r="W120" s="519"/>
      <c r="X120" s="519"/>
      <c r="Y120" s="519"/>
      <c r="Z120" s="519"/>
    </row>
    <row r="121" spans="1:26" s="512" customFormat="1" ht="25.5">
      <c r="A121" s="616" t="s">
        <v>8179</v>
      </c>
      <c r="B121" s="617" t="s">
        <v>6333</v>
      </c>
      <c r="C121" s="617">
        <v>1257</v>
      </c>
      <c r="D121" s="618" t="s">
        <v>7842</v>
      </c>
      <c r="E121" s="619">
        <v>1</v>
      </c>
      <c r="F121" s="620" t="s">
        <v>6337</v>
      </c>
      <c r="G121" s="622">
        <v>10.8</v>
      </c>
      <c r="H121" s="622">
        <f t="shared" si="17"/>
        <v>2.91</v>
      </c>
      <c r="I121" s="622">
        <f t="shared" si="18"/>
        <v>13.71</v>
      </c>
      <c r="J121" s="623">
        <f t="shared" si="19"/>
        <v>13.71</v>
      </c>
      <c r="K121" s="537">
        <f t="shared" si="20"/>
        <v>10.8</v>
      </c>
      <c r="L121" s="538">
        <f t="shared" si="21"/>
        <v>2.91</v>
      </c>
      <c r="M121" s="519"/>
      <c r="N121" s="520"/>
      <c r="O121" s="519"/>
      <c r="P121" s="519"/>
      <c r="Q121" s="519"/>
      <c r="R121" s="519"/>
      <c r="S121" s="519"/>
      <c r="T121" s="519"/>
      <c r="U121" s="519">
        <f t="shared" si="22"/>
        <v>6.8550000000000004</v>
      </c>
      <c r="V121" s="519">
        <f t="shared" si="23"/>
        <v>6.8550000000000004</v>
      </c>
      <c r="W121" s="519"/>
      <c r="X121" s="519"/>
      <c r="Y121" s="519"/>
      <c r="Z121" s="519"/>
    </row>
    <row r="122" spans="1:26" s="512" customFormat="1" ht="25.5">
      <c r="A122" s="616" t="s">
        <v>8180</v>
      </c>
      <c r="B122" s="617" t="s">
        <v>5256</v>
      </c>
      <c r="C122" s="617">
        <v>89494</v>
      </c>
      <c r="D122" s="618" t="s">
        <v>7052</v>
      </c>
      <c r="E122" s="619">
        <v>4</v>
      </c>
      <c r="F122" s="620" t="s">
        <v>6337</v>
      </c>
      <c r="G122" s="622">
        <v>6.76</v>
      </c>
      <c r="H122" s="622">
        <f t="shared" si="17"/>
        <v>1.82</v>
      </c>
      <c r="I122" s="622">
        <f t="shared" si="18"/>
        <v>8.58</v>
      </c>
      <c r="J122" s="623">
        <f t="shared" si="19"/>
        <v>34.32</v>
      </c>
      <c r="K122" s="537">
        <f t="shared" si="20"/>
        <v>27.04</v>
      </c>
      <c r="L122" s="538">
        <f t="shared" si="21"/>
        <v>7.28</v>
      </c>
      <c r="M122" s="519"/>
      <c r="N122" s="520"/>
      <c r="O122" s="519"/>
      <c r="P122" s="519"/>
      <c r="Q122" s="519"/>
      <c r="R122" s="519"/>
      <c r="S122" s="519"/>
      <c r="T122" s="519"/>
      <c r="U122" s="519">
        <f t="shared" si="22"/>
        <v>17.16</v>
      </c>
      <c r="V122" s="519">
        <f t="shared" si="23"/>
        <v>17.16</v>
      </c>
      <c r="W122" s="519"/>
      <c r="X122" s="519"/>
      <c r="Y122" s="519"/>
      <c r="Z122" s="519"/>
    </row>
    <row r="123" spans="1:26" s="512" customFormat="1" ht="25.5">
      <c r="A123" s="616" t="s">
        <v>8181</v>
      </c>
      <c r="B123" s="617" t="s">
        <v>5256</v>
      </c>
      <c r="C123" s="617">
        <v>89503</v>
      </c>
      <c r="D123" s="618" t="s">
        <v>7054</v>
      </c>
      <c r="E123" s="619">
        <v>4</v>
      </c>
      <c r="F123" s="620" t="s">
        <v>6337</v>
      </c>
      <c r="G123" s="622">
        <v>13.15</v>
      </c>
      <c r="H123" s="622">
        <f t="shared" si="17"/>
        <v>3.54</v>
      </c>
      <c r="I123" s="622">
        <f t="shared" si="18"/>
        <v>16.690000000000001</v>
      </c>
      <c r="J123" s="623">
        <f t="shared" si="19"/>
        <v>66.760000000000005</v>
      </c>
      <c r="K123" s="537">
        <f t="shared" si="20"/>
        <v>52.6</v>
      </c>
      <c r="L123" s="538">
        <f t="shared" si="21"/>
        <v>14.16</v>
      </c>
      <c r="M123" s="519"/>
      <c r="N123" s="520"/>
      <c r="O123" s="519"/>
      <c r="P123" s="519"/>
      <c r="Q123" s="519"/>
      <c r="R123" s="519"/>
      <c r="S123" s="519"/>
      <c r="T123" s="519"/>
      <c r="U123" s="519">
        <f t="shared" si="22"/>
        <v>33.380000000000003</v>
      </c>
      <c r="V123" s="519">
        <f t="shared" si="23"/>
        <v>33.380000000000003</v>
      </c>
      <c r="W123" s="519"/>
      <c r="X123" s="519"/>
      <c r="Y123" s="519"/>
      <c r="Z123" s="519"/>
    </row>
    <row r="124" spans="1:26" s="512" customFormat="1" ht="25.5">
      <c r="A124" s="616" t="s">
        <v>8192</v>
      </c>
      <c r="B124" s="617" t="s">
        <v>5256</v>
      </c>
      <c r="C124" s="617">
        <v>89389</v>
      </c>
      <c r="D124" s="618" t="s">
        <v>7071</v>
      </c>
      <c r="E124" s="619">
        <v>2</v>
      </c>
      <c r="F124" s="620" t="s">
        <v>6337</v>
      </c>
      <c r="G124" s="622">
        <v>7.16</v>
      </c>
      <c r="H124" s="622">
        <f t="shared" si="17"/>
        <v>1.93</v>
      </c>
      <c r="I124" s="622">
        <f t="shared" si="18"/>
        <v>9.09</v>
      </c>
      <c r="J124" s="623">
        <f t="shared" si="19"/>
        <v>18.18</v>
      </c>
      <c r="K124" s="537">
        <f t="shared" si="20"/>
        <v>14.32</v>
      </c>
      <c r="L124" s="538">
        <f t="shared" si="21"/>
        <v>3.86</v>
      </c>
      <c r="M124" s="519"/>
      <c r="N124" s="520"/>
      <c r="O124" s="519"/>
      <c r="P124" s="519"/>
      <c r="Q124" s="519"/>
      <c r="R124" s="519"/>
      <c r="S124" s="519"/>
      <c r="T124" s="519"/>
      <c r="U124" s="519">
        <f t="shared" si="22"/>
        <v>9.09</v>
      </c>
      <c r="V124" s="519">
        <f t="shared" si="23"/>
        <v>9.09</v>
      </c>
      <c r="W124" s="519"/>
      <c r="X124" s="519"/>
      <c r="Y124" s="519"/>
      <c r="Z124" s="519"/>
    </row>
    <row r="125" spans="1:26" s="512" customFormat="1">
      <c r="A125" s="616" t="s">
        <v>8193</v>
      </c>
      <c r="B125" s="617" t="s">
        <v>5256</v>
      </c>
      <c r="C125" s="617">
        <v>89398</v>
      </c>
      <c r="D125" s="618" t="s">
        <v>7076</v>
      </c>
      <c r="E125" s="619">
        <v>1</v>
      </c>
      <c r="F125" s="620" t="s">
        <v>6337</v>
      </c>
      <c r="G125" s="622">
        <v>10.23</v>
      </c>
      <c r="H125" s="622">
        <f t="shared" si="17"/>
        <v>2.75</v>
      </c>
      <c r="I125" s="622">
        <f t="shared" si="18"/>
        <v>12.98</v>
      </c>
      <c r="J125" s="623">
        <f t="shared" si="19"/>
        <v>12.98</v>
      </c>
      <c r="K125" s="537">
        <f t="shared" si="20"/>
        <v>10.23</v>
      </c>
      <c r="L125" s="538">
        <f t="shared" si="21"/>
        <v>2.75</v>
      </c>
      <c r="M125" s="519"/>
      <c r="N125" s="520"/>
      <c r="O125" s="519"/>
      <c r="P125" s="519"/>
      <c r="Q125" s="519"/>
      <c r="R125" s="519"/>
      <c r="S125" s="519"/>
      <c r="T125" s="519"/>
      <c r="U125" s="519">
        <f t="shared" si="22"/>
        <v>6.49</v>
      </c>
      <c r="V125" s="519">
        <f t="shared" si="23"/>
        <v>6.49</v>
      </c>
      <c r="W125" s="519"/>
      <c r="X125" s="519"/>
      <c r="Y125" s="519"/>
      <c r="Z125" s="519"/>
    </row>
    <row r="126" spans="1:26" s="512" customFormat="1">
      <c r="A126" s="616" t="s">
        <v>8194</v>
      </c>
      <c r="B126" s="617" t="s">
        <v>5256</v>
      </c>
      <c r="C126" s="617">
        <v>89625</v>
      </c>
      <c r="D126" s="618" t="s">
        <v>7078</v>
      </c>
      <c r="E126" s="619">
        <v>5</v>
      </c>
      <c r="F126" s="620" t="s">
        <v>6337</v>
      </c>
      <c r="G126" s="622">
        <v>12.12</v>
      </c>
      <c r="H126" s="622">
        <f t="shared" si="17"/>
        <v>3.26</v>
      </c>
      <c r="I126" s="622">
        <f t="shared" si="18"/>
        <v>15.379999999999999</v>
      </c>
      <c r="J126" s="623">
        <f t="shared" si="19"/>
        <v>76.900000000000006</v>
      </c>
      <c r="K126" s="537">
        <f t="shared" si="20"/>
        <v>60.6</v>
      </c>
      <c r="L126" s="538">
        <f t="shared" si="21"/>
        <v>16.3</v>
      </c>
      <c r="M126" s="519"/>
      <c r="N126" s="520"/>
      <c r="O126" s="519"/>
      <c r="P126" s="519"/>
      <c r="Q126" s="519"/>
      <c r="R126" s="519"/>
      <c r="S126" s="519"/>
      <c r="T126" s="519"/>
      <c r="U126" s="519">
        <f t="shared" si="22"/>
        <v>38.450000000000003</v>
      </c>
      <c r="V126" s="519">
        <f t="shared" si="23"/>
        <v>38.450000000000003</v>
      </c>
      <c r="W126" s="519"/>
      <c r="X126" s="519"/>
      <c r="Y126" s="519"/>
      <c r="Z126" s="519"/>
    </row>
    <row r="127" spans="1:26" s="512" customFormat="1">
      <c r="A127" s="632" t="s">
        <v>7088</v>
      </c>
      <c r="B127" s="715" t="s">
        <v>8846</v>
      </c>
      <c r="C127" s="715"/>
      <c r="D127" s="715"/>
      <c r="E127" s="715"/>
      <c r="F127" s="715"/>
      <c r="G127" s="715"/>
      <c r="H127" s="715"/>
      <c r="I127" s="715"/>
      <c r="J127" s="715"/>
      <c r="K127" s="537">
        <f t="shared" si="20"/>
        <v>0</v>
      </c>
      <c r="L127" s="538">
        <f t="shared" si="21"/>
        <v>0</v>
      </c>
      <c r="M127" s="519"/>
      <c r="N127" s="520"/>
      <c r="O127" s="519"/>
      <c r="P127" s="519"/>
      <c r="Q127" s="519"/>
      <c r="R127" s="519"/>
      <c r="S127" s="519"/>
      <c r="T127" s="519"/>
      <c r="U127" s="519"/>
      <c r="V127" s="519"/>
      <c r="W127" s="519"/>
      <c r="X127" s="519"/>
      <c r="Y127" s="519"/>
      <c r="Z127" s="519"/>
    </row>
    <row r="128" spans="1:26" s="512" customFormat="1" ht="25.5">
      <c r="A128" s="616" t="s">
        <v>8231</v>
      </c>
      <c r="B128" s="617" t="s">
        <v>5256</v>
      </c>
      <c r="C128" s="617">
        <v>95250</v>
      </c>
      <c r="D128" s="618" t="s">
        <v>8235</v>
      </c>
      <c r="E128" s="619">
        <v>1</v>
      </c>
      <c r="F128" s="620" t="s">
        <v>6337</v>
      </c>
      <c r="G128" s="622">
        <v>59.41</v>
      </c>
      <c r="H128" s="622">
        <f>ROUND(G128*$B$13,2)</f>
        <v>16</v>
      </c>
      <c r="I128" s="622">
        <f>H128+G128</f>
        <v>75.41</v>
      </c>
      <c r="J128" s="623">
        <f>ROUND(I128*E128,2)</f>
        <v>75.41</v>
      </c>
      <c r="K128" s="537">
        <f t="shared" si="20"/>
        <v>59.41</v>
      </c>
      <c r="L128" s="538">
        <f t="shared" si="21"/>
        <v>16</v>
      </c>
      <c r="M128" s="519"/>
      <c r="N128" s="520"/>
      <c r="O128" s="519"/>
      <c r="P128" s="519"/>
      <c r="Q128" s="519"/>
      <c r="R128" s="519"/>
      <c r="S128" s="519"/>
      <c r="T128" s="519"/>
      <c r="U128" s="519">
        <f>0.5*J128</f>
        <v>37.704999999999998</v>
      </c>
      <c r="V128" s="519">
        <f>0.5*J128</f>
        <v>37.704999999999998</v>
      </c>
      <c r="W128" s="519"/>
      <c r="X128" s="519"/>
      <c r="Y128" s="519"/>
      <c r="Z128" s="519"/>
    </row>
    <row r="129" spans="1:26" s="512" customFormat="1" ht="25.5">
      <c r="A129" s="616" t="s">
        <v>8231</v>
      </c>
      <c r="B129" s="617" t="s">
        <v>5256</v>
      </c>
      <c r="C129" s="617">
        <v>94794</v>
      </c>
      <c r="D129" s="618" t="s">
        <v>7841</v>
      </c>
      <c r="E129" s="619">
        <v>4</v>
      </c>
      <c r="F129" s="620" t="s">
        <v>6337</v>
      </c>
      <c r="G129" s="622">
        <v>96.58</v>
      </c>
      <c r="H129" s="622">
        <f>ROUND(G129*$B$13,2)</f>
        <v>26.01</v>
      </c>
      <c r="I129" s="622">
        <f>H129+G129</f>
        <v>122.59</v>
      </c>
      <c r="J129" s="623">
        <f>ROUND(I129*E129,2)</f>
        <v>490.36</v>
      </c>
      <c r="K129" s="537">
        <f t="shared" si="20"/>
        <v>386.32</v>
      </c>
      <c r="L129" s="538">
        <f t="shared" si="21"/>
        <v>104.04</v>
      </c>
      <c r="M129" s="519"/>
      <c r="N129" s="520"/>
      <c r="O129" s="519"/>
      <c r="P129" s="519"/>
      <c r="Q129" s="519"/>
      <c r="R129" s="519"/>
      <c r="S129" s="519"/>
      <c r="T129" s="519"/>
      <c r="U129" s="519">
        <f>0.5*J129</f>
        <v>245.18</v>
      </c>
      <c r="V129" s="519">
        <f>0.5*J129</f>
        <v>245.18</v>
      </c>
      <c r="W129" s="519"/>
      <c r="X129" s="519"/>
      <c r="Y129" s="519"/>
      <c r="Z129" s="519"/>
    </row>
    <row r="130" spans="1:26" s="512" customFormat="1">
      <c r="A130" s="632" t="s">
        <v>7124</v>
      </c>
      <c r="B130" s="715" t="s">
        <v>7125</v>
      </c>
      <c r="C130" s="715"/>
      <c r="D130" s="715"/>
      <c r="E130" s="715"/>
      <c r="F130" s="715"/>
      <c r="G130" s="715"/>
      <c r="H130" s="715"/>
      <c r="I130" s="715"/>
      <c r="J130" s="715"/>
      <c r="K130" s="537">
        <f t="shared" si="20"/>
        <v>0</v>
      </c>
      <c r="L130" s="538">
        <f t="shared" si="21"/>
        <v>0</v>
      </c>
      <c r="M130" s="519"/>
      <c r="N130" s="520"/>
      <c r="O130" s="519"/>
      <c r="P130" s="519"/>
      <c r="Q130" s="519"/>
      <c r="R130" s="519"/>
      <c r="S130" s="519"/>
      <c r="T130" s="519"/>
      <c r="U130" s="519"/>
      <c r="V130" s="519"/>
      <c r="W130" s="519"/>
      <c r="X130" s="519"/>
      <c r="Y130" s="519"/>
      <c r="Z130" s="519"/>
    </row>
    <row r="131" spans="1:26" s="512" customFormat="1">
      <c r="A131" s="616" t="s">
        <v>8839</v>
      </c>
      <c r="B131" s="617" t="s">
        <v>5256</v>
      </c>
      <c r="C131" s="617">
        <v>83486</v>
      </c>
      <c r="D131" s="618" t="s">
        <v>7126</v>
      </c>
      <c r="E131" s="619">
        <v>2</v>
      </c>
      <c r="F131" s="620" t="s">
        <v>6337</v>
      </c>
      <c r="G131" s="622">
        <v>975.89</v>
      </c>
      <c r="H131" s="622">
        <f>ROUND(G131*$B$13,2)</f>
        <v>262.81</v>
      </c>
      <c r="I131" s="622">
        <f>H131+G131</f>
        <v>1238.7</v>
      </c>
      <c r="J131" s="623">
        <f>ROUND(I131*E131,2)</f>
        <v>2477.4</v>
      </c>
      <c r="K131" s="537">
        <f t="shared" si="20"/>
        <v>1951.78</v>
      </c>
      <c r="L131" s="538">
        <f t="shared" si="21"/>
        <v>525.62</v>
      </c>
      <c r="M131" s="519"/>
      <c r="N131" s="520"/>
      <c r="O131" s="519"/>
      <c r="P131" s="519"/>
      <c r="Q131" s="519"/>
      <c r="R131" s="519"/>
      <c r="S131" s="519"/>
      <c r="T131" s="519"/>
      <c r="U131" s="519">
        <f>0.5*J131</f>
        <v>1238.7</v>
      </c>
      <c r="V131" s="519">
        <f>0.5*J131</f>
        <v>1238.7</v>
      </c>
      <c r="W131" s="519"/>
      <c r="X131" s="519"/>
      <c r="Y131" s="519"/>
      <c r="Z131" s="519"/>
    </row>
    <row r="132" spans="1:26" s="512" customFormat="1">
      <c r="A132" s="616" t="s">
        <v>8840</v>
      </c>
      <c r="B132" s="617" t="s">
        <v>6333</v>
      </c>
      <c r="C132" s="617" t="s">
        <v>8985</v>
      </c>
      <c r="D132" s="618" t="s">
        <v>7127</v>
      </c>
      <c r="E132" s="619">
        <v>1</v>
      </c>
      <c r="F132" s="620" t="s">
        <v>6337</v>
      </c>
      <c r="G132" s="622">
        <v>1669.99</v>
      </c>
      <c r="H132" s="622">
        <f>ROUND(G132*$B$13,2)</f>
        <v>449.73</v>
      </c>
      <c r="I132" s="622">
        <f>H132+G132</f>
        <v>2119.7200000000003</v>
      </c>
      <c r="J132" s="623">
        <f>ROUND(I132*E132,2)</f>
        <v>2119.7199999999998</v>
      </c>
      <c r="K132" s="537">
        <f t="shared" si="20"/>
        <v>1669.99</v>
      </c>
      <c r="L132" s="538">
        <f t="shared" si="21"/>
        <v>449.73</v>
      </c>
      <c r="M132" s="519"/>
      <c r="N132" s="520"/>
      <c r="O132" s="519"/>
      <c r="P132" s="519"/>
      <c r="Q132" s="519"/>
      <c r="R132" s="519"/>
      <c r="S132" s="519"/>
      <c r="T132" s="519"/>
      <c r="U132" s="519">
        <f>0.5*J132</f>
        <v>1059.8599999999999</v>
      </c>
      <c r="V132" s="519">
        <f>0.5*J132</f>
        <v>1059.8599999999999</v>
      </c>
      <c r="W132" s="519"/>
      <c r="X132" s="519"/>
      <c r="Y132" s="519"/>
      <c r="Z132" s="519"/>
    </row>
    <row r="133" spans="1:26" s="512" customFormat="1">
      <c r="A133" s="616" t="s">
        <v>7135</v>
      </c>
      <c r="B133" s="617" t="s">
        <v>5256</v>
      </c>
      <c r="C133" s="617">
        <v>85195</v>
      </c>
      <c r="D133" s="618" t="s">
        <v>7128</v>
      </c>
      <c r="E133" s="619">
        <v>2</v>
      </c>
      <c r="F133" s="620" t="s">
        <v>6337</v>
      </c>
      <c r="G133" s="622">
        <v>53.34</v>
      </c>
      <c r="H133" s="622">
        <f>ROUND(G133*$B$13,2)</f>
        <v>14.36</v>
      </c>
      <c r="I133" s="622">
        <f>H133+G133</f>
        <v>67.7</v>
      </c>
      <c r="J133" s="623">
        <f>ROUND(I133*E133,2)</f>
        <v>135.4</v>
      </c>
      <c r="K133" s="537">
        <f t="shared" si="20"/>
        <v>106.68</v>
      </c>
      <c r="L133" s="538">
        <f t="shared" si="21"/>
        <v>28.72</v>
      </c>
      <c r="M133" s="519"/>
      <c r="N133" s="520"/>
      <c r="O133" s="519"/>
      <c r="P133" s="519"/>
      <c r="Q133" s="519"/>
      <c r="R133" s="519"/>
      <c r="S133" s="519"/>
      <c r="T133" s="519"/>
      <c r="U133" s="519">
        <f>0.5*J133</f>
        <v>67.7</v>
      </c>
      <c r="V133" s="519">
        <f>0.5*J133</f>
        <v>67.7</v>
      </c>
      <c r="W133" s="519"/>
      <c r="X133" s="519"/>
      <c r="Y133" s="519"/>
      <c r="Z133" s="519"/>
    </row>
    <row r="134" spans="1:26" s="6" customFormat="1" ht="15">
      <c r="A134" s="713" t="s">
        <v>7019</v>
      </c>
      <c r="B134" s="713"/>
      <c r="C134" s="713"/>
      <c r="D134" s="713"/>
      <c r="E134" s="713"/>
      <c r="F134" s="713"/>
      <c r="G134" s="713"/>
      <c r="H134" s="713"/>
      <c r="I134" s="713"/>
      <c r="J134" s="624">
        <f>SUM(J113:J133)</f>
        <v>6242.3499999999995</v>
      </c>
      <c r="K134" s="371"/>
      <c r="L134" s="333"/>
      <c r="M134" s="514">
        <f>SUM(M113:M133)</f>
        <v>0</v>
      </c>
      <c r="N134" s="514">
        <f t="shared" ref="N134:Z134" si="24">SUM(N113:N133)</f>
        <v>0</v>
      </c>
      <c r="O134" s="514">
        <f t="shared" si="24"/>
        <v>0</v>
      </c>
      <c r="P134" s="514">
        <f t="shared" si="24"/>
        <v>0</v>
      </c>
      <c r="Q134" s="514">
        <f t="shared" si="24"/>
        <v>0</v>
      </c>
      <c r="R134" s="514">
        <f t="shared" si="24"/>
        <v>0</v>
      </c>
      <c r="S134" s="514">
        <f t="shared" si="24"/>
        <v>0</v>
      </c>
      <c r="T134" s="514">
        <f t="shared" si="24"/>
        <v>0</v>
      </c>
      <c r="U134" s="514">
        <f t="shared" si="24"/>
        <v>3121.1749999999997</v>
      </c>
      <c r="V134" s="514">
        <f t="shared" si="24"/>
        <v>3121.1749999999997</v>
      </c>
      <c r="W134" s="514">
        <f t="shared" si="24"/>
        <v>0</v>
      </c>
      <c r="X134" s="514">
        <f t="shared" si="24"/>
        <v>0</v>
      </c>
      <c r="Y134" s="514">
        <f t="shared" si="24"/>
        <v>0</v>
      </c>
      <c r="Z134" s="514">
        <f t="shared" si="24"/>
        <v>0</v>
      </c>
    </row>
    <row r="135" spans="1:26" s="6" customFormat="1">
      <c r="A135" s="625"/>
      <c r="B135" s="625"/>
      <c r="C135" s="625"/>
      <c r="D135" s="625"/>
      <c r="E135" s="626"/>
      <c r="F135" s="625"/>
      <c r="G135" s="625"/>
      <c r="H135" s="627"/>
      <c r="I135" s="627"/>
      <c r="J135" s="628"/>
      <c r="K135" s="371"/>
      <c r="L135" s="333"/>
      <c r="M135" s="358"/>
      <c r="N135" s="380"/>
      <c r="O135" s="358"/>
      <c r="P135" s="358"/>
      <c r="Q135" s="358"/>
      <c r="R135" s="358"/>
      <c r="S135" s="358"/>
      <c r="T135" s="358"/>
      <c r="U135" s="358"/>
      <c r="V135" s="358"/>
      <c r="W135" s="358"/>
      <c r="X135" s="358"/>
      <c r="Y135" s="358"/>
      <c r="Z135" s="358"/>
    </row>
    <row r="136" spans="1:26" ht="15">
      <c r="A136" s="714" t="s">
        <v>7237</v>
      </c>
      <c r="B136" s="714"/>
      <c r="C136" s="714"/>
      <c r="D136" s="714"/>
      <c r="E136" s="714"/>
      <c r="F136" s="714"/>
      <c r="G136" s="714"/>
      <c r="H136" s="714"/>
      <c r="I136" s="714"/>
      <c r="J136" s="629">
        <f>J134</f>
        <v>6242.3499999999995</v>
      </c>
      <c r="M136" s="516">
        <f>M134</f>
        <v>0</v>
      </c>
      <c r="N136" s="516">
        <f t="shared" ref="N136:Z136" si="25">N134</f>
        <v>0</v>
      </c>
      <c r="O136" s="516">
        <f t="shared" si="25"/>
        <v>0</v>
      </c>
      <c r="P136" s="516">
        <f t="shared" si="25"/>
        <v>0</v>
      </c>
      <c r="Q136" s="516">
        <f t="shared" si="25"/>
        <v>0</v>
      </c>
      <c r="R136" s="516">
        <f t="shared" si="25"/>
        <v>0</v>
      </c>
      <c r="S136" s="516">
        <f t="shared" si="25"/>
        <v>0</v>
      </c>
      <c r="T136" s="516">
        <f t="shared" si="25"/>
        <v>0</v>
      </c>
      <c r="U136" s="516">
        <f t="shared" si="25"/>
        <v>3121.1749999999997</v>
      </c>
      <c r="V136" s="516">
        <f t="shared" si="25"/>
        <v>3121.1749999999997</v>
      </c>
      <c r="W136" s="516">
        <f t="shared" si="25"/>
        <v>0</v>
      </c>
      <c r="X136" s="516">
        <f t="shared" si="25"/>
        <v>0</v>
      </c>
      <c r="Y136" s="516">
        <f t="shared" si="25"/>
        <v>0</v>
      </c>
      <c r="Z136" s="516">
        <f t="shared" si="25"/>
        <v>0</v>
      </c>
    </row>
    <row r="137" spans="1:26" s="6" customFormat="1">
      <c r="A137" s="616"/>
      <c r="B137" s="617"/>
      <c r="C137" s="617"/>
      <c r="D137" s="618"/>
      <c r="E137" s="619"/>
      <c r="F137" s="620"/>
      <c r="G137" s="630"/>
      <c r="H137" s="630"/>
      <c r="I137" s="630"/>
      <c r="J137" s="631"/>
      <c r="K137" s="371"/>
      <c r="L137" s="333"/>
      <c r="M137" s="517">
        <f>M136/$J136</f>
        <v>0</v>
      </c>
      <c r="N137" s="517">
        <f>N136/$J136</f>
        <v>0</v>
      </c>
      <c r="O137" s="517">
        <f t="shared" ref="O137:Z137" si="26">O136/$J136</f>
        <v>0</v>
      </c>
      <c r="P137" s="517">
        <f t="shared" si="26"/>
        <v>0</v>
      </c>
      <c r="Q137" s="517">
        <f t="shared" si="26"/>
        <v>0</v>
      </c>
      <c r="R137" s="517">
        <f t="shared" si="26"/>
        <v>0</v>
      </c>
      <c r="S137" s="517">
        <f t="shared" si="26"/>
        <v>0</v>
      </c>
      <c r="T137" s="517">
        <f t="shared" si="26"/>
        <v>0</v>
      </c>
      <c r="U137" s="517">
        <f t="shared" si="26"/>
        <v>0.5</v>
      </c>
      <c r="V137" s="517">
        <f t="shared" si="26"/>
        <v>0.5</v>
      </c>
      <c r="W137" s="517">
        <f t="shared" si="26"/>
        <v>0</v>
      </c>
      <c r="X137" s="517">
        <f t="shared" si="26"/>
        <v>0</v>
      </c>
      <c r="Y137" s="517">
        <f t="shared" si="26"/>
        <v>0</v>
      </c>
      <c r="Z137" s="517">
        <f t="shared" si="26"/>
        <v>0</v>
      </c>
    </row>
    <row r="138" spans="1:26">
      <c r="A138" s="633" t="s">
        <v>14</v>
      </c>
      <c r="B138" s="633"/>
      <c r="C138" s="633"/>
      <c r="D138" s="716" t="s">
        <v>17</v>
      </c>
      <c r="E138" s="716"/>
      <c r="F138" s="716"/>
      <c r="G138" s="716"/>
      <c r="H138" s="716"/>
      <c r="I138" s="716"/>
      <c r="J138" s="634">
        <f>SUM(K:K)</f>
        <v>82270.360000000015</v>
      </c>
      <c r="K138" s="535"/>
      <c r="L138" s="536"/>
      <c r="M138" s="525"/>
      <c r="N138" s="524"/>
    </row>
    <row r="139" spans="1:26">
      <c r="A139" s="633" t="s">
        <v>15</v>
      </c>
      <c r="B139" s="633"/>
      <c r="C139" s="633"/>
      <c r="D139" s="717" t="s">
        <v>5801</v>
      </c>
      <c r="E139" s="717"/>
      <c r="F139" s="717"/>
      <c r="G139" s="717"/>
      <c r="H139" s="717"/>
      <c r="I139" s="717"/>
      <c r="J139" s="634">
        <f>SUM(L:L)</f>
        <v>22151.729999999996</v>
      </c>
      <c r="K139" s="535"/>
      <c r="L139" s="536"/>
      <c r="M139" s="525"/>
      <c r="N139" s="524"/>
    </row>
    <row r="140" spans="1:26">
      <c r="A140" s="633" t="s">
        <v>16</v>
      </c>
      <c r="B140" s="633"/>
      <c r="C140" s="633"/>
      <c r="D140" s="716" t="s">
        <v>18</v>
      </c>
      <c r="E140" s="716"/>
      <c r="F140" s="716"/>
      <c r="G140" s="716"/>
      <c r="H140" s="716"/>
      <c r="I140" s="716"/>
      <c r="J140" s="634">
        <f>J136+J109+J84+J37+J25</f>
        <v>104422.12</v>
      </c>
      <c r="K140" s="385"/>
      <c r="L140" s="3"/>
      <c r="M140" s="500"/>
      <c r="N140" s="379"/>
    </row>
    <row r="141" spans="1:26">
      <c r="A141" s="635"/>
      <c r="B141" s="599"/>
      <c r="C141" s="599"/>
      <c r="D141" s="600"/>
      <c r="E141" s="636"/>
      <c r="F141" s="599"/>
      <c r="G141" s="385"/>
      <c r="H141" s="385"/>
      <c r="I141" s="385"/>
      <c r="J141" s="602"/>
      <c r="K141" s="385"/>
      <c r="L141" s="3"/>
      <c r="M141" s="500"/>
      <c r="N141" s="379"/>
    </row>
    <row r="142" spans="1:26">
      <c r="A142" s="22"/>
      <c r="B142" s="599"/>
      <c r="C142" s="599"/>
      <c r="D142" s="600" t="s">
        <v>15581</v>
      </c>
      <c r="E142" s="636"/>
      <c r="F142" s="599"/>
      <c r="G142" s="385"/>
      <c r="H142" s="385"/>
      <c r="I142" s="385"/>
      <c r="J142" s="602"/>
    </row>
    <row r="143" spans="1:26">
      <c r="A143" s="22"/>
      <c r="B143" s="22"/>
      <c r="C143" s="22"/>
      <c r="D143" s="22" t="s">
        <v>15582</v>
      </c>
      <c r="E143" s="191"/>
      <c r="F143" s="6"/>
      <c r="G143" s="333"/>
      <c r="H143" s="333"/>
      <c r="I143" s="333"/>
      <c r="J143" s="381"/>
    </row>
    <row r="144" spans="1:26">
      <c r="A144" s="22"/>
      <c r="B144" s="22"/>
      <c r="C144" s="22"/>
      <c r="D144" s="22" t="s">
        <v>15583</v>
      </c>
      <c r="E144" s="191"/>
      <c r="F144" s="6"/>
      <c r="G144" s="333"/>
      <c r="H144" s="333"/>
      <c r="I144" s="333"/>
      <c r="J144" s="381"/>
    </row>
    <row r="145" spans="1:26">
      <c r="A145" s="22"/>
      <c r="B145" s="22"/>
      <c r="C145" s="22"/>
      <c r="D145" s="22" t="s">
        <v>15584</v>
      </c>
      <c r="E145" s="191"/>
      <c r="F145" s="6"/>
      <c r="G145" s="333"/>
      <c r="H145" s="333"/>
      <c r="I145" s="333"/>
      <c r="J145" s="381"/>
    </row>
    <row r="146" spans="1:26" s="117" customFormat="1" ht="15">
      <c r="A146" s="587"/>
      <c r="B146" s="587"/>
      <c r="C146" s="587"/>
      <c r="D146" s="586"/>
      <c r="E146" s="20"/>
      <c r="F146" s="36"/>
      <c r="G146" s="141"/>
      <c r="H146" s="141"/>
      <c r="I146" s="141"/>
      <c r="J146" s="429"/>
      <c r="K146" s="371"/>
      <c r="L146" s="333"/>
      <c r="M146" s="358"/>
      <c r="N146" s="380"/>
      <c r="O146" s="380"/>
      <c r="P146" s="380"/>
      <c r="Q146" s="380"/>
      <c r="R146" s="380"/>
      <c r="S146" s="504"/>
      <c r="T146" s="504"/>
      <c r="U146" s="504"/>
      <c r="V146" s="504"/>
      <c r="W146" s="504"/>
      <c r="X146" s="504"/>
      <c r="Y146" s="504"/>
      <c r="Z146" s="504"/>
    </row>
    <row r="147" spans="1:26" s="117" customFormat="1" ht="15">
      <c r="A147" s="587"/>
      <c r="B147" s="587"/>
      <c r="C147" s="587"/>
      <c r="D147" s="586"/>
      <c r="E147" s="20"/>
      <c r="F147" s="36"/>
      <c r="G147" s="141"/>
      <c r="H147" s="141"/>
      <c r="I147" s="141"/>
      <c r="J147" s="429"/>
      <c r="K147" s="371"/>
      <c r="L147" s="333"/>
      <c r="M147" s="358"/>
      <c r="N147" s="380"/>
      <c r="O147" s="380"/>
      <c r="P147" s="380"/>
      <c r="Q147" s="380"/>
      <c r="R147" s="380"/>
      <c r="S147" s="504"/>
      <c r="T147" s="504"/>
      <c r="U147" s="504"/>
      <c r="V147" s="504"/>
      <c r="W147" s="504"/>
      <c r="X147" s="504"/>
      <c r="Y147" s="504"/>
      <c r="Z147" s="504"/>
    </row>
    <row r="148" spans="1:26" s="117" customFormat="1" ht="15">
      <c r="A148" s="587"/>
      <c r="B148" s="587"/>
      <c r="C148" s="587"/>
      <c r="D148" s="586"/>
      <c r="E148" s="20"/>
      <c r="F148" s="36"/>
      <c r="G148" s="141"/>
      <c r="H148" s="141"/>
      <c r="I148" s="141"/>
      <c r="J148" s="429"/>
      <c r="K148" s="371"/>
      <c r="L148" s="333"/>
      <c r="M148" s="358"/>
      <c r="N148" s="380"/>
      <c r="O148" s="380"/>
      <c r="P148" s="380"/>
      <c r="Q148" s="380"/>
      <c r="R148" s="380"/>
      <c r="S148" s="504"/>
      <c r="T148" s="504"/>
      <c r="U148" s="504"/>
      <c r="V148" s="504"/>
      <c r="W148" s="504"/>
      <c r="X148" s="504"/>
      <c r="Y148" s="504"/>
      <c r="Z148" s="504"/>
    </row>
    <row r="149" spans="1:26" s="117" customFormat="1">
      <c r="A149" s="8"/>
      <c r="B149" s="22"/>
      <c r="C149" s="22"/>
      <c r="D149" s="588"/>
      <c r="E149" s="191"/>
      <c r="F149" s="6"/>
      <c r="G149" s="333"/>
      <c r="H149" s="333"/>
      <c r="I149" s="333"/>
      <c r="J149" s="381"/>
      <c r="K149" s="371"/>
      <c r="L149" s="333"/>
      <c r="M149" s="358"/>
      <c r="N149" s="380"/>
      <c r="O149" s="380"/>
      <c r="P149" s="380"/>
      <c r="Q149" s="380"/>
      <c r="R149" s="380"/>
      <c r="S149" s="504"/>
      <c r="T149" s="504"/>
      <c r="U149" s="504"/>
      <c r="V149" s="504"/>
      <c r="W149" s="504"/>
      <c r="X149" s="504"/>
      <c r="Y149" s="504"/>
      <c r="Z149" s="504"/>
    </row>
  </sheetData>
  <sheetProtection selectLockedCells="1" selectUnlockedCells="1"/>
  <mergeCells count="59">
    <mergeCell ref="A134:I134"/>
    <mergeCell ref="A136:I136"/>
    <mergeCell ref="D138:I138"/>
    <mergeCell ref="D139:I139"/>
    <mergeCell ref="D140:I140"/>
    <mergeCell ref="B130:J130"/>
    <mergeCell ref="B95:J95"/>
    <mergeCell ref="B98:J98"/>
    <mergeCell ref="B101:J101"/>
    <mergeCell ref="B105:J105"/>
    <mergeCell ref="A107:I107"/>
    <mergeCell ref="A109:I109"/>
    <mergeCell ref="B111:J111"/>
    <mergeCell ref="B112:C112"/>
    <mergeCell ref="B113:J113"/>
    <mergeCell ref="B114:J114"/>
    <mergeCell ref="B127:J127"/>
    <mergeCell ref="B92:J92"/>
    <mergeCell ref="A63:I63"/>
    <mergeCell ref="B65:J65"/>
    <mergeCell ref="B66:J66"/>
    <mergeCell ref="B72:J72"/>
    <mergeCell ref="B77:J77"/>
    <mergeCell ref="A82:I82"/>
    <mergeCell ref="A84:I84"/>
    <mergeCell ref="B86:J86"/>
    <mergeCell ref="B87:C87"/>
    <mergeCell ref="B88:J88"/>
    <mergeCell ref="B89:J89"/>
    <mergeCell ref="B61:J61"/>
    <mergeCell ref="A31:I31"/>
    <mergeCell ref="B33:J33"/>
    <mergeCell ref="A35:I35"/>
    <mergeCell ref="A37:I37"/>
    <mergeCell ref="B39:J39"/>
    <mergeCell ref="B40:C40"/>
    <mergeCell ref="B41:J41"/>
    <mergeCell ref="B42:J42"/>
    <mergeCell ref="B44:J44"/>
    <mergeCell ref="B49:J49"/>
    <mergeCell ref="B55:J55"/>
    <mergeCell ref="B29:J29"/>
    <mergeCell ref="B11:J11"/>
    <mergeCell ref="B12:J12"/>
    <mergeCell ref="C15:J15"/>
    <mergeCell ref="A17:J17"/>
    <mergeCell ref="B18:J18"/>
    <mergeCell ref="B19:C19"/>
    <mergeCell ref="B20:J20"/>
    <mergeCell ref="A23:I23"/>
    <mergeCell ref="A25:I25"/>
    <mergeCell ref="B27:J27"/>
    <mergeCell ref="B28:C28"/>
    <mergeCell ref="B10:J10"/>
    <mergeCell ref="A2:J2"/>
    <mergeCell ref="A3:J3"/>
    <mergeCell ref="A4:J4"/>
    <mergeCell ref="A7:J7"/>
    <mergeCell ref="B9:J9"/>
  </mergeCells>
  <printOptions horizontalCentered="1"/>
  <pageMargins left="0.70866141732283472" right="0.70866141732283472" top="0.39370078740157483" bottom="0.78740157480314965" header="0.19685039370078741" footer="0"/>
  <pageSetup paperSize="9" scale="55" firstPageNumber="23" fitToHeight="0" orientation="portrait" useFirstPageNumber="1" r:id="rId1"/>
  <headerFooter alignWithMargins="0">
    <oddHeader>&amp;LVEGA CONSTRUTORA E INCORPORAÇÕES LTDA&amp;RCNPJ: 02.342.988/0001-00</oddHeader>
    <oddFooter xml:space="preserve">&amp;C
&amp;RPágina &amp;P
</oddFooter>
  </headerFooter>
  <rowBreaks count="1" manualBreakCount="1">
    <brk id="94"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tabColor theme="5"/>
    <pageSetUpPr fitToPage="1"/>
  </sheetPr>
  <dimension ref="A1:Z168"/>
  <sheetViews>
    <sheetView zoomScaleNormal="100" zoomScaleSheetLayoutView="100" workbookViewId="0">
      <selection activeCell="G164" sqref="G164"/>
    </sheetView>
  </sheetViews>
  <sheetFormatPr defaultRowHeight="12.75"/>
  <cols>
    <col min="1" max="1" width="13" style="8" customWidth="1"/>
    <col min="2" max="2" width="10.5703125" style="8" customWidth="1"/>
    <col min="3" max="3" width="9.42578125" style="8" customWidth="1"/>
    <col min="4" max="4" width="47.42578125" style="9" customWidth="1"/>
    <col min="5" max="5" width="10.5703125" style="192" bestFit="1" customWidth="1"/>
    <col min="6" max="6" width="9.5703125" style="335" customWidth="1"/>
    <col min="7" max="7" width="13.28515625" style="359" customWidth="1"/>
    <col min="8" max="8" width="13.28515625" style="2" customWidth="1"/>
    <col min="9" max="9" width="15" style="2" customWidth="1"/>
    <col min="10" max="10" width="15" style="436" customWidth="1"/>
    <col min="11" max="12" width="15.140625" style="539" customWidth="1"/>
    <col min="13" max="26" width="13.42578125" style="520" customWidth="1"/>
    <col min="27" max="16384" width="9.140625" style="539"/>
  </cols>
  <sheetData>
    <row r="1" spans="1:10" ht="15">
      <c r="A1" s="140"/>
      <c r="B1" s="140"/>
      <c r="C1" s="140"/>
      <c r="D1" s="39"/>
      <c r="E1" s="45"/>
      <c r="F1" s="40"/>
      <c r="G1" s="347"/>
      <c r="H1" s="141"/>
      <c r="I1" s="141"/>
      <c r="J1" s="429"/>
    </row>
    <row r="2" spans="1:10" ht="15">
      <c r="A2" s="685" t="s">
        <v>35</v>
      </c>
      <c r="B2" s="685"/>
      <c r="C2" s="685"/>
      <c r="D2" s="685"/>
      <c r="E2" s="685"/>
      <c r="F2" s="685"/>
      <c r="G2" s="685"/>
      <c r="H2" s="685"/>
      <c r="I2" s="685"/>
      <c r="J2" s="685"/>
    </row>
    <row r="3" spans="1:10" ht="15">
      <c r="A3" s="685" t="s">
        <v>36</v>
      </c>
      <c r="B3" s="685"/>
      <c r="C3" s="685"/>
      <c r="D3" s="685"/>
      <c r="E3" s="685"/>
      <c r="F3" s="685"/>
      <c r="G3" s="685"/>
      <c r="H3" s="685"/>
      <c r="I3" s="685"/>
      <c r="J3" s="685"/>
    </row>
    <row r="4" spans="1:10" ht="15">
      <c r="A4" s="685" t="s">
        <v>5924</v>
      </c>
      <c r="B4" s="685"/>
      <c r="C4" s="685"/>
      <c r="D4" s="685"/>
      <c r="E4" s="685"/>
      <c r="F4" s="685"/>
      <c r="G4" s="685"/>
      <c r="H4" s="685"/>
      <c r="I4" s="685"/>
      <c r="J4" s="685"/>
    </row>
    <row r="5" spans="1:10" ht="15">
      <c r="A5" s="33"/>
      <c r="B5" s="33"/>
      <c r="C5" s="33"/>
      <c r="D5" s="34" t="s">
        <v>29</v>
      </c>
      <c r="E5" s="186"/>
      <c r="F5" s="583"/>
      <c r="G5" s="348"/>
      <c r="H5" s="41"/>
      <c r="I5" s="41"/>
      <c r="J5" s="428"/>
    </row>
    <row r="6" spans="1:10" ht="15">
      <c r="A6" s="33"/>
      <c r="B6" s="33"/>
      <c r="C6" s="33"/>
      <c r="D6" s="34"/>
      <c r="E6" s="186"/>
      <c r="F6" s="42"/>
      <c r="G6" s="347"/>
      <c r="H6" s="141"/>
      <c r="I6" s="141"/>
      <c r="J6" s="429"/>
    </row>
    <row r="7" spans="1:10" ht="21">
      <c r="A7" s="689" t="s">
        <v>9179</v>
      </c>
      <c r="B7" s="689"/>
      <c r="C7" s="689"/>
      <c r="D7" s="689"/>
      <c r="E7" s="689"/>
      <c r="F7" s="689"/>
      <c r="G7" s="689"/>
      <c r="H7" s="689"/>
      <c r="I7" s="689"/>
      <c r="J7" s="689"/>
    </row>
    <row r="8" spans="1:10" ht="15">
      <c r="A8" s="33"/>
      <c r="B8" s="33"/>
      <c r="C8" s="33"/>
      <c r="D8" s="34"/>
      <c r="E8" s="186"/>
      <c r="F8" s="583"/>
      <c r="G8" s="348"/>
      <c r="H8" s="41"/>
      <c r="I8" s="41"/>
      <c r="J8" s="428"/>
    </row>
    <row r="9" spans="1:10" ht="15">
      <c r="A9" s="43" t="s">
        <v>5251</v>
      </c>
      <c r="B9" s="691" t="str">
        <f>'Orç - Canteiro e Adm'!B9:J9</f>
        <v>Construção do edifício UEP-FCE</v>
      </c>
      <c r="C9" s="691"/>
      <c r="D9" s="691"/>
      <c r="E9" s="691"/>
      <c r="F9" s="691"/>
      <c r="G9" s="691"/>
      <c r="H9" s="691"/>
      <c r="I9" s="691"/>
      <c r="J9" s="691"/>
    </row>
    <row r="10" spans="1:10" ht="15">
      <c r="A10" s="43" t="s">
        <v>131</v>
      </c>
      <c r="B10" s="691" t="str">
        <f>'Orç - Canteiro e Adm'!B10:J10</f>
        <v>QNN 14, Área Especial, Campus UnB Ceilândia, RA IX</v>
      </c>
      <c r="C10" s="691"/>
      <c r="D10" s="691"/>
      <c r="E10" s="691"/>
      <c r="F10" s="691"/>
      <c r="G10" s="691"/>
      <c r="H10" s="691"/>
      <c r="I10" s="691"/>
      <c r="J10" s="691"/>
    </row>
    <row r="11" spans="1:10" ht="15">
      <c r="A11" s="43" t="s">
        <v>5252</v>
      </c>
      <c r="B11" s="691" t="str">
        <f>'Orç - Canteiro e Adm'!B11:J11</f>
        <v>Agosto de 2019</v>
      </c>
      <c r="C11" s="691"/>
      <c r="D11" s="691"/>
      <c r="E11" s="691"/>
      <c r="F11" s="691"/>
      <c r="G11" s="691"/>
      <c r="H11" s="691"/>
      <c r="I11" s="691"/>
      <c r="J11" s="691"/>
    </row>
    <row r="12" spans="1:10" ht="30">
      <c r="A12" s="43" t="s">
        <v>5253</v>
      </c>
      <c r="B12" s="691" t="str">
        <f>'Orç - Canteiro e Adm'!B12:J12</f>
        <v>SINAPI 07/2019; ORSE 06/2019; CPOS 07/2019; SBC 07/2017; SEINFRA 12/2018</v>
      </c>
      <c r="C12" s="691"/>
      <c r="D12" s="691"/>
      <c r="E12" s="691"/>
      <c r="F12" s="691"/>
      <c r="G12" s="691"/>
      <c r="H12" s="691"/>
      <c r="I12" s="691"/>
      <c r="J12" s="691"/>
    </row>
    <row r="13" spans="1:10" ht="15">
      <c r="A13" s="145" t="s">
        <v>132</v>
      </c>
      <c r="B13" s="21">
        <v>0.26929999999999998</v>
      </c>
      <c r="C13" s="144" t="s">
        <v>5813</v>
      </c>
      <c r="D13" s="183"/>
      <c r="E13" s="187"/>
      <c r="F13" s="183"/>
      <c r="G13" s="349"/>
      <c r="H13" s="183"/>
      <c r="I13" s="183"/>
      <c r="J13" s="349"/>
    </row>
    <row r="14" spans="1:10" ht="15">
      <c r="A14" s="145"/>
      <c r="B14" s="21">
        <v>0.20930000000000001</v>
      </c>
      <c r="C14" s="144" t="s">
        <v>5814</v>
      </c>
      <c r="D14" s="183"/>
      <c r="E14" s="188"/>
      <c r="F14" s="586"/>
      <c r="G14" s="350"/>
      <c r="H14" s="586"/>
      <c r="I14" s="586"/>
      <c r="J14" s="350"/>
    </row>
    <row r="15" spans="1:10" ht="15">
      <c r="A15" s="145"/>
      <c r="B15" s="145"/>
      <c r="C15" s="691" t="s">
        <v>5254</v>
      </c>
      <c r="D15" s="691"/>
      <c r="E15" s="691"/>
      <c r="F15" s="691"/>
      <c r="G15" s="691"/>
      <c r="H15" s="691"/>
      <c r="I15" s="691"/>
      <c r="J15" s="691"/>
    </row>
    <row r="16" spans="1:10" ht="15">
      <c r="A16" s="145"/>
      <c r="B16" s="33"/>
      <c r="C16" s="33"/>
      <c r="D16" s="590"/>
      <c r="E16" s="186"/>
      <c r="F16" s="15"/>
      <c r="G16" s="347"/>
      <c r="H16" s="141"/>
      <c r="I16" s="141"/>
      <c r="J16" s="429"/>
    </row>
    <row r="17" spans="1:26" ht="15">
      <c r="A17" s="688" t="s">
        <v>5796</v>
      </c>
      <c r="B17" s="688"/>
      <c r="C17" s="688"/>
      <c r="D17" s="688"/>
      <c r="E17" s="688"/>
      <c r="F17" s="688"/>
      <c r="G17" s="688"/>
      <c r="H17" s="688"/>
      <c r="I17" s="688"/>
      <c r="J17" s="688"/>
      <c r="M17" s="540">
        <v>1</v>
      </c>
      <c r="N17" s="540">
        <v>2</v>
      </c>
      <c r="O17" s="540">
        <v>3</v>
      </c>
      <c r="P17" s="540">
        <v>4</v>
      </c>
      <c r="Q17" s="540">
        <v>5</v>
      </c>
      <c r="R17" s="540">
        <v>6</v>
      </c>
      <c r="S17" s="540">
        <v>7</v>
      </c>
      <c r="T17" s="540">
        <v>8</v>
      </c>
      <c r="U17" s="540">
        <v>9</v>
      </c>
      <c r="V17" s="540">
        <v>10</v>
      </c>
      <c r="W17" s="540">
        <v>11</v>
      </c>
      <c r="X17" s="540">
        <v>12</v>
      </c>
      <c r="Y17" s="540">
        <v>13</v>
      </c>
      <c r="Z17" s="540">
        <v>14</v>
      </c>
    </row>
    <row r="18" spans="1:26" ht="15">
      <c r="A18" s="457" t="s">
        <v>2</v>
      </c>
      <c r="B18" s="696" t="s">
        <v>8</v>
      </c>
      <c r="C18" s="697"/>
      <c r="D18" s="697"/>
      <c r="E18" s="697"/>
      <c r="F18" s="697"/>
      <c r="G18" s="697"/>
      <c r="H18" s="697"/>
      <c r="I18" s="697"/>
      <c r="J18" s="697"/>
    </row>
    <row r="19" spans="1:26" s="512" customFormat="1" ht="15">
      <c r="A19" s="573" t="s">
        <v>0</v>
      </c>
      <c r="B19" s="692" t="s">
        <v>5250</v>
      </c>
      <c r="C19" s="693"/>
      <c r="D19" s="23" t="s">
        <v>1</v>
      </c>
      <c r="E19" s="193" t="s">
        <v>134</v>
      </c>
      <c r="F19" s="24" t="s">
        <v>11</v>
      </c>
      <c r="G19" s="351" t="s">
        <v>12</v>
      </c>
      <c r="H19" s="182" t="s">
        <v>6735</v>
      </c>
      <c r="I19" s="182" t="s">
        <v>6736</v>
      </c>
      <c r="J19" s="430" t="s">
        <v>133</v>
      </c>
      <c r="K19" s="541" t="s">
        <v>9264</v>
      </c>
      <c r="L19" s="541" t="s">
        <v>9265</v>
      </c>
      <c r="M19" s="519"/>
      <c r="N19" s="519"/>
      <c r="O19" s="519"/>
      <c r="P19" s="519"/>
      <c r="Q19" s="519"/>
      <c r="R19" s="519"/>
      <c r="S19" s="519"/>
      <c r="T19" s="519"/>
      <c r="U19" s="519"/>
      <c r="V19" s="519"/>
      <c r="W19" s="519"/>
      <c r="X19" s="519"/>
      <c r="Y19" s="519"/>
      <c r="Z19" s="519"/>
    </row>
    <row r="20" spans="1:26" s="512" customFormat="1" ht="15">
      <c r="A20" s="197" t="s">
        <v>9419</v>
      </c>
      <c r="B20" s="699" t="s">
        <v>9420</v>
      </c>
      <c r="C20" s="699"/>
      <c r="D20" s="699"/>
      <c r="E20" s="699"/>
      <c r="F20" s="699"/>
      <c r="G20" s="699"/>
      <c r="H20" s="699"/>
      <c r="I20" s="699"/>
      <c r="J20" s="699"/>
      <c r="M20" s="519"/>
      <c r="N20" s="519"/>
      <c r="O20" s="519"/>
      <c r="P20" s="519"/>
      <c r="Q20" s="519"/>
      <c r="R20" s="519"/>
      <c r="S20" s="519"/>
      <c r="T20" s="519"/>
      <c r="U20" s="519"/>
      <c r="V20" s="519"/>
      <c r="W20" s="519"/>
      <c r="X20" s="519"/>
      <c r="Y20" s="519"/>
      <c r="Z20" s="519"/>
    </row>
    <row r="21" spans="1:26" s="512" customFormat="1" ht="45">
      <c r="A21" s="338" t="s">
        <v>9422</v>
      </c>
      <c r="B21" s="576" t="s">
        <v>5256</v>
      </c>
      <c r="C21" s="576">
        <v>92970</v>
      </c>
      <c r="D21" s="336" t="s">
        <v>9423</v>
      </c>
      <c r="E21" s="341">
        <f>QuantUrb!K21</f>
        <v>704.36</v>
      </c>
      <c r="F21" s="342" t="s">
        <v>6339</v>
      </c>
      <c r="G21" s="352">
        <v>9.24</v>
      </c>
      <c r="H21" s="339">
        <f>ROUND(G21*$B$13,2)</f>
        <v>2.4900000000000002</v>
      </c>
      <c r="I21" s="339">
        <f>H21+G21</f>
        <v>11.73</v>
      </c>
      <c r="J21" s="431">
        <f>ROUND(I21*E21,2)</f>
        <v>8262.14</v>
      </c>
      <c r="K21" s="537">
        <f>ROUND(G21*E21,2)</f>
        <v>6508.29</v>
      </c>
      <c r="L21" s="538">
        <f>ROUND(H21*E21,2)</f>
        <v>1753.86</v>
      </c>
      <c r="M21" s="519"/>
      <c r="N21" s="519"/>
      <c r="O21" s="519"/>
      <c r="P21" s="519"/>
      <c r="Q21" s="519"/>
      <c r="R21" s="519"/>
      <c r="S21" s="519"/>
      <c r="T21" s="519">
        <f>0.5*J21</f>
        <v>4131.07</v>
      </c>
      <c r="U21" s="519">
        <f>0.5*J21</f>
        <v>4131.07</v>
      </c>
      <c r="V21" s="519"/>
      <c r="W21" s="519"/>
      <c r="X21" s="519"/>
      <c r="Y21" s="519"/>
      <c r="Z21" s="519"/>
    </row>
    <row r="22" spans="1:26" s="512" customFormat="1" ht="15">
      <c r="A22" s="338" t="s">
        <v>9455</v>
      </c>
      <c r="B22" s="576" t="s">
        <v>6333</v>
      </c>
      <c r="C22" s="576">
        <v>2624</v>
      </c>
      <c r="D22" s="336" t="s">
        <v>9456</v>
      </c>
      <c r="E22" s="341">
        <f>QuantUrb!I29</f>
        <v>272.10000000000002</v>
      </c>
      <c r="F22" s="342" t="s">
        <v>6774</v>
      </c>
      <c r="G22" s="352">
        <v>9.83</v>
      </c>
      <c r="H22" s="339">
        <f>ROUND(G22*$B$13,2)</f>
        <v>2.65</v>
      </c>
      <c r="I22" s="339">
        <f>H22+G22</f>
        <v>12.48</v>
      </c>
      <c r="J22" s="431">
        <f>ROUND(I22*E22,2)</f>
        <v>3395.81</v>
      </c>
      <c r="K22" s="537">
        <f>ROUND(G22*E22,2)</f>
        <v>2674.74</v>
      </c>
      <c r="L22" s="538">
        <f>ROUND(H22*E22,2)</f>
        <v>721.07</v>
      </c>
      <c r="M22" s="519"/>
      <c r="N22" s="519"/>
      <c r="O22" s="519"/>
      <c r="P22" s="519"/>
      <c r="Q22" s="519"/>
      <c r="R22" s="519"/>
      <c r="S22" s="519"/>
      <c r="T22" s="519">
        <f>0.5*J22</f>
        <v>1697.905</v>
      </c>
      <c r="U22" s="519">
        <f>0.5*J22</f>
        <v>1697.905</v>
      </c>
      <c r="V22" s="519"/>
      <c r="W22" s="519"/>
      <c r="X22" s="519"/>
      <c r="Y22" s="519"/>
      <c r="Z22" s="519"/>
    </row>
    <row r="23" spans="1:26" s="512" customFormat="1" ht="30">
      <c r="A23" s="338" t="s">
        <v>8128</v>
      </c>
      <c r="B23" s="576" t="s">
        <v>5256</v>
      </c>
      <c r="C23" s="576">
        <v>72898</v>
      </c>
      <c r="D23" s="336" t="s">
        <v>7856</v>
      </c>
      <c r="E23" s="341">
        <f>E21*0.15</f>
        <v>105.654</v>
      </c>
      <c r="F23" s="342" t="s">
        <v>6741</v>
      </c>
      <c r="G23" s="339">
        <v>3.06</v>
      </c>
      <c r="H23" s="339">
        <f>ROUND(G23*$B$13,2)</f>
        <v>0.82</v>
      </c>
      <c r="I23" s="339">
        <f>H23+G23</f>
        <v>3.88</v>
      </c>
      <c r="J23" s="431">
        <f>ROUND(I23*E23,2)</f>
        <v>409.94</v>
      </c>
      <c r="K23" s="510">
        <f>ROUND(G23*E23,2)</f>
        <v>323.3</v>
      </c>
      <c r="L23" s="510">
        <f>ROUND(H23*E23,2)</f>
        <v>86.64</v>
      </c>
      <c r="M23" s="519"/>
      <c r="N23" s="520"/>
      <c r="O23" s="519"/>
      <c r="P23" s="519"/>
      <c r="Q23" s="519"/>
      <c r="R23" s="519"/>
      <c r="S23" s="519"/>
      <c r="T23" s="519">
        <f>0.5*J23</f>
        <v>204.97</v>
      </c>
      <c r="U23" s="519">
        <f>0.5*J23</f>
        <v>204.97</v>
      </c>
      <c r="V23" s="519"/>
      <c r="W23" s="519"/>
      <c r="X23" s="519"/>
      <c r="Y23" s="519"/>
      <c r="Z23" s="519"/>
    </row>
    <row r="24" spans="1:26" s="512" customFormat="1" ht="45">
      <c r="A24" s="338" t="s">
        <v>8129</v>
      </c>
      <c r="B24" s="576" t="s">
        <v>5256</v>
      </c>
      <c r="C24" s="576">
        <v>97914</v>
      </c>
      <c r="D24" s="336" t="s">
        <v>7857</v>
      </c>
      <c r="E24" s="341">
        <f>E23*20</f>
        <v>2113.08</v>
      </c>
      <c r="F24" s="342" t="s">
        <v>7855</v>
      </c>
      <c r="G24" s="339">
        <v>1.27</v>
      </c>
      <c r="H24" s="339">
        <f>ROUND(G24*$B$13,2)</f>
        <v>0.34</v>
      </c>
      <c r="I24" s="339">
        <f>H24+G24</f>
        <v>1.61</v>
      </c>
      <c r="J24" s="431">
        <f>ROUND(I24*E24,2)</f>
        <v>3402.06</v>
      </c>
      <c r="K24" s="510">
        <f>ROUND(G24*E24,2)</f>
        <v>2683.61</v>
      </c>
      <c r="L24" s="510">
        <f>ROUND(H24*E24,2)</f>
        <v>718.45</v>
      </c>
      <c r="M24" s="519"/>
      <c r="N24" s="520"/>
      <c r="O24" s="519"/>
      <c r="P24" s="519"/>
      <c r="Q24" s="519"/>
      <c r="R24" s="519"/>
      <c r="S24" s="519"/>
      <c r="T24" s="519">
        <f>0.5*J24</f>
        <v>1701.03</v>
      </c>
      <c r="U24" s="519">
        <f>0.5*J24</f>
        <v>1701.03</v>
      </c>
      <c r="V24" s="519"/>
      <c r="W24" s="519"/>
      <c r="X24" s="519"/>
      <c r="Y24" s="519"/>
      <c r="Z24" s="519"/>
    </row>
    <row r="25" spans="1:26" s="512" customFormat="1" ht="15">
      <c r="A25" s="700" t="s">
        <v>9421</v>
      </c>
      <c r="B25" s="700"/>
      <c r="C25" s="700"/>
      <c r="D25" s="700"/>
      <c r="E25" s="700"/>
      <c r="F25" s="700"/>
      <c r="G25" s="700"/>
      <c r="H25" s="700"/>
      <c r="I25" s="700"/>
      <c r="J25" s="432">
        <f>SUM(J20:J24)</f>
        <v>15469.949999999999</v>
      </c>
      <c r="M25" s="542">
        <f>SUM(M20:M24)</f>
        <v>0</v>
      </c>
      <c r="N25" s="542">
        <f t="shared" ref="N25:Z25" si="0">SUM(N20:N24)</f>
        <v>0</v>
      </c>
      <c r="O25" s="542">
        <f t="shared" si="0"/>
        <v>0</v>
      </c>
      <c r="P25" s="542">
        <f t="shared" si="0"/>
        <v>0</v>
      </c>
      <c r="Q25" s="542">
        <f t="shared" si="0"/>
        <v>0</v>
      </c>
      <c r="R25" s="542">
        <f t="shared" si="0"/>
        <v>0</v>
      </c>
      <c r="S25" s="542">
        <f t="shared" si="0"/>
        <v>0</v>
      </c>
      <c r="T25" s="542">
        <f t="shared" si="0"/>
        <v>7734.9749999999995</v>
      </c>
      <c r="U25" s="542">
        <f t="shared" si="0"/>
        <v>7734.9749999999995</v>
      </c>
      <c r="V25" s="542">
        <f t="shared" si="0"/>
        <v>0</v>
      </c>
      <c r="W25" s="542">
        <f t="shared" si="0"/>
        <v>0</v>
      </c>
      <c r="X25" s="542">
        <f t="shared" si="0"/>
        <v>0</v>
      </c>
      <c r="Y25" s="542">
        <f t="shared" si="0"/>
        <v>0</v>
      </c>
      <c r="Z25" s="542">
        <f t="shared" si="0"/>
        <v>0</v>
      </c>
    </row>
    <row r="26" spans="1:26" s="512" customFormat="1" ht="15">
      <c r="A26" s="29"/>
      <c r="B26" s="29"/>
      <c r="C26" s="29"/>
      <c r="D26" s="29"/>
      <c r="E26" s="189"/>
      <c r="F26" s="29"/>
      <c r="G26" s="353"/>
      <c r="H26" s="28"/>
      <c r="I26" s="28"/>
      <c r="J26" s="433"/>
      <c r="M26" s="519"/>
      <c r="N26" s="519"/>
      <c r="O26" s="519"/>
      <c r="P26" s="519"/>
      <c r="Q26" s="519"/>
      <c r="R26" s="519"/>
      <c r="S26" s="519"/>
      <c r="T26" s="519"/>
      <c r="U26" s="519"/>
      <c r="V26" s="519"/>
      <c r="W26" s="519"/>
      <c r="X26" s="519"/>
      <c r="Y26" s="519"/>
      <c r="Z26" s="519"/>
    </row>
    <row r="27" spans="1:26" s="512" customFormat="1" ht="15">
      <c r="A27" s="197" t="s">
        <v>6733</v>
      </c>
      <c r="B27" s="699" t="s">
        <v>6734</v>
      </c>
      <c r="C27" s="699"/>
      <c r="D27" s="699"/>
      <c r="E27" s="699"/>
      <c r="F27" s="699"/>
      <c r="G27" s="699"/>
      <c r="H27" s="699"/>
      <c r="I27" s="699"/>
      <c r="J27" s="699"/>
      <c r="M27" s="519"/>
      <c r="N27" s="519"/>
      <c r="O27" s="519"/>
      <c r="P27" s="519"/>
      <c r="Q27" s="519"/>
      <c r="R27" s="519"/>
      <c r="S27" s="519"/>
      <c r="T27" s="519"/>
      <c r="U27" s="519"/>
      <c r="V27" s="519"/>
      <c r="W27" s="519"/>
      <c r="X27" s="519"/>
      <c r="Y27" s="519"/>
      <c r="Z27" s="519"/>
    </row>
    <row r="28" spans="1:26" s="512" customFormat="1" ht="15">
      <c r="A28" s="338" t="s">
        <v>5927</v>
      </c>
      <c r="B28" s="576" t="s">
        <v>5256</v>
      </c>
      <c r="C28" s="576">
        <v>99064</v>
      </c>
      <c r="D28" s="336" t="s">
        <v>9180</v>
      </c>
      <c r="E28" s="341">
        <f>QuantUrb!J37</f>
        <v>1103.07</v>
      </c>
      <c r="F28" s="342" t="s">
        <v>6339</v>
      </c>
      <c r="G28" s="352">
        <v>0.25</v>
      </c>
      <c r="H28" s="339">
        <f>ROUND(G28*$B$13,2)</f>
        <v>7.0000000000000007E-2</v>
      </c>
      <c r="I28" s="339">
        <f>H28+G28</f>
        <v>0.32</v>
      </c>
      <c r="J28" s="431">
        <f>ROUND(I28*E28,2)</f>
        <v>352.98</v>
      </c>
      <c r="K28" s="537">
        <f>ROUND(G28*E28,2)</f>
        <v>275.77</v>
      </c>
      <c r="L28" s="538">
        <f>ROUND(H28*E28,2)</f>
        <v>77.209999999999994</v>
      </c>
      <c r="M28" s="519"/>
      <c r="N28" s="519"/>
      <c r="O28" s="519"/>
      <c r="P28" s="519"/>
      <c r="Q28" s="519"/>
      <c r="R28" s="519"/>
      <c r="S28" s="519"/>
      <c r="T28" s="519">
        <f>J28</f>
        <v>352.98</v>
      </c>
      <c r="U28" s="519"/>
      <c r="V28" s="519"/>
      <c r="W28" s="519"/>
      <c r="X28" s="519"/>
      <c r="Y28" s="519"/>
      <c r="Z28" s="519"/>
    </row>
    <row r="29" spans="1:26" s="512" customFormat="1" ht="15">
      <c r="A29" s="700" t="s">
        <v>6738</v>
      </c>
      <c r="B29" s="700"/>
      <c r="C29" s="700"/>
      <c r="D29" s="700"/>
      <c r="E29" s="700"/>
      <c r="F29" s="700"/>
      <c r="G29" s="700"/>
      <c r="H29" s="700"/>
      <c r="I29" s="700"/>
      <c r="J29" s="432">
        <f>SUM(J27:J28)</f>
        <v>352.98</v>
      </c>
      <c r="M29" s="542">
        <f>SUM(M27:M28)</f>
        <v>0</v>
      </c>
      <c r="N29" s="542">
        <f t="shared" ref="N29:Z29" si="1">SUM(N27:N28)</f>
        <v>0</v>
      </c>
      <c r="O29" s="542">
        <f t="shared" si="1"/>
        <v>0</v>
      </c>
      <c r="P29" s="542">
        <f t="shared" si="1"/>
        <v>0</v>
      </c>
      <c r="Q29" s="542">
        <f t="shared" si="1"/>
        <v>0</v>
      </c>
      <c r="R29" s="542">
        <f t="shared" si="1"/>
        <v>0</v>
      </c>
      <c r="S29" s="542">
        <f t="shared" si="1"/>
        <v>0</v>
      </c>
      <c r="T29" s="542">
        <f t="shared" si="1"/>
        <v>352.98</v>
      </c>
      <c r="U29" s="542">
        <f t="shared" si="1"/>
        <v>0</v>
      </c>
      <c r="V29" s="542">
        <f t="shared" si="1"/>
        <v>0</v>
      </c>
      <c r="W29" s="542">
        <f t="shared" si="1"/>
        <v>0</v>
      </c>
      <c r="X29" s="542">
        <f t="shared" si="1"/>
        <v>0</v>
      </c>
      <c r="Y29" s="542">
        <f t="shared" si="1"/>
        <v>0</v>
      </c>
      <c r="Z29" s="542">
        <f t="shared" si="1"/>
        <v>0</v>
      </c>
    </row>
    <row r="30" spans="1:26" s="512" customFormat="1" ht="15">
      <c r="A30" s="29"/>
      <c r="B30" s="29"/>
      <c r="C30" s="29"/>
      <c r="D30" s="29"/>
      <c r="E30" s="189"/>
      <c r="F30" s="29"/>
      <c r="G30" s="353"/>
      <c r="H30" s="28"/>
      <c r="I30" s="28"/>
      <c r="J30" s="433"/>
      <c r="M30" s="519"/>
      <c r="N30" s="519"/>
      <c r="O30" s="519"/>
      <c r="P30" s="519"/>
      <c r="Q30" s="519"/>
      <c r="R30" s="519"/>
      <c r="S30" s="519"/>
      <c r="T30" s="519"/>
      <c r="U30" s="519"/>
      <c r="V30" s="519"/>
      <c r="W30" s="519"/>
      <c r="X30" s="519"/>
      <c r="Y30" s="519"/>
      <c r="Z30" s="519"/>
    </row>
    <row r="31" spans="1:26" ht="15">
      <c r="A31" s="701" t="s">
        <v>6742</v>
      </c>
      <c r="B31" s="701"/>
      <c r="C31" s="701"/>
      <c r="D31" s="701"/>
      <c r="E31" s="701"/>
      <c r="F31" s="701"/>
      <c r="G31" s="701"/>
      <c r="H31" s="701"/>
      <c r="I31" s="701"/>
      <c r="J31" s="434">
        <f>J29+J25</f>
        <v>15822.929999999998</v>
      </c>
      <c r="M31" s="542">
        <f>M29+M25</f>
        <v>0</v>
      </c>
      <c r="N31" s="542">
        <f t="shared" ref="N31:Z31" si="2">N29+N25</f>
        <v>0</v>
      </c>
      <c r="O31" s="542">
        <f t="shared" si="2"/>
        <v>0</v>
      </c>
      <c r="P31" s="542">
        <f t="shared" si="2"/>
        <v>0</v>
      </c>
      <c r="Q31" s="542">
        <f t="shared" si="2"/>
        <v>0</v>
      </c>
      <c r="R31" s="542">
        <f t="shared" si="2"/>
        <v>0</v>
      </c>
      <c r="S31" s="542">
        <f t="shared" si="2"/>
        <v>0</v>
      </c>
      <c r="T31" s="542">
        <f t="shared" si="2"/>
        <v>8087.9549999999999</v>
      </c>
      <c r="U31" s="542">
        <f t="shared" si="2"/>
        <v>7734.9749999999995</v>
      </c>
      <c r="V31" s="542">
        <f t="shared" si="2"/>
        <v>0</v>
      </c>
      <c r="W31" s="542">
        <f t="shared" si="2"/>
        <v>0</v>
      </c>
      <c r="X31" s="542">
        <f t="shared" si="2"/>
        <v>0</v>
      </c>
      <c r="Y31" s="542">
        <f t="shared" si="2"/>
        <v>0</v>
      </c>
      <c r="Z31" s="542">
        <f t="shared" si="2"/>
        <v>0</v>
      </c>
    </row>
    <row r="32" spans="1:26" s="512" customFormat="1" ht="15">
      <c r="A32" s="338"/>
      <c r="B32" s="576"/>
      <c r="C32" s="576"/>
      <c r="D32" s="336"/>
      <c r="E32" s="341"/>
      <c r="F32" s="342"/>
      <c r="G32" s="354"/>
      <c r="H32" s="11"/>
      <c r="I32" s="11"/>
      <c r="J32" s="435"/>
      <c r="M32" s="569">
        <f>M31/$J31</f>
        <v>0</v>
      </c>
      <c r="N32" s="569">
        <f t="shared" ref="N32:Z32" si="3">N31/$J31</f>
        <v>0</v>
      </c>
      <c r="O32" s="569">
        <f t="shared" si="3"/>
        <v>0</v>
      </c>
      <c r="P32" s="569">
        <f t="shared" si="3"/>
        <v>0</v>
      </c>
      <c r="Q32" s="569">
        <f t="shared" si="3"/>
        <v>0</v>
      </c>
      <c r="R32" s="569">
        <f t="shared" si="3"/>
        <v>0</v>
      </c>
      <c r="S32" s="569">
        <f t="shared" si="3"/>
        <v>0</v>
      </c>
      <c r="T32" s="569">
        <f t="shared" si="3"/>
        <v>0.51115406565029364</v>
      </c>
      <c r="U32" s="569">
        <f t="shared" si="3"/>
        <v>0.48884593434970641</v>
      </c>
      <c r="V32" s="569">
        <f t="shared" si="3"/>
        <v>0</v>
      </c>
      <c r="W32" s="569">
        <f t="shared" si="3"/>
        <v>0</v>
      </c>
      <c r="X32" s="569">
        <f t="shared" si="3"/>
        <v>0</v>
      </c>
      <c r="Y32" s="569">
        <f t="shared" si="3"/>
        <v>0</v>
      </c>
      <c r="Z32" s="569">
        <f t="shared" si="3"/>
        <v>0</v>
      </c>
    </row>
    <row r="33" spans="1:26" ht="15">
      <c r="A33" s="457" t="s">
        <v>4</v>
      </c>
      <c r="B33" s="696" t="s">
        <v>5804</v>
      </c>
      <c r="C33" s="697"/>
      <c r="D33" s="697"/>
      <c r="E33" s="697"/>
      <c r="F33" s="697"/>
      <c r="G33" s="697"/>
      <c r="H33" s="697"/>
      <c r="I33" s="697"/>
      <c r="J33" s="697"/>
    </row>
    <row r="34" spans="1:26" s="512" customFormat="1" ht="15">
      <c r="A34" s="573" t="s">
        <v>0</v>
      </c>
      <c r="B34" s="692" t="s">
        <v>5250</v>
      </c>
      <c r="C34" s="693"/>
      <c r="D34" s="23" t="s">
        <v>1</v>
      </c>
      <c r="E34" s="193" t="s">
        <v>134</v>
      </c>
      <c r="F34" s="24" t="s">
        <v>11</v>
      </c>
      <c r="G34" s="351" t="s">
        <v>12</v>
      </c>
      <c r="H34" s="182" t="s">
        <v>6735</v>
      </c>
      <c r="I34" s="182" t="s">
        <v>6736</v>
      </c>
      <c r="J34" s="430" t="s">
        <v>133</v>
      </c>
      <c r="M34" s="519"/>
      <c r="N34" s="519"/>
      <c r="O34" s="519"/>
      <c r="P34" s="519"/>
      <c r="Q34" s="519"/>
      <c r="R34" s="519"/>
      <c r="S34" s="519"/>
      <c r="T34" s="519"/>
      <c r="U34" s="519"/>
      <c r="V34" s="519"/>
      <c r="W34" s="519"/>
      <c r="X34" s="519"/>
      <c r="Y34" s="519"/>
      <c r="Z34" s="519"/>
    </row>
    <row r="35" spans="1:26" s="512" customFormat="1" ht="15">
      <c r="A35" s="197" t="s">
        <v>7834</v>
      </c>
      <c r="B35" s="699" t="s">
        <v>7835</v>
      </c>
      <c r="C35" s="699"/>
      <c r="D35" s="699"/>
      <c r="E35" s="699"/>
      <c r="F35" s="699"/>
      <c r="G35" s="699"/>
      <c r="H35" s="699"/>
      <c r="I35" s="699"/>
      <c r="J35" s="699"/>
      <c r="M35" s="519"/>
      <c r="N35" s="519"/>
      <c r="O35" s="519"/>
      <c r="P35" s="519"/>
      <c r="Q35" s="519"/>
      <c r="R35" s="519"/>
      <c r="S35" s="519"/>
      <c r="T35" s="519"/>
      <c r="U35" s="519"/>
      <c r="V35" s="519"/>
      <c r="W35" s="519"/>
      <c r="X35" s="519"/>
      <c r="Y35" s="519"/>
      <c r="Z35" s="519"/>
    </row>
    <row r="36" spans="1:26" s="512" customFormat="1" ht="45">
      <c r="A36" s="338" t="s">
        <v>9187</v>
      </c>
      <c r="B36" s="576" t="s">
        <v>6333</v>
      </c>
      <c r="C36" s="576">
        <v>11345</v>
      </c>
      <c r="D36" s="336" t="s">
        <v>9181</v>
      </c>
      <c r="E36" s="341">
        <v>8</v>
      </c>
      <c r="F36" s="342" t="s">
        <v>6337</v>
      </c>
      <c r="G36" s="352">
        <v>355.4</v>
      </c>
      <c r="H36" s="339">
        <f t="shared" ref="H36:H41" si="4">ROUND(G36*$B$13,2)</f>
        <v>95.71</v>
      </c>
      <c r="I36" s="339">
        <f t="shared" ref="I36:I41" si="5">H36+G36</f>
        <v>451.10999999999996</v>
      </c>
      <c r="J36" s="431">
        <f t="shared" ref="J36:J41" si="6">ROUND(I36*E36,2)</f>
        <v>3608.88</v>
      </c>
      <c r="K36" s="537">
        <f t="shared" ref="K36:K41" si="7">ROUND(G36*E36,2)</f>
        <v>2843.2</v>
      </c>
      <c r="L36" s="538">
        <f t="shared" ref="L36:L41" si="8">ROUND(H36*E36,2)</f>
        <v>765.68</v>
      </c>
      <c r="M36" s="519"/>
      <c r="N36" s="519"/>
      <c r="O36" s="519"/>
      <c r="P36" s="519"/>
      <c r="Q36" s="519"/>
      <c r="R36" s="519"/>
      <c r="S36" s="519"/>
      <c r="T36" s="519"/>
      <c r="U36" s="519"/>
      <c r="V36" s="519"/>
      <c r="W36" s="519"/>
      <c r="X36" s="519"/>
      <c r="Y36" s="519">
        <f>0.2*J36</f>
        <v>721.77600000000007</v>
      </c>
      <c r="Z36" s="519">
        <f>0.8*J36</f>
        <v>2887.1040000000003</v>
      </c>
    </row>
    <row r="37" spans="1:26" s="512" customFormat="1" ht="45">
      <c r="A37" s="338" t="s">
        <v>9188</v>
      </c>
      <c r="B37" s="576" t="s">
        <v>9193</v>
      </c>
      <c r="C37" s="576">
        <v>5213440</v>
      </c>
      <c r="D37" s="336" t="s">
        <v>9182</v>
      </c>
      <c r="E37" s="341">
        <v>16</v>
      </c>
      <c r="F37" s="342" t="s">
        <v>6337</v>
      </c>
      <c r="G37" s="352">
        <v>134.97000000000003</v>
      </c>
      <c r="H37" s="339">
        <f t="shared" si="4"/>
        <v>36.35</v>
      </c>
      <c r="I37" s="339">
        <f t="shared" si="5"/>
        <v>171.32000000000002</v>
      </c>
      <c r="J37" s="431">
        <f t="shared" si="6"/>
        <v>2741.12</v>
      </c>
      <c r="K37" s="537">
        <f t="shared" si="7"/>
        <v>2159.52</v>
      </c>
      <c r="L37" s="538">
        <f t="shared" si="8"/>
        <v>581.6</v>
      </c>
      <c r="M37" s="519"/>
      <c r="N37" s="519"/>
      <c r="O37" s="519"/>
      <c r="P37" s="519"/>
      <c r="Q37" s="519"/>
      <c r="R37" s="519"/>
      <c r="S37" s="519"/>
      <c r="T37" s="519"/>
      <c r="U37" s="519"/>
      <c r="V37" s="519"/>
      <c r="W37" s="519"/>
      <c r="X37" s="519"/>
      <c r="Y37" s="519">
        <f t="shared" ref="Y37:Y47" si="9">0.2*J37</f>
        <v>548.22400000000005</v>
      </c>
      <c r="Z37" s="519">
        <f t="shared" ref="Z37:Z47" si="10">0.8*J37</f>
        <v>2192.8960000000002</v>
      </c>
    </row>
    <row r="38" spans="1:26" s="512" customFormat="1" ht="45">
      <c r="A38" s="338" t="s">
        <v>9189</v>
      </c>
      <c r="B38" s="576" t="s">
        <v>9193</v>
      </c>
      <c r="C38" s="576">
        <v>5213448</v>
      </c>
      <c r="D38" s="336" t="s">
        <v>9183</v>
      </c>
      <c r="E38" s="341">
        <v>5</v>
      </c>
      <c r="F38" s="342" t="s">
        <v>6337</v>
      </c>
      <c r="G38" s="352">
        <v>112.64</v>
      </c>
      <c r="H38" s="339">
        <f t="shared" si="4"/>
        <v>30.33</v>
      </c>
      <c r="I38" s="339">
        <f t="shared" si="5"/>
        <v>142.97</v>
      </c>
      <c r="J38" s="431">
        <f t="shared" si="6"/>
        <v>714.85</v>
      </c>
      <c r="K38" s="537">
        <f t="shared" si="7"/>
        <v>563.20000000000005</v>
      </c>
      <c r="L38" s="538">
        <f t="shared" si="8"/>
        <v>151.65</v>
      </c>
      <c r="M38" s="519"/>
      <c r="N38" s="519"/>
      <c r="O38" s="519"/>
      <c r="P38" s="519"/>
      <c r="Q38" s="519"/>
      <c r="R38" s="519"/>
      <c r="S38" s="519"/>
      <c r="T38" s="519"/>
      <c r="U38" s="519"/>
      <c r="V38" s="519"/>
      <c r="W38" s="519"/>
      <c r="X38" s="519"/>
      <c r="Y38" s="519">
        <f t="shared" si="9"/>
        <v>142.97</v>
      </c>
      <c r="Z38" s="519">
        <f t="shared" si="10"/>
        <v>571.88</v>
      </c>
    </row>
    <row r="39" spans="1:26" s="512" customFormat="1" ht="45">
      <c r="A39" s="338" t="s">
        <v>9190</v>
      </c>
      <c r="B39" s="576" t="s">
        <v>9193</v>
      </c>
      <c r="C39" s="576">
        <v>5213859</v>
      </c>
      <c r="D39" s="336" t="s">
        <v>9184</v>
      </c>
      <c r="E39" s="341">
        <v>21</v>
      </c>
      <c r="F39" s="342" t="s">
        <v>6337</v>
      </c>
      <c r="G39" s="352">
        <v>222.35999999999999</v>
      </c>
      <c r="H39" s="339">
        <f t="shared" si="4"/>
        <v>59.88</v>
      </c>
      <c r="I39" s="339">
        <f t="shared" si="5"/>
        <v>282.24</v>
      </c>
      <c r="J39" s="431">
        <f t="shared" si="6"/>
        <v>5927.04</v>
      </c>
      <c r="K39" s="537">
        <f t="shared" si="7"/>
        <v>4669.5600000000004</v>
      </c>
      <c r="L39" s="538">
        <f t="shared" si="8"/>
        <v>1257.48</v>
      </c>
      <c r="M39" s="519"/>
      <c r="N39" s="519"/>
      <c r="O39" s="519"/>
      <c r="P39" s="519"/>
      <c r="Q39" s="519"/>
      <c r="R39" s="519"/>
      <c r="S39" s="519"/>
      <c r="T39" s="519"/>
      <c r="U39" s="519"/>
      <c r="V39" s="519"/>
      <c r="W39" s="519"/>
      <c r="X39" s="519"/>
      <c r="Y39" s="519">
        <f t="shared" si="9"/>
        <v>1185.4080000000001</v>
      </c>
      <c r="Z39" s="519">
        <f t="shared" si="10"/>
        <v>4741.6320000000005</v>
      </c>
    </row>
    <row r="40" spans="1:26" s="512" customFormat="1" ht="30">
      <c r="A40" s="338" t="s">
        <v>9191</v>
      </c>
      <c r="B40" s="576" t="s">
        <v>5256</v>
      </c>
      <c r="C40" s="576">
        <v>72947</v>
      </c>
      <c r="D40" s="336" t="s">
        <v>9185</v>
      </c>
      <c r="E40" s="341">
        <f>QuantUrb!K47</f>
        <v>15.28</v>
      </c>
      <c r="F40" s="342" t="s">
        <v>6339</v>
      </c>
      <c r="G40" s="352">
        <v>11.07</v>
      </c>
      <c r="H40" s="339">
        <f t="shared" si="4"/>
        <v>2.98</v>
      </c>
      <c r="I40" s="339">
        <f t="shared" si="5"/>
        <v>14.05</v>
      </c>
      <c r="J40" s="431">
        <f t="shared" si="6"/>
        <v>214.68</v>
      </c>
      <c r="K40" s="537">
        <f t="shared" si="7"/>
        <v>169.15</v>
      </c>
      <c r="L40" s="538">
        <f t="shared" si="8"/>
        <v>45.53</v>
      </c>
      <c r="M40" s="519"/>
      <c r="N40" s="519"/>
      <c r="O40" s="519"/>
      <c r="P40" s="519"/>
      <c r="Q40" s="519"/>
      <c r="R40" s="519"/>
      <c r="S40" s="519"/>
      <c r="T40" s="519"/>
      <c r="U40" s="519"/>
      <c r="V40" s="519"/>
      <c r="W40" s="519"/>
      <c r="X40" s="519"/>
      <c r="Y40" s="519">
        <f t="shared" si="9"/>
        <v>42.936000000000007</v>
      </c>
      <c r="Z40" s="519">
        <f t="shared" si="10"/>
        <v>171.74400000000003</v>
      </c>
    </row>
    <row r="41" spans="1:26" s="512" customFormat="1" ht="60">
      <c r="A41" s="338" t="s">
        <v>9192</v>
      </c>
      <c r="B41" s="576" t="s">
        <v>6333</v>
      </c>
      <c r="C41" s="576">
        <v>7324</v>
      </c>
      <c r="D41" s="336" t="s">
        <v>9186</v>
      </c>
      <c r="E41" s="341">
        <f>QuantUrb!K53</f>
        <v>1.17</v>
      </c>
      <c r="F41" s="342" t="s">
        <v>6339</v>
      </c>
      <c r="G41" s="352">
        <v>63.370000000000005</v>
      </c>
      <c r="H41" s="339">
        <f t="shared" si="4"/>
        <v>17.07</v>
      </c>
      <c r="I41" s="339">
        <f t="shared" si="5"/>
        <v>80.44</v>
      </c>
      <c r="J41" s="431">
        <f t="shared" si="6"/>
        <v>94.11</v>
      </c>
      <c r="K41" s="537">
        <f t="shared" si="7"/>
        <v>74.14</v>
      </c>
      <c r="L41" s="538">
        <f t="shared" si="8"/>
        <v>19.97</v>
      </c>
      <c r="M41" s="519"/>
      <c r="N41" s="519"/>
      <c r="O41" s="519"/>
      <c r="P41" s="519"/>
      <c r="Q41" s="519"/>
      <c r="R41" s="519"/>
      <c r="S41" s="519"/>
      <c r="T41" s="519"/>
      <c r="U41" s="519"/>
      <c r="V41" s="519"/>
      <c r="W41" s="519"/>
      <c r="X41" s="519"/>
      <c r="Y41" s="519">
        <f t="shared" si="9"/>
        <v>18.821999999999999</v>
      </c>
      <c r="Z41" s="519">
        <f t="shared" si="10"/>
        <v>75.287999999999997</v>
      </c>
    </row>
    <row r="42" spans="1:26" s="512" customFormat="1" ht="15">
      <c r="A42" s="700" t="s">
        <v>9203</v>
      </c>
      <c r="B42" s="700"/>
      <c r="C42" s="700"/>
      <c r="D42" s="700"/>
      <c r="E42" s="700"/>
      <c r="F42" s="700"/>
      <c r="G42" s="700"/>
      <c r="H42" s="700"/>
      <c r="I42" s="700"/>
      <c r="J42" s="432">
        <f>SUM(J36:J41)</f>
        <v>13300.68</v>
      </c>
      <c r="M42" s="542">
        <f>SUM(M36:M41)</f>
        <v>0</v>
      </c>
      <c r="N42" s="542">
        <f t="shared" ref="N42:Z42" si="11">SUM(N36:N41)</f>
        <v>0</v>
      </c>
      <c r="O42" s="542">
        <f t="shared" si="11"/>
        <v>0</v>
      </c>
      <c r="P42" s="542">
        <f t="shared" si="11"/>
        <v>0</v>
      </c>
      <c r="Q42" s="542">
        <f t="shared" si="11"/>
        <v>0</v>
      </c>
      <c r="R42" s="542">
        <f t="shared" si="11"/>
        <v>0</v>
      </c>
      <c r="S42" s="542">
        <f t="shared" si="11"/>
        <v>0</v>
      </c>
      <c r="T42" s="542">
        <f t="shared" si="11"/>
        <v>0</v>
      </c>
      <c r="U42" s="542">
        <f t="shared" si="11"/>
        <v>0</v>
      </c>
      <c r="V42" s="542">
        <f t="shared" si="11"/>
        <v>0</v>
      </c>
      <c r="W42" s="542">
        <f t="shared" si="11"/>
        <v>0</v>
      </c>
      <c r="X42" s="542">
        <f t="shared" si="11"/>
        <v>0</v>
      </c>
      <c r="Y42" s="542">
        <f t="shared" si="11"/>
        <v>2660.1360000000004</v>
      </c>
      <c r="Z42" s="542">
        <f t="shared" si="11"/>
        <v>10640.544000000002</v>
      </c>
    </row>
    <row r="43" spans="1:26" s="512" customFormat="1" ht="15">
      <c r="A43" s="29"/>
      <c r="B43" s="29"/>
      <c r="C43" s="29"/>
      <c r="D43" s="29"/>
      <c r="E43" s="189"/>
      <c r="F43" s="29"/>
      <c r="G43" s="353"/>
      <c r="H43" s="28"/>
      <c r="I43" s="28"/>
      <c r="J43" s="433"/>
      <c r="M43" s="519"/>
      <c r="N43" s="519"/>
      <c r="O43" s="519"/>
      <c r="P43" s="519"/>
      <c r="Q43" s="519"/>
      <c r="R43" s="519"/>
      <c r="S43" s="519"/>
      <c r="T43" s="519"/>
      <c r="U43" s="519"/>
      <c r="V43" s="519"/>
      <c r="W43" s="519"/>
      <c r="X43" s="519"/>
      <c r="Y43" s="519"/>
      <c r="Z43" s="519"/>
    </row>
    <row r="44" spans="1:26" s="512" customFormat="1" ht="15">
      <c r="A44" s="197" t="s">
        <v>9198</v>
      </c>
      <c r="B44" s="699" t="s">
        <v>9199</v>
      </c>
      <c r="C44" s="699"/>
      <c r="D44" s="699"/>
      <c r="E44" s="699"/>
      <c r="F44" s="699"/>
      <c r="G44" s="699"/>
      <c r="H44" s="699"/>
      <c r="I44" s="699"/>
      <c r="J44" s="699"/>
      <c r="M44" s="519"/>
      <c r="N44" s="519"/>
      <c r="O44" s="519"/>
      <c r="P44" s="519"/>
      <c r="Q44" s="519"/>
      <c r="R44" s="519"/>
      <c r="S44" s="519"/>
      <c r="T44" s="519"/>
      <c r="U44" s="519"/>
      <c r="V44" s="519"/>
      <c r="W44" s="519"/>
      <c r="X44" s="519"/>
      <c r="Y44" s="519"/>
      <c r="Z44" s="519"/>
    </row>
    <row r="45" spans="1:26" s="512" customFormat="1" ht="30">
      <c r="A45" s="338" t="s">
        <v>9200</v>
      </c>
      <c r="B45" s="576" t="s">
        <v>6333</v>
      </c>
      <c r="C45" s="576">
        <v>8851</v>
      </c>
      <c r="D45" s="336" t="s">
        <v>9202</v>
      </c>
      <c r="E45" s="341">
        <v>10</v>
      </c>
      <c r="F45" s="342" t="s">
        <v>6337</v>
      </c>
      <c r="G45" s="352">
        <v>119.25</v>
      </c>
      <c r="H45" s="339">
        <f>ROUND(G45*$B$13,2)</f>
        <v>32.11</v>
      </c>
      <c r="I45" s="339">
        <f>H45+G45</f>
        <v>151.36000000000001</v>
      </c>
      <c r="J45" s="431">
        <f>ROUND(I45*E45,2)</f>
        <v>1513.6</v>
      </c>
      <c r="K45" s="537">
        <f>ROUND(G45*E45,2)</f>
        <v>1192.5</v>
      </c>
      <c r="L45" s="538">
        <f>ROUND(H45*E45,2)</f>
        <v>321.10000000000002</v>
      </c>
      <c r="M45" s="519"/>
      <c r="N45" s="519"/>
      <c r="O45" s="519"/>
      <c r="P45" s="519"/>
      <c r="Q45" s="519"/>
      <c r="R45" s="519"/>
      <c r="S45" s="519"/>
      <c r="T45" s="519"/>
      <c r="U45" s="519"/>
      <c r="V45" s="519"/>
      <c r="W45" s="519"/>
      <c r="X45" s="519"/>
      <c r="Y45" s="519">
        <f t="shared" si="9"/>
        <v>302.71999999999997</v>
      </c>
      <c r="Z45" s="519">
        <f t="shared" si="10"/>
        <v>1210.8799999999999</v>
      </c>
    </row>
    <row r="46" spans="1:26" s="512" customFormat="1" ht="45">
      <c r="A46" s="338" t="s">
        <v>9399</v>
      </c>
      <c r="B46" s="576" t="s">
        <v>5256</v>
      </c>
      <c r="C46" s="576" t="s">
        <v>15420</v>
      </c>
      <c r="D46" s="336" t="s">
        <v>15418</v>
      </c>
      <c r="E46" s="341">
        <v>1918.11</v>
      </c>
      <c r="F46" s="342" t="s">
        <v>6339</v>
      </c>
      <c r="G46" s="352">
        <v>5.8800000000000008</v>
      </c>
      <c r="H46" s="339">
        <f>ROUND(G46*$B$13,2)</f>
        <v>1.58</v>
      </c>
      <c r="I46" s="339">
        <f>H46+G46</f>
        <v>7.4600000000000009</v>
      </c>
      <c r="J46" s="431">
        <f>ROUND(I46*E46,2)</f>
        <v>14309.1</v>
      </c>
      <c r="K46" s="537">
        <f>ROUND(G46*E46,2)</f>
        <v>11278.49</v>
      </c>
      <c r="L46" s="538">
        <f>ROUND(H46*E46,2)</f>
        <v>3030.61</v>
      </c>
      <c r="M46" s="519"/>
      <c r="N46" s="519"/>
      <c r="O46" s="519"/>
      <c r="P46" s="519"/>
      <c r="Q46" s="519"/>
      <c r="R46" s="519"/>
      <c r="S46" s="519"/>
      <c r="T46" s="519"/>
      <c r="U46" s="519"/>
      <c r="V46" s="519"/>
      <c r="W46" s="519"/>
      <c r="X46" s="519"/>
      <c r="Y46" s="519">
        <f t="shared" si="9"/>
        <v>2861.82</v>
      </c>
      <c r="Z46" s="519">
        <f t="shared" si="10"/>
        <v>11447.28</v>
      </c>
    </row>
    <row r="47" spans="1:26" s="512" customFormat="1" ht="30">
      <c r="A47" s="338" t="s">
        <v>9398</v>
      </c>
      <c r="B47" s="576" t="s">
        <v>5256</v>
      </c>
      <c r="C47" s="576" t="s">
        <v>9400</v>
      </c>
      <c r="D47" s="336" t="s">
        <v>15419</v>
      </c>
      <c r="E47" s="341">
        <v>669.4</v>
      </c>
      <c r="F47" s="342" t="s">
        <v>6339</v>
      </c>
      <c r="G47" s="352">
        <v>5.18</v>
      </c>
      <c r="H47" s="339">
        <f>ROUND(G47*$B$13,2)</f>
        <v>1.39</v>
      </c>
      <c r="I47" s="339">
        <f>H47+G47</f>
        <v>6.5699999999999994</v>
      </c>
      <c r="J47" s="431">
        <f>ROUND(I47*E47,2)</f>
        <v>4397.96</v>
      </c>
      <c r="K47" s="537">
        <f>ROUND(G47*E47,2)</f>
        <v>3467.49</v>
      </c>
      <c r="L47" s="538">
        <f>ROUND(H47*E47,2)</f>
        <v>930.47</v>
      </c>
      <c r="M47" s="519"/>
      <c r="N47" s="519"/>
      <c r="O47" s="519"/>
      <c r="P47" s="519"/>
      <c r="Q47" s="519"/>
      <c r="R47" s="519"/>
      <c r="S47" s="519"/>
      <c r="T47" s="519"/>
      <c r="U47" s="519"/>
      <c r="V47" s="519"/>
      <c r="W47" s="519"/>
      <c r="X47" s="519"/>
      <c r="Y47" s="519">
        <f t="shared" si="9"/>
        <v>879.5920000000001</v>
      </c>
      <c r="Z47" s="519">
        <f t="shared" si="10"/>
        <v>3518.3680000000004</v>
      </c>
    </row>
    <row r="48" spans="1:26" s="512" customFormat="1" ht="15">
      <c r="A48" s="700" t="s">
        <v>9204</v>
      </c>
      <c r="B48" s="700"/>
      <c r="C48" s="700"/>
      <c r="D48" s="700"/>
      <c r="E48" s="700"/>
      <c r="F48" s="700"/>
      <c r="G48" s="700"/>
      <c r="H48" s="700"/>
      <c r="I48" s="700"/>
      <c r="J48" s="432">
        <f>SUM(J44:J47)</f>
        <v>20220.66</v>
      </c>
      <c r="M48" s="542">
        <f>SUM(M44:M47)</f>
        <v>0</v>
      </c>
      <c r="N48" s="542">
        <f t="shared" ref="N48:Z48" si="12">SUM(N44:N47)</f>
        <v>0</v>
      </c>
      <c r="O48" s="542">
        <f t="shared" si="12"/>
        <v>0</v>
      </c>
      <c r="P48" s="542">
        <f t="shared" si="12"/>
        <v>0</v>
      </c>
      <c r="Q48" s="542">
        <f t="shared" si="12"/>
        <v>0</v>
      </c>
      <c r="R48" s="542">
        <f t="shared" si="12"/>
        <v>0</v>
      </c>
      <c r="S48" s="542">
        <f t="shared" si="12"/>
        <v>0</v>
      </c>
      <c r="T48" s="542">
        <f t="shared" si="12"/>
        <v>0</v>
      </c>
      <c r="U48" s="542">
        <f t="shared" si="12"/>
        <v>0</v>
      </c>
      <c r="V48" s="542">
        <f t="shared" si="12"/>
        <v>0</v>
      </c>
      <c r="W48" s="542">
        <f t="shared" si="12"/>
        <v>0</v>
      </c>
      <c r="X48" s="542">
        <f t="shared" si="12"/>
        <v>0</v>
      </c>
      <c r="Y48" s="542">
        <f t="shared" si="12"/>
        <v>4044.1320000000001</v>
      </c>
      <c r="Z48" s="542">
        <f t="shared" si="12"/>
        <v>16176.528</v>
      </c>
    </row>
    <row r="49" spans="1:26" s="512" customFormat="1" ht="15">
      <c r="A49" s="29"/>
      <c r="B49" s="29"/>
      <c r="C49" s="29"/>
      <c r="D49" s="29"/>
      <c r="E49" s="189"/>
      <c r="F49" s="29"/>
      <c r="G49" s="353"/>
      <c r="H49" s="28"/>
      <c r="I49" s="28"/>
      <c r="J49" s="433"/>
      <c r="M49" s="519"/>
      <c r="N49" s="519"/>
      <c r="O49" s="519"/>
      <c r="P49" s="519"/>
      <c r="Q49" s="519"/>
      <c r="R49" s="519"/>
      <c r="S49" s="519"/>
      <c r="T49" s="519"/>
      <c r="U49" s="519"/>
      <c r="V49" s="519"/>
      <c r="W49" s="519"/>
      <c r="X49" s="519"/>
      <c r="Y49" s="519"/>
      <c r="Z49" s="519"/>
    </row>
    <row r="50" spans="1:26" s="512" customFormat="1" ht="15">
      <c r="A50" s="197" t="s">
        <v>9205</v>
      </c>
      <c r="B50" s="699" t="s">
        <v>9206</v>
      </c>
      <c r="C50" s="699"/>
      <c r="D50" s="699"/>
      <c r="E50" s="699"/>
      <c r="F50" s="699"/>
      <c r="G50" s="699"/>
      <c r="H50" s="699"/>
      <c r="I50" s="699"/>
      <c r="J50" s="699"/>
      <c r="M50" s="519"/>
      <c r="N50" s="519"/>
      <c r="O50" s="519"/>
      <c r="P50" s="519"/>
      <c r="Q50" s="519"/>
      <c r="R50" s="519"/>
      <c r="S50" s="519"/>
      <c r="T50" s="519"/>
      <c r="U50" s="519"/>
      <c r="V50" s="519"/>
      <c r="W50" s="519"/>
      <c r="X50" s="519"/>
      <c r="Y50" s="519"/>
      <c r="Z50" s="519"/>
    </row>
    <row r="51" spans="1:26" s="512" customFormat="1" ht="30">
      <c r="A51" s="338" t="s">
        <v>9208</v>
      </c>
      <c r="B51" s="576" t="s">
        <v>5256</v>
      </c>
      <c r="C51" s="576">
        <v>72961</v>
      </c>
      <c r="D51" s="336" t="s">
        <v>9207</v>
      </c>
      <c r="E51" s="341">
        <f>QuantUrb!K61</f>
        <v>1113.07</v>
      </c>
      <c r="F51" s="342" t="s">
        <v>6339</v>
      </c>
      <c r="G51" s="352">
        <v>1</v>
      </c>
      <c r="H51" s="339">
        <f t="shared" ref="H51:H63" si="13">ROUND(G51*$B$13,2)</f>
        <v>0.27</v>
      </c>
      <c r="I51" s="339">
        <f t="shared" ref="I51:I63" si="14">H51+G51</f>
        <v>1.27</v>
      </c>
      <c r="J51" s="431">
        <f t="shared" ref="J51:J63" si="15">ROUND(I51*E51,2)</f>
        <v>1413.6</v>
      </c>
      <c r="K51" s="537">
        <f t="shared" ref="K51:K63" si="16">ROUND(G51*E51,2)</f>
        <v>1113.07</v>
      </c>
      <c r="L51" s="538">
        <f t="shared" ref="L51:L63" si="17">ROUND(H51*E51,2)</f>
        <v>300.52999999999997</v>
      </c>
      <c r="M51" s="519"/>
      <c r="N51" s="519"/>
      <c r="O51" s="519"/>
      <c r="P51" s="519"/>
      <c r="Q51" s="519"/>
      <c r="R51" s="519"/>
      <c r="S51" s="519"/>
      <c r="T51" s="519"/>
      <c r="U51" s="519">
        <f>0.25*J51</f>
        <v>353.4</v>
      </c>
      <c r="V51" s="519">
        <f>0.25*J51</f>
        <v>353.4</v>
      </c>
      <c r="W51" s="519">
        <f>0.25*J51</f>
        <v>353.4</v>
      </c>
      <c r="X51" s="519">
        <f>0.25*J51</f>
        <v>353.4</v>
      </c>
      <c r="Y51" s="519"/>
      <c r="Z51" s="519"/>
    </row>
    <row r="52" spans="1:26" s="512" customFormat="1" ht="75">
      <c r="A52" s="338" t="s">
        <v>9401</v>
      </c>
      <c r="B52" s="576" t="s">
        <v>5256</v>
      </c>
      <c r="C52" s="576">
        <v>94275</v>
      </c>
      <c r="D52" s="336" t="s">
        <v>9403</v>
      </c>
      <c r="E52" s="341">
        <f>QuantUrb!I76</f>
        <v>160.29</v>
      </c>
      <c r="F52" s="342" t="s">
        <v>6774</v>
      </c>
      <c r="G52" s="352">
        <v>24.68</v>
      </c>
      <c r="H52" s="339">
        <f t="shared" si="13"/>
        <v>6.65</v>
      </c>
      <c r="I52" s="339">
        <f t="shared" si="14"/>
        <v>31.33</v>
      </c>
      <c r="J52" s="431">
        <f t="shared" si="15"/>
        <v>5021.8900000000003</v>
      </c>
      <c r="K52" s="537">
        <f t="shared" si="16"/>
        <v>3955.96</v>
      </c>
      <c r="L52" s="538">
        <f t="shared" si="17"/>
        <v>1065.93</v>
      </c>
      <c r="M52" s="519"/>
      <c r="N52" s="519"/>
      <c r="O52" s="519"/>
      <c r="P52" s="519"/>
      <c r="Q52" s="519"/>
      <c r="R52" s="519"/>
      <c r="S52" s="519"/>
      <c r="T52" s="519"/>
      <c r="U52" s="519">
        <f t="shared" ref="U52:U63" si="18">0.25*J52</f>
        <v>1255.4725000000001</v>
      </c>
      <c r="V52" s="519">
        <f t="shared" ref="V52:V63" si="19">0.25*J52</f>
        <v>1255.4725000000001</v>
      </c>
      <c r="W52" s="519">
        <f t="shared" ref="W52:W63" si="20">0.25*J52</f>
        <v>1255.4725000000001</v>
      </c>
      <c r="X52" s="519">
        <f t="shared" ref="X52:X63" si="21">0.25*J52</f>
        <v>1255.4725000000001</v>
      </c>
      <c r="Y52" s="519"/>
      <c r="Z52" s="519"/>
    </row>
    <row r="53" spans="1:26" s="512" customFormat="1" ht="75">
      <c r="A53" s="338" t="s">
        <v>9402</v>
      </c>
      <c r="B53" s="576" t="s">
        <v>5256</v>
      </c>
      <c r="C53" s="576">
        <v>94276</v>
      </c>
      <c r="D53" s="336" t="s">
        <v>9209</v>
      </c>
      <c r="E53" s="341">
        <f>QuantUrb!I86</f>
        <v>10.99</v>
      </c>
      <c r="F53" s="342" t="s">
        <v>6774</v>
      </c>
      <c r="G53" s="352">
        <v>27.11</v>
      </c>
      <c r="H53" s="339">
        <f t="shared" si="13"/>
        <v>7.3</v>
      </c>
      <c r="I53" s="339">
        <f t="shared" si="14"/>
        <v>34.409999999999997</v>
      </c>
      <c r="J53" s="431">
        <f t="shared" si="15"/>
        <v>378.17</v>
      </c>
      <c r="K53" s="537">
        <f t="shared" si="16"/>
        <v>297.94</v>
      </c>
      <c r="L53" s="538">
        <f t="shared" si="17"/>
        <v>80.23</v>
      </c>
      <c r="M53" s="519"/>
      <c r="N53" s="519"/>
      <c r="O53" s="519"/>
      <c r="P53" s="519"/>
      <c r="Q53" s="519"/>
      <c r="R53" s="519"/>
      <c r="S53" s="519"/>
      <c r="T53" s="519"/>
      <c r="U53" s="519">
        <f t="shared" si="18"/>
        <v>94.542500000000004</v>
      </c>
      <c r="V53" s="519">
        <f t="shared" si="19"/>
        <v>94.542500000000004</v>
      </c>
      <c r="W53" s="519">
        <f t="shared" si="20"/>
        <v>94.542500000000004</v>
      </c>
      <c r="X53" s="519">
        <f t="shared" si="21"/>
        <v>94.542500000000004</v>
      </c>
      <c r="Y53" s="519"/>
      <c r="Z53" s="519"/>
    </row>
    <row r="54" spans="1:26" s="512" customFormat="1" ht="15">
      <c r="A54" s="338" t="s">
        <v>9547</v>
      </c>
      <c r="B54" s="576" t="s">
        <v>5256</v>
      </c>
      <c r="C54" s="576">
        <v>83693</v>
      </c>
      <c r="D54" s="336" t="s">
        <v>9548</v>
      </c>
      <c r="E54" s="341">
        <f>QuantUrb!K94</f>
        <v>199.52</v>
      </c>
      <c r="F54" s="342" t="s">
        <v>6339</v>
      </c>
      <c r="G54" s="352">
        <v>2.84</v>
      </c>
      <c r="H54" s="339">
        <f t="shared" si="13"/>
        <v>0.76</v>
      </c>
      <c r="I54" s="339">
        <f t="shared" si="14"/>
        <v>3.5999999999999996</v>
      </c>
      <c r="J54" s="431">
        <f t="shared" si="15"/>
        <v>718.27</v>
      </c>
      <c r="K54" s="537">
        <f t="shared" si="16"/>
        <v>566.64</v>
      </c>
      <c r="L54" s="538">
        <f t="shared" si="17"/>
        <v>151.63999999999999</v>
      </c>
      <c r="M54" s="519"/>
      <c r="N54" s="519"/>
      <c r="O54" s="519"/>
      <c r="P54" s="519"/>
      <c r="Q54" s="519"/>
      <c r="R54" s="519"/>
      <c r="S54" s="519"/>
      <c r="T54" s="519"/>
      <c r="U54" s="519">
        <f t="shared" si="18"/>
        <v>179.5675</v>
      </c>
      <c r="V54" s="519">
        <f t="shared" si="19"/>
        <v>179.5675</v>
      </c>
      <c r="W54" s="519">
        <f t="shared" si="20"/>
        <v>179.5675</v>
      </c>
      <c r="X54" s="519">
        <f t="shared" si="21"/>
        <v>179.5675</v>
      </c>
      <c r="Y54" s="519"/>
      <c r="Z54" s="519"/>
    </row>
    <row r="55" spans="1:26" s="512" customFormat="1" ht="45">
      <c r="A55" s="338" t="s">
        <v>9391</v>
      </c>
      <c r="B55" s="576" t="s">
        <v>5256</v>
      </c>
      <c r="C55" s="576">
        <v>94291</v>
      </c>
      <c r="D55" s="336" t="s">
        <v>9417</v>
      </c>
      <c r="E55" s="341">
        <f>E52</f>
        <v>160.29</v>
      </c>
      <c r="F55" s="342" t="s">
        <v>6774</v>
      </c>
      <c r="G55" s="352">
        <v>31.48</v>
      </c>
      <c r="H55" s="339">
        <f t="shared" si="13"/>
        <v>8.48</v>
      </c>
      <c r="I55" s="339">
        <f t="shared" si="14"/>
        <v>39.96</v>
      </c>
      <c r="J55" s="431">
        <f t="shared" si="15"/>
        <v>6405.19</v>
      </c>
      <c r="K55" s="537">
        <f t="shared" si="16"/>
        <v>5045.93</v>
      </c>
      <c r="L55" s="538">
        <f t="shared" si="17"/>
        <v>1359.26</v>
      </c>
      <c r="M55" s="519"/>
      <c r="N55" s="519"/>
      <c r="O55" s="519"/>
      <c r="P55" s="519"/>
      <c r="Q55" s="519"/>
      <c r="R55" s="519"/>
      <c r="S55" s="519"/>
      <c r="T55" s="519"/>
      <c r="U55" s="519">
        <f t="shared" si="18"/>
        <v>1601.2974999999999</v>
      </c>
      <c r="V55" s="519">
        <f t="shared" si="19"/>
        <v>1601.2974999999999</v>
      </c>
      <c r="W55" s="519">
        <f t="shared" si="20"/>
        <v>1601.2974999999999</v>
      </c>
      <c r="X55" s="519">
        <f t="shared" si="21"/>
        <v>1601.2974999999999</v>
      </c>
      <c r="Y55" s="519"/>
      <c r="Z55" s="519"/>
    </row>
    <row r="56" spans="1:26" s="512" customFormat="1" ht="45">
      <c r="A56" s="338" t="s">
        <v>9392</v>
      </c>
      <c r="B56" s="576" t="s">
        <v>5256</v>
      </c>
      <c r="C56" s="576">
        <v>94292</v>
      </c>
      <c r="D56" s="336" t="s">
        <v>9418</v>
      </c>
      <c r="E56" s="341">
        <f>E53</f>
        <v>10.99</v>
      </c>
      <c r="F56" s="342" t="s">
        <v>6774</v>
      </c>
      <c r="G56" s="352">
        <v>37.93</v>
      </c>
      <c r="H56" s="339">
        <f t="shared" si="13"/>
        <v>10.210000000000001</v>
      </c>
      <c r="I56" s="339">
        <f t="shared" si="14"/>
        <v>48.14</v>
      </c>
      <c r="J56" s="431">
        <f t="shared" si="15"/>
        <v>529.05999999999995</v>
      </c>
      <c r="K56" s="537">
        <f t="shared" si="16"/>
        <v>416.85</v>
      </c>
      <c r="L56" s="538">
        <f t="shared" si="17"/>
        <v>112.21</v>
      </c>
      <c r="M56" s="519"/>
      <c r="N56" s="519"/>
      <c r="O56" s="519"/>
      <c r="P56" s="519"/>
      <c r="Q56" s="519"/>
      <c r="R56" s="519"/>
      <c r="S56" s="519"/>
      <c r="T56" s="519"/>
      <c r="U56" s="519">
        <f t="shared" si="18"/>
        <v>132.26499999999999</v>
      </c>
      <c r="V56" s="519">
        <f t="shared" si="19"/>
        <v>132.26499999999999</v>
      </c>
      <c r="W56" s="519">
        <f t="shared" si="20"/>
        <v>132.26499999999999</v>
      </c>
      <c r="X56" s="519">
        <f t="shared" si="21"/>
        <v>132.26499999999999</v>
      </c>
      <c r="Y56" s="519"/>
      <c r="Z56" s="519"/>
    </row>
    <row r="57" spans="1:26" s="512" customFormat="1" ht="30">
      <c r="A57" s="338" t="s">
        <v>9416</v>
      </c>
      <c r="B57" s="576" t="s">
        <v>5256</v>
      </c>
      <c r="C57" s="576">
        <v>94289</v>
      </c>
      <c r="D57" s="336" t="s">
        <v>9393</v>
      </c>
      <c r="E57" s="341">
        <v>169.48</v>
      </c>
      <c r="F57" s="342" t="s">
        <v>6774</v>
      </c>
      <c r="G57" s="352">
        <v>26.64</v>
      </c>
      <c r="H57" s="339">
        <f t="shared" si="13"/>
        <v>7.17</v>
      </c>
      <c r="I57" s="339">
        <f t="shared" si="14"/>
        <v>33.81</v>
      </c>
      <c r="J57" s="431">
        <f t="shared" si="15"/>
        <v>5730.12</v>
      </c>
      <c r="K57" s="537">
        <f t="shared" si="16"/>
        <v>4514.95</v>
      </c>
      <c r="L57" s="538">
        <f t="shared" si="17"/>
        <v>1215.17</v>
      </c>
      <c r="M57" s="519"/>
      <c r="N57" s="519"/>
      <c r="O57" s="519"/>
      <c r="P57" s="519"/>
      <c r="Q57" s="519"/>
      <c r="R57" s="519"/>
      <c r="S57" s="519"/>
      <c r="T57" s="519"/>
      <c r="U57" s="519">
        <f t="shared" si="18"/>
        <v>1432.53</v>
      </c>
      <c r="V57" s="519">
        <f t="shared" si="19"/>
        <v>1432.53</v>
      </c>
      <c r="W57" s="519">
        <f t="shared" si="20"/>
        <v>1432.53</v>
      </c>
      <c r="X57" s="519">
        <f t="shared" si="21"/>
        <v>1432.53</v>
      </c>
      <c r="Y57" s="519"/>
      <c r="Z57" s="519"/>
    </row>
    <row r="58" spans="1:26" s="512" customFormat="1" ht="60">
      <c r="A58" s="338" t="s">
        <v>9211</v>
      </c>
      <c r="B58" s="576" t="s">
        <v>5256</v>
      </c>
      <c r="C58" s="576">
        <v>94116</v>
      </c>
      <c r="D58" s="336" t="s">
        <v>9412</v>
      </c>
      <c r="E58" s="341">
        <f>QuantUrb!K101</f>
        <v>47.35</v>
      </c>
      <c r="F58" s="342" t="s">
        <v>6741</v>
      </c>
      <c r="G58" s="352">
        <v>131.18</v>
      </c>
      <c r="H58" s="339">
        <f t="shared" si="13"/>
        <v>35.33</v>
      </c>
      <c r="I58" s="339">
        <f t="shared" si="14"/>
        <v>166.51</v>
      </c>
      <c r="J58" s="431">
        <f t="shared" si="15"/>
        <v>7884.25</v>
      </c>
      <c r="K58" s="537">
        <f t="shared" si="16"/>
        <v>6211.37</v>
      </c>
      <c r="L58" s="538">
        <f t="shared" si="17"/>
        <v>1672.88</v>
      </c>
      <c r="M58" s="519"/>
      <c r="N58" s="519"/>
      <c r="O58" s="519"/>
      <c r="P58" s="519"/>
      <c r="Q58" s="519"/>
      <c r="R58" s="519"/>
      <c r="S58" s="519"/>
      <c r="T58" s="519"/>
      <c r="U58" s="519">
        <f t="shared" si="18"/>
        <v>1971.0625</v>
      </c>
      <c r="V58" s="519">
        <f t="shared" si="19"/>
        <v>1971.0625</v>
      </c>
      <c r="W58" s="519">
        <f t="shared" si="20"/>
        <v>1971.0625</v>
      </c>
      <c r="X58" s="519">
        <f t="shared" si="21"/>
        <v>1971.0625</v>
      </c>
      <c r="Y58" s="519"/>
      <c r="Z58" s="519"/>
    </row>
    <row r="59" spans="1:26" s="512" customFormat="1" ht="60">
      <c r="A59" s="338" t="s">
        <v>9541</v>
      </c>
      <c r="B59" s="576" t="s">
        <v>5256</v>
      </c>
      <c r="C59" s="576">
        <v>95995</v>
      </c>
      <c r="D59" s="336" t="s">
        <v>15417</v>
      </c>
      <c r="E59" s="341">
        <f>QuantUrb!K135</f>
        <v>35.22</v>
      </c>
      <c r="F59" s="342" t="s">
        <v>6741</v>
      </c>
      <c r="G59" s="352">
        <v>736.37</v>
      </c>
      <c r="H59" s="339">
        <f t="shared" si="13"/>
        <v>198.3</v>
      </c>
      <c r="I59" s="339">
        <f t="shared" si="14"/>
        <v>934.67000000000007</v>
      </c>
      <c r="J59" s="431">
        <f t="shared" si="15"/>
        <v>32919.08</v>
      </c>
      <c r="K59" s="537">
        <f t="shared" si="16"/>
        <v>25934.95</v>
      </c>
      <c r="L59" s="538">
        <f t="shared" si="17"/>
        <v>6984.13</v>
      </c>
      <c r="M59" s="519"/>
      <c r="N59" s="519"/>
      <c r="O59" s="519"/>
      <c r="P59" s="519"/>
      <c r="Q59" s="519"/>
      <c r="R59" s="519"/>
      <c r="S59" s="519"/>
      <c r="T59" s="519"/>
      <c r="U59" s="519">
        <f t="shared" si="18"/>
        <v>8229.77</v>
      </c>
      <c r="V59" s="519">
        <f t="shared" si="19"/>
        <v>8229.77</v>
      </c>
      <c r="W59" s="519">
        <f t="shared" si="20"/>
        <v>8229.77</v>
      </c>
      <c r="X59" s="519">
        <f t="shared" si="21"/>
        <v>8229.77</v>
      </c>
      <c r="Y59" s="519"/>
      <c r="Z59" s="519"/>
    </row>
    <row r="60" spans="1:26" s="512" customFormat="1" ht="60">
      <c r="A60" s="338" t="s">
        <v>9542</v>
      </c>
      <c r="B60" s="576" t="s">
        <v>5256</v>
      </c>
      <c r="C60" s="576">
        <v>93177</v>
      </c>
      <c r="D60" s="336" t="s">
        <v>9544</v>
      </c>
      <c r="E60" s="341">
        <f>2.5548*E59*19</f>
        <v>1709.6210640000002</v>
      </c>
      <c r="F60" s="342" t="s">
        <v>9543</v>
      </c>
      <c r="G60" s="352">
        <v>1.3</v>
      </c>
      <c r="H60" s="339">
        <f t="shared" si="13"/>
        <v>0.35</v>
      </c>
      <c r="I60" s="339">
        <f t="shared" si="14"/>
        <v>1.65</v>
      </c>
      <c r="J60" s="431">
        <f t="shared" si="15"/>
        <v>2820.87</v>
      </c>
      <c r="K60" s="537">
        <f t="shared" si="16"/>
        <v>2222.5100000000002</v>
      </c>
      <c r="L60" s="538">
        <f t="shared" si="17"/>
        <v>598.37</v>
      </c>
      <c r="M60" s="519"/>
      <c r="N60" s="519"/>
      <c r="O60" s="519"/>
      <c r="P60" s="519"/>
      <c r="Q60" s="519"/>
      <c r="R60" s="519"/>
      <c r="S60" s="519"/>
      <c r="T60" s="519"/>
      <c r="U60" s="519">
        <f t="shared" si="18"/>
        <v>705.21749999999997</v>
      </c>
      <c r="V60" s="519">
        <f t="shared" si="19"/>
        <v>705.21749999999997</v>
      </c>
      <c r="W60" s="519">
        <f t="shared" si="20"/>
        <v>705.21749999999997</v>
      </c>
      <c r="X60" s="519">
        <f t="shared" si="21"/>
        <v>705.21749999999997</v>
      </c>
      <c r="Y60" s="519"/>
      <c r="Z60" s="519"/>
    </row>
    <row r="61" spans="1:26" s="512" customFormat="1" ht="45">
      <c r="A61" s="338" t="s">
        <v>9212</v>
      </c>
      <c r="B61" s="576" t="s">
        <v>5256</v>
      </c>
      <c r="C61" s="576">
        <v>94995</v>
      </c>
      <c r="D61" s="336" t="s">
        <v>9210</v>
      </c>
      <c r="E61" s="341">
        <v>947.02</v>
      </c>
      <c r="F61" s="342" t="s">
        <v>6339</v>
      </c>
      <c r="G61" s="352">
        <v>47.13</v>
      </c>
      <c r="H61" s="339">
        <f t="shared" si="13"/>
        <v>12.69</v>
      </c>
      <c r="I61" s="339">
        <f t="shared" si="14"/>
        <v>59.82</v>
      </c>
      <c r="J61" s="431">
        <f t="shared" si="15"/>
        <v>56650.74</v>
      </c>
      <c r="K61" s="537">
        <f t="shared" si="16"/>
        <v>44633.05</v>
      </c>
      <c r="L61" s="538">
        <f t="shared" si="17"/>
        <v>12017.68</v>
      </c>
      <c r="M61" s="519"/>
      <c r="N61" s="519"/>
      <c r="O61" s="519"/>
      <c r="P61" s="519"/>
      <c r="Q61" s="519"/>
      <c r="R61" s="519"/>
      <c r="S61" s="519"/>
      <c r="T61" s="519"/>
      <c r="U61" s="519">
        <f t="shared" si="18"/>
        <v>14162.684999999999</v>
      </c>
      <c r="V61" s="519">
        <f t="shared" si="19"/>
        <v>14162.684999999999</v>
      </c>
      <c r="W61" s="519">
        <f t="shared" si="20"/>
        <v>14162.684999999999</v>
      </c>
      <c r="X61" s="519">
        <f t="shared" si="21"/>
        <v>14162.684999999999</v>
      </c>
      <c r="Y61" s="519"/>
      <c r="Z61" s="519"/>
    </row>
    <row r="62" spans="1:26" s="512" customFormat="1" ht="30">
      <c r="A62" s="338" t="s">
        <v>9213</v>
      </c>
      <c r="B62" s="576" t="s">
        <v>5256</v>
      </c>
      <c r="C62" s="576">
        <v>92392</v>
      </c>
      <c r="D62" s="336" t="s">
        <v>9252</v>
      </c>
      <c r="E62" s="341">
        <v>443.67</v>
      </c>
      <c r="F62" s="342" t="s">
        <v>6339</v>
      </c>
      <c r="G62" s="352">
        <v>45.27</v>
      </c>
      <c r="H62" s="339">
        <f t="shared" si="13"/>
        <v>12.19</v>
      </c>
      <c r="I62" s="339">
        <f t="shared" si="14"/>
        <v>57.46</v>
      </c>
      <c r="J62" s="431">
        <f t="shared" si="15"/>
        <v>25493.279999999999</v>
      </c>
      <c r="K62" s="537">
        <f t="shared" si="16"/>
        <v>20084.939999999999</v>
      </c>
      <c r="L62" s="538">
        <f t="shared" si="17"/>
        <v>5408.34</v>
      </c>
      <c r="M62" s="519"/>
      <c r="N62" s="519"/>
      <c r="O62" s="519"/>
      <c r="P62" s="519"/>
      <c r="Q62" s="519"/>
      <c r="R62" s="519"/>
      <c r="S62" s="519"/>
      <c r="T62" s="519"/>
      <c r="U62" s="519">
        <f t="shared" si="18"/>
        <v>6373.32</v>
      </c>
      <c r="V62" s="519">
        <f t="shared" si="19"/>
        <v>6373.32</v>
      </c>
      <c r="W62" s="519">
        <f t="shared" si="20"/>
        <v>6373.32</v>
      </c>
      <c r="X62" s="519">
        <f t="shared" si="21"/>
        <v>6373.32</v>
      </c>
      <c r="Y62" s="519"/>
      <c r="Z62" s="519"/>
    </row>
    <row r="63" spans="1:26" s="512" customFormat="1" ht="30">
      <c r="A63" s="338" t="s">
        <v>9214</v>
      </c>
      <c r="B63" s="576" t="s">
        <v>5256</v>
      </c>
      <c r="C63" s="576" t="s">
        <v>15578</v>
      </c>
      <c r="D63" s="336" t="s">
        <v>9253</v>
      </c>
      <c r="E63" s="341">
        <v>669.4</v>
      </c>
      <c r="F63" s="342" t="s">
        <v>6339</v>
      </c>
      <c r="G63" s="352">
        <v>45.27</v>
      </c>
      <c r="H63" s="339">
        <f t="shared" si="13"/>
        <v>12.19</v>
      </c>
      <c r="I63" s="339">
        <f t="shared" si="14"/>
        <v>57.46</v>
      </c>
      <c r="J63" s="431">
        <f t="shared" si="15"/>
        <v>38463.72</v>
      </c>
      <c r="K63" s="537">
        <f t="shared" si="16"/>
        <v>30303.74</v>
      </c>
      <c r="L63" s="538">
        <f t="shared" si="17"/>
        <v>8159.99</v>
      </c>
      <c r="M63" s="519"/>
      <c r="N63" s="519"/>
      <c r="O63" s="519"/>
      <c r="P63" s="519"/>
      <c r="Q63" s="519"/>
      <c r="R63" s="519"/>
      <c r="S63" s="519"/>
      <c r="T63" s="519"/>
      <c r="U63" s="519">
        <f t="shared" si="18"/>
        <v>9615.93</v>
      </c>
      <c r="V63" s="519">
        <f t="shared" si="19"/>
        <v>9615.93</v>
      </c>
      <c r="W63" s="519">
        <f t="shared" si="20"/>
        <v>9615.93</v>
      </c>
      <c r="X63" s="519">
        <f t="shared" si="21"/>
        <v>9615.93</v>
      </c>
      <c r="Y63" s="519"/>
      <c r="Z63" s="519"/>
    </row>
    <row r="64" spans="1:26" s="512" customFormat="1" ht="15">
      <c r="A64" s="700" t="s">
        <v>9219</v>
      </c>
      <c r="B64" s="700"/>
      <c r="C64" s="700"/>
      <c r="D64" s="700"/>
      <c r="E64" s="700"/>
      <c r="F64" s="700"/>
      <c r="G64" s="700"/>
      <c r="H64" s="700"/>
      <c r="I64" s="700"/>
      <c r="J64" s="432">
        <f>SUM(J51:J63)</f>
        <v>184428.24000000002</v>
      </c>
      <c r="M64" s="542">
        <f>SUM(M51:M63)</f>
        <v>0</v>
      </c>
      <c r="N64" s="542">
        <f t="shared" ref="N64:Z64" si="22">SUM(N51:N63)</f>
        <v>0</v>
      </c>
      <c r="O64" s="542">
        <f t="shared" si="22"/>
        <v>0</v>
      </c>
      <c r="P64" s="542">
        <f t="shared" si="22"/>
        <v>0</v>
      </c>
      <c r="Q64" s="542">
        <f t="shared" si="22"/>
        <v>0</v>
      </c>
      <c r="R64" s="542">
        <f t="shared" si="22"/>
        <v>0</v>
      </c>
      <c r="S64" s="542">
        <f t="shared" si="22"/>
        <v>0</v>
      </c>
      <c r="T64" s="542">
        <f t="shared" si="22"/>
        <v>0</v>
      </c>
      <c r="U64" s="542">
        <f t="shared" si="22"/>
        <v>46107.060000000005</v>
      </c>
      <c r="V64" s="542">
        <f t="shared" si="22"/>
        <v>46107.060000000005</v>
      </c>
      <c r="W64" s="542">
        <f t="shared" si="22"/>
        <v>46107.060000000005</v>
      </c>
      <c r="X64" s="542">
        <f t="shared" si="22"/>
        <v>46107.060000000005</v>
      </c>
      <c r="Y64" s="542">
        <f t="shared" si="22"/>
        <v>0</v>
      </c>
      <c r="Z64" s="542">
        <f t="shared" si="22"/>
        <v>0</v>
      </c>
    </row>
    <row r="65" spans="1:26" s="512" customFormat="1" ht="15">
      <c r="A65" s="29"/>
      <c r="B65" s="29"/>
      <c r="C65" s="29"/>
      <c r="D65" s="29"/>
      <c r="E65" s="189"/>
      <c r="F65" s="29"/>
      <c r="G65" s="353"/>
      <c r="H65" s="28"/>
      <c r="I65" s="28"/>
      <c r="J65" s="433"/>
      <c r="M65" s="519"/>
      <c r="N65" s="519"/>
      <c r="O65" s="519"/>
      <c r="P65" s="519"/>
      <c r="Q65" s="519"/>
      <c r="R65" s="519"/>
      <c r="S65" s="519"/>
      <c r="T65" s="519"/>
      <c r="U65" s="519"/>
      <c r="V65" s="519"/>
      <c r="W65" s="519"/>
      <c r="X65" s="519"/>
      <c r="Y65" s="519"/>
      <c r="Z65" s="519"/>
    </row>
    <row r="66" spans="1:26" s="512" customFormat="1" ht="15">
      <c r="A66" s="197" t="s">
        <v>9216</v>
      </c>
      <c r="B66" s="699" t="s">
        <v>9217</v>
      </c>
      <c r="C66" s="699"/>
      <c r="D66" s="699"/>
      <c r="E66" s="699"/>
      <c r="F66" s="699"/>
      <c r="G66" s="699"/>
      <c r="H66" s="699"/>
      <c r="I66" s="699"/>
      <c r="J66" s="699"/>
      <c r="M66" s="519"/>
      <c r="N66" s="519"/>
      <c r="O66" s="519"/>
      <c r="P66" s="519"/>
      <c r="Q66" s="519"/>
      <c r="R66" s="519"/>
      <c r="S66" s="519"/>
      <c r="T66" s="519"/>
      <c r="U66" s="519"/>
      <c r="V66" s="519"/>
      <c r="W66" s="519"/>
      <c r="X66" s="519"/>
      <c r="Y66" s="519"/>
      <c r="Z66" s="519"/>
    </row>
    <row r="67" spans="1:26" s="512" customFormat="1" ht="45">
      <c r="A67" s="338" t="s">
        <v>9221</v>
      </c>
      <c r="B67" s="576" t="s">
        <v>6775</v>
      </c>
      <c r="C67" s="576">
        <v>11</v>
      </c>
      <c r="D67" s="336" t="s">
        <v>9220</v>
      </c>
      <c r="E67" s="341">
        <v>53</v>
      </c>
      <c r="F67" s="342" t="s">
        <v>9222</v>
      </c>
      <c r="G67" s="352">
        <v>362.01000000000005</v>
      </c>
      <c r="H67" s="339">
        <f>ROUND(G67*$B$13,2)</f>
        <v>97.49</v>
      </c>
      <c r="I67" s="339">
        <f>H67+G67</f>
        <v>459.50000000000006</v>
      </c>
      <c r="J67" s="431">
        <f>ROUND(I67*E67,2)</f>
        <v>24353.5</v>
      </c>
      <c r="K67" s="537">
        <f>ROUND(G67*E67,2)</f>
        <v>19186.53</v>
      </c>
      <c r="L67" s="538">
        <f>ROUND(H67*E67,2)</f>
        <v>5166.97</v>
      </c>
      <c r="M67" s="519"/>
      <c r="N67" s="519"/>
      <c r="O67" s="519"/>
      <c r="P67" s="519"/>
      <c r="Q67" s="519"/>
      <c r="R67" s="519"/>
      <c r="S67" s="519"/>
      <c r="T67" s="519"/>
      <c r="U67" s="519"/>
      <c r="V67" s="519"/>
      <c r="W67" s="519">
        <f>0.5*J67</f>
        <v>12176.75</v>
      </c>
      <c r="X67" s="519">
        <f>0.5*J67</f>
        <v>12176.75</v>
      </c>
      <c r="Y67" s="519"/>
      <c r="Z67" s="519"/>
    </row>
    <row r="68" spans="1:26" s="512" customFormat="1" ht="15">
      <c r="A68" s="700" t="s">
        <v>9218</v>
      </c>
      <c r="B68" s="700"/>
      <c r="C68" s="700"/>
      <c r="D68" s="700"/>
      <c r="E68" s="700"/>
      <c r="F68" s="700"/>
      <c r="G68" s="700"/>
      <c r="H68" s="700"/>
      <c r="I68" s="700"/>
      <c r="J68" s="432">
        <f>SUM(J67:J67)</f>
        <v>24353.5</v>
      </c>
      <c r="M68" s="542">
        <f>SUM(M67:M67)</f>
        <v>0</v>
      </c>
      <c r="N68" s="542">
        <f t="shared" ref="N68:Y68" si="23">SUM(N67:N67)</f>
        <v>0</v>
      </c>
      <c r="O68" s="542">
        <f t="shared" si="23"/>
        <v>0</v>
      </c>
      <c r="P68" s="542">
        <f t="shared" si="23"/>
        <v>0</v>
      </c>
      <c r="Q68" s="542">
        <f t="shared" si="23"/>
        <v>0</v>
      </c>
      <c r="R68" s="542">
        <f t="shared" si="23"/>
        <v>0</v>
      </c>
      <c r="S68" s="542">
        <f t="shared" si="23"/>
        <v>0</v>
      </c>
      <c r="T68" s="542">
        <f t="shared" si="23"/>
        <v>0</v>
      </c>
      <c r="U68" s="542">
        <f t="shared" si="23"/>
        <v>0</v>
      </c>
      <c r="V68" s="542">
        <f t="shared" si="23"/>
        <v>0</v>
      </c>
      <c r="W68" s="542">
        <f t="shared" si="23"/>
        <v>12176.75</v>
      </c>
      <c r="X68" s="542">
        <f t="shared" si="23"/>
        <v>12176.75</v>
      </c>
      <c r="Y68" s="542">
        <f t="shared" si="23"/>
        <v>0</v>
      </c>
      <c r="Z68" s="542">
        <f>SUM(Z67:Z67)</f>
        <v>0</v>
      </c>
    </row>
    <row r="69" spans="1:26" s="512" customFormat="1" ht="15">
      <c r="A69" s="29"/>
      <c r="B69" s="29"/>
      <c r="C69" s="29"/>
      <c r="D69" s="29"/>
      <c r="E69" s="189"/>
      <c r="F69" s="29"/>
      <c r="G69" s="353"/>
      <c r="H69" s="28"/>
      <c r="I69" s="28"/>
      <c r="J69" s="433"/>
      <c r="M69" s="519"/>
      <c r="N69" s="519"/>
      <c r="O69" s="519"/>
      <c r="P69" s="519"/>
      <c r="Q69" s="519"/>
      <c r="R69" s="519"/>
      <c r="S69" s="519"/>
      <c r="T69" s="519"/>
      <c r="U69" s="519"/>
      <c r="V69" s="519"/>
      <c r="W69" s="519"/>
      <c r="X69" s="519"/>
      <c r="Y69" s="519"/>
      <c r="Z69" s="519"/>
    </row>
    <row r="70" spans="1:26" ht="15">
      <c r="A70" s="701" t="s">
        <v>7016</v>
      </c>
      <c r="B70" s="701"/>
      <c r="C70" s="701"/>
      <c r="D70" s="701"/>
      <c r="E70" s="701"/>
      <c r="F70" s="701"/>
      <c r="G70" s="701"/>
      <c r="H70" s="701"/>
      <c r="I70" s="701"/>
      <c r="J70" s="434">
        <f>J68+J64+J48+J42</f>
        <v>242303.08000000002</v>
      </c>
      <c r="M70" s="542">
        <f>M68+M64+M48+M42</f>
        <v>0</v>
      </c>
      <c r="N70" s="542">
        <f t="shared" ref="N70:Z70" si="24">N68+N64+N48+N42</f>
        <v>0</v>
      </c>
      <c r="O70" s="542">
        <f t="shared" si="24"/>
        <v>0</v>
      </c>
      <c r="P70" s="542">
        <f t="shared" si="24"/>
        <v>0</v>
      </c>
      <c r="Q70" s="542">
        <f t="shared" si="24"/>
        <v>0</v>
      </c>
      <c r="R70" s="542">
        <f t="shared" si="24"/>
        <v>0</v>
      </c>
      <c r="S70" s="542">
        <f t="shared" si="24"/>
        <v>0</v>
      </c>
      <c r="T70" s="542">
        <f t="shared" si="24"/>
        <v>0</v>
      </c>
      <c r="U70" s="542">
        <f t="shared" si="24"/>
        <v>46107.060000000005</v>
      </c>
      <c r="V70" s="542">
        <f t="shared" si="24"/>
        <v>46107.060000000005</v>
      </c>
      <c r="W70" s="542">
        <f t="shared" si="24"/>
        <v>58283.810000000005</v>
      </c>
      <c r="X70" s="542">
        <f t="shared" si="24"/>
        <v>58283.810000000005</v>
      </c>
      <c r="Y70" s="542">
        <f t="shared" si="24"/>
        <v>6704.268</v>
      </c>
      <c r="Z70" s="542">
        <f t="shared" si="24"/>
        <v>26817.072</v>
      </c>
    </row>
    <row r="71" spans="1:26" s="512" customFormat="1" ht="15">
      <c r="A71" s="338"/>
      <c r="B71" s="576"/>
      <c r="C71" s="576"/>
      <c r="D71" s="336"/>
      <c r="E71" s="341"/>
      <c r="F71" s="342"/>
      <c r="G71" s="354"/>
      <c r="H71" s="11"/>
      <c r="I71" s="11"/>
      <c r="J71" s="435"/>
      <c r="M71" s="569">
        <f>M70/$J70</f>
        <v>0</v>
      </c>
      <c r="N71" s="569">
        <f t="shared" ref="N71:Z71" si="25">N70/$J70</f>
        <v>0</v>
      </c>
      <c r="O71" s="569">
        <f t="shared" si="25"/>
        <v>0</v>
      </c>
      <c r="P71" s="569">
        <f t="shared" si="25"/>
        <v>0</v>
      </c>
      <c r="Q71" s="569">
        <f t="shared" si="25"/>
        <v>0</v>
      </c>
      <c r="R71" s="569">
        <f t="shared" si="25"/>
        <v>0</v>
      </c>
      <c r="S71" s="569">
        <f t="shared" si="25"/>
        <v>0</v>
      </c>
      <c r="T71" s="569">
        <f t="shared" si="25"/>
        <v>0</v>
      </c>
      <c r="U71" s="569">
        <f t="shared" si="25"/>
        <v>0.19028672685464831</v>
      </c>
      <c r="V71" s="569">
        <f t="shared" si="25"/>
        <v>0.19028672685464831</v>
      </c>
      <c r="W71" s="569">
        <f t="shared" si="25"/>
        <v>0.24054093740781174</v>
      </c>
      <c r="X71" s="569">
        <f t="shared" si="25"/>
        <v>0.24054093740781174</v>
      </c>
      <c r="Y71" s="569">
        <f t="shared" si="25"/>
        <v>2.7668934295015976E-2</v>
      </c>
      <c r="Z71" s="569">
        <f t="shared" si="25"/>
        <v>0.1106757371800639</v>
      </c>
    </row>
    <row r="72" spans="1:26" ht="15">
      <c r="A72" s="457" t="s">
        <v>5935</v>
      </c>
      <c r="B72" s="696" t="s">
        <v>5943</v>
      </c>
      <c r="C72" s="697"/>
      <c r="D72" s="697"/>
      <c r="E72" s="697"/>
      <c r="F72" s="697"/>
      <c r="G72" s="697"/>
      <c r="H72" s="697"/>
      <c r="I72" s="697"/>
      <c r="J72" s="697"/>
    </row>
    <row r="73" spans="1:26" s="512" customFormat="1" ht="15">
      <c r="A73" s="573" t="s">
        <v>0</v>
      </c>
      <c r="B73" s="692" t="s">
        <v>5250</v>
      </c>
      <c r="C73" s="693"/>
      <c r="D73" s="23" t="s">
        <v>1</v>
      </c>
      <c r="E73" s="193" t="s">
        <v>134</v>
      </c>
      <c r="F73" s="24" t="s">
        <v>11</v>
      </c>
      <c r="G73" s="351" t="s">
        <v>12</v>
      </c>
      <c r="H73" s="182" t="s">
        <v>6735</v>
      </c>
      <c r="I73" s="182" t="s">
        <v>6736</v>
      </c>
      <c r="J73" s="430" t="s">
        <v>133</v>
      </c>
      <c r="M73" s="519"/>
      <c r="N73" s="519"/>
      <c r="O73" s="519"/>
      <c r="P73" s="519"/>
      <c r="Q73" s="519"/>
      <c r="R73" s="519"/>
      <c r="S73" s="519"/>
      <c r="T73" s="519"/>
      <c r="U73" s="519"/>
      <c r="V73" s="519"/>
      <c r="W73" s="519"/>
      <c r="X73" s="519"/>
      <c r="Y73" s="519"/>
      <c r="Z73" s="519"/>
    </row>
    <row r="74" spans="1:26" s="512" customFormat="1" ht="15">
      <c r="A74" s="197" t="s">
        <v>5937</v>
      </c>
      <c r="B74" s="699" t="s">
        <v>9228</v>
      </c>
      <c r="C74" s="699"/>
      <c r="D74" s="699"/>
      <c r="E74" s="699"/>
      <c r="F74" s="699"/>
      <c r="G74" s="699"/>
      <c r="H74" s="699"/>
      <c r="I74" s="699"/>
      <c r="J74" s="699"/>
      <c r="M74" s="519"/>
      <c r="N74" s="519"/>
      <c r="O74" s="519"/>
      <c r="P74" s="519"/>
      <c r="Q74" s="519"/>
      <c r="R74" s="519"/>
      <c r="S74" s="519"/>
      <c r="T74" s="519"/>
      <c r="U74" s="519"/>
      <c r="V74" s="519"/>
      <c r="W74" s="519"/>
      <c r="X74" s="519"/>
      <c r="Y74" s="519"/>
      <c r="Z74" s="519"/>
    </row>
    <row r="75" spans="1:26" s="512" customFormat="1" ht="15">
      <c r="A75" s="337" t="s">
        <v>5938</v>
      </c>
      <c r="B75" s="698" t="s">
        <v>9493</v>
      </c>
      <c r="C75" s="698"/>
      <c r="D75" s="698"/>
      <c r="E75" s="698"/>
      <c r="F75" s="698"/>
      <c r="G75" s="698"/>
      <c r="H75" s="698"/>
      <c r="I75" s="698"/>
      <c r="J75" s="698"/>
      <c r="M75" s="519"/>
      <c r="N75" s="519"/>
      <c r="O75" s="519"/>
      <c r="P75" s="519"/>
      <c r="Q75" s="519"/>
      <c r="R75" s="519"/>
      <c r="S75" s="519"/>
      <c r="T75" s="519"/>
      <c r="U75" s="519"/>
      <c r="V75" s="519"/>
      <c r="W75" s="519"/>
      <c r="X75" s="519"/>
      <c r="Y75" s="519"/>
      <c r="Z75" s="519"/>
    </row>
    <row r="76" spans="1:26" s="512" customFormat="1" ht="60">
      <c r="A76" s="338" t="s">
        <v>9495</v>
      </c>
      <c r="B76" s="576" t="s">
        <v>5256</v>
      </c>
      <c r="C76" s="576">
        <v>97183</v>
      </c>
      <c r="D76" s="336" t="s">
        <v>9494</v>
      </c>
      <c r="E76" s="341">
        <v>32.64</v>
      </c>
      <c r="F76" s="342" t="s">
        <v>6774</v>
      </c>
      <c r="G76" s="352">
        <v>15.76</v>
      </c>
      <c r="H76" s="339">
        <f>ROUND(G76*$B$13,2)</f>
        <v>4.24</v>
      </c>
      <c r="I76" s="339">
        <f>H76+G76</f>
        <v>20</v>
      </c>
      <c r="J76" s="431">
        <f>ROUND(I76*E76,2)</f>
        <v>652.79999999999995</v>
      </c>
      <c r="K76" s="537">
        <f>ROUND(G76*E76,2)</f>
        <v>514.41</v>
      </c>
      <c r="L76" s="538">
        <f>ROUND(H76*E76,2)</f>
        <v>138.38999999999999</v>
      </c>
      <c r="M76" s="519"/>
      <c r="N76" s="519"/>
      <c r="O76" s="519"/>
      <c r="P76" s="519"/>
      <c r="Q76" s="519"/>
      <c r="R76" s="519"/>
      <c r="S76" s="519"/>
      <c r="T76" s="519">
        <f>0.2*J76</f>
        <v>130.56</v>
      </c>
      <c r="U76" s="519">
        <f>0.2*J76</f>
        <v>130.56</v>
      </c>
      <c r="V76" s="519">
        <f>0.3*J76</f>
        <v>195.83999999999997</v>
      </c>
      <c r="W76" s="519">
        <f>0.3*J76</f>
        <v>195.83999999999997</v>
      </c>
      <c r="X76" s="519"/>
      <c r="Y76" s="519"/>
      <c r="Z76" s="519"/>
    </row>
    <row r="77" spans="1:26" s="512" customFormat="1" ht="30">
      <c r="A77" s="338" t="s">
        <v>9497</v>
      </c>
      <c r="B77" s="576" t="s">
        <v>9496</v>
      </c>
      <c r="C77" s="576" t="s">
        <v>9499</v>
      </c>
      <c r="D77" s="336" t="s">
        <v>9498</v>
      </c>
      <c r="E77" s="341">
        <v>12.66</v>
      </c>
      <c r="F77" s="342" t="s">
        <v>6774</v>
      </c>
      <c r="G77" s="352">
        <v>1726.3799999999999</v>
      </c>
      <c r="H77" s="339">
        <f>ROUND(G77*$B$13,2)</f>
        <v>464.91</v>
      </c>
      <c r="I77" s="339">
        <f>H77+G77</f>
        <v>2191.29</v>
      </c>
      <c r="J77" s="431">
        <f>ROUND(I77*E77,2)</f>
        <v>27741.73</v>
      </c>
      <c r="K77" s="537">
        <f>ROUND(G77*E77,2)</f>
        <v>21855.97</v>
      </c>
      <c r="L77" s="538">
        <f>ROUND(H77*E77,2)</f>
        <v>5885.76</v>
      </c>
      <c r="M77" s="519"/>
      <c r="N77" s="519"/>
      <c r="O77" s="519"/>
      <c r="P77" s="519"/>
      <c r="Q77" s="519"/>
      <c r="R77" s="519"/>
      <c r="S77" s="519"/>
      <c r="T77" s="519">
        <f t="shared" ref="T77:T78" si="26">0.2*J77</f>
        <v>5548.3460000000005</v>
      </c>
      <c r="U77" s="519">
        <f t="shared" ref="U77:U78" si="27">0.2*J77</f>
        <v>5548.3460000000005</v>
      </c>
      <c r="V77" s="519">
        <f t="shared" ref="V77:V78" si="28">0.3*J77</f>
        <v>8322.5190000000002</v>
      </c>
      <c r="W77" s="519">
        <f t="shared" ref="W77:W78" si="29">0.3*J77</f>
        <v>8322.5190000000002</v>
      </c>
      <c r="X77" s="519"/>
      <c r="Y77" s="519"/>
      <c r="Z77" s="519"/>
    </row>
    <row r="78" spans="1:26" s="512" customFormat="1" ht="30">
      <c r="A78" s="338" t="s">
        <v>9502</v>
      </c>
      <c r="B78" s="576" t="s">
        <v>9503</v>
      </c>
      <c r="C78" s="576" t="s">
        <v>9504</v>
      </c>
      <c r="D78" s="336" t="s">
        <v>9505</v>
      </c>
      <c r="E78" s="341">
        <f>E77+E76</f>
        <v>45.3</v>
      </c>
      <c r="F78" s="342" t="s">
        <v>6774</v>
      </c>
      <c r="G78" s="352">
        <v>1507.94</v>
      </c>
      <c r="H78" s="339">
        <f>ROUND(G78*$B$13,2)</f>
        <v>406.09</v>
      </c>
      <c r="I78" s="339">
        <f>H78+G78</f>
        <v>1914.03</v>
      </c>
      <c r="J78" s="431">
        <f>ROUND(I78*E78,2)</f>
        <v>86705.56</v>
      </c>
      <c r="K78" s="537">
        <f>ROUND(G78*E78,2)</f>
        <v>68309.679999999993</v>
      </c>
      <c r="L78" s="538">
        <f>ROUND(H78*E78,2)</f>
        <v>18395.88</v>
      </c>
      <c r="M78" s="519"/>
      <c r="N78" s="519"/>
      <c r="O78" s="519"/>
      <c r="P78" s="519"/>
      <c r="Q78" s="519"/>
      <c r="R78" s="519"/>
      <c r="S78" s="519"/>
      <c r="T78" s="519">
        <f t="shared" si="26"/>
        <v>17341.112000000001</v>
      </c>
      <c r="U78" s="519">
        <f t="shared" si="27"/>
        <v>17341.112000000001</v>
      </c>
      <c r="V78" s="519">
        <f t="shared" si="28"/>
        <v>26011.667999999998</v>
      </c>
      <c r="W78" s="519">
        <f t="shared" si="29"/>
        <v>26011.667999999998</v>
      </c>
      <c r="X78" s="519"/>
      <c r="Y78" s="519"/>
      <c r="Z78" s="519"/>
    </row>
    <row r="79" spans="1:26" s="512" customFormat="1" ht="15">
      <c r="A79" s="337" t="s">
        <v>7859</v>
      </c>
      <c r="B79" s="698" t="s">
        <v>7860</v>
      </c>
      <c r="C79" s="698"/>
      <c r="D79" s="698"/>
      <c r="E79" s="698"/>
      <c r="F79" s="698"/>
      <c r="G79" s="698"/>
      <c r="H79" s="698"/>
      <c r="I79" s="698"/>
      <c r="J79" s="698"/>
      <c r="M79" s="519"/>
      <c r="N79" s="519"/>
      <c r="O79" s="519"/>
      <c r="P79" s="519"/>
      <c r="Q79" s="519"/>
      <c r="R79" s="519"/>
      <c r="S79" s="519"/>
      <c r="T79" s="519"/>
      <c r="U79" s="519"/>
      <c r="V79" s="519"/>
      <c r="W79" s="519"/>
      <c r="X79" s="519"/>
      <c r="Y79" s="519"/>
      <c r="Z79" s="519"/>
    </row>
    <row r="80" spans="1:26" s="512" customFormat="1" ht="75">
      <c r="A80" s="338" t="s">
        <v>9230</v>
      </c>
      <c r="B80" s="576" t="s">
        <v>5256</v>
      </c>
      <c r="C80" s="576">
        <v>92210</v>
      </c>
      <c r="D80" s="336" t="s">
        <v>9352</v>
      </c>
      <c r="E80" s="341">
        <f>QuantUrb!I120</f>
        <v>238.98</v>
      </c>
      <c r="F80" s="342" t="s">
        <v>6774</v>
      </c>
      <c r="G80" s="352">
        <v>84.62</v>
      </c>
      <c r="H80" s="339">
        <f>ROUND(G80*$B$13,2)</f>
        <v>22.79</v>
      </c>
      <c r="I80" s="339">
        <f>H80+G80</f>
        <v>107.41</v>
      </c>
      <c r="J80" s="431">
        <f>ROUND(I80*E80,2)</f>
        <v>25668.84</v>
      </c>
      <c r="K80" s="537">
        <f>ROUND(G80*E80,2)</f>
        <v>20222.490000000002</v>
      </c>
      <c r="L80" s="538">
        <f>ROUND(H80*E80,2)</f>
        <v>5446.35</v>
      </c>
      <c r="M80" s="519"/>
      <c r="N80" s="519"/>
      <c r="O80" s="519"/>
      <c r="P80" s="519"/>
      <c r="Q80" s="519"/>
      <c r="R80" s="519"/>
      <c r="S80" s="519"/>
      <c r="T80" s="519">
        <f>0.2*J80</f>
        <v>5133.768</v>
      </c>
      <c r="U80" s="519">
        <f>0.2*J80</f>
        <v>5133.768</v>
      </c>
      <c r="V80" s="519">
        <f>0.3*J80</f>
        <v>7700.652</v>
      </c>
      <c r="W80" s="519">
        <f>0.3*J80</f>
        <v>7700.652</v>
      </c>
      <c r="X80" s="519"/>
      <c r="Y80" s="519"/>
      <c r="Z80" s="519"/>
    </row>
    <row r="81" spans="1:26" s="512" customFormat="1" ht="45">
      <c r="A81" s="338" t="s">
        <v>9229</v>
      </c>
      <c r="B81" s="576" t="s">
        <v>5256</v>
      </c>
      <c r="C81" s="576">
        <v>90730</v>
      </c>
      <c r="D81" s="336" t="s">
        <v>9463</v>
      </c>
      <c r="E81" s="341">
        <f>QuantUrb!C171</f>
        <v>34</v>
      </c>
      <c r="F81" s="342" t="s">
        <v>6337</v>
      </c>
      <c r="G81" s="352">
        <v>32.33</v>
      </c>
      <c r="H81" s="339">
        <f>ROUND(G81*$B$13,2)</f>
        <v>8.7100000000000009</v>
      </c>
      <c r="I81" s="339">
        <f>H81+G81</f>
        <v>41.04</v>
      </c>
      <c r="J81" s="431">
        <f>ROUND(I81*E81,2)</f>
        <v>1395.36</v>
      </c>
      <c r="K81" s="537">
        <f>ROUND(G81*E81,2)</f>
        <v>1099.22</v>
      </c>
      <c r="L81" s="538">
        <f>ROUND(H81*E81,2)</f>
        <v>296.14</v>
      </c>
      <c r="M81" s="519"/>
      <c r="N81" s="519"/>
      <c r="O81" s="519"/>
      <c r="P81" s="519"/>
      <c r="Q81" s="519"/>
      <c r="R81" s="519"/>
      <c r="S81" s="519"/>
      <c r="T81" s="519">
        <f t="shared" ref="T81:T82" si="30">0.2*J81</f>
        <v>279.072</v>
      </c>
      <c r="U81" s="519">
        <f t="shared" ref="U81:U82" si="31">0.2*J81</f>
        <v>279.072</v>
      </c>
      <c r="V81" s="519">
        <f t="shared" ref="V81:V82" si="32">0.3*J81</f>
        <v>418.60799999999995</v>
      </c>
      <c r="W81" s="519">
        <f t="shared" ref="W81:W82" si="33">0.3*J81</f>
        <v>418.60799999999995</v>
      </c>
      <c r="X81" s="519"/>
      <c r="Y81" s="519"/>
      <c r="Z81" s="519"/>
    </row>
    <row r="82" spans="1:26" s="512" customFormat="1" ht="75">
      <c r="A82" s="338" t="s">
        <v>9461</v>
      </c>
      <c r="B82" s="576" t="s">
        <v>5256</v>
      </c>
      <c r="C82" s="576">
        <v>92212</v>
      </c>
      <c r="D82" s="336" t="s">
        <v>9353</v>
      </c>
      <c r="E82" s="341">
        <f>QuantUrb!I128</f>
        <v>247.69</v>
      </c>
      <c r="F82" s="342" t="s">
        <v>6774</v>
      </c>
      <c r="G82" s="352">
        <v>139.91999999999999</v>
      </c>
      <c r="H82" s="339">
        <f>ROUND(G82*$B$13,2)</f>
        <v>37.68</v>
      </c>
      <c r="I82" s="339">
        <f>H82+G82</f>
        <v>177.6</v>
      </c>
      <c r="J82" s="431">
        <f>ROUND(I82*E82,2)</f>
        <v>43989.74</v>
      </c>
      <c r="K82" s="537">
        <f>ROUND(G82*E82,2)</f>
        <v>34656.78</v>
      </c>
      <c r="L82" s="538">
        <f>ROUND(H82*E82,2)</f>
        <v>9332.9599999999991</v>
      </c>
      <c r="M82" s="519"/>
      <c r="N82" s="519"/>
      <c r="O82" s="519"/>
      <c r="P82" s="519"/>
      <c r="Q82" s="519"/>
      <c r="R82" s="519"/>
      <c r="S82" s="519"/>
      <c r="T82" s="519">
        <f t="shared" si="30"/>
        <v>8797.9480000000003</v>
      </c>
      <c r="U82" s="519">
        <f t="shared" si="31"/>
        <v>8797.9480000000003</v>
      </c>
      <c r="V82" s="519">
        <f t="shared" si="32"/>
        <v>13196.921999999999</v>
      </c>
      <c r="W82" s="519">
        <f t="shared" si="33"/>
        <v>13196.921999999999</v>
      </c>
      <c r="X82" s="519"/>
      <c r="Y82" s="519"/>
      <c r="Z82" s="519"/>
    </row>
    <row r="83" spans="1:26" s="512" customFormat="1" ht="45">
      <c r="A83" s="338" t="s">
        <v>9462</v>
      </c>
      <c r="B83" s="576" t="s">
        <v>5256</v>
      </c>
      <c r="C83" s="576">
        <v>90732</v>
      </c>
      <c r="D83" s="336" t="s">
        <v>9485</v>
      </c>
      <c r="E83" s="341">
        <f>QuantUrb!D171</f>
        <v>22</v>
      </c>
      <c r="F83" s="342" t="s">
        <v>6337</v>
      </c>
      <c r="G83" s="352">
        <v>44.97</v>
      </c>
      <c r="H83" s="339">
        <f>ROUND(G83*$B$13,2)</f>
        <v>12.11</v>
      </c>
      <c r="I83" s="339">
        <f>H83+G83</f>
        <v>57.08</v>
      </c>
      <c r="J83" s="431">
        <f>ROUND(I83*E83,2)</f>
        <v>1255.76</v>
      </c>
      <c r="K83" s="537">
        <f>ROUND(G83*E83,2)</f>
        <v>989.34</v>
      </c>
      <c r="L83" s="538">
        <f>ROUND(H83*E83,2)</f>
        <v>266.42</v>
      </c>
      <c r="M83" s="519"/>
      <c r="N83" s="519"/>
      <c r="O83" s="519"/>
      <c r="P83" s="519"/>
      <c r="Q83" s="519"/>
      <c r="R83" s="519"/>
      <c r="S83" s="519"/>
      <c r="T83" s="519">
        <f>0.2*J83</f>
        <v>251.15200000000002</v>
      </c>
      <c r="U83" s="519">
        <f>0.2*J83</f>
        <v>251.15200000000002</v>
      </c>
      <c r="V83" s="519">
        <f>0.3*J83</f>
        <v>376.72800000000001</v>
      </c>
      <c r="W83" s="519">
        <f>0.3*J83</f>
        <v>376.72800000000001</v>
      </c>
      <c r="X83" s="519"/>
      <c r="Y83" s="519"/>
      <c r="Z83" s="519"/>
    </row>
    <row r="84" spans="1:26" s="512" customFormat="1" ht="15">
      <c r="A84" s="700" t="s">
        <v>7138</v>
      </c>
      <c r="B84" s="700"/>
      <c r="C84" s="700"/>
      <c r="D84" s="700"/>
      <c r="E84" s="700"/>
      <c r="F84" s="700"/>
      <c r="G84" s="700"/>
      <c r="H84" s="700"/>
      <c r="I84" s="700"/>
      <c r="J84" s="432">
        <f>SUM(J75:J83)</f>
        <v>187409.78999999998</v>
      </c>
      <c r="M84" s="542">
        <f>SUM(M75:M83)</f>
        <v>0</v>
      </c>
      <c r="N84" s="542">
        <f t="shared" ref="N84:Z84" si="34">SUM(N75:N83)</f>
        <v>0</v>
      </c>
      <c r="O84" s="542">
        <f t="shared" si="34"/>
        <v>0</v>
      </c>
      <c r="P84" s="542">
        <f t="shared" si="34"/>
        <v>0</v>
      </c>
      <c r="Q84" s="542">
        <f t="shared" si="34"/>
        <v>0</v>
      </c>
      <c r="R84" s="542">
        <f t="shared" si="34"/>
        <v>0</v>
      </c>
      <c r="S84" s="542">
        <f t="shared" si="34"/>
        <v>0</v>
      </c>
      <c r="T84" s="542">
        <f t="shared" si="34"/>
        <v>37481.958000000006</v>
      </c>
      <c r="U84" s="542">
        <f t="shared" si="34"/>
        <v>37481.958000000006</v>
      </c>
      <c r="V84" s="542">
        <f t="shared" si="34"/>
        <v>56222.937000000005</v>
      </c>
      <c r="W84" s="542">
        <f t="shared" si="34"/>
        <v>56222.937000000005</v>
      </c>
      <c r="X84" s="542">
        <f t="shared" si="34"/>
        <v>0</v>
      </c>
      <c r="Y84" s="542">
        <f t="shared" si="34"/>
        <v>0</v>
      </c>
      <c r="Z84" s="542">
        <f t="shared" si="34"/>
        <v>0</v>
      </c>
    </row>
    <row r="85" spans="1:26" s="512" customFormat="1" ht="15">
      <c r="A85" s="29"/>
      <c r="B85" s="29"/>
      <c r="C85" s="29"/>
      <c r="D85" s="29"/>
      <c r="E85" s="189"/>
      <c r="F85" s="29"/>
      <c r="G85" s="353"/>
      <c r="H85" s="28"/>
      <c r="I85" s="28"/>
      <c r="J85" s="433"/>
      <c r="M85" s="519"/>
      <c r="N85" s="519"/>
      <c r="O85" s="519"/>
      <c r="P85" s="519"/>
      <c r="Q85" s="519"/>
      <c r="R85" s="519"/>
      <c r="S85" s="519"/>
      <c r="T85" s="519"/>
      <c r="U85" s="519"/>
      <c r="V85" s="519"/>
      <c r="W85" s="519"/>
      <c r="X85" s="519"/>
      <c r="Y85" s="519"/>
      <c r="Z85" s="519"/>
    </row>
    <row r="86" spans="1:26" s="512" customFormat="1" ht="15">
      <c r="A86" s="197" t="s">
        <v>5939</v>
      </c>
      <c r="B86" s="699" t="s">
        <v>5947</v>
      </c>
      <c r="C86" s="699"/>
      <c r="D86" s="699"/>
      <c r="E86" s="699"/>
      <c r="F86" s="699"/>
      <c r="G86" s="699"/>
      <c r="H86" s="699"/>
      <c r="I86" s="699"/>
      <c r="J86" s="699"/>
      <c r="M86" s="519"/>
      <c r="N86" s="519"/>
      <c r="O86" s="519"/>
      <c r="P86" s="519"/>
      <c r="Q86" s="519"/>
      <c r="R86" s="519"/>
      <c r="S86" s="519"/>
      <c r="T86" s="519"/>
      <c r="U86" s="519"/>
      <c r="V86" s="519"/>
      <c r="W86" s="519"/>
      <c r="X86" s="519"/>
      <c r="Y86" s="519"/>
      <c r="Z86" s="519"/>
    </row>
    <row r="87" spans="1:26" s="512" customFormat="1" ht="15">
      <c r="A87" s="337" t="s">
        <v>5940</v>
      </c>
      <c r="B87" s="698" t="s">
        <v>8583</v>
      </c>
      <c r="C87" s="698"/>
      <c r="D87" s="698"/>
      <c r="E87" s="698"/>
      <c r="F87" s="698"/>
      <c r="G87" s="698"/>
      <c r="H87" s="698"/>
      <c r="I87" s="698"/>
      <c r="J87" s="698"/>
      <c r="K87" s="537">
        <f t="shared" ref="K87:K115" si="35">ROUND(G87*E87,2)</f>
        <v>0</v>
      </c>
      <c r="L87" s="538">
        <f t="shared" ref="L87:L115" si="36">ROUND(H87*E87,2)</f>
        <v>0</v>
      </c>
      <c r="M87" s="519"/>
      <c r="N87" s="519"/>
      <c r="O87" s="519"/>
      <c r="P87" s="519"/>
      <c r="Q87" s="519"/>
      <c r="R87" s="519"/>
      <c r="S87" s="519"/>
      <c r="T87" s="519"/>
      <c r="U87" s="519"/>
      <c r="V87" s="519"/>
      <c r="W87" s="519"/>
      <c r="X87" s="519"/>
      <c r="Y87" s="519"/>
      <c r="Z87" s="519"/>
    </row>
    <row r="88" spans="1:26" s="512" customFormat="1" ht="60">
      <c r="A88" s="338" t="s">
        <v>9429</v>
      </c>
      <c r="B88" s="576" t="s">
        <v>5256</v>
      </c>
      <c r="C88" s="576">
        <v>90106</v>
      </c>
      <c r="D88" s="336" t="s">
        <v>9433</v>
      </c>
      <c r="E88" s="341">
        <f>QuantUrb!K178</f>
        <v>24.34</v>
      </c>
      <c r="F88" s="342" t="s">
        <v>6741</v>
      </c>
      <c r="G88" s="352">
        <v>4.2</v>
      </c>
      <c r="H88" s="339">
        <f>ROUND(G88*$B$13,2)</f>
        <v>1.1299999999999999</v>
      </c>
      <c r="I88" s="339">
        <f>H88+G88</f>
        <v>5.33</v>
      </c>
      <c r="J88" s="431">
        <f>ROUND(I88*E88,2)</f>
        <v>129.72999999999999</v>
      </c>
      <c r="K88" s="537">
        <f t="shared" si="35"/>
        <v>102.23</v>
      </c>
      <c r="L88" s="538">
        <f t="shared" si="36"/>
        <v>27.5</v>
      </c>
      <c r="M88" s="519"/>
      <c r="N88" s="519"/>
      <c r="O88" s="519"/>
      <c r="P88" s="519"/>
      <c r="Q88" s="519"/>
      <c r="R88" s="519"/>
      <c r="S88" s="519"/>
      <c r="T88" s="519">
        <f>0.2*J88</f>
        <v>25.945999999999998</v>
      </c>
      <c r="U88" s="519">
        <f>0.2*J88</f>
        <v>25.945999999999998</v>
      </c>
      <c r="V88" s="519">
        <f>0.3*J88</f>
        <v>38.918999999999997</v>
      </c>
      <c r="W88" s="519">
        <f>0.3*J88</f>
        <v>38.918999999999997</v>
      </c>
      <c r="X88" s="519"/>
      <c r="Y88" s="519"/>
      <c r="Z88" s="519"/>
    </row>
    <row r="89" spans="1:26" s="512" customFormat="1" ht="45">
      <c r="A89" s="338" t="s">
        <v>9436</v>
      </c>
      <c r="B89" s="576" t="s">
        <v>5256</v>
      </c>
      <c r="C89" s="576">
        <v>94043</v>
      </c>
      <c r="D89" s="336" t="s">
        <v>9435</v>
      </c>
      <c r="E89" s="341">
        <f>QuantUrb!J187</f>
        <v>1557.9299999999998</v>
      </c>
      <c r="F89" s="342" t="s">
        <v>6339</v>
      </c>
      <c r="G89" s="352">
        <v>12.31</v>
      </c>
      <c r="H89" s="339">
        <f>ROUND(G89*$B$13,2)</f>
        <v>3.32</v>
      </c>
      <c r="I89" s="339">
        <f>H89+G89</f>
        <v>15.63</v>
      </c>
      <c r="J89" s="431">
        <f>ROUND(I89*E89,2)</f>
        <v>24350.45</v>
      </c>
      <c r="K89" s="537">
        <f t="shared" si="35"/>
        <v>19178.12</v>
      </c>
      <c r="L89" s="538">
        <f t="shared" si="36"/>
        <v>5172.33</v>
      </c>
      <c r="M89" s="519"/>
      <c r="N89" s="519"/>
      <c r="O89" s="519"/>
      <c r="P89" s="519"/>
      <c r="Q89" s="519"/>
      <c r="R89" s="519"/>
      <c r="S89" s="519"/>
      <c r="T89" s="519">
        <f>0.2*J89</f>
        <v>4870.09</v>
      </c>
      <c r="U89" s="519">
        <f>0.2*J89</f>
        <v>4870.09</v>
      </c>
      <c r="V89" s="519">
        <f>0.3*J89</f>
        <v>7305.1350000000002</v>
      </c>
      <c r="W89" s="519">
        <f>0.3*J89</f>
        <v>7305.1350000000002</v>
      </c>
      <c r="X89" s="519"/>
      <c r="Y89" s="519"/>
      <c r="Z89" s="519"/>
    </row>
    <row r="90" spans="1:26" s="512" customFormat="1" ht="30">
      <c r="A90" s="338" t="s">
        <v>9437</v>
      </c>
      <c r="B90" s="576" t="s">
        <v>5256</v>
      </c>
      <c r="C90" s="576">
        <v>93382</v>
      </c>
      <c r="D90" s="336" t="s">
        <v>9438</v>
      </c>
      <c r="E90" s="341">
        <f>QuantUrb!K200</f>
        <v>807.51535121916368</v>
      </c>
      <c r="F90" s="342" t="s">
        <v>6741</v>
      </c>
      <c r="G90" s="352">
        <v>16.13</v>
      </c>
      <c r="H90" s="339">
        <f>ROUND(G90*$B$13,2)</f>
        <v>4.34</v>
      </c>
      <c r="I90" s="339">
        <f>H90+G90</f>
        <v>20.47</v>
      </c>
      <c r="J90" s="431">
        <f>ROUND(I90*E90,2)</f>
        <v>16529.84</v>
      </c>
      <c r="K90" s="537">
        <f t="shared" si="35"/>
        <v>13025.22</v>
      </c>
      <c r="L90" s="538">
        <f t="shared" si="36"/>
        <v>3504.62</v>
      </c>
      <c r="M90" s="519"/>
      <c r="N90" s="519"/>
      <c r="O90" s="519"/>
      <c r="P90" s="519"/>
      <c r="Q90" s="519"/>
      <c r="R90" s="519"/>
      <c r="S90" s="519"/>
      <c r="T90" s="519">
        <f>0.2*J90</f>
        <v>3305.9680000000003</v>
      </c>
      <c r="U90" s="519">
        <f>0.2*J90</f>
        <v>3305.9680000000003</v>
      </c>
      <c r="V90" s="519">
        <f>0.3*J90</f>
        <v>4958.9520000000002</v>
      </c>
      <c r="W90" s="519">
        <f>0.3*J90</f>
        <v>4958.9520000000002</v>
      </c>
      <c r="X90" s="519"/>
      <c r="Y90" s="519"/>
      <c r="Z90" s="519"/>
    </row>
    <row r="91" spans="1:26" s="512" customFormat="1" ht="15">
      <c r="A91" s="337" t="s">
        <v>9434</v>
      </c>
      <c r="B91" s="698" t="s">
        <v>8925</v>
      </c>
      <c r="C91" s="698"/>
      <c r="D91" s="698"/>
      <c r="E91" s="698"/>
      <c r="F91" s="698"/>
      <c r="G91" s="698"/>
      <c r="H91" s="698"/>
      <c r="I91" s="698"/>
      <c r="J91" s="698"/>
      <c r="K91" s="537">
        <f t="shared" si="35"/>
        <v>0</v>
      </c>
      <c r="L91" s="538">
        <f t="shared" si="36"/>
        <v>0</v>
      </c>
      <c r="M91" s="519"/>
      <c r="N91" s="519"/>
      <c r="O91" s="519"/>
      <c r="P91" s="519"/>
      <c r="Q91" s="519"/>
      <c r="R91" s="519"/>
      <c r="S91" s="519"/>
      <c r="T91" s="519"/>
      <c r="U91" s="519"/>
      <c r="V91" s="519"/>
      <c r="W91" s="519"/>
      <c r="X91" s="519"/>
      <c r="Y91" s="519"/>
      <c r="Z91" s="519"/>
    </row>
    <row r="92" spans="1:26" s="512" customFormat="1" ht="45">
      <c r="A92" s="338" t="s">
        <v>9445</v>
      </c>
      <c r="B92" s="576" t="s">
        <v>5256</v>
      </c>
      <c r="C92" s="576">
        <v>96616</v>
      </c>
      <c r="D92" s="336" t="s">
        <v>9446</v>
      </c>
      <c r="E92" s="341">
        <f>QuantUrb!K208</f>
        <v>94.900650000000013</v>
      </c>
      <c r="F92" s="342" t="s">
        <v>6741</v>
      </c>
      <c r="G92" s="352">
        <v>356.37</v>
      </c>
      <c r="H92" s="339">
        <f>ROUND(G92*$B$13,2)</f>
        <v>95.97</v>
      </c>
      <c r="I92" s="339">
        <f>H92+G92</f>
        <v>452.34000000000003</v>
      </c>
      <c r="J92" s="431">
        <f>ROUND(I92*E92,2)</f>
        <v>42927.360000000001</v>
      </c>
      <c r="K92" s="537">
        <f t="shared" si="35"/>
        <v>33819.74</v>
      </c>
      <c r="L92" s="538">
        <f t="shared" si="36"/>
        <v>9107.6200000000008</v>
      </c>
      <c r="M92" s="519"/>
      <c r="N92" s="519"/>
      <c r="O92" s="519"/>
      <c r="P92" s="519"/>
      <c r="Q92" s="519"/>
      <c r="R92" s="519"/>
      <c r="S92" s="519"/>
      <c r="T92" s="519">
        <f>0.2*J92</f>
        <v>8585.4719999999998</v>
      </c>
      <c r="U92" s="519">
        <f>0.2*J92</f>
        <v>8585.4719999999998</v>
      </c>
      <c r="V92" s="519">
        <f>0.3*J92</f>
        <v>12878.208000000001</v>
      </c>
      <c r="W92" s="519">
        <f>0.3*J92</f>
        <v>12878.208000000001</v>
      </c>
      <c r="X92" s="519"/>
      <c r="Y92" s="519"/>
      <c r="Z92" s="519"/>
    </row>
    <row r="93" spans="1:26" s="512" customFormat="1" ht="45">
      <c r="A93" s="338" t="s">
        <v>9449</v>
      </c>
      <c r="B93" s="576" t="s">
        <v>5256</v>
      </c>
      <c r="C93" s="576">
        <v>96616</v>
      </c>
      <c r="D93" s="336" t="s">
        <v>9447</v>
      </c>
      <c r="E93" s="341">
        <f>QuantUrb!K208</f>
        <v>94.900650000000013</v>
      </c>
      <c r="F93" s="342" t="s">
        <v>6741</v>
      </c>
      <c r="G93" s="352">
        <v>356.37</v>
      </c>
      <c r="H93" s="339">
        <f>ROUND(G93*$B$13,2)</f>
        <v>95.97</v>
      </c>
      <c r="I93" s="339">
        <f>H93+G93</f>
        <v>452.34000000000003</v>
      </c>
      <c r="J93" s="431">
        <f>ROUND(I93*E93,2)</f>
        <v>42927.360000000001</v>
      </c>
      <c r="K93" s="537">
        <f t="shared" si="35"/>
        <v>33819.74</v>
      </c>
      <c r="L93" s="538">
        <f t="shared" si="36"/>
        <v>9107.6200000000008</v>
      </c>
      <c r="M93" s="519"/>
      <c r="N93" s="519"/>
      <c r="O93" s="519"/>
      <c r="P93" s="519"/>
      <c r="Q93" s="519"/>
      <c r="R93" s="519"/>
      <c r="S93" s="519"/>
      <c r="T93" s="519">
        <f>0.2*J93</f>
        <v>8585.4719999999998</v>
      </c>
      <c r="U93" s="519">
        <f>0.2*J93</f>
        <v>8585.4719999999998</v>
      </c>
      <c r="V93" s="519">
        <f>0.3*J93</f>
        <v>12878.208000000001</v>
      </c>
      <c r="W93" s="519">
        <f>0.3*J93</f>
        <v>12878.208000000001</v>
      </c>
      <c r="X93" s="519"/>
      <c r="Y93" s="519"/>
      <c r="Z93" s="519"/>
    </row>
    <row r="94" spans="1:26" s="512" customFormat="1" ht="60">
      <c r="A94" s="338" t="s">
        <v>9444</v>
      </c>
      <c r="B94" s="576" t="s">
        <v>5256</v>
      </c>
      <c r="C94" s="576">
        <v>94112</v>
      </c>
      <c r="D94" s="336" t="s">
        <v>9443</v>
      </c>
      <c r="E94" s="341">
        <f>QuantUrb!K217</f>
        <v>67.510000000000005</v>
      </c>
      <c r="F94" s="342" t="s">
        <v>6741</v>
      </c>
      <c r="G94" s="352">
        <v>155.07</v>
      </c>
      <c r="H94" s="339">
        <f>ROUND(G94*$B$13,2)</f>
        <v>41.76</v>
      </c>
      <c r="I94" s="339">
        <f>H94+G94</f>
        <v>196.82999999999998</v>
      </c>
      <c r="J94" s="431">
        <f>ROUND(I94*E94,2)</f>
        <v>13287.99</v>
      </c>
      <c r="K94" s="537">
        <f t="shared" si="35"/>
        <v>10468.780000000001</v>
      </c>
      <c r="L94" s="538">
        <f t="shared" si="36"/>
        <v>2819.22</v>
      </c>
      <c r="M94" s="519"/>
      <c r="N94" s="519"/>
      <c r="O94" s="519"/>
      <c r="P94" s="519"/>
      <c r="Q94" s="519"/>
      <c r="R94" s="519"/>
      <c r="S94" s="519"/>
      <c r="T94" s="519">
        <f>0.2*J94</f>
        <v>2657.598</v>
      </c>
      <c r="U94" s="519">
        <f>0.2*J94</f>
        <v>2657.598</v>
      </c>
      <c r="V94" s="519">
        <f>0.3*J94</f>
        <v>3986.3969999999999</v>
      </c>
      <c r="W94" s="519">
        <f>0.3*J94</f>
        <v>3986.3969999999999</v>
      </c>
      <c r="X94" s="519"/>
      <c r="Y94" s="519"/>
      <c r="Z94" s="519"/>
    </row>
    <row r="95" spans="1:26" s="512" customFormat="1" ht="15">
      <c r="A95" s="337" t="s">
        <v>9355</v>
      </c>
      <c r="B95" s="698" t="s">
        <v>9354</v>
      </c>
      <c r="C95" s="698"/>
      <c r="D95" s="698"/>
      <c r="E95" s="698"/>
      <c r="F95" s="698"/>
      <c r="G95" s="698"/>
      <c r="H95" s="698"/>
      <c r="I95" s="698"/>
      <c r="J95" s="698"/>
      <c r="K95" s="537">
        <f t="shared" si="35"/>
        <v>0</v>
      </c>
      <c r="L95" s="538">
        <f t="shared" si="36"/>
        <v>0</v>
      </c>
      <c r="M95" s="519"/>
      <c r="N95" s="519"/>
      <c r="O95" s="519"/>
      <c r="P95" s="519"/>
      <c r="Q95" s="519"/>
      <c r="R95" s="519"/>
      <c r="S95" s="519"/>
      <c r="T95" s="519"/>
      <c r="U95" s="519"/>
      <c r="V95" s="519"/>
      <c r="W95" s="519"/>
      <c r="X95" s="519"/>
      <c r="Y95" s="519"/>
      <c r="Z95" s="519"/>
    </row>
    <row r="96" spans="1:26" s="512" customFormat="1" ht="60">
      <c r="A96" s="338" t="s">
        <v>9356</v>
      </c>
      <c r="B96" s="576" t="s">
        <v>5256</v>
      </c>
      <c r="C96" s="576" t="s">
        <v>9383</v>
      </c>
      <c r="D96" s="336" t="s">
        <v>9425</v>
      </c>
      <c r="E96" s="341">
        <f>QuantUrb!C227</f>
        <v>4</v>
      </c>
      <c r="F96" s="342" t="s">
        <v>6337</v>
      </c>
      <c r="G96" s="352">
        <v>728.48</v>
      </c>
      <c r="H96" s="339">
        <f>ROUND(G96*$B$13,2)</f>
        <v>196.18</v>
      </c>
      <c r="I96" s="339">
        <f>H96+G96</f>
        <v>924.66000000000008</v>
      </c>
      <c r="J96" s="431">
        <f>ROUND(I96*E96,2)</f>
        <v>3698.64</v>
      </c>
      <c r="K96" s="537">
        <f t="shared" si="35"/>
        <v>2913.92</v>
      </c>
      <c r="L96" s="538">
        <f t="shared" si="36"/>
        <v>784.72</v>
      </c>
      <c r="M96" s="519"/>
      <c r="N96" s="519"/>
      <c r="O96" s="519"/>
      <c r="P96" s="519"/>
      <c r="Q96" s="519"/>
      <c r="R96" s="519"/>
      <c r="S96" s="519"/>
      <c r="T96" s="519">
        <f>0.2*J96</f>
        <v>739.72800000000007</v>
      </c>
      <c r="U96" s="519">
        <f>0.2*J96</f>
        <v>739.72800000000007</v>
      </c>
      <c r="V96" s="519">
        <f>0.3*J96</f>
        <v>1109.5919999999999</v>
      </c>
      <c r="W96" s="519">
        <f>0.3*J96</f>
        <v>1109.5919999999999</v>
      </c>
      <c r="X96" s="519"/>
      <c r="Y96" s="519"/>
      <c r="Z96" s="519"/>
    </row>
    <row r="97" spans="1:26" s="512" customFormat="1" ht="60">
      <c r="A97" s="338" t="s">
        <v>9357</v>
      </c>
      <c r="B97" s="576" t="s">
        <v>5256</v>
      </c>
      <c r="C97" s="576" t="s">
        <v>9384</v>
      </c>
      <c r="D97" s="336" t="s">
        <v>9426</v>
      </c>
      <c r="E97" s="341">
        <f>QuantUrb!C241</f>
        <v>8</v>
      </c>
      <c r="F97" s="342" t="s">
        <v>6337</v>
      </c>
      <c r="G97" s="352">
        <v>876.0200000000001</v>
      </c>
      <c r="H97" s="339">
        <f>ROUND(G97*$B$13,2)</f>
        <v>235.91</v>
      </c>
      <c r="I97" s="339">
        <f>H97+G97</f>
        <v>1111.93</v>
      </c>
      <c r="J97" s="431">
        <f>ROUND(I97*E97,2)</f>
        <v>8895.44</v>
      </c>
      <c r="K97" s="537">
        <f t="shared" si="35"/>
        <v>7008.16</v>
      </c>
      <c r="L97" s="538">
        <f t="shared" si="36"/>
        <v>1887.28</v>
      </c>
      <c r="M97" s="519"/>
      <c r="N97" s="519"/>
      <c r="O97" s="519"/>
      <c r="P97" s="519"/>
      <c r="Q97" s="519"/>
      <c r="R97" s="519"/>
      <c r="S97" s="519"/>
      <c r="T97" s="519">
        <f>0.2*J97</f>
        <v>1779.0880000000002</v>
      </c>
      <c r="U97" s="519">
        <f>0.2*J97</f>
        <v>1779.0880000000002</v>
      </c>
      <c r="V97" s="519">
        <f>0.3*J97</f>
        <v>2668.6320000000001</v>
      </c>
      <c r="W97" s="519">
        <f>0.3*J97</f>
        <v>2668.6320000000001</v>
      </c>
      <c r="X97" s="519"/>
      <c r="Y97" s="519"/>
      <c r="Z97" s="519"/>
    </row>
    <row r="98" spans="1:26" s="512" customFormat="1" ht="30">
      <c r="A98" s="338" t="s">
        <v>9386</v>
      </c>
      <c r="B98" s="576" t="s">
        <v>5256</v>
      </c>
      <c r="C98" s="576">
        <v>98114</v>
      </c>
      <c r="D98" s="336" t="s">
        <v>9385</v>
      </c>
      <c r="E98" s="341">
        <f>E96+E97</f>
        <v>12</v>
      </c>
      <c r="F98" s="342" t="s">
        <v>6337</v>
      </c>
      <c r="G98" s="352">
        <v>303.64</v>
      </c>
      <c r="H98" s="339">
        <f>ROUND(G98*$B$13,2)</f>
        <v>81.77</v>
      </c>
      <c r="I98" s="339">
        <f>H98+G98</f>
        <v>385.40999999999997</v>
      </c>
      <c r="J98" s="431">
        <f>ROUND(I98*E98,2)</f>
        <v>4624.92</v>
      </c>
      <c r="K98" s="537">
        <f t="shared" si="35"/>
        <v>3643.68</v>
      </c>
      <c r="L98" s="538">
        <f t="shared" si="36"/>
        <v>981.24</v>
      </c>
      <c r="M98" s="519"/>
      <c r="N98" s="519"/>
      <c r="O98" s="519"/>
      <c r="P98" s="519"/>
      <c r="Q98" s="519"/>
      <c r="R98" s="519"/>
      <c r="S98" s="519"/>
      <c r="T98" s="519">
        <f>0.2*J98</f>
        <v>924.98400000000004</v>
      </c>
      <c r="U98" s="519">
        <f>0.2*J98</f>
        <v>924.98400000000004</v>
      </c>
      <c r="V98" s="519">
        <f>0.3*J98</f>
        <v>1387.4759999999999</v>
      </c>
      <c r="W98" s="519">
        <f>0.3*J98</f>
        <v>1387.4759999999999</v>
      </c>
      <c r="X98" s="519"/>
      <c r="Y98" s="519"/>
      <c r="Z98" s="519"/>
    </row>
    <row r="99" spans="1:26" s="512" customFormat="1" ht="15">
      <c r="A99" s="337" t="s">
        <v>8936</v>
      </c>
      <c r="B99" s="698" t="s">
        <v>9358</v>
      </c>
      <c r="C99" s="698"/>
      <c r="D99" s="698"/>
      <c r="E99" s="698"/>
      <c r="F99" s="698"/>
      <c r="G99" s="698"/>
      <c r="H99" s="698"/>
      <c r="I99" s="698"/>
      <c r="J99" s="698"/>
      <c r="K99" s="537">
        <f t="shared" si="35"/>
        <v>0</v>
      </c>
      <c r="L99" s="538">
        <f t="shared" si="36"/>
        <v>0</v>
      </c>
      <c r="M99" s="519"/>
      <c r="N99" s="519"/>
      <c r="O99" s="519"/>
      <c r="P99" s="519"/>
      <c r="Q99" s="519"/>
      <c r="R99" s="519"/>
      <c r="S99" s="519"/>
      <c r="T99" s="519"/>
      <c r="U99" s="519"/>
      <c r="V99" s="519"/>
      <c r="W99" s="519"/>
      <c r="X99" s="519"/>
      <c r="Y99" s="519"/>
      <c r="Z99" s="519"/>
    </row>
    <row r="100" spans="1:26" s="512" customFormat="1" ht="15">
      <c r="A100" s="338" t="s">
        <v>9359</v>
      </c>
      <c r="B100" s="576" t="s">
        <v>5256</v>
      </c>
      <c r="C100" s="576">
        <v>6171</v>
      </c>
      <c r="D100" s="336" t="s">
        <v>7158</v>
      </c>
      <c r="E100" s="341">
        <v>1</v>
      </c>
      <c r="F100" s="342" t="s">
        <v>6337</v>
      </c>
      <c r="G100" s="352">
        <v>18.260000000000002</v>
      </c>
      <c r="H100" s="339">
        <f>ROUND(G100*$B$13,2)</f>
        <v>4.92</v>
      </c>
      <c r="I100" s="339">
        <f>H100+G100</f>
        <v>23.18</v>
      </c>
      <c r="J100" s="431">
        <f>ROUND(I100*E100,2)</f>
        <v>23.18</v>
      </c>
      <c r="K100" s="537">
        <f t="shared" si="35"/>
        <v>18.260000000000002</v>
      </c>
      <c r="L100" s="538">
        <f t="shared" si="36"/>
        <v>4.92</v>
      </c>
      <c r="M100" s="519"/>
      <c r="N100" s="519"/>
      <c r="O100" s="519"/>
      <c r="P100" s="519"/>
      <c r="Q100" s="519"/>
      <c r="R100" s="519"/>
      <c r="S100" s="519"/>
      <c r="T100" s="519">
        <f>0.2*J100</f>
        <v>4.6360000000000001</v>
      </c>
      <c r="U100" s="519">
        <f>0.2*J100</f>
        <v>4.6360000000000001</v>
      </c>
      <c r="V100" s="519">
        <f>0.3*J100</f>
        <v>6.9539999999999997</v>
      </c>
      <c r="W100" s="519">
        <f>0.3*J100</f>
        <v>6.9539999999999997</v>
      </c>
      <c r="X100" s="519"/>
      <c r="Y100" s="519"/>
      <c r="Z100" s="519"/>
    </row>
    <row r="101" spans="1:26" s="512" customFormat="1" ht="45">
      <c r="A101" s="338" t="s">
        <v>9360</v>
      </c>
      <c r="B101" s="576" t="s">
        <v>5256</v>
      </c>
      <c r="C101" s="576">
        <v>83716</v>
      </c>
      <c r="D101" s="336" t="s">
        <v>9231</v>
      </c>
      <c r="E101" s="341">
        <v>17</v>
      </c>
      <c r="F101" s="342" t="s">
        <v>6337</v>
      </c>
      <c r="G101" s="352">
        <v>231.39</v>
      </c>
      <c r="H101" s="339">
        <f>ROUND(G101*$B$13,2)</f>
        <v>62.31</v>
      </c>
      <c r="I101" s="339">
        <f>H101+G101</f>
        <v>293.7</v>
      </c>
      <c r="J101" s="431">
        <f>ROUND(I101*E101,2)</f>
        <v>4992.8999999999996</v>
      </c>
      <c r="K101" s="537">
        <f t="shared" si="35"/>
        <v>3933.63</v>
      </c>
      <c r="L101" s="538">
        <f t="shared" si="36"/>
        <v>1059.27</v>
      </c>
      <c r="M101" s="519"/>
      <c r="N101" s="519"/>
      <c r="O101" s="519"/>
      <c r="P101" s="519"/>
      <c r="Q101" s="519"/>
      <c r="R101" s="519"/>
      <c r="S101" s="519"/>
      <c r="T101" s="519">
        <f>0.2*J101</f>
        <v>998.57999999999993</v>
      </c>
      <c r="U101" s="519">
        <f>0.2*J101</f>
        <v>998.57999999999993</v>
      </c>
      <c r="V101" s="519">
        <f>0.3*J101</f>
        <v>1497.87</v>
      </c>
      <c r="W101" s="519">
        <f>0.3*J101</f>
        <v>1497.87</v>
      </c>
      <c r="X101" s="519"/>
      <c r="Y101" s="519"/>
      <c r="Z101" s="519"/>
    </row>
    <row r="102" spans="1:26" s="512" customFormat="1" ht="45">
      <c r="A102" s="338" t="s">
        <v>9361</v>
      </c>
      <c r="B102" s="576" t="s">
        <v>6799</v>
      </c>
      <c r="C102" s="576" t="s">
        <v>15579</v>
      </c>
      <c r="D102" s="336" t="s">
        <v>9428</v>
      </c>
      <c r="E102" s="341">
        <v>18</v>
      </c>
      <c r="F102" s="342" t="s">
        <v>6337</v>
      </c>
      <c r="G102" s="352">
        <v>240.14000000000001</v>
      </c>
      <c r="H102" s="339">
        <f>ROUND(G102*$B$13,2)</f>
        <v>64.67</v>
      </c>
      <c r="I102" s="339">
        <f>H102+G102</f>
        <v>304.81</v>
      </c>
      <c r="J102" s="431">
        <f>ROUND(I102*E102,2)</f>
        <v>5486.58</v>
      </c>
      <c r="K102" s="537">
        <f t="shared" si="35"/>
        <v>4322.5200000000004</v>
      </c>
      <c r="L102" s="538">
        <f t="shared" si="36"/>
        <v>1164.06</v>
      </c>
      <c r="M102" s="519"/>
      <c r="N102" s="519"/>
      <c r="O102" s="519"/>
      <c r="P102" s="519"/>
      <c r="Q102" s="519"/>
      <c r="R102" s="519"/>
      <c r="S102" s="519"/>
      <c r="T102" s="519">
        <f>0.2*J102</f>
        <v>1097.316</v>
      </c>
      <c r="U102" s="519">
        <f>0.2*J102</f>
        <v>1097.316</v>
      </c>
      <c r="V102" s="519">
        <f>0.3*J102</f>
        <v>1645.9739999999999</v>
      </c>
      <c r="W102" s="519">
        <f>0.3*J102</f>
        <v>1645.9739999999999</v>
      </c>
      <c r="X102" s="519"/>
      <c r="Y102" s="519"/>
      <c r="Z102" s="519"/>
    </row>
    <row r="103" spans="1:26" s="512" customFormat="1" ht="15">
      <c r="A103" s="337" t="s">
        <v>9507</v>
      </c>
      <c r="B103" s="698" t="s">
        <v>9508</v>
      </c>
      <c r="C103" s="698"/>
      <c r="D103" s="698"/>
      <c r="E103" s="698"/>
      <c r="F103" s="698"/>
      <c r="G103" s="698"/>
      <c r="H103" s="698"/>
      <c r="I103" s="698"/>
      <c r="J103" s="698"/>
      <c r="K103" s="537">
        <f t="shared" si="35"/>
        <v>0</v>
      </c>
      <c r="L103" s="538">
        <f t="shared" si="36"/>
        <v>0</v>
      </c>
      <c r="M103" s="519"/>
      <c r="N103" s="519"/>
      <c r="O103" s="519"/>
      <c r="P103" s="519"/>
      <c r="Q103" s="519"/>
      <c r="R103" s="519"/>
      <c r="S103" s="519"/>
      <c r="T103" s="519"/>
      <c r="U103" s="519"/>
      <c r="V103" s="519"/>
      <c r="W103" s="519"/>
      <c r="X103" s="519"/>
      <c r="Y103" s="519"/>
      <c r="Z103" s="519"/>
    </row>
    <row r="104" spans="1:26" s="512" customFormat="1" ht="60">
      <c r="A104" s="338" t="s">
        <v>9511</v>
      </c>
      <c r="B104" s="576" t="s">
        <v>5256</v>
      </c>
      <c r="C104" s="576">
        <v>90093</v>
      </c>
      <c r="D104" s="336" t="s">
        <v>9510</v>
      </c>
      <c r="E104" s="341">
        <v>225.3</v>
      </c>
      <c r="F104" s="342" t="s">
        <v>6741</v>
      </c>
      <c r="G104" s="352">
        <v>3.31</v>
      </c>
      <c r="H104" s="339">
        <f t="shared" ref="H104:H115" si="37">ROUND(G104*$B$13,2)</f>
        <v>0.89</v>
      </c>
      <c r="I104" s="339">
        <f t="shared" ref="I104:I115" si="38">H104+G104</f>
        <v>4.2</v>
      </c>
      <c r="J104" s="431">
        <f t="shared" ref="J104:J115" si="39">ROUND(I104*E104,2)</f>
        <v>946.26</v>
      </c>
      <c r="K104" s="537">
        <f t="shared" si="35"/>
        <v>745.74</v>
      </c>
      <c r="L104" s="538">
        <f t="shared" si="36"/>
        <v>200.52</v>
      </c>
      <c r="M104" s="519"/>
      <c r="N104" s="519"/>
      <c r="O104" s="519"/>
      <c r="P104" s="519"/>
      <c r="Q104" s="519"/>
      <c r="R104" s="519"/>
      <c r="S104" s="519"/>
      <c r="T104" s="519">
        <f t="shared" ref="T104:T115" si="40">0.2*J104</f>
        <v>189.25200000000001</v>
      </c>
      <c r="U104" s="519">
        <f t="shared" ref="U104:U115" si="41">0.2*J104</f>
        <v>189.25200000000001</v>
      </c>
      <c r="V104" s="519">
        <f t="shared" ref="V104:V115" si="42">0.3*J104</f>
        <v>283.87799999999999</v>
      </c>
      <c r="W104" s="519">
        <f t="shared" ref="W104:W115" si="43">0.3*J104</f>
        <v>283.87799999999999</v>
      </c>
      <c r="X104" s="519"/>
      <c r="Y104" s="519"/>
      <c r="Z104" s="519"/>
    </row>
    <row r="105" spans="1:26" s="512" customFormat="1" ht="75">
      <c r="A105" s="338" t="s">
        <v>9521</v>
      </c>
      <c r="B105" s="576" t="s">
        <v>5256</v>
      </c>
      <c r="C105" s="576">
        <v>94116</v>
      </c>
      <c r="D105" s="336" t="s">
        <v>9513</v>
      </c>
      <c r="E105" s="341">
        <f>QuantUrb!K256</f>
        <v>0.18</v>
      </c>
      <c r="F105" s="342" t="s">
        <v>6741</v>
      </c>
      <c r="G105" s="352">
        <v>131.18</v>
      </c>
      <c r="H105" s="339">
        <f t="shared" si="37"/>
        <v>35.33</v>
      </c>
      <c r="I105" s="339">
        <f t="shared" si="38"/>
        <v>166.51</v>
      </c>
      <c r="J105" s="431">
        <f t="shared" si="39"/>
        <v>29.97</v>
      </c>
      <c r="K105" s="537">
        <f t="shared" si="35"/>
        <v>23.61</v>
      </c>
      <c r="L105" s="538">
        <f t="shared" si="36"/>
        <v>6.36</v>
      </c>
      <c r="M105" s="519"/>
      <c r="N105" s="519"/>
      <c r="O105" s="519"/>
      <c r="P105" s="519"/>
      <c r="Q105" s="519"/>
      <c r="R105" s="519"/>
      <c r="S105" s="519"/>
      <c r="T105" s="519">
        <f t="shared" si="40"/>
        <v>5.9939999999999998</v>
      </c>
      <c r="U105" s="519">
        <f t="shared" si="41"/>
        <v>5.9939999999999998</v>
      </c>
      <c r="V105" s="519">
        <f t="shared" si="42"/>
        <v>8.9909999999999997</v>
      </c>
      <c r="W105" s="519">
        <f t="shared" si="43"/>
        <v>8.9909999999999997</v>
      </c>
      <c r="X105" s="519"/>
      <c r="Y105" s="519"/>
      <c r="Z105" s="519"/>
    </row>
    <row r="106" spans="1:26" s="512" customFormat="1" ht="45">
      <c r="A106" s="338" t="s">
        <v>9522</v>
      </c>
      <c r="B106" s="576" t="s">
        <v>5256</v>
      </c>
      <c r="C106" s="576">
        <v>97095</v>
      </c>
      <c r="D106" s="336" t="s">
        <v>9518</v>
      </c>
      <c r="E106" s="341">
        <f>4.62*0.15</f>
        <v>0.69299999999999995</v>
      </c>
      <c r="F106" s="342" t="s">
        <v>6741</v>
      </c>
      <c r="G106" s="352">
        <v>279.60000000000002</v>
      </c>
      <c r="H106" s="339">
        <f t="shared" si="37"/>
        <v>75.3</v>
      </c>
      <c r="I106" s="339">
        <f t="shared" si="38"/>
        <v>354.90000000000003</v>
      </c>
      <c r="J106" s="431">
        <f t="shared" si="39"/>
        <v>245.95</v>
      </c>
      <c r="K106" s="537">
        <f t="shared" si="35"/>
        <v>193.76</v>
      </c>
      <c r="L106" s="538">
        <f t="shared" si="36"/>
        <v>52.18</v>
      </c>
      <c r="M106" s="519"/>
      <c r="N106" s="519"/>
      <c r="O106" s="519"/>
      <c r="P106" s="519"/>
      <c r="Q106" s="519"/>
      <c r="R106" s="519"/>
      <c r="S106" s="519"/>
      <c r="T106" s="519">
        <f t="shared" si="40"/>
        <v>49.19</v>
      </c>
      <c r="U106" s="519">
        <f t="shared" si="41"/>
        <v>49.19</v>
      </c>
      <c r="V106" s="519">
        <f t="shared" si="42"/>
        <v>73.784999999999997</v>
      </c>
      <c r="W106" s="519">
        <f t="shared" si="43"/>
        <v>73.784999999999997</v>
      </c>
      <c r="X106" s="519"/>
      <c r="Y106" s="519"/>
      <c r="Z106" s="519"/>
    </row>
    <row r="107" spans="1:26" s="512" customFormat="1" ht="30">
      <c r="A107" s="338" t="s">
        <v>9523</v>
      </c>
      <c r="B107" s="576" t="s">
        <v>5256</v>
      </c>
      <c r="C107" s="576">
        <v>89472</v>
      </c>
      <c r="D107" s="336" t="s">
        <v>9528</v>
      </c>
      <c r="E107" s="341">
        <f>QuantUrb!J264</f>
        <v>45.02</v>
      </c>
      <c r="F107" s="342" t="s">
        <v>6339</v>
      </c>
      <c r="G107" s="352">
        <v>58.26</v>
      </c>
      <c r="H107" s="339">
        <f t="shared" si="37"/>
        <v>15.69</v>
      </c>
      <c r="I107" s="339">
        <f t="shared" si="38"/>
        <v>73.95</v>
      </c>
      <c r="J107" s="431">
        <f t="shared" si="39"/>
        <v>3329.23</v>
      </c>
      <c r="K107" s="537">
        <f t="shared" si="35"/>
        <v>2622.87</v>
      </c>
      <c r="L107" s="538">
        <f t="shared" si="36"/>
        <v>706.36</v>
      </c>
      <c r="M107" s="519"/>
      <c r="N107" s="519"/>
      <c r="O107" s="519"/>
      <c r="P107" s="519"/>
      <c r="Q107" s="519"/>
      <c r="R107" s="519"/>
      <c r="S107" s="519"/>
      <c r="T107" s="519">
        <f t="shared" si="40"/>
        <v>665.846</v>
      </c>
      <c r="U107" s="519">
        <f t="shared" si="41"/>
        <v>665.846</v>
      </c>
      <c r="V107" s="519">
        <f t="shared" si="42"/>
        <v>998.76900000000001</v>
      </c>
      <c r="W107" s="519">
        <f t="shared" si="43"/>
        <v>998.76900000000001</v>
      </c>
      <c r="X107" s="519"/>
      <c r="Y107" s="519"/>
      <c r="Z107" s="519"/>
    </row>
    <row r="108" spans="1:26" s="512" customFormat="1" ht="45">
      <c r="A108" s="338" t="s">
        <v>9524</v>
      </c>
      <c r="B108" s="576" t="s">
        <v>5256</v>
      </c>
      <c r="C108" s="576">
        <v>97736</v>
      </c>
      <c r="D108" s="336" t="s">
        <v>9519</v>
      </c>
      <c r="E108" s="341">
        <f>0.05*1.95*3.1</f>
        <v>0.30225000000000002</v>
      </c>
      <c r="F108" s="342" t="s">
        <v>6741</v>
      </c>
      <c r="G108" s="352">
        <v>825.38</v>
      </c>
      <c r="H108" s="339">
        <f t="shared" si="37"/>
        <v>222.27</v>
      </c>
      <c r="I108" s="339">
        <f t="shared" si="38"/>
        <v>1047.6500000000001</v>
      </c>
      <c r="J108" s="431">
        <f t="shared" si="39"/>
        <v>316.64999999999998</v>
      </c>
      <c r="K108" s="537">
        <f t="shared" si="35"/>
        <v>249.47</v>
      </c>
      <c r="L108" s="538">
        <f t="shared" si="36"/>
        <v>67.180000000000007</v>
      </c>
      <c r="M108" s="519"/>
      <c r="N108" s="519"/>
      <c r="O108" s="519"/>
      <c r="P108" s="519"/>
      <c r="Q108" s="519"/>
      <c r="R108" s="519"/>
      <c r="S108" s="519"/>
      <c r="T108" s="519">
        <f t="shared" si="40"/>
        <v>63.33</v>
      </c>
      <c r="U108" s="519">
        <f t="shared" si="41"/>
        <v>63.33</v>
      </c>
      <c r="V108" s="519">
        <f t="shared" si="42"/>
        <v>94.99499999999999</v>
      </c>
      <c r="W108" s="519">
        <f t="shared" si="43"/>
        <v>94.99499999999999</v>
      </c>
      <c r="X108" s="519"/>
      <c r="Y108" s="519"/>
      <c r="Z108" s="519"/>
    </row>
    <row r="109" spans="1:26" s="512" customFormat="1" ht="45">
      <c r="A109" s="338" t="s">
        <v>9525</v>
      </c>
      <c r="B109" s="576" t="s">
        <v>5256</v>
      </c>
      <c r="C109" s="576">
        <v>97735</v>
      </c>
      <c r="D109" s="336" t="s">
        <v>9520</v>
      </c>
      <c r="E109" s="341">
        <f>0.15*0.2*3.3</f>
        <v>9.8999999999999991E-2</v>
      </c>
      <c r="F109" s="342" t="s">
        <v>6741</v>
      </c>
      <c r="G109" s="352">
        <v>1330.68</v>
      </c>
      <c r="H109" s="339">
        <f t="shared" si="37"/>
        <v>358.35</v>
      </c>
      <c r="I109" s="339">
        <f t="shared" si="38"/>
        <v>1689.0300000000002</v>
      </c>
      <c r="J109" s="431">
        <f t="shared" si="39"/>
        <v>167.21</v>
      </c>
      <c r="K109" s="537">
        <f t="shared" si="35"/>
        <v>131.74</v>
      </c>
      <c r="L109" s="538">
        <f t="shared" si="36"/>
        <v>35.479999999999997</v>
      </c>
      <c r="M109" s="519"/>
      <c r="N109" s="519"/>
      <c r="O109" s="519"/>
      <c r="P109" s="519"/>
      <c r="Q109" s="519"/>
      <c r="R109" s="519"/>
      <c r="S109" s="519"/>
      <c r="T109" s="519">
        <f t="shared" si="40"/>
        <v>33.442</v>
      </c>
      <c r="U109" s="519">
        <f t="shared" si="41"/>
        <v>33.442</v>
      </c>
      <c r="V109" s="519">
        <f t="shared" si="42"/>
        <v>50.163000000000004</v>
      </c>
      <c r="W109" s="519">
        <f t="shared" si="43"/>
        <v>50.163000000000004</v>
      </c>
      <c r="X109" s="519"/>
      <c r="Y109" s="519"/>
      <c r="Z109" s="519"/>
    </row>
    <row r="110" spans="1:26" s="512" customFormat="1" ht="30">
      <c r="A110" s="338" t="s">
        <v>9526</v>
      </c>
      <c r="B110" s="576" t="s">
        <v>5256</v>
      </c>
      <c r="C110" s="576" t="s">
        <v>9514</v>
      </c>
      <c r="D110" s="336" t="s">
        <v>9515</v>
      </c>
      <c r="E110" s="341">
        <v>6</v>
      </c>
      <c r="F110" s="342" t="s">
        <v>6337</v>
      </c>
      <c r="G110" s="352">
        <v>36.57</v>
      </c>
      <c r="H110" s="339">
        <f t="shared" si="37"/>
        <v>9.85</v>
      </c>
      <c r="I110" s="339">
        <f t="shared" si="38"/>
        <v>46.42</v>
      </c>
      <c r="J110" s="431">
        <f t="shared" si="39"/>
        <v>278.52</v>
      </c>
      <c r="K110" s="537">
        <f t="shared" si="35"/>
        <v>219.42</v>
      </c>
      <c r="L110" s="538">
        <f t="shared" si="36"/>
        <v>59.1</v>
      </c>
      <c r="M110" s="519"/>
      <c r="N110" s="519"/>
      <c r="O110" s="519"/>
      <c r="P110" s="519"/>
      <c r="Q110" s="519"/>
      <c r="R110" s="519"/>
      <c r="S110" s="519"/>
      <c r="T110" s="519">
        <f t="shared" si="40"/>
        <v>55.704000000000001</v>
      </c>
      <c r="U110" s="519">
        <f t="shared" si="41"/>
        <v>55.704000000000001</v>
      </c>
      <c r="V110" s="519">
        <f t="shared" si="42"/>
        <v>83.555999999999997</v>
      </c>
      <c r="W110" s="519">
        <f t="shared" si="43"/>
        <v>83.555999999999997</v>
      </c>
      <c r="X110" s="519"/>
      <c r="Y110" s="519"/>
      <c r="Z110" s="519"/>
    </row>
    <row r="111" spans="1:26" s="512" customFormat="1" ht="30">
      <c r="A111" s="338" t="s">
        <v>9527</v>
      </c>
      <c r="B111" s="576" t="s">
        <v>6333</v>
      </c>
      <c r="C111" s="576">
        <v>8181</v>
      </c>
      <c r="D111" s="336" t="s">
        <v>9516</v>
      </c>
      <c r="E111" s="341">
        <f>0.5*3</f>
        <v>1.5</v>
      </c>
      <c r="F111" s="342" t="s">
        <v>6339</v>
      </c>
      <c r="G111" s="352">
        <v>97.960000000000008</v>
      </c>
      <c r="H111" s="339">
        <f t="shared" si="37"/>
        <v>26.38</v>
      </c>
      <c r="I111" s="339">
        <f t="shared" si="38"/>
        <v>124.34</v>
      </c>
      <c r="J111" s="431">
        <f t="shared" si="39"/>
        <v>186.51</v>
      </c>
      <c r="K111" s="537">
        <f t="shared" si="35"/>
        <v>146.94</v>
      </c>
      <c r="L111" s="538">
        <f t="shared" si="36"/>
        <v>39.57</v>
      </c>
      <c r="M111" s="519"/>
      <c r="N111" s="519"/>
      <c r="O111" s="519"/>
      <c r="P111" s="519"/>
      <c r="Q111" s="519"/>
      <c r="R111" s="519"/>
      <c r="S111" s="519"/>
      <c r="T111" s="519">
        <f t="shared" si="40"/>
        <v>37.302</v>
      </c>
      <c r="U111" s="519">
        <f t="shared" si="41"/>
        <v>37.302</v>
      </c>
      <c r="V111" s="519">
        <f t="shared" si="42"/>
        <v>55.952999999999996</v>
      </c>
      <c r="W111" s="519">
        <f t="shared" si="43"/>
        <v>55.952999999999996</v>
      </c>
      <c r="X111" s="519"/>
      <c r="Y111" s="519"/>
      <c r="Z111" s="519"/>
    </row>
    <row r="112" spans="1:26" s="512" customFormat="1" ht="30">
      <c r="A112" s="338" t="s">
        <v>9537</v>
      </c>
      <c r="B112" s="576" t="s">
        <v>5256</v>
      </c>
      <c r="C112" s="576" t="s">
        <v>1257</v>
      </c>
      <c r="D112" s="336" t="s">
        <v>9530</v>
      </c>
      <c r="E112" s="341">
        <f>QuantUrb!J272</f>
        <v>209.94</v>
      </c>
      <c r="F112" s="342" t="s">
        <v>6339</v>
      </c>
      <c r="G112" s="352">
        <v>9.06</v>
      </c>
      <c r="H112" s="339">
        <f t="shared" si="37"/>
        <v>2.44</v>
      </c>
      <c r="I112" s="339">
        <f t="shared" si="38"/>
        <v>11.5</v>
      </c>
      <c r="J112" s="431">
        <f t="shared" si="39"/>
        <v>2414.31</v>
      </c>
      <c r="K112" s="537">
        <f t="shared" si="35"/>
        <v>1902.06</v>
      </c>
      <c r="L112" s="538">
        <f t="shared" si="36"/>
        <v>512.25</v>
      </c>
      <c r="M112" s="519"/>
      <c r="N112" s="519"/>
      <c r="O112" s="519"/>
      <c r="P112" s="519"/>
      <c r="Q112" s="519"/>
      <c r="R112" s="519"/>
      <c r="S112" s="519"/>
      <c r="T112" s="519">
        <f t="shared" si="40"/>
        <v>482.86200000000002</v>
      </c>
      <c r="U112" s="519">
        <f t="shared" si="41"/>
        <v>482.86200000000002</v>
      </c>
      <c r="V112" s="519">
        <f t="shared" si="42"/>
        <v>724.29300000000001</v>
      </c>
      <c r="W112" s="519">
        <f t="shared" si="43"/>
        <v>724.29300000000001</v>
      </c>
      <c r="X112" s="519"/>
      <c r="Y112" s="519"/>
      <c r="Z112" s="519"/>
    </row>
    <row r="113" spans="1:26" s="512" customFormat="1" ht="30">
      <c r="A113" s="338" t="s">
        <v>9538</v>
      </c>
      <c r="B113" s="576" t="s">
        <v>5256</v>
      </c>
      <c r="C113" s="576" t="s">
        <v>15431</v>
      </c>
      <c r="D113" s="336" t="s">
        <v>9535</v>
      </c>
      <c r="E113" s="341">
        <v>178.08</v>
      </c>
      <c r="F113" s="342" t="s">
        <v>6741</v>
      </c>
      <c r="G113" s="352">
        <v>101.85</v>
      </c>
      <c r="H113" s="339">
        <f t="shared" si="37"/>
        <v>27.43</v>
      </c>
      <c r="I113" s="339">
        <f t="shared" si="38"/>
        <v>129.28</v>
      </c>
      <c r="J113" s="431">
        <f t="shared" si="39"/>
        <v>23022.18</v>
      </c>
      <c r="K113" s="537">
        <f t="shared" si="35"/>
        <v>18137.45</v>
      </c>
      <c r="L113" s="538">
        <f t="shared" si="36"/>
        <v>4884.7299999999996</v>
      </c>
      <c r="M113" s="519"/>
      <c r="N113" s="519"/>
      <c r="O113" s="519"/>
      <c r="P113" s="519"/>
      <c r="Q113" s="519"/>
      <c r="R113" s="519"/>
      <c r="S113" s="519"/>
      <c r="T113" s="519">
        <f t="shared" si="40"/>
        <v>4604.4360000000006</v>
      </c>
      <c r="U113" s="519">
        <f t="shared" si="41"/>
        <v>4604.4360000000006</v>
      </c>
      <c r="V113" s="519">
        <f t="shared" si="42"/>
        <v>6906.6539999999995</v>
      </c>
      <c r="W113" s="519">
        <f t="shared" si="43"/>
        <v>6906.6539999999995</v>
      </c>
      <c r="X113" s="519"/>
      <c r="Y113" s="519"/>
      <c r="Z113" s="519"/>
    </row>
    <row r="114" spans="1:26" s="512" customFormat="1" ht="30">
      <c r="A114" s="338" t="s">
        <v>9539</v>
      </c>
      <c r="B114" s="576" t="s">
        <v>5256</v>
      </c>
      <c r="C114" s="576" t="s">
        <v>9534</v>
      </c>
      <c r="D114" s="336" t="s">
        <v>9533</v>
      </c>
      <c r="E114" s="341">
        <v>23</v>
      </c>
      <c r="F114" s="342" t="s">
        <v>6774</v>
      </c>
      <c r="G114" s="352">
        <v>23.59</v>
      </c>
      <c r="H114" s="339">
        <f t="shared" si="37"/>
        <v>6.35</v>
      </c>
      <c r="I114" s="339">
        <f t="shared" si="38"/>
        <v>29.939999999999998</v>
      </c>
      <c r="J114" s="431">
        <f t="shared" si="39"/>
        <v>688.62</v>
      </c>
      <c r="K114" s="537">
        <f t="shared" si="35"/>
        <v>542.57000000000005</v>
      </c>
      <c r="L114" s="538">
        <f t="shared" si="36"/>
        <v>146.05000000000001</v>
      </c>
      <c r="M114" s="519"/>
      <c r="N114" s="519"/>
      <c r="O114" s="519"/>
      <c r="P114" s="519"/>
      <c r="Q114" s="519"/>
      <c r="R114" s="519"/>
      <c r="S114" s="519"/>
      <c r="T114" s="519">
        <f t="shared" si="40"/>
        <v>137.72400000000002</v>
      </c>
      <c r="U114" s="519">
        <f t="shared" si="41"/>
        <v>137.72400000000002</v>
      </c>
      <c r="V114" s="519">
        <f t="shared" si="42"/>
        <v>206.58599999999998</v>
      </c>
      <c r="W114" s="519">
        <f t="shared" si="43"/>
        <v>206.58599999999998</v>
      </c>
      <c r="X114" s="519"/>
      <c r="Y114" s="519"/>
      <c r="Z114" s="519"/>
    </row>
    <row r="115" spans="1:26" s="512" customFormat="1" ht="30">
      <c r="A115" s="338" t="s">
        <v>9540</v>
      </c>
      <c r="B115" s="576" t="s">
        <v>5256</v>
      </c>
      <c r="C115" s="576">
        <v>73698</v>
      </c>
      <c r="D115" s="336" t="s">
        <v>9536</v>
      </c>
      <c r="E115" s="341">
        <v>3.32</v>
      </c>
      <c r="F115" s="342" t="s">
        <v>6741</v>
      </c>
      <c r="G115" s="352">
        <v>186.96</v>
      </c>
      <c r="H115" s="339">
        <f t="shared" si="37"/>
        <v>50.35</v>
      </c>
      <c r="I115" s="339">
        <f t="shared" si="38"/>
        <v>237.31</v>
      </c>
      <c r="J115" s="431">
        <f t="shared" si="39"/>
        <v>787.87</v>
      </c>
      <c r="K115" s="537">
        <f t="shared" si="35"/>
        <v>620.71</v>
      </c>
      <c r="L115" s="538">
        <f t="shared" si="36"/>
        <v>167.16</v>
      </c>
      <c r="M115" s="519"/>
      <c r="N115" s="519"/>
      <c r="O115" s="519"/>
      <c r="P115" s="519"/>
      <c r="Q115" s="519"/>
      <c r="R115" s="519"/>
      <c r="S115" s="519"/>
      <c r="T115" s="519">
        <f t="shared" si="40"/>
        <v>157.57400000000001</v>
      </c>
      <c r="U115" s="519">
        <f t="shared" si="41"/>
        <v>157.57400000000001</v>
      </c>
      <c r="V115" s="519">
        <f t="shared" si="42"/>
        <v>236.36099999999999</v>
      </c>
      <c r="W115" s="519">
        <f t="shared" si="43"/>
        <v>236.36099999999999</v>
      </c>
      <c r="X115" s="519"/>
      <c r="Y115" s="519"/>
      <c r="Z115" s="519"/>
    </row>
    <row r="116" spans="1:26" s="512" customFormat="1" ht="15">
      <c r="A116" s="700" t="s">
        <v>9458</v>
      </c>
      <c r="B116" s="700"/>
      <c r="C116" s="700"/>
      <c r="D116" s="700"/>
      <c r="E116" s="700"/>
      <c r="F116" s="700"/>
      <c r="G116" s="700"/>
      <c r="H116" s="700"/>
      <c r="I116" s="700"/>
      <c r="J116" s="432">
        <f>SUM(J86:J115)</f>
        <v>200287.67</v>
      </c>
      <c r="M116" s="542">
        <f>SUM(M86:M115)</f>
        <v>0</v>
      </c>
      <c r="N116" s="542">
        <f t="shared" ref="N116:Z116" si="44">SUM(N86:N115)</f>
        <v>0</v>
      </c>
      <c r="O116" s="542">
        <f t="shared" si="44"/>
        <v>0</v>
      </c>
      <c r="P116" s="542">
        <f t="shared" si="44"/>
        <v>0</v>
      </c>
      <c r="Q116" s="542">
        <f t="shared" si="44"/>
        <v>0</v>
      </c>
      <c r="R116" s="542">
        <f t="shared" si="44"/>
        <v>0</v>
      </c>
      <c r="S116" s="542">
        <f t="shared" si="44"/>
        <v>0</v>
      </c>
      <c r="T116" s="542">
        <f t="shared" si="44"/>
        <v>40057.534000000007</v>
      </c>
      <c r="U116" s="542">
        <f t="shared" si="44"/>
        <v>40057.534000000007</v>
      </c>
      <c r="V116" s="542">
        <f t="shared" si="44"/>
        <v>60086.300999999999</v>
      </c>
      <c r="W116" s="542">
        <f t="shared" si="44"/>
        <v>60086.300999999999</v>
      </c>
      <c r="X116" s="542">
        <f t="shared" si="44"/>
        <v>0</v>
      </c>
      <c r="Y116" s="542">
        <f t="shared" si="44"/>
        <v>0</v>
      </c>
      <c r="Z116" s="542">
        <f t="shared" si="44"/>
        <v>0</v>
      </c>
    </row>
    <row r="117" spans="1:26" s="512" customFormat="1" ht="15">
      <c r="A117" s="29"/>
      <c r="B117" s="29"/>
      <c r="C117" s="29"/>
      <c r="D117" s="29"/>
      <c r="E117" s="189"/>
      <c r="F117" s="29"/>
      <c r="G117" s="353"/>
      <c r="H117" s="28"/>
      <c r="I117" s="28"/>
      <c r="J117" s="433"/>
      <c r="M117" s="519"/>
      <c r="N117" s="519"/>
      <c r="O117" s="519"/>
      <c r="P117" s="519"/>
      <c r="Q117" s="519"/>
      <c r="R117" s="519"/>
      <c r="S117" s="519"/>
      <c r="T117" s="519"/>
      <c r="U117" s="519"/>
      <c r="V117" s="519"/>
      <c r="W117" s="519"/>
      <c r="X117" s="519"/>
      <c r="Y117" s="519"/>
      <c r="Z117" s="519"/>
    </row>
    <row r="118" spans="1:26" ht="15">
      <c r="A118" s="701" t="s">
        <v>7237</v>
      </c>
      <c r="B118" s="701"/>
      <c r="C118" s="701"/>
      <c r="D118" s="701"/>
      <c r="E118" s="701"/>
      <c r="F118" s="701"/>
      <c r="G118" s="701"/>
      <c r="H118" s="701"/>
      <c r="I118" s="701"/>
      <c r="J118" s="434">
        <f>J116+J84</f>
        <v>387697.45999999996</v>
      </c>
      <c r="M118" s="542">
        <f>M116+M84</f>
        <v>0</v>
      </c>
      <c r="N118" s="542">
        <f t="shared" ref="N118:Z118" si="45">N116+N84</f>
        <v>0</v>
      </c>
      <c r="O118" s="542">
        <f t="shared" si="45"/>
        <v>0</v>
      </c>
      <c r="P118" s="542">
        <f t="shared" si="45"/>
        <v>0</v>
      </c>
      <c r="Q118" s="542">
        <f t="shared" si="45"/>
        <v>0</v>
      </c>
      <c r="R118" s="542">
        <f t="shared" si="45"/>
        <v>0</v>
      </c>
      <c r="S118" s="542">
        <f t="shared" si="45"/>
        <v>0</v>
      </c>
      <c r="T118" s="542">
        <f t="shared" si="45"/>
        <v>77539.492000000013</v>
      </c>
      <c r="U118" s="542">
        <f t="shared" si="45"/>
        <v>77539.492000000013</v>
      </c>
      <c r="V118" s="542">
        <f t="shared" si="45"/>
        <v>116309.23800000001</v>
      </c>
      <c r="W118" s="542">
        <f t="shared" si="45"/>
        <v>116309.23800000001</v>
      </c>
      <c r="X118" s="542">
        <f t="shared" si="45"/>
        <v>0</v>
      </c>
      <c r="Y118" s="542">
        <f t="shared" si="45"/>
        <v>0</v>
      </c>
      <c r="Z118" s="542">
        <f t="shared" si="45"/>
        <v>0</v>
      </c>
    </row>
    <row r="119" spans="1:26" s="512" customFormat="1" ht="15">
      <c r="A119" s="338"/>
      <c r="B119" s="576"/>
      <c r="C119" s="576"/>
      <c r="D119" s="336"/>
      <c r="E119" s="341"/>
      <c r="F119" s="342"/>
      <c r="G119" s="354"/>
      <c r="H119" s="11"/>
      <c r="I119" s="11"/>
      <c r="J119" s="435"/>
      <c r="M119" s="569">
        <f>M118/$J118</f>
        <v>0</v>
      </c>
      <c r="N119" s="569">
        <f t="shared" ref="N119:Z119" si="46">N118/$J118</f>
        <v>0</v>
      </c>
      <c r="O119" s="569">
        <f t="shared" si="46"/>
        <v>0</v>
      </c>
      <c r="P119" s="569">
        <f t="shared" si="46"/>
        <v>0</v>
      </c>
      <c r="Q119" s="569">
        <f t="shared" si="46"/>
        <v>0</v>
      </c>
      <c r="R119" s="569">
        <f t="shared" si="46"/>
        <v>0</v>
      </c>
      <c r="S119" s="569">
        <f t="shared" si="46"/>
        <v>0</v>
      </c>
      <c r="T119" s="569">
        <f t="shared" si="46"/>
        <v>0.20000000000000004</v>
      </c>
      <c r="U119" s="569">
        <f t="shared" si="46"/>
        <v>0.20000000000000004</v>
      </c>
      <c r="V119" s="569">
        <f t="shared" si="46"/>
        <v>0.30000000000000004</v>
      </c>
      <c r="W119" s="569">
        <f t="shared" si="46"/>
        <v>0.30000000000000004</v>
      </c>
      <c r="X119" s="569">
        <f t="shared" si="46"/>
        <v>0</v>
      </c>
      <c r="Y119" s="569">
        <f t="shared" si="46"/>
        <v>0</v>
      </c>
      <c r="Z119" s="569">
        <f t="shared" si="46"/>
        <v>0</v>
      </c>
    </row>
    <row r="120" spans="1:26" ht="15">
      <c r="A120" s="457" t="s">
        <v>5</v>
      </c>
      <c r="B120" s="696" t="s">
        <v>5806</v>
      </c>
      <c r="C120" s="697"/>
      <c r="D120" s="697"/>
      <c r="E120" s="697"/>
      <c r="F120" s="697"/>
      <c r="G120" s="697"/>
      <c r="H120" s="697"/>
      <c r="I120" s="697"/>
      <c r="J120" s="697"/>
    </row>
    <row r="121" spans="1:26" s="512" customFormat="1" ht="15">
      <c r="A121" s="573" t="s">
        <v>0</v>
      </c>
      <c r="B121" s="692" t="s">
        <v>5250</v>
      </c>
      <c r="C121" s="693"/>
      <c r="D121" s="23" t="s">
        <v>1</v>
      </c>
      <c r="E121" s="193" t="s">
        <v>134</v>
      </c>
      <c r="F121" s="24" t="s">
        <v>11</v>
      </c>
      <c r="G121" s="351" t="s">
        <v>12</v>
      </c>
      <c r="H121" s="182" t="s">
        <v>6735</v>
      </c>
      <c r="I121" s="182" t="s">
        <v>6736</v>
      </c>
      <c r="J121" s="430" t="s">
        <v>133</v>
      </c>
      <c r="M121" s="519"/>
      <c r="N121" s="519"/>
      <c r="O121" s="519"/>
      <c r="P121" s="519"/>
      <c r="Q121" s="519"/>
      <c r="R121" s="519"/>
      <c r="S121" s="519"/>
      <c r="T121" s="519"/>
      <c r="U121" s="519"/>
      <c r="V121" s="519"/>
      <c r="W121" s="519"/>
      <c r="X121" s="519"/>
      <c r="Y121" s="519"/>
      <c r="Z121" s="519"/>
    </row>
    <row r="122" spans="1:26" s="512" customFormat="1" ht="15">
      <c r="A122" s="197" t="s">
        <v>5807</v>
      </c>
      <c r="B122" s="699" t="s">
        <v>5949</v>
      </c>
      <c r="C122" s="699"/>
      <c r="D122" s="699"/>
      <c r="E122" s="699"/>
      <c r="F122" s="699"/>
      <c r="G122" s="699"/>
      <c r="H122" s="699"/>
      <c r="I122" s="699"/>
      <c r="J122" s="699"/>
      <c r="M122" s="519"/>
      <c r="N122" s="519"/>
      <c r="O122" s="519"/>
      <c r="P122" s="519"/>
      <c r="Q122" s="519"/>
      <c r="R122" s="519"/>
      <c r="S122" s="519"/>
      <c r="T122" s="519"/>
      <c r="U122" s="519"/>
      <c r="V122" s="519"/>
      <c r="W122" s="519"/>
      <c r="X122" s="519"/>
      <c r="Y122" s="519"/>
      <c r="Z122" s="519"/>
    </row>
    <row r="123" spans="1:26" s="512" customFormat="1" ht="15">
      <c r="A123" s="337" t="s">
        <v>7238</v>
      </c>
      <c r="B123" s="698" t="s">
        <v>7239</v>
      </c>
      <c r="C123" s="698"/>
      <c r="D123" s="698"/>
      <c r="E123" s="698"/>
      <c r="F123" s="698"/>
      <c r="G123" s="698"/>
      <c r="H123" s="698"/>
      <c r="I123" s="698"/>
      <c r="J123" s="698"/>
      <c r="M123" s="519"/>
      <c r="N123" s="519"/>
      <c r="O123" s="519"/>
      <c r="P123" s="519"/>
      <c r="Q123" s="519"/>
      <c r="R123" s="519"/>
      <c r="S123" s="519"/>
      <c r="T123" s="519"/>
      <c r="U123" s="519"/>
      <c r="V123" s="519"/>
      <c r="W123" s="519"/>
      <c r="X123" s="519"/>
      <c r="Y123" s="519"/>
      <c r="Z123" s="519"/>
    </row>
    <row r="124" spans="1:26" s="512" customFormat="1" ht="45">
      <c r="A124" s="338" t="s">
        <v>8321</v>
      </c>
      <c r="B124" s="576" t="s">
        <v>6333</v>
      </c>
      <c r="C124" s="576" t="s">
        <v>8313</v>
      </c>
      <c r="D124" s="336" t="s">
        <v>8305</v>
      </c>
      <c r="E124" s="341">
        <v>1</v>
      </c>
      <c r="F124" s="342" t="s">
        <v>6337</v>
      </c>
      <c r="G124" s="352">
        <v>540.23</v>
      </c>
      <c r="H124" s="339">
        <f t="shared" ref="H124:H132" si="47">ROUND(G124*$B$13,2)</f>
        <v>145.47999999999999</v>
      </c>
      <c r="I124" s="339">
        <f t="shared" ref="I124:I132" si="48">H124+G124</f>
        <v>685.71</v>
      </c>
      <c r="J124" s="431">
        <f t="shared" ref="J124:J132" si="49">ROUND(I124*E124,2)</f>
        <v>685.71</v>
      </c>
      <c r="K124" s="537">
        <f t="shared" ref="K124:K138" si="50">ROUND(G124*E124,2)</f>
        <v>540.23</v>
      </c>
      <c r="L124" s="538">
        <f t="shared" ref="L124:L138" si="51">ROUND(H124*E124,2)</f>
        <v>145.47999999999999</v>
      </c>
      <c r="M124" s="519"/>
      <c r="N124" s="519"/>
      <c r="O124" s="519"/>
      <c r="P124" s="519"/>
      <c r="Q124" s="519"/>
      <c r="R124" s="519"/>
      <c r="S124" s="519"/>
      <c r="T124" s="519"/>
      <c r="U124" s="519">
        <f>0.2*J124</f>
        <v>137.14200000000002</v>
      </c>
      <c r="V124" s="519">
        <f>0.3*J124</f>
        <v>205.71299999999999</v>
      </c>
      <c r="W124" s="519">
        <f>0.5*J124</f>
        <v>342.85500000000002</v>
      </c>
      <c r="X124" s="519"/>
      <c r="Y124" s="519"/>
      <c r="Z124" s="519"/>
    </row>
    <row r="125" spans="1:26" s="512" customFormat="1" ht="15">
      <c r="A125" s="338" t="s">
        <v>8330</v>
      </c>
      <c r="B125" s="576" t="s">
        <v>5256</v>
      </c>
      <c r="C125" s="576">
        <v>91846</v>
      </c>
      <c r="D125" s="336" t="s">
        <v>9236</v>
      </c>
      <c r="E125" s="341">
        <f>202.24+12*7</f>
        <v>286.24</v>
      </c>
      <c r="F125" s="342" t="s">
        <v>6774</v>
      </c>
      <c r="G125" s="352">
        <v>5.27</v>
      </c>
      <c r="H125" s="339">
        <f t="shared" si="47"/>
        <v>1.42</v>
      </c>
      <c r="I125" s="339">
        <f t="shared" si="48"/>
        <v>6.6899999999999995</v>
      </c>
      <c r="J125" s="431">
        <f t="shared" si="49"/>
        <v>1914.95</v>
      </c>
      <c r="K125" s="537">
        <f t="shared" si="50"/>
        <v>1508.48</v>
      </c>
      <c r="L125" s="538">
        <f t="shared" si="51"/>
        <v>406.46</v>
      </c>
      <c r="M125" s="519"/>
      <c r="N125" s="519"/>
      <c r="O125" s="519"/>
      <c r="P125" s="519"/>
      <c r="Q125" s="519"/>
      <c r="R125" s="519"/>
      <c r="S125" s="519"/>
      <c r="T125" s="519"/>
      <c r="U125" s="519">
        <f t="shared" ref="U125:U132" si="52">0.2*J125</f>
        <v>382.99</v>
      </c>
      <c r="V125" s="519">
        <f t="shared" ref="V125:V132" si="53">0.3*J125</f>
        <v>574.48500000000001</v>
      </c>
      <c r="W125" s="519">
        <f t="shared" ref="W125:W132" si="54">0.5*J125</f>
        <v>957.47500000000002</v>
      </c>
      <c r="X125" s="519"/>
      <c r="Y125" s="519"/>
      <c r="Z125" s="519"/>
    </row>
    <row r="126" spans="1:26" s="512" customFormat="1" ht="15">
      <c r="A126" s="338" t="s">
        <v>8469</v>
      </c>
      <c r="B126" s="576" t="s">
        <v>5256</v>
      </c>
      <c r="C126" s="576">
        <v>91885</v>
      </c>
      <c r="D126" s="336" t="s">
        <v>8461</v>
      </c>
      <c r="E126" s="341">
        <v>58</v>
      </c>
      <c r="F126" s="342" t="s">
        <v>6337</v>
      </c>
      <c r="G126" s="352">
        <v>6</v>
      </c>
      <c r="H126" s="339">
        <f t="shared" si="47"/>
        <v>1.62</v>
      </c>
      <c r="I126" s="339">
        <f t="shared" si="48"/>
        <v>7.62</v>
      </c>
      <c r="J126" s="431">
        <f t="shared" si="49"/>
        <v>441.96</v>
      </c>
      <c r="K126" s="537">
        <f t="shared" si="50"/>
        <v>348</v>
      </c>
      <c r="L126" s="538">
        <f t="shared" si="51"/>
        <v>93.96</v>
      </c>
      <c r="M126" s="519"/>
      <c r="N126" s="519"/>
      <c r="O126" s="519"/>
      <c r="P126" s="519"/>
      <c r="Q126" s="519"/>
      <c r="R126" s="519"/>
      <c r="S126" s="519"/>
      <c r="T126" s="519"/>
      <c r="U126" s="519">
        <f t="shared" si="52"/>
        <v>88.391999999999996</v>
      </c>
      <c r="V126" s="519">
        <f t="shared" si="53"/>
        <v>132.58799999999999</v>
      </c>
      <c r="W126" s="519">
        <f t="shared" si="54"/>
        <v>220.98</v>
      </c>
      <c r="X126" s="519"/>
      <c r="Y126" s="519"/>
      <c r="Z126" s="519"/>
    </row>
    <row r="127" spans="1:26" s="512" customFormat="1" ht="30">
      <c r="A127" s="338" t="s">
        <v>9247</v>
      </c>
      <c r="B127" s="576" t="s">
        <v>5256</v>
      </c>
      <c r="C127" s="576">
        <v>91846</v>
      </c>
      <c r="D127" s="336" t="s">
        <v>9246</v>
      </c>
      <c r="E127" s="341">
        <f>12*7</f>
        <v>84</v>
      </c>
      <c r="F127" s="342" t="s">
        <v>6774</v>
      </c>
      <c r="G127" s="352">
        <v>5.27</v>
      </c>
      <c r="H127" s="339">
        <f t="shared" si="47"/>
        <v>1.42</v>
      </c>
      <c r="I127" s="339">
        <f t="shared" si="48"/>
        <v>6.6899999999999995</v>
      </c>
      <c r="J127" s="431">
        <f t="shared" si="49"/>
        <v>561.96</v>
      </c>
      <c r="K127" s="537">
        <f t="shared" si="50"/>
        <v>442.68</v>
      </c>
      <c r="L127" s="538">
        <f t="shared" si="51"/>
        <v>119.28</v>
      </c>
      <c r="M127" s="519"/>
      <c r="N127" s="519"/>
      <c r="O127" s="519"/>
      <c r="P127" s="519"/>
      <c r="Q127" s="519"/>
      <c r="R127" s="519"/>
      <c r="S127" s="519"/>
      <c r="T127" s="519"/>
      <c r="U127" s="519">
        <f t="shared" si="52"/>
        <v>112.39200000000001</v>
      </c>
      <c r="V127" s="519">
        <f t="shared" si="53"/>
        <v>168.58799999999999</v>
      </c>
      <c r="W127" s="519">
        <f t="shared" si="54"/>
        <v>280.98</v>
      </c>
      <c r="X127" s="519"/>
      <c r="Y127" s="519"/>
      <c r="Z127" s="519"/>
    </row>
    <row r="128" spans="1:26" s="512" customFormat="1" ht="30">
      <c r="A128" s="338" t="s">
        <v>8335</v>
      </c>
      <c r="B128" s="576" t="s">
        <v>6753</v>
      </c>
      <c r="C128" s="576" t="s">
        <v>15515</v>
      </c>
      <c r="D128" s="336" t="s">
        <v>15509</v>
      </c>
      <c r="E128" s="341">
        <v>1124.3800000000001</v>
      </c>
      <c r="F128" s="342" t="s">
        <v>6774</v>
      </c>
      <c r="G128" s="352">
        <v>2.9800000000000004</v>
      </c>
      <c r="H128" s="339">
        <f t="shared" si="47"/>
        <v>0.8</v>
      </c>
      <c r="I128" s="339">
        <f t="shared" si="48"/>
        <v>3.7800000000000002</v>
      </c>
      <c r="J128" s="431">
        <f t="shared" si="49"/>
        <v>4250.16</v>
      </c>
      <c r="K128" s="537">
        <f t="shared" si="50"/>
        <v>3350.65</v>
      </c>
      <c r="L128" s="538">
        <f t="shared" si="51"/>
        <v>899.5</v>
      </c>
      <c r="M128" s="519"/>
      <c r="N128" s="519"/>
      <c r="O128" s="519"/>
      <c r="P128" s="519"/>
      <c r="Q128" s="519"/>
      <c r="R128" s="519"/>
      <c r="S128" s="519"/>
      <c r="T128" s="519"/>
      <c r="U128" s="519">
        <f t="shared" si="52"/>
        <v>850.03200000000004</v>
      </c>
      <c r="V128" s="519">
        <f t="shared" si="53"/>
        <v>1275.048</v>
      </c>
      <c r="W128" s="519">
        <f t="shared" si="54"/>
        <v>2125.08</v>
      </c>
      <c r="X128" s="519"/>
      <c r="Y128" s="519"/>
      <c r="Z128" s="519"/>
    </row>
    <row r="129" spans="1:26" s="512" customFormat="1" ht="30">
      <c r="A129" s="338" t="s">
        <v>9233</v>
      </c>
      <c r="B129" s="576" t="s">
        <v>6333</v>
      </c>
      <c r="C129" s="576" t="s">
        <v>9235</v>
      </c>
      <c r="D129" s="336" t="s">
        <v>9234</v>
      </c>
      <c r="E129" s="341">
        <v>13</v>
      </c>
      <c r="F129" s="342" t="s">
        <v>6337</v>
      </c>
      <c r="G129" s="352">
        <v>279.88</v>
      </c>
      <c r="H129" s="339">
        <f t="shared" si="47"/>
        <v>75.37</v>
      </c>
      <c r="I129" s="339">
        <f t="shared" si="48"/>
        <v>355.25</v>
      </c>
      <c r="J129" s="431">
        <f t="shared" si="49"/>
        <v>4618.25</v>
      </c>
      <c r="K129" s="537">
        <f t="shared" si="50"/>
        <v>3638.44</v>
      </c>
      <c r="L129" s="538">
        <f t="shared" si="51"/>
        <v>979.81</v>
      </c>
      <c r="M129" s="519"/>
      <c r="N129" s="519"/>
      <c r="O129" s="519"/>
      <c r="P129" s="519"/>
      <c r="Q129" s="519"/>
      <c r="R129" s="519"/>
      <c r="S129" s="519"/>
      <c r="T129" s="519"/>
      <c r="U129" s="519">
        <f t="shared" si="52"/>
        <v>923.65000000000009</v>
      </c>
      <c r="V129" s="519">
        <f t="shared" si="53"/>
        <v>1385.4749999999999</v>
      </c>
      <c r="W129" s="519">
        <f t="shared" si="54"/>
        <v>2309.125</v>
      </c>
      <c r="X129" s="519"/>
      <c r="Y129" s="519"/>
      <c r="Z129" s="519"/>
    </row>
    <row r="130" spans="1:26" s="512" customFormat="1" ht="15">
      <c r="A130" s="338" t="s">
        <v>8349</v>
      </c>
      <c r="B130" s="576" t="s">
        <v>5256</v>
      </c>
      <c r="C130" s="576">
        <v>91937</v>
      </c>
      <c r="D130" s="336" t="s">
        <v>9232</v>
      </c>
      <c r="E130" s="341">
        <v>13</v>
      </c>
      <c r="F130" s="342" t="s">
        <v>6337</v>
      </c>
      <c r="G130" s="352">
        <v>6.25</v>
      </c>
      <c r="H130" s="339">
        <f t="shared" si="47"/>
        <v>1.68</v>
      </c>
      <c r="I130" s="339">
        <f t="shared" si="48"/>
        <v>7.93</v>
      </c>
      <c r="J130" s="431">
        <f t="shared" si="49"/>
        <v>103.09</v>
      </c>
      <c r="K130" s="537">
        <f t="shared" si="50"/>
        <v>81.25</v>
      </c>
      <c r="L130" s="538">
        <f t="shared" si="51"/>
        <v>21.84</v>
      </c>
      <c r="M130" s="519"/>
      <c r="N130" s="519"/>
      <c r="O130" s="519"/>
      <c r="P130" s="519"/>
      <c r="Q130" s="519"/>
      <c r="R130" s="519"/>
      <c r="S130" s="519"/>
      <c r="T130" s="519"/>
      <c r="U130" s="519">
        <f t="shared" si="52"/>
        <v>20.618000000000002</v>
      </c>
      <c r="V130" s="519">
        <f t="shared" si="53"/>
        <v>30.927</v>
      </c>
      <c r="W130" s="519">
        <f t="shared" si="54"/>
        <v>51.545000000000002</v>
      </c>
      <c r="X130" s="519"/>
      <c r="Y130" s="519"/>
      <c r="Z130" s="519"/>
    </row>
    <row r="131" spans="1:26" s="512" customFormat="1" ht="30">
      <c r="A131" s="338" t="s">
        <v>8353</v>
      </c>
      <c r="B131" s="576" t="s">
        <v>5256</v>
      </c>
      <c r="C131" s="576">
        <v>93669</v>
      </c>
      <c r="D131" s="336" t="s">
        <v>15557</v>
      </c>
      <c r="E131" s="341">
        <v>2</v>
      </c>
      <c r="F131" s="342" t="s">
        <v>6337</v>
      </c>
      <c r="G131" s="352">
        <v>54.39</v>
      </c>
      <c r="H131" s="339">
        <f t="shared" si="47"/>
        <v>14.65</v>
      </c>
      <c r="I131" s="339">
        <f t="shared" si="48"/>
        <v>69.040000000000006</v>
      </c>
      <c r="J131" s="431">
        <f t="shared" si="49"/>
        <v>138.08000000000001</v>
      </c>
      <c r="K131" s="537">
        <f t="shared" si="50"/>
        <v>108.78</v>
      </c>
      <c r="L131" s="538">
        <f t="shared" si="51"/>
        <v>29.3</v>
      </c>
      <c r="M131" s="519"/>
      <c r="N131" s="519"/>
      <c r="O131" s="519"/>
      <c r="P131" s="519"/>
      <c r="Q131" s="519"/>
      <c r="R131" s="519"/>
      <c r="S131" s="519"/>
      <c r="T131" s="519"/>
      <c r="U131" s="519">
        <f t="shared" si="52"/>
        <v>27.616000000000003</v>
      </c>
      <c r="V131" s="519">
        <f t="shared" si="53"/>
        <v>41.423999999999999</v>
      </c>
      <c r="W131" s="519">
        <f t="shared" si="54"/>
        <v>69.040000000000006</v>
      </c>
      <c r="X131" s="519"/>
      <c r="Y131" s="519"/>
      <c r="Z131" s="519"/>
    </row>
    <row r="132" spans="1:26" s="512" customFormat="1" ht="30">
      <c r="A132" s="338" t="s">
        <v>8354</v>
      </c>
      <c r="B132" s="576" t="s">
        <v>5256</v>
      </c>
      <c r="C132" s="576">
        <v>93655</v>
      </c>
      <c r="D132" s="336" t="s">
        <v>7266</v>
      </c>
      <c r="E132" s="341">
        <v>3</v>
      </c>
      <c r="F132" s="342" t="s">
        <v>6337</v>
      </c>
      <c r="G132" s="352">
        <v>9.14</v>
      </c>
      <c r="H132" s="339">
        <f t="shared" si="47"/>
        <v>2.46</v>
      </c>
      <c r="I132" s="339">
        <f t="shared" si="48"/>
        <v>11.600000000000001</v>
      </c>
      <c r="J132" s="431">
        <f t="shared" si="49"/>
        <v>34.799999999999997</v>
      </c>
      <c r="K132" s="537">
        <f t="shared" si="50"/>
        <v>27.42</v>
      </c>
      <c r="L132" s="538">
        <f t="shared" si="51"/>
        <v>7.38</v>
      </c>
      <c r="M132" s="519"/>
      <c r="N132" s="519"/>
      <c r="O132" s="519"/>
      <c r="P132" s="519"/>
      <c r="Q132" s="519"/>
      <c r="R132" s="519"/>
      <c r="S132" s="519"/>
      <c r="T132" s="519"/>
      <c r="U132" s="519">
        <f t="shared" si="52"/>
        <v>6.96</v>
      </c>
      <c r="V132" s="519">
        <f t="shared" si="53"/>
        <v>10.44</v>
      </c>
      <c r="W132" s="519">
        <f t="shared" si="54"/>
        <v>17.399999999999999</v>
      </c>
      <c r="X132" s="519"/>
      <c r="Y132" s="519"/>
      <c r="Z132" s="519"/>
    </row>
    <row r="133" spans="1:26" s="512" customFormat="1" ht="15">
      <c r="A133" s="337" t="s">
        <v>7292</v>
      </c>
      <c r="B133" s="698" t="s">
        <v>7293</v>
      </c>
      <c r="C133" s="698"/>
      <c r="D133" s="698"/>
      <c r="E133" s="698"/>
      <c r="F133" s="698"/>
      <c r="G133" s="698"/>
      <c r="H133" s="698"/>
      <c r="I133" s="698"/>
      <c r="J133" s="698"/>
      <c r="K133" s="537">
        <f t="shared" si="50"/>
        <v>0</v>
      </c>
      <c r="L133" s="538">
        <f t="shared" si="51"/>
        <v>0</v>
      </c>
      <c r="M133" s="519"/>
      <c r="N133" s="519"/>
      <c r="O133" s="519"/>
      <c r="P133" s="519"/>
      <c r="Q133" s="519"/>
      <c r="R133" s="519"/>
      <c r="S133" s="519"/>
      <c r="T133" s="519"/>
      <c r="U133" s="519"/>
      <c r="V133" s="519"/>
      <c r="W133" s="519"/>
      <c r="X133" s="519"/>
      <c r="Y133" s="519"/>
      <c r="Z133" s="519"/>
    </row>
    <row r="134" spans="1:26" s="512" customFormat="1" ht="30">
      <c r="A134" s="338" t="s">
        <v>9237</v>
      </c>
      <c r="B134" s="576" t="s">
        <v>5256</v>
      </c>
      <c r="C134" s="576">
        <v>83475</v>
      </c>
      <c r="D134" s="336" t="s">
        <v>9453</v>
      </c>
      <c r="E134" s="341">
        <v>13</v>
      </c>
      <c r="F134" s="342" t="s">
        <v>6337</v>
      </c>
      <c r="G134" s="352">
        <v>301.17</v>
      </c>
      <c r="H134" s="339">
        <f>ROUND(G134*$B$13,2)</f>
        <v>81.11</v>
      </c>
      <c r="I134" s="339">
        <f>H134+G134</f>
        <v>382.28000000000003</v>
      </c>
      <c r="J134" s="431">
        <f>ROUND(I134*E134,2)</f>
        <v>4969.6400000000003</v>
      </c>
      <c r="K134" s="537">
        <f t="shared" si="50"/>
        <v>3915.21</v>
      </c>
      <c r="L134" s="538">
        <f t="shared" si="51"/>
        <v>1054.43</v>
      </c>
      <c r="M134" s="519"/>
      <c r="N134" s="519"/>
      <c r="O134" s="519"/>
      <c r="P134" s="519"/>
      <c r="Q134" s="519"/>
      <c r="R134" s="519"/>
      <c r="S134" s="519"/>
      <c r="T134" s="519"/>
      <c r="U134" s="519">
        <f t="shared" ref="U134:U136" si="55">0.2*J134</f>
        <v>993.92800000000011</v>
      </c>
      <c r="V134" s="519">
        <f t="shared" ref="V134:V136" si="56">0.3*J134</f>
        <v>1490.8920000000001</v>
      </c>
      <c r="W134" s="519">
        <f t="shared" ref="W134:W136" si="57">0.5*J134</f>
        <v>2484.8200000000002</v>
      </c>
      <c r="X134" s="519"/>
      <c r="Y134" s="519"/>
      <c r="Z134" s="519"/>
    </row>
    <row r="135" spans="1:26" s="512" customFormat="1" ht="30">
      <c r="A135" s="338" t="s">
        <v>7310</v>
      </c>
      <c r="B135" s="576" t="s">
        <v>5256</v>
      </c>
      <c r="C135" s="576">
        <v>83399</v>
      </c>
      <c r="D135" s="336" t="s">
        <v>9241</v>
      </c>
      <c r="E135" s="341">
        <v>13</v>
      </c>
      <c r="F135" s="342" t="s">
        <v>6337</v>
      </c>
      <c r="G135" s="352">
        <v>23.54</v>
      </c>
      <c r="H135" s="339">
        <f>ROUND(G135*$B$13,2)</f>
        <v>6.34</v>
      </c>
      <c r="I135" s="339">
        <f>H135+G135</f>
        <v>29.88</v>
      </c>
      <c r="J135" s="431">
        <f>ROUND(I135*E135,2)</f>
        <v>388.44</v>
      </c>
      <c r="K135" s="537">
        <f t="shared" si="50"/>
        <v>306.02</v>
      </c>
      <c r="L135" s="538">
        <f t="shared" si="51"/>
        <v>82.42</v>
      </c>
      <c r="M135" s="519"/>
      <c r="N135" s="519"/>
      <c r="O135" s="519"/>
      <c r="P135" s="519"/>
      <c r="Q135" s="519"/>
      <c r="R135" s="519"/>
      <c r="S135" s="519"/>
      <c r="T135" s="519"/>
      <c r="U135" s="519">
        <f t="shared" si="55"/>
        <v>77.688000000000002</v>
      </c>
      <c r="V135" s="519">
        <f t="shared" si="56"/>
        <v>116.532</v>
      </c>
      <c r="W135" s="519">
        <f t="shared" si="57"/>
        <v>194.22</v>
      </c>
      <c r="X135" s="519"/>
      <c r="Y135" s="519"/>
      <c r="Z135" s="519"/>
    </row>
    <row r="136" spans="1:26" s="512" customFormat="1" ht="30">
      <c r="A136" s="338" t="s">
        <v>9238</v>
      </c>
      <c r="B136" s="576" t="s">
        <v>5256</v>
      </c>
      <c r="C136" s="576" t="s">
        <v>9240</v>
      </c>
      <c r="D136" s="336" t="s">
        <v>9239</v>
      </c>
      <c r="E136" s="341">
        <v>13</v>
      </c>
      <c r="F136" s="342" t="s">
        <v>6337</v>
      </c>
      <c r="G136" s="352">
        <v>738.90000000000009</v>
      </c>
      <c r="H136" s="339">
        <f>ROUND(G136*$B$13,2)</f>
        <v>198.99</v>
      </c>
      <c r="I136" s="339">
        <f>H136+G136</f>
        <v>937.8900000000001</v>
      </c>
      <c r="J136" s="431">
        <f>ROUND(I136*E136,2)</f>
        <v>12192.57</v>
      </c>
      <c r="K136" s="537">
        <f t="shared" si="50"/>
        <v>9605.7000000000007</v>
      </c>
      <c r="L136" s="538">
        <f t="shared" si="51"/>
        <v>2586.87</v>
      </c>
      <c r="M136" s="519"/>
      <c r="N136" s="519"/>
      <c r="O136" s="519"/>
      <c r="P136" s="519"/>
      <c r="Q136" s="519"/>
      <c r="R136" s="519"/>
      <c r="S136" s="519"/>
      <c r="T136" s="519"/>
      <c r="U136" s="519">
        <f t="shared" si="55"/>
        <v>2438.5140000000001</v>
      </c>
      <c r="V136" s="519">
        <f t="shared" si="56"/>
        <v>3657.7709999999997</v>
      </c>
      <c r="W136" s="519">
        <f t="shared" si="57"/>
        <v>6096.2849999999999</v>
      </c>
      <c r="X136" s="519"/>
      <c r="Y136" s="519"/>
      <c r="Z136" s="519"/>
    </row>
    <row r="137" spans="1:26" s="512" customFormat="1" ht="15">
      <c r="A137" s="337" t="s">
        <v>7343</v>
      </c>
      <c r="B137" s="698" t="s">
        <v>7344</v>
      </c>
      <c r="C137" s="698"/>
      <c r="D137" s="698"/>
      <c r="E137" s="698"/>
      <c r="F137" s="698"/>
      <c r="G137" s="698"/>
      <c r="H137" s="698"/>
      <c r="I137" s="698"/>
      <c r="J137" s="698"/>
      <c r="K137" s="537">
        <f t="shared" si="50"/>
        <v>0</v>
      </c>
      <c r="L137" s="538">
        <f t="shared" si="51"/>
        <v>0</v>
      </c>
      <c r="M137" s="519"/>
      <c r="N137" s="519"/>
      <c r="O137" s="519"/>
      <c r="P137" s="519"/>
      <c r="Q137" s="519"/>
      <c r="R137" s="519"/>
      <c r="S137" s="519"/>
      <c r="T137" s="519"/>
      <c r="U137" s="519"/>
      <c r="V137" s="519"/>
      <c r="W137" s="519"/>
      <c r="X137" s="519"/>
      <c r="Y137" s="519"/>
      <c r="Z137" s="519"/>
    </row>
    <row r="138" spans="1:26" s="512" customFormat="1" ht="30">
      <c r="A138" s="338" t="s">
        <v>7353</v>
      </c>
      <c r="B138" s="576" t="s">
        <v>5256</v>
      </c>
      <c r="C138" s="576" t="s">
        <v>9242</v>
      </c>
      <c r="D138" s="336" t="s">
        <v>9243</v>
      </c>
      <c r="E138" s="341">
        <v>13</v>
      </c>
      <c r="F138" s="342" t="s">
        <v>6337</v>
      </c>
      <c r="G138" s="352">
        <v>47.6</v>
      </c>
      <c r="H138" s="339">
        <f>ROUND(G138*$B$13,2)</f>
        <v>12.82</v>
      </c>
      <c r="I138" s="339">
        <f>H138+G138</f>
        <v>60.42</v>
      </c>
      <c r="J138" s="431">
        <f>ROUND(I138*E138,2)</f>
        <v>785.46</v>
      </c>
      <c r="K138" s="537">
        <f t="shared" si="50"/>
        <v>618.79999999999995</v>
      </c>
      <c r="L138" s="538">
        <f t="shared" si="51"/>
        <v>166.66</v>
      </c>
      <c r="M138" s="519"/>
      <c r="N138" s="519"/>
      <c r="O138" s="519"/>
      <c r="P138" s="519"/>
      <c r="Q138" s="519"/>
      <c r="R138" s="519"/>
      <c r="S138" s="519"/>
      <c r="T138" s="519"/>
      <c r="U138" s="519">
        <f t="shared" ref="U138" si="58">0.2*J138</f>
        <v>157.09200000000001</v>
      </c>
      <c r="V138" s="519">
        <f t="shared" ref="V138" si="59">0.3*J138</f>
        <v>235.63800000000001</v>
      </c>
      <c r="W138" s="519">
        <f t="shared" ref="W138" si="60">0.5*J138</f>
        <v>392.73</v>
      </c>
      <c r="X138" s="519"/>
      <c r="Y138" s="519"/>
      <c r="Z138" s="519"/>
    </row>
    <row r="139" spans="1:26" s="512" customFormat="1" ht="15">
      <c r="A139" s="700" t="s">
        <v>7360</v>
      </c>
      <c r="B139" s="700"/>
      <c r="C139" s="700"/>
      <c r="D139" s="700"/>
      <c r="E139" s="700"/>
      <c r="F139" s="700"/>
      <c r="G139" s="700"/>
      <c r="H139" s="700"/>
      <c r="I139" s="700"/>
      <c r="J139" s="432">
        <f>SUM(J121:J138)</f>
        <v>31085.069999999996</v>
      </c>
      <c r="M139" s="542">
        <f t="shared" ref="M139:Z139" si="61">SUM(M121:M138)</f>
        <v>0</v>
      </c>
      <c r="N139" s="542">
        <f t="shared" si="61"/>
        <v>0</v>
      </c>
      <c r="O139" s="542">
        <f t="shared" si="61"/>
        <v>0</v>
      </c>
      <c r="P139" s="542">
        <f t="shared" si="61"/>
        <v>0</v>
      </c>
      <c r="Q139" s="542">
        <f t="shared" si="61"/>
        <v>0</v>
      </c>
      <c r="R139" s="542">
        <f t="shared" si="61"/>
        <v>0</v>
      </c>
      <c r="S139" s="542">
        <f t="shared" si="61"/>
        <v>0</v>
      </c>
      <c r="T139" s="542">
        <f t="shared" si="61"/>
        <v>0</v>
      </c>
      <c r="U139" s="542">
        <f t="shared" si="61"/>
        <v>6217.0140000000001</v>
      </c>
      <c r="V139" s="542">
        <f t="shared" si="61"/>
        <v>9325.5210000000006</v>
      </c>
      <c r="W139" s="542">
        <f t="shared" si="61"/>
        <v>15542.534999999998</v>
      </c>
      <c r="X139" s="542">
        <f t="shared" si="61"/>
        <v>0</v>
      </c>
      <c r="Y139" s="542">
        <f t="shared" si="61"/>
        <v>0</v>
      </c>
      <c r="Z139" s="542">
        <f t="shared" si="61"/>
        <v>0</v>
      </c>
    </row>
    <row r="140" spans="1:26" s="512" customFormat="1" ht="15">
      <c r="A140" s="29"/>
      <c r="B140" s="29"/>
      <c r="C140" s="29"/>
      <c r="D140" s="29"/>
      <c r="E140" s="189"/>
      <c r="F140" s="29"/>
      <c r="G140" s="353"/>
      <c r="H140" s="28"/>
      <c r="I140" s="28"/>
      <c r="J140" s="433"/>
      <c r="M140" s="519"/>
      <c r="N140" s="519"/>
      <c r="O140" s="519"/>
      <c r="P140" s="519"/>
      <c r="Q140" s="519"/>
      <c r="R140" s="519"/>
      <c r="S140" s="519"/>
      <c r="T140" s="519"/>
      <c r="U140" s="519"/>
      <c r="V140" s="519"/>
      <c r="W140" s="519"/>
      <c r="X140" s="519"/>
      <c r="Y140" s="519"/>
      <c r="Z140" s="519"/>
    </row>
    <row r="141" spans="1:26" s="512" customFormat="1" ht="15">
      <c r="A141" s="197" t="s">
        <v>8580</v>
      </c>
      <c r="B141" s="699" t="s">
        <v>5947</v>
      </c>
      <c r="C141" s="699"/>
      <c r="D141" s="699"/>
      <c r="E141" s="699"/>
      <c r="F141" s="699"/>
      <c r="G141" s="699"/>
      <c r="H141" s="699"/>
      <c r="I141" s="699"/>
      <c r="J141" s="699"/>
      <c r="M141" s="519"/>
      <c r="N141" s="519"/>
      <c r="O141" s="519"/>
      <c r="P141" s="519"/>
      <c r="Q141" s="519"/>
      <c r="R141" s="519"/>
      <c r="S141" s="519"/>
      <c r="T141" s="519"/>
      <c r="U141" s="519"/>
      <c r="V141" s="519"/>
      <c r="W141" s="519"/>
      <c r="X141" s="519"/>
      <c r="Y141" s="519"/>
      <c r="Z141" s="519"/>
    </row>
    <row r="142" spans="1:26" s="512" customFormat="1" ht="15">
      <c r="A142" s="337" t="s">
        <v>8582</v>
      </c>
      <c r="B142" s="698" t="s">
        <v>8583</v>
      </c>
      <c r="C142" s="698"/>
      <c r="D142" s="698"/>
      <c r="E142" s="698"/>
      <c r="F142" s="698"/>
      <c r="G142" s="698"/>
      <c r="H142" s="698"/>
      <c r="I142" s="698"/>
      <c r="J142" s="698"/>
      <c r="M142" s="519"/>
      <c r="N142" s="519"/>
      <c r="O142" s="519"/>
      <c r="P142" s="519"/>
      <c r="Q142" s="519"/>
      <c r="R142" s="519"/>
      <c r="S142" s="519"/>
      <c r="T142" s="519"/>
      <c r="U142" s="519"/>
      <c r="V142" s="519"/>
      <c r="W142" s="519"/>
      <c r="X142" s="519"/>
      <c r="Y142" s="519"/>
      <c r="Z142" s="519"/>
    </row>
    <row r="143" spans="1:26" s="512" customFormat="1" ht="30">
      <c r="A143" s="338" t="s">
        <v>8613</v>
      </c>
      <c r="B143" s="576" t="s">
        <v>5256</v>
      </c>
      <c r="C143" s="576">
        <v>93358</v>
      </c>
      <c r="D143" s="336" t="s">
        <v>9245</v>
      </c>
      <c r="E143" s="341">
        <f>QuantUrb!K280</f>
        <v>202.77</v>
      </c>
      <c r="F143" s="342" t="s">
        <v>6741</v>
      </c>
      <c r="G143" s="352">
        <v>46.01</v>
      </c>
      <c r="H143" s="339">
        <f>ROUND(G143*$B$13,2)</f>
        <v>12.39</v>
      </c>
      <c r="I143" s="339">
        <f>H143+G143</f>
        <v>58.4</v>
      </c>
      <c r="J143" s="431">
        <f>ROUND(I143*E143,2)</f>
        <v>11841.77</v>
      </c>
      <c r="K143" s="537">
        <f>ROUND(G143*E143,2)</f>
        <v>9329.4500000000007</v>
      </c>
      <c r="L143" s="538">
        <f>ROUND(H143*E143,2)</f>
        <v>2512.3200000000002</v>
      </c>
      <c r="M143" s="519"/>
      <c r="N143" s="519"/>
      <c r="O143" s="519"/>
      <c r="P143" s="519"/>
      <c r="Q143" s="519"/>
      <c r="R143" s="519"/>
      <c r="S143" s="519"/>
      <c r="T143" s="519"/>
      <c r="U143" s="519">
        <f t="shared" ref="U143:U144" si="62">0.2*J143</f>
        <v>2368.3540000000003</v>
      </c>
      <c r="V143" s="519">
        <f t="shared" ref="V143:V144" si="63">0.3*J143</f>
        <v>3552.5309999999999</v>
      </c>
      <c r="W143" s="519">
        <f t="shared" ref="W143:W144" si="64">0.5*J143</f>
        <v>5920.8850000000002</v>
      </c>
      <c r="X143" s="519"/>
      <c r="Y143" s="519"/>
      <c r="Z143" s="519"/>
    </row>
    <row r="144" spans="1:26" s="512" customFormat="1" ht="15">
      <c r="A144" s="338" t="s">
        <v>8615</v>
      </c>
      <c r="B144" s="576" t="s">
        <v>5256</v>
      </c>
      <c r="C144" s="576">
        <v>96995</v>
      </c>
      <c r="D144" s="336" t="s">
        <v>7350</v>
      </c>
      <c r="E144" s="341">
        <f>E143</f>
        <v>202.77</v>
      </c>
      <c r="F144" s="342" t="s">
        <v>6741</v>
      </c>
      <c r="G144" s="352">
        <v>27.9</v>
      </c>
      <c r="H144" s="339">
        <f>ROUND(G144*$B$13,2)</f>
        <v>7.51</v>
      </c>
      <c r="I144" s="339">
        <f>H144+G144</f>
        <v>35.409999999999997</v>
      </c>
      <c r="J144" s="431">
        <f>ROUND(I144*E144,2)</f>
        <v>7180.09</v>
      </c>
      <c r="K144" s="537">
        <f>ROUND(G144*E144,2)</f>
        <v>5657.28</v>
      </c>
      <c r="L144" s="538">
        <f>ROUND(H144*E144,2)</f>
        <v>1522.8</v>
      </c>
      <c r="M144" s="519"/>
      <c r="N144" s="519"/>
      <c r="O144" s="519"/>
      <c r="P144" s="519"/>
      <c r="Q144" s="519"/>
      <c r="R144" s="519"/>
      <c r="S144" s="519"/>
      <c r="T144" s="519"/>
      <c r="U144" s="519">
        <f t="shared" si="62"/>
        <v>1436.018</v>
      </c>
      <c r="V144" s="519">
        <f t="shared" si="63"/>
        <v>2154.027</v>
      </c>
      <c r="W144" s="519">
        <f t="shared" si="64"/>
        <v>3590.0450000000001</v>
      </c>
      <c r="X144" s="519"/>
      <c r="Y144" s="519"/>
      <c r="Z144" s="519"/>
    </row>
    <row r="145" spans="1:26" s="512" customFormat="1" ht="15">
      <c r="A145" s="700" t="s">
        <v>8581</v>
      </c>
      <c r="B145" s="700"/>
      <c r="C145" s="700"/>
      <c r="D145" s="700"/>
      <c r="E145" s="700"/>
      <c r="F145" s="700"/>
      <c r="G145" s="700"/>
      <c r="H145" s="700"/>
      <c r="I145" s="700"/>
      <c r="J145" s="432">
        <f>SUM(J141:J144)</f>
        <v>19021.86</v>
      </c>
      <c r="M145" s="542">
        <f>SUM(M141:M144)</f>
        <v>0</v>
      </c>
      <c r="N145" s="542">
        <f t="shared" ref="N145:Z145" si="65">SUM(N141:N144)</f>
        <v>0</v>
      </c>
      <c r="O145" s="542">
        <f t="shared" si="65"/>
        <v>0</v>
      </c>
      <c r="P145" s="542">
        <f t="shared" si="65"/>
        <v>0</v>
      </c>
      <c r="Q145" s="542">
        <f t="shared" si="65"/>
        <v>0</v>
      </c>
      <c r="R145" s="542">
        <f t="shared" si="65"/>
        <v>0</v>
      </c>
      <c r="S145" s="542">
        <f t="shared" si="65"/>
        <v>0</v>
      </c>
      <c r="T145" s="542">
        <f t="shared" si="65"/>
        <v>0</v>
      </c>
      <c r="U145" s="542">
        <f t="shared" si="65"/>
        <v>3804.3720000000003</v>
      </c>
      <c r="V145" s="542">
        <f t="shared" si="65"/>
        <v>5706.558</v>
      </c>
      <c r="W145" s="542">
        <f t="shared" si="65"/>
        <v>9510.93</v>
      </c>
      <c r="X145" s="542">
        <f t="shared" si="65"/>
        <v>0</v>
      </c>
      <c r="Y145" s="542">
        <f t="shared" si="65"/>
        <v>0</v>
      </c>
      <c r="Z145" s="542">
        <f t="shared" si="65"/>
        <v>0</v>
      </c>
    </row>
    <row r="146" spans="1:26" s="512" customFormat="1" ht="15">
      <c r="A146" s="29"/>
      <c r="B146" s="29"/>
      <c r="C146" s="29"/>
      <c r="D146" s="29"/>
      <c r="E146" s="189"/>
      <c r="F146" s="29"/>
      <c r="G146" s="353"/>
      <c r="H146" s="28"/>
      <c r="I146" s="28"/>
      <c r="J146" s="433"/>
      <c r="M146" s="519"/>
      <c r="N146" s="519"/>
      <c r="O146" s="519"/>
      <c r="P146" s="519"/>
      <c r="Q146" s="519"/>
      <c r="R146" s="519"/>
      <c r="S146" s="519"/>
      <c r="T146" s="519"/>
      <c r="U146" s="519"/>
      <c r="V146" s="519"/>
      <c r="W146" s="519"/>
      <c r="X146" s="519"/>
      <c r="Y146" s="519"/>
      <c r="Z146" s="519"/>
    </row>
    <row r="147" spans="1:26" ht="15">
      <c r="A147" s="701" t="s">
        <v>7434</v>
      </c>
      <c r="B147" s="701"/>
      <c r="C147" s="701"/>
      <c r="D147" s="701"/>
      <c r="E147" s="701"/>
      <c r="F147" s="701"/>
      <c r="G147" s="701"/>
      <c r="H147" s="701"/>
      <c r="I147" s="701"/>
      <c r="J147" s="434">
        <f>J145+J139</f>
        <v>50106.929999999993</v>
      </c>
      <c r="M147" s="542">
        <f>M145+M139</f>
        <v>0</v>
      </c>
      <c r="N147" s="542">
        <f t="shared" ref="N147:Z147" si="66">N145+N139</f>
        <v>0</v>
      </c>
      <c r="O147" s="542">
        <f t="shared" si="66"/>
        <v>0</v>
      </c>
      <c r="P147" s="542">
        <f t="shared" si="66"/>
        <v>0</v>
      </c>
      <c r="Q147" s="542">
        <f t="shared" si="66"/>
        <v>0</v>
      </c>
      <c r="R147" s="542">
        <f t="shared" si="66"/>
        <v>0</v>
      </c>
      <c r="S147" s="542">
        <f t="shared" si="66"/>
        <v>0</v>
      </c>
      <c r="T147" s="542">
        <f t="shared" si="66"/>
        <v>0</v>
      </c>
      <c r="U147" s="542">
        <f t="shared" si="66"/>
        <v>10021.386</v>
      </c>
      <c r="V147" s="542">
        <f t="shared" si="66"/>
        <v>15032.079000000002</v>
      </c>
      <c r="W147" s="542">
        <f t="shared" si="66"/>
        <v>25053.464999999997</v>
      </c>
      <c r="X147" s="542">
        <f t="shared" si="66"/>
        <v>0</v>
      </c>
      <c r="Y147" s="542">
        <f t="shared" si="66"/>
        <v>0</v>
      </c>
      <c r="Z147" s="542">
        <f t="shared" si="66"/>
        <v>0</v>
      </c>
    </row>
    <row r="148" spans="1:26" s="512" customFormat="1" ht="15">
      <c r="A148" s="338"/>
      <c r="B148" s="576"/>
      <c r="C148" s="576"/>
      <c r="D148" s="336"/>
      <c r="E148" s="341"/>
      <c r="F148" s="342"/>
      <c r="G148" s="354"/>
      <c r="H148" s="11"/>
      <c r="I148" s="11"/>
      <c r="J148" s="435"/>
      <c r="M148" s="569">
        <f>M147/$J147</f>
        <v>0</v>
      </c>
      <c r="N148" s="569">
        <f t="shared" ref="N148:Z148" si="67">N147/$J147</f>
        <v>0</v>
      </c>
      <c r="O148" s="569">
        <f t="shared" si="67"/>
        <v>0</v>
      </c>
      <c r="P148" s="569">
        <f t="shared" si="67"/>
        <v>0</v>
      </c>
      <c r="Q148" s="569">
        <f t="shared" si="67"/>
        <v>0</v>
      </c>
      <c r="R148" s="569">
        <f t="shared" si="67"/>
        <v>0</v>
      </c>
      <c r="S148" s="569">
        <f t="shared" si="67"/>
        <v>0</v>
      </c>
      <c r="T148" s="569">
        <f t="shared" si="67"/>
        <v>0</v>
      </c>
      <c r="U148" s="569">
        <f t="shared" si="67"/>
        <v>0.20000000000000004</v>
      </c>
      <c r="V148" s="569">
        <f t="shared" si="67"/>
        <v>0.3000000000000001</v>
      </c>
      <c r="W148" s="569">
        <f t="shared" si="67"/>
        <v>0.5</v>
      </c>
      <c r="X148" s="569">
        <f t="shared" si="67"/>
        <v>0</v>
      </c>
      <c r="Y148" s="569">
        <f t="shared" si="67"/>
        <v>0</v>
      </c>
      <c r="Z148" s="569">
        <f t="shared" si="67"/>
        <v>0</v>
      </c>
    </row>
    <row r="149" spans="1:26" ht="15">
      <c r="A149" s="457" t="s">
        <v>13</v>
      </c>
      <c r="B149" s="696" t="s">
        <v>5799</v>
      </c>
      <c r="C149" s="697"/>
      <c r="D149" s="697"/>
      <c r="E149" s="697"/>
      <c r="F149" s="697"/>
      <c r="G149" s="697"/>
      <c r="H149" s="697"/>
      <c r="I149" s="697"/>
      <c r="J149" s="697"/>
    </row>
    <row r="150" spans="1:26" s="512" customFormat="1" ht="15">
      <c r="A150" s="573" t="s">
        <v>0</v>
      </c>
      <c r="B150" s="692" t="s">
        <v>5250</v>
      </c>
      <c r="C150" s="693"/>
      <c r="D150" s="23" t="s">
        <v>1</v>
      </c>
      <c r="E150" s="193" t="s">
        <v>134</v>
      </c>
      <c r="F150" s="24" t="s">
        <v>11</v>
      </c>
      <c r="G150" s="351" t="s">
        <v>12</v>
      </c>
      <c r="H150" s="182" t="s">
        <v>6735</v>
      </c>
      <c r="I150" s="182" t="s">
        <v>6736</v>
      </c>
      <c r="J150" s="430" t="s">
        <v>133</v>
      </c>
      <c r="M150" s="519"/>
      <c r="N150" s="519"/>
      <c r="O150" s="519"/>
      <c r="P150" s="519"/>
      <c r="Q150" s="519"/>
      <c r="R150" s="519"/>
      <c r="S150" s="519"/>
      <c r="T150" s="519"/>
      <c r="U150" s="519"/>
      <c r="V150" s="519"/>
      <c r="W150" s="519"/>
      <c r="X150" s="519"/>
      <c r="Y150" s="519"/>
      <c r="Z150" s="519"/>
    </row>
    <row r="151" spans="1:26" s="512" customFormat="1" ht="15">
      <c r="A151" s="197" t="s">
        <v>9248</v>
      </c>
      <c r="B151" s="699" t="s">
        <v>9249</v>
      </c>
      <c r="C151" s="699"/>
      <c r="D151" s="699"/>
      <c r="E151" s="699"/>
      <c r="F151" s="699"/>
      <c r="G151" s="699"/>
      <c r="H151" s="699"/>
      <c r="I151" s="699"/>
      <c r="J151" s="699"/>
      <c r="M151" s="519"/>
      <c r="N151" s="519"/>
      <c r="O151" s="519"/>
      <c r="P151" s="519"/>
      <c r="Q151" s="519"/>
      <c r="R151" s="519"/>
      <c r="S151" s="519"/>
      <c r="T151" s="519"/>
      <c r="U151" s="519"/>
      <c r="V151" s="519"/>
      <c r="W151" s="519"/>
      <c r="X151" s="519"/>
      <c r="Y151" s="519"/>
      <c r="Z151" s="519"/>
    </row>
    <row r="152" spans="1:26" s="512" customFormat="1" ht="30">
      <c r="A152" s="338" t="s">
        <v>9250</v>
      </c>
      <c r="B152" s="576" t="s">
        <v>6333</v>
      </c>
      <c r="C152" s="576">
        <v>4685</v>
      </c>
      <c r="D152" s="336" t="s">
        <v>15432</v>
      </c>
      <c r="E152" s="341">
        <v>1</v>
      </c>
      <c r="F152" s="342" t="s">
        <v>6337</v>
      </c>
      <c r="G152" s="352">
        <v>145.80000000000001</v>
      </c>
      <c r="H152" s="339">
        <f>ROUND(G152*$B$13,2)</f>
        <v>39.26</v>
      </c>
      <c r="I152" s="339">
        <f>H152+G152</f>
        <v>185.06</v>
      </c>
      <c r="J152" s="431">
        <f>ROUND(I152*E152,2)</f>
        <v>185.06</v>
      </c>
      <c r="K152" s="537">
        <f>ROUND(G152*E152,2)</f>
        <v>145.80000000000001</v>
      </c>
      <c r="L152" s="538">
        <f>ROUND(H152*E152,2)</f>
        <v>39.26</v>
      </c>
      <c r="M152" s="519"/>
      <c r="N152" s="519"/>
      <c r="O152" s="519"/>
      <c r="P152" s="519"/>
      <c r="Q152" s="519"/>
      <c r="R152" s="519"/>
      <c r="S152" s="519"/>
      <c r="T152" s="519"/>
      <c r="U152" s="519">
        <f>J152</f>
        <v>185.06</v>
      </c>
      <c r="V152" s="519"/>
      <c r="W152" s="519"/>
      <c r="X152" s="519"/>
      <c r="Y152" s="519"/>
      <c r="Z152" s="519"/>
    </row>
    <row r="153" spans="1:26" s="512" customFormat="1" ht="15">
      <c r="A153" s="700" t="s">
        <v>9251</v>
      </c>
      <c r="B153" s="700"/>
      <c r="C153" s="700"/>
      <c r="D153" s="700"/>
      <c r="E153" s="700"/>
      <c r="F153" s="700"/>
      <c r="G153" s="700"/>
      <c r="H153" s="700"/>
      <c r="I153" s="700"/>
      <c r="J153" s="432">
        <f>SUM(J151:J152)</f>
        <v>185.06</v>
      </c>
      <c r="M153" s="542">
        <f>SUM(M151:M152)</f>
        <v>0</v>
      </c>
      <c r="N153" s="542">
        <f t="shared" ref="N153:Z153" si="68">SUM(N151:N152)</f>
        <v>0</v>
      </c>
      <c r="O153" s="542">
        <f t="shared" si="68"/>
        <v>0</v>
      </c>
      <c r="P153" s="542">
        <f t="shared" si="68"/>
        <v>0</v>
      </c>
      <c r="Q153" s="542">
        <f t="shared" si="68"/>
        <v>0</v>
      </c>
      <c r="R153" s="542">
        <f t="shared" si="68"/>
        <v>0</v>
      </c>
      <c r="S153" s="542">
        <f t="shared" si="68"/>
        <v>0</v>
      </c>
      <c r="T153" s="542">
        <f t="shared" si="68"/>
        <v>0</v>
      </c>
      <c r="U153" s="542">
        <f t="shared" si="68"/>
        <v>185.06</v>
      </c>
      <c r="V153" s="542">
        <f t="shared" si="68"/>
        <v>0</v>
      </c>
      <c r="W153" s="542">
        <f t="shared" si="68"/>
        <v>0</v>
      </c>
      <c r="X153" s="542">
        <f t="shared" si="68"/>
        <v>0</v>
      </c>
      <c r="Y153" s="542">
        <f t="shared" si="68"/>
        <v>0</v>
      </c>
      <c r="Z153" s="542">
        <f t="shared" si="68"/>
        <v>0</v>
      </c>
    </row>
    <row r="154" spans="1:26" s="512" customFormat="1" ht="15">
      <c r="A154" s="29"/>
      <c r="B154" s="29"/>
      <c r="C154" s="29"/>
      <c r="D154" s="29"/>
      <c r="E154" s="189"/>
      <c r="F154" s="29"/>
      <c r="G154" s="353"/>
      <c r="H154" s="28"/>
      <c r="I154" s="28"/>
      <c r="J154" s="433"/>
      <c r="M154" s="519"/>
      <c r="N154" s="519"/>
      <c r="O154" s="519"/>
      <c r="P154" s="519"/>
      <c r="Q154" s="519"/>
      <c r="R154" s="519"/>
      <c r="S154" s="519"/>
      <c r="T154" s="519"/>
      <c r="U154" s="519"/>
      <c r="V154" s="519"/>
      <c r="W154" s="519"/>
      <c r="X154" s="519"/>
      <c r="Y154" s="519"/>
      <c r="Z154" s="519"/>
    </row>
    <row r="155" spans="1:26" ht="15">
      <c r="A155" s="701" t="s">
        <v>9122</v>
      </c>
      <c r="B155" s="701"/>
      <c r="C155" s="701"/>
      <c r="D155" s="701"/>
      <c r="E155" s="701"/>
      <c r="F155" s="701"/>
      <c r="G155" s="701"/>
      <c r="H155" s="701"/>
      <c r="I155" s="701"/>
      <c r="J155" s="434">
        <f>J153</f>
        <v>185.06</v>
      </c>
      <c r="M155" s="542">
        <f>M153</f>
        <v>0</v>
      </c>
      <c r="N155" s="542">
        <f t="shared" ref="N155:Z155" si="69">N153</f>
        <v>0</v>
      </c>
      <c r="O155" s="542">
        <f t="shared" si="69"/>
        <v>0</v>
      </c>
      <c r="P155" s="542">
        <f t="shared" si="69"/>
        <v>0</v>
      </c>
      <c r="Q155" s="542">
        <f t="shared" si="69"/>
        <v>0</v>
      </c>
      <c r="R155" s="542">
        <f t="shared" si="69"/>
        <v>0</v>
      </c>
      <c r="S155" s="542">
        <f t="shared" si="69"/>
        <v>0</v>
      </c>
      <c r="T155" s="542">
        <f t="shared" si="69"/>
        <v>0</v>
      </c>
      <c r="U155" s="542">
        <f t="shared" si="69"/>
        <v>185.06</v>
      </c>
      <c r="V155" s="542">
        <f t="shared" si="69"/>
        <v>0</v>
      </c>
      <c r="W155" s="542">
        <f t="shared" si="69"/>
        <v>0</v>
      </c>
      <c r="X155" s="542">
        <f t="shared" si="69"/>
        <v>0</v>
      </c>
      <c r="Y155" s="542">
        <f t="shared" si="69"/>
        <v>0</v>
      </c>
      <c r="Z155" s="542">
        <f t="shared" si="69"/>
        <v>0</v>
      </c>
    </row>
    <row r="156" spans="1:26" s="512" customFormat="1" ht="15">
      <c r="A156" s="338"/>
      <c r="B156" s="576"/>
      <c r="C156" s="576"/>
      <c r="D156" s="336"/>
      <c r="E156" s="341"/>
      <c r="F156" s="342"/>
      <c r="G156" s="354"/>
      <c r="H156" s="11"/>
      <c r="I156" s="11"/>
      <c r="J156" s="435"/>
      <c r="M156" s="569">
        <f>M155/$J155</f>
        <v>0</v>
      </c>
      <c r="N156" s="569">
        <f t="shared" ref="N156:Z156" si="70">N155/$J155</f>
        <v>0</v>
      </c>
      <c r="O156" s="569">
        <f t="shared" si="70"/>
        <v>0</v>
      </c>
      <c r="P156" s="569">
        <f t="shared" si="70"/>
        <v>0</v>
      </c>
      <c r="Q156" s="569">
        <f t="shared" si="70"/>
        <v>0</v>
      </c>
      <c r="R156" s="569">
        <f t="shared" si="70"/>
        <v>0</v>
      </c>
      <c r="S156" s="569">
        <f t="shared" si="70"/>
        <v>0</v>
      </c>
      <c r="T156" s="569">
        <f t="shared" si="70"/>
        <v>0</v>
      </c>
      <c r="U156" s="569">
        <f t="shared" si="70"/>
        <v>1</v>
      </c>
      <c r="V156" s="569">
        <f t="shared" si="70"/>
        <v>0</v>
      </c>
      <c r="W156" s="569">
        <f t="shared" si="70"/>
        <v>0</v>
      </c>
      <c r="X156" s="569">
        <f t="shared" si="70"/>
        <v>0</v>
      </c>
      <c r="Y156" s="569">
        <f t="shared" si="70"/>
        <v>0</v>
      </c>
      <c r="Z156" s="569">
        <f t="shared" si="70"/>
        <v>0</v>
      </c>
    </row>
    <row r="157" spans="1:26" ht="15">
      <c r="A157" s="16" t="s">
        <v>14</v>
      </c>
      <c r="B157" s="16"/>
      <c r="C157" s="16"/>
      <c r="D157" s="702" t="s">
        <v>17</v>
      </c>
      <c r="E157" s="702"/>
      <c r="F157" s="702"/>
      <c r="G157" s="702"/>
      <c r="H157" s="702"/>
      <c r="I157" s="702"/>
      <c r="J157" s="427">
        <f>SUM(K:K)</f>
        <v>548433.80999999994</v>
      </c>
    </row>
    <row r="158" spans="1:26" ht="15">
      <c r="A158" s="16" t="s">
        <v>15</v>
      </c>
      <c r="B158" s="16"/>
      <c r="C158" s="16"/>
      <c r="D158" s="703" t="s">
        <v>5801</v>
      </c>
      <c r="E158" s="703"/>
      <c r="F158" s="703"/>
      <c r="G158" s="703"/>
      <c r="H158" s="703"/>
      <c r="I158" s="703"/>
      <c r="J158" s="427">
        <f>SUM(L:L)</f>
        <v>147681.66</v>
      </c>
    </row>
    <row r="159" spans="1:26" ht="15">
      <c r="A159" s="16" t="s">
        <v>16</v>
      </c>
      <c r="B159" s="16"/>
      <c r="C159" s="16"/>
      <c r="D159" s="702" t="s">
        <v>18</v>
      </c>
      <c r="E159" s="702"/>
      <c r="F159" s="702"/>
      <c r="G159" s="702"/>
      <c r="H159" s="702"/>
      <c r="I159" s="702"/>
      <c r="J159" s="427">
        <f>J155+J147+J118+J70+J31</f>
        <v>696115.46000000008</v>
      </c>
    </row>
    <row r="160" spans="1:26" ht="15">
      <c r="A160" s="344"/>
      <c r="B160" s="33"/>
      <c r="C160" s="33"/>
      <c r="D160" s="34"/>
      <c r="E160" s="190"/>
      <c r="F160" s="33"/>
      <c r="G160" s="357"/>
      <c r="H160" s="14"/>
      <c r="I160" s="14"/>
      <c r="J160" s="428"/>
    </row>
    <row r="161" spans="1:10" ht="15">
      <c r="A161" s="587"/>
      <c r="B161" s="33"/>
      <c r="C161" s="33"/>
      <c r="D161" s="594" t="s">
        <v>15581</v>
      </c>
      <c r="E161" s="190"/>
      <c r="F161" s="33"/>
      <c r="G161" s="357"/>
      <c r="H161" s="14"/>
      <c r="I161" s="14"/>
      <c r="J161" s="428"/>
    </row>
    <row r="162" spans="1:10" ht="15">
      <c r="A162" s="587"/>
      <c r="B162" s="587"/>
      <c r="C162" s="587"/>
      <c r="D162" s="594" t="s">
        <v>15582</v>
      </c>
      <c r="E162" s="20"/>
      <c r="F162" s="36"/>
      <c r="G162" s="347"/>
      <c r="H162" s="141"/>
      <c r="I162" s="141"/>
      <c r="J162" s="429"/>
    </row>
    <row r="163" spans="1:10" ht="15">
      <c r="A163" s="587"/>
      <c r="B163" s="587"/>
      <c r="C163" s="587"/>
      <c r="D163" s="594" t="s">
        <v>15583</v>
      </c>
      <c r="E163" s="20"/>
      <c r="F163" s="36"/>
      <c r="G163" s="347"/>
      <c r="H163" s="141"/>
      <c r="I163" s="141"/>
      <c r="J163" s="429"/>
    </row>
    <row r="164" spans="1:10" ht="15">
      <c r="A164" s="587"/>
      <c r="B164" s="587"/>
      <c r="C164" s="587"/>
      <c r="D164" s="594" t="s">
        <v>15584</v>
      </c>
      <c r="E164" s="20"/>
      <c r="F164" s="36"/>
      <c r="G164" s="347"/>
      <c r="H164" s="141"/>
      <c r="I164" s="141"/>
      <c r="J164" s="429"/>
    </row>
    <row r="165" spans="1:10" ht="15">
      <c r="A165" s="587"/>
      <c r="B165" s="587"/>
      <c r="C165" s="587"/>
      <c r="D165" s="586"/>
      <c r="E165" s="20"/>
      <c r="F165" s="36"/>
      <c r="G165" s="347"/>
      <c r="H165" s="141"/>
      <c r="I165" s="141"/>
      <c r="J165" s="429"/>
    </row>
    <row r="166" spans="1:10" ht="15">
      <c r="A166" s="587"/>
      <c r="B166" s="587"/>
      <c r="C166" s="587"/>
      <c r="D166" s="586"/>
      <c r="E166" s="20"/>
      <c r="F166" s="36"/>
      <c r="G166" s="347"/>
      <c r="H166" s="141"/>
      <c r="I166" s="141"/>
      <c r="J166" s="429"/>
    </row>
    <row r="167" spans="1:10" ht="15">
      <c r="A167" s="587"/>
      <c r="B167" s="587"/>
      <c r="C167" s="587"/>
      <c r="D167" s="586"/>
      <c r="E167" s="20"/>
      <c r="F167" s="36"/>
      <c r="G167" s="347"/>
      <c r="H167" s="141"/>
      <c r="I167" s="141"/>
      <c r="J167" s="429"/>
    </row>
    <row r="168" spans="1:10">
      <c r="B168" s="22"/>
      <c r="C168" s="22"/>
      <c r="D168" s="588"/>
      <c r="E168" s="191"/>
      <c r="F168" s="6"/>
      <c r="G168" s="358"/>
      <c r="H168" s="333"/>
      <c r="I168" s="333"/>
      <c r="J168" s="381"/>
    </row>
  </sheetData>
  <sheetProtection selectLockedCells="1" selectUnlockedCells="1"/>
  <mergeCells count="61">
    <mergeCell ref="D159:I159"/>
    <mergeCell ref="B150:C150"/>
    <mergeCell ref="B151:J151"/>
    <mergeCell ref="A153:I153"/>
    <mergeCell ref="A155:I155"/>
    <mergeCell ref="D157:I157"/>
    <mergeCell ref="D158:I158"/>
    <mergeCell ref="B149:J149"/>
    <mergeCell ref="B120:J120"/>
    <mergeCell ref="B121:C121"/>
    <mergeCell ref="B122:J122"/>
    <mergeCell ref="B123:J123"/>
    <mergeCell ref="B133:J133"/>
    <mergeCell ref="B137:J137"/>
    <mergeCell ref="A139:I139"/>
    <mergeCell ref="B141:J141"/>
    <mergeCell ref="B142:J142"/>
    <mergeCell ref="A145:I145"/>
    <mergeCell ref="A147:I147"/>
    <mergeCell ref="A118:I118"/>
    <mergeCell ref="B74:J74"/>
    <mergeCell ref="B75:J75"/>
    <mergeCell ref="B79:J79"/>
    <mergeCell ref="A84:I84"/>
    <mergeCell ref="B86:J86"/>
    <mergeCell ref="B87:J87"/>
    <mergeCell ref="B91:J91"/>
    <mergeCell ref="B95:J95"/>
    <mergeCell ref="B99:J99"/>
    <mergeCell ref="B103:J103"/>
    <mergeCell ref="A116:I116"/>
    <mergeCell ref="B73:C73"/>
    <mergeCell ref="B34:C34"/>
    <mergeCell ref="B35:J35"/>
    <mergeCell ref="A42:I42"/>
    <mergeCell ref="B44:J44"/>
    <mergeCell ref="A48:I48"/>
    <mergeCell ref="B50:J50"/>
    <mergeCell ref="A64:I64"/>
    <mergeCell ref="B66:J66"/>
    <mergeCell ref="A68:I68"/>
    <mergeCell ref="A70:I70"/>
    <mergeCell ref="B72:J72"/>
    <mergeCell ref="B33:J33"/>
    <mergeCell ref="B11:J11"/>
    <mergeCell ref="B12:J12"/>
    <mergeCell ref="C15:J15"/>
    <mergeCell ref="A17:J17"/>
    <mergeCell ref="B18:J18"/>
    <mergeCell ref="B19:C19"/>
    <mergeCell ref="B20:J20"/>
    <mergeCell ref="A25:I25"/>
    <mergeCell ref="B27:J27"/>
    <mergeCell ref="A29:I29"/>
    <mergeCell ref="A31:I31"/>
    <mergeCell ref="B10:J10"/>
    <mergeCell ref="A2:J2"/>
    <mergeCell ref="A3:J3"/>
    <mergeCell ref="A4:J4"/>
    <mergeCell ref="A7:J7"/>
    <mergeCell ref="B9:J9"/>
  </mergeCells>
  <printOptions horizontalCentered="1"/>
  <pageMargins left="0.70866141732283472" right="0.70866141732283472" top="0.39370078740157483" bottom="0.78740157480314965" header="0.19685039370078741" footer="0"/>
  <pageSetup paperSize="9" scale="55" firstPageNumber="26" fitToHeight="0" orientation="portrait" useFirstPageNumber="1" r:id="rId1"/>
  <headerFooter alignWithMargins="0">
    <oddHeader>&amp;LVEGA CONSTRUTORA E INCOPORAÇÕES LTDA&amp;RCNPJ: 02.342.988/0001-00</oddHeader>
    <oddFooter xml:space="preserve">&amp;C
&amp;RPágina &amp;P
</oddFooter>
  </headerFooter>
  <rowBreaks count="1" manualBreakCount="1">
    <brk id="132"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54</vt:i4>
      </vt:variant>
    </vt:vector>
  </HeadingPairs>
  <TitlesOfParts>
    <vt:vector size="78" baseType="lpstr">
      <vt:lpstr>Capa e Sumário</vt:lpstr>
      <vt:lpstr>ABC Reservatório</vt:lpstr>
      <vt:lpstr>Resumo</vt:lpstr>
      <vt:lpstr>Orç - Canteiro e Adm</vt:lpstr>
      <vt:lpstr>ABC Canteiro</vt:lpstr>
      <vt:lpstr>Orç - Prédio</vt:lpstr>
      <vt:lpstr>ABC Prédio</vt:lpstr>
      <vt:lpstr>Orç - Reservatório</vt:lpstr>
      <vt:lpstr>Orç - Urbanização</vt:lpstr>
      <vt:lpstr>ABC Urbanização</vt:lpstr>
      <vt:lpstr>Composições</vt:lpstr>
      <vt:lpstr>CFF REV </vt:lpstr>
      <vt:lpstr>ABC CONSOLIDADA</vt:lpstr>
      <vt:lpstr>Cotações</vt:lpstr>
      <vt:lpstr>BDI</vt:lpstr>
      <vt:lpstr>Encargos</vt:lpstr>
      <vt:lpstr>QuantCanteiro</vt:lpstr>
      <vt:lpstr>QuantPrédio</vt:lpstr>
      <vt:lpstr>QuantElétrica</vt:lpstr>
      <vt:lpstr>QuantReservatório</vt:lpstr>
      <vt:lpstr>QuantUrb</vt:lpstr>
      <vt:lpstr>InsumosSinapi</vt:lpstr>
      <vt:lpstr>CompSinapi</vt:lpstr>
      <vt:lpstr>QuantitativosÁgFria</vt:lpstr>
      <vt:lpstr>'ABC Canteiro'!Area_de_impressao</vt:lpstr>
      <vt:lpstr>'ABC CONSOLIDADA'!Area_de_impressao</vt:lpstr>
      <vt:lpstr>'ABC Prédio'!Area_de_impressao</vt:lpstr>
      <vt:lpstr>'ABC Reservatório'!Area_de_impressao</vt:lpstr>
      <vt:lpstr>'ABC Urbanização'!Area_de_impressao</vt:lpstr>
      <vt:lpstr>'Capa e Sumário'!Area_de_impressao</vt:lpstr>
      <vt:lpstr>'CFF REV '!Area_de_impressao</vt:lpstr>
      <vt:lpstr>Composições!Area_de_impressao</vt:lpstr>
      <vt:lpstr>Cotações!Area_de_impressao</vt:lpstr>
      <vt:lpstr>'Orç - Canteiro e Adm'!Area_de_impressao</vt:lpstr>
      <vt:lpstr>'Orç - Prédio'!Area_de_impressao</vt:lpstr>
      <vt:lpstr>'Orç - Reservatório'!Area_de_impressao</vt:lpstr>
      <vt:lpstr>'Orç - Urbanização'!Area_de_impressao</vt:lpstr>
      <vt:lpstr>QuantCanteiro!Area_de_impressao</vt:lpstr>
      <vt:lpstr>QuantElétrica!Area_de_impressao</vt:lpstr>
      <vt:lpstr>QuantitativosÁgFria!Area_de_impressao</vt:lpstr>
      <vt:lpstr>QuantPrédio!Area_de_impressao</vt:lpstr>
      <vt:lpstr>QuantReservatório!Area_de_impressao</vt:lpstr>
      <vt:lpstr>QuantUrb!Area_de_impressao</vt:lpstr>
      <vt:lpstr>Resumo!Area_de_impressao</vt:lpstr>
      <vt:lpstr>'ABC Canteiro'!Excel_BuiltIn_Print_Area_1</vt:lpstr>
      <vt:lpstr>'ABC CONSOLIDADA'!Excel_BuiltIn_Print_Area_1</vt:lpstr>
      <vt:lpstr>'ABC Prédio'!Excel_BuiltIn_Print_Area_1</vt:lpstr>
      <vt:lpstr>'ABC Reservatório'!Excel_BuiltIn_Print_Area_1</vt:lpstr>
      <vt:lpstr>'ABC Urbanização'!Excel_BuiltIn_Print_Area_1</vt:lpstr>
      <vt:lpstr>'Orç - Canteiro e Adm'!Excel_BuiltIn_Print_Area_1</vt:lpstr>
      <vt:lpstr>'Orç - Reservatório'!Excel_BuiltIn_Print_Area_1</vt:lpstr>
      <vt:lpstr>'Orç - Urbanização'!Excel_BuiltIn_Print_Area_1</vt:lpstr>
      <vt:lpstr>Resumo!Excel_BuiltIn_Print_Area_1</vt:lpstr>
      <vt:lpstr>Excel_BuiltIn_Print_Area_1</vt:lpstr>
      <vt:lpstr>'ABC Canteiro'!Excel_BuiltIn_Print_Area_1_1</vt:lpstr>
      <vt:lpstr>'ABC CONSOLIDADA'!Excel_BuiltIn_Print_Area_1_1</vt:lpstr>
      <vt:lpstr>'ABC Prédio'!Excel_BuiltIn_Print_Area_1_1</vt:lpstr>
      <vt:lpstr>'ABC Reservatório'!Excel_BuiltIn_Print_Area_1_1</vt:lpstr>
      <vt:lpstr>'ABC Urbanização'!Excel_BuiltIn_Print_Area_1_1</vt:lpstr>
      <vt:lpstr>'Orç - Canteiro e Adm'!Excel_BuiltIn_Print_Area_1_1</vt:lpstr>
      <vt:lpstr>'Orç - Reservatório'!Excel_BuiltIn_Print_Area_1_1</vt:lpstr>
      <vt:lpstr>'Orç - Urbanização'!Excel_BuiltIn_Print_Area_1_1</vt:lpstr>
      <vt:lpstr>Resumo!Excel_BuiltIn_Print_Area_1_1</vt:lpstr>
      <vt:lpstr>Excel_BuiltIn_Print_Area_1_1</vt:lpstr>
      <vt:lpstr>'ABC Canteiro'!Titulos_de_impressao</vt:lpstr>
      <vt:lpstr>'ABC CONSOLIDADA'!Titulos_de_impressao</vt:lpstr>
      <vt:lpstr>'ABC Prédio'!Titulos_de_impressao</vt:lpstr>
      <vt:lpstr>'ABC Reservatório'!Titulos_de_impressao</vt:lpstr>
      <vt:lpstr>'ABC Urbanização'!Titulos_de_impressao</vt:lpstr>
      <vt:lpstr>'Capa e Sumário'!Titulos_de_impressao</vt:lpstr>
      <vt:lpstr>Composições!Titulos_de_impressao</vt:lpstr>
      <vt:lpstr>Cotações!Titulos_de_impressao</vt:lpstr>
      <vt:lpstr>'Orç - Canteiro e Adm'!Titulos_de_impressao</vt:lpstr>
      <vt:lpstr>'Orç - Prédio'!Titulos_de_impressao</vt:lpstr>
      <vt:lpstr>'Orç - Reservatório'!Titulos_de_impressao</vt:lpstr>
      <vt:lpstr>'Orç - Urbanização'!Titulos_de_impressao</vt:lpstr>
      <vt:lpstr>QuantElétrica!Titulos_de_impressao</vt:lpstr>
      <vt:lpstr>Resumo!Titulos_de_impressao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Daniele Miranda</dc:creator>
  <cp:lastModifiedBy>Cintia Guimaraes Tertuliano</cp:lastModifiedBy>
  <cp:lastPrinted>2019-11-18T20:42:18Z</cp:lastPrinted>
  <dcterms:created xsi:type="dcterms:W3CDTF">2013-07-19T02:51:34Z</dcterms:created>
  <dcterms:modified xsi:type="dcterms:W3CDTF">2019-11-18T20:44:15Z</dcterms:modified>
</cp:coreProperties>
</file>